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05"/>
  <workbookPr defaultThemeVersion="166925"/>
  <mc:AlternateContent xmlns:mc="http://schemas.openxmlformats.org/markup-compatibility/2006">
    <mc:Choice Requires="x15">
      <x15ac:absPath xmlns:x15ac="http://schemas.microsoft.com/office/spreadsheetml/2010/11/ac" url="G:\03. Schools Planning\01_Inputs to SCA CP\Housing pipeline\00_Data\Jan 2019 SCA Housing Pipeline\Working Data\DEP NDF\"/>
    </mc:Choice>
  </mc:AlternateContent>
  <xr:revisionPtr revIDLastSave="1" documentId="11_A020EE72E489922E12692DE01279AAB34513ECE0" xr6:coauthVersionLast="45" xr6:coauthVersionMax="45" xr10:uidLastSave="{D3918789-FD1D-401C-A4DE-99896AC46282}"/>
  <bookViews>
    <workbookView xWindow="0" yWindow="0" windowWidth="28800" windowHeight="11310" tabRatio="830" firstSheet="3" activeTab="3" xr2:uid="{00000000-000D-0000-FFFF-FFFF00000000}"/>
  </bookViews>
  <sheets>
    <sheet name="Consolidated Sites and BBLs" sheetId="19" r:id="rId1"/>
    <sheet name="Jerome--&gt;" sheetId="4" r:id="rId2"/>
    <sheet name="README" sheetId="1" r:id="rId3"/>
    <sheet name="A-App Projected Sites " sheetId="2" r:id="rId4"/>
    <sheet name="A-App Potential sites" sheetId="3" r:id="rId5"/>
    <sheet name="Bay Street--&gt;" sheetId="5" r:id="rId6"/>
    <sheet name="RWCDS" sheetId="6" r:id="rId7"/>
    <sheet name="Potential_Sites" sheetId="7" r:id="rId8"/>
    <sheet name="Downtown Far Rockaway--&gt;" sheetId="9" r:id="rId9"/>
    <sheet name="DTFR RWCDS A-Text" sheetId="10" r:id="rId10"/>
    <sheet name="East Harlem--&gt;" sheetId="11" r:id="rId11"/>
    <sheet name="blocks lots w city priorities" sheetId="12" r:id="rId12"/>
    <sheet name="Inwood--&gt;" sheetId="15" r:id="rId13"/>
    <sheet name="Projected_CCMod" sheetId="13" r:id="rId14"/>
    <sheet name="Potential_CCMod" sheetId="14" r:id="rId15"/>
    <sheet name="East New York--&gt;" sheetId="18" r:id="rId16"/>
    <sheet name="projected sites_raw" sheetId="16" r:id="rId17"/>
    <sheet name="potential sites_raw" sheetId="17" r:id="rId18"/>
  </sheets>
  <externalReferences>
    <externalReference r:id="rId19"/>
    <externalReference r:id="rId20"/>
    <externalReference r:id="rId21"/>
    <externalReference r:id="rId22"/>
    <externalReference r:id="rId23"/>
    <externalReference r:id="rId24"/>
  </externalReferences>
  <definedNames>
    <definedName name="A">'A-App Projected Sites '!$C:$C</definedName>
    <definedName name="_xlnm.Print_Area" localSheetId="4">'A-App Potential sites'!$B$1:$GC$292</definedName>
    <definedName name="_xlnm.Print_Area" localSheetId="3">'A-App Projected Sites '!$A$1:$HC$137</definedName>
    <definedName name="_xlnm.Print_Area" localSheetId="9">'DTFR RWCDS A-Text'!$B$109:$AP$126</definedName>
    <definedName name="_xlnm.Print_Area" localSheetId="14">Potential_CCMod!$A$1:$CP$74</definedName>
    <definedName name="_xlnm.Print_Area" localSheetId="13">Projected_CCMod!$A$1:$CW$86</definedName>
    <definedName name="_xlnm.Print_Titles" localSheetId="4">'A-App Potential sites'!$B:$G,'A-App Potential sites'!$1:$3</definedName>
    <definedName name="_xlnm.Print_Titles" localSheetId="3">'A-App Projected Sites '!$A:$F,'A-App Projected Sites '!$1:$3</definedName>
    <definedName name="_xlnm.Print_Titles" localSheetId="14">Potential_CCMod!$A:$G</definedName>
    <definedName name="_xlnm.Print_Titles" localSheetId="13">Projected_CCMod!$A:$G,Projected_CCMod!$1:$3</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82" i="13" l="1"/>
  <c r="B81" i="13"/>
  <c r="B78" i="13"/>
  <c r="B77" i="13"/>
  <c r="B74" i="13"/>
  <c r="B73" i="13"/>
  <c r="B71" i="13"/>
  <c r="B69" i="13"/>
  <c r="B66" i="13"/>
  <c r="B65" i="13"/>
  <c r="B62" i="13"/>
  <c r="B61" i="13"/>
  <c r="B60" i="13"/>
  <c r="B57" i="13"/>
  <c r="B56" i="13"/>
  <c r="B53" i="13"/>
  <c r="B52" i="13"/>
  <c r="B49" i="13"/>
  <c r="B47" i="13"/>
  <c r="B45" i="13"/>
  <c r="B42" i="13"/>
  <c r="B41" i="13"/>
  <c r="B40" i="13"/>
  <c r="B37" i="13"/>
  <c r="B36" i="13"/>
  <c r="B32" i="13"/>
  <c r="B31" i="13"/>
  <c r="B29" i="13"/>
  <c r="B26" i="13"/>
  <c r="B25" i="13"/>
  <c r="B22" i="13"/>
  <c r="B21" i="13"/>
  <c r="B17" i="13"/>
  <c r="B16" i="13"/>
  <c r="B15" i="13"/>
  <c r="B14" i="13"/>
  <c r="B13" i="13"/>
  <c r="B12" i="13"/>
  <c r="B10" i="13"/>
  <c r="B9" i="13"/>
  <c r="B8" i="13"/>
  <c r="B7" i="13"/>
  <c r="B6" i="13"/>
  <c r="B4" i="13"/>
  <c r="B71" i="14"/>
  <c r="B69" i="14"/>
  <c r="B67" i="14"/>
  <c r="B65" i="14"/>
  <c r="B62" i="14"/>
  <c r="B61" i="14"/>
  <c r="B59" i="14"/>
  <c r="B56" i="14"/>
  <c r="B55" i="14"/>
  <c r="B54" i="14"/>
  <c r="B52" i="14"/>
  <c r="B50" i="14"/>
  <c r="B48" i="14"/>
  <c r="B46" i="14"/>
  <c r="B43" i="14"/>
  <c r="B42" i="14"/>
  <c r="B41" i="14"/>
  <c r="B37" i="14"/>
  <c r="B36" i="14"/>
  <c r="B33" i="14"/>
  <c r="B32" i="14"/>
  <c r="B31" i="14"/>
  <c r="B30" i="14"/>
  <c r="B29" i="14"/>
  <c r="B27" i="14"/>
  <c r="B24" i="14"/>
  <c r="B23" i="14"/>
  <c r="B20" i="14"/>
  <c r="B19" i="14"/>
  <c r="B18" i="14"/>
  <c r="B15" i="14"/>
  <c r="B14" i="14"/>
  <c r="B13" i="14"/>
  <c r="B10" i="14"/>
  <c r="B9" i="14"/>
  <c r="B8" i="14"/>
  <c r="B5" i="14"/>
  <c r="B4" i="14"/>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104" i="17"/>
  <c r="B105" i="17"/>
  <c r="B106" i="17"/>
  <c r="B107" i="17"/>
  <c r="B108" i="17"/>
  <c r="B109" i="17"/>
  <c r="B110" i="17"/>
  <c r="B111" i="17"/>
  <c r="B112" i="17"/>
  <c r="B113" i="17"/>
  <c r="B114" i="17"/>
  <c r="B115" i="17"/>
  <c r="B116" i="17"/>
  <c r="B117" i="17"/>
  <c r="B118" i="17"/>
  <c r="B119" i="17"/>
  <c r="B120" i="17"/>
  <c r="B121" i="17"/>
  <c r="B122" i="17"/>
  <c r="B123" i="17"/>
  <c r="B124" i="17"/>
  <c r="B125" i="17"/>
  <c r="B126" i="17"/>
  <c r="B127" i="17"/>
  <c r="B128" i="17"/>
  <c r="B129" i="17"/>
  <c r="B130" i="17"/>
  <c r="B131" i="17"/>
  <c r="B132" i="17"/>
  <c r="B133" i="17"/>
  <c r="B134" i="17"/>
  <c r="B135" i="17"/>
  <c r="B136" i="17"/>
  <c r="B137" i="17"/>
  <c r="B138" i="17"/>
  <c r="B139" i="17"/>
  <c r="B140" i="17"/>
  <c r="B141" i="17"/>
  <c r="B142" i="17"/>
  <c r="B143" i="17"/>
  <c r="B144" i="17"/>
  <c r="B145" i="17"/>
  <c r="B146" i="17"/>
  <c r="B147" i="17"/>
  <c r="B148" i="17"/>
  <c r="B149" i="17"/>
  <c r="B150" i="17"/>
  <c r="B151" i="17"/>
  <c r="B152" i="17"/>
  <c r="B153" i="17"/>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B181" i="17"/>
  <c r="B182" i="17"/>
  <c r="B183" i="17"/>
  <c r="B184" i="17"/>
  <c r="B185" i="17"/>
  <c r="B186" i="17"/>
  <c r="B187" i="17"/>
  <c r="B188" i="17"/>
  <c r="B189" i="17"/>
  <c r="B190" i="17"/>
  <c r="B191" i="17"/>
  <c r="B192" i="17"/>
  <c r="B193" i="17"/>
  <c r="B194" i="17"/>
  <c r="B195" i="17"/>
  <c r="B196" i="17"/>
  <c r="B197" i="17"/>
  <c r="B198" i="17"/>
  <c r="B199" i="17"/>
  <c r="B200" i="17"/>
  <c r="B201" i="17"/>
  <c r="B202" i="17"/>
  <c r="B203" i="17"/>
  <c r="B204" i="17"/>
  <c r="B205" i="17"/>
  <c r="B206" i="17"/>
  <c r="B207" i="17"/>
  <c r="B208" i="17"/>
  <c r="B209" i="17"/>
  <c r="B210" i="17"/>
  <c r="B211" i="17"/>
  <c r="B212" i="17"/>
  <c r="B213" i="17"/>
  <c r="B214" i="17"/>
  <c r="B215" i="17"/>
  <c r="B216" i="17"/>
  <c r="B217" i="17"/>
  <c r="B218" i="17"/>
  <c r="B219" i="17"/>
  <c r="B220" i="17"/>
  <c r="B221" i="17"/>
  <c r="B222" i="17"/>
  <c r="B223" i="17"/>
  <c r="B224" i="17"/>
  <c r="B225" i="17"/>
  <c r="B226" i="17"/>
  <c r="B227" i="17"/>
  <c r="B228" i="17"/>
  <c r="B229" i="17"/>
  <c r="B230" i="17"/>
  <c r="B231" i="17"/>
  <c r="B232" i="17"/>
  <c r="B233" i="17"/>
  <c r="B234" i="17"/>
  <c r="B235" i="17"/>
  <c r="B236" i="17"/>
  <c r="B237" i="17"/>
  <c r="B238" i="17"/>
  <c r="B239" i="17"/>
  <c r="B240" i="17"/>
  <c r="B241" i="17"/>
  <c r="B242" i="17"/>
  <c r="B5" i="17"/>
  <c r="B6" i="16"/>
  <c r="B7" i="16"/>
  <c r="B8" i="16"/>
  <c r="B9" i="16"/>
  <c r="B10" i="16"/>
  <c r="B11" i="16"/>
  <c r="B12" i="16"/>
  <c r="B13" i="16"/>
  <c r="B14" i="16"/>
  <c r="B15" i="16"/>
  <c r="B16" i="16"/>
  <c r="B17" i="16"/>
  <c r="B18" i="16"/>
  <c r="B19" i="16"/>
  <c r="B20" i="16"/>
  <c r="B21" i="16"/>
  <c r="B22" i="16"/>
  <c r="B23" i="16"/>
  <c r="B24" i="16"/>
  <c r="B25" i="16"/>
  <c r="B26" i="16"/>
  <c r="B27" i="16"/>
  <c r="B28" i="16"/>
  <c r="B29" i="16"/>
  <c r="B30" i="16"/>
  <c r="B31" i="16"/>
  <c r="B32" i="16"/>
  <c r="B33" i="16"/>
  <c r="B34" i="16"/>
  <c r="B35" i="16"/>
  <c r="B36" i="16"/>
  <c r="B37" i="16"/>
  <c r="B38" i="16"/>
  <c r="B39" i="16"/>
  <c r="B40" i="16"/>
  <c r="B41" i="16"/>
  <c r="B42" i="16"/>
  <c r="B43" i="16"/>
  <c r="B44" i="16"/>
  <c r="B45" i="16"/>
  <c r="B46" i="16"/>
  <c r="B47" i="16"/>
  <c r="B48" i="16"/>
  <c r="B49" i="16"/>
  <c r="B50" i="16"/>
  <c r="B51" i="16"/>
  <c r="B52" i="16"/>
  <c r="B53" i="16"/>
  <c r="B54" i="16"/>
  <c r="B55" i="16"/>
  <c r="B56" i="16"/>
  <c r="B57" i="16"/>
  <c r="B58" i="16"/>
  <c r="B59" i="16"/>
  <c r="B60" i="16"/>
  <c r="B61" i="16"/>
  <c r="B62" i="16"/>
  <c r="B63" i="16"/>
  <c r="B64" i="16"/>
  <c r="B65" i="16"/>
  <c r="B66" i="16"/>
  <c r="B67" i="16"/>
  <c r="B68" i="16"/>
  <c r="B69" i="16"/>
  <c r="B70" i="16"/>
  <c r="B71" i="16"/>
  <c r="B72" i="16"/>
  <c r="B73" i="16"/>
  <c r="B74" i="16"/>
  <c r="B75" i="16"/>
  <c r="B76" i="16"/>
  <c r="B77" i="16"/>
  <c r="B78" i="16"/>
  <c r="B79" i="16"/>
  <c r="B80" i="16"/>
  <c r="B81" i="16"/>
  <c r="B82" i="16"/>
  <c r="B83" i="16"/>
  <c r="B84" i="16"/>
  <c r="B85" i="16"/>
  <c r="B86" i="16"/>
  <c r="B87" i="16"/>
  <c r="B88" i="16"/>
  <c r="B89" i="16"/>
  <c r="B90" i="16"/>
  <c r="B91" i="16"/>
  <c r="B92" i="16"/>
  <c r="B93" i="16"/>
  <c r="B94" i="16"/>
  <c r="B95" i="16"/>
  <c r="B96" i="16"/>
  <c r="B97" i="16"/>
  <c r="B98" i="16"/>
  <c r="B99" i="16"/>
  <c r="B100" i="16"/>
  <c r="B101" i="16"/>
  <c r="B102" i="16"/>
  <c r="B103" i="16"/>
  <c r="B104" i="16"/>
  <c r="B105" i="16"/>
  <c r="B106" i="16"/>
  <c r="B107" i="16"/>
  <c r="B108" i="16"/>
  <c r="B109" i="16"/>
  <c r="B110" i="16"/>
  <c r="B111" i="16"/>
  <c r="B112" i="16"/>
  <c r="B113" i="16"/>
  <c r="B114" i="16"/>
  <c r="B115" i="16"/>
  <c r="B116" i="16"/>
  <c r="B117" i="16"/>
  <c r="B118" i="16"/>
  <c r="B119" i="16"/>
  <c r="B120" i="16"/>
  <c r="B121" i="16"/>
  <c r="B122" i="16"/>
  <c r="B123" i="16"/>
  <c r="B124" i="16"/>
  <c r="B125" i="16"/>
  <c r="B126" i="16"/>
  <c r="B127" i="16"/>
  <c r="B128" i="16"/>
  <c r="B129" i="16"/>
  <c r="B130" i="16"/>
  <c r="B131" i="16"/>
  <c r="B132" i="16"/>
  <c r="B133" i="16"/>
  <c r="B134" i="16"/>
  <c r="B135" i="16"/>
  <c r="B136" i="16"/>
  <c r="B137" i="16"/>
  <c r="B138" i="16"/>
  <c r="B139" i="16"/>
  <c r="B140" i="16"/>
  <c r="B141" i="16"/>
  <c r="B142" i="16"/>
  <c r="B143" i="16"/>
  <c r="B144" i="16"/>
  <c r="B145" i="16"/>
  <c r="B146" i="16"/>
  <c r="B147" i="16"/>
  <c r="B148" i="16"/>
  <c r="B149" i="16"/>
  <c r="B150" i="16"/>
  <c r="B151" i="16"/>
  <c r="B152" i="16"/>
  <c r="B153" i="16"/>
  <c r="B154" i="16"/>
  <c r="B155" i="16"/>
  <c r="B156" i="16"/>
  <c r="B157" i="16"/>
  <c r="B158" i="16"/>
  <c r="B159" i="16"/>
  <c r="B160" i="16"/>
  <c r="B161" i="16"/>
  <c r="B162" i="16"/>
  <c r="B163" i="16"/>
  <c r="B164" i="16"/>
  <c r="B165" i="16"/>
  <c r="B166" i="16"/>
  <c r="B167" i="16"/>
  <c r="B168" i="16"/>
  <c r="B169" i="16"/>
  <c r="B170" i="16"/>
  <c r="B171" i="16"/>
  <c r="B172" i="16"/>
  <c r="B173" i="16"/>
  <c r="B174" i="16"/>
  <c r="B175" i="16"/>
  <c r="B176" i="16"/>
  <c r="B177" i="16"/>
  <c r="B178" i="16"/>
  <c r="B179" i="16"/>
  <c r="B180" i="16"/>
  <c r="B181" i="16"/>
  <c r="B182" i="16"/>
  <c r="B183" i="16"/>
  <c r="B184" i="16"/>
  <c r="B185" i="16"/>
  <c r="B186" i="16"/>
  <c r="B187" i="16"/>
  <c r="B188" i="16"/>
  <c r="B189" i="16"/>
  <c r="B190" i="16"/>
  <c r="B191" i="16"/>
  <c r="B192" i="16"/>
  <c r="B193" i="16"/>
  <c r="B194" i="16"/>
  <c r="B195" i="16"/>
  <c r="B196" i="16"/>
  <c r="B197" i="16"/>
  <c r="B198" i="16"/>
  <c r="B199" i="16"/>
  <c r="B200" i="16"/>
  <c r="B201" i="16"/>
  <c r="B202" i="16"/>
  <c r="B203" i="16"/>
  <c r="B204" i="16"/>
  <c r="B205" i="16"/>
  <c r="B206" i="16"/>
  <c r="B207" i="16"/>
  <c r="B208" i="16"/>
  <c r="B209" i="16"/>
  <c r="B210" i="16"/>
  <c r="B211" i="16"/>
  <c r="B212" i="16"/>
  <c r="B213" i="16"/>
  <c r="B214" i="16"/>
  <c r="B215" i="16"/>
  <c r="B216" i="16"/>
  <c r="B217" i="16"/>
  <c r="B5" i="16"/>
  <c r="B244" i="17"/>
  <c r="A666" i="19"/>
  <c r="A674" i="19"/>
  <c r="A698" i="19"/>
  <c r="A730" i="19"/>
  <c r="A738" i="19"/>
  <c r="A746" i="19"/>
  <c r="A794" i="19"/>
  <c r="A810" i="19"/>
  <c r="A834" i="19"/>
  <c r="A850" i="19"/>
  <c r="A866" i="19"/>
  <c r="A874" i="19"/>
  <c r="A890" i="19"/>
  <c r="A898" i="19"/>
  <c r="A930" i="19"/>
  <c r="A946" i="19"/>
  <c r="A954" i="19"/>
  <c r="A978" i="19"/>
  <c r="A986" i="19"/>
  <c r="A994" i="19"/>
  <c r="A1018" i="19"/>
  <c r="A1034" i="19"/>
  <c r="A1042" i="19"/>
  <c r="A905" i="19"/>
  <c r="A906" i="19" s="1"/>
  <c r="A993" i="19"/>
  <c r="A1057" i="19"/>
  <c r="A1058" i="19" s="1"/>
  <c r="A627" i="19"/>
  <c r="A635" i="19"/>
  <c r="A643" i="19"/>
  <c r="A651" i="19"/>
  <c r="A659" i="19"/>
  <c r="A667" i="19"/>
  <c r="A675" i="19"/>
  <c r="A683" i="19"/>
  <c r="A699" i="19"/>
  <c r="A707" i="19"/>
  <c r="A731" i="19"/>
  <c r="A739" i="19"/>
  <c r="A747" i="19"/>
  <c r="A763" i="19"/>
  <c r="A771" i="19"/>
  <c r="A787" i="19"/>
  <c r="A795" i="19"/>
  <c r="A803" i="19"/>
  <c r="A811" i="19"/>
  <c r="A819" i="19"/>
  <c r="A827" i="19"/>
  <c r="A835" i="19"/>
  <c r="A851" i="19"/>
  <c r="A859" i="19"/>
  <c r="A867" i="19"/>
  <c r="A875" i="19"/>
  <c r="A883" i="19"/>
  <c r="A891" i="19"/>
  <c r="A899" i="19"/>
  <c r="A907" i="19"/>
  <c r="A915" i="19"/>
  <c r="A931" i="19"/>
  <c r="A947" i="19"/>
  <c r="A955" i="19"/>
  <c r="A963" i="19"/>
  <c r="A979" i="19"/>
  <c r="A987" i="19"/>
  <c r="A995" i="19"/>
  <c r="A1019" i="19"/>
  <c r="A1035" i="19"/>
  <c r="A1043" i="19"/>
  <c r="A1051" i="19"/>
  <c r="A1059" i="19"/>
  <c r="A713" i="19"/>
  <c r="A714" i="19" s="1"/>
  <c r="A715" i="19" s="1"/>
  <c r="A1073" i="19"/>
  <c r="A1074" i="19" s="1"/>
  <c r="A1075" i="19" s="1"/>
  <c r="A628" i="19"/>
  <c r="A636" i="19"/>
  <c r="A644" i="19"/>
  <c r="A652" i="19"/>
  <c r="A660" i="19"/>
  <c r="A668" i="19"/>
  <c r="A676" i="19"/>
  <c r="A684" i="19"/>
  <c r="A700" i="19"/>
  <c r="A708" i="19"/>
  <c r="A716" i="19"/>
  <c r="A732" i="19"/>
  <c r="A740" i="19"/>
  <c r="A748" i="19"/>
  <c r="A764" i="19"/>
  <c r="A772" i="19"/>
  <c r="A788" i="19"/>
  <c r="A796" i="19"/>
  <c r="A804" i="19"/>
  <c r="A812" i="19"/>
  <c r="A820" i="19"/>
  <c r="A828" i="19"/>
  <c r="A836" i="19"/>
  <c r="A852" i="19"/>
  <c r="A860" i="19"/>
  <c r="A868" i="19"/>
  <c r="A876" i="19"/>
  <c r="A884" i="19"/>
  <c r="A892" i="19"/>
  <c r="A900" i="19"/>
  <c r="A908" i="19"/>
  <c r="A916" i="19"/>
  <c r="A924" i="19"/>
  <c r="A932" i="19"/>
  <c r="A948" i="19"/>
  <c r="A956" i="19"/>
  <c r="A964" i="19"/>
  <c r="A980" i="19"/>
  <c r="A988" i="19"/>
  <c r="A996" i="19"/>
  <c r="A1004" i="19"/>
  <c r="A1012" i="19"/>
  <c r="A1020" i="19"/>
  <c r="A1028" i="19"/>
  <c r="A1036" i="19"/>
  <c r="A1044" i="19"/>
  <c r="A1052" i="19"/>
  <c r="A1060" i="19"/>
  <c r="A1068" i="19"/>
  <c r="A745" i="19"/>
  <c r="A897" i="19"/>
  <c r="A977" i="19"/>
  <c r="A1049" i="19"/>
  <c r="A1050" i="19" s="1"/>
  <c r="A629" i="19"/>
  <c r="A637" i="19"/>
  <c r="A645" i="19"/>
  <c r="A653" i="19"/>
  <c r="A661" i="19"/>
  <c r="A669" i="19"/>
  <c r="A677" i="19"/>
  <c r="A685" i="19"/>
  <c r="A701" i="19"/>
  <c r="A709" i="19"/>
  <c r="A717" i="19"/>
  <c r="A725" i="19"/>
  <c r="A733" i="19"/>
  <c r="A741" i="19"/>
  <c r="A749" i="19"/>
  <c r="A757" i="19"/>
  <c r="A765" i="19"/>
  <c r="A773" i="19"/>
  <c r="A781" i="19"/>
  <c r="A789" i="19"/>
  <c r="A797" i="19"/>
  <c r="A805" i="19"/>
  <c r="A813" i="19"/>
  <c r="A821" i="19"/>
  <c r="A829" i="19"/>
  <c r="A837" i="19"/>
  <c r="A853" i="19"/>
  <c r="A861" i="19"/>
  <c r="A869" i="19"/>
  <c r="A877" i="19"/>
  <c r="A885" i="19"/>
  <c r="A893" i="19"/>
  <c r="A901" i="19"/>
  <c r="A909" i="19"/>
  <c r="A917" i="19"/>
  <c r="A925" i="19"/>
  <c r="A933" i="19"/>
  <c r="A949" i="19"/>
  <c r="A957" i="19"/>
  <c r="A965" i="19"/>
  <c r="A981" i="19"/>
  <c r="A989" i="19"/>
  <c r="A997" i="19"/>
  <c r="A1005" i="19"/>
  <c r="A1013" i="19"/>
  <c r="A1021" i="19"/>
  <c r="A1029" i="19"/>
  <c r="A1037" i="19"/>
  <c r="A1045" i="19"/>
  <c r="A1053" i="19"/>
  <c r="A1061" i="19"/>
  <c r="A1069" i="19"/>
  <c r="A657" i="19"/>
  <c r="A658" i="19" s="1"/>
  <c r="A761" i="19"/>
  <c r="A762" i="19" s="1"/>
  <c r="A801" i="19"/>
  <c r="A802" i="19" s="1"/>
  <c r="A969" i="19"/>
  <c r="A970" i="19" s="1"/>
  <c r="A971" i="19" s="1"/>
  <c r="A972" i="19" s="1"/>
  <c r="A973" i="19" s="1"/>
  <c r="A630" i="19"/>
  <c r="A638" i="19"/>
  <c r="A646" i="19"/>
  <c r="A654" i="19"/>
  <c r="A662" i="19"/>
  <c r="A670" i="19"/>
  <c r="A678" i="19"/>
  <c r="A686" i="19"/>
  <c r="A702" i="19"/>
  <c r="A710" i="19"/>
  <c r="A718" i="19"/>
  <c r="A726" i="19"/>
  <c r="A734" i="19"/>
  <c r="A742" i="19"/>
  <c r="A750" i="19"/>
  <c r="A758" i="19"/>
  <c r="A766" i="19"/>
  <c r="A774" i="19"/>
  <c r="A782" i="19"/>
  <c r="A790" i="19"/>
  <c r="A798" i="19"/>
  <c r="A806" i="19"/>
  <c r="A814" i="19"/>
  <c r="A822" i="19"/>
  <c r="A830" i="19"/>
  <c r="A838" i="19"/>
  <c r="A846" i="19"/>
  <c r="A854" i="19"/>
  <c r="A862" i="19"/>
  <c r="A870" i="19"/>
  <c r="A878" i="19"/>
  <c r="A886" i="19"/>
  <c r="A894" i="19"/>
  <c r="A902" i="19"/>
  <c r="A910" i="19"/>
  <c r="A918" i="19"/>
  <c r="A926" i="19"/>
  <c r="A934" i="19"/>
  <c r="A950" i="19"/>
  <c r="A958" i="19"/>
  <c r="A966" i="19"/>
  <c r="A974" i="19"/>
  <c r="A982" i="19"/>
  <c r="A990" i="19"/>
  <c r="A998" i="19"/>
  <c r="A1006" i="19"/>
  <c r="A1014" i="19"/>
  <c r="A1022" i="19"/>
  <c r="A1030" i="19"/>
  <c r="A1038" i="19"/>
  <c r="A1046" i="19"/>
  <c r="A1054" i="19"/>
  <c r="A1062" i="19"/>
  <c r="A1070" i="19"/>
  <c r="A881" i="19"/>
  <c r="A882" i="19" s="1"/>
  <c r="A937" i="19"/>
  <c r="A938" i="19" s="1"/>
  <c r="A939" i="19" s="1"/>
  <c r="A940" i="19" s="1"/>
  <c r="A941" i="19" s="1"/>
  <c r="A942" i="19" s="1"/>
  <c r="A1001" i="19"/>
  <c r="A1002" i="19" s="1"/>
  <c r="A1003" i="19" s="1"/>
  <c r="A631" i="19"/>
  <c r="A639" i="19"/>
  <c r="A647" i="19"/>
  <c r="A655" i="19"/>
  <c r="A663" i="19"/>
  <c r="A671" i="19"/>
  <c r="A679" i="19"/>
  <c r="A687" i="19"/>
  <c r="A703" i="19"/>
  <c r="A711" i="19"/>
  <c r="A719" i="19"/>
  <c r="A727" i="19"/>
  <c r="A735" i="19"/>
  <c r="A743" i="19"/>
  <c r="A751" i="19"/>
  <c r="A759" i="19"/>
  <c r="A767" i="19"/>
  <c r="A775" i="19"/>
  <c r="A783" i="19"/>
  <c r="A791" i="19"/>
  <c r="A799" i="19"/>
  <c r="A807" i="19"/>
  <c r="A815" i="19"/>
  <c r="A823" i="19"/>
  <c r="A831" i="19"/>
  <c r="A839" i="19"/>
  <c r="A847" i="19"/>
  <c r="A855" i="19"/>
  <c r="A863" i="19"/>
  <c r="A871" i="19"/>
  <c r="A879" i="19"/>
  <c r="A887" i="19"/>
  <c r="A895" i="19"/>
  <c r="A903" i="19"/>
  <c r="A911" i="19"/>
  <c r="A919" i="19"/>
  <c r="A927" i="19"/>
  <c r="A935" i="19"/>
  <c r="A943" i="19"/>
  <c r="A951" i="19"/>
  <c r="A959" i="19"/>
  <c r="A967" i="19"/>
  <c r="A975" i="19"/>
  <c r="A983" i="19"/>
  <c r="A991" i="19"/>
  <c r="A999" i="19"/>
  <c r="A1007" i="19"/>
  <c r="A1015" i="19"/>
  <c r="A1023" i="19"/>
  <c r="A1031" i="19"/>
  <c r="A1039" i="19"/>
  <c r="A1047" i="19"/>
  <c r="A1055" i="19"/>
  <c r="A1063" i="19"/>
  <c r="A1071" i="19"/>
  <c r="A665" i="19"/>
  <c r="A689" i="19"/>
  <c r="A690" i="19" s="1"/>
  <c r="A691" i="19" s="1"/>
  <c r="A692" i="19" s="1"/>
  <c r="A693" i="19" s="1"/>
  <c r="A694" i="19" s="1"/>
  <c r="A695" i="19" s="1"/>
  <c r="A777" i="19"/>
  <c r="A778" i="19" s="1"/>
  <c r="A779" i="19" s="1"/>
  <c r="A780" i="19" s="1"/>
  <c r="A809" i="19"/>
  <c r="A873" i="19"/>
  <c r="A1017" i="19"/>
  <c r="A1065" i="19"/>
  <c r="A1066" i="19" s="1"/>
  <c r="A1067" i="19" s="1"/>
  <c r="A632" i="19"/>
  <c r="A640" i="19"/>
  <c r="A641" i="19" s="1"/>
  <c r="A642" i="19" s="1"/>
  <c r="A648" i="19"/>
  <c r="A649" i="19" s="1"/>
  <c r="A650" i="19" s="1"/>
  <c r="A656" i="19"/>
  <c r="A664" i="19"/>
  <c r="A672" i="19"/>
  <c r="A680" i="19"/>
  <c r="A681" i="19" s="1"/>
  <c r="A682" i="19" s="1"/>
  <c r="A688" i="19"/>
  <c r="A696" i="19"/>
  <c r="A704" i="19"/>
  <c r="A705" i="19" s="1"/>
  <c r="A706" i="19" s="1"/>
  <c r="A712" i="19"/>
  <c r="A720" i="19"/>
  <c r="A728" i="19"/>
  <c r="A729" i="19" s="1"/>
  <c r="A736" i="19"/>
  <c r="A737" i="19" s="1"/>
  <c r="A744" i="19"/>
  <c r="A752" i="19"/>
  <c r="A753" i="19" s="1"/>
  <c r="A754" i="19" s="1"/>
  <c r="A755" i="19" s="1"/>
  <c r="A756" i="19" s="1"/>
  <c r="A760" i="19"/>
  <c r="A768" i="19"/>
  <c r="A776" i="19"/>
  <c r="A784" i="19"/>
  <c r="A785" i="19" s="1"/>
  <c r="A786" i="19" s="1"/>
  <c r="A792" i="19"/>
  <c r="A800" i="19"/>
  <c r="A808" i="19"/>
  <c r="A816" i="19"/>
  <c r="A817" i="19" s="1"/>
  <c r="A818" i="19" s="1"/>
  <c r="A824" i="19"/>
  <c r="A832" i="19"/>
  <c r="A833" i="19" s="1"/>
  <c r="A840" i="19"/>
  <c r="A841" i="19" s="1"/>
  <c r="A842" i="19" s="1"/>
  <c r="A843" i="19" s="1"/>
  <c r="A844" i="19" s="1"/>
  <c r="A845" i="19" s="1"/>
  <c r="A848" i="19"/>
  <c r="A849" i="19" s="1"/>
  <c r="A856" i="19"/>
  <c r="A864" i="19"/>
  <c r="A865" i="19" s="1"/>
  <c r="A872" i="19"/>
  <c r="A880" i="19"/>
  <c r="A888" i="19"/>
  <c r="A896" i="19"/>
  <c r="A904" i="19"/>
  <c r="A912" i="19"/>
  <c r="A913" i="19" s="1"/>
  <c r="A914" i="19" s="1"/>
  <c r="A920" i="19"/>
  <c r="A921" i="19" s="1"/>
  <c r="A922" i="19" s="1"/>
  <c r="A923" i="19" s="1"/>
  <c r="A928" i="19"/>
  <c r="A929" i="19" s="1"/>
  <c r="A936" i="19"/>
  <c r="A944" i="19"/>
  <c r="A952" i="19"/>
  <c r="A953" i="19" s="1"/>
  <c r="A960" i="19"/>
  <c r="A961" i="19" s="1"/>
  <c r="A962" i="19" s="1"/>
  <c r="A968" i="19"/>
  <c r="A976" i="19"/>
  <c r="A984" i="19"/>
  <c r="A992" i="19"/>
  <c r="A1000" i="19"/>
  <c r="A1008" i="19"/>
  <c r="A1009" i="19" s="1"/>
  <c r="A1010" i="19" s="1"/>
  <c r="A1011" i="19" s="1"/>
  <c r="A1016" i="19"/>
  <c r="A1024" i="19"/>
  <c r="A1025" i="19" s="1"/>
  <c r="A1026" i="19" s="1"/>
  <c r="A1027" i="19" s="1"/>
  <c r="A1032" i="19"/>
  <c r="A1040" i="19"/>
  <c r="A1041" i="19" s="1"/>
  <c r="A1048" i="19"/>
  <c r="A1056" i="19"/>
  <c r="A1064" i="19"/>
  <c r="A1072" i="19"/>
  <c r="A633" i="19"/>
  <c r="A634" i="19" s="1"/>
  <c r="A673" i="19"/>
  <c r="A697" i="19"/>
  <c r="A721" i="19"/>
  <c r="A722" i="19" s="1"/>
  <c r="A723" i="19" s="1"/>
  <c r="A724" i="19" s="1"/>
  <c r="A769" i="19"/>
  <c r="A770" i="19" s="1"/>
  <c r="A793" i="19"/>
  <c r="A825" i="19"/>
  <c r="A826" i="19" s="1"/>
  <c r="A857" i="19"/>
  <c r="A858" i="19" s="1"/>
  <c r="A889" i="19"/>
  <c r="A945" i="19"/>
  <c r="A985" i="19"/>
  <c r="A1033" i="19"/>
  <c r="A625" i="19"/>
  <c r="A626" i="19" s="1"/>
  <c r="A542" i="19"/>
  <c r="A558" i="19"/>
  <c r="A566" i="19"/>
  <c r="A582" i="19"/>
  <c r="A543" i="19"/>
  <c r="A559" i="19"/>
  <c r="A567" i="19"/>
  <c r="A583" i="19"/>
  <c r="A591" i="19"/>
  <c r="A599" i="19"/>
  <c r="A607" i="19"/>
  <c r="A615" i="19"/>
  <c r="A623" i="19"/>
  <c r="A624" i="19"/>
  <c r="A544" i="19"/>
  <c r="A560" i="19"/>
  <c r="A568" i="19"/>
  <c r="A576" i="19"/>
  <c r="A584" i="19"/>
  <c r="A592" i="19"/>
  <c r="A600" i="19"/>
  <c r="A608" i="19"/>
  <c r="A616" i="19"/>
  <c r="A545" i="19"/>
  <c r="A553" i="19"/>
  <c r="A561" i="19"/>
  <c r="A569" i="19"/>
  <c r="A577" i="19"/>
  <c r="A585" i="19"/>
  <c r="A593" i="19"/>
  <c r="A601" i="19"/>
  <c r="A609" i="19"/>
  <c r="A617" i="19"/>
  <c r="A546" i="19"/>
  <c r="A554" i="19"/>
  <c r="A562" i="19"/>
  <c r="A570" i="19"/>
  <c r="A578" i="19"/>
  <c r="A586" i="19"/>
  <c r="A594" i="19"/>
  <c r="A602" i="19"/>
  <c r="A610" i="19"/>
  <c r="A618" i="19"/>
  <c r="A565" i="19"/>
  <c r="A605" i="19"/>
  <c r="A606" i="19" s="1"/>
  <c r="A547" i="19"/>
  <c r="A555" i="19"/>
  <c r="A563" i="19"/>
  <c r="A571" i="19"/>
  <c r="A579" i="19"/>
  <c r="A587" i="19"/>
  <c r="A595" i="19"/>
  <c r="A603" i="19"/>
  <c r="A611" i="19"/>
  <c r="A619" i="19"/>
  <c r="A557" i="19"/>
  <c r="A613" i="19"/>
  <c r="A622" i="19"/>
  <c r="A548" i="19"/>
  <c r="A556" i="19"/>
  <c r="A564" i="19"/>
  <c r="A572" i="19"/>
  <c r="A580" i="19"/>
  <c r="A581" i="19" s="1"/>
  <c r="A588" i="19"/>
  <c r="A589" i="19" s="1"/>
  <c r="A590" i="19" s="1"/>
  <c r="A596" i="19"/>
  <c r="A604" i="19"/>
  <c r="A612" i="19"/>
  <c r="A620" i="19"/>
  <c r="A549" i="19"/>
  <c r="A550" i="19" s="1"/>
  <c r="A551" i="19" s="1"/>
  <c r="A552" i="19" s="1"/>
  <c r="A573" i="19"/>
  <c r="A574" i="19" s="1"/>
  <c r="A575" i="19" s="1"/>
  <c r="A597" i="19"/>
  <c r="A598" i="19" s="1"/>
  <c r="A621" i="19"/>
  <c r="A614" i="19"/>
  <c r="A541" i="19"/>
  <c r="A428" i="19" l="1"/>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427" i="19"/>
  <c r="R4" i="6" l="1"/>
  <c r="S4" i="6"/>
  <c r="T4" i="6"/>
  <c r="U4" i="6"/>
  <c r="V4" i="6"/>
  <c r="R5" i="6"/>
  <c r="S5" i="6"/>
  <c r="T5" i="6"/>
  <c r="U5" i="6"/>
  <c r="V5" i="6"/>
  <c r="R6" i="6"/>
  <c r="S6" i="6"/>
  <c r="T6" i="6"/>
  <c r="U6" i="6"/>
  <c r="V6" i="6"/>
  <c r="R7" i="6"/>
  <c r="S7" i="6"/>
  <c r="T7" i="6"/>
  <c r="U7" i="6"/>
  <c r="V7" i="6"/>
  <c r="R8" i="6"/>
  <c r="S8" i="6"/>
  <c r="T8" i="6"/>
  <c r="U8" i="6"/>
  <c r="V8" i="6"/>
  <c r="R9" i="6"/>
  <c r="S9" i="6"/>
  <c r="T9" i="6"/>
  <c r="U9" i="6"/>
  <c r="V9" i="6"/>
  <c r="R10" i="6"/>
  <c r="S10" i="6"/>
  <c r="T10" i="6"/>
  <c r="U10" i="6"/>
  <c r="V10" i="6"/>
  <c r="R11" i="6"/>
  <c r="S11" i="6"/>
  <c r="T11" i="6"/>
  <c r="U11" i="6"/>
  <c r="V11" i="6"/>
  <c r="R12" i="6"/>
  <c r="S12" i="6"/>
  <c r="T12" i="6"/>
  <c r="U12" i="6"/>
  <c r="V12" i="6"/>
  <c r="R13" i="6"/>
  <c r="S13" i="6"/>
  <c r="T13" i="6"/>
  <c r="U13" i="6"/>
  <c r="V13" i="6"/>
  <c r="R14" i="6"/>
  <c r="S14" i="6"/>
  <c r="T14" i="6"/>
  <c r="U14" i="6"/>
  <c r="V14" i="6"/>
  <c r="R15" i="6"/>
  <c r="S15" i="6"/>
  <c r="T15" i="6"/>
  <c r="U15" i="6"/>
  <c r="V15" i="6"/>
  <c r="R16" i="6"/>
  <c r="S16" i="6"/>
  <c r="T16" i="6"/>
  <c r="U16" i="6"/>
  <c r="V16" i="6"/>
  <c r="R17" i="6"/>
  <c r="S17" i="6"/>
  <c r="T17" i="6"/>
  <c r="U17" i="6"/>
  <c r="V17" i="6"/>
  <c r="R18" i="6"/>
  <c r="S18" i="6"/>
  <c r="T18" i="6"/>
  <c r="U18" i="6"/>
  <c r="V18" i="6"/>
  <c r="R19" i="6"/>
  <c r="S19" i="6"/>
  <c r="T19" i="6"/>
  <c r="U19" i="6"/>
  <c r="V19" i="6"/>
  <c r="R20" i="6"/>
  <c r="S20" i="6"/>
  <c r="T20" i="6"/>
  <c r="U20" i="6"/>
  <c r="V20" i="6"/>
  <c r="R24" i="6"/>
  <c r="S24" i="6"/>
  <c r="T24" i="6"/>
  <c r="U24" i="6"/>
  <c r="V24" i="6"/>
  <c r="R25" i="6"/>
  <c r="S25" i="6"/>
  <c r="T25" i="6"/>
  <c r="U25" i="6"/>
  <c r="V25" i="6"/>
  <c r="R26" i="6"/>
  <c r="S26" i="6"/>
  <c r="T26" i="6"/>
  <c r="U26" i="6"/>
  <c r="V26" i="6"/>
  <c r="R27" i="6"/>
  <c r="S27" i="6"/>
  <c r="T27" i="6"/>
  <c r="U27" i="6"/>
  <c r="V27" i="6"/>
  <c r="R28" i="6"/>
  <c r="S28" i="6"/>
  <c r="T28" i="6"/>
  <c r="U28" i="6"/>
  <c r="V28" i="6"/>
  <c r="R29" i="6"/>
  <c r="S29" i="6"/>
  <c r="T29" i="6"/>
  <c r="U29" i="6"/>
  <c r="V29" i="6"/>
  <c r="R30" i="6"/>
  <c r="S30" i="6"/>
  <c r="T30" i="6"/>
  <c r="U30" i="6"/>
  <c r="V30" i="6"/>
  <c r="R31" i="6"/>
  <c r="S31" i="6"/>
  <c r="T31" i="6"/>
  <c r="U31" i="6"/>
  <c r="V31" i="6"/>
  <c r="R35" i="6"/>
  <c r="S35" i="6"/>
  <c r="T35" i="6"/>
  <c r="U35" i="6"/>
  <c r="V35" i="6"/>
  <c r="R36" i="6"/>
  <c r="S36" i="6"/>
  <c r="T36" i="6"/>
  <c r="U36" i="6"/>
  <c r="V36" i="6"/>
  <c r="R37" i="6"/>
  <c r="S37" i="6"/>
  <c r="T37" i="6"/>
  <c r="U37" i="6"/>
  <c r="V37" i="6"/>
  <c r="R41" i="6"/>
  <c r="R42" i="6"/>
  <c r="U29" i="7"/>
  <c r="T29" i="7"/>
  <c r="S29" i="7"/>
  <c r="R29" i="7"/>
  <c r="Q29" i="7"/>
  <c r="U28" i="7"/>
  <c r="T28" i="7"/>
  <c r="S28" i="7"/>
  <c r="R28" i="7"/>
  <c r="Q28" i="7"/>
  <c r="U27" i="7"/>
  <c r="T27" i="7"/>
  <c r="S27" i="7"/>
  <c r="R27" i="7"/>
  <c r="Q27" i="7"/>
  <c r="U26" i="7"/>
  <c r="T26" i="7"/>
  <c r="S26" i="7"/>
  <c r="R26" i="7"/>
  <c r="Q26" i="7"/>
  <c r="U23" i="7"/>
  <c r="T23" i="7"/>
  <c r="S23" i="7"/>
  <c r="R23" i="7"/>
  <c r="Q23" i="7"/>
  <c r="U22" i="7"/>
  <c r="T22" i="7"/>
  <c r="S22" i="7"/>
  <c r="R22" i="7"/>
  <c r="Q22" i="7"/>
  <c r="U21" i="7"/>
  <c r="T21" i="7"/>
  <c r="S21" i="7"/>
  <c r="R21" i="7"/>
  <c r="Q21" i="7"/>
  <c r="U20" i="7"/>
  <c r="T20" i="7"/>
  <c r="S20" i="7"/>
  <c r="R20" i="7"/>
  <c r="Q20" i="7"/>
  <c r="U19" i="7"/>
  <c r="T19" i="7"/>
  <c r="S19" i="7"/>
  <c r="R19" i="7"/>
  <c r="Q19" i="7"/>
  <c r="U18" i="7"/>
  <c r="T18" i="7"/>
  <c r="S18" i="7"/>
  <c r="R18" i="7"/>
  <c r="Q18" i="7"/>
  <c r="U17" i="7"/>
  <c r="T17" i="7"/>
  <c r="S17" i="7"/>
  <c r="R17" i="7"/>
  <c r="Q17" i="7"/>
  <c r="U16" i="7"/>
  <c r="T16" i="7"/>
  <c r="S16" i="7"/>
  <c r="R16" i="7"/>
  <c r="Q16" i="7"/>
  <c r="U15" i="7"/>
  <c r="T15" i="7"/>
  <c r="S15" i="7"/>
  <c r="R15" i="7"/>
  <c r="Q15" i="7"/>
  <c r="U14" i="7"/>
  <c r="T14" i="7"/>
  <c r="S14" i="7"/>
  <c r="R14" i="7"/>
  <c r="Q14" i="7"/>
  <c r="U13" i="7"/>
  <c r="T13" i="7"/>
  <c r="S13" i="7"/>
  <c r="R13" i="7"/>
  <c r="Q13" i="7"/>
  <c r="U12" i="7"/>
  <c r="T12" i="7"/>
  <c r="S12" i="7"/>
  <c r="R12" i="7"/>
  <c r="Q12" i="7"/>
  <c r="U11" i="7"/>
  <c r="T11" i="7"/>
  <c r="S11" i="7"/>
  <c r="R11" i="7"/>
  <c r="Q11" i="7"/>
  <c r="U10" i="7"/>
  <c r="T10" i="7"/>
  <c r="S10" i="7"/>
  <c r="R10" i="7"/>
  <c r="Q10" i="7"/>
  <c r="U9" i="7"/>
  <c r="T9" i="7"/>
  <c r="S9" i="7"/>
  <c r="R9" i="7"/>
  <c r="Q9" i="7"/>
  <c r="U8" i="7"/>
  <c r="T8" i="7"/>
  <c r="S8" i="7"/>
  <c r="R8" i="7"/>
  <c r="Q8" i="7"/>
  <c r="U7" i="7"/>
  <c r="T7" i="7"/>
  <c r="S7" i="7"/>
  <c r="R7" i="7"/>
  <c r="Q7" i="7"/>
  <c r="U6" i="7"/>
  <c r="T6" i="7"/>
  <c r="S6" i="7"/>
  <c r="R6" i="7"/>
  <c r="Q6" i="7"/>
  <c r="U5" i="7"/>
  <c r="T5" i="7"/>
  <c r="S5" i="7"/>
  <c r="R5" i="7"/>
  <c r="Q5" i="7"/>
  <c r="A397" i="19" l="1"/>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396" i="19"/>
  <c r="A395" i="19"/>
  <c r="A394" i="19"/>
  <c r="A393" i="19"/>
  <c r="A392" i="19"/>
  <c r="A391" i="19"/>
  <c r="A390" i="19"/>
  <c r="A389" i="19"/>
  <c r="A388" i="19"/>
  <c r="A387" i="19"/>
  <c r="A386" i="19"/>
  <c r="A385" i="19"/>
  <c r="A384" i="19"/>
  <c r="A383" i="19"/>
  <c r="A382" i="19"/>
  <c r="A381" i="19"/>
  <c r="A380" i="19"/>
  <c r="A379" i="19"/>
  <c r="A378" i="19"/>
  <c r="A377" i="19"/>
  <c r="A376" i="19"/>
  <c r="A375" i="19"/>
  <c r="A374" i="19"/>
  <c r="A373" i="19"/>
  <c r="A372" i="19"/>
  <c r="A371" i="19"/>
  <c r="A370" i="19"/>
  <c r="A369" i="19"/>
  <c r="A368" i="19"/>
  <c r="A367" i="19"/>
  <c r="A366" i="19"/>
  <c r="A365" i="19"/>
  <c r="A364" i="19"/>
  <c r="A363" i="19"/>
  <c r="A362" i="19"/>
  <c r="A361" i="19"/>
  <c r="A360" i="19"/>
  <c r="A359" i="19"/>
  <c r="A358" i="19"/>
  <c r="A357" i="19"/>
  <c r="A356" i="19"/>
  <c r="A355" i="19"/>
  <c r="A354" i="19"/>
  <c r="A353" i="19"/>
  <c r="A352" i="19"/>
  <c r="A351" i="19"/>
  <c r="A350" i="19"/>
  <c r="A349" i="19"/>
  <c r="A348" i="19"/>
  <c r="A347" i="19"/>
  <c r="A346" i="19"/>
  <c r="A345" i="19"/>
  <c r="A344" i="19"/>
  <c r="A343" i="19"/>
  <c r="A342" i="19"/>
  <c r="A341" i="19"/>
  <c r="A340" i="19"/>
  <c r="A339" i="19"/>
  <c r="A338" i="19"/>
  <c r="A337" i="19"/>
  <c r="A260" i="19" a="1"/>
  <c r="A260" i="19"/>
  <c r="A261" i="19" a="1"/>
  <c r="A261" i="19"/>
  <c r="A262" i="19" a="1"/>
  <c r="A262" i="19"/>
  <c r="A263" i="19" a="1"/>
  <c r="A263" i="19"/>
  <c r="A264" i="19" a="1"/>
  <c r="A264" i="19"/>
  <c r="A265" i="19" a="1"/>
  <c r="A265" i="19"/>
  <c r="A266" i="19" a="1"/>
  <c r="A266" i="19"/>
  <c r="A267" i="19" a="1"/>
  <c r="A267" i="19"/>
  <c r="A268" i="19" a="1"/>
  <c r="A268" i="19" s="1"/>
  <c r="A269" i="19" a="1"/>
  <c r="A269" i="19"/>
  <c r="A270" i="19" a="1"/>
  <c r="A270" i="19"/>
  <c r="A271" i="19" a="1"/>
  <c r="A271" i="19"/>
  <c r="A272" i="19" a="1"/>
  <c r="A272" i="19"/>
  <c r="A273" i="19" a="1"/>
  <c r="A273" i="19" s="1"/>
  <c r="A274" i="19" s="1" a="1"/>
  <c r="A274" i="19" s="1"/>
  <c r="A275" i="19" s="1" a="1"/>
  <c r="A275" i="19" s="1"/>
  <c r="A276" i="19" a="1"/>
  <c r="A276" i="19"/>
  <c r="A277" i="19" a="1"/>
  <c r="A277" i="19" s="1"/>
  <c r="A278" i="19" a="1"/>
  <c r="A278" i="19"/>
  <c r="A279" i="19" a="1"/>
  <c r="A279" i="19" s="1"/>
  <c r="A280" i="19" s="1" a="1"/>
  <c r="A280" i="19" s="1"/>
  <c r="A281" i="19" a="1"/>
  <c r="A281" i="19"/>
  <c r="A282" i="19" a="1"/>
  <c r="A282" i="19"/>
  <c r="A283" i="19" a="1"/>
  <c r="A283" i="19" s="1"/>
  <c r="A284" i="19" a="1"/>
  <c r="A284" i="19"/>
  <c r="A285" i="19" a="1"/>
  <c r="A285" i="19" s="1"/>
  <c r="A286" i="19" s="1" a="1"/>
  <c r="A286" i="19" s="1"/>
  <c r="A287" i="19" a="1"/>
  <c r="A287" i="19"/>
  <c r="A288" i="19" a="1"/>
  <c r="A288" i="19" s="1"/>
  <c r="A289" i="19" a="1"/>
  <c r="A289" i="19"/>
  <c r="A290" i="19" a="1"/>
  <c r="A290" i="19"/>
  <c r="A291" i="19" a="1"/>
  <c r="A291" i="19"/>
  <c r="A292" i="19" a="1"/>
  <c r="A292" i="19" s="1"/>
  <c r="A293" i="19" s="1" a="1"/>
  <c r="A293" i="19" s="1"/>
  <c r="A294" i="19" s="1" a="1"/>
  <c r="A294" i="19" s="1"/>
  <c r="A295" i="19" s="1" a="1"/>
  <c r="A295" i="19" s="1"/>
  <c r="A296" i="19" s="1" a="1"/>
  <c r="A296" i="19" s="1"/>
  <c r="A297" i="19" a="1"/>
  <c r="A297" i="19"/>
  <c r="A298" i="19" a="1"/>
  <c r="A298" i="19" s="1"/>
  <c r="A299" i="19" a="1"/>
  <c r="A299" i="19" s="1"/>
  <c r="A300" i="19" a="1"/>
  <c r="A300" i="19"/>
  <c r="A301" i="19" a="1"/>
  <c r="A301" i="19" s="1"/>
  <c r="A302" i="19" s="1" a="1"/>
  <c r="A302" i="19" s="1"/>
  <c r="A303" i="19" s="1" a="1"/>
  <c r="A303" i="19" s="1"/>
  <c r="A304" i="19" s="1" a="1"/>
  <c r="A304" i="19" s="1"/>
  <c r="A305" i="19" s="1" a="1"/>
  <c r="A305" i="19" s="1"/>
  <c r="A306" i="19" a="1"/>
  <c r="A306" i="19" s="1"/>
  <c r="A307" i="19" s="1" a="1"/>
  <c r="A307" i="19" s="1"/>
  <c r="A308" i="19" s="1" a="1"/>
  <c r="A308" i="19" s="1"/>
  <c r="A309" i="19" s="1" a="1"/>
  <c r="A309" i="19" s="1"/>
  <c r="A310" i="19" s="1" a="1"/>
  <c r="A310" i="19" s="1"/>
  <c r="A311" i="19" s="1" a="1"/>
  <c r="A311" i="19" s="1"/>
  <c r="A312" i="19" s="1" a="1"/>
  <c r="A312" i="19" s="1"/>
  <c r="A313" i="19" s="1" a="1"/>
  <c r="A313" i="19" s="1"/>
  <c r="A314" i="19" s="1" a="1"/>
  <c r="A314" i="19" s="1"/>
  <c r="A315" i="19" s="1" a="1"/>
  <c r="A315" i="19" s="1"/>
  <c r="A316" i="19" s="1" a="1"/>
  <c r="A316" i="19" s="1"/>
  <c r="A317" i="19" s="1" a="1"/>
  <c r="A317" i="19" s="1"/>
  <c r="A318" i="19" s="1" a="1"/>
  <c r="A318" i="19" s="1"/>
  <c r="A319" i="19" s="1" a="1"/>
  <c r="A319" i="19" s="1"/>
  <c r="A320" i="19" s="1" a="1"/>
  <c r="A320" i="19" s="1"/>
  <c r="A321" i="19" s="1" a="1"/>
  <c r="A321" i="19" s="1"/>
  <c r="A322" i="19" s="1" a="1"/>
  <c r="A322" i="19" s="1"/>
  <c r="A323" i="19" s="1" a="1"/>
  <c r="A323" i="19" s="1"/>
  <c r="A324" i="19" s="1" a="1"/>
  <c r="A324" i="19" s="1"/>
  <c r="A325" i="19" s="1" a="1"/>
  <c r="A325" i="19" s="1"/>
  <c r="A326" i="19" s="1" a="1"/>
  <c r="A326" i="19" s="1"/>
  <c r="A327" i="19" s="1" a="1"/>
  <c r="A327" i="19" s="1"/>
  <c r="A328" i="19" s="1" a="1"/>
  <c r="A328" i="19" s="1"/>
  <c r="A329" i="19" s="1" a="1"/>
  <c r="A329" i="19" s="1"/>
  <c r="A330" i="19" s="1" a="1"/>
  <c r="A330" i="19" s="1"/>
  <c r="A331" i="19" s="1" a="1"/>
  <c r="A331" i="19" s="1"/>
  <c r="A332" i="19" s="1" a="1"/>
  <c r="A332" i="19" s="1"/>
  <c r="A333" i="19" s="1" a="1"/>
  <c r="A333" i="19" s="1"/>
  <c r="A334" i="19" a="1"/>
  <c r="A334" i="19" s="1"/>
  <c r="A335" i="19" s="1" a="1"/>
  <c r="A335" i="19" s="1"/>
  <c r="A336" i="19" a="1"/>
  <c r="A336" i="19" s="1"/>
  <c r="A259" i="19" a="1"/>
  <c r="A259" i="19" s="1"/>
  <c r="A90" i="19" l="1"/>
  <c r="A91" i="19" s="1"/>
  <c r="A92" i="19"/>
  <c r="A93" i="19" s="1"/>
  <c r="A94" i="19" s="1"/>
  <c r="A95" i="19" s="1"/>
  <c r="A96" i="19"/>
  <c r="A97" i="19"/>
  <c r="A98" i="19"/>
  <c r="A99" i="19" s="1"/>
  <c r="A100" i="19"/>
  <c r="A101" i="19" s="1"/>
  <c r="A102" i="19" s="1"/>
  <c r="A103" i="19"/>
  <c r="A104" i="19" s="1"/>
  <c r="A105" i="19"/>
  <c r="A106" i="19"/>
  <c r="A107" i="19" s="1"/>
  <c r="A108" i="19" s="1"/>
  <c r="A109" i="19" s="1"/>
  <c r="A110" i="19"/>
  <c r="A111" i="19"/>
  <c r="A112" i="19"/>
  <c r="A113" i="19"/>
  <c r="A114" i="19" s="1"/>
  <c r="A115" i="19" s="1"/>
  <c r="A116" i="19"/>
  <c r="A117" i="19"/>
  <c r="A118" i="19"/>
  <c r="A119" i="19" s="1"/>
  <c r="A120" i="19" s="1"/>
  <c r="A121" i="19"/>
  <c r="A122" i="19" s="1"/>
  <c r="A123" i="19"/>
  <c r="A124" i="19"/>
  <c r="A125" i="19"/>
  <c r="A126" i="19"/>
  <c r="A127" i="19"/>
  <c r="A128" i="19" s="1"/>
  <c r="A129" i="19"/>
  <c r="A130" i="19"/>
  <c r="A131" i="19"/>
  <c r="A132" i="19" s="1"/>
  <c r="A133" i="19" s="1"/>
  <c r="A134" i="19" s="1"/>
  <c r="A135" i="19" s="1"/>
  <c r="A136" i="19"/>
  <c r="A137" i="19"/>
  <c r="A138" i="19"/>
  <c r="A139" i="19"/>
  <c r="A140" i="19"/>
  <c r="A141" i="19"/>
  <c r="A142" i="19"/>
  <c r="A143" i="19"/>
  <c r="A144" i="19"/>
  <c r="A145" i="19"/>
  <c r="A146" i="19"/>
  <c r="A147" i="19"/>
  <c r="A148" i="19"/>
  <c r="A149" i="19"/>
  <c r="A150" i="19"/>
  <c r="A151" i="19"/>
  <c r="A152" i="19" s="1"/>
  <c r="A153" i="19" s="1"/>
  <c r="A154" i="19" s="1"/>
  <c r="A155" i="19"/>
  <c r="A156" i="19" s="1"/>
  <c r="A157" i="19"/>
  <c r="A158" i="19" s="1"/>
  <c r="A159" i="19" s="1"/>
  <c r="A160" i="19"/>
  <c r="A161" i="19" s="1"/>
  <c r="A162" i="19"/>
  <c r="A163" i="19"/>
  <c r="A164" i="19" s="1"/>
  <c r="A165" i="19"/>
  <c r="A166" i="19" s="1"/>
  <c r="A167" i="19"/>
  <c r="A168" i="19" s="1"/>
  <c r="A169" i="19"/>
  <c r="A170" i="19"/>
  <c r="A171" i="19" s="1"/>
  <c r="A172" i="19" s="1"/>
  <c r="A173" i="19"/>
  <c r="A174" i="19" s="1"/>
  <c r="A175" i="19" s="1"/>
  <c r="A176" i="19"/>
  <c r="A177" i="19" s="1"/>
  <c r="A178" i="19" s="1"/>
  <c r="A179" i="19"/>
  <c r="A180" i="19"/>
  <c r="A181" i="19" s="1"/>
  <c r="A182" i="19" s="1"/>
  <c r="A183" i="19" s="1"/>
  <c r="A184" i="19" s="1"/>
  <c r="A185" i="19" s="1"/>
  <c r="A186" i="19" s="1"/>
  <c r="A187" i="19"/>
  <c r="A188" i="19" s="1"/>
  <c r="A189" i="19"/>
  <c r="A190" i="19"/>
  <c r="A191" i="19"/>
  <c r="A192" i="19" s="1"/>
  <c r="A193" i="19"/>
  <c r="A194" i="19"/>
  <c r="A195" i="19"/>
  <c r="A196" i="19"/>
  <c r="A197" i="19"/>
  <c r="A198" i="19"/>
  <c r="A199" i="19"/>
  <c r="A200" i="19"/>
  <c r="A201" i="19"/>
  <c r="A202" i="19" s="1"/>
  <c r="A203" i="19"/>
  <c r="A204" i="19" s="1"/>
  <c r="A205" i="19"/>
  <c r="A206" i="19"/>
  <c r="A207" i="19" s="1"/>
  <c r="A208" i="19"/>
  <c r="A209" i="19"/>
  <c r="A210" i="19"/>
  <c r="A211" i="19"/>
  <c r="A212" i="19"/>
  <c r="A213" i="19"/>
  <c r="A214" i="19" s="1"/>
  <c r="A215" i="19"/>
  <c r="A216" i="19"/>
  <c r="A217" i="19"/>
  <c r="A218" i="19"/>
  <c r="A219" i="19"/>
  <c r="A220" i="19" s="1"/>
  <c r="A221" i="19"/>
  <c r="A222" i="19"/>
  <c r="A223" i="19"/>
  <c r="A224" i="19"/>
  <c r="A225" i="19" s="1"/>
  <c r="A226" i="19" s="1"/>
  <c r="A227" i="19" s="1"/>
  <c r="A228" i="19"/>
  <c r="A229" i="19"/>
  <c r="A230" i="19"/>
  <c r="A231" i="19"/>
  <c r="A232" i="19"/>
  <c r="A233" i="19"/>
  <c r="A234" i="19" s="1"/>
  <c r="A235" i="19" s="1"/>
  <c r="A236" i="19" s="1"/>
  <c r="A237" i="19"/>
  <c r="A238" i="19" s="1"/>
  <c r="A239" i="19"/>
  <c r="A240" i="19"/>
  <c r="A241" i="19" s="1"/>
  <c r="A242" i="19"/>
  <c r="A243" i="19" s="1"/>
  <c r="A244" i="19" s="1"/>
  <c r="A245" i="19" s="1"/>
  <c r="A246" i="19"/>
  <c r="A247" i="19"/>
  <c r="A248" i="19"/>
  <c r="A249" i="19" s="1"/>
  <c r="A250" i="19"/>
  <c r="A251" i="19"/>
  <c r="A252" i="19"/>
  <c r="A253" i="19"/>
  <c r="A254" i="19"/>
  <c r="A255" i="19"/>
  <c r="A256" i="19"/>
  <c r="A257" i="19"/>
  <c r="A258" i="19"/>
  <c r="A87" i="19"/>
  <c r="A88" i="19" s="1"/>
  <c r="A89" i="19" s="1"/>
  <c r="A84" i="19"/>
  <c r="A85" i="19" s="1"/>
  <c r="A86" i="19" s="1"/>
  <c r="A83" i="19"/>
  <c r="A82" i="19"/>
  <c r="A79" i="19"/>
  <c r="A80" i="19" s="1"/>
  <c r="A81" i="19" s="1"/>
  <c r="A78" i="19"/>
  <c r="A77" i="19"/>
  <c r="A76" i="19"/>
  <c r="A75" i="19"/>
  <c r="A73" i="19"/>
  <c r="A74" i="19" s="1"/>
  <c r="A72" i="19"/>
  <c r="A71" i="19"/>
  <c r="A70" i="19"/>
  <c r="A67" i="19"/>
  <c r="A68" i="19" s="1"/>
  <c r="A69" i="19" s="1"/>
  <c r="A66" i="19"/>
  <c r="A65" i="19"/>
  <c r="A63" i="19"/>
  <c r="A64" i="19" s="1"/>
  <c r="A59" i="19"/>
  <c r="A60" i="19" s="1"/>
  <c r="A61" i="19" s="1"/>
  <c r="A62" i="19" s="1"/>
  <c r="A58" i="19"/>
  <c r="A56" i="19"/>
  <c r="A57" i="19" s="1"/>
  <c r="A55" i="19"/>
  <c r="A53" i="19"/>
  <c r="A54" i="19" s="1"/>
  <c r="A52" i="19"/>
  <c r="A48" i="19"/>
  <c r="A49" i="19" s="1"/>
  <c r="A50" i="19" s="1"/>
  <c r="A51" i="19" s="1"/>
  <c r="A46" i="19"/>
  <c r="A47" i="19" s="1"/>
  <c r="A43" i="19"/>
  <c r="A44" i="19" s="1"/>
  <c r="A45" i="19" s="1"/>
  <c r="A41" i="19"/>
  <c r="A42" i="19" s="1"/>
  <c r="A39" i="19"/>
  <c r="A40" i="19" s="1"/>
  <c r="A34" i="19"/>
  <c r="A35" i="19" s="1"/>
  <c r="A36" i="19" s="1"/>
  <c r="A37" i="19" s="1"/>
  <c r="A38" i="19" s="1"/>
  <c r="A32" i="19"/>
  <c r="A33" i="19" s="1"/>
  <c r="A29" i="19"/>
  <c r="A30" i="19" s="1"/>
  <c r="A31" i="19" s="1"/>
  <c r="A28" i="19"/>
  <c r="A27" i="19"/>
  <c r="A26" i="19"/>
  <c r="A25" i="19"/>
  <c r="A24" i="19"/>
  <c r="A23" i="19"/>
  <c r="A22" i="19"/>
  <c r="A21" i="19"/>
  <c r="A20" i="19"/>
  <c r="A19" i="19"/>
  <c r="A15" i="19"/>
  <c r="A16" i="19" s="1"/>
  <c r="A17" i="19" s="1"/>
  <c r="A18" i="19" s="1"/>
  <c r="A14" i="19"/>
  <c r="A11" i="19"/>
  <c r="A12" i="19" s="1"/>
  <c r="A13" i="19" s="1"/>
  <c r="A9" i="19"/>
  <c r="A10" i="19" s="1"/>
  <c r="A7" i="19"/>
  <c r="A8" i="19" s="1"/>
  <c r="A5" i="19"/>
  <c r="A6" i="19" s="1"/>
  <c r="A3" i="19"/>
  <c r="A4" i="19" s="1"/>
  <c r="A2" i="19"/>
  <c r="AK243" i="17" l="1"/>
  <c r="AJ243" i="17"/>
  <c r="AI243" i="17"/>
  <c r="AH243" i="17"/>
  <c r="AG243" i="17"/>
  <c r="AF243" i="17"/>
  <c r="AE243" i="17"/>
  <c r="AD243" i="17"/>
  <c r="AC243" i="17"/>
  <c r="AB243" i="17"/>
  <c r="AA243" i="17"/>
  <c r="Z243" i="17"/>
  <c r="Y243" i="17"/>
  <c r="X243" i="17"/>
  <c r="W243" i="17"/>
  <c r="V243" i="17"/>
  <c r="U243" i="17"/>
  <c r="T243" i="17"/>
  <c r="S243" i="17"/>
  <c r="R243" i="17"/>
  <c r="Q243" i="17"/>
  <c r="P243" i="17"/>
  <c r="N243" i="17"/>
  <c r="M243" i="17"/>
  <c r="L243" i="17"/>
  <c r="K243" i="17"/>
  <c r="J243" i="17"/>
  <c r="F243" i="17"/>
  <c r="AO239" i="17"/>
  <c r="CM238" i="17"/>
  <c r="CL238" i="17"/>
  <c r="CK238" i="17"/>
  <c r="CJ238" i="17"/>
  <c r="CI238" i="17"/>
  <c r="CH238" i="17"/>
  <c r="CG238" i="17"/>
  <c r="CF238" i="17"/>
  <c r="CE238" i="17"/>
  <c r="CD238" i="17"/>
  <c r="CC238" i="17"/>
  <c r="CB238" i="17"/>
  <c r="CA238" i="17"/>
  <c r="BZ238" i="17"/>
  <c r="BY238" i="17"/>
  <c r="BX238" i="17"/>
  <c r="BW238" i="17"/>
  <c r="BV238" i="17"/>
  <c r="BU238" i="17"/>
  <c r="BT238" i="17"/>
  <c r="BS238" i="17"/>
  <c r="BR238" i="17"/>
  <c r="BQ238" i="17"/>
  <c r="BP238" i="17"/>
  <c r="BO238" i="17"/>
  <c r="BN238" i="17"/>
  <c r="BM238" i="17"/>
  <c r="BL238" i="17"/>
  <c r="BK238" i="17"/>
  <c r="BJ238" i="17"/>
  <c r="BI238" i="17"/>
  <c r="BH238" i="17"/>
  <c r="BG238" i="17"/>
  <c r="BF238" i="17"/>
  <c r="BE238" i="17"/>
  <c r="BD238" i="17"/>
  <c r="BC238" i="17"/>
  <c r="BB238" i="17"/>
  <c r="BA238" i="17"/>
  <c r="AZ238" i="17"/>
  <c r="AY238" i="17"/>
  <c r="AX238" i="17"/>
  <c r="AW238" i="17"/>
  <c r="AV238" i="17"/>
  <c r="AU238" i="17"/>
  <c r="AT238" i="17"/>
  <c r="AS238" i="17"/>
  <c r="AR238" i="17"/>
  <c r="AQ238" i="17"/>
  <c r="AP238" i="17"/>
  <c r="AO238" i="17"/>
  <c r="AM238" i="17"/>
  <c r="CM180" i="17"/>
  <c r="CL180" i="17"/>
  <c r="CK180" i="17"/>
  <c r="CJ180" i="17"/>
  <c r="CI180" i="17"/>
  <c r="CH180" i="17"/>
  <c r="CG180" i="17"/>
  <c r="CF180" i="17"/>
  <c r="CE180" i="17"/>
  <c r="CD180" i="17"/>
  <c r="CC180" i="17"/>
  <c r="CB180" i="17"/>
  <c r="CA180" i="17"/>
  <c r="BZ180" i="17"/>
  <c r="BY180" i="17"/>
  <c r="BX180" i="17"/>
  <c r="BW180" i="17"/>
  <c r="BV180" i="17"/>
  <c r="BU180" i="17"/>
  <c r="BT180" i="17"/>
  <c r="BS180" i="17"/>
  <c r="BR180" i="17"/>
  <c r="BQ180" i="17"/>
  <c r="BP180" i="17"/>
  <c r="BO180" i="17"/>
  <c r="BN180" i="17"/>
  <c r="BM180" i="17"/>
  <c r="BL180" i="17"/>
  <c r="BK180" i="17"/>
  <c r="BJ180" i="17"/>
  <c r="BI180" i="17"/>
  <c r="BH180" i="17"/>
  <c r="BG180" i="17"/>
  <c r="BF180" i="17"/>
  <c r="BE180" i="17"/>
  <c r="BD180" i="17"/>
  <c r="BC180" i="17"/>
  <c r="BB180" i="17"/>
  <c r="BA180" i="17"/>
  <c r="AZ180" i="17"/>
  <c r="AY180" i="17"/>
  <c r="AX180" i="17"/>
  <c r="AW180" i="17"/>
  <c r="AV180" i="17"/>
  <c r="AU180" i="17"/>
  <c r="AT180" i="17"/>
  <c r="AS180" i="17"/>
  <c r="AR180" i="17"/>
  <c r="AQ180" i="17"/>
  <c r="AP180" i="17"/>
  <c r="AO180" i="17"/>
  <c r="AN180" i="17"/>
  <c r="AM180" i="17"/>
  <c r="CM173" i="17"/>
  <c r="CL173" i="17"/>
  <c r="CK173" i="17"/>
  <c r="CJ173" i="17"/>
  <c r="CI173" i="17"/>
  <c r="CH173" i="17"/>
  <c r="CG173" i="17"/>
  <c r="CF173" i="17"/>
  <c r="CE173" i="17"/>
  <c r="CD173" i="17"/>
  <c r="CC173" i="17"/>
  <c r="CB173" i="17"/>
  <c r="CA173" i="17"/>
  <c r="BZ173" i="17"/>
  <c r="BY173" i="17"/>
  <c r="BX173" i="17"/>
  <c r="BW173" i="17"/>
  <c r="BV173" i="17"/>
  <c r="BU173" i="17"/>
  <c r="BT173" i="17"/>
  <c r="BS173" i="17"/>
  <c r="BR173" i="17"/>
  <c r="BQ173" i="17"/>
  <c r="BP173" i="17"/>
  <c r="BO173" i="17"/>
  <c r="BN173" i="17"/>
  <c r="BM173" i="17"/>
  <c r="BL173" i="17"/>
  <c r="BK173" i="17"/>
  <c r="BJ173" i="17"/>
  <c r="BI173" i="17"/>
  <c r="BH173" i="17"/>
  <c r="BG173" i="17"/>
  <c r="BF173" i="17"/>
  <c r="BE173" i="17"/>
  <c r="BD173" i="17"/>
  <c r="BC173" i="17"/>
  <c r="BB173" i="17"/>
  <c r="BA173" i="17"/>
  <c r="AZ173" i="17"/>
  <c r="AY173" i="17"/>
  <c r="AX173" i="17"/>
  <c r="AW173" i="17"/>
  <c r="AV173" i="17"/>
  <c r="AU173" i="17"/>
  <c r="AT173" i="17"/>
  <c r="AS173" i="17"/>
  <c r="AR173" i="17"/>
  <c r="AQ173" i="17"/>
  <c r="AP173" i="17"/>
  <c r="AO173" i="17"/>
  <c r="AN173" i="17"/>
  <c r="AM173" i="17"/>
  <c r="CM43" i="17"/>
  <c r="CM243" i="17" s="1"/>
  <c r="CL43" i="17"/>
  <c r="CL243" i="17" s="1"/>
  <c r="CK43" i="17"/>
  <c r="CK243" i="17" s="1"/>
  <c r="CJ43" i="17"/>
  <c r="CI43" i="17"/>
  <c r="CI243" i="17" s="1"/>
  <c r="CH43" i="17"/>
  <c r="CH243" i="17" s="1"/>
  <c r="CG43" i="17"/>
  <c r="CG243" i="17" s="1"/>
  <c r="CF43" i="17"/>
  <c r="CE43" i="17"/>
  <c r="CE243" i="17" s="1"/>
  <c r="CD43" i="17"/>
  <c r="CD243" i="17" s="1"/>
  <c r="CC43" i="17"/>
  <c r="CC243" i="17" s="1"/>
  <c r="CB43" i="17"/>
  <c r="CA43" i="17"/>
  <c r="CA243" i="17" s="1"/>
  <c r="BZ43" i="17"/>
  <c r="BZ243" i="17" s="1"/>
  <c r="BY43" i="17"/>
  <c r="BY243" i="17" s="1"/>
  <c r="BX43" i="17"/>
  <c r="BW43" i="17"/>
  <c r="BW243" i="17" s="1"/>
  <c r="BV43" i="17"/>
  <c r="BV243" i="17" s="1"/>
  <c r="BU43" i="17"/>
  <c r="BU243" i="17" s="1"/>
  <c r="BT43" i="17"/>
  <c r="BS43" i="17"/>
  <c r="BS243" i="17" s="1"/>
  <c r="BR43" i="17"/>
  <c r="BR243" i="17" s="1"/>
  <c r="BQ43" i="17"/>
  <c r="BQ243" i="17" s="1"/>
  <c r="BP43" i="17"/>
  <c r="BO43" i="17"/>
  <c r="BO243" i="17" s="1"/>
  <c r="BN43" i="17"/>
  <c r="BM43" i="17"/>
  <c r="BM243" i="17" s="1"/>
  <c r="BL43" i="17"/>
  <c r="BK43" i="17"/>
  <c r="BK243" i="17" s="1"/>
  <c r="BJ43" i="17"/>
  <c r="BJ243" i="17" s="1"/>
  <c r="BI43" i="17"/>
  <c r="BH43" i="17"/>
  <c r="BG43" i="17"/>
  <c r="BG243" i="17" s="1"/>
  <c r="BF43" i="17"/>
  <c r="BF243" i="17" s="1"/>
  <c r="BE43" i="17"/>
  <c r="BE243" i="17" s="1"/>
  <c r="BD43" i="17"/>
  <c r="BC43" i="17"/>
  <c r="BC243" i="17" s="1"/>
  <c r="BB43" i="17"/>
  <c r="BB243" i="17" s="1"/>
  <c r="BA43" i="17"/>
  <c r="AZ43" i="17"/>
  <c r="AY43" i="17"/>
  <c r="AY243" i="17" s="1"/>
  <c r="AX43" i="17"/>
  <c r="AX243" i="17" s="1"/>
  <c r="AW43" i="17"/>
  <c r="AW243" i="17" s="1"/>
  <c r="AV43" i="17"/>
  <c r="AU43" i="17"/>
  <c r="AU243" i="17" s="1"/>
  <c r="AT43" i="17"/>
  <c r="AT243" i="17" s="1"/>
  <c r="AS43" i="17"/>
  <c r="AR43" i="17"/>
  <c r="AQ43" i="17"/>
  <c r="AQ243" i="17" s="1"/>
  <c r="AP43" i="17"/>
  <c r="AP243" i="17" s="1"/>
  <c r="AO43" i="17"/>
  <c r="AN43" i="17"/>
  <c r="AM43" i="17"/>
  <c r="AL218" i="16"/>
  <c r="AK218" i="16"/>
  <c r="AJ218" i="16"/>
  <c r="AI218" i="16"/>
  <c r="AH218" i="16"/>
  <c r="AG218" i="16"/>
  <c r="AF218" i="16"/>
  <c r="AE218" i="16"/>
  <c r="AD218" i="16"/>
  <c r="AC218" i="16"/>
  <c r="AB218" i="16"/>
  <c r="AA218" i="16"/>
  <c r="Z218" i="16"/>
  <c r="Y218" i="16"/>
  <c r="X218" i="16"/>
  <c r="W218" i="16"/>
  <c r="V218" i="16"/>
  <c r="U218" i="16"/>
  <c r="T218" i="16"/>
  <c r="S218" i="16"/>
  <c r="R218" i="16"/>
  <c r="Q218" i="16"/>
  <c r="P218" i="16"/>
  <c r="N218" i="16"/>
  <c r="M218" i="16"/>
  <c r="L218" i="16"/>
  <c r="K218" i="16"/>
  <c r="J218" i="16"/>
  <c r="F218" i="16"/>
  <c r="CM209" i="16"/>
  <c r="CM218" i="16" s="1"/>
  <c r="CL209" i="16"/>
  <c r="CL218" i="16" s="1"/>
  <c r="CK209" i="16"/>
  <c r="CK218" i="16" s="1"/>
  <c r="CJ209" i="16"/>
  <c r="CJ218" i="16" s="1"/>
  <c r="CI209" i="16"/>
  <c r="CI218" i="16" s="1"/>
  <c r="CH209" i="16"/>
  <c r="CH218" i="16" s="1"/>
  <c r="CG209" i="16"/>
  <c r="CG218" i="16" s="1"/>
  <c r="CF209" i="16"/>
  <c r="CF218" i="16" s="1"/>
  <c r="CE209" i="16"/>
  <c r="CE218" i="16" s="1"/>
  <c r="CD209" i="16"/>
  <c r="CD218" i="16" s="1"/>
  <c r="CC209" i="16"/>
  <c r="CC218" i="16" s="1"/>
  <c r="CB209" i="16"/>
  <c r="CB218" i="16" s="1"/>
  <c r="CA209" i="16"/>
  <c r="CA218" i="16" s="1"/>
  <c r="BZ209" i="16"/>
  <c r="BZ218" i="16" s="1"/>
  <c r="BY209" i="16"/>
  <c r="BY218" i="16" s="1"/>
  <c r="BX209" i="16"/>
  <c r="BX218" i="16" s="1"/>
  <c r="BW209" i="16"/>
  <c r="BW218" i="16" s="1"/>
  <c r="BV209" i="16"/>
  <c r="BV218" i="16" s="1"/>
  <c r="BU209" i="16"/>
  <c r="BU218" i="16" s="1"/>
  <c r="BT209" i="16"/>
  <c r="BT218" i="16" s="1"/>
  <c r="BS209" i="16"/>
  <c r="BS218" i="16" s="1"/>
  <c r="BR209" i="16"/>
  <c r="BR218" i="16" s="1"/>
  <c r="BQ209" i="16"/>
  <c r="BQ218" i="16" s="1"/>
  <c r="BP209" i="16"/>
  <c r="BO209" i="16"/>
  <c r="BO218" i="16" s="1"/>
  <c r="BN209" i="16"/>
  <c r="BN218" i="16" s="1"/>
  <c r="BM209" i="16"/>
  <c r="BM218" i="16" s="1"/>
  <c r="BL209" i="16"/>
  <c r="BL218" i="16" s="1"/>
  <c r="BK209" i="16"/>
  <c r="BK218" i="16" s="1"/>
  <c r="BJ209" i="16"/>
  <c r="BJ218" i="16" s="1"/>
  <c r="BI209" i="16"/>
  <c r="BI218" i="16" s="1"/>
  <c r="BH209" i="16"/>
  <c r="BH218" i="16" s="1"/>
  <c r="BG209" i="16"/>
  <c r="BG218" i="16" s="1"/>
  <c r="BF209" i="16"/>
  <c r="BF218" i="16" s="1"/>
  <c r="BE209" i="16"/>
  <c r="BE218" i="16" s="1"/>
  <c r="BD209" i="16"/>
  <c r="BD218" i="16" s="1"/>
  <c r="BC209" i="16"/>
  <c r="BC218" i="16" s="1"/>
  <c r="BB209" i="16"/>
  <c r="BB218" i="16" s="1"/>
  <c r="BA209" i="16"/>
  <c r="BA218" i="16" s="1"/>
  <c r="AZ209" i="16"/>
  <c r="AZ218" i="16" s="1"/>
  <c r="AY209" i="16"/>
  <c r="AY218" i="16" s="1"/>
  <c r="AX209" i="16"/>
  <c r="AX218" i="16" s="1"/>
  <c r="AW209" i="16"/>
  <c r="AW218" i="16" s="1"/>
  <c r="AV209" i="16"/>
  <c r="AV218" i="16" s="1"/>
  <c r="AU209" i="16"/>
  <c r="AU218" i="16" s="1"/>
  <c r="AT209" i="16"/>
  <c r="AT218" i="16" s="1"/>
  <c r="AS209" i="16"/>
  <c r="AS218" i="16" s="1"/>
  <c r="AR209" i="16"/>
  <c r="AR218" i="16" s="1"/>
  <c r="AQ209" i="16"/>
  <c r="AQ218" i="16" s="1"/>
  <c r="AP209" i="16"/>
  <c r="AN209" i="16"/>
  <c r="BP243" i="17" l="1"/>
  <c r="BX243" i="17"/>
  <c r="CF243" i="17"/>
  <c r="AS243" i="17"/>
  <c r="BA243" i="17"/>
  <c r="BI243" i="17"/>
  <c r="AV243" i="17"/>
  <c r="BD243" i="17"/>
  <c r="BL243" i="17"/>
  <c r="BT243" i="17"/>
  <c r="CB243" i="17"/>
  <c r="CJ243" i="17"/>
  <c r="AR243" i="17"/>
  <c r="AZ243" i="17"/>
  <c r="BH243" i="17"/>
  <c r="CI76" i="14"/>
  <c r="CD76" i="14"/>
  <c r="CC76" i="14"/>
  <c r="BV76" i="14"/>
  <c r="BM76" i="14"/>
  <c r="BL76" i="14"/>
  <c r="BK76" i="14"/>
  <c r="BJ76" i="14"/>
  <c r="BH76" i="14"/>
  <c r="BC76" i="14"/>
  <c r="BB76" i="14"/>
  <c r="AT76" i="14"/>
  <c r="CK71" i="14"/>
  <c r="CF71" i="14"/>
  <c r="CE71" i="14"/>
  <c r="CB71" i="14"/>
  <c r="BN71" i="14"/>
  <c r="BF71" i="14"/>
  <c r="AZ71" i="14"/>
  <c r="AY71" i="14"/>
  <c r="AL71" i="14"/>
  <c r="AK71" i="14"/>
  <c r="CM71" i="14" s="1"/>
  <c r="AJ71" i="14"/>
  <c r="AH71" i="14"/>
  <c r="CJ71" i="14" s="1"/>
  <c r="AF71" i="14"/>
  <c r="AA71" i="14"/>
  <c r="Z71" i="14"/>
  <c r="N71" i="14"/>
  <c r="CK69" i="14"/>
  <c r="CF69" i="14"/>
  <c r="CE69" i="14"/>
  <c r="CB69" i="14"/>
  <c r="BN69" i="14"/>
  <c r="BF69" i="14"/>
  <c r="AZ69" i="14"/>
  <c r="AY69" i="14"/>
  <c r="AL69" i="14"/>
  <c r="CN69" i="14" s="1"/>
  <c r="AK69" i="14"/>
  <c r="CM69" i="14" s="1"/>
  <c r="AJ69" i="14"/>
  <c r="CL69" i="14" s="1"/>
  <c r="AH69" i="14"/>
  <c r="CJ69" i="14" s="1"/>
  <c r="AF69" i="14"/>
  <c r="AA69" i="14"/>
  <c r="Z69" i="14"/>
  <c r="N69" i="14"/>
  <c r="CN67" i="14"/>
  <c r="CM67" i="14"/>
  <c r="CL67" i="14"/>
  <c r="CK67" i="14"/>
  <c r="CJ67" i="14"/>
  <c r="CF67" i="14"/>
  <c r="CE67" i="14"/>
  <c r="CB67" i="14"/>
  <c r="BN67" i="14"/>
  <c r="BF67" i="14"/>
  <c r="AZ67" i="14"/>
  <c r="CA67" i="14" s="1"/>
  <c r="AY67" i="14"/>
  <c r="AE67" i="14"/>
  <c r="Z67" i="14"/>
  <c r="AN67" i="14" s="1"/>
  <c r="N67" i="14"/>
  <c r="W67" i="14" s="1"/>
  <c r="K67" i="14"/>
  <c r="CK65" i="14"/>
  <c r="CF65" i="14"/>
  <c r="CE65" i="14"/>
  <c r="CB65" i="14"/>
  <c r="BN65" i="14"/>
  <c r="BF65" i="14"/>
  <c r="AZ65" i="14"/>
  <c r="AY65" i="14"/>
  <c r="AL65" i="14"/>
  <c r="CN65" i="14" s="1"/>
  <c r="AK65" i="14"/>
  <c r="CM65" i="14" s="1"/>
  <c r="AJ65" i="14"/>
  <c r="CL65" i="14" s="1"/>
  <c r="AH65" i="14"/>
  <c r="CJ65" i="14" s="1"/>
  <c r="AF65" i="14"/>
  <c r="AA65" i="14"/>
  <c r="Z65" i="14"/>
  <c r="N65" i="14"/>
  <c r="AI63" i="14"/>
  <c r="AG63" i="14"/>
  <c r="AG76" i="14" s="1"/>
  <c r="AD63" i="14"/>
  <c r="AD76" i="14" s="1"/>
  <c r="AC63" i="14"/>
  <c r="AC76" i="14" s="1"/>
  <c r="AB63" i="14"/>
  <c r="AB76" i="14" s="1"/>
  <c r="X63" i="14"/>
  <c r="V63" i="14"/>
  <c r="U63" i="14"/>
  <c r="T63" i="14"/>
  <c r="S63" i="14"/>
  <c r="R63" i="14"/>
  <c r="Q63" i="14"/>
  <c r="P63" i="14"/>
  <c r="O63" i="14"/>
  <c r="M63" i="14"/>
  <c r="L63" i="14"/>
  <c r="G63" i="14"/>
  <c r="AZ61" i="14" s="1"/>
  <c r="Z62" i="14"/>
  <c r="N62" i="14"/>
  <c r="W62" i="14" s="1"/>
  <c r="K62" i="14"/>
  <c r="CF61" i="14"/>
  <c r="CE61" i="14"/>
  <c r="CB61" i="14"/>
  <c r="BR61" i="14"/>
  <c r="BP61" i="14"/>
  <c r="BN61" i="14"/>
  <c r="BF61" i="14"/>
  <c r="AY61" i="14"/>
  <c r="AN61" i="14"/>
  <c r="AL61" i="14"/>
  <c r="AL63" i="14" s="1"/>
  <c r="CN61" i="14" s="1"/>
  <c r="AK61" i="14"/>
  <c r="AK63" i="14" s="1"/>
  <c r="AJ61" i="14"/>
  <c r="AJ63" i="14" s="1"/>
  <c r="CL61" i="14" s="1"/>
  <c r="AH61" i="14"/>
  <c r="AH63" i="14" s="1"/>
  <c r="CJ61" i="14" s="1"/>
  <c r="AF61" i="14"/>
  <c r="AF63" i="14" s="1"/>
  <c r="AA61" i="14"/>
  <c r="AA63" i="14" s="1"/>
  <c r="Z61" i="14"/>
  <c r="Z63" i="14" s="1"/>
  <c r="N61" i="14"/>
  <c r="CK59" i="14"/>
  <c r="CF59" i="14"/>
  <c r="CE59" i="14"/>
  <c r="CB59" i="14"/>
  <c r="BN59" i="14"/>
  <c r="BF59" i="14"/>
  <c r="AZ59" i="14"/>
  <c r="AY59" i="14"/>
  <c r="AN59" i="14"/>
  <c r="AL59" i="14"/>
  <c r="CN59" i="14" s="1"/>
  <c r="AK59" i="14"/>
  <c r="CM59" i="14" s="1"/>
  <c r="AJ59" i="14"/>
  <c r="CL59" i="14" s="1"/>
  <c r="AH59" i="14"/>
  <c r="CJ59" i="14" s="1"/>
  <c r="AF59" i="14"/>
  <c r="AA59" i="14"/>
  <c r="Z59" i="14"/>
  <c r="N59" i="14"/>
  <c r="X57" i="14"/>
  <c r="V57" i="14"/>
  <c r="U57" i="14"/>
  <c r="T57" i="14"/>
  <c r="S57" i="14"/>
  <c r="R57" i="14"/>
  <c r="Q57" i="14"/>
  <c r="P57" i="14"/>
  <c r="O57" i="14"/>
  <c r="M57" i="14"/>
  <c r="L57" i="14"/>
  <c r="G57" i="14"/>
  <c r="BN54" i="14" s="1"/>
  <c r="N56" i="14"/>
  <c r="W56" i="14" s="1"/>
  <c r="K56" i="14" s="1"/>
  <c r="N55" i="14"/>
  <c r="W55" i="14" s="1"/>
  <c r="K55" i="14" s="1"/>
  <c r="CN54" i="14"/>
  <c r="CM54" i="14"/>
  <c r="CL54" i="14"/>
  <c r="CK54" i="14"/>
  <c r="CJ54" i="14"/>
  <c r="CF54" i="14"/>
  <c r="CE54" i="14"/>
  <c r="CB54" i="14"/>
  <c r="BF54" i="14"/>
  <c r="AZ54" i="14"/>
  <c r="CA54" i="14" s="1"/>
  <c r="AY54" i="14"/>
  <c r="AE54" i="14"/>
  <c r="Z54" i="14"/>
  <c r="AN54" i="14" s="1"/>
  <c r="N54" i="14"/>
  <c r="CL52" i="14"/>
  <c r="CK52" i="14"/>
  <c r="CF52" i="14"/>
  <c r="CE52" i="14"/>
  <c r="BN52" i="14"/>
  <c r="BF52" i="14"/>
  <c r="BG52" i="14" s="1"/>
  <c r="AZ52" i="14"/>
  <c r="BA52" i="14" s="1"/>
  <c r="AY52" i="14"/>
  <c r="AN52" i="14"/>
  <c r="AL52" i="14"/>
  <c r="CN52" i="14" s="1"/>
  <c r="AK52" i="14"/>
  <c r="CM52" i="14" s="1"/>
  <c r="AH52" i="14"/>
  <c r="CJ52" i="14" s="1"/>
  <c r="AF52" i="14"/>
  <c r="AA52" i="14"/>
  <c r="CA52" i="14" s="1"/>
  <c r="Z52" i="14"/>
  <c r="N52" i="14"/>
  <c r="CK50" i="14"/>
  <c r="CF50" i="14"/>
  <c r="CE50" i="14"/>
  <c r="CB50" i="14"/>
  <c r="BN50" i="14"/>
  <c r="BF50" i="14"/>
  <c r="AZ50" i="14"/>
  <c r="AY50" i="14"/>
  <c r="AN50" i="14"/>
  <c r="AL50" i="14"/>
  <c r="CN50" i="14" s="1"/>
  <c r="AK50" i="14"/>
  <c r="CM50" i="14" s="1"/>
  <c r="AJ50" i="14"/>
  <c r="CL50" i="14" s="1"/>
  <c r="AH50" i="14"/>
  <c r="CJ50" i="14" s="1"/>
  <c r="AF50" i="14"/>
  <c r="AA50" i="14"/>
  <c r="CA50" i="14" s="1"/>
  <c r="Z50" i="14"/>
  <c r="N50" i="14"/>
  <c r="CF48" i="14"/>
  <c r="CE48" i="14"/>
  <c r="CB48" i="14"/>
  <c r="BN48" i="14"/>
  <c r="BF48" i="14"/>
  <c r="BG48" i="14" s="1"/>
  <c r="AZ48" i="14"/>
  <c r="AY48" i="14"/>
  <c r="AN48" i="14"/>
  <c r="AL48" i="14"/>
  <c r="CN48" i="14" s="1"/>
  <c r="AK48" i="14"/>
  <c r="CM48" i="14" s="1"/>
  <c r="AJ48" i="14"/>
  <c r="CL48" i="14" s="1"/>
  <c r="AI48" i="14"/>
  <c r="CK48" i="14" s="1"/>
  <c r="AH48" i="14"/>
  <c r="CJ48" i="14" s="1"/>
  <c r="AF48" i="14"/>
  <c r="AA48" i="14"/>
  <c r="Z48" i="14"/>
  <c r="N48" i="14"/>
  <c r="CF46" i="14"/>
  <c r="CE46" i="14"/>
  <c r="CB46" i="14"/>
  <c r="BN46" i="14"/>
  <c r="BF46" i="14"/>
  <c r="BG46" i="14" s="1"/>
  <c r="AZ46" i="14"/>
  <c r="AY46" i="14"/>
  <c r="BO46" i="14" s="1"/>
  <c r="AN46" i="14"/>
  <c r="AL46" i="14"/>
  <c r="CN46" i="14" s="1"/>
  <c r="AK46" i="14"/>
  <c r="CM46" i="14" s="1"/>
  <c r="AJ46" i="14"/>
  <c r="CL46" i="14" s="1"/>
  <c r="AH46" i="14"/>
  <c r="CJ46" i="14" s="1"/>
  <c r="AF46" i="14"/>
  <c r="AA46" i="14"/>
  <c r="Z46" i="14"/>
  <c r="N46" i="14"/>
  <c r="W46" i="14" s="1"/>
  <c r="X44" i="14"/>
  <c r="V44" i="14"/>
  <c r="U44" i="14"/>
  <c r="T44" i="14"/>
  <c r="S44" i="14"/>
  <c r="R44" i="14"/>
  <c r="AJ40" i="14" s="1"/>
  <c r="CL40" i="14" s="1"/>
  <c r="Q44" i="14"/>
  <c r="P44" i="14"/>
  <c r="AH40" i="14" s="1"/>
  <c r="O44" i="14"/>
  <c r="M44" i="14"/>
  <c r="L44" i="14"/>
  <c r="G44" i="14"/>
  <c r="BF40" i="14" s="1"/>
  <c r="N43" i="14"/>
  <c r="W43" i="14" s="1"/>
  <c r="K43" i="14" s="1"/>
  <c r="N42" i="14"/>
  <c r="W42" i="14" s="1"/>
  <c r="K42" i="14"/>
  <c r="N41" i="14"/>
  <c r="W41" i="14" s="1"/>
  <c r="K41" i="14" s="1"/>
  <c r="CK40" i="14"/>
  <c r="CF40" i="14"/>
  <c r="CE40" i="14"/>
  <c r="AZ40" i="14"/>
  <c r="AY40" i="14"/>
  <c r="BO40" i="14" s="1"/>
  <c r="BP40" i="14" s="1"/>
  <c r="BQ40" i="14" s="1"/>
  <c r="BT40" i="14" s="1"/>
  <c r="BW40" i="14" s="1"/>
  <c r="AN40" i="14"/>
  <c r="AL40" i="14"/>
  <c r="CN40" i="14" s="1"/>
  <c r="AF40" i="14"/>
  <c r="AA40" i="14"/>
  <c r="N40" i="14"/>
  <c r="BU38" i="14"/>
  <c r="BX38" i="14" s="1"/>
  <c r="BT38" i="14"/>
  <c r="BW38" i="14" s="1"/>
  <c r="X38" i="14"/>
  <c r="V38" i="14"/>
  <c r="U38" i="14"/>
  <c r="T38" i="14"/>
  <c r="S38" i="14"/>
  <c r="R38" i="14"/>
  <c r="Q38" i="14"/>
  <c r="P38" i="14"/>
  <c r="AH36" i="14" s="1"/>
  <c r="O38" i="14"/>
  <c r="AF36" i="14" s="1"/>
  <c r="M38" i="14"/>
  <c r="L38" i="14"/>
  <c r="G38" i="14"/>
  <c r="BU37" i="14"/>
  <c r="BX37" i="14" s="1"/>
  <c r="BT37" i="14"/>
  <c r="BW37" i="14" s="1"/>
  <c r="N37" i="14"/>
  <c r="W37" i="14" s="1"/>
  <c r="K37" i="14" s="1"/>
  <c r="CK36" i="14"/>
  <c r="CE36" i="14"/>
  <c r="CB36" i="14"/>
  <c r="BN36" i="14"/>
  <c r="BF36" i="14"/>
  <c r="AZ36" i="14"/>
  <c r="AV36" i="14"/>
  <c r="AY36" i="14" s="1"/>
  <c r="AN36" i="14"/>
  <c r="AL36" i="14"/>
  <c r="CN36" i="14" s="1"/>
  <c r="AK36" i="14"/>
  <c r="CM36" i="14" s="1"/>
  <c r="AJ36" i="14"/>
  <c r="CL36" i="14" s="1"/>
  <c r="AA36" i="14"/>
  <c r="Z36" i="14"/>
  <c r="N36" i="14"/>
  <c r="BU34" i="14"/>
  <c r="BX34" i="14" s="1"/>
  <c r="BT34" i="14"/>
  <c r="BW34" i="14" s="1"/>
  <c r="X34" i="14"/>
  <c r="V34" i="14"/>
  <c r="U34" i="14"/>
  <c r="T34" i="14"/>
  <c r="S34" i="14"/>
  <c r="R34" i="14"/>
  <c r="Q34" i="14"/>
  <c r="P34" i="14"/>
  <c r="O34" i="14"/>
  <c r="AF29" i="14" s="1"/>
  <c r="M34" i="14"/>
  <c r="AA29" i="14" s="1"/>
  <c r="L34" i="14"/>
  <c r="G34" i="14"/>
  <c r="BU33" i="14"/>
  <c r="BX33" i="14" s="1"/>
  <c r="BT33" i="14"/>
  <c r="BW33" i="14" s="1"/>
  <c r="N33" i="14"/>
  <c r="W33" i="14" s="1"/>
  <c r="K33" i="14" s="1"/>
  <c r="BU32" i="14"/>
  <c r="BX32" i="14" s="1"/>
  <c r="BT32" i="14"/>
  <c r="BW32" i="14" s="1"/>
  <c r="N32" i="14"/>
  <c r="W32" i="14" s="1"/>
  <c r="K32" i="14" s="1"/>
  <c r="BU31" i="14"/>
  <c r="BX31" i="14" s="1"/>
  <c r="BT31" i="14"/>
  <c r="BW31" i="14" s="1"/>
  <c r="N31" i="14"/>
  <c r="W31" i="14" s="1"/>
  <c r="K31" i="14" s="1"/>
  <c r="BU30" i="14"/>
  <c r="BX30" i="14" s="1"/>
  <c r="BT30" i="14"/>
  <c r="BW30" i="14" s="1"/>
  <c r="N30" i="14"/>
  <c r="W30" i="14" s="1"/>
  <c r="K30" i="14" s="1"/>
  <c r="CN29" i="14"/>
  <c r="CM29" i="14"/>
  <c r="CL29" i="14"/>
  <c r="CK29" i="14"/>
  <c r="CF29" i="14"/>
  <c r="CE29" i="14"/>
  <c r="BN29" i="14"/>
  <c r="BG29" i="14"/>
  <c r="BF29" i="14"/>
  <c r="BI29" i="14" s="1"/>
  <c r="AZ29" i="14"/>
  <c r="BA29" i="14" s="1"/>
  <c r="CB29" i="14" s="1"/>
  <c r="AV29" i="14"/>
  <c r="AY29" i="14" s="1"/>
  <c r="AH29" i="14"/>
  <c r="Z29" i="14"/>
  <c r="N29" i="14"/>
  <c r="CK27" i="14"/>
  <c r="CF27" i="14"/>
  <c r="CE27" i="14"/>
  <c r="CB27" i="14"/>
  <c r="BN27" i="14"/>
  <c r="BF27" i="14"/>
  <c r="AZ27" i="14"/>
  <c r="AV27" i="14"/>
  <c r="AY27" i="14" s="1"/>
  <c r="AL27" i="14"/>
  <c r="CN27" i="14" s="1"/>
  <c r="AK27" i="14"/>
  <c r="CM27" i="14" s="1"/>
  <c r="AJ27" i="14"/>
  <c r="CL27" i="14" s="1"/>
  <c r="AH27" i="14"/>
  <c r="CJ27" i="14" s="1"/>
  <c r="AF27" i="14"/>
  <c r="AA27" i="14"/>
  <c r="Z27" i="14"/>
  <c r="N27" i="14"/>
  <c r="BU25" i="14"/>
  <c r="BX25" i="14" s="1"/>
  <c r="BT25" i="14"/>
  <c r="BW25" i="14" s="1"/>
  <c r="X25" i="14"/>
  <c r="V25" i="14"/>
  <c r="U25" i="14"/>
  <c r="T25" i="14"/>
  <c r="S25" i="14"/>
  <c r="R25" i="14"/>
  <c r="Q25" i="14"/>
  <c r="P25" i="14"/>
  <c r="AH23" i="14" s="1"/>
  <c r="O25" i="14"/>
  <c r="AF23" i="14" s="1"/>
  <c r="M25" i="14"/>
  <c r="AA23" i="14" s="1"/>
  <c r="L25" i="14"/>
  <c r="G25" i="14"/>
  <c r="BU24" i="14"/>
  <c r="BX24" i="14" s="1"/>
  <c r="BT24" i="14"/>
  <c r="BW24" i="14" s="1"/>
  <c r="N24" i="14"/>
  <c r="W24" i="14" s="1"/>
  <c r="K24" i="14" s="1"/>
  <c r="CE23" i="14"/>
  <c r="CB23" i="14"/>
  <c r="BG23" i="14"/>
  <c r="BF23" i="14"/>
  <c r="BI23" i="14" s="1"/>
  <c r="CJ23" i="14" s="1"/>
  <c r="AL23" i="14"/>
  <c r="CN23" i="14" s="1"/>
  <c r="AK23" i="14"/>
  <c r="CM23" i="14" s="1"/>
  <c r="AJ23" i="14"/>
  <c r="CL23" i="14" s="1"/>
  <c r="AI23" i="14"/>
  <c r="CK23" i="14" s="1"/>
  <c r="Z23" i="14"/>
  <c r="N23" i="14"/>
  <c r="BU21" i="14"/>
  <c r="BX21" i="14" s="1"/>
  <c r="BT21" i="14"/>
  <c r="BW21" i="14" s="1"/>
  <c r="X21" i="14"/>
  <c r="V21" i="14"/>
  <c r="U21" i="14"/>
  <c r="T21" i="14"/>
  <c r="S21" i="14"/>
  <c r="R21" i="14"/>
  <c r="Q21" i="14"/>
  <c r="P21" i="14"/>
  <c r="AH18" i="14" s="1"/>
  <c r="CJ18" i="14" s="1"/>
  <c r="O21" i="14"/>
  <c r="M21" i="14"/>
  <c r="L21" i="14"/>
  <c r="G21" i="14"/>
  <c r="BU20" i="14"/>
  <c r="BX20" i="14" s="1"/>
  <c r="BT20" i="14"/>
  <c r="BW20" i="14" s="1"/>
  <c r="N20" i="14"/>
  <c r="W20" i="14" s="1"/>
  <c r="K20" i="14" s="1"/>
  <c r="BU19" i="14"/>
  <c r="BX19" i="14" s="1"/>
  <c r="BT19" i="14"/>
  <c r="BW19" i="14" s="1"/>
  <c r="N19" i="14"/>
  <c r="CF18" i="14"/>
  <c r="CE18" i="14"/>
  <c r="CB18" i="14"/>
  <c r="BN18" i="14"/>
  <c r="BF18" i="14"/>
  <c r="BG18" i="14" s="1"/>
  <c r="AZ18" i="14"/>
  <c r="AV18" i="14"/>
  <c r="AY18" i="14" s="1"/>
  <c r="AN18" i="14"/>
  <c r="AL18" i="14"/>
  <c r="CN18" i="14" s="1"/>
  <c r="AK18" i="14"/>
  <c r="CM18" i="14" s="1"/>
  <c r="AJ18" i="14"/>
  <c r="CL18" i="14" s="1"/>
  <c r="AI18" i="14"/>
  <c r="CK18" i="14" s="1"/>
  <c r="AF18" i="14"/>
  <c r="AA18" i="14"/>
  <c r="CA18" i="14" s="1"/>
  <c r="Z18" i="14"/>
  <c r="N18" i="14"/>
  <c r="W18" i="14" s="1"/>
  <c r="BU16" i="14"/>
  <c r="BX16" i="14" s="1"/>
  <c r="BT16" i="14"/>
  <c r="BW16" i="14" s="1"/>
  <c r="X16" i="14"/>
  <c r="AN13" i="14" s="1"/>
  <c r="V16" i="14"/>
  <c r="U16" i="14"/>
  <c r="T16" i="14"/>
  <c r="S16" i="14"/>
  <c r="R16" i="14"/>
  <c r="Q16" i="14"/>
  <c r="P16" i="14"/>
  <c r="AH13" i="14" s="1"/>
  <c r="CJ13" i="14" s="1"/>
  <c r="O16" i="14"/>
  <c r="M16" i="14"/>
  <c r="L16" i="14"/>
  <c r="Z13" i="14" s="1"/>
  <c r="G16" i="14"/>
  <c r="BU15" i="14"/>
  <c r="BX15" i="14" s="1"/>
  <c r="BT15" i="14"/>
  <c r="BW15" i="14" s="1"/>
  <c r="N15" i="14"/>
  <c r="W15" i="14" s="1"/>
  <c r="K15" i="14"/>
  <c r="BU14" i="14"/>
  <c r="BX14" i="14" s="1"/>
  <c r="BT14" i="14"/>
  <c r="BW14" i="14" s="1"/>
  <c r="N14" i="14"/>
  <c r="W14" i="14" s="1"/>
  <c r="K14" i="14"/>
  <c r="CL13" i="14"/>
  <c r="CK13" i="14"/>
  <c r="CF13" i="14"/>
  <c r="CE13" i="14"/>
  <c r="CB13" i="14"/>
  <c r="BN13" i="14"/>
  <c r="BF13" i="14"/>
  <c r="BG13" i="14" s="1"/>
  <c r="AZ13" i="14"/>
  <c r="AY13" i="14"/>
  <c r="AL13" i="14"/>
  <c r="CN13" i="14" s="1"/>
  <c r="AK13" i="14"/>
  <c r="CM13" i="14" s="1"/>
  <c r="AF13" i="14"/>
  <c r="CH13" i="14" s="1"/>
  <c r="AA13" i="14"/>
  <c r="N13" i="14"/>
  <c r="BU11" i="14"/>
  <c r="BX11" i="14" s="1"/>
  <c r="BT11" i="14"/>
  <c r="BW11" i="14" s="1"/>
  <c r="X11" i="14"/>
  <c r="V11" i="14"/>
  <c r="U11" i="14"/>
  <c r="T11" i="14"/>
  <c r="S11" i="14"/>
  <c r="R11" i="14"/>
  <c r="Q11" i="14"/>
  <c r="P11" i="14"/>
  <c r="O11" i="14"/>
  <c r="M11" i="14"/>
  <c r="L11" i="14"/>
  <c r="G11" i="14"/>
  <c r="BN8" i="14" s="1"/>
  <c r="BU10" i="14"/>
  <c r="BX10" i="14" s="1"/>
  <c r="BT10" i="14"/>
  <c r="BW10" i="14" s="1"/>
  <c r="N10" i="14"/>
  <c r="W10" i="14" s="1"/>
  <c r="K10" i="14"/>
  <c r="BU9" i="14"/>
  <c r="BX9" i="14" s="1"/>
  <c r="BT9" i="14"/>
  <c r="BW9" i="14" s="1"/>
  <c r="N9" i="14"/>
  <c r="W9" i="14" s="1"/>
  <c r="K9" i="14" s="1"/>
  <c r="CL8" i="14"/>
  <c r="CK8" i="14"/>
  <c r="CB8" i="14"/>
  <c r="BF8" i="14"/>
  <c r="AZ8" i="14"/>
  <c r="AY8" i="14"/>
  <c r="BO8" i="14" s="1"/>
  <c r="AN8" i="14"/>
  <c r="AL8" i="14"/>
  <c r="CN8" i="14" s="1"/>
  <c r="AK8" i="14"/>
  <c r="CM8" i="14" s="1"/>
  <c r="AH8" i="14"/>
  <c r="AF8" i="14"/>
  <c r="CH8" i="14" s="1"/>
  <c r="AA8" i="14"/>
  <c r="Z8" i="14"/>
  <c r="N8" i="14"/>
  <c r="X6" i="14"/>
  <c r="V6" i="14"/>
  <c r="U6" i="14"/>
  <c r="T6" i="14"/>
  <c r="S6" i="14"/>
  <c r="R6" i="14"/>
  <c r="P6" i="14"/>
  <c r="O6" i="14"/>
  <c r="M6" i="14"/>
  <c r="L6" i="14"/>
  <c r="G6" i="14"/>
  <c r="BX5" i="14"/>
  <c r="BW5" i="14"/>
  <c r="N5" i="14"/>
  <c r="W5" i="14" s="1"/>
  <c r="K5" i="14" s="1"/>
  <c r="CN4" i="14"/>
  <c r="CM4" i="14"/>
  <c r="CL4" i="14"/>
  <c r="CK4" i="14"/>
  <c r="CJ4" i="14"/>
  <c r="CF4" i="14"/>
  <c r="CE4" i="14"/>
  <c r="CB4" i="14"/>
  <c r="BN4" i="14"/>
  <c r="BF4" i="14"/>
  <c r="AZ4" i="14"/>
  <c r="AY4" i="14"/>
  <c r="AM4" i="14"/>
  <c r="AE4" i="14"/>
  <c r="AF4" i="14" s="1"/>
  <c r="Z4" i="14"/>
  <c r="AN4" i="14" s="1"/>
  <c r="N4" i="14"/>
  <c r="W83" i="13"/>
  <c r="U83" i="13"/>
  <c r="T83" i="13"/>
  <c r="S83" i="13"/>
  <c r="R83" i="13"/>
  <c r="Q83" i="13"/>
  <c r="P83" i="13"/>
  <c r="O83" i="13"/>
  <c r="M83" i="13"/>
  <c r="L83" i="13"/>
  <c r="N82" i="13"/>
  <c r="V82" i="13" s="1"/>
  <c r="G82" i="13"/>
  <c r="DC81" i="13"/>
  <c r="DB81" i="13"/>
  <c r="CZ81" i="13"/>
  <c r="CX81" i="13"/>
  <c r="CW81" i="13"/>
  <c r="DA81" i="13" s="1"/>
  <c r="CR81" i="13"/>
  <c r="CP81" i="13"/>
  <c r="CM81" i="13"/>
  <c r="CK81" i="13"/>
  <c r="CJ81" i="13"/>
  <c r="CI81" i="13"/>
  <c r="CH81" i="13"/>
  <c r="CG81" i="13"/>
  <c r="CF81" i="13"/>
  <c r="BS81" i="13"/>
  <c r="CV81" i="13" s="1"/>
  <c r="BQ81" i="13"/>
  <c r="CT81" i="13" s="1"/>
  <c r="BP81" i="13"/>
  <c r="CS81" i="13" s="1"/>
  <c r="BL81" i="13"/>
  <c r="CO81" i="13" s="1"/>
  <c r="BK81" i="13"/>
  <c r="BI81" i="13"/>
  <c r="CL81" i="13" s="1"/>
  <c r="BA81" i="13"/>
  <c r="BR81" i="13" s="1"/>
  <c r="CU81" i="13" s="1"/>
  <c r="AS81" i="13"/>
  <c r="AP81" i="13"/>
  <c r="Z81" i="13"/>
  <c r="CE81" i="13" s="1"/>
  <c r="N81" i="13"/>
  <c r="G81" i="13"/>
  <c r="W79" i="13"/>
  <c r="U79" i="13"/>
  <c r="T79" i="13"/>
  <c r="S79" i="13"/>
  <c r="R79" i="13"/>
  <c r="Q79" i="13"/>
  <c r="P79" i="13"/>
  <c r="O79" i="13"/>
  <c r="N79" i="13"/>
  <c r="M79" i="13"/>
  <c r="L79" i="13"/>
  <c r="V78" i="13"/>
  <c r="G78" i="13"/>
  <c r="DE77" i="13"/>
  <c r="DD77" i="13"/>
  <c r="CW77" i="13"/>
  <c r="CU77" i="13"/>
  <c r="CT77" i="13"/>
  <c r="CS77" i="13"/>
  <c r="CR77" i="13"/>
  <c r="CQ77" i="13"/>
  <c r="CP77" i="13"/>
  <c r="CO77" i="13"/>
  <c r="CL77" i="13"/>
  <c r="CK77" i="13"/>
  <c r="CJ77" i="13"/>
  <c r="CI77" i="13"/>
  <c r="CH77" i="13"/>
  <c r="CG77" i="13"/>
  <c r="CE77" i="13"/>
  <c r="BW77" i="13"/>
  <c r="BU77" i="13"/>
  <c r="BV77" i="13" s="1"/>
  <c r="BC77" i="13"/>
  <c r="AA77" i="13"/>
  <c r="V77" i="13"/>
  <c r="V79" i="13" s="1"/>
  <c r="K77" i="13"/>
  <c r="W75" i="13"/>
  <c r="U75" i="13"/>
  <c r="T75" i="13"/>
  <c r="S75" i="13"/>
  <c r="R75" i="13"/>
  <c r="Q75" i="13"/>
  <c r="P75" i="13"/>
  <c r="O75" i="13"/>
  <c r="N75" i="13"/>
  <c r="M75" i="13"/>
  <c r="L75" i="13"/>
  <c r="G75" i="13"/>
  <c r="V74" i="13"/>
  <c r="K74" i="13"/>
  <c r="CU73" i="13"/>
  <c r="CT73" i="13"/>
  <c r="CS73" i="13"/>
  <c r="CR73" i="13"/>
  <c r="CQ73" i="13"/>
  <c r="CO73" i="13"/>
  <c r="CM73" i="13"/>
  <c r="CL73" i="13"/>
  <c r="CK73" i="13"/>
  <c r="CJ73" i="13"/>
  <c r="CI73" i="13"/>
  <c r="CH73" i="13"/>
  <c r="CG73" i="13"/>
  <c r="BS73" i="13"/>
  <c r="BK73" i="13"/>
  <c r="BM73" i="13" s="1"/>
  <c r="BC73" i="13"/>
  <c r="BB73" i="13"/>
  <c r="AG73" i="13"/>
  <c r="AA73" i="13"/>
  <c r="Z73" i="13"/>
  <c r="AQ73" i="13" s="1"/>
  <c r="AR73" i="13" s="1"/>
  <c r="V73" i="13"/>
  <c r="CU71" i="13"/>
  <c r="CT71" i="13"/>
  <c r="CS71" i="13"/>
  <c r="CR71" i="13"/>
  <c r="CP71" i="13"/>
  <c r="CM71" i="13"/>
  <c r="CL71" i="13"/>
  <c r="CK71" i="13"/>
  <c r="CJ71" i="13"/>
  <c r="CI71" i="13"/>
  <c r="CH71" i="13"/>
  <c r="CG71" i="13"/>
  <c r="BS71" i="13"/>
  <c r="BK71" i="13"/>
  <c r="BC71" i="13"/>
  <c r="BB71" i="13"/>
  <c r="AG71" i="13"/>
  <c r="AA71" i="13"/>
  <c r="Z71" i="13"/>
  <c r="AQ71" i="13" s="1"/>
  <c r="AR71" i="13" s="1"/>
  <c r="AS71" i="13" s="1"/>
  <c r="N71" i="13"/>
  <c r="V71" i="13" s="1"/>
  <c r="K71" i="13" s="1"/>
  <c r="CU69" i="13"/>
  <c r="CT69" i="13"/>
  <c r="CS69" i="13"/>
  <c r="CR69" i="13"/>
  <c r="CQ69" i="13"/>
  <c r="CP69" i="13"/>
  <c r="CM69" i="13"/>
  <c r="CL69" i="13"/>
  <c r="CK69" i="13"/>
  <c r="CJ69" i="13"/>
  <c r="CI69" i="13"/>
  <c r="CH69" i="13"/>
  <c r="CG69" i="13"/>
  <c r="BS69" i="13"/>
  <c r="BK69" i="13"/>
  <c r="BC69" i="13"/>
  <c r="BB69" i="13"/>
  <c r="AG69" i="13"/>
  <c r="AA69" i="13"/>
  <c r="V69" i="13"/>
  <c r="K69" i="13"/>
  <c r="W67" i="13"/>
  <c r="U67" i="13"/>
  <c r="T67" i="13"/>
  <c r="S67" i="13"/>
  <c r="R67" i="13"/>
  <c r="Q67" i="13"/>
  <c r="P67" i="13"/>
  <c r="O67" i="13"/>
  <c r="M67" i="13"/>
  <c r="L67" i="13"/>
  <c r="G67" i="13"/>
  <c r="N66" i="13"/>
  <c r="V66" i="13" s="1"/>
  <c r="K66" i="13" s="1"/>
  <c r="CU65" i="13"/>
  <c r="CS65" i="13"/>
  <c r="CR65" i="13"/>
  <c r="CQ65" i="13"/>
  <c r="CP65" i="13"/>
  <c r="CO65" i="13"/>
  <c r="CM65" i="13"/>
  <c r="CL65" i="13"/>
  <c r="CK65" i="13"/>
  <c r="CJ65" i="13"/>
  <c r="CI65" i="13"/>
  <c r="CH65" i="13"/>
  <c r="BS65" i="13"/>
  <c r="BQ65" i="13"/>
  <c r="CT65" i="13" s="1"/>
  <c r="BK65" i="13"/>
  <c r="BC65" i="13"/>
  <c r="BB65" i="13"/>
  <c r="AG65" i="13"/>
  <c r="AA65" i="13"/>
  <c r="N65" i="13"/>
  <c r="W63" i="13"/>
  <c r="U63" i="13"/>
  <c r="T63" i="13"/>
  <c r="S63" i="13"/>
  <c r="R63" i="13"/>
  <c r="Q63" i="13"/>
  <c r="P63" i="13"/>
  <c r="O63" i="13"/>
  <c r="AH60" i="13" s="1"/>
  <c r="M63" i="13"/>
  <c r="L63" i="13"/>
  <c r="G63" i="13"/>
  <c r="N62" i="13"/>
  <c r="V62" i="13" s="1"/>
  <c r="N61" i="13"/>
  <c r="V61" i="13" s="1"/>
  <c r="K61" i="13" s="1"/>
  <c r="CU60" i="13"/>
  <c r="CQ60" i="13"/>
  <c r="CP60" i="13"/>
  <c r="CM60" i="13"/>
  <c r="CK60" i="13"/>
  <c r="CJ60" i="13"/>
  <c r="CI60" i="13"/>
  <c r="CH60" i="13"/>
  <c r="CG60" i="13"/>
  <c r="BS60" i="13"/>
  <c r="BQ60" i="13"/>
  <c r="BI60" i="13"/>
  <c r="BC60" i="13" s="1"/>
  <c r="BB60" i="13"/>
  <c r="AM60" i="13"/>
  <c r="AL60" i="13"/>
  <c r="AK60" i="13"/>
  <c r="CR60" i="13" s="1"/>
  <c r="AA60" i="13"/>
  <c r="N60" i="13"/>
  <c r="W58" i="13"/>
  <c r="U58" i="13"/>
  <c r="T58" i="13"/>
  <c r="S58" i="13"/>
  <c r="R58" i="13"/>
  <c r="Q58" i="13"/>
  <c r="P58" i="13"/>
  <c r="O58" i="13"/>
  <c r="M58" i="13"/>
  <c r="L58" i="13"/>
  <c r="G58" i="13"/>
  <c r="BS56" i="13" s="1"/>
  <c r="N57" i="13"/>
  <c r="V57" i="13" s="1"/>
  <c r="K57" i="13"/>
  <c r="DE56" i="13"/>
  <c r="DD56" i="13"/>
  <c r="DC56" i="13"/>
  <c r="DB56" i="13"/>
  <c r="CU56" i="13"/>
  <c r="CT56" i="13"/>
  <c r="CR56" i="13"/>
  <c r="CP56" i="13"/>
  <c r="CO56" i="13"/>
  <c r="CM56" i="13"/>
  <c r="CL56" i="13"/>
  <c r="CK56" i="13"/>
  <c r="CJ56" i="13"/>
  <c r="CI56" i="13"/>
  <c r="CH56" i="13"/>
  <c r="CG56" i="13"/>
  <c r="BP56" i="13"/>
  <c r="CS56" i="13" s="1"/>
  <c r="AG56" i="13"/>
  <c r="AA56" i="13"/>
  <c r="CF56" i="13" s="1"/>
  <c r="N56" i="13"/>
  <c r="W54" i="13"/>
  <c r="U54" i="13"/>
  <c r="T54" i="13"/>
  <c r="S54" i="13"/>
  <c r="R54" i="13"/>
  <c r="Q54" i="13"/>
  <c r="P54" i="13"/>
  <c r="O54" i="13"/>
  <c r="M54" i="13"/>
  <c r="L54" i="13"/>
  <c r="G54" i="13"/>
  <c r="N53" i="13"/>
  <c r="V53" i="13" s="1"/>
  <c r="K53" i="13" s="1"/>
  <c r="CU52" i="13"/>
  <c r="CT52" i="13"/>
  <c r="CS52" i="13"/>
  <c r="CR52" i="13"/>
  <c r="CQ52" i="13"/>
  <c r="CP52" i="13"/>
  <c r="CM52" i="13"/>
  <c r="CL52" i="13"/>
  <c r="CK52" i="13"/>
  <c r="CJ52" i="13"/>
  <c r="CI52" i="13"/>
  <c r="CH52" i="13"/>
  <c r="CG52" i="13"/>
  <c r="BS52" i="13"/>
  <c r="BK52" i="13"/>
  <c r="BC52" i="13"/>
  <c r="BB52" i="13"/>
  <c r="AH52" i="13"/>
  <c r="AG52" i="13"/>
  <c r="AA52" i="13"/>
  <c r="Z52" i="13"/>
  <c r="AQ52" i="13" s="1"/>
  <c r="AR52" i="13" s="1"/>
  <c r="AS52" i="13" s="1"/>
  <c r="N52" i="13"/>
  <c r="W50" i="13"/>
  <c r="U50" i="13"/>
  <c r="T50" i="13"/>
  <c r="S50" i="13"/>
  <c r="R50" i="13"/>
  <c r="Q50" i="13"/>
  <c r="P50" i="13"/>
  <c r="O50" i="13"/>
  <c r="M50" i="13"/>
  <c r="L50" i="13"/>
  <c r="G50" i="13"/>
  <c r="N49" i="13"/>
  <c r="V49" i="13" s="1"/>
  <c r="K49" i="13"/>
  <c r="N48" i="13"/>
  <c r="V48" i="13" s="1"/>
  <c r="K48" i="13"/>
  <c r="CU47" i="13"/>
  <c r="CT47" i="13"/>
  <c r="CS47" i="13"/>
  <c r="CR47" i="13"/>
  <c r="CO47" i="13"/>
  <c r="CM47" i="13"/>
  <c r="CL47" i="13"/>
  <c r="CK47" i="13"/>
  <c r="CJ47" i="13"/>
  <c r="CI47" i="13"/>
  <c r="CH47" i="13"/>
  <c r="CG47" i="13"/>
  <c r="BS47" i="13"/>
  <c r="BK47" i="13"/>
  <c r="BC47" i="13"/>
  <c r="BB47" i="13"/>
  <c r="AI47" i="13"/>
  <c r="CP47" i="13" s="1"/>
  <c r="AA47" i="13"/>
  <c r="N47" i="13"/>
  <c r="DE45" i="13"/>
  <c r="DD45" i="13"/>
  <c r="CU45" i="13"/>
  <c r="CT45" i="13"/>
  <c r="CS45" i="13"/>
  <c r="CR45" i="13"/>
  <c r="CQ45" i="13"/>
  <c r="CP45" i="13"/>
  <c r="CM45" i="13"/>
  <c r="CL45" i="13"/>
  <c r="CK45" i="13"/>
  <c r="CI45" i="13"/>
  <c r="CG45" i="13"/>
  <c r="BS45" i="13"/>
  <c r="BK45" i="13"/>
  <c r="CN45" i="13" s="1"/>
  <c r="BC45" i="13"/>
  <c r="AX45" i="13"/>
  <c r="BB45" i="13" s="1"/>
  <c r="AC45" i="13"/>
  <c r="AA45" i="13"/>
  <c r="AO45" i="13" s="1"/>
  <c r="AP45" i="13" s="1"/>
  <c r="N45" i="13"/>
  <c r="V45" i="13" s="1"/>
  <c r="K45" i="13" s="1"/>
  <c r="AN43" i="13"/>
  <c r="AM43" i="13"/>
  <c r="AL43" i="13"/>
  <c r="AK43" i="13"/>
  <c r="CR40" i="13" s="1"/>
  <c r="AJ43" i="13"/>
  <c r="AI43" i="13"/>
  <c r="CP40" i="13" s="1"/>
  <c r="AH43" i="13"/>
  <c r="AF43" i="13"/>
  <c r="CM40" i="13" s="1"/>
  <c r="AE43" i="13"/>
  <c r="AD43" i="13"/>
  <c r="AC43" i="13"/>
  <c r="CJ40" i="13" s="1"/>
  <c r="AB43" i="13"/>
  <c r="W43" i="13"/>
  <c r="U43" i="13"/>
  <c r="T43" i="13"/>
  <c r="S43" i="13"/>
  <c r="R43" i="13"/>
  <c r="Q43" i="13"/>
  <c r="P43" i="13"/>
  <c r="O43" i="13"/>
  <c r="M43" i="13"/>
  <c r="L43" i="13"/>
  <c r="G43" i="13"/>
  <c r="N42" i="13"/>
  <c r="V42" i="13" s="1"/>
  <c r="AG41" i="13"/>
  <c r="AA41" i="13"/>
  <c r="N41" i="13"/>
  <c r="CT40" i="13"/>
  <c r="CS40" i="13"/>
  <c r="CQ40" i="13"/>
  <c r="CL40" i="13"/>
  <c r="CK40" i="13"/>
  <c r="CI40" i="13"/>
  <c r="CH40" i="13"/>
  <c r="CG40" i="13"/>
  <c r="BS40" i="13"/>
  <c r="BL40" i="13"/>
  <c r="CO40" i="13" s="1"/>
  <c r="BB40" i="13"/>
  <c r="AG40" i="13"/>
  <c r="AG43" i="13" s="1"/>
  <c r="CN40" i="13" s="1"/>
  <c r="AA40" i="13"/>
  <c r="AA43" i="13" s="1"/>
  <c r="CF40" i="13" s="1"/>
  <c r="Z40" i="13"/>
  <c r="N40" i="13"/>
  <c r="V40" i="13" s="1"/>
  <c r="W38" i="13"/>
  <c r="U38" i="13"/>
  <c r="T38" i="13"/>
  <c r="S38" i="13"/>
  <c r="R38" i="13"/>
  <c r="Q38" i="13"/>
  <c r="P38" i="13"/>
  <c r="O38" i="13"/>
  <c r="M38" i="13"/>
  <c r="L38" i="13"/>
  <c r="G38" i="13"/>
  <c r="AX37" i="13"/>
  <c r="N37" i="13"/>
  <c r="V37" i="13" s="1"/>
  <c r="K37" i="13"/>
  <c r="CU36" i="13"/>
  <c r="CT36" i="13"/>
  <c r="CS36" i="13"/>
  <c r="CR36" i="13"/>
  <c r="CQ36" i="13"/>
  <c r="CP36" i="13"/>
  <c r="CM36" i="13"/>
  <c r="CL36" i="13"/>
  <c r="CK36" i="13"/>
  <c r="CJ36" i="13"/>
  <c r="CI36" i="13"/>
  <c r="CH36" i="13"/>
  <c r="CG36" i="13"/>
  <c r="BS36" i="13"/>
  <c r="BK36" i="13"/>
  <c r="BL36" i="13" s="1"/>
  <c r="CO36" i="13" s="1"/>
  <c r="BC36" i="13"/>
  <c r="AX36" i="13"/>
  <c r="BB36" i="13" s="1"/>
  <c r="AS36" i="13"/>
  <c r="AG36" i="13"/>
  <c r="AA36" i="13"/>
  <c r="N36" i="13"/>
  <c r="W34" i="13"/>
  <c r="U34" i="13"/>
  <c r="T34" i="13"/>
  <c r="S34" i="13"/>
  <c r="R34" i="13"/>
  <c r="Q34" i="13"/>
  <c r="P34" i="13"/>
  <c r="O34" i="13"/>
  <c r="M34" i="13"/>
  <c r="L34" i="13"/>
  <c r="G34" i="13"/>
  <c r="BC31" i="13" s="1"/>
  <c r="K33" i="13"/>
  <c r="N32" i="13"/>
  <c r="V32" i="13" s="1"/>
  <c r="K32" i="13" s="1"/>
  <c r="CU31" i="13"/>
  <c r="CT31" i="13"/>
  <c r="CS31" i="13"/>
  <c r="CR31" i="13"/>
  <c r="CQ31" i="13"/>
  <c r="CP31" i="13"/>
  <c r="CM31" i="13"/>
  <c r="CL31" i="13"/>
  <c r="CK31" i="13"/>
  <c r="CJ31" i="13"/>
  <c r="CI31" i="13"/>
  <c r="CH31" i="13"/>
  <c r="BS31" i="13"/>
  <c r="BK31" i="13"/>
  <c r="BB31" i="13"/>
  <c r="AG31" i="13"/>
  <c r="AA31" i="13"/>
  <c r="N31" i="13"/>
  <c r="DE29" i="13"/>
  <c r="DD29" i="13"/>
  <c r="CU29" i="13"/>
  <c r="CT29" i="13"/>
  <c r="CS29" i="13"/>
  <c r="CR29" i="13"/>
  <c r="CP29" i="13"/>
  <c r="CM29" i="13"/>
  <c r="CK29" i="13"/>
  <c r="CJ29" i="13"/>
  <c r="CI29" i="13"/>
  <c r="CH29" i="13"/>
  <c r="CG29" i="13"/>
  <c r="BS29" i="13"/>
  <c r="BL29" i="13"/>
  <c r="CO29" i="13" s="1"/>
  <c r="BK29" i="13"/>
  <c r="BC29" i="13"/>
  <c r="BI29" i="13" s="1"/>
  <c r="CL29" i="13" s="1"/>
  <c r="AX29" i="13"/>
  <c r="BB29" i="13" s="1"/>
  <c r="AG29" i="13"/>
  <c r="AA29" i="13"/>
  <c r="AO29" i="13" s="1"/>
  <c r="AP29" i="13" s="1"/>
  <c r="N29" i="13"/>
  <c r="V29" i="13" s="1"/>
  <c r="K29" i="13" s="1"/>
  <c r="W27" i="13"/>
  <c r="U27" i="13"/>
  <c r="T27" i="13"/>
  <c r="S27" i="13"/>
  <c r="R27" i="13"/>
  <c r="Q27" i="13"/>
  <c r="P27" i="13"/>
  <c r="O27" i="13"/>
  <c r="M27" i="13"/>
  <c r="L27" i="13"/>
  <c r="N26" i="13"/>
  <c r="V26" i="13" s="1"/>
  <c r="G26" i="13"/>
  <c r="CU25" i="13"/>
  <c r="CT25" i="13"/>
  <c r="CS25" i="13"/>
  <c r="CR25" i="13"/>
  <c r="CQ25" i="13"/>
  <c r="CP25" i="13"/>
  <c r="CO25" i="13"/>
  <c r="CM25" i="13"/>
  <c r="CL25" i="13"/>
  <c r="CJ25" i="13"/>
  <c r="CI25" i="13"/>
  <c r="CH25" i="13"/>
  <c r="CG25" i="13"/>
  <c r="BS25" i="13"/>
  <c r="BK25" i="13"/>
  <c r="BC25" i="13"/>
  <c r="BB25" i="13"/>
  <c r="AG25" i="13"/>
  <c r="AA25" i="13"/>
  <c r="N25" i="13"/>
  <c r="G25" i="13"/>
  <c r="W23" i="13"/>
  <c r="U23" i="13"/>
  <c r="T23" i="13"/>
  <c r="S23" i="13"/>
  <c r="R23" i="13"/>
  <c r="Q23" i="13"/>
  <c r="P23" i="13"/>
  <c r="AJ21" i="13" s="1"/>
  <c r="CQ21" i="13" s="1"/>
  <c r="O23" i="13"/>
  <c r="M23" i="13"/>
  <c r="L23" i="13"/>
  <c r="G23" i="13"/>
  <c r="N22" i="13"/>
  <c r="V22" i="13" s="1"/>
  <c r="K22" i="13" s="1"/>
  <c r="CU21" i="13"/>
  <c r="CT21" i="13"/>
  <c r="CS21" i="13"/>
  <c r="CR21" i="13"/>
  <c r="CP21" i="13"/>
  <c r="CM21" i="13"/>
  <c r="CL21" i="13"/>
  <c r="CK21" i="13"/>
  <c r="CJ21" i="13"/>
  <c r="CI21" i="13"/>
  <c r="CH21" i="13"/>
  <c r="CG21" i="13"/>
  <c r="BS21" i="13"/>
  <c r="BK21" i="13"/>
  <c r="BL21" i="13" s="1"/>
  <c r="BC21" i="13"/>
  <c r="BB21" i="13"/>
  <c r="AH21" i="13"/>
  <c r="AA21" i="13"/>
  <c r="Z21" i="13"/>
  <c r="N21" i="13"/>
  <c r="CK19" i="13"/>
  <c r="CJ19" i="13"/>
  <c r="CI19" i="13"/>
  <c r="CH19" i="13"/>
  <c r="CG19" i="13"/>
  <c r="CA19" i="13"/>
  <c r="CA85" i="13" s="1"/>
  <c r="BZ19" i="13"/>
  <c r="BY19" i="13"/>
  <c r="BX19" i="13"/>
  <c r="DA19" i="13" s="1"/>
  <c r="BW19" i="13"/>
  <c r="CZ19" i="13" s="1"/>
  <c r="BV19" i="13"/>
  <c r="CY19" i="13" s="1"/>
  <c r="BU19" i="13"/>
  <c r="CX19" i="13" s="1"/>
  <c r="BR19" i="13"/>
  <c r="BQ19" i="13"/>
  <c r="BP19" i="13"/>
  <c r="BO19" i="13"/>
  <c r="BO85" i="13" s="1"/>
  <c r="BM19" i="13"/>
  <c r="BL19" i="13"/>
  <c r="BJ19" i="13"/>
  <c r="BH19" i="13"/>
  <c r="BG19" i="13"/>
  <c r="BF19" i="13"/>
  <c r="BF85" i="13" s="1"/>
  <c r="BE19" i="13"/>
  <c r="BD19" i="13"/>
  <c r="AR19" i="13"/>
  <c r="AQ19" i="13"/>
  <c r="AN19" i="13"/>
  <c r="AM19" i="13"/>
  <c r="AJ19" i="13"/>
  <c r="AI19" i="13"/>
  <c r="AH19" i="13"/>
  <c r="AF19" i="13"/>
  <c r="AE19" i="13"/>
  <c r="AD19" i="13"/>
  <c r="AC19" i="13"/>
  <c r="AB19" i="13"/>
  <c r="Z19" i="13"/>
  <c r="W18" i="13"/>
  <c r="U18" i="13"/>
  <c r="T18" i="13"/>
  <c r="S18" i="13"/>
  <c r="R18" i="13"/>
  <c r="Q18" i="13"/>
  <c r="P18" i="13"/>
  <c r="O18" i="13"/>
  <c r="M18" i="13"/>
  <c r="L18" i="13"/>
  <c r="N17" i="13"/>
  <c r="V17" i="13" s="1"/>
  <c r="K17" i="13"/>
  <c r="N16" i="13"/>
  <c r="V16" i="13" s="1"/>
  <c r="K16" i="13"/>
  <c r="N15" i="13"/>
  <c r="V15" i="13" s="1"/>
  <c r="K15" i="13" s="1"/>
  <c r="N14" i="13"/>
  <c r="V14" i="13" s="1"/>
  <c r="K14" i="13" s="1"/>
  <c r="N13" i="13"/>
  <c r="V13" i="13" s="1"/>
  <c r="K13" i="13" s="1"/>
  <c r="DE12" i="13"/>
  <c r="DD12" i="13"/>
  <c r="DC12" i="13"/>
  <c r="DB12" i="13"/>
  <c r="DA12" i="13"/>
  <c r="CZ12" i="13"/>
  <c r="CY12" i="13"/>
  <c r="CX12" i="13"/>
  <c r="CU12" i="13"/>
  <c r="CT12" i="13"/>
  <c r="CS12" i="13"/>
  <c r="CR12" i="13"/>
  <c r="CQ12" i="13"/>
  <c r="CP12" i="13"/>
  <c r="CO12" i="13"/>
  <c r="CM12" i="13"/>
  <c r="CK12" i="13"/>
  <c r="CJ12" i="13"/>
  <c r="CI12" i="13"/>
  <c r="CH12" i="13"/>
  <c r="CG12" i="13"/>
  <c r="BS12" i="13"/>
  <c r="BK12" i="13"/>
  <c r="BC12" i="13"/>
  <c r="BI12" i="13" s="1"/>
  <c r="BB12" i="13"/>
  <c r="AG12" i="13"/>
  <c r="AA12" i="13"/>
  <c r="CF12" i="13" s="1"/>
  <c r="N12" i="13"/>
  <c r="U11" i="13"/>
  <c r="T11" i="13"/>
  <c r="T19" i="13" s="1"/>
  <c r="S11" i="13"/>
  <c r="R11" i="13"/>
  <c r="Q11" i="13"/>
  <c r="P11" i="13"/>
  <c r="O11" i="13"/>
  <c r="M11" i="13"/>
  <c r="L11" i="13"/>
  <c r="L19" i="13" s="1"/>
  <c r="G11" i="13"/>
  <c r="N10" i="13"/>
  <c r="V10" i="13" s="1"/>
  <c r="K10" i="13" s="1"/>
  <c r="N9" i="13"/>
  <c r="V9" i="13" s="1"/>
  <c r="K9" i="13"/>
  <c r="N8" i="13"/>
  <c r="V8" i="13" s="1"/>
  <c r="K8" i="13"/>
  <c r="N7" i="13"/>
  <c r="V7" i="13" s="1"/>
  <c r="K7" i="13" s="1"/>
  <c r="DC6" i="13"/>
  <c r="DB6" i="13"/>
  <c r="DA6" i="13"/>
  <c r="CZ6" i="13"/>
  <c r="CY6" i="13"/>
  <c r="CX6" i="13"/>
  <c r="CU6" i="13"/>
  <c r="CT6" i="13"/>
  <c r="CP6" i="13"/>
  <c r="CO6" i="13"/>
  <c r="CM6" i="13"/>
  <c r="CK6" i="13"/>
  <c r="CJ6" i="13"/>
  <c r="CI6" i="13"/>
  <c r="CH6" i="13"/>
  <c r="CG6" i="13"/>
  <c r="CC6" i="13"/>
  <c r="CC19" i="13" s="1"/>
  <c r="CB6" i="13"/>
  <c r="CB19" i="13" s="1"/>
  <c r="BB6" i="13"/>
  <c r="BT6" i="13" s="1"/>
  <c r="CW6" i="13" s="1"/>
  <c r="AS6" i="13"/>
  <c r="AS19" i="13" s="1"/>
  <c r="AL6" i="13"/>
  <c r="AA6" i="13"/>
  <c r="N6" i="13"/>
  <c r="CU4" i="13"/>
  <c r="CT4" i="13"/>
  <c r="CS4" i="13"/>
  <c r="CR4" i="13"/>
  <c r="CQ4" i="13"/>
  <c r="CP4" i="13"/>
  <c r="CM4" i="13"/>
  <c r="CL4" i="13"/>
  <c r="CK4" i="13"/>
  <c r="CJ4" i="13"/>
  <c r="CI4" i="13"/>
  <c r="CH4" i="13"/>
  <c r="CG4" i="13"/>
  <c r="BS4" i="13"/>
  <c r="BK4" i="13"/>
  <c r="BC4" i="13"/>
  <c r="BB4" i="13"/>
  <c r="AG4" i="13"/>
  <c r="AA4" i="13"/>
  <c r="N4" i="13"/>
  <c r="V4" i="13" s="1"/>
  <c r="K4" i="13" s="1"/>
  <c r="AO4" i="13" l="1"/>
  <c r="AP4" i="13" s="1"/>
  <c r="BT4" i="13"/>
  <c r="BU4" i="13" s="1"/>
  <c r="CX4" i="13" s="1"/>
  <c r="CE4" i="13"/>
  <c r="CF4" i="13"/>
  <c r="CN4" i="13"/>
  <c r="BL4" i="13"/>
  <c r="CO4" i="13" s="1"/>
  <c r="W6" i="13"/>
  <c r="W11" i="13" s="1"/>
  <c r="V6" i="13"/>
  <c r="AL19" i="13"/>
  <c r="CS19" i="13" s="1"/>
  <c r="CS6" i="13"/>
  <c r="BS6" i="13"/>
  <c r="G19" i="13"/>
  <c r="AO12" i="13"/>
  <c r="AP12" i="13" s="1"/>
  <c r="CE12" i="13"/>
  <c r="BB19" i="13"/>
  <c r="CE19" i="13" s="1"/>
  <c r="BT12" i="13"/>
  <c r="CV12" i="13"/>
  <c r="DB19" i="13"/>
  <c r="DC19" i="13"/>
  <c r="M19" i="13"/>
  <c r="O19" i="13"/>
  <c r="P19" i="13"/>
  <c r="R19" i="13"/>
  <c r="S19" i="13"/>
  <c r="U19" i="13"/>
  <c r="W19" i="13"/>
  <c r="CO19" i="13"/>
  <c r="CP19" i="13"/>
  <c r="CT19" i="13"/>
  <c r="CE21" i="13"/>
  <c r="CF21" i="13"/>
  <c r="CO21" i="13"/>
  <c r="V25" i="13"/>
  <c r="N27" i="13"/>
  <c r="CE25" i="13"/>
  <c r="BT25" i="13"/>
  <c r="CF25" i="13"/>
  <c r="BH25" i="13"/>
  <c r="K26" i="13"/>
  <c r="BT29" i="13"/>
  <c r="CE29" i="13"/>
  <c r="N34" i="13"/>
  <c r="V31" i="13"/>
  <c r="AO31" i="13"/>
  <c r="AP31" i="13" s="1"/>
  <c r="CE31" i="13"/>
  <c r="BT31" i="13"/>
  <c r="CV31" i="13"/>
  <c r="N38" i="13"/>
  <c r="V36" i="13"/>
  <c r="V38" i="13" s="1"/>
  <c r="K38" i="13" s="1"/>
  <c r="AO36" i="13"/>
  <c r="AP36" i="13" s="1"/>
  <c r="BT36" i="13"/>
  <c r="CE36" i="13"/>
  <c r="CF36" i="13"/>
  <c r="CV36" i="13"/>
  <c r="AO41" i="13"/>
  <c r="AN85" i="13"/>
  <c r="BT45" i="13"/>
  <c r="CE45" i="13"/>
  <c r="BE45" i="13"/>
  <c r="BG45" i="13"/>
  <c r="BG85" i="13" s="1"/>
  <c r="CV45" i="13"/>
  <c r="N50" i="13"/>
  <c r="V47" i="13"/>
  <c r="CE47" i="13"/>
  <c r="BT47" i="13"/>
  <c r="CW47" i="13" s="1"/>
  <c r="V52" i="13"/>
  <c r="N54" i="13"/>
  <c r="AO52" i="13"/>
  <c r="AP52" i="13" s="1"/>
  <c r="CF52" i="13"/>
  <c r="CN52" i="13"/>
  <c r="BL52" i="13"/>
  <c r="CO52" i="13" s="1"/>
  <c r="AO56" i="13"/>
  <c r="AP56" i="13" s="1"/>
  <c r="CV56" i="13"/>
  <c r="N63" i="13"/>
  <c r="V60" i="13"/>
  <c r="K60" i="13" s="1"/>
  <c r="AM85" i="13"/>
  <c r="BT60" i="13"/>
  <c r="CE60" i="13"/>
  <c r="CF60" i="13"/>
  <c r="N67" i="13"/>
  <c r="V65" i="13"/>
  <c r="AO65" i="13"/>
  <c r="AP65" i="13" s="1"/>
  <c r="CF65" i="13"/>
  <c r="BD65" i="13"/>
  <c r="CN65" i="13"/>
  <c r="AO69" i="13"/>
  <c r="AP69" i="13" s="1"/>
  <c r="CE69" i="13"/>
  <c r="BT69" i="13"/>
  <c r="CF69" i="13"/>
  <c r="BL69" i="13"/>
  <c r="CN69" i="13"/>
  <c r="AO71" i="13"/>
  <c r="AP71" i="13" s="1"/>
  <c r="AH71" i="13"/>
  <c r="CO71" i="13" s="1"/>
  <c r="CE71" i="13"/>
  <c r="BT71" i="13"/>
  <c r="CW71" i="13" s="1"/>
  <c r="CF71" i="13"/>
  <c r="AO73" i="13"/>
  <c r="AP73" i="13" s="1"/>
  <c r="CE73" i="13"/>
  <c r="CF73" i="13"/>
  <c r="CV73" i="13"/>
  <c r="AF77" i="13"/>
  <c r="AO77" i="13"/>
  <c r="CF77" i="13"/>
  <c r="CY77" i="13"/>
  <c r="BY77" i="13"/>
  <c r="DB77" i="13" s="1"/>
  <c r="G79" i="13"/>
  <c r="K78" i="13"/>
  <c r="N83" i="13"/>
  <c r="V81" i="13"/>
  <c r="DD81" i="13"/>
  <c r="DE81" i="13"/>
  <c r="CN81" i="13"/>
  <c r="BN81" i="13"/>
  <c r="CQ81" i="13" s="1"/>
  <c r="K82" i="13"/>
  <c r="BZ4" i="14"/>
  <c r="BF76" i="14"/>
  <c r="CG4" i="14"/>
  <c r="BG4" i="14"/>
  <c r="CH4" i="14" s="1"/>
  <c r="CO4" i="14"/>
  <c r="W8" i="14"/>
  <c r="N11" i="14"/>
  <c r="AE8" i="14" s="1"/>
  <c r="BE8" i="14"/>
  <c r="CF8" i="14" s="1"/>
  <c r="BD8" i="14"/>
  <c r="CA13" i="14"/>
  <c r="N21" i="14"/>
  <c r="AE18" i="14" s="1"/>
  <c r="CG18" i="14" s="1"/>
  <c r="W19" i="14"/>
  <c r="K19" i="14" s="1"/>
  <c r="V76" i="14"/>
  <c r="AE27" i="14"/>
  <c r="W27" i="14"/>
  <c r="K27" i="14" s="1"/>
  <c r="BZ27" i="14"/>
  <c r="BO27" i="14"/>
  <c r="CA27" i="14"/>
  <c r="BZ29" i="14"/>
  <c r="BO29" i="14"/>
  <c r="CJ29" i="14"/>
  <c r="CH29" i="14"/>
  <c r="N38" i="14"/>
  <c r="AE36" i="14" s="1"/>
  <c r="W36" i="14"/>
  <c r="CA36" i="14"/>
  <c r="BE36" i="14"/>
  <c r="CF36" i="14" s="1"/>
  <c r="CG36" i="14"/>
  <c r="BG36" i="14"/>
  <c r="CH36" i="14" s="1"/>
  <c r="N44" i="14"/>
  <c r="AE40" i="14" s="1"/>
  <c r="W40" i="14"/>
  <c r="CA46" i="14"/>
  <c r="CH46" i="14"/>
  <c r="BZ48" i="14"/>
  <c r="CA48" i="14"/>
  <c r="CH48" i="14"/>
  <c r="AE50" i="14"/>
  <c r="W50" i="14"/>
  <c r="BZ50" i="14"/>
  <c r="AE52" i="14"/>
  <c r="CG52" i="14" s="1"/>
  <c r="W52" i="14"/>
  <c r="AM52" i="14" s="1"/>
  <c r="BZ52" i="14"/>
  <c r="CH52" i="14"/>
  <c r="CO52" i="14"/>
  <c r="N57" i="14"/>
  <c r="W54" i="14"/>
  <c r="AM54" i="14"/>
  <c r="AF54" i="14"/>
  <c r="AO54" i="14" s="1"/>
  <c r="AP54" i="14" s="1"/>
  <c r="BZ54" i="14"/>
  <c r="CG54" i="14"/>
  <c r="BG54" i="14"/>
  <c r="CH54" i="14" s="1"/>
  <c r="CO54" i="14"/>
  <c r="AE59" i="14"/>
  <c r="W59" i="14"/>
  <c r="BZ59" i="14"/>
  <c r="BO59" i="14"/>
  <c r="CA59" i="14"/>
  <c r="CG59" i="14"/>
  <c r="BG59" i="14"/>
  <c r="CH59" i="14" s="1"/>
  <c r="AN62" i="14"/>
  <c r="AM62" i="14"/>
  <c r="CA61" i="14"/>
  <c r="R76" i="14"/>
  <c r="AE65" i="14"/>
  <c r="W65" i="14"/>
  <c r="AA76" i="14"/>
  <c r="BZ65" i="14"/>
  <c r="CA65" i="14"/>
  <c r="CG65" i="14"/>
  <c r="AM67" i="14"/>
  <c r="AF67" i="14"/>
  <c r="AO67" i="14" s="1"/>
  <c r="BO67" i="14"/>
  <c r="BP67" i="14" s="1"/>
  <c r="BZ67" i="14"/>
  <c r="CG67" i="14"/>
  <c r="BG67" i="14"/>
  <c r="CH67" i="14" s="1"/>
  <c r="CO67" i="14"/>
  <c r="AE69" i="14"/>
  <c r="W69" i="14"/>
  <c r="BO69" i="14"/>
  <c r="BP69" i="14" s="1"/>
  <c r="BZ69" i="14"/>
  <c r="CA69" i="14"/>
  <c r="CG69" i="14"/>
  <c r="BG69" i="14"/>
  <c r="CH69" i="14" s="1"/>
  <c r="AE71" i="14"/>
  <c r="W71" i="14"/>
  <c r="BO71" i="14"/>
  <c r="BP71" i="14" s="1"/>
  <c r="BZ71" i="14"/>
  <c r="CA71" i="14"/>
  <c r="CG71" i="14"/>
  <c r="BG71" i="14"/>
  <c r="CH71" i="14" s="1"/>
  <c r="CW25" i="13"/>
  <c r="BW25" i="13"/>
  <c r="CZ25" i="13" s="1"/>
  <c r="BU25" i="13"/>
  <c r="CX25" i="13" s="1"/>
  <c r="K40" i="13"/>
  <c r="DD6" i="13"/>
  <c r="BD31" i="13"/>
  <c r="CG31" i="13" s="1"/>
  <c r="CF31" i="13"/>
  <c r="BW45" i="13"/>
  <c r="CZ45" i="13" s="1"/>
  <c r="CW45" i="13"/>
  <c r="BU45" i="13"/>
  <c r="CX45" i="13" s="1"/>
  <c r="V34" i="13"/>
  <c r="K34" i="13" s="1"/>
  <c r="K31" i="13"/>
  <c r="AO40" i="13"/>
  <c r="AO43" i="13" s="1"/>
  <c r="AP40" i="13" s="1"/>
  <c r="Z43" i="13"/>
  <c r="Z85" i="13" s="1"/>
  <c r="AQ40" i="13"/>
  <c r="AR40" i="13" s="1"/>
  <c r="AS40" i="13" s="1"/>
  <c r="N43" i="13"/>
  <c r="V41" i="13"/>
  <c r="CN12" i="13"/>
  <c r="CL12" i="13"/>
  <c r="CN25" i="13"/>
  <c r="AO25" i="13"/>
  <c r="CW36" i="13"/>
  <c r="BW36" i="13"/>
  <c r="BE85" i="13"/>
  <c r="CH45" i="13"/>
  <c r="CJ45" i="13"/>
  <c r="CE52" i="13"/>
  <c r="BT52" i="13"/>
  <c r="N23" i="13"/>
  <c r="AG21" i="13" s="1"/>
  <c r="V21" i="13"/>
  <c r="K6" i="13"/>
  <c r="V11" i="13"/>
  <c r="K11" i="13" s="1"/>
  <c r="BW29" i="13"/>
  <c r="CW29" i="13"/>
  <c r="BU29" i="13"/>
  <c r="CX29" i="13" s="1"/>
  <c r="N18" i="13"/>
  <c r="V12" i="13"/>
  <c r="CW12" i="13"/>
  <c r="BT19" i="13"/>
  <c r="CW19" i="13" s="1"/>
  <c r="BR85" i="13"/>
  <c r="CU19" i="13"/>
  <c r="DE19" i="13"/>
  <c r="CE40" i="13"/>
  <c r="BT40" i="13"/>
  <c r="V50" i="13"/>
  <c r="K50" i="13" s="1"/>
  <c r="K47" i="13"/>
  <c r="DD19" i="13"/>
  <c r="CN29" i="13"/>
  <c r="BN29" i="13"/>
  <c r="CQ29" i="13" s="1"/>
  <c r="BN47" i="13"/>
  <c r="CQ47" i="13" s="1"/>
  <c r="AR85" i="13"/>
  <c r="AS73" i="13"/>
  <c r="AS85" i="13" s="1"/>
  <c r="DE6" i="13"/>
  <c r="BJ85" i="13"/>
  <c r="CM19" i="13"/>
  <c r="CN31" i="13"/>
  <c r="BL31" i="13"/>
  <c r="CO31" i="13" s="1"/>
  <c r="CV40" i="13"/>
  <c r="BX45" i="13"/>
  <c r="BZ45" i="13" s="1"/>
  <c r="DC45" i="13" s="1"/>
  <c r="K25" i="13"/>
  <c r="V27" i="13"/>
  <c r="K27" i="13" s="1"/>
  <c r="BW4" i="13"/>
  <c r="CW4" i="13"/>
  <c r="BV4" i="13"/>
  <c r="BY4" i="13" s="1"/>
  <c r="CB4" i="13" s="1"/>
  <c r="CV4" i="13"/>
  <c r="AK6" i="13"/>
  <c r="Q19" i="13"/>
  <c r="Q85" i="13" s="1"/>
  <c r="CV29" i="13"/>
  <c r="BU36" i="13"/>
  <c r="V75" i="13"/>
  <c r="K75" i="13" s="1"/>
  <c r="K73" i="13"/>
  <c r="P85" i="13"/>
  <c r="CP8" i="14"/>
  <c r="BR8" i="14"/>
  <c r="BS8" i="14" s="1"/>
  <c r="BU8" i="14" s="1"/>
  <c r="BX8" i="14" s="1"/>
  <c r="BS19" i="13"/>
  <c r="K36" i="13"/>
  <c r="CN36" i="13"/>
  <c r="AD85" i="13"/>
  <c r="AC85" i="13"/>
  <c r="BD85" i="13"/>
  <c r="CO69" i="13"/>
  <c r="AF85" i="13"/>
  <c r="CM77" i="13"/>
  <c r="CM85" i="13" s="1"/>
  <c r="CM90" i="13" s="1"/>
  <c r="CZ77" i="13"/>
  <c r="BX77" i="13"/>
  <c r="S85" i="13"/>
  <c r="CA4" i="14"/>
  <c r="CA8" i="14"/>
  <c r="K79" i="13"/>
  <c r="R85" i="13"/>
  <c r="K8" i="14"/>
  <c r="W11" i="14"/>
  <c r="BC6" i="13"/>
  <c r="CE6" i="13"/>
  <c r="AA19" i="13"/>
  <c r="AE85" i="13"/>
  <c r="BL45" i="13"/>
  <c r="AG47" i="13"/>
  <c r="AO47" i="13" s="1"/>
  <c r="AP47" i="13" s="1"/>
  <c r="AL85" i="13"/>
  <c r="CS60" i="13"/>
  <c r="L85" i="13"/>
  <c r="T85" i="13"/>
  <c r="AH85" i="13"/>
  <c r="AI46" i="14"/>
  <c r="CK46" i="14" s="1"/>
  <c r="K46" i="14"/>
  <c r="AM46" i="14"/>
  <c r="CO46" i="14" s="1"/>
  <c r="K59" i="14"/>
  <c r="AM59" i="14"/>
  <c r="CO59" i="14" s="1"/>
  <c r="N63" i="14"/>
  <c r="AE61" i="14"/>
  <c r="AE63" i="14" s="1"/>
  <c r="W61" i="14"/>
  <c r="M85" i="13"/>
  <c r="AQ85" i="13"/>
  <c r="BK6" i="13"/>
  <c r="BK19" i="13" s="1"/>
  <c r="CF29" i="13"/>
  <c r="BU31" i="13"/>
  <c r="CX31" i="13" s="1"/>
  <c r="CU40" i="13"/>
  <c r="CU85" i="13" s="1"/>
  <c r="CU90" i="13" s="1"/>
  <c r="CF45" i="13"/>
  <c r="BU47" i="13"/>
  <c r="CX47" i="13" s="1"/>
  <c r="CV52" i="13"/>
  <c r="BP85" i="13"/>
  <c r="CW60" i="13"/>
  <c r="BW60" i="13"/>
  <c r="CZ60" i="13" s="1"/>
  <c r="BU60" i="13"/>
  <c r="V67" i="13"/>
  <c r="K67" i="13" s="1"/>
  <c r="CV65" i="13"/>
  <c r="CV69" i="13"/>
  <c r="W85" i="13"/>
  <c r="N6" i="14"/>
  <c r="W4" i="14"/>
  <c r="CG8" i="14"/>
  <c r="W29" i="14"/>
  <c r="N34" i="14"/>
  <c r="AE29" i="14" s="1"/>
  <c r="CG29" i="14" s="1"/>
  <c r="U85" i="13"/>
  <c r="N11" i="13"/>
  <c r="BH85" i="13"/>
  <c r="CH85" i="13"/>
  <c r="O85" i="13"/>
  <c r="BP8" i="14"/>
  <c r="BQ8" i="14" s="1"/>
  <c r="BT8" i="14" s="1"/>
  <c r="BW8" i="14" s="1"/>
  <c r="BT21" i="13"/>
  <c r="BW31" i="13"/>
  <c r="CZ31" i="13" s="1"/>
  <c r="CW31" i="13"/>
  <c r="BW47" i="13"/>
  <c r="CZ47" i="13" s="1"/>
  <c r="DA47" i="13" s="1"/>
  <c r="CT60" i="13"/>
  <c r="BK60" i="13"/>
  <c r="CN71" i="13"/>
  <c r="BN71" i="13"/>
  <c r="CI85" i="13"/>
  <c r="CS85" i="13"/>
  <c r="CS90" i="13" s="1"/>
  <c r="BZ8" i="14"/>
  <c r="CB52" i="14"/>
  <c r="CY47" i="13"/>
  <c r="CO60" i="13"/>
  <c r="AG60" i="13"/>
  <c r="AO60" i="13" s="1"/>
  <c r="AP60" i="13" s="1"/>
  <c r="BO18" i="14"/>
  <c r="BZ18" i="14"/>
  <c r="CK25" i="13"/>
  <c r="CK85" i="13" s="1"/>
  <c r="CK90" i="13" s="1"/>
  <c r="AB85" i="13"/>
  <c r="AJ85" i="13"/>
  <c r="CF47" i="13"/>
  <c r="BX47" i="13"/>
  <c r="BZ47" i="13" s="1"/>
  <c r="V56" i="13"/>
  <c r="N58" i="13"/>
  <c r="BT65" i="13"/>
  <c r="CE65" i="13"/>
  <c r="CV71" i="13"/>
  <c r="BM85" i="13"/>
  <c r="CJ85" i="13"/>
  <c r="CJ90" i="13" s="1"/>
  <c r="CT85" i="13"/>
  <c r="CT90" i="13" s="1"/>
  <c r="V83" i="13"/>
  <c r="K83" i="13" s="1"/>
  <c r="N16" i="14"/>
  <c r="AE13" i="14" s="1"/>
  <c r="CG13" i="14" s="1"/>
  <c r="W13" i="14"/>
  <c r="V63" i="13"/>
  <c r="K63" i="13" s="1"/>
  <c r="BU69" i="13"/>
  <c r="BT73" i="13"/>
  <c r="CX77" i="13"/>
  <c r="W38" i="14"/>
  <c r="BN40" i="14"/>
  <c r="BA40" i="14"/>
  <c r="CB40" i="14" s="1"/>
  <c r="CP59" i="14"/>
  <c r="BR59" i="14"/>
  <c r="BS59" i="14" s="1"/>
  <c r="BU59" i="14" s="1"/>
  <c r="BX59" i="14" s="1"/>
  <c r="BP59" i="14"/>
  <c r="BQ59" i="14" s="1"/>
  <c r="BT59" i="14" s="1"/>
  <c r="BW59" i="14" s="1"/>
  <c r="Q76" i="14"/>
  <c r="BB56" i="13"/>
  <c r="BB85" i="13" s="1"/>
  <c r="K65" i="13"/>
  <c r="CG65" i="13"/>
  <c r="CG85" i="13" s="1"/>
  <c r="CG90" i="13" s="1"/>
  <c r="BW69" i="13"/>
  <c r="CW69" i="13"/>
  <c r="CN73" i="13"/>
  <c r="K81" i="13"/>
  <c r="AA85" i="13"/>
  <c r="W21" i="14"/>
  <c r="K18" i="14"/>
  <c r="CH18" i="14"/>
  <c r="AN27" i="14"/>
  <c r="AN23" i="14"/>
  <c r="CG27" i="14"/>
  <c r="W44" i="14"/>
  <c r="BZ46" i="14"/>
  <c r="BZ61" i="14"/>
  <c r="AF76" i="14"/>
  <c r="BK56" i="13"/>
  <c r="CL60" i="13"/>
  <c r="AZ77" i="13"/>
  <c r="BQ85" i="13"/>
  <c r="BZ13" i="14"/>
  <c r="BO13" i="14"/>
  <c r="BP29" i="14"/>
  <c r="BQ29" i="14" s="1"/>
  <c r="BT29" i="14" s="1"/>
  <c r="BW29" i="14" s="1"/>
  <c r="CP29" i="14"/>
  <c r="BR29" i="14"/>
  <c r="BS29" i="14" s="1"/>
  <c r="BU29" i="14" s="1"/>
  <c r="BX29" i="14" s="1"/>
  <c r="CA40" i="14"/>
  <c r="S76" i="14"/>
  <c r="CG61" i="14"/>
  <c r="AP67" i="14"/>
  <c r="BP27" i="14"/>
  <c r="CP27" i="14"/>
  <c r="BR27" i="14"/>
  <c r="BS27" i="14" s="1"/>
  <c r="BU27" i="14" s="1"/>
  <c r="BX27" i="14" s="1"/>
  <c r="CG50" i="14"/>
  <c r="BG50" i="14"/>
  <c r="CH50" i="14" s="1"/>
  <c r="U76" i="14"/>
  <c r="AI76" i="14"/>
  <c r="CK61" i="14"/>
  <c r="CK76" i="14" s="1"/>
  <c r="CP67" i="14"/>
  <c r="BR67" i="14"/>
  <c r="BS67" i="14" s="1"/>
  <c r="BU67" i="14" s="1"/>
  <c r="BX67" i="14" s="1"/>
  <c r="BQ67" i="14"/>
  <c r="BT67" i="14" s="1"/>
  <c r="BW67" i="14" s="1"/>
  <c r="AJ76" i="14"/>
  <c r="BU71" i="13"/>
  <c r="CX71" i="13" s="1"/>
  <c r="CY71" i="13" s="1"/>
  <c r="AI73" i="13"/>
  <c r="AI85" i="13" s="1"/>
  <c r="CY81" i="13"/>
  <c r="BO4" i="14"/>
  <c r="BQ27" i="14"/>
  <c r="BT27" i="14" s="1"/>
  <c r="BW27" i="14" s="1"/>
  <c r="CG40" i="14"/>
  <c r="BI40" i="14"/>
  <c r="BG40" i="14" s="1"/>
  <c r="CH40" i="14" s="1"/>
  <c r="T76" i="14"/>
  <c r="AK40" i="14"/>
  <c r="CM40" i="14" s="1"/>
  <c r="W57" i="14"/>
  <c r="K57" i="14" s="1"/>
  <c r="M76" i="14"/>
  <c r="BV71" i="13"/>
  <c r="BY71" i="13" s="1"/>
  <c r="BS77" i="13"/>
  <c r="CB76" i="14"/>
  <c r="BI8" i="14"/>
  <c r="CJ8" i="14" s="1"/>
  <c r="W23" i="14"/>
  <c r="N25" i="14"/>
  <c r="AE23" i="14" s="1"/>
  <c r="CG23" i="14" s="1"/>
  <c r="CH23" i="14"/>
  <c r="AZ23" i="14"/>
  <c r="AY23" i="14"/>
  <c r="AY76" i="14" s="1"/>
  <c r="BN23" i="14"/>
  <c r="BN76" i="14" s="1"/>
  <c r="CA29" i="14"/>
  <c r="L76" i="14"/>
  <c r="Z40" i="14"/>
  <c r="BZ40" i="14" s="1"/>
  <c r="AE48" i="14"/>
  <c r="CG48" i="14" s="1"/>
  <c r="W48" i="14"/>
  <c r="O76" i="14"/>
  <c r="X76" i="14"/>
  <c r="K69" i="14"/>
  <c r="AM69" i="14"/>
  <c r="CO69" i="14" s="1"/>
  <c r="K71" i="14"/>
  <c r="AM71" i="14"/>
  <c r="AL76" i="14"/>
  <c r="CN71" i="14"/>
  <c r="CN76" i="14" s="1"/>
  <c r="BW71" i="13"/>
  <c r="CZ71" i="13" s="1"/>
  <c r="DA71" i="13" s="1"/>
  <c r="AM27" i="14"/>
  <c r="CO27" i="14" s="1"/>
  <c r="BZ36" i="14"/>
  <c r="BO36" i="14"/>
  <c r="CP46" i="14"/>
  <c r="BR46" i="14"/>
  <c r="BS46" i="14" s="1"/>
  <c r="BU46" i="14" s="1"/>
  <c r="BX46" i="14" s="1"/>
  <c r="BP46" i="14"/>
  <c r="BQ46" i="14" s="1"/>
  <c r="BT46" i="14" s="1"/>
  <c r="BW46" i="14" s="1"/>
  <c r="AK76" i="14"/>
  <c r="CM61" i="14"/>
  <c r="CM76" i="14" s="1"/>
  <c r="P76" i="14"/>
  <c r="CP69" i="14"/>
  <c r="BR69" i="14"/>
  <c r="BS69" i="14" s="1"/>
  <c r="BU69" i="14" s="1"/>
  <c r="BX69" i="14" s="1"/>
  <c r="BQ69" i="14"/>
  <c r="BT69" i="14" s="1"/>
  <c r="BW69" i="14" s="1"/>
  <c r="Z76" i="14"/>
  <c r="CP71" i="14"/>
  <c r="BR71" i="14"/>
  <c r="BS71" i="14" s="1"/>
  <c r="BU71" i="14" s="1"/>
  <c r="BX71" i="14" s="1"/>
  <c r="BQ71" i="14"/>
  <c r="BT71" i="14" s="1"/>
  <c r="BW71" i="14" s="1"/>
  <c r="BR40" i="14"/>
  <c r="BS40" i="14" s="1"/>
  <c r="BU40" i="14" s="1"/>
  <c r="BX40" i="14" s="1"/>
  <c r="BO61" i="14"/>
  <c r="BO65" i="14"/>
  <c r="CL71" i="14"/>
  <c r="CL76" i="14" s="1"/>
  <c r="K40" i="14"/>
  <c r="AE46" i="14"/>
  <c r="CG46" i="14" s="1"/>
  <c r="BO48" i="14"/>
  <c r="K52" i="14"/>
  <c r="BO54" i="14"/>
  <c r="BO50" i="14"/>
  <c r="K54" i="14"/>
  <c r="AH76" i="14"/>
  <c r="BG27" i="14"/>
  <c r="CH27" i="14" s="1"/>
  <c r="K36" i="14"/>
  <c r="CP40" i="14"/>
  <c r="BO52" i="14"/>
  <c r="BI36" i="14"/>
  <c r="CJ36" i="14" s="1"/>
  <c r="BG61" i="14"/>
  <c r="CH61" i="14" s="1"/>
  <c r="BG65" i="14"/>
  <c r="CH65" i="14" s="1"/>
  <c r="CZ69" i="13" l="1"/>
  <c r="BX69" i="13"/>
  <c r="BZ69" i="13" s="1"/>
  <c r="CX60" i="13"/>
  <c r="BV60" i="13"/>
  <c r="BY60" i="13" s="1"/>
  <c r="CO45" i="13"/>
  <c r="CO85" i="13" s="1"/>
  <c r="CO90" i="13" s="1"/>
  <c r="BL85" i="13"/>
  <c r="CX36" i="13"/>
  <c r="BV36" i="13"/>
  <c r="BY36" i="13" s="1"/>
  <c r="CZ4" i="13"/>
  <c r="BX4" i="13"/>
  <c r="BZ4" i="13" s="1"/>
  <c r="CC4" i="13" s="1"/>
  <c r="CZ36" i="13"/>
  <c r="BX36" i="13"/>
  <c r="BZ36" i="13" s="1"/>
  <c r="K41" i="13"/>
  <c r="V43" i="13"/>
  <c r="K43" i="13" s="1"/>
  <c r="AM65" i="14"/>
  <c r="CO65" i="14" s="1"/>
  <c r="K65" i="14"/>
  <c r="AN63" i="14"/>
  <c r="AN76" i="14" s="1"/>
  <c r="AO62" i="14"/>
  <c r="K50" i="14"/>
  <c r="AM50" i="14"/>
  <c r="CO50" i="14" s="1"/>
  <c r="BD76" i="14"/>
  <c r="CE8" i="14"/>
  <c r="CE76" i="14" s="1"/>
  <c r="BK77" i="13"/>
  <c r="AX77" i="13"/>
  <c r="AP77" i="13"/>
  <c r="K52" i="13"/>
  <c r="V54" i="13"/>
  <c r="K54" i="13" s="1"/>
  <c r="CH76" i="14"/>
  <c r="CG76" i="14"/>
  <c r="AW19" i="13"/>
  <c r="W16" i="14"/>
  <c r="K13" i="14"/>
  <c r="DA31" i="13"/>
  <c r="CY31" i="13"/>
  <c r="DB36" i="13"/>
  <c r="CB36" i="13"/>
  <c r="DD36" i="13" s="1"/>
  <c r="CY45" i="13"/>
  <c r="DA45" i="13"/>
  <c r="K48" i="14"/>
  <c r="AM48" i="14"/>
  <c r="CO48" i="14" s="1"/>
  <c r="DA69" i="13"/>
  <c r="BU21" i="13"/>
  <c r="CX21" i="13" s="1"/>
  <c r="CW21" i="13"/>
  <c r="BW21" i="13"/>
  <c r="BV47" i="13"/>
  <c r="BY47" i="13" s="1"/>
  <c r="W34" i="14"/>
  <c r="K29" i="14"/>
  <c r="BX60" i="13"/>
  <c r="BZ60" i="13" s="1"/>
  <c r="BN6" i="13"/>
  <c r="CR6" i="13"/>
  <c r="AK19" i="13"/>
  <c r="AG6" i="13"/>
  <c r="K12" i="13"/>
  <c r="V18" i="13"/>
  <c r="K21" i="13"/>
  <c r="V23" i="13"/>
  <c r="K23" i="13" s="1"/>
  <c r="BV45" i="13"/>
  <c r="BY45" i="13" s="1"/>
  <c r="DB45" i="13" s="1"/>
  <c r="BX31" i="13"/>
  <c r="BZ31" i="13" s="1"/>
  <c r="BZ23" i="14"/>
  <c r="BZ76" i="14" s="1"/>
  <c r="BO23" i="14"/>
  <c r="CV77" i="13"/>
  <c r="BS85" i="13"/>
  <c r="DA60" i="13"/>
  <c r="CY60" i="13"/>
  <c r="CP36" i="14"/>
  <c r="BR36" i="14"/>
  <c r="BS36" i="14" s="1"/>
  <c r="BU36" i="14" s="1"/>
  <c r="BX36" i="14" s="1"/>
  <c r="BP36" i="14"/>
  <c r="BQ36" i="14" s="1"/>
  <c r="BT36" i="14" s="1"/>
  <c r="BW36" i="14" s="1"/>
  <c r="BP13" i="14"/>
  <c r="BQ13" i="14" s="1"/>
  <c r="BT13" i="14" s="1"/>
  <c r="BW13" i="14" s="1"/>
  <c r="CP13" i="14"/>
  <c r="BR13" i="14"/>
  <c r="BS13" i="14" s="1"/>
  <c r="BU13" i="14" s="1"/>
  <c r="BX13" i="14" s="1"/>
  <c r="CN56" i="13"/>
  <c r="BN56" i="13"/>
  <c r="CQ56" i="13" s="1"/>
  <c r="CQ71" i="13"/>
  <c r="BV31" i="13"/>
  <c r="BY31" i="13" s="1"/>
  <c r="BZ77" i="13"/>
  <c r="DA77" i="13"/>
  <c r="CW40" i="13"/>
  <c r="BW40" i="13"/>
  <c r="BU40" i="13"/>
  <c r="CX40" i="13" s="1"/>
  <c r="N19" i="13"/>
  <c r="N85" i="13" s="1"/>
  <c r="AO21" i="13"/>
  <c r="CN21" i="13"/>
  <c r="DA36" i="13"/>
  <c r="CY36" i="13"/>
  <c r="BR48" i="14"/>
  <c r="BS48" i="14" s="1"/>
  <c r="BU48" i="14" s="1"/>
  <c r="BX48" i="14" s="1"/>
  <c r="BP48" i="14"/>
  <c r="BQ48" i="14" s="1"/>
  <c r="BT48" i="14" s="1"/>
  <c r="BW48" i="14" s="1"/>
  <c r="CP48" i="14"/>
  <c r="K23" i="14"/>
  <c r="W25" i="14"/>
  <c r="BO76" i="14"/>
  <c r="BP4" i="14"/>
  <c r="BQ4" i="14" s="1"/>
  <c r="BR4" i="14"/>
  <c r="BS4" i="14" s="1"/>
  <c r="CP4" i="14"/>
  <c r="CW73" i="13"/>
  <c r="BW73" i="13"/>
  <c r="BX73" i="13" s="1"/>
  <c r="BZ73" i="13" s="1"/>
  <c r="BU73" i="13"/>
  <c r="CW65" i="13"/>
  <c r="BW65" i="13"/>
  <c r="CZ65" i="13" s="1"/>
  <c r="BU65" i="13"/>
  <c r="CX65" i="13" s="1"/>
  <c r="BV65" i="13"/>
  <c r="BY65" i="13" s="1"/>
  <c r="DD4" i="13"/>
  <c r="DB4" i="13"/>
  <c r="BU52" i="13"/>
  <c r="CX52" i="13" s="1"/>
  <c r="BV52" i="13"/>
  <c r="BY52" i="13" s="1"/>
  <c r="CW52" i="13"/>
  <c r="BW52" i="13"/>
  <c r="CC36" i="13"/>
  <c r="DE36" i="13" s="1"/>
  <c r="DC36" i="13"/>
  <c r="BV25" i="13"/>
  <c r="BY25" i="13" s="1"/>
  <c r="CC69" i="13"/>
  <c r="DE69" i="13" s="1"/>
  <c r="DC69" i="13"/>
  <c r="DB71" i="13"/>
  <c r="CB71" i="13"/>
  <c r="DD71" i="13" s="1"/>
  <c r="CP65" i="14"/>
  <c r="BR65" i="14"/>
  <c r="BS65" i="14" s="1"/>
  <c r="BU65" i="14" s="1"/>
  <c r="BX65" i="14" s="1"/>
  <c r="BP65" i="14"/>
  <c r="BQ65" i="14" s="1"/>
  <c r="BT65" i="14" s="1"/>
  <c r="BW65" i="14" s="1"/>
  <c r="BX71" i="13"/>
  <c r="BZ71" i="13" s="1"/>
  <c r="CV60" i="13"/>
  <c r="BA76" i="14"/>
  <c r="CN60" i="13"/>
  <c r="W6" i="14"/>
  <c r="K6" i="14" s="1"/>
  <c r="K4" i="14"/>
  <c r="K61" i="14"/>
  <c r="W63" i="14"/>
  <c r="AM61" i="14"/>
  <c r="AM63" i="14" s="1"/>
  <c r="CO61" i="14" s="1"/>
  <c r="BC19" i="13"/>
  <c r="CF6" i="13"/>
  <c r="BI6" i="13"/>
  <c r="CY4" i="13"/>
  <c r="DA4" i="13"/>
  <c r="CN47" i="13"/>
  <c r="CY29" i="13"/>
  <c r="CV25" i="13"/>
  <c r="AP25" i="13"/>
  <c r="BX25" i="13"/>
  <c r="BZ25" i="13" s="1"/>
  <c r="DC47" i="13"/>
  <c r="CC47" i="13"/>
  <c r="DE47" i="13" s="1"/>
  <c r="CA23" i="14"/>
  <c r="BE23" i="14"/>
  <c r="BR50" i="14"/>
  <c r="BS50" i="14" s="1"/>
  <c r="BU50" i="14" s="1"/>
  <c r="BX50" i="14" s="1"/>
  <c r="BP50" i="14"/>
  <c r="BQ50" i="14" s="1"/>
  <c r="BT50" i="14" s="1"/>
  <c r="BW50" i="14" s="1"/>
  <c r="CP50" i="14"/>
  <c r="BR54" i="14"/>
  <c r="BS54" i="14" s="1"/>
  <c r="BU54" i="14" s="1"/>
  <c r="BX54" i="14" s="1"/>
  <c r="BP54" i="14"/>
  <c r="BQ54" i="14" s="1"/>
  <c r="BT54" i="14" s="1"/>
  <c r="BW54" i="14" s="1"/>
  <c r="CP54" i="14"/>
  <c r="CP61" i="14"/>
  <c r="BS61" i="14"/>
  <c r="BU61" i="14" s="1"/>
  <c r="BX61" i="14" s="1"/>
  <c r="BQ61" i="14"/>
  <c r="BT61" i="14" s="1"/>
  <c r="BW61" i="14" s="1"/>
  <c r="CO71" i="14"/>
  <c r="BG76" i="14"/>
  <c r="K21" i="14"/>
  <c r="AM18" i="14"/>
  <c r="CO18" i="14" s="1"/>
  <c r="BT56" i="13"/>
  <c r="BT85" i="13" s="1"/>
  <c r="CE56" i="13"/>
  <c r="CE85" i="13" s="1"/>
  <c r="CX69" i="13"/>
  <c r="CY69" i="13" s="1"/>
  <c r="BV69" i="13"/>
  <c r="BY69" i="13" s="1"/>
  <c r="CP18" i="14"/>
  <c r="BR18" i="14"/>
  <c r="BS18" i="14" s="1"/>
  <c r="BU18" i="14" s="1"/>
  <c r="BX18" i="14" s="1"/>
  <c r="BP18" i="14"/>
  <c r="BQ18" i="14" s="1"/>
  <c r="BT18" i="14" s="1"/>
  <c r="BW18" i="14" s="1"/>
  <c r="AE76" i="14"/>
  <c r="AM8" i="14"/>
  <c r="CO8" i="14" s="1"/>
  <c r="K11" i="14"/>
  <c r="CA76" i="14"/>
  <c r="BV29" i="13"/>
  <c r="BY29" i="13" s="1"/>
  <c r="DB29" i="13" s="1"/>
  <c r="AY19" i="13"/>
  <c r="BR52" i="14"/>
  <c r="BS52" i="14" s="1"/>
  <c r="BU52" i="14" s="1"/>
  <c r="BX52" i="14" s="1"/>
  <c r="BP52" i="14"/>
  <c r="BQ52" i="14" s="1"/>
  <c r="BT52" i="14" s="1"/>
  <c r="BW52" i="14" s="1"/>
  <c r="CP52" i="14"/>
  <c r="BI76" i="14"/>
  <c r="CJ40" i="14"/>
  <c r="CJ76" i="14" s="1"/>
  <c r="K44" i="14"/>
  <c r="AM40" i="14"/>
  <c r="CO40" i="14" s="1"/>
  <c r="AM36" i="14"/>
  <c r="CO36" i="14" s="1"/>
  <c r="K38" i="14"/>
  <c r="CP73" i="13"/>
  <c r="CP85" i="13" s="1"/>
  <c r="CP90" i="13" s="1"/>
  <c r="K56" i="13"/>
  <c r="V58" i="13"/>
  <c r="K58" i="13" s="1"/>
  <c r="DB60" i="13"/>
  <c r="CB60" i="13"/>
  <c r="DD60" i="13" s="1"/>
  <c r="N76" i="14"/>
  <c r="CV47" i="13"/>
  <c r="AZ76" i="14"/>
  <c r="DE4" i="13"/>
  <c r="DC4" i="13"/>
  <c r="CZ29" i="13"/>
  <c r="DA29" i="13" s="1"/>
  <c r="BX29" i="13"/>
  <c r="BZ29" i="13" s="1"/>
  <c r="DC29" i="13" s="1"/>
  <c r="DA25" i="13"/>
  <c r="CY25" i="13"/>
  <c r="CZ52" i="13" l="1"/>
  <c r="BX52" i="13"/>
  <c r="BZ52" i="13" s="1"/>
  <c r="CZ40" i="13"/>
  <c r="BX40" i="13"/>
  <c r="BZ40" i="13" s="1"/>
  <c r="CZ21" i="13"/>
  <c r="BX21" i="13"/>
  <c r="BZ21" i="13" s="1"/>
  <c r="CN77" i="13"/>
  <c r="BK85" i="13"/>
  <c r="AP62" i="14"/>
  <c r="AP63" i="14" s="1"/>
  <c r="AP76" i="14" s="1"/>
  <c r="AO63" i="14"/>
  <c r="AO76" i="14" s="1"/>
  <c r="BU4" i="14"/>
  <c r="BW56" i="13"/>
  <c r="CZ56" i="13" s="1"/>
  <c r="CW56" i="13"/>
  <c r="CW85" i="13" s="1"/>
  <c r="CW90" i="13" s="1"/>
  <c r="BU56" i="13"/>
  <c r="CX56" i="13" s="1"/>
  <c r="DB65" i="13"/>
  <c r="CB65" i="13"/>
  <c r="DD65" i="13" s="1"/>
  <c r="CZ73" i="13"/>
  <c r="BT4" i="14"/>
  <c r="CQ6" i="13"/>
  <c r="BN19" i="13"/>
  <c r="DC21" i="13"/>
  <c r="CC21" i="13"/>
  <c r="DE21" i="13" s="1"/>
  <c r="V19" i="13"/>
  <c r="K18" i="13"/>
  <c r="K19" i="13" s="1"/>
  <c r="K34" i="14"/>
  <c r="AM29" i="14"/>
  <c r="CO29" i="14" s="1"/>
  <c r="DB52" i="13"/>
  <c r="CB52" i="13"/>
  <c r="DD52" i="13" s="1"/>
  <c r="K25" i="14"/>
  <c r="AM23" i="14"/>
  <c r="CO23" i="14" s="1"/>
  <c r="DA65" i="13"/>
  <c r="CY65" i="13"/>
  <c r="AP21" i="13"/>
  <c r="CV21" i="13"/>
  <c r="BP23" i="14"/>
  <c r="BQ23" i="14" s="1"/>
  <c r="CP23" i="14"/>
  <c r="CP76" i="14" s="1"/>
  <c r="BR23" i="14"/>
  <c r="BS23" i="14" s="1"/>
  <c r="AO6" i="13"/>
  <c r="AG19" i="13"/>
  <c r="DB47" i="13"/>
  <c r="CB47" i="13"/>
  <c r="DD47" i="13" s="1"/>
  <c r="AZ19" i="13"/>
  <c r="CF19" i="13"/>
  <c r="CF85" i="13" s="1"/>
  <c r="BC85" i="13"/>
  <c r="DC71" i="13"/>
  <c r="CC71" i="13"/>
  <c r="DE71" i="13" s="1"/>
  <c r="CC73" i="13"/>
  <c r="DC73" i="13"/>
  <c r="K63" i="14"/>
  <c r="W76" i="14"/>
  <c r="DB69" i="13"/>
  <c r="CB69" i="13"/>
  <c r="DD69" i="13" s="1"/>
  <c r="CB25" i="13"/>
  <c r="DD25" i="13" s="1"/>
  <c r="DB25" i="13"/>
  <c r="BX65" i="13"/>
  <c r="BZ65" i="13" s="1"/>
  <c r="DC77" i="13"/>
  <c r="CR19" i="13"/>
  <c r="CR85" i="13" s="1"/>
  <c r="CR90" i="13" s="1"/>
  <c r="AK85" i="13"/>
  <c r="BV21" i="13"/>
  <c r="BY21" i="13" s="1"/>
  <c r="DA52" i="13"/>
  <c r="CY52" i="13"/>
  <c r="DC60" i="13"/>
  <c r="CC60" i="13"/>
  <c r="DE60" i="13" s="1"/>
  <c r="CC40" i="13"/>
  <c r="DE40" i="13" s="1"/>
  <c r="DC40" i="13"/>
  <c r="DC52" i="13"/>
  <c r="CC52" i="13"/>
  <c r="DE52" i="13" s="1"/>
  <c r="CX73" i="13"/>
  <c r="BR76" i="14"/>
  <c r="V85" i="13"/>
  <c r="DC31" i="13"/>
  <c r="CC31" i="13"/>
  <c r="DE31" i="13" s="1"/>
  <c r="AM13" i="14"/>
  <c r="CO13" i="14" s="1"/>
  <c r="K16" i="14"/>
  <c r="DA40" i="13"/>
  <c r="CY40" i="13"/>
  <c r="CF23" i="14"/>
  <c r="CF76" i="14" s="1"/>
  <c r="BE76" i="14"/>
  <c r="DC25" i="13"/>
  <c r="CC25" i="13"/>
  <c r="DE25" i="13" s="1"/>
  <c r="CL6" i="13"/>
  <c r="BI19" i="13"/>
  <c r="BV73" i="13"/>
  <c r="BP76" i="14"/>
  <c r="BV40" i="13"/>
  <c r="BY40" i="13" s="1"/>
  <c r="DB31" i="13"/>
  <c r="CB31" i="13"/>
  <c r="DD31" i="13" s="1"/>
  <c r="CN6" i="13"/>
  <c r="CY21" i="13"/>
  <c r="DA21" i="13"/>
  <c r="CO76" i="14" l="1"/>
  <c r="BU23" i="14"/>
  <c r="BX23" i="14" s="1"/>
  <c r="BX76" i="14" s="1"/>
  <c r="BS76" i="14"/>
  <c r="BT23" i="14"/>
  <c r="BW23" i="14" s="1"/>
  <c r="BW76" i="14" s="1"/>
  <c r="BQ76" i="14"/>
  <c r="BY73" i="13"/>
  <c r="CX85" i="13"/>
  <c r="CL19" i="13"/>
  <c r="CL85" i="13" s="1"/>
  <c r="CL90" i="13" s="1"/>
  <c r="BI85" i="13"/>
  <c r="DB21" i="13"/>
  <c r="CB21" i="13"/>
  <c r="DD21" i="13" s="1"/>
  <c r="AM76" i="14"/>
  <c r="BW85" i="13"/>
  <c r="BX56" i="13"/>
  <c r="BX85" i="13" s="1"/>
  <c r="CN19" i="13"/>
  <c r="CN85" i="13" s="1"/>
  <c r="AG85" i="13"/>
  <c r="CZ85" i="13"/>
  <c r="BU76" i="14"/>
  <c r="CY73" i="13"/>
  <c r="AP6" i="13"/>
  <c r="AO19" i="13"/>
  <c r="CV6" i="13"/>
  <c r="DB40" i="13"/>
  <c r="CB40" i="13"/>
  <c r="DD40" i="13" s="1"/>
  <c r="DA73" i="13"/>
  <c r="CQ19" i="13"/>
  <c r="CQ85" i="13" s="1"/>
  <c r="CQ90" i="13" s="1"/>
  <c r="BN85" i="13"/>
  <c r="CC65" i="13"/>
  <c r="DE65" i="13" s="1"/>
  <c r="DC65" i="13"/>
  <c r="BU85" i="13"/>
  <c r="DE73" i="13"/>
  <c r="DC85" i="13"/>
  <c r="BV56" i="13"/>
  <c r="CB73" i="13" l="1"/>
  <c r="DB73" i="13"/>
  <c r="DB85" i="13" s="1"/>
  <c r="CY56" i="13"/>
  <c r="CY85" i="13" s="1"/>
  <c r="BY56" i="13"/>
  <c r="BY85" i="13" s="1"/>
  <c r="DE85" i="13"/>
  <c r="CC85" i="13"/>
  <c r="BT76" i="14"/>
  <c r="BZ56" i="13"/>
  <c r="BZ85" i="13" s="1"/>
  <c r="DA56" i="13"/>
  <c r="DA85" i="13"/>
  <c r="AP19" i="13"/>
  <c r="CV19" i="13"/>
  <c r="CV85" i="13" s="1"/>
  <c r="AO85" i="13"/>
  <c r="BV85" i="13"/>
  <c r="CB85" i="13" l="1"/>
  <c r="DD73" i="13"/>
  <c r="DD85" i="13" s="1"/>
  <c r="E115" i="12" l="1"/>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C48" i="12"/>
  <c r="E48" i="12" s="1"/>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E9" i="12"/>
  <c r="E8" i="12"/>
  <c r="E7" i="12"/>
  <c r="E6" i="12"/>
  <c r="E5" i="12"/>
  <c r="E4" i="12"/>
  <c r="E3" i="12"/>
  <c r="E2" i="12"/>
  <c r="W126" i="10" l="1"/>
  <c r="U126" i="10"/>
  <c r="T126" i="10"/>
  <c r="S126" i="10"/>
  <c r="R126" i="10"/>
  <c r="Q126" i="10"/>
  <c r="P126" i="10"/>
  <c r="O126" i="10"/>
  <c r="G126" i="10"/>
  <c r="AH125" i="10"/>
  <c r="AO125" i="10" s="1"/>
  <c r="AL124" i="10"/>
  <c r="AJ124" i="10"/>
  <c r="AQ124" i="10" s="1"/>
  <c r="AF124" i="10"/>
  <c r="AD124" i="10"/>
  <c r="AL123" i="10"/>
  <c r="AJ123" i="10"/>
  <c r="AQ123" i="10" s="1"/>
  <c r="AF123" i="10"/>
  <c r="AM123" i="10" s="1"/>
  <c r="AD123" i="10"/>
  <c r="AK123" i="10" s="1"/>
  <c r="AL122" i="10"/>
  <c r="AJ122" i="10"/>
  <c r="AQ122" i="10" s="1"/>
  <c r="AF122" i="10"/>
  <c r="AG122" i="10" s="1"/>
  <c r="AD122" i="10"/>
  <c r="AJ121" i="10"/>
  <c r="AQ121" i="10" s="1"/>
  <c r="AF121" i="10"/>
  <c r="AG121" i="10" s="1"/>
  <c r="AE121" i="10"/>
  <c r="AE126" i="10" s="1"/>
  <c r="AL126" i="10" s="1"/>
  <c r="AD121" i="10"/>
  <c r="AK121" i="10" s="1"/>
  <c r="AL120" i="10"/>
  <c r="AJ120" i="10"/>
  <c r="AQ120" i="10" s="1"/>
  <c r="AF120" i="10"/>
  <c r="AM120" i="10" s="1"/>
  <c r="AD120" i="10"/>
  <c r="AK120" i="10" s="1"/>
  <c r="AL119" i="10"/>
  <c r="AJ119" i="10"/>
  <c r="AQ119" i="10" s="1"/>
  <c r="AF119" i="10"/>
  <c r="AG119" i="10" s="1"/>
  <c r="AD119" i="10"/>
  <c r="AL118" i="10"/>
  <c r="AJ118" i="10"/>
  <c r="AQ118" i="10" s="1"/>
  <c r="AF118" i="10"/>
  <c r="AG118" i="10" s="1"/>
  <c r="AD118" i="10"/>
  <c r="AL117" i="10"/>
  <c r="AJ117" i="10"/>
  <c r="AQ117" i="10" s="1"/>
  <c r="AF117" i="10"/>
  <c r="AD117" i="10"/>
  <c r="AK117" i="10" s="1"/>
  <c r="AL116" i="10"/>
  <c r="AJ116" i="10"/>
  <c r="AQ116" i="10" s="1"/>
  <c r="AF116" i="10"/>
  <c r="AD116" i="10"/>
  <c r="AI116" i="10" s="1"/>
  <c r="AJ102" i="10"/>
  <c r="W102" i="10"/>
  <c r="U102" i="10"/>
  <c r="T102" i="10"/>
  <c r="S102" i="10"/>
  <c r="R102" i="10"/>
  <c r="Q102" i="10"/>
  <c r="P102" i="10"/>
  <c r="O102" i="10"/>
  <c r="G102" i="10"/>
  <c r="AQ101" i="10"/>
  <c r="AO101" i="10"/>
  <c r="AN101" i="10"/>
  <c r="AM101" i="10"/>
  <c r="AL101" i="10"/>
  <c r="AK101" i="10"/>
  <c r="AI101" i="10"/>
  <c r="AP101" i="10" s="1"/>
  <c r="AQ99" i="10"/>
  <c r="AG99" i="10"/>
  <c r="AF99" i="10"/>
  <c r="AE99" i="10"/>
  <c r="AD99" i="10"/>
  <c r="W87" i="10"/>
  <c r="U87" i="10"/>
  <c r="T87" i="10"/>
  <c r="S87" i="10"/>
  <c r="R87" i="10"/>
  <c r="Q87" i="10"/>
  <c r="P87" i="10"/>
  <c r="O87" i="10"/>
  <c r="G87" i="10"/>
  <c r="AO59" i="10"/>
  <c r="AO87" i="10" s="1"/>
  <c r="AJ59" i="10"/>
  <c r="AQ59" i="10" s="1"/>
  <c r="AG59" i="10"/>
  <c r="AF59" i="10"/>
  <c r="AF87" i="10" s="1"/>
  <c r="AM87" i="10" s="1"/>
  <c r="AE59" i="10"/>
  <c r="AE87" i="10" s="1"/>
  <c r="AD59" i="10"/>
  <c r="AD87" i="10" s="1"/>
  <c r="AJ50" i="10"/>
  <c r="AH50" i="10"/>
  <c r="AG50" i="10"/>
  <c r="AF50" i="10"/>
  <c r="AE50" i="10"/>
  <c r="AD50" i="10"/>
  <c r="U50" i="10"/>
  <c r="T50" i="10"/>
  <c r="S50" i="10"/>
  <c r="R50" i="10"/>
  <c r="Q50" i="10"/>
  <c r="P50" i="10"/>
  <c r="O50" i="10"/>
  <c r="G50" i="10"/>
  <c r="AJ49" i="10"/>
  <c r="AH49" i="10"/>
  <c r="AE49" i="10"/>
  <c r="AD49" i="10"/>
  <c r="U49" i="10"/>
  <c r="T49" i="10"/>
  <c r="S49" i="10"/>
  <c r="R49" i="10"/>
  <c r="Q49" i="10"/>
  <c r="P49" i="10"/>
  <c r="O49" i="10"/>
  <c r="G49" i="10"/>
  <c r="W46" i="10"/>
  <c r="U46" i="10"/>
  <c r="U105" i="10" s="1"/>
  <c r="U132" i="10" s="1"/>
  <c r="T46" i="10"/>
  <c r="S46" i="10"/>
  <c r="R46" i="10"/>
  <c r="Q46" i="10"/>
  <c r="P46" i="10"/>
  <c r="O46" i="10"/>
  <c r="O105" i="10" s="1"/>
  <c r="O129" i="10" s="1"/>
  <c r="G46" i="10"/>
  <c r="N45" i="10"/>
  <c r="N44" i="10"/>
  <c r="N43" i="10"/>
  <c r="N42" i="10"/>
  <c r="AN41" i="10"/>
  <c r="AN50" i="10" s="1"/>
  <c r="AM41" i="10"/>
  <c r="AM50" i="10" s="1"/>
  <c r="AL41" i="10"/>
  <c r="AL50" i="10" s="1"/>
  <c r="AK41" i="10"/>
  <c r="AK50" i="10" s="1"/>
  <c r="AI41" i="10"/>
  <c r="AI50" i="10" s="1"/>
  <c r="N41" i="10"/>
  <c r="AM40" i="10"/>
  <c r="AL40" i="10"/>
  <c r="AK40" i="10"/>
  <c r="AI40" i="10"/>
  <c r="AP40" i="10" s="1"/>
  <c r="AG40" i="10"/>
  <c r="AN40" i="10" s="1"/>
  <c r="AJ39" i="10"/>
  <c r="AQ39" i="10" s="1"/>
  <c r="AG39" i="10"/>
  <c r="AF39" i="10"/>
  <c r="AM39" i="10" s="1"/>
  <c r="AE39" i="10"/>
  <c r="AL39" i="10" s="1"/>
  <c r="AD39" i="10"/>
  <c r="AL37" i="10"/>
  <c r="AJ37" i="10"/>
  <c r="AQ37" i="10" s="1"/>
  <c r="AG37" i="10"/>
  <c r="AF37" i="10"/>
  <c r="AM37" i="10" s="1"/>
  <c r="AD37" i="10"/>
  <c r="AJ32" i="10"/>
  <c r="AQ32" i="10" s="1"/>
  <c r="AG32" i="10"/>
  <c r="AF32" i="10"/>
  <c r="AM32" i="10" s="1"/>
  <c r="AE32" i="10"/>
  <c r="AL32" i="10" s="1"/>
  <c r="AD32" i="10"/>
  <c r="AJ31" i="10"/>
  <c r="AQ31" i="10" s="1"/>
  <c r="AG31" i="10"/>
  <c r="AF31" i="10"/>
  <c r="AM31" i="10" s="1"/>
  <c r="AE31" i="10"/>
  <c r="AL31" i="10" s="1"/>
  <c r="AD31" i="10"/>
  <c r="AK31" i="10" s="1"/>
  <c r="AJ30" i="10"/>
  <c r="AQ30" i="10" s="1"/>
  <c r="AG30" i="10"/>
  <c r="AH30" i="10" s="1"/>
  <c r="AO30" i="10" s="1"/>
  <c r="AF30" i="10"/>
  <c r="AM30" i="10" s="1"/>
  <c r="AE30" i="10"/>
  <c r="AL30" i="10" s="1"/>
  <c r="AD30" i="10"/>
  <c r="AK30" i="10" s="1"/>
  <c r="AL29" i="10"/>
  <c r="AJ29" i="10"/>
  <c r="AQ29" i="10" s="1"/>
  <c r="AG29" i="10"/>
  <c r="AF29" i="10"/>
  <c r="AM29" i="10" s="1"/>
  <c r="AD29" i="10"/>
  <c r="AI29" i="10" s="1"/>
  <c r="AP29" i="10" s="1"/>
  <c r="AJ28" i="10"/>
  <c r="AQ28" i="10" s="1"/>
  <c r="AG28" i="10"/>
  <c r="AN28" i="10" s="1"/>
  <c r="AF28" i="10"/>
  <c r="AM28" i="10" s="1"/>
  <c r="AE28" i="10"/>
  <c r="AL28" i="10" s="1"/>
  <c r="AD28" i="10"/>
  <c r="AK28" i="10" s="1"/>
  <c r="AJ27" i="10"/>
  <c r="AQ27" i="10" s="1"/>
  <c r="AG27" i="10"/>
  <c r="AF27" i="10"/>
  <c r="AM27" i="10" s="1"/>
  <c r="AE27" i="10"/>
  <c r="AL27" i="10" s="1"/>
  <c r="AD27" i="10"/>
  <c r="AQ24" i="10"/>
  <c r="AO24" i="10"/>
  <c r="AL24" i="10"/>
  <c r="AK24" i="10"/>
  <c r="AK49" i="10" s="1"/>
  <c r="AF24" i="10"/>
  <c r="AL22" i="10"/>
  <c r="AJ22" i="10"/>
  <c r="AQ22" i="10" s="1"/>
  <c r="AG22" i="10"/>
  <c r="AF22" i="10"/>
  <c r="AM22" i="10" s="1"/>
  <c r="AD22" i="10"/>
  <c r="AK22" i="10" s="1"/>
  <c r="AL21" i="10"/>
  <c r="AJ21" i="10"/>
  <c r="AQ21" i="10" s="1"/>
  <c r="AG21" i="10"/>
  <c r="AF21" i="10"/>
  <c r="AM21" i="10" s="1"/>
  <c r="AD21" i="10"/>
  <c r="AI21" i="10" s="1"/>
  <c r="AP21" i="10" s="1"/>
  <c r="AL18" i="10"/>
  <c r="AJ18" i="10"/>
  <c r="AQ18" i="10" s="1"/>
  <c r="AG18" i="10"/>
  <c r="AN18" i="10" s="1"/>
  <c r="AF18" i="10"/>
  <c r="AM18" i="10" s="1"/>
  <c r="AD18" i="10"/>
  <c r="AK18" i="10" s="1"/>
  <c r="AJ16" i="10"/>
  <c r="AQ16" i="10" s="1"/>
  <c r="AG16" i="10"/>
  <c r="AH16" i="10" s="1"/>
  <c r="AO16" i="10" s="1"/>
  <c r="AF16" i="10"/>
  <c r="AM16" i="10" s="1"/>
  <c r="AE16" i="10"/>
  <c r="AL16" i="10" s="1"/>
  <c r="AD16" i="10"/>
  <c r="AK16" i="10" s="1"/>
  <c r="AJ12" i="10"/>
  <c r="AQ12" i="10" s="1"/>
  <c r="AG12" i="10"/>
  <c r="AF12" i="10"/>
  <c r="AM12" i="10" s="1"/>
  <c r="AE12" i="10"/>
  <c r="AD12" i="10"/>
  <c r="AK12" i="10" s="1"/>
  <c r="AJ11" i="10"/>
  <c r="AQ11" i="10" s="1"/>
  <c r="AG11" i="10"/>
  <c r="AF11" i="10"/>
  <c r="AM11" i="10" s="1"/>
  <c r="AE11" i="10"/>
  <c r="AL11" i="10" s="1"/>
  <c r="AD11" i="10"/>
  <c r="AL10" i="10"/>
  <c r="AJ10" i="10"/>
  <c r="AQ10" i="10" s="1"/>
  <c r="AG10" i="10"/>
  <c r="AF10" i="10"/>
  <c r="AM10" i="10" s="1"/>
  <c r="AD10" i="10"/>
  <c r="AK10" i="10" s="1"/>
  <c r="AK9" i="10"/>
  <c r="AJ9" i="10"/>
  <c r="AG9" i="10"/>
  <c r="AF9" i="10"/>
  <c r="AF46" i="10" s="1"/>
  <c r="AE9" i="10"/>
  <c r="AE46" i="10" l="1"/>
  <c r="AI9" i="10"/>
  <c r="AN9" i="10"/>
  <c r="AH9" i="10"/>
  <c r="AJ46" i="10"/>
  <c r="AQ46" i="10" s="1"/>
  <c r="AQ9" i="10"/>
  <c r="AH10" i="10"/>
  <c r="AO10" i="10" s="1"/>
  <c r="AN10" i="10"/>
  <c r="AI11" i="10"/>
  <c r="AP11" i="10" s="1"/>
  <c r="AK11" i="10"/>
  <c r="AN11" i="10"/>
  <c r="AH11" i="10"/>
  <c r="AO11" i="10" s="1"/>
  <c r="AI12" i="10"/>
  <c r="AP12" i="10" s="1"/>
  <c r="AN12" i="10"/>
  <c r="AH12" i="10"/>
  <c r="AO12" i="10" s="1"/>
  <c r="AN21" i="10"/>
  <c r="AH21" i="10"/>
  <c r="AO21" i="10" s="1"/>
  <c r="AN22" i="10"/>
  <c r="AH22" i="10"/>
  <c r="AO22" i="10" s="1"/>
  <c r="AI24" i="10"/>
  <c r="AF49" i="10"/>
  <c r="AG24" i="10"/>
  <c r="AN24" i="10" s="1"/>
  <c r="AN49" i="10" s="1"/>
  <c r="AI27" i="10"/>
  <c r="AP27" i="10" s="1"/>
  <c r="AK27" i="10"/>
  <c r="AN27" i="10"/>
  <c r="AH27" i="10"/>
  <c r="AO27" i="10" s="1"/>
  <c r="AN29" i="10"/>
  <c r="AH29" i="10"/>
  <c r="AO29" i="10" s="1"/>
  <c r="AH31" i="10"/>
  <c r="AO31" i="10" s="1"/>
  <c r="AN31" i="10"/>
  <c r="AI32" i="10"/>
  <c r="AP32" i="10" s="1"/>
  <c r="AK32" i="10"/>
  <c r="AN32" i="10"/>
  <c r="AH32" i="10"/>
  <c r="AO32" i="10" s="1"/>
  <c r="AK37" i="10"/>
  <c r="AI37" i="10"/>
  <c r="AP37" i="10" s="1"/>
  <c r="AN37" i="10"/>
  <c r="AH37" i="10"/>
  <c r="AO37" i="10" s="1"/>
  <c r="AI39" i="10"/>
  <c r="AP39" i="10" s="1"/>
  <c r="AK39" i="10"/>
  <c r="AN39" i="10"/>
  <c r="AH39" i="10"/>
  <c r="AO39" i="10" s="1"/>
  <c r="AL49" i="10"/>
  <c r="AG87" i="10"/>
  <c r="AN87" i="10" s="1"/>
  <c r="AN59" i="10"/>
  <c r="Q105" i="10"/>
  <c r="AD102" i="10"/>
  <c r="AK99" i="10"/>
  <c r="AK102" i="10" s="1"/>
  <c r="AE102" i="10"/>
  <c r="AE105" i="10" s="1"/>
  <c r="AL99" i="10"/>
  <c r="AL102" i="10" s="1"/>
  <c r="AF102" i="10"/>
  <c r="AI99" i="10"/>
  <c r="AI102" i="10" s="1"/>
  <c r="AG102" i="10"/>
  <c r="AH99" i="10"/>
  <c r="G129" i="10"/>
  <c r="G132" i="10" s="1"/>
  <c r="P105" i="10"/>
  <c r="P132" i="10" s="1"/>
  <c r="R105" i="10"/>
  <c r="R129" i="10" s="1"/>
  <c r="S105" i="10"/>
  <c r="T105" i="10"/>
  <c r="W105" i="10"/>
  <c r="AQ102" i="10"/>
  <c r="AM116" i="10"/>
  <c r="AG116" i="10"/>
  <c r="AH116" i="10" s="1"/>
  <c r="AO116" i="10" s="1"/>
  <c r="AG117" i="10"/>
  <c r="AM117" i="10"/>
  <c r="AI118" i="10"/>
  <c r="AP118" i="10" s="1"/>
  <c r="AK118" i="10"/>
  <c r="AK119" i="10"/>
  <c r="AI119" i="10"/>
  <c r="AP119" i="10" s="1"/>
  <c r="AK122" i="10"/>
  <c r="AI122" i="10"/>
  <c r="AP122" i="10" s="1"/>
  <c r="AK124" i="10"/>
  <c r="AI124" i="10"/>
  <c r="AP124" i="10" s="1"/>
  <c r="AM124" i="10"/>
  <c r="AG124" i="10"/>
  <c r="AH124" i="10" s="1"/>
  <c r="AO124" i="10" s="1"/>
  <c r="Q129" i="10"/>
  <c r="R132" i="10"/>
  <c r="AP116" i="10"/>
  <c r="U129" i="10"/>
  <c r="AH119" i="10"/>
  <c r="AO119" i="10" s="1"/>
  <c r="AN119" i="10"/>
  <c r="O132" i="10"/>
  <c r="P129" i="10"/>
  <c r="AH117" i="10"/>
  <c r="AN117" i="10"/>
  <c r="AN121" i="10"/>
  <c r="AH121" i="10"/>
  <c r="AO121" i="10" s="1"/>
  <c r="W129" i="10"/>
  <c r="W132" i="10" s="1"/>
  <c r="AP102" i="10"/>
  <c r="AN118" i="10"/>
  <c r="AH118" i="10"/>
  <c r="AO118" i="10" s="1"/>
  <c r="AH122" i="10"/>
  <c r="AO122" i="10" s="1"/>
  <c r="AN122" i="10"/>
  <c r="AF105" i="10"/>
  <c r="AF129" i="10"/>
  <c r="AK87" i="10"/>
  <c r="AP24" i="10"/>
  <c r="AP49" i="10" s="1"/>
  <c r="AI49" i="10"/>
  <c r="T132" i="10"/>
  <c r="T129" i="10"/>
  <c r="S129" i="10"/>
  <c r="AD46" i="10"/>
  <c r="AL9" i="10"/>
  <c r="AH18" i="10"/>
  <c r="AO18" i="10" s="1"/>
  <c r="AK21" i="10"/>
  <c r="AH28" i="10"/>
  <c r="AO28" i="10" s="1"/>
  <c r="AK29" i="10"/>
  <c r="AG49" i="10"/>
  <c r="AJ87" i="10"/>
  <c r="AJ129" i="10" s="1"/>
  <c r="AM99" i="10"/>
  <c r="AM102" i="10" s="1"/>
  <c r="AK116" i="10"/>
  <c r="AG120" i="10"/>
  <c r="AI121" i="10"/>
  <c r="AP121" i="10" s="1"/>
  <c r="AG123" i="10"/>
  <c r="AM9" i="10"/>
  <c r="AL12" i="10"/>
  <c r="AN16" i="10"/>
  <c r="AI18" i="10"/>
  <c r="AP18" i="10" s="1"/>
  <c r="AM24" i="10"/>
  <c r="AM49" i="10" s="1"/>
  <c r="AI28" i="10"/>
  <c r="AP28" i="10" s="1"/>
  <c r="AN30" i="10"/>
  <c r="AP41" i="10"/>
  <c r="AP50" i="10" s="1"/>
  <c r="AI59" i="10"/>
  <c r="AN99" i="10"/>
  <c r="AN102" i="10" s="1"/>
  <c r="AM119" i="10"/>
  <c r="AM122" i="10"/>
  <c r="AJ126" i="10"/>
  <c r="AQ126" i="10" s="1"/>
  <c r="AG46" i="10"/>
  <c r="AG129" i="10" s="1"/>
  <c r="AL87" i="10"/>
  <c r="AI120" i="10"/>
  <c r="AP120" i="10" s="1"/>
  <c r="AI123" i="10"/>
  <c r="AP123" i="10" s="1"/>
  <c r="AI10" i="10"/>
  <c r="AP10" i="10" s="1"/>
  <c r="AI31" i="10"/>
  <c r="AP31" i="10" s="1"/>
  <c r="AO9" i="10"/>
  <c r="AI22" i="10"/>
  <c r="AP22" i="10" s="1"/>
  <c r="AK59" i="10"/>
  <c r="AP99" i="10"/>
  <c r="AN116" i="10"/>
  <c r="AI117" i="10"/>
  <c r="AP117" i="10" s="1"/>
  <c r="AL121" i="10"/>
  <c r="AD126" i="10"/>
  <c r="AK126" i="10" s="1"/>
  <c r="AE129" i="10"/>
  <c r="Q132" i="10"/>
  <c r="AP9" i="10"/>
  <c r="AI16" i="10"/>
  <c r="AP16" i="10" s="1"/>
  <c r="AI30" i="10"/>
  <c r="AP30" i="10" s="1"/>
  <c r="AL59" i="10"/>
  <c r="AM118" i="10"/>
  <c r="AM121" i="10"/>
  <c r="AN124" i="10"/>
  <c r="AM59" i="10"/>
  <c r="AF126" i="10"/>
  <c r="AM126" i="10" s="1"/>
  <c r="S132" i="10"/>
  <c r="AN46" i="10" l="1"/>
  <c r="AM46" i="10"/>
  <c r="AG126" i="10"/>
  <c r="AN126" i="10" s="1"/>
  <c r="AK46" i="10"/>
  <c r="AK105" i="10" s="1"/>
  <c r="AL46" i="10"/>
  <c r="AL105" i="10" s="1"/>
  <c r="AD105" i="10"/>
  <c r="AD129" i="10"/>
  <c r="AH102" i="10"/>
  <c r="AO99" i="10"/>
  <c r="AO102" i="10" s="1"/>
  <c r="AJ132" i="10"/>
  <c r="AQ132" i="10" s="1"/>
  <c r="AQ129" i="10"/>
  <c r="AG132" i="10"/>
  <c r="AN132" i="10" s="1"/>
  <c r="AN129" i="10"/>
  <c r="AH123" i="10"/>
  <c r="AO123" i="10" s="1"/>
  <c r="AN123" i="10"/>
  <c r="AI87" i="10"/>
  <c r="AP59" i="10"/>
  <c r="AI46" i="10"/>
  <c r="AP46" i="10" s="1"/>
  <c r="AH46" i="10"/>
  <c r="AQ87" i="10"/>
  <c r="AQ105" i="10" s="1"/>
  <c r="AJ105" i="10"/>
  <c r="AH120" i="10"/>
  <c r="AO120" i="10" s="1"/>
  <c r="AN120" i="10"/>
  <c r="AF132" i="10"/>
  <c r="AM132" i="10" s="1"/>
  <c r="AM129" i="10"/>
  <c r="AG105" i="10"/>
  <c r="AD132" i="10"/>
  <c r="AK132" i="10" s="1"/>
  <c r="AK129" i="10"/>
  <c r="AE132" i="10"/>
  <c r="AL132" i="10" s="1"/>
  <c r="AL129" i="10"/>
  <c r="AO46" i="10"/>
  <c r="AO105" i="10" s="1"/>
  <c r="AO117" i="10"/>
  <c r="AH126" i="10"/>
  <c r="AO126" i="10" s="1"/>
  <c r="AN105" i="10"/>
  <c r="AM105" i="10"/>
  <c r="AI126" i="10"/>
  <c r="AP126" i="10" s="1"/>
  <c r="AH129" i="10" l="1"/>
  <c r="AH105" i="10"/>
  <c r="AP87" i="10"/>
  <c r="AP105" i="10" s="1"/>
  <c r="AI105" i="10"/>
  <c r="AI129" i="10"/>
  <c r="AI132" i="10" l="1"/>
  <c r="AP132" i="10" s="1"/>
  <c r="AP129" i="10"/>
  <c r="AH132" i="10"/>
  <c r="AO132" i="10" s="1"/>
  <c r="AO129" i="10"/>
  <c r="BG28" i="7" l="1"/>
  <c r="J23" i="7"/>
  <c r="I23" i="7"/>
  <c r="H23" i="7"/>
  <c r="G23" i="7"/>
  <c r="F23" i="7"/>
  <c r="J22" i="7"/>
  <c r="E22" i="7"/>
  <c r="P21" i="7"/>
  <c r="O21" i="7"/>
  <c r="N21" i="7"/>
  <c r="M21" i="7"/>
  <c r="M23" i="7" s="1"/>
  <c r="L21" i="7"/>
  <c r="K21" i="7"/>
  <c r="E21" i="7"/>
  <c r="E23" i="7" s="1"/>
  <c r="D21" i="7"/>
  <c r="C21" i="7"/>
  <c r="B21" i="7"/>
  <c r="P20" i="7"/>
  <c r="P23" i="7" s="1"/>
  <c r="O20" i="7"/>
  <c r="L20" i="7"/>
  <c r="N20" i="7" s="1"/>
  <c r="K20" i="7"/>
  <c r="D20" i="7"/>
  <c r="C20" i="7"/>
  <c r="B20" i="7"/>
  <c r="L19" i="7"/>
  <c r="N19" i="7" s="1"/>
  <c r="K19" i="7"/>
  <c r="I19" i="7"/>
  <c r="I22" i="7" s="1"/>
  <c r="H19" i="7"/>
  <c r="H22" i="7" s="1"/>
  <c r="G19" i="7"/>
  <c r="G22" i="7" s="1"/>
  <c r="F19" i="7"/>
  <c r="F22" i="7" s="1"/>
  <c r="D19" i="7"/>
  <c r="C19" i="7"/>
  <c r="C22" i="7" s="1"/>
  <c r="B19" i="7"/>
  <c r="J16" i="7"/>
  <c r="I16" i="7"/>
  <c r="H16" i="7"/>
  <c r="G16" i="7"/>
  <c r="F16" i="7"/>
  <c r="M15" i="7"/>
  <c r="J15" i="7"/>
  <c r="P14" i="7"/>
  <c r="O14" i="7"/>
  <c r="N14" i="7"/>
  <c r="M14" i="7"/>
  <c r="M16" i="7" s="1"/>
  <c r="L14" i="7"/>
  <c r="K14" i="7"/>
  <c r="E14" i="7"/>
  <c r="E16" i="7" s="1"/>
  <c r="D14" i="7"/>
  <c r="D7" i="7" s="1"/>
  <c r="C14" i="7"/>
  <c r="B14" i="7"/>
  <c r="P13" i="7"/>
  <c r="L13" i="7"/>
  <c r="K13" i="7"/>
  <c r="D13" i="7"/>
  <c r="C13" i="7"/>
  <c r="C6" i="7" s="1"/>
  <c r="B13" i="7"/>
  <c r="L12" i="7"/>
  <c r="N12" i="7" s="1"/>
  <c r="K12" i="7"/>
  <c r="K15" i="7" s="1"/>
  <c r="I12" i="7"/>
  <c r="I15" i="7" s="1"/>
  <c r="H12" i="7"/>
  <c r="H15" i="7" s="1"/>
  <c r="G12" i="7"/>
  <c r="F12" i="7"/>
  <c r="F5" i="7" s="1"/>
  <c r="D12" i="7"/>
  <c r="C12" i="7"/>
  <c r="C5" i="7" s="1"/>
  <c r="B12" i="7"/>
  <c r="P7" i="7"/>
  <c r="N7" i="7"/>
  <c r="L7" i="7"/>
  <c r="K7" i="7"/>
  <c r="J7" i="7"/>
  <c r="I7" i="7"/>
  <c r="H7" i="7"/>
  <c r="G7" i="7"/>
  <c r="F7" i="7"/>
  <c r="C7" i="7"/>
  <c r="B7" i="7"/>
  <c r="O6" i="7"/>
  <c r="M6" i="7"/>
  <c r="J6" i="7"/>
  <c r="I6" i="7"/>
  <c r="H6" i="7"/>
  <c r="G6" i="7"/>
  <c r="F6" i="7"/>
  <c r="E6" i="7"/>
  <c r="B6" i="7"/>
  <c r="P5" i="7"/>
  <c r="O5" i="7"/>
  <c r="M5" i="7"/>
  <c r="L5" i="7"/>
  <c r="J5" i="7"/>
  <c r="I5" i="7"/>
  <c r="H5" i="7"/>
  <c r="E5" i="7"/>
  <c r="D5" i="7"/>
  <c r="B5" i="7"/>
  <c r="BV46" i="6"/>
  <c r="G44" i="6"/>
  <c r="G43" i="6"/>
  <c r="BL42" i="6"/>
  <c r="BK42" i="6" s="1"/>
  <c r="BC42" i="6"/>
  <c r="AX42" i="6"/>
  <c r="AV42" i="6"/>
  <c r="AG42" i="6"/>
  <c r="B36" i="6" s="1"/>
  <c r="BL41" i="6"/>
  <c r="BK41" i="6"/>
  <c r="BC41" i="6"/>
  <c r="AX41" i="6"/>
  <c r="B37" i="6" s="1"/>
  <c r="AV41" i="6"/>
  <c r="Q36" i="6" s="1"/>
  <c r="K40" i="6"/>
  <c r="I40" i="6"/>
  <c r="H40" i="6"/>
  <c r="G40" i="6"/>
  <c r="Q38" i="6"/>
  <c r="P38" i="6"/>
  <c r="O38" i="6"/>
  <c r="N38" i="6"/>
  <c r="M38" i="6"/>
  <c r="L38" i="6"/>
  <c r="L40" i="6" s="1"/>
  <c r="F38" i="6"/>
  <c r="E38" i="6"/>
  <c r="D38" i="6"/>
  <c r="BL37" i="6"/>
  <c r="BK37" i="6"/>
  <c r="BC37" i="6"/>
  <c r="AX37" i="6"/>
  <c r="AV37" i="6"/>
  <c r="Q37" i="6"/>
  <c r="P37" i="6"/>
  <c r="O37" i="6"/>
  <c r="N37" i="6"/>
  <c r="M37" i="6"/>
  <c r="M40" i="6" s="1"/>
  <c r="F37" i="6"/>
  <c r="E37" i="6"/>
  <c r="D37" i="6"/>
  <c r="C37" i="6"/>
  <c r="BL36" i="6"/>
  <c r="BC36" i="6"/>
  <c r="AX36" i="6"/>
  <c r="AV36" i="6"/>
  <c r="AG36" i="6"/>
  <c r="P36" i="6"/>
  <c r="O36" i="6"/>
  <c r="N36" i="6"/>
  <c r="M36" i="6"/>
  <c r="L36" i="6"/>
  <c r="L39" i="6" s="1"/>
  <c r="I36" i="6"/>
  <c r="H36" i="6"/>
  <c r="G36" i="6"/>
  <c r="F36" i="6"/>
  <c r="E36" i="6"/>
  <c r="D36" i="6"/>
  <c r="C36" i="6"/>
  <c r="BL35" i="6"/>
  <c r="BK35" i="6" s="1"/>
  <c r="BC35" i="6"/>
  <c r="AX35" i="6"/>
  <c r="AV35" i="6"/>
  <c r="AG35" i="6"/>
  <c r="BL31" i="6"/>
  <c r="BK31" i="6" s="1"/>
  <c r="BC31" i="6"/>
  <c r="AX31" i="6"/>
  <c r="AV31" i="6"/>
  <c r="AH31" i="6"/>
  <c r="AG31" i="6" s="1"/>
  <c r="BL30" i="6"/>
  <c r="BK30" i="6" s="1"/>
  <c r="BC30" i="6"/>
  <c r="AX30" i="6"/>
  <c r="AV30" i="6"/>
  <c r="AH30" i="6"/>
  <c r="AG30" i="6" s="1"/>
  <c r="Q30" i="6"/>
  <c r="P30" i="6"/>
  <c r="O30" i="6"/>
  <c r="N30" i="6"/>
  <c r="M30" i="6"/>
  <c r="L30" i="6"/>
  <c r="F30" i="6"/>
  <c r="E30" i="6"/>
  <c r="D30" i="6"/>
  <c r="BL29" i="6"/>
  <c r="BK29" i="6" s="1"/>
  <c r="BC29" i="6"/>
  <c r="AX29" i="6"/>
  <c r="AV29" i="6"/>
  <c r="AH29" i="6"/>
  <c r="AG29" i="6" s="1"/>
  <c r="Q29" i="6"/>
  <c r="P29" i="6"/>
  <c r="O29" i="6"/>
  <c r="N29" i="6"/>
  <c r="N32" i="6" s="1"/>
  <c r="M29" i="6"/>
  <c r="L29" i="6"/>
  <c r="F29" i="6"/>
  <c r="E29" i="6"/>
  <c r="D29" i="6"/>
  <c r="C29" i="6"/>
  <c r="BL28" i="6"/>
  <c r="BK28" i="6" s="1"/>
  <c r="BC28" i="6"/>
  <c r="AX28" i="6"/>
  <c r="AV28" i="6"/>
  <c r="AH28" i="6"/>
  <c r="AG28" i="6" s="1"/>
  <c r="P28" i="6"/>
  <c r="O28" i="6"/>
  <c r="N28" i="6"/>
  <c r="N31" i="6" s="1"/>
  <c r="M28" i="6"/>
  <c r="L28" i="6"/>
  <c r="J28" i="6"/>
  <c r="I28" i="6"/>
  <c r="H28" i="6"/>
  <c r="G28" i="6"/>
  <c r="F28" i="6"/>
  <c r="E28" i="6"/>
  <c r="D28" i="6"/>
  <c r="C28" i="6"/>
  <c r="BL27" i="6"/>
  <c r="BC27" i="6"/>
  <c r="AX27" i="6"/>
  <c r="AV27" i="6"/>
  <c r="AH27" i="6"/>
  <c r="AG27" i="6" s="1"/>
  <c r="BL26" i="6"/>
  <c r="BK26" i="6" s="1"/>
  <c r="BC26" i="6"/>
  <c r="AX26" i="6"/>
  <c r="AV26" i="6"/>
  <c r="AH26" i="6"/>
  <c r="AG26" i="6" s="1"/>
  <c r="BL25" i="6"/>
  <c r="BK25" i="6" s="1"/>
  <c r="BC25" i="6"/>
  <c r="AX25" i="6"/>
  <c r="AV25" i="6"/>
  <c r="AH25" i="6"/>
  <c r="AG25" i="6" s="1"/>
  <c r="BL24" i="6"/>
  <c r="BK24" i="6" s="1"/>
  <c r="BC24" i="6"/>
  <c r="AX24" i="6"/>
  <c r="AV24" i="6"/>
  <c r="AH24" i="6"/>
  <c r="AG24" i="6" s="1"/>
  <c r="Q22" i="6"/>
  <c r="P22" i="6"/>
  <c r="O22" i="6"/>
  <c r="N22" i="6"/>
  <c r="M22" i="6"/>
  <c r="L22" i="6"/>
  <c r="F22" i="6"/>
  <c r="E22" i="6"/>
  <c r="D22" i="6"/>
  <c r="Q21" i="6"/>
  <c r="P21" i="6"/>
  <c r="O21" i="6"/>
  <c r="N21" i="6"/>
  <c r="M21" i="6"/>
  <c r="L21" i="6"/>
  <c r="F21" i="6"/>
  <c r="E21" i="6"/>
  <c r="D21" i="6"/>
  <c r="C21" i="6"/>
  <c r="BL20" i="6"/>
  <c r="BK20" i="6" s="1"/>
  <c r="BC20" i="6"/>
  <c r="AX20" i="6"/>
  <c r="AV20" i="6"/>
  <c r="AH20" i="6"/>
  <c r="AG20" i="6" s="1"/>
  <c r="P20" i="6"/>
  <c r="O20" i="6"/>
  <c r="N20" i="6"/>
  <c r="M20" i="6"/>
  <c r="L20" i="6"/>
  <c r="K20" i="6"/>
  <c r="J20" i="6"/>
  <c r="I20" i="6"/>
  <c r="H20" i="6"/>
  <c r="G20" i="6"/>
  <c r="F20" i="6"/>
  <c r="E20" i="6"/>
  <c r="D20" i="6"/>
  <c r="BL19" i="6"/>
  <c r="BK19" i="6" s="1"/>
  <c r="BC19" i="6"/>
  <c r="AX19" i="6"/>
  <c r="AV19" i="6"/>
  <c r="AH19" i="6"/>
  <c r="AG19" i="6" s="1"/>
  <c r="BL18" i="6"/>
  <c r="BK18" i="6"/>
  <c r="BC18" i="6"/>
  <c r="AX18" i="6"/>
  <c r="AV18" i="6"/>
  <c r="AH18" i="6"/>
  <c r="AG18" i="6" s="1"/>
  <c r="BL17" i="6"/>
  <c r="BK17" i="6" s="1"/>
  <c r="BC17" i="6"/>
  <c r="AX17" i="6"/>
  <c r="AV17" i="6"/>
  <c r="AH17" i="6"/>
  <c r="AG17" i="6" s="1"/>
  <c r="BL16" i="6"/>
  <c r="BK16" i="6" s="1"/>
  <c r="BC16" i="6"/>
  <c r="AX16" i="6"/>
  <c r="AV16" i="6"/>
  <c r="AH16" i="6"/>
  <c r="AG16" i="6" s="1"/>
  <c r="K16" i="6"/>
  <c r="BL15" i="6"/>
  <c r="BK15" i="6" s="1"/>
  <c r="BC15" i="6"/>
  <c r="AX15" i="6"/>
  <c r="AV15" i="6"/>
  <c r="AH15" i="6"/>
  <c r="AG15" i="6" s="1"/>
  <c r="BL14" i="6"/>
  <c r="BK14" i="6" s="1"/>
  <c r="BC14" i="6"/>
  <c r="AX14" i="6"/>
  <c r="AV14" i="6"/>
  <c r="AH14" i="6"/>
  <c r="AG14" i="6" s="1"/>
  <c r="Q14" i="6"/>
  <c r="P14" i="6"/>
  <c r="O14" i="6"/>
  <c r="N14" i="6"/>
  <c r="M14" i="6"/>
  <c r="M6" i="6" s="1"/>
  <c r="L14" i="6"/>
  <c r="F14" i="6"/>
  <c r="E14" i="6"/>
  <c r="D14" i="6"/>
  <c r="BL13" i="6"/>
  <c r="BK13" i="6"/>
  <c r="BC13" i="6"/>
  <c r="AX13" i="6"/>
  <c r="AV13" i="6"/>
  <c r="AH13" i="6"/>
  <c r="AG13" i="6" s="1"/>
  <c r="Q13" i="6"/>
  <c r="P13" i="6"/>
  <c r="O13" i="6"/>
  <c r="N13" i="6"/>
  <c r="N5" i="6" s="1"/>
  <c r="M13" i="6"/>
  <c r="M5" i="6" s="1"/>
  <c r="L13" i="6"/>
  <c r="F13" i="6"/>
  <c r="E13" i="6"/>
  <c r="D13" i="6"/>
  <c r="C13" i="6"/>
  <c r="J13" i="6" s="1"/>
  <c r="BL12" i="6"/>
  <c r="BK12" i="6" s="1"/>
  <c r="BC12" i="6"/>
  <c r="AX12" i="6"/>
  <c r="AV12" i="6"/>
  <c r="AH12" i="6"/>
  <c r="AG12" i="6" s="1"/>
  <c r="P12" i="6"/>
  <c r="O12" i="6"/>
  <c r="N12" i="6"/>
  <c r="M12" i="6"/>
  <c r="L12" i="6"/>
  <c r="K12" i="6"/>
  <c r="K4" i="6" s="1"/>
  <c r="J12" i="6"/>
  <c r="I12" i="6"/>
  <c r="H12" i="6"/>
  <c r="G12" i="6"/>
  <c r="F12" i="6"/>
  <c r="F15" i="6" s="1"/>
  <c r="E12" i="6"/>
  <c r="D12" i="6"/>
  <c r="BL11" i="6"/>
  <c r="BK11" i="6" s="1"/>
  <c r="BC11" i="6"/>
  <c r="AX11" i="6"/>
  <c r="AV11" i="6"/>
  <c r="AH11" i="6"/>
  <c r="AG11" i="6" s="1"/>
  <c r="BL10" i="6"/>
  <c r="BK10" i="6" s="1"/>
  <c r="BC10" i="6"/>
  <c r="AX10" i="6"/>
  <c r="AV10" i="6"/>
  <c r="AH10" i="6"/>
  <c r="AG10" i="6" s="1"/>
  <c r="BL9" i="6"/>
  <c r="BK9" i="6" s="1"/>
  <c r="BC9" i="6"/>
  <c r="AX9" i="6"/>
  <c r="AV9" i="6"/>
  <c r="AH9" i="6"/>
  <c r="AG9" i="6" s="1"/>
  <c r="BL8" i="6"/>
  <c r="BK8" i="6"/>
  <c r="BC8" i="6"/>
  <c r="AX8" i="6"/>
  <c r="AV8" i="6"/>
  <c r="AH8" i="6"/>
  <c r="AG8" i="6" s="1"/>
  <c r="I8" i="6"/>
  <c r="H8" i="6"/>
  <c r="G8" i="6"/>
  <c r="BL7" i="6"/>
  <c r="BK7" i="6" s="1"/>
  <c r="BC7" i="6"/>
  <c r="AX7" i="6"/>
  <c r="AV7" i="6"/>
  <c r="AH7" i="6"/>
  <c r="AG7" i="6" s="1"/>
  <c r="BL6" i="6"/>
  <c r="BK6" i="6"/>
  <c r="BC6" i="6"/>
  <c r="AX6" i="6"/>
  <c r="AV6" i="6"/>
  <c r="AH6" i="6"/>
  <c r="AG6" i="6" s="1"/>
  <c r="K6" i="6"/>
  <c r="F6" i="6"/>
  <c r="BL5" i="6"/>
  <c r="BK5" i="6" s="1"/>
  <c r="BC5" i="6"/>
  <c r="AX5" i="6"/>
  <c r="AV5" i="6"/>
  <c r="AH5" i="6"/>
  <c r="AG5" i="6" s="1"/>
  <c r="K5" i="6"/>
  <c r="BL4" i="6"/>
  <c r="BK4" i="6"/>
  <c r="BC4" i="6"/>
  <c r="AX4" i="6"/>
  <c r="AV4" i="6"/>
  <c r="AH4" i="6"/>
  <c r="AG4" i="6" s="1"/>
  <c r="E15" i="6" l="1"/>
  <c r="L15" i="6"/>
  <c r="P15" i="6"/>
  <c r="O16" i="6"/>
  <c r="M4" i="6"/>
  <c r="P23" i="6"/>
  <c r="E24" i="6"/>
  <c r="M31" i="6"/>
  <c r="F32" i="6"/>
  <c r="F5" i="6"/>
  <c r="Q40" i="6"/>
  <c r="B8" i="7"/>
  <c r="O8" i="7"/>
  <c r="B9" i="7"/>
  <c r="G9" i="7"/>
  <c r="J9" i="7"/>
  <c r="G5" i="7"/>
  <c r="G8" i="7" s="1"/>
  <c r="G15" i="7"/>
  <c r="B15" i="7"/>
  <c r="C8" i="7"/>
  <c r="D15" i="7"/>
  <c r="L15" i="7"/>
  <c r="N13" i="7"/>
  <c r="N16" i="7" s="1"/>
  <c r="B16" i="7"/>
  <c r="C16" i="7"/>
  <c r="K16" i="7"/>
  <c r="L16" i="7"/>
  <c r="O7" i="7"/>
  <c r="O16" i="7"/>
  <c r="P16" i="7"/>
  <c r="N5" i="7"/>
  <c r="B22" i="7"/>
  <c r="D22" i="7"/>
  <c r="K6" i="7"/>
  <c r="N22" i="7"/>
  <c r="B23" i="7"/>
  <c r="C23" i="7"/>
  <c r="D23" i="7"/>
  <c r="K23" i="7"/>
  <c r="L23" i="7"/>
  <c r="O23" i="7"/>
  <c r="H9" i="7"/>
  <c r="E8" i="7"/>
  <c r="F8" i="7"/>
  <c r="C9" i="7"/>
  <c r="F9" i="7"/>
  <c r="I8" i="7"/>
  <c r="J8" i="7"/>
  <c r="I9" i="7"/>
  <c r="H8" i="7"/>
  <c r="M8" i="7"/>
  <c r="O9" i="7"/>
  <c r="N24" i="6"/>
  <c r="P6" i="6"/>
  <c r="O24" i="6"/>
  <c r="D31" i="6"/>
  <c r="Q5" i="6"/>
  <c r="E32" i="6"/>
  <c r="N15" i="6"/>
  <c r="D23" i="6"/>
  <c r="I4" i="6"/>
  <c r="E31" i="6"/>
  <c r="D40" i="6"/>
  <c r="G4" i="6"/>
  <c r="O4" i="6"/>
  <c r="E16" i="6"/>
  <c r="E23" i="6"/>
  <c r="F31" i="6"/>
  <c r="D39" i="6"/>
  <c r="C30" i="6"/>
  <c r="P40" i="6"/>
  <c r="E40" i="6"/>
  <c r="Q12" i="6"/>
  <c r="F23" i="6"/>
  <c r="M32" i="6"/>
  <c r="E4" i="6"/>
  <c r="O39" i="6"/>
  <c r="C39" i="6"/>
  <c r="F40" i="6"/>
  <c r="B13" i="6"/>
  <c r="L16" i="6"/>
  <c r="B28" i="6"/>
  <c r="M23" i="6"/>
  <c r="L24" i="6"/>
  <c r="O32" i="6"/>
  <c r="Q28" i="6"/>
  <c r="G45" i="6"/>
  <c r="O15" i="6"/>
  <c r="Q31" i="6"/>
  <c r="E5" i="6"/>
  <c r="M7" i="6"/>
  <c r="M15" i="6"/>
  <c r="N16" i="6"/>
  <c r="O23" i="6"/>
  <c r="C31" i="6"/>
  <c r="P31" i="6"/>
  <c r="D32" i="6"/>
  <c r="Q32" i="6"/>
  <c r="BK36" i="6"/>
  <c r="B30" i="6" s="1"/>
  <c r="C38" i="6"/>
  <c r="J38" i="6" s="1"/>
  <c r="H4" i="6"/>
  <c r="P4" i="6"/>
  <c r="D5" i="6"/>
  <c r="P5" i="6"/>
  <c r="D6" i="6"/>
  <c r="D8" i="6" s="1"/>
  <c r="Q16" i="6"/>
  <c r="D24" i="6"/>
  <c r="Q24" i="6"/>
  <c r="C22" i="6"/>
  <c r="J22" i="6" s="1"/>
  <c r="L32" i="6"/>
  <c r="Q20" i="6"/>
  <c r="B29" i="6"/>
  <c r="Q39" i="6"/>
  <c r="Q23" i="6"/>
  <c r="L31" i="6"/>
  <c r="E39" i="6"/>
  <c r="Q6" i="6"/>
  <c r="Q8" i="6" s="1"/>
  <c r="C14" i="6"/>
  <c r="C16" i="6" s="1"/>
  <c r="F16" i="6"/>
  <c r="L23" i="6"/>
  <c r="F24" i="6"/>
  <c r="C20" i="6"/>
  <c r="C23" i="6" s="1"/>
  <c r="F39" i="6"/>
  <c r="B38" i="6"/>
  <c r="B40" i="6" s="1"/>
  <c r="N40" i="6"/>
  <c r="P24" i="6"/>
  <c r="D4" i="6"/>
  <c r="L4" i="6"/>
  <c r="M16" i="6"/>
  <c r="N23" i="6"/>
  <c r="M24" i="6"/>
  <c r="B21" i="6"/>
  <c r="O31" i="6"/>
  <c r="P32" i="6"/>
  <c r="N39" i="6"/>
  <c r="O40" i="6"/>
  <c r="F8" i="6"/>
  <c r="K8" i="6"/>
  <c r="P8" i="6"/>
  <c r="J39" i="6"/>
  <c r="M8" i="6"/>
  <c r="Q4" i="6"/>
  <c r="Q7" i="6" s="1"/>
  <c r="Q15" i="6"/>
  <c r="C32" i="6"/>
  <c r="J32" i="6" s="1"/>
  <c r="J30" i="6"/>
  <c r="B14" i="6"/>
  <c r="B20" i="6"/>
  <c r="K7" i="6"/>
  <c r="B12" i="6"/>
  <c r="B4" i="6" s="1"/>
  <c r="B39" i="6"/>
  <c r="K9" i="7"/>
  <c r="N23" i="7"/>
  <c r="C5" i="6"/>
  <c r="C12" i="6"/>
  <c r="O5" i="6"/>
  <c r="O7" i="6" s="1"/>
  <c r="L6" i="6"/>
  <c r="K15" i="6"/>
  <c r="D16" i="6"/>
  <c r="BK27" i="6"/>
  <c r="B22" i="6" s="1"/>
  <c r="K5" i="7"/>
  <c r="K8" i="7" s="1"/>
  <c r="D6" i="7"/>
  <c r="D8" i="7" s="1"/>
  <c r="L6" i="7"/>
  <c r="E7" i="7"/>
  <c r="E9" i="7" s="1"/>
  <c r="M7" i="7"/>
  <c r="M9" i="7" s="1"/>
  <c r="F15" i="7"/>
  <c r="N15" i="7"/>
  <c r="F4" i="6"/>
  <c r="F7" i="6" s="1"/>
  <c r="N4" i="6"/>
  <c r="N7" i="6" s="1"/>
  <c r="N6" i="6"/>
  <c r="N8" i="6" s="1"/>
  <c r="N6" i="7"/>
  <c r="N8" i="7" s="1"/>
  <c r="O6" i="6"/>
  <c r="J21" i="6"/>
  <c r="J36" i="6"/>
  <c r="J4" i="6" s="1"/>
  <c r="M39" i="6"/>
  <c r="D16" i="7"/>
  <c r="P16" i="6"/>
  <c r="L5" i="6"/>
  <c r="L7" i="6" s="1"/>
  <c r="E6" i="6"/>
  <c r="E8" i="6" s="1"/>
  <c r="D15" i="6"/>
  <c r="P6" i="7"/>
  <c r="J29" i="6"/>
  <c r="J37" i="6"/>
  <c r="K22" i="7"/>
  <c r="P39" i="6"/>
  <c r="C15" i="7"/>
  <c r="L22" i="7"/>
  <c r="B23" i="6" l="1"/>
  <c r="B32" i="6"/>
  <c r="J31" i="6"/>
  <c r="N9" i="7"/>
  <c r="J23" i="6"/>
  <c r="E7" i="6"/>
  <c r="B24" i="6"/>
  <c r="B31" i="6"/>
  <c r="D7" i="6"/>
  <c r="B5" i="6"/>
  <c r="B7" i="6" s="1"/>
  <c r="P7" i="6"/>
  <c r="C40" i="6"/>
  <c r="J40" i="6" s="1"/>
  <c r="C4" i="6"/>
  <c r="C6" i="6"/>
  <c r="C15" i="6"/>
  <c r="J15" i="6" s="1"/>
  <c r="C24" i="6"/>
  <c r="J24" i="6" s="1"/>
  <c r="B15" i="6"/>
  <c r="J14" i="6"/>
  <c r="J6" i="6" s="1"/>
  <c r="J5" i="6"/>
  <c r="J7" i="6" s="1"/>
  <c r="J16" i="6"/>
  <c r="O8" i="6"/>
  <c r="P8" i="7"/>
  <c r="P9" i="7"/>
  <c r="L8" i="6"/>
  <c r="D9" i="7"/>
  <c r="L8" i="7"/>
  <c r="L9" i="7"/>
  <c r="C7" i="6"/>
  <c r="C8" i="6"/>
  <c r="B16" i="6"/>
  <c r="B6" i="6"/>
  <c r="B8" i="6" s="1"/>
  <c r="J8" i="6" l="1"/>
  <c r="EG285" i="3"/>
  <c r="ED285" i="3"/>
  <c r="DU285" i="3"/>
  <c r="DO285" i="3"/>
  <c r="DN285" i="3"/>
  <c r="DD285" i="3"/>
  <c r="CV285" i="3"/>
  <c r="CU285" i="3"/>
  <c r="CT285" i="3"/>
  <c r="CS285" i="3"/>
  <c r="CP285" i="3"/>
  <c r="CO285" i="3"/>
  <c r="BM285" i="3"/>
  <c r="BC285" i="3"/>
  <c r="BA285" i="3"/>
  <c r="AZ285" i="3"/>
  <c r="AU285" i="3"/>
  <c r="AM285" i="3"/>
  <c r="AH285" i="3"/>
  <c r="FZ283" i="3"/>
  <c r="FY283" i="3"/>
  <c r="FW283" i="3"/>
  <c r="FS283" i="3"/>
  <c r="FI283" i="3"/>
  <c r="FH283" i="3"/>
  <c r="FG283" i="3"/>
  <c r="FF283" i="3"/>
  <c r="FC283" i="3"/>
  <c r="FB283" i="3"/>
  <c r="FA283" i="3"/>
  <c r="EZ283" i="3"/>
  <c r="EY283" i="3"/>
  <c r="EX283" i="3"/>
  <c r="EW283" i="3"/>
  <c r="EV283" i="3" s="1"/>
  <c r="EU283" i="3"/>
  <c r="ET283" i="3"/>
  <c r="ES283" i="3"/>
  <c r="ER283" i="3"/>
  <c r="EQ283" i="3"/>
  <c r="EP283" i="3"/>
  <c r="EO283" i="3"/>
  <c r="EN283" i="3" s="1"/>
  <c r="EK283" i="3"/>
  <c r="EJ283" i="3"/>
  <c r="EI283" i="3"/>
  <c r="EH283" i="3"/>
  <c r="EF283" i="3"/>
  <c r="EC283" i="3"/>
  <c r="DW283" i="3"/>
  <c r="DA283" i="3"/>
  <c r="CX283" i="3" s="1"/>
  <c r="CQ283" i="3"/>
  <c r="CK283" i="3"/>
  <c r="CI283" i="3"/>
  <c r="CF283" i="3"/>
  <c r="CH283" i="3" s="1"/>
  <c r="CG283" i="3" s="1"/>
  <c r="CE283" i="3"/>
  <c r="BS283" i="3"/>
  <c r="GA283" i="3" s="1"/>
  <c r="BP283" i="3"/>
  <c r="FX283" i="3" s="1"/>
  <c r="BO283" i="3"/>
  <c r="FU283" i="3" s="1"/>
  <c r="BH283" i="3"/>
  <c r="BG283" i="3"/>
  <c r="BF283" i="3"/>
  <c r="AW283" i="3"/>
  <c r="AV283" i="3"/>
  <c r="AT283" i="3"/>
  <c r="AR283" i="3"/>
  <c r="AP283" i="3"/>
  <c r="AI283" i="3"/>
  <c r="AB283" i="3"/>
  <c r="Z283" i="3"/>
  <c r="T283" i="3"/>
  <c r="O283" i="3"/>
  <c r="FZ281" i="3"/>
  <c r="FW281" i="3"/>
  <c r="FQ281" i="3"/>
  <c r="FP281" i="3" s="1"/>
  <c r="FI281" i="3"/>
  <c r="FH281" i="3" s="1"/>
  <c r="FG281" i="3"/>
  <c r="FF281" i="3"/>
  <c r="FC281" i="3"/>
  <c r="FB281" i="3"/>
  <c r="FA281" i="3"/>
  <c r="EZ281" i="3" s="1"/>
  <c r="EY281" i="3"/>
  <c r="EX281" i="3"/>
  <c r="EW281" i="3"/>
  <c r="EV281" i="3" s="1"/>
  <c r="EU281" i="3"/>
  <c r="ET281" i="3"/>
  <c r="ES281" i="3"/>
  <c r="ER281" i="3" s="1"/>
  <c r="EQ281" i="3"/>
  <c r="EP281" i="3"/>
  <c r="EO281" i="3"/>
  <c r="EN281" i="3" s="1"/>
  <c r="EK281" i="3"/>
  <c r="EJ281" i="3" s="1"/>
  <c r="EI281" i="3"/>
  <c r="EH281" i="3"/>
  <c r="EF281" i="3"/>
  <c r="EC281" i="3"/>
  <c r="DW281" i="3"/>
  <c r="DI281" i="3"/>
  <c r="DA281" i="3"/>
  <c r="CX281" i="3" s="1"/>
  <c r="CQ281" i="3"/>
  <c r="CN281" i="3"/>
  <c r="CM281" i="3" s="1"/>
  <c r="CK281" i="3"/>
  <c r="CI281" i="3"/>
  <c r="CH281" i="3"/>
  <c r="CG281" i="3" s="1"/>
  <c r="CE281" i="3"/>
  <c r="CD281" i="3"/>
  <c r="BS281" i="3"/>
  <c r="GA281" i="3" s="1"/>
  <c r="BQ281" i="3"/>
  <c r="FY281" i="3" s="1"/>
  <c r="BP281" i="3"/>
  <c r="FX281" i="3" s="1"/>
  <c r="BO281" i="3"/>
  <c r="FU281" i="3" s="1"/>
  <c r="BH281" i="3"/>
  <c r="BG281" i="3"/>
  <c r="BL281" i="3" s="1"/>
  <c r="BF281" i="3"/>
  <c r="AW281" i="3"/>
  <c r="AV281" i="3" s="1"/>
  <c r="AT281" i="3"/>
  <c r="AR281" i="3"/>
  <c r="AP281" i="3"/>
  <c r="AI281" i="3"/>
  <c r="AB281" i="3"/>
  <c r="Z281" i="3"/>
  <c r="T281" i="3"/>
  <c r="O281" i="3"/>
  <c r="FZ279" i="3"/>
  <c r="FQ279" i="3"/>
  <c r="FP279" i="3"/>
  <c r="FI279" i="3"/>
  <c r="FH279" i="3"/>
  <c r="FG279" i="3"/>
  <c r="FF279" i="3" s="1"/>
  <c r="FC279" i="3"/>
  <c r="FB279" i="3"/>
  <c r="FA279" i="3"/>
  <c r="EZ279" i="3"/>
  <c r="EY279" i="3"/>
  <c r="EX279" i="3" s="1"/>
  <c r="EW279" i="3"/>
  <c r="EV279" i="3"/>
  <c r="EU279" i="3"/>
  <c r="ET279" i="3"/>
  <c r="ES279" i="3"/>
  <c r="ER279" i="3"/>
  <c r="EQ279" i="3"/>
  <c r="EP279" i="3" s="1"/>
  <c r="EO279" i="3"/>
  <c r="EN279" i="3"/>
  <c r="EK279" i="3"/>
  <c r="EJ279" i="3"/>
  <c r="EI279" i="3"/>
  <c r="EH279" i="3" s="1"/>
  <c r="EF279" i="3"/>
  <c r="EC279" i="3"/>
  <c r="DW279" i="3"/>
  <c r="DI279" i="3"/>
  <c r="DA279" i="3"/>
  <c r="FE279" i="3" s="1"/>
  <c r="FD279" i="3" s="1"/>
  <c r="CX279" i="3"/>
  <c r="FK279" i="3" s="1"/>
  <c r="FJ279" i="3" s="1"/>
  <c r="CW279" i="3"/>
  <c r="CQ279" i="3"/>
  <c r="CN279" i="3"/>
  <c r="CM279" i="3"/>
  <c r="CK279" i="3"/>
  <c r="CI279" i="3"/>
  <c r="CH279" i="3"/>
  <c r="CG279" i="3"/>
  <c r="CE279" i="3"/>
  <c r="CD279" i="3"/>
  <c r="BS279" i="3"/>
  <c r="GA279" i="3" s="1"/>
  <c r="BQ279" i="3"/>
  <c r="FY279" i="3" s="1"/>
  <c r="BP279" i="3"/>
  <c r="FX279" i="3" s="1"/>
  <c r="BO279" i="3"/>
  <c r="FU279" i="3" s="1"/>
  <c r="BN279" i="3"/>
  <c r="FW279" i="3" s="1"/>
  <c r="BH279" i="3"/>
  <c r="BG279" i="3"/>
  <c r="BF279" i="3"/>
  <c r="AV279" i="3"/>
  <c r="AT279" i="3"/>
  <c r="AR279" i="3"/>
  <c r="AP279" i="3"/>
  <c r="AI279" i="3"/>
  <c r="AE279" i="3"/>
  <c r="AB279" i="3"/>
  <c r="Z279" i="3"/>
  <c r="W279" i="3"/>
  <c r="V279" i="3"/>
  <c r="T279" i="3"/>
  <c r="FZ277" i="3"/>
  <c r="FW277" i="3"/>
  <c r="FI277" i="3"/>
  <c r="FH277" i="3" s="1"/>
  <c r="FG277" i="3"/>
  <c r="FF277" i="3"/>
  <c r="FC277" i="3"/>
  <c r="FB277" i="3"/>
  <c r="FA277" i="3"/>
  <c r="EZ277" i="3" s="1"/>
  <c r="EY277" i="3"/>
  <c r="EX277" i="3"/>
  <c r="EW277" i="3"/>
  <c r="EV277" i="3" s="1"/>
  <c r="EU277" i="3"/>
  <c r="ET277" i="3"/>
  <c r="ES277" i="3"/>
  <c r="ER277" i="3" s="1"/>
  <c r="EQ277" i="3"/>
  <c r="EP277" i="3"/>
  <c r="EO277" i="3"/>
  <c r="EN277" i="3" s="1"/>
  <c r="EK277" i="3"/>
  <c r="EJ277" i="3" s="1"/>
  <c r="EI277" i="3"/>
  <c r="EH277" i="3"/>
  <c r="EF277" i="3"/>
  <c r="EC277" i="3"/>
  <c r="DW277" i="3"/>
  <c r="DA277" i="3"/>
  <c r="FE277" i="3" s="1"/>
  <c r="FD277" i="3" s="1"/>
  <c r="CX277" i="3"/>
  <c r="CW277" i="3"/>
  <c r="CQ277" i="3"/>
  <c r="CN277" i="3"/>
  <c r="CM277" i="3"/>
  <c r="CK277" i="3"/>
  <c r="CI277" i="3"/>
  <c r="CH277" i="3"/>
  <c r="CG277" i="3"/>
  <c r="CE277" i="3"/>
  <c r="CD277" i="3"/>
  <c r="BS277" i="3"/>
  <c r="GA277" i="3" s="1"/>
  <c r="BQ277" i="3"/>
  <c r="FY277" i="3" s="1"/>
  <c r="BP277" i="3"/>
  <c r="FX277" i="3" s="1"/>
  <c r="BO277" i="3"/>
  <c r="FU277" i="3" s="1"/>
  <c r="BH277" i="3"/>
  <c r="BG277" i="3"/>
  <c r="AW277" i="3"/>
  <c r="AV277" i="3" s="1"/>
  <c r="AT277" i="3"/>
  <c r="AR277" i="3"/>
  <c r="AP277" i="3"/>
  <c r="AI277" i="3"/>
  <c r="AE277" i="3"/>
  <c r="AB277" i="3"/>
  <c r="Z277" i="3"/>
  <c r="W277" i="3"/>
  <c r="V277" i="3"/>
  <c r="T277" i="3"/>
  <c r="FZ275" i="3"/>
  <c r="FW275" i="3"/>
  <c r="FT275" i="3"/>
  <c r="FI275" i="3"/>
  <c r="FH275" i="3" s="1"/>
  <c r="FG275" i="3"/>
  <c r="FF275" i="3"/>
  <c r="FC275" i="3"/>
  <c r="FB275" i="3"/>
  <c r="FA275" i="3"/>
  <c r="EZ275" i="3" s="1"/>
  <c r="EY275" i="3"/>
  <c r="EX275" i="3"/>
  <c r="EW275" i="3"/>
  <c r="EV275" i="3" s="1"/>
  <c r="EU275" i="3"/>
  <c r="ET275" i="3"/>
  <c r="ES275" i="3"/>
  <c r="ER275" i="3" s="1"/>
  <c r="EQ275" i="3"/>
  <c r="EP275" i="3"/>
  <c r="EO275" i="3"/>
  <c r="EN275" i="3" s="1"/>
  <c r="EK275" i="3"/>
  <c r="EJ275" i="3" s="1"/>
  <c r="EI275" i="3"/>
  <c r="EH275" i="3"/>
  <c r="EF275" i="3"/>
  <c r="EC275" i="3"/>
  <c r="EB275" i="3"/>
  <c r="DW275" i="3"/>
  <c r="DA275" i="3"/>
  <c r="FE275" i="3" s="1"/>
  <c r="FD275" i="3" s="1"/>
  <c r="CX275" i="3"/>
  <c r="FK275" i="3" s="1"/>
  <c r="FJ275" i="3" s="1"/>
  <c r="CW275" i="3"/>
  <c r="CQ275" i="3"/>
  <c r="CN275" i="3"/>
  <c r="CM275" i="3"/>
  <c r="CK275" i="3"/>
  <c r="CI275" i="3"/>
  <c r="CH275" i="3"/>
  <c r="CG275" i="3"/>
  <c r="CE275" i="3"/>
  <c r="EA275" i="3" s="1"/>
  <c r="CD275" i="3"/>
  <c r="BS275" i="3"/>
  <c r="GA275" i="3" s="1"/>
  <c r="BQ275" i="3"/>
  <c r="FY275" i="3" s="1"/>
  <c r="BP275" i="3"/>
  <c r="FX275" i="3" s="1"/>
  <c r="BO275" i="3"/>
  <c r="BJ275" i="3"/>
  <c r="FR275" i="3" s="1"/>
  <c r="BH275" i="3"/>
  <c r="BF275" i="3"/>
  <c r="BE275" i="3"/>
  <c r="BD275" i="3" s="1"/>
  <c r="AV275" i="3"/>
  <c r="AT275" i="3"/>
  <c r="AR275" i="3"/>
  <c r="AP275" i="3"/>
  <c r="AK275" i="3"/>
  <c r="AI275" i="3"/>
  <c r="AE275" i="3"/>
  <c r="T275" i="3"/>
  <c r="FZ273" i="3"/>
  <c r="FW273" i="3"/>
  <c r="FR273" i="3"/>
  <c r="FQ273" i="3"/>
  <c r="FP273" i="3"/>
  <c r="FI273" i="3"/>
  <c r="FH273" i="3"/>
  <c r="FG273" i="3"/>
  <c r="FF273" i="3" s="1"/>
  <c r="FC273" i="3"/>
  <c r="FB273" i="3" s="1"/>
  <c r="FA273" i="3"/>
  <c r="EZ273" i="3"/>
  <c r="EY273" i="3"/>
  <c r="EX273" i="3" s="1"/>
  <c r="EW273" i="3"/>
  <c r="EV273" i="3"/>
  <c r="EU273" i="3"/>
  <c r="ET273" i="3" s="1"/>
  <c r="ES273" i="3"/>
  <c r="ER273" i="3"/>
  <c r="EQ273" i="3"/>
  <c r="EP273" i="3" s="1"/>
  <c r="EO273" i="3"/>
  <c r="EN273" i="3"/>
  <c r="EK273" i="3"/>
  <c r="EJ273" i="3"/>
  <c r="EI273" i="3"/>
  <c r="EH273" i="3" s="1"/>
  <c r="EF273" i="3"/>
  <c r="EC273" i="3"/>
  <c r="EB273" i="3"/>
  <c r="DW273" i="3"/>
  <c r="DI273" i="3"/>
  <c r="DA273" i="3"/>
  <c r="FE273" i="3" s="1"/>
  <c r="FD273" i="3" s="1"/>
  <c r="CX273" i="3"/>
  <c r="CW273" i="3"/>
  <c r="CQ273" i="3"/>
  <c r="CM273" i="3"/>
  <c r="CK273" i="3"/>
  <c r="CI273" i="3"/>
  <c r="CH273" i="3"/>
  <c r="CG273" i="3"/>
  <c r="CE273" i="3"/>
  <c r="EA273" i="3" s="1"/>
  <c r="CD273" i="3"/>
  <c r="BS273" i="3"/>
  <c r="GA273" i="3" s="1"/>
  <c r="BQ273" i="3"/>
  <c r="FY273" i="3" s="1"/>
  <c r="BP273" i="3"/>
  <c r="FX273" i="3" s="1"/>
  <c r="BO273" i="3"/>
  <c r="FU273" i="3" s="1"/>
  <c r="BH273" i="3"/>
  <c r="BG273" i="3"/>
  <c r="BE273" i="3"/>
  <c r="BD273" i="3"/>
  <c r="AW273" i="3"/>
  <c r="AV273" i="3"/>
  <c r="AT273" i="3"/>
  <c r="AR273" i="3"/>
  <c r="AP273" i="3"/>
  <c r="AK273" i="3"/>
  <c r="AI273" i="3"/>
  <c r="AE273" i="3"/>
  <c r="AD273" i="3" s="1"/>
  <c r="EE273" i="3" s="1"/>
  <c r="Y273" i="3"/>
  <c r="X273" i="3" s="1"/>
  <c r="FZ271" i="3"/>
  <c r="FQ271" i="3"/>
  <c r="FP271" i="3"/>
  <c r="FI271" i="3"/>
  <c r="FH271" i="3"/>
  <c r="FG271" i="3"/>
  <c r="FF271" i="3"/>
  <c r="FE271" i="3"/>
  <c r="FD271" i="3"/>
  <c r="FC271" i="3"/>
  <c r="FB271" i="3" s="1"/>
  <c r="FA271" i="3"/>
  <c r="EZ271" i="3"/>
  <c r="EY271" i="3"/>
  <c r="EX271" i="3"/>
  <c r="EW271" i="3"/>
  <c r="EV271" i="3"/>
  <c r="EU271" i="3"/>
  <c r="ET271" i="3" s="1"/>
  <c r="ES271" i="3"/>
  <c r="ER271" i="3"/>
  <c r="EQ271" i="3"/>
  <c r="EP271" i="3"/>
  <c r="EO271" i="3"/>
  <c r="EN271" i="3"/>
  <c r="EK271" i="3"/>
  <c r="EJ271" i="3"/>
  <c r="EI271" i="3"/>
  <c r="EH271" i="3" s="1"/>
  <c r="EF271" i="3"/>
  <c r="EC271" i="3"/>
  <c r="DX271" i="3"/>
  <c r="DW271" i="3"/>
  <c r="DI271" i="3"/>
  <c r="CX271" i="3"/>
  <c r="CQ271" i="3"/>
  <c r="CK271" i="3"/>
  <c r="CI271" i="3"/>
  <c r="CF271" i="3"/>
  <c r="CE271" i="3"/>
  <c r="BS271" i="3"/>
  <c r="GA271" i="3" s="1"/>
  <c r="BQ271" i="3"/>
  <c r="FY271" i="3" s="1"/>
  <c r="BP271" i="3"/>
  <c r="FX271" i="3" s="1"/>
  <c r="BO271" i="3"/>
  <c r="FU271" i="3" s="1"/>
  <c r="BN271" i="3"/>
  <c r="FW271" i="3" s="1"/>
  <c r="BH271" i="3"/>
  <c r="AW271" i="3"/>
  <c r="AV271" i="3"/>
  <c r="AT271" i="3"/>
  <c r="AR271" i="3"/>
  <c r="AP271" i="3"/>
  <c r="AN271" i="3"/>
  <c r="AI271" i="3"/>
  <c r="AE271" i="3"/>
  <c r="AD271" i="3"/>
  <c r="AB271" i="3"/>
  <c r="Z271" i="3"/>
  <c r="Y271" i="3"/>
  <c r="V271" i="3"/>
  <c r="U271" i="3"/>
  <c r="BE271" i="3" s="1"/>
  <c r="BD271" i="3" s="1"/>
  <c r="FY270" i="3"/>
  <c r="EU270" i="3"/>
  <c r="DW270" i="3"/>
  <c r="FZ269" i="3"/>
  <c r="FI269" i="3"/>
  <c r="FH269" i="3" s="1"/>
  <c r="FG269" i="3"/>
  <c r="FF269" i="3" s="1"/>
  <c r="FE269" i="3"/>
  <c r="FD269" i="3" s="1"/>
  <c r="FC269" i="3"/>
  <c r="FB269" i="3"/>
  <c r="FA269" i="3"/>
  <c r="EZ269" i="3" s="1"/>
  <c r="EY269" i="3"/>
  <c r="EX269" i="3"/>
  <c r="EW269" i="3"/>
  <c r="EV269" i="3" s="1"/>
  <c r="EU269" i="3"/>
  <c r="ET269" i="3" s="1"/>
  <c r="ES269" i="3"/>
  <c r="ER269" i="3" s="1"/>
  <c r="EQ269" i="3"/>
  <c r="EP269" i="3" s="1"/>
  <c r="EO269" i="3"/>
  <c r="EN269" i="3" s="1"/>
  <c r="EK269" i="3"/>
  <c r="EJ269" i="3" s="1"/>
  <c r="EI269" i="3"/>
  <c r="EH269" i="3"/>
  <c r="EF269" i="3"/>
  <c r="EC269" i="3"/>
  <c r="DS269" i="3"/>
  <c r="DR269" i="3"/>
  <c r="CX269" i="3"/>
  <c r="CQ269" i="3"/>
  <c r="CK269" i="3"/>
  <c r="CI269" i="3"/>
  <c r="CF269" i="3"/>
  <c r="CE269" i="3"/>
  <c r="CC269" i="3"/>
  <c r="BS269" i="3"/>
  <c r="BQ269" i="3"/>
  <c r="FY269" i="3" s="1"/>
  <c r="BP269" i="3"/>
  <c r="BO269" i="3"/>
  <c r="BN269" i="3"/>
  <c r="BH269" i="3"/>
  <c r="AW269" i="3"/>
  <c r="AV269" i="3" s="1"/>
  <c r="AT269" i="3"/>
  <c r="AR269" i="3"/>
  <c r="AP269" i="3"/>
  <c r="AN269" i="3"/>
  <c r="AI269" i="3"/>
  <c r="AE269" i="3"/>
  <c r="EM269" i="3" s="1"/>
  <c r="EL269" i="3" s="1"/>
  <c r="AD269" i="3"/>
  <c r="AB269" i="3"/>
  <c r="Z269" i="3"/>
  <c r="Y269" i="3"/>
  <c r="V269" i="3"/>
  <c r="U269" i="3"/>
  <c r="T269" i="3"/>
  <c r="FY268" i="3"/>
  <c r="EU268" i="3"/>
  <c r="FZ267" i="3"/>
  <c r="FV267" i="3"/>
  <c r="FT267" i="3"/>
  <c r="EY267" i="3"/>
  <c r="EX267" i="3"/>
  <c r="EW267" i="3"/>
  <c r="EV267" i="3" s="1"/>
  <c r="EU267" i="3"/>
  <c r="ET267" i="3"/>
  <c r="ES267" i="3"/>
  <c r="ER267" i="3" s="1"/>
  <c r="EQ267" i="3"/>
  <c r="EP267" i="3"/>
  <c r="EO267" i="3"/>
  <c r="EN267" i="3" s="1"/>
  <c r="EK267" i="3"/>
  <c r="EJ267" i="3" s="1"/>
  <c r="EI267" i="3"/>
  <c r="EH267" i="3"/>
  <c r="EF267" i="3"/>
  <c r="EC267" i="3"/>
  <c r="DS267" i="3"/>
  <c r="DR267" i="3"/>
  <c r="DC267" i="3"/>
  <c r="FI267" i="3" s="1"/>
  <c r="FH267" i="3" s="1"/>
  <c r="DB267" i="3"/>
  <c r="FG267" i="3" s="1"/>
  <c r="FF267" i="3" s="1"/>
  <c r="DA267" i="3"/>
  <c r="FE267" i="3" s="1"/>
  <c r="FD267" i="3" s="1"/>
  <c r="CZ267" i="3"/>
  <c r="CY267" i="3"/>
  <c r="FA267" i="3" s="1"/>
  <c r="EZ267" i="3" s="1"/>
  <c r="CQ267" i="3"/>
  <c r="CK267" i="3"/>
  <c r="CI267" i="3"/>
  <c r="CF267" i="3"/>
  <c r="CE267" i="3" s="1"/>
  <c r="BP267" i="3"/>
  <c r="BO267" i="3"/>
  <c r="BH267" i="3"/>
  <c r="BG267" i="3"/>
  <c r="BJ267" i="3" s="1"/>
  <c r="BF267" i="3"/>
  <c r="AW267" i="3"/>
  <c r="AV267" i="3"/>
  <c r="AT267" i="3"/>
  <c r="AR267" i="3"/>
  <c r="AP267" i="3"/>
  <c r="AN267" i="3"/>
  <c r="AI267" i="3"/>
  <c r="AG267" i="3"/>
  <c r="AE267" i="3"/>
  <c r="EM267" i="3" s="1"/>
  <c r="EL267" i="3" s="1"/>
  <c r="AB267" i="3"/>
  <c r="Z267" i="3"/>
  <c r="W267" i="3"/>
  <c r="T267" i="3"/>
  <c r="DZ267" i="3" s="1"/>
  <c r="O267" i="3"/>
  <c r="FY266" i="3"/>
  <c r="EU266" i="3"/>
  <c r="FV265" i="3"/>
  <c r="FT265" i="3"/>
  <c r="FI265" i="3"/>
  <c r="FG265" i="3"/>
  <c r="FE265" i="3"/>
  <c r="FC265" i="3"/>
  <c r="FA265" i="3"/>
  <c r="EY265" i="3"/>
  <c r="EW265" i="3"/>
  <c r="EU265" i="3"/>
  <c r="ES265" i="3"/>
  <c r="EO265" i="3"/>
  <c r="EK265" i="3"/>
  <c r="DV265" i="3"/>
  <c r="DT265" i="3"/>
  <c r="DS265" i="3"/>
  <c r="DR265" i="3"/>
  <c r="DQ265" i="3"/>
  <c r="CF265" i="3"/>
  <c r="CH265" i="3" s="1"/>
  <c r="BS265" i="3"/>
  <c r="BR265" i="3"/>
  <c r="FZ265" i="3" s="1"/>
  <c r="BQ265" i="3"/>
  <c r="BP265" i="3"/>
  <c r="AW265" i="3"/>
  <c r="FK265" i="3" s="1"/>
  <c r="AJ265" i="3"/>
  <c r="EQ265" i="3" s="1"/>
  <c r="AE265" i="3"/>
  <c r="EM265" i="3" s="1"/>
  <c r="AC265" i="3"/>
  <c r="W265" i="3"/>
  <c r="U265" i="3"/>
  <c r="BG265" i="3" s="1"/>
  <c r="FZ264" i="3"/>
  <c r="FV264" i="3"/>
  <c r="FT264" i="3"/>
  <c r="FI264" i="3"/>
  <c r="FH264" i="3" s="1"/>
  <c r="FG264" i="3"/>
  <c r="FF264" i="3"/>
  <c r="FE264" i="3"/>
  <c r="FD264" i="3" s="1"/>
  <c r="FC264" i="3"/>
  <c r="FB264" i="3" s="1"/>
  <c r="FA264" i="3"/>
  <c r="EZ264" i="3" s="1"/>
  <c r="EY264" i="3"/>
  <c r="EX264" i="3" s="1"/>
  <c r="EW264" i="3"/>
  <c r="EU264" i="3"/>
  <c r="ET264" i="3" s="1"/>
  <c r="ES264" i="3"/>
  <c r="ER264" i="3" s="1"/>
  <c r="EQ264" i="3"/>
  <c r="EP264" i="3"/>
  <c r="EO264" i="3"/>
  <c r="EN264" i="3" s="1"/>
  <c r="EK264" i="3"/>
  <c r="EJ264" i="3" s="1"/>
  <c r="EI264" i="3"/>
  <c r="EF264" i="3"/>
  <c r="EC264" i="3"/>
  <c r="DS264" i="3"/>
  <c r="FX264" i="3" s="1"/>
  <c r="DR264" i="3"/>
  <c r="FU264" i="3" s="1"/>
  <c r="DQ264" i="3"/>
  <c r="FW264" i="3" s="1"/>
  <c r="CX264" i="3"/>
  <c r="CW264" i="3"/>
  <c r="CQ264" i="3"/>
  <c r="CM264" i="3"/>
  <c r="CK264" i="3"/>
  <c r="CI264" i="3"/>
  <c r="CF264" i="3"/>
  <c r="BJ264" i="3"/>
  <c r="BI264" i="3"/>
  <c r="AW264" i="3"/>
  <c r="FK264" i="3" s="1"/>
  <c r="FJ264" i="3" s="1"/>
  <c r="AT264" i="3"/>
  <c r="AR264" i="3"/>
  <c r="AP264" i="3"/>
  <c r="AN264" i="3"/>
  <c r="AE264" i="3"/>
  <c r="AD264" i="3" s="1"/>
  <c r="Z264" i="3"/>
  <c r="W264" i="3"/>
  <c r="V264" i="3" s="1"/>
  <c r="U264" i="3"/>
  <c r="T264" i="3" s="1"/>
  <c r="FY263" i="3"/>
  <c r="EU263" i="3"/>
  <c r="FZ262" i="3"/>
  <c r="FV262" i="3"/>
  <c r="FT262" i="3"/>
  <c r="EY262" i="3"/>
  <c r="EX262" i="3" s="1"/>
  <c r="EW262" i="3"/>
  <c r="EV262" i="3"/>
  <c r="EU262" i="3"/>
  <c r="ET262" i="3" s="1"/>
  <c r="ES262" i="3"/>
  <c r="ER262" i="3" s="1"/>
  <c r="EQ262" i="3"/>
  <c r="EP262" i="3" s="1"/>
  <c r="EO262" i="3"/>
  <c r="EN262" i="3" s="1"/>
  <c r="EI262" i="3"/>
  <c r="EH262" i="3" s="1"/>
  <c r="EF262" i="3"/>
  <c r="EC262" i="3"/>
  <c r="DS262" i="3"/>
  <c r="DR262" i="3"/>
  <c r="DC262" i="3"/>
  <c r="FI262" i="3" s="1"/>
  <c r="FH262" i="3" s="1"/>
  <c r="DB262" i="3"/>
  <c r="FG262" i="3" s="1"/>
  <c r="FF262" i="3" s="1"/>
  <c r="DA262" i="3"/>
  <c r="FE262" i="3" s="1"/>
  <c r="FD262" i="3" s="1"/>
  <c r="CZ262" i="3"/>
  <c r="FC262" i="3" s="1"/>
  <c r="FB262" i="3" s="1"/>
  <c r="CY262" i="3"/>
  <c r="FA262" i="3" s="1"/>
  <c r="EZ262" i="3" s="1"/>
  <c r="CQ262" i="3"/>
  <c r="CK262" i="3"/>
  <c r="CI262" i="3"/>
  <c r="CF262" i="3"/>
  <c r="CE262" i="3" s="1"/>
  <c r="BP262" i="3"/>
  <c r="FX262" i="3" s="1"/>
  <c r="BO262" i="3"/>
  <c r="BH262" i="3"/>
  <c r="BG262" i="3"/>
  <c r="BF262" i="3" s="1"/>
  <c r="AW262" i="3"/>
  <c r="AV262" i="3" s="1"/>
  <c r="AT262" i="3"/>
  <c r="AR262" i="3"/>
  <c r="AP262" i="3"/>
  <c r="AN262" i="3"/>
  <c r="AI262" i="3"/>
  <c r="AE262" i="3"/>
  <c r="EM262" i="3" s="1"/>
  <c r="EL262" i="3" s="1"/>
  <c r="AD262" i="3"/>
  <c r="AB262" i="3"/>
  <c r="W262" i="3"/>
  <c r="T262" i="3"/>
  <c r="DZ262" i="3" s="1"/>
  <c r="FY261" i="3"/>
  <c r="EU261" i="3"/>
  <c r="FZ260" i="3"/>
  <c r="FV260" i="3"/>
  <c r="FT260" i="3"/>
  <c r="EY260" i="3"/>
  <c r="EX260" i="3" s="1"/>
  <c r="EW260" i="3"/>
  <c r="EV260" i="3" s="1"/>
  <c r="EU260" i="3"/>
  <c r="ET260" i="3"/>
  <c r="ES260" i="3"/>
  <c r="ER260" i="3" s="1"/>
  <c r="EQ260" i="3"/>
  <c r="EP260" i="3" s="1"/>
  <c r="EO260" i="3"/>
  <c r="EN260" i="3" s="1"/>
  <c r="EK260" i="3"/>
  <c r="EJ260" i="3" s="1"/>
  <c r="EI260" i="3"/>
  <c r="EH260" i="3" s="1"/>
  <c r="EF260" i="3"/>
  <c r="EC260" i="3"/>
  <c r="DS260" i="3"/>
  <c r="DR260" i="3"/>
  <c r="DC260" i="3"/>
  <c r="FI260" i="3" s="1"/>
  <c r="FH260" i="3" s="1"/>
  <c r="DB260" i="3"/>
  <c r="FG260" i="3" s="1"/>
  <c r="FF260" i="3" s="1"/>
  <c r="DA260" i="3"/>
  <c r="FE260" i="3" s="1"/>
  <c r="FD260" i="3" s="1"/>
  <c r="CZ260" i="3"/>
  <c r="FC260" i="3" s="1"/>
  <c r="FB260" i="3" s="1"/>
  <c r="CY260" i="3"/>
  <c r="FA260" i="3" s="1"/>
  <c r="EZ260" i="3" s="1"/>
  <c r="CQ260" i="3"/>
  <c r="CK260" i="3"/>
  <c r="CI260" i="3"/>
  <c r="CF260" i="3"/>
  <c r="CE260" i="3" s="1"/>
  <c r="BP260" i="3"/>
  <c r="BO260" i="3"/>
  <c r="BU260" i="3" s="1"/>
  <c r="BT260" i="3" s="1"/>
  <c r="BH260" i="3"/>
  <c r="BG260" i="3"/>
  <c r="BJ260" i="3" s="1"/>
  <c r="AW260" i="3"/>
  <c r="AV260" i="3"/>
  <c r="AT260" i="3"/>
  <c r="AR260" i="3"/>
  <c r="AP260" i="3"/>
  <c r="AN260" i="3"/>
  <c r="AI260" i="3"/>
  <c r="AE260" i="3"/>
  <c r="AB260" i="3"/>
  <c r="Z260" i="3"/>
  <c r="W260" i="3"/>
  <c r="V260" i="3"/>
  <c r="T260" i="3"/>
  <c r="FY259" i="3"/>
  <c r="EU259" i="3"/>
  <c r="FZ258" i="3"/>
  <c r="FV258" i="3"/>
  <c r="FT258" i="3"/>
  <c r="FI258" i="3"/>
  <c r="FG258" i="3"/>
  <c r="FE258" i="3"/>
  <c r="FC258" i="3"/>
  <c r="FA258" i="3"/>
  <c r="EY258" i="3"/>
  <c r="EW258" i="3"/>
  <c r="EU258" i="3"/>
  <c r="ES258" i="3"/>
  <c r="EQ258" i="3"/>
  <c r="EO258" i="3"/>
  <c r="EK258" i="3"/>
  <c r="EI258" i="3"/>
  <c r="DV258" i="3"/>
  <c r="GA258" i="3" s="1"/>
  <c r="DT258" i="3"/>
  <c r="FY258" i="3" s="1"/>
  <c r="DS258" i="3"/>
  <c r="DR258" i="3"/>
  <c r="DQ258" i="3"/>
  <c r="FW258" i="3" s="1"/>
  <c r="CF258" i="3"/>
  <c r="CH258" i="3" s="1"/>
  <c r="BP258" i="3"/>
  <c r="BO258" i="3"/>
  <c r="BG258" i="3"/>
  <c r="AW258" i="3"/>
  <c r="FK258" i="3" s="1"/>
  <c r="AE258" i="3"/>
  <c r="EM258" i="3" s="1"/>
  <c r="W258" i="3"/>
  <c r="FZ257" i="3"/>
  <c r="FV257" i="3"/>
  <c r="FT257" i="3"/>
  <c r="EY257" i="3"/>
  <c r="EW257" i="3"/>
  <c r="EU257" i="3"/>
  <c r="ES257" i="3"/>
  <c r="EQ257" i="3"/>
  <c r="EO257" i="3"/>
  <c r="EK257" i="3"/>
  <c r="EI257" i="3"/>
  <c r="DS257" i="3"/>
  <c r="DR257" i="3"/>
  <c r="DC257" i="3"/>
  <c r="FI257" i="3" s="1"/>
  <c r="DB257" i="3"/>
  <c r="FG257" i="3" s="1"/>
  <c r="DA257" i="3"/>
  <c r="FE257" i="3" s="1"/>
  <c r="CZ257" i="3"/>
  <c r="FC257" i="3" s="1"/>
  <c r="CY257" i="3"/>
  <c r="FA257" i="3" s="1"/>
  <c r="CF257" i="3"/>
  <c r="BP257" i="3"/>
  <c r="BO257" i="3"/>
  <c r="BU257" i="3" s="1"/>
  <c r="BG257" i="3"/>
  <c r="AW257" i="3"/>
  <c r="AE257" i="3"/>
  <c r="EM257" i="3" s="1"/>
  <c r="W257" i="3"/>
  <c r="FZ256" i="3"/>
  <c r="FV256" i="3"/>
  <c r="FT256" i="3"/>
  <c r="EY256" i="3"/>
  <c r="EW256" i="3"/>
  <c r="EU256" i="3"/>
  <c r="ES256" i="3"/>
  <c r="EQ256" i="3"/>
  <c r="EO256" i="3"/>
  <c r="EK256" i="3"/>
  <c r="EI256" i="3"/>
  <c r="DS256" i="3"/>
  <c r="DR256" i="3"/>
  <c r="DC256" i="3"/>
  <c r="FI256" i="3" s="1"/>
  <c r="DB256" i="3"/>
  <c r="FG256" i="3" s="1"/>
  <c r="DA256" i="3"/>
  <c r="FE256" i="3" s="1"/>
  <c r="CZ256" i="3"/>
  <c r="CY256" i="3"/>
  <c r="FA256" i="3" s="1"/>
  <c r="CF256" i="3"/>
  <c r="CH256" i="3" s="1"/>
  <c r="CC256" i="3"/>
  <c r="BP256" i="3"/>
  <c r="FX256" i="3" s="1"/>
  <c r="BO256" i="3"/>
  <c r="BU256" i="3" s="1"/>
  <c r="BG256" i="3"/>
  <c r="AW256" i="3"/>
  <c r="AE256" i="3"/>
  <c r="EM256" i="3" s="1"/>
  <c r="W256" i="3"/>
  <c r="BE256" i="3" s="1"/>
  <c r="FZ255" i="3"/>
  <c r="FV255" i="3"/>
  <c r="FT255" i="3"/>
  <c r="EY255" i="3"/>
  <c r="EX255" i="3" s="1"/>
  <c r="EW255" i="3"/>
  <c r="EV255" i="3" s="1"/>
  <c r="EU255" i="3"/>
  <c r="ET255" i="3"/>
  <c r="ES255" i="3"/>
  <c r="ER255" i="3" s="1"/>
  <c r="EQ255" i="3"/>
  <c r="EP255" i="3" s="1"/>
  <c r="EO255" i="3"/>
  <c r="EN255" i="3" s="1"/>
  <c r="EK255" i="3"/>
  <c r="EI255" i="3"/>
  <c r="EH255" i="3" s="1"/>
  <c r="EF255" i="3"/>
  <c r="EC255" i="3"/>
  <c r="DS255" i="3"/>
  <c r="DR255" i="3"/>
  <c r="DC255" i="3"/>
  <c r="FI255" i="3" s="1"/>
  <c r="DB255" i="3"/>
  <c r="FG255" i="3" s="1"/>
  <c r="FF255" i="3" s="1"/>
  <c r="DA255" i="3"/>
  <c r="FE255" i="3" s="1"/>
  <c r="CZ255" i="3"/>
  <c r="FC255" i="3" s="1"/>
  <c r="CY255" i="3"/>
  <c r="CX255" i="3" s="1"/>
  <c r="CQ255" i="3"/>
  <c r="CK255" i="3"/>
  <c r="CI255" i="3"/>
  <c r="CF255" i="3"/>
  <c r="CE255" i="3" s="1"/>
  <c r="BP255" i="3"/>
  <c r="BO255" i="3"/>
  <c r="BU255" i="3" s="1"/>
  <c r="BT255" i="3" s="1"/>
  <c r="BG255" i="3"/>
  <c r="AW255" i="3"/>
  <c r="AV255" i="3" s="1"/>
  <c r="AT255" i="3"/>
  <c r="AR255" i="3"/>
  <c r="AP255" i="3"/>
  <c r="AN255" i="3"/>
  <c r="AI255" i="3"/>
  <c r="AE255" i="3"/>
  <c r="EM255" i="3" s="1"/>
  <c r="EL255" i="3" s="1"/>
  <c r="AD255" i="3"/>
  <c r="AB255" i="3"/>
  <c r="Z255" i="3"/>
  <c r="W255" i="3"/>
  <c r="Y255" i="3" s="1"/>
  <c r="BK255" i="3" s="1"/>
  <c r="T255" i="3"/>
  <c r="FY254" i="3"/>
  <c r="EU254" i="3"/>
  <c r="FZ253" i="3"/>
  <c r="FV253" i="3"/>
  <c r="FT253" i="3"/>
  <c r="EY253" i="3"/>
  <c r="EW253" i="3"/>
  <c r="EU253" i="3"/>
  <c r="ES253" i="3"/>
  <c r="EQ253" i="3"/>
  <c r="EO253" i="3"/>
  <c r="EK253" i="3"/>
  <c r="EI253" i="3"/>
  <c r="DS253" i="3"/>
  <c r="DR253" i="3"/>
  <c r="DC253" i="3"/>
  <c r="FI253" i="3" s="1"/>
  <c r="DB253" i="3"/>
  <c r="FG253" i="3" s="1"/>
  <c r="DA253" i="3"/>
  <c r="FE253" i="3" s="1"/>
  <c r="CZ253" i="3"/>
  <c r="FC253" i="3" s="1"/>
  <c r="CY253" i="3"/>
  <c r="FA253" i="3" s="1"/>
  <c r="CF253" i="3"/>
  <c r="BP253" i="3"/>
  <c r="FX253" i="3" s="1"/>
  <c r="BO253" i="3"/>
  <c r="BU253" i="3" s="1"/>
  <c r="BG253" i="3"/>
  <c r="AW253" i="3"/>
  <c r="W253" i="3"/>
  <c r="AG253" i="3" s="1"/>
  <c r="AE253" i="3" s="1"/>
  <c r="O253" i="3"/>
  <c r="FZ252" i="3"/>
  <c r="FV252" i="3"/>
  <c r="FT252" i="3"/>
  <c r="FI252" i="3"/>
  <c r="FG252" i="3"/>
  <c r="FF252" i="3" s="1"/>
  <c r="FE252" i="3"/>
  <c r="FD252" i="3" s="1"/>
  <c r="FC252" i="3"/>
  <c r="FB252" i="3" s="1"/>
  <c r="FA252" i="3"/>
  <c r="EY252" i="3"/>
  <c r="EX252" i="3" s="1"/>
  <c r="EW252" i="3"/>
  <c r="EV252" i="3" s="1"/>
  <c r="EU252" i="3"/>
  <c r="ET252" i="3" s="1"/>
  <c r="ES252" i="3"/>
  <c r="ER252" i="3" s="1"/>
  <c r="EQ252" i="3"/>
  <c r="EP252" i="3" s="1"/>
  <c r="EO252" i="3"/>
  <c r="EN252" i="3" s="1"/>
  <c r="EK252" i="3"/>
  <c r="EJ252" i="3" s="1"/>
  <c r="EI252" i="3"/>
  <c r="EH252" i="3" s="1"/>
  <c r="EF252" i="3"/>
  <c r="EC252" i="3"/>
  <c r="DS252" i="3"/>
  <c r="DR252" i="3"/>
  <c r="CX252" i="3"/>
  <c r="CQ252" i="3"/>
  <c r="CK252" i="3"/>
  <c r="CI252" i="3"/>
  <c r="CF252" i="3"/>
  <c r="CC252" i="3"/>
  <c r="BS252" i="3"/>
  <c r="BQ252" i="3"/>
  <c r="BP252" i="3"/>
  <c r="BO252" i="3"/>
  <c r="BG252" i="3"/>
  <c r="BJ252" i="3" s="1"/>
  <c r="AW252" i="3"/>
  <c r="AV252" i="3" s="1"/>
  <c r="AT252" i="3"/>
  <c r="AR252" i="3"/>
  <c r="AP252" i="3"/>
  <c r="AN252" i="3"/>
  <c r="AI252" i="3"/>
  <c r="AB252" i="3"/>
  <c r="Z252" i="3"/>
  <c r="W252" i="3"/>
  <c r="V252" i="3"/>
  <c r="T252" i="3"/>
  <c r="O252" i="3"/>
  <c r="AG252" i="3" s="1"/>
  <c r="AE252" i="3" s="1"/>
  <c r="FY251" i="3"/>
  <c r="EU251" i="3"/>
  <c r="FZ250" i="3"/>
  <c r="FV250" i="3"/>
  <c r="FT250" i="3"/>
  <c r="EY250" i="3"/>
  <c r="EX250" i="3"/>
  <c r="EW250" i="3"/>
  <c r="EV250" i="3" s="1"/>
  <c r="EU250" i="3"/>
  <c r="ET250" i="3"/>
  <c r="ES250" i="3"/>
  <c r="ER250" i="3" s="1"/>
  <c r="EQ250" i="3"/>
  <c r="EP250" i="3"/>
  <c r="EO250" i="3"/>
  <c r="EN250" i="3" s="1"/>
  <c r="EK250" i="3"/>
  <c r="EJ250" i="3" s="1"/>
  <c r="EI250" i="3"/>
  <c r="EH250" i="3"/>
  <c r="EF250" i="3"/>
  <c r="EC250" i="3"/>
  <c r="DS250" i="3"/>
  <c r="DR250" i="3"/>
  <c r="DC250" i="3"/>
  <c r="FI250" i="3" s="1"/>
  <c r="FH250" i="3" s="1"/>
  <c r="DB250" i="3"/>
  <c r="FG250" i="3" s="1"/>
  <c r="FF250" i="3" s="1"/>
  <c r="DA250" i="3"/>
  <c r="FE250" i="3" s="1"/>
  <c r="FD250" i="3" s="1"/>
  <c r="CZ250" i="3"/>
  <c r="FC250" i="3" s="1"/>
  <c r="FB250" i="3" s="1"/>
  <c r="CY250" i="3"/>
  <c r="FA250" i="3" s="1"/>
  <c r="EZ250" i="3" s="1"/>
  <c r="CX250" i="3"/>
  <c r="CQ250" i="3"/>
  <c r="CK250" i="3"/>
  <c r="CI250" i="3"/>
  <c r="CF250" i="3"/>
  <c r="BP250" i="3"/>
  <c r="FX250" i="3" s="1"/>
  <c r="BO250" i="3"/>
  <c r="BU250" i="3" s="1"/>
  <c r="BT250" i="3" s="1"/>
  <c r="BH250" i="3"/>
  <c r="BG250" i="3"/>
  <c r="BJ250" i="3" s="1"/>
  <c r="BF250" i="3"/>
  <c r="AW250" i="3"/>
  <c r="AV250" i="3"/>
  <c r="AT250" i="3"/>
  <c r="AR250" i="3"/>
  <c r="AP250" i="3"/>
  <c r="AN250" i="3"/>
  <c r="AI250" i="3"/>
  <c r="AE250" i="3"/>
  <c r="AB250" i="3"/>
  <c r="Z250" i="3"/>
  <c r="W250" i="3"/>
  <c r="T250" i="3"/>
  <c r="DZ250" i="3" s="1"/>
  <c r="FY249" i="3"/>
  <c r="EU249" i="3"/>
  <c r="FZ248" i="3"/>
  <c r="FY248" i="3"/>
  <c r="FV248" i="3"/>
  <c r="FT248" i="3"/>
  <c r="EY248" i="3"/>
  <c r="EW248" i="3"/>
  <c r="EU248" i="3"/>
  <c r="ES248" i="3"/>
  <c r="EQ248" i="3"/>
  <c r="EO248" i="3"/>
  <c r="DS248" i="3"/>
  <c r="DR248" i="3"/>
  <c r="FU248" i="3" s="1"/>
  <c r="DB248" i="3"/>
  <c r="FG248" i="3" s="1"/>
  <c r="DA248" i="3"/>
  <c r="FE248" i="3" s="1"/>
  <c r="CZ248" i="3"/>
  <c r="FC248" i="3" s="1"/>
  <c r="CY248" i="3"/>
  <c r="BP248" i="3"/>
  <c r="BU248" i="3" s="1"/>
  <c r="BG248" i="3"/>
  <c r="AE248" i="3"/>
  <c r="W248" i="3"/>
  <c r="FZ247" i="3"/>
  <c r="FT247" i="3"/>
  <c r="FI247" i="3"/>
  <c r="FG247" i="3"/>
  <c r="FE247" i="3"/>
  <c r="FC247" i="3"/>
  <c r="FB247" i="3" s="1"/>
  <c r="FA247" i="3"/>
  <c r="EY247" i="3"/>
  <c r="EX247" i="3" s="1"/>
  <c r="EW247" i="3"/>
  <c r="EV247" i="3" s="1"/>
  <c r="EU247" i="3"/>
  <c r="ES247" i="3"/>
  <c r="ER247" i="3" s="1"/>
  <c r="EQ247" i="3"/>
  <c r="EP247" i="3" s="1"/>
  <c r="EO247" i="3"/>
  <c r="EN247" i="3" s="1"/>
  <c r="EM247" i="3"/>
  <c r="EK247" i="3"/>
  <c r="EF247" i="3"/>
  <c r="EC247" i="3"/>
  <c r="DS247" i="3"/>
  <c r="CX247" i="3"/>
  <c r="DV247" i="3" s="1"/>
  <c r="CQ247" i="3"/>
  <c r="CI247" i="3"/>
  <c r="CF247" i="3"/>
  <c r="BS247" i="3"/>
  <c r="BQ247" i="3"/>
  <c r="BP247" i="3"/>
  <c r="BG247" i="3"/>
  <c r="AW247" i="3"/>
  <c r="AT247" i="3"/>
  <c r="AR247" i="3"/>
  <c r="AP247" i="3"/>
  <c r="AN247" i="3"/>
  <c r="AI247" i="3"/>
  <c r="W247" i="3"/>
  <c r="V247" i="3"/>
  <c r="T247" i="3"/>
  <c r="FY246" i="3"/>
  <c r="EU246" i="3"/>
  <c r="FZ245" i="3"/>
  <c r="FV245" i="3"/>
  <c r="FT245" i="3"/>
  <c r="EY245" i="3"/>
  <c r="EW245" i="3"/>
  <c r="EU245" i="3"/>
  <c r="ES245" i="3"/>
  <c r="EQ245" i="3"/>
  <c r="EO245" i="3"/>
  <c r="EK245" i="3"/>
  <c r="EI245" i="3"/>
  <c r="DS245" i="3"/>
  <c r="DR245" i="3"/>
  <c r="DC245" i="3"/>
  <c r="FI245" i="3" s="1"/>
  <c r="DB245" i="3"/>
  <c r="FG245" i="3" s="1"/>
  <c r="DA245" i="3"/>
  <c r="FE245" i="3" s="1"/>
  <c r="CZ245" i="3"/>
  <c r="FC245" i="3" s="1"/>
  <c r="CY245" i="3"/>
  <c r="FA245" i="3" s="1"/>
  <c r="CX245" i="3"/>
  <c r="CF245" i="3"/>
  <c r="CN245" i="3" s="1"/>
  <c r="CC245" i="3"/>
  <c r="BP245" i="3"/>
  <c r="BO245" i="3"/>
  <c r="BU245" i="3" s="1"/>
  <c r="BG245" i="3"/>
  <c r="BJ245" i="3" s="1"/>
  <c r="AW245" i="3"/>
  <c r="AE245" i="3"/>
  <c r="EM245" i="3" s="1"/>
  <c r="W245" i="3"/>
  <c r="O245" i="3"/>
  <c r="FZ244" i="3"/>
  <c r="FV244" i="3"/>
  <c r="FT244" i="3"/>
  <c r="EY244" i="3"/>
  <c r="EW244" i="3"/>
  <c r="EU244" i="3"/>
  <c r="ES244" i="3"/>
  <c r="EQ244" i="3"/>
  <c r="EO244" i="3"/>
  <c r="EK244" i="3"/>
  <c r="EI244" i="3"/>
  <c r="DS244" i="3"/>
  <c r="DR244" i="3"/>
  <c r="DC244" i="3"/>
  <c r="FI244" i="3" s="1"/>
  <c r="DB244" i="3"/>
  <c r="FG244" i="3" s="1"/>
  <c r="DA244" i="3"/>
  <c r="FE244" i="3" s="1"/>
  <c r="CZ244" i="3"/>
  <c r="FC244" i="3" s="1"/>
  <c r="CY244" i="3"/>
  <c r="CF244" i="3"/>
  <c r="BP244" i="3"/>
  <c r="BO244" i="3"/>
  <c r="BU244" i="3" s="1"/>
  <c r="BG244" i="3"/>
  <c r="BJ244" i="3" s="1"/>
  <c r="AW244" i="3"/>
  <c r="AE244" i="3"/>
  <c r="W244" i="3"/>
  <c r="O244" i="3"/>
  <c r="FZ243" i="3"/>
  <c r="FV243" i="3"/>
  <c r="FT243" i="3"/>
  <c r="EY243" i="3"/>
  <c r="EW243" i="3"/>
  <c r="EU243" i="3"/>
  <c r="ES243" i="3"/>
  <c r="EQ243" i="3"/>
  <c r="EO243" i="3"/>
  <c r="EK243" i="3"/>
  <c r="EI243" i="3"/>
  <c r="DS243" i="3"/>
  <c r="DR243" i="3"/>
  <c r="DC243" i="3"/>
  <c r="FI243" i="3" s="1"/>
  <c r="DB243" i="3"/>
  <c r="FG243" i="3" s="1"/>
  <c r="DA243" i="3"/>
  <c r="FE243" i="3" s="1"/>
  <c r="CZ243" i="3"/>
  <c r="FC243" i="3" s="1"/>
  <c r="CY243" i="3"/>
  <c r="FA243" i="3" s="1"/>
  <c r="CF243" i="3"/>
  <c r="CC243" i="3"/>
  <c r="DF243" i="3" s="1"/>
  <c r="BP243" i="3"/>
  <c r="BO243" i="3"/>
  <c r="BU243" i="3" s="1"/>
  <c r="BG243" i="3"/>
  <c r="BJ243" i="3" s="1"/>
  <c r="AW243" i="3"/>
  <c r="AE243" i="3"/>
  <c r="EM243" i="3" s="1"/>
  <c r="W243" i="3"/>
  <c r="O243" i="3"/>
  <c r="FZ242" i="3"/>
  <c r="FV242" i="3"/>
  <c r="FT242" i="3"/>
  <c r="EY242" i="3"/>
  <c r="EX242" i="3"/>
  <c r="EW242" i="3"/>
  <c r="EU242" i="3"/>
  <c r="ET242" i="3"/>
  <c r="ES242" i="3"/>
  <c r="EQ242" i="3"/>
  <c r="EP242" i="3"/>
  <c r="EO242" i="3"/>
  <c r="EK242" i="3"/>
  <c r="EI242" i="3"/>
  <c r="EH242" i="3"/>
  <c r="EF242" i="3"/>
  <c r="EC242" i="3"/>
  <c r="DS242" i="3"/>
  <c r="DR242" i="3"/>
  <c r="DC242" i="3"/>
  <c r="FI242" i="3" s="1"/>
  <c r="DB242" i="3"/>
  <c r="FG242" i="3" s="1"/>
  <c r="FF242" i="3" s="1"/>
  <c r="DA242" i="3"/>
  <c r="FE242" i="3" s="1"/>
  <c r="FD242" i="3" s="1"/>
  <c r="CZ242" i="3"/>
  <c r="FC242" i="3" s="1"/>
  <c r="FB242" i="3" s="1"/>
  <c r="CY242" i="3"/>
  <c r="FA242" i="3" s="1"/>
  <c r="CQ242" i="3"/>
  <c r="CK242" i="3"/>
  <c r="CI242" i="3"/>
  <c r="CF242" i="3"/>
  <c r="CE242" i="3"/>
  <c r="CC242" i="3"/>
  <c r="BP242" i="3"/>
  <c r="BO242" i="3"/>
  <c r="BH242" i="3"/>
  <c r="BG242" i="3"/>
  <c r="BF242" i="3" s="1"/>
  <c r="AW242" i="3"/>
  <c r="AV242" i="3" s="1"/>
  <c r="AT242" i="3"/>
  <c r="AR242" i="3"/>
  <c r="AP242" i="3"/>
  <c r="AN242" i="3"/>
  <c r="AI242" i="3"/>
  <c r="AE242" i="3"/>
  <c r="EM242" i="3" s="1"/>
  <c r="AD242" i="3"/>
  <c r="AB242" i="3"/>
  <c r="Z242" i="3"/>
  <c r="W242" i="3"/>
  <c r="V242" i="3"/>
  <c r="T242" i="3"/>
  <c r="FY241" i="3"/>
  <c r="EU241" i="3"/>
  <c r="FV240" i="3"/>
  <c r="FT240" i="3"/>
  <c r="FI240" i="3"/>
  <c r="FH240" i="3"/>
  <c r="FG240" i="3"/>
  <c r="FF240" i="3"/>
  <c r="FE240" i="3"/>
  <c r="FD240" i="3"/>
  <c r="FC240" i="3"/>
  <c r="FB240" i="3"/>
  <c r="EY240" i="3"/>
  <c r="EX240" i="3"/>
  <c r="EW240" i="3"/>
  <c r="EV240" i="3"/>
  <c r="EU240" i="3"/>
  <c r="ET240" i="3"/>
  <c r="ES240" i="3"/>
  <c r="ER240" i="3"/>
  <c r="EO240" i="3"/>
  <c r="EN240" i="3"/>
  <c r="EM240" i="3"/>
  <c r="EL240" i="3"/>
  <c r="EK240" i="3"/>
  <c r="EJ240" i="3"/>
  <c r="EF240" i="3"/>
  <c r="EC240" i="3"/>
  <c r="DS240" i="3"/>
  <c r="DQ240" i="3"/>
  <c r="CQ240" i="3"/>
  <c r="CM240" i="3"/>
  <c r="CI240" i="3"/>
  <c r="CF240" i="3"/>
  <c r="CE240" i="3"/>
  <c r="BS240" i="3"/>
  <c r="BR240" i="3"/>
  <c r="FZ240" i="3" s="1"/>
  <c r="BQ240" i="3"/>
  <c r="FY240" i="3" s="1"/>
  <c r="BP240" i="3"/>
  <c r="BO240" i="3"/>
  <c r="FU240" i="3" s="1"/>
  <c r="BG240" i="3"/>
  <c r="BI240" i="3" s="1"/>
  <c r="BH240" i="3" s="1"/>
  <c r="AT240" i="3"/>
  <c r="AR240" i="3"/>
  <c r="AP240" i="3"/>
  <c r="AN240" i="3"/>
  <c r="AD240" i="3"/>
  <c r="AB240" i="3"/>
  <c r="Z240" i="3"/>
  <c r="W240" i="3"/>
  <c r="V240" i="3"/>
  <c r="T240" i="3"/>
  <c r="DZ240" i="3" s="1"/>
  <c r="GA238" i="3"/>
  <c r="FZ238" i="3"/>
  <c r="FY238" i="3"/>
  <c r="FX238" i="3"/>
  <c r="FW238" i="3"/>
  <c r="FV238" i="3"/>
  <c r="FU238" i="3"/>
  <c r="FT238" i="3"/>
  <c r="FK238" i="3"/>
  <c r="FJ238" i="3" s="1"/>
  <c r="FI238" i="3"/>
  <c r="FH238" i="3"/>
  <c r="FG238" i="3"/>
  <c r="FF238" i="3" s="1"/>
  <c r="FE238" i="3"/>
  <c r="FD238" i="3"/>
  <c r="FC238" i="3"/>
  <c r="FB238" i="3" s="1"/>
  <c r="FA238" i="3"/>
  <c r="EZ238" i="3" s="1"/>
  <c r="EY238" i="3"/>
  <c r="EX238" i="3" s="1"/>
  <c r="EW238" i="3"/>
  <c r="EV238" i="3" s="1"/>
  <c r="EU238" i="3"/>
  <c r="ET238" i="3" s="1"/>
  <c r="ES238" i="3"/>
  <c r="ER238" i="3"/>
  <c r="EQ238" i="3"/>
  <c r="EP238" i="3" s="1"/>
  <c r="EO238" i="3"/>
  <c r="EN238" i="3"/>
  <c r="EM238" i="3"/>
  <c r="EL238" i="3" s="1"/>
  <c r="EK238" i="3"/>
  <c r="EJ238" i="3" s="1"/>
  <c r="EI238" i="3"/>
  <c r="EH238" i="3" s="1"/>
  <c r="EF238" i="3"/>
  <c r="EC238" i="3"/>
  <c r="CH238" i="3"/>
  <c r="CG238" i="3" s="1"/>
  <c r="CE238" i="3"/>
  <c r="CC238" i="3"/>
  <c r="BK238" i="3"/>
  <c r="FS238" i="3" s="1"/>
  <c r="BJ238" i="3"/>
  <c r="FR238" i="3" s="1"/>
  <c r="BI238" i="3"/>
  <c r="AT238" i="3"/>
  <c r="AB238" i="3"/>
  <c r="EE238" i="3" s="1"/>
  <c r="Z238" i="3"/>
  <c r="W238" i="3"/>
  <c r="V238" i="3"/>
  <c r="T238" i="3"/>
  <c r="FY237" i="3"/>
  <c r="EU237" i="3"/>
  <c r="FZ236" i="3"/>
  <c r="FY236" i="3"/>
  <c r="FT236" i="3"/>
  <c r="EY236" i="3"/>
  <c r="EX236" i="3"/>
  <c r="EW236" i="3"/>
  <c r="EV236" i="3"/>
  <c r="EU236" i="3"/>
  <c r="ET236" i="3"/>
  <c r="EQ236" i="3"/>
  <c r="EP236" i="3"/>
  <c r="EO236" i="3"/>
  <c r="EN236" i="3"/>
  <c r="EK236" i="3"/>
  <c r="EJ236" i="3"/>
  <c r="EF236" i="3"/>
  <c r="EC236" i="3"/>
  <c r="DS236" i="3"/>
  <c r="DC236" i="3"/>
  <c r="FI236" i="3" s="1"/>
  <c r="FH236" i="3" s="1"/>
  <c r="DB236" i="3"/>
  <c r="DA236" i="3"/>
  <c r="FE236" i="3" s="1"/>
  <c r="FD236" i="3" s="1"/>
  <c r="CZ236" i="3"/>
  <c r="FC236" i="3" s="1"/>
  <c r="FB236" i="3" s="1"/>
  <c r="CY236" i="3"/>
  <c r="FA236" i="3" s="1"/>
  <c r="EZ236" i="3" s="1"/>
  <c r="CQ236" i="3"/>
  <c r="CK236" i="3"/>
  <c r="CI236" i="3"/>
  <c r="CC236" i="3"/>
  <c r="DH236" i="3" s="1"/>
  <c r="DK236" i="3" s="1"/>
  <c r="BP236" i="3"/>
  <c r="FX236" i="3" s="1"/>
  <c r="BH236" i="3"/>
  <c r="BG236" i="3"/>
  <c r="BJ236" i="3" s="1"/>
  <c r="BF236" i="3"/>
  <c r="AW236" i="3"/>
  <c r="AV236" i="3"/>
  <c r="AT236" i="3"/>
  <c r="AR236" i="3"/>
  <c r="AP236" i="3"/>
  <c r="AI236" i="3"/>
  <c r="AE236" i="3"/>
  <c r="EM236" i="3" s="1"/>
  <c r="EL236" i="3" s="1"/>
  <c r="AD236" i="3"/>
  <c r="Z236" i="3"/>
  <c r="W236" i="3"/>
  <c r="V236" i="3"/>
  <c r="T236" i="3"/>
  <c r="DZ236" i="3" s="1"/>
  <c r="FY235" i="3"/>
  <c r="EU235" i="3"/>
  <c r="FZ234" i="3"/>
  <c r="FY234" i="3"/>
  <c r="FV234" i="3"/>
  <c r="FT234" i="3"/>
  <c r="FI234" i="3"/>
  <c r="FH234" i="3" s="1"/>
  <c r="FG234" i="3"/>
  <c r="FF234" i="3" s="1"/>
  <c r="FE234" i="3"/>
  <c r="FD234" i="3" s="1"/>
  <c r="FA234" i="3"/>
  <c r="EZ234" i="3"/>
  <c r="EY234" i="3"/>
  <c r="EX234" i="3" s="1"/>
  <c r="EW234" i="3"/>
  <c r="EV234" i="3"/>
  <c r="EU234" i="3"/>
  <c r="ET234" i="3" s="1"/>
  <c r="ES234" i="3"/>
  <c r="ER234" i="3" s="1"/>
  <c r="EQ234" i="3"/>
  <c r="EP234" i="3" s="1"/>
  <c r="EO234" i="3"/>
  <c r="EN234" i="3"/>
  <c r="EM234" i="3"/>
  <c r="EL234" i="3" s="1"/>
  <c r="EK234" i="3"/>
  <c r="EJ234" i="3"/>
  <c r="EI234" i="3"/>
  <c r="EH234" i="3" s="1"/>
  <c r="EF234" i="3"/>
  <c r="EC234" i="3"/>
  <c r="DS234" i="3"/>
  <c r="FX234" i="3" s="1"/>
  <c r="DR234" i="3"/>
  <c r="FU234" i="3" s="1"/>
  <c r="DQ234" i="3"/>
  <c r="FW234" i="3" s="1"/>
  <c r="CQ234" i="3"/>
  <c r="CM234" i="3"/>
  <c r="CK234" i="3"/>
  <c r="CI234" i="3"/>
  <c r="BU234" i="3"/>
  <c r="BT234" i="3" s="1"/>
  <c r="BJ234" i="3"/>
  <c r="BH234" i="3"/>
  <c r="BF234" i="3"/>
  <c r="AT234" i="3"/>
  <c r="AR234" i="3"/>
  <c r="AP234" i="3"/>
  <c r="AN234" i="3"/>
  <c r="AI234" i="3"/>
  <c r="AD234" i="3"/>
  <c r="AB234" i="3"/>
  <c r="Z234" i="3"/>
  <c r="W234" i="3"/>
  <c r="V234" i="3"/>
  <c r="T234" i="3"/>
  <c r="DZ234" i="3" s="1"/>
  <c r="FY233" i="3"/>
  <c r="EU233" i="3"/>
  <c r="FZ232" i="3"/>
  <c r="FV232" i="3"/>
  <c r="FT232" i="3"/>
  <c r="EY232" i="3"/>
  <c r="EX232" i="3" s="1"/>
  <c r="EW232" i="3"/>
  <c r="EV232" i="3"/>
  <c r="EU232" i="3"/>
  <c r="ET232" i="3" s="1"/>
  <c r="ES232" i="3"/>
  <c r="ER232" i="3"/>
  <c r="EQ232" i="3"/>
  <c r="EP232" i="3" s="1"/>
  <c r="EO232" i="3"/>
  <c r="EN232" i="3" s="1"/>
  <c r="EK232" i="3"/>
  <c r="EJ232" i="3" s="1"/>
  <c r="EI232" i="3"/>
  <c r="EH232" i="3" s="1"/>
  <c r="EF232" i="3"/>
  <c r="EC232" i="3"/>
  <c r="DS232" i="3"/>
  <c r="DR232" i="3"/>
  <c r="DC232" i="3"/>
  <c r="FI232" i="3" s="1"/>
  <c r="FH232" i="3" s="1"/>
  <c r="DB232" i="3"/>
  <c r="FG232" i="3" s="1"/>
  <c r="FF232" i="3" s="1"/>
  <c r="DA232" i="3"/>
  <c r="FE232" i="3" s="1"/>
  <c r="FD232" i="3" s="1"/>
  <c r="CZ232" i="3"/>
  <c r="FC232" i="3" s="1"/>
  <c r="FB232" i="3" s="1"/>
  <c r="CY232" i="3"/>
  <c r="CX232" i="3" s="1"/>
  <c r="CQ232" i="3"/>
  <c r="CK232" i="3"/>
  <c r="CI232" i="3"/>
  <c r="CH232" i="3"/>
  <c r="CG232" i="3" s="1"/>
  <c r="CE232" i="3"/>
  <c r="CC232" i="3"/>
  <c r="BP232" i="3"/>
  <c r="BO232" i="3"/>
  <c r="BU232" i="3" s="1"/>
  <c r="BT232" i="3" s="1"/>
  <c r="BH232" i="3"/>
  <c r="BG232" i="3"/>
  <c r="BJ232" i="3" s="1"/>
  <c r="AW232" i="3"/>
  <c r="AV232" i="3"/>
  <c r="AT232" i="3"/>
  <c r="AR232" i="3"/>
  <c r="AP232" i="3"/>
  <c r="AN232" i="3"/>
  <c r="AI232" i="3"/>
  <c r="AB232" i="3"/>
  <c r="Z232" i="3"/>
  <c r="W232" i="3"/>
  <c r="V232" i="3"/>
  <c r="T232" i="3"/>
  <c r="O232" i="3"/>
  <c r="FY231" i="3"/>
  <c r="EU231" i="3"/>
  <c r="FZ230" i="3"/>
  <c r="FV230" i="3"/>
  <c r="FT230" i="3"/>
  <c r="FG230" i="3"/>
  <c r="FE230" i="3"/>
  <c r="FC230" i="3"/>
  <c r="FA230" i="3"/>
  <c r="EY230" i="3"/>
  <c r="EW230" i="3"/>
  <c r="EU230" i="3"/>
  <c r="ES230" i="3"/>
  <c r="EO230" i="3"/>
  <c r="EK230" i="3"/>
  <c r="EI230" i="3"/>
  <c r="DS230" i="3"/>
  <c r="FX230" i="3" s="1"/>
  <c r="DR230" i="3"/>
  <c r="FU230" i="3" s="1"/>
  <c r="DC230" i="3"/>
  <c r="FI230" i="3" s="1"/>
  <c r="CX230" i="3"/>
  <c r="DV230" i="3" s="1"/>
  <c r="GA230" i="3" s="1"/>
  <c r="BJ230" i="3"/>
  <c r="BI230" i="3"/>
  <c r="BH227" i="3" s="1"/>
  <c r="AW230" i="3"/>
  <c r="AJ230" i="3"/>
  <c r="AE230" i="3"/>
  <c r="W230" i="3"/>
  <c r="U230" i="3"/>
  <c r="T227" i="3" s="1"/>
  <c r="FZ229" i="3"/>
  <c r="FV229" i="3"/>
  <c r="FT229" i="3"/>
  <c r="EY229" i="3"/>
  <c r="EW229" i="3"/>
  <c r="EU229" i="3"/>
  <c r="ES229" i="3"/>
  <c r="EQ229" i="3"/>
  <c r="EO229" i="3"/>
  <c r="EK229" i="3"/>
  <c r="EI229" i="3"/>
  <c r="DS229" i="3"/>
  <c r="DR229" i="3"/>
  <c r="DC229" i="3"/>
  <c r="FI229" i="3" s="1"/>
  <c r="DB229" i="3"/>
  <c r="FG229" i="3" s="1"/>
  <c r="DA229" i="3"/>
  <c r="FE229" i="3" s="1"/>
  <c r="CZ229" i="3"/>
  <c r="FC229" i="3" s="1"/>
  <c r="CY229" i="3"/>
  <c r="FA229" i="3" s="1"/>
  <c r="CX229" i="3"/>
  <c r="CH229" i="3"/>
  <c r="CC229" i="3"/>
  <c r="BP229" i="3"/>
  <c r="BO229" i="3"/>
  <c r="BU229" i="3" s="1"/>
  <c r="BJ229" i="3"/>
  <c r="AW229" i="3"/>
  <c r="AE229" i="3"/>
  <c r="EM229" i="3" s="1"/>
  <c r="W229" i="3"/>
  <c r="FZ228" i="3"/>
  <c r="FV228" i="3"/>
  <c r="FT228" i="3"/>
  <c r="EY228" i="3"/>
  <c r="EW228" i="3"/>
  <c r="EU228" i="3"/>
  <c r="ES228" i="3"/>
  <c r="EQ228" i="3"/>
  <c r="EO228" i="3"/>
  <c r="EK228" i="3"/>
  <c r="EI228" i="3"/>
  <c r="DS228" i="3"/>
  <c r="DR228" i="3"/>
  <c r="DC228" i="3"/>
  <c r="FI228" i="3" s="1"/>
  <c r="DB228" i="3"/>
  <c r="FG228" i="3" s="1"/>
  <c r="DA228" i="3"/>
  <c r="CZ228" i="3"/>
  <c r="FC228" i="3" s="1"/>
  <c r="CY228" i="3"/>
  <c r="FA228" i="3" s="1"/>
  <c r="CH228" i="3"/>
  <c r="CC228" i="3"/>
  <c r="BP228" i="3"/>
  <c r="BO228" i="3"/>
  <c r="BJ228" i="3"/>
  <c r="AW228" i="3"/>
  <c r="AE228" i="3"/>
  <c r="W228" i="3"/>
  <c r="FZ227" i="3"/>
  <c r="FV227" i="3"/>
  <c r="FT227" i="3"/>
  <c r="FG227" i="3"/>
  <c r="FE227" i="3"/>
  <c r="FC227" i="3"/>
  <c r="FB227" i="3" s="1"/>
  <c r="FA227" i="3"/>
  <c r="EY227" i="3"/>
  <c r="EW227" i="3"/>
  <c r="EV227" i="3"/>
  <c r="EU227" i="3"/>
  <c r="ET227" i="3" s="1"/>
  <c r="ES227" i="3"/>
  <c r="EO227" i="3"/>
  <c r="EN227" i="3"/>
  <c r="EM227" i="3"/>
  <c r="EK227" i="3"/>
  <c r="EI227" i="3"/>
  <c r="EH227" i="3" s="1"/>
  <c r="EF227" i="3"/>
  <c r="EC227" i="3"/>
  <c r="DS227" i="3"/>
  <c r="FX227" i="3" s="1"/>
  <c r="DR227" i="3"/>
  <c r="FU227" i="3" s="1"/>
  <c r="DC227" i="3"/>
  <c r="CK227" i="3"/>
  <c r="CI227" i="3"/>
  <c r="CF227" i="3"/>
  <c r="CR227" i="3" s="1"/>
  <c r="BF227" i="3"/>
  <c r="AV227" i="3"/>
  <c r="AT227" i="3"/>
  <c r="AR227" i="3"/>
  <c r="AP227" i="3"/>
  <c r="AN227" i="3"/>
  <c r="AI227" i="3"/>
  <c r="AB227" i="3"/>
  <c r="Z227" i="3"/>
  <c r="V227" i="3"/>
  <c r="FY226" i="3"/>
  <c r="EU226" i="3"/>
  <c r="FZ225" i="3"/>
  <c r="FY225" i="3"/>
  <c r="FV225" i="3"/>
  <c r="FT225" i="3"/>
  <c r="EY225" i="3"/>
  <c r="EX225" i="3" s="1"/>
  <c r="EW225" i="3"/>
  <c r="EV225" i="3" s="1"/>
  <c r="EU225" i="3"/>
  <c r="ET225" i="3"/>
  <c r="ES225" i="3"/>
  <c r="ER225" i="3" s="1"/>
  <c r="EQ225" i="3"/>
  <c r="EP225" i="3"/>
  <c r="EO225" i="3"/>
  <c r="EN225" i="3" s="1"/>
  <c r="EK225" i="3"/>
  <c r="EJ225" i="3" s="1"/>
  <c r="EI225" i="3"/>
  <c r="EH225" i="3" s="1"/>
  <c r="EF225" i="3"/>
  <c r="EC225" i="3"/>
  <c r="DS225" i="3"/>
  <c r="FX225" i="3" s="1"/>
  <c r="DR225" i="3"/>
  <c r="FU225" i="3" s="1"/>
  <c r="DC225" i="3"/>
  <c r="FI225" i="3" s="1"/>
  <c r="FH225" i="3" s="1"/>
  <c r="DB225" i="3"/>
  <c r="FG225" i="3" s="1"/>
  <c r="FF225" i="3" s="1"/>
  <c r="DA225" i="3"/>
  <c r="FE225" i="3" s="1"/>
  <c r="FD225" i="3" s="1"/>
  <c r="CZ225" i="3"/>
  <c r="FC225" i="3" s="1"/>
  <c r="FB225" i="3" s="1"/>
  <c r="CY225" i="3"/>
  <c r="FA225" i="3" s="1"/>
  <c r="EZ225" i="3" s="1"/>
  <c r="CX225" i="3"/>
  <c r="DV225" i="3" s="1"/>
  <c r="GA225" i="3" s="1"/>
  <c r="CQ225" i="3"/>
  <c r="CK225" i="3"/>
  <c r="CI225" i="3"/>
  <c r="BT225" i="3"/>
  <c r="BJ225" i="3"/>
  <c r="BI225" i="3"/>
  <c r="BH225" i="3"/>
  <c r="BF225" i="3"/>
  <c r="AW225" i="3"/>
  <c r="AV225" i="3" s="1"/>
  <c r="AT225" i="3"/>
  <c r="AR225" i="3"/>
  <c r="AP225" i="3"/>
  <c r="AN225" i="3"/>
  <c r="AI225" i="3"/>
  <c r="AE225" i="3"/>
  <c r="AB225" i="3"/>
  <c r="Z225" i="3"/>
  <c r="W225" i="3"/>
  <c r="U225" i="3"/>
  <c r="BE225" i="3" s="1"/>
  <c r="BD225" i="3" s="1"/>
  <c r="T225" i="3"/>
  <c r="DZ225" i="3" s="1"/>
  <c r="FY224" i="3"/>
  <c r="EU224" i="3"/>
  <c r="FZ223" i="3"/>
  <c r="FV223" i="3"/>
  <c r="FT223" i="3"/>
  <c r="EY223" i="3"/>
  <c r="EX223" i="3" s="1"/>
  <c r="EW223" i="3"/>
  <c r="EV223" i="3" s="1"/>
  <c r="EU223" i="3"/>
  <c r="ET223" i="3" s="1"/>
  <c r="ES223" i="3"/>
  <c r="ER223" i="3"/>
  <c r="EQ223" i="3"/>
  <c r="EP223" i="3" s="1"/>
  <c r="EO223" i="3"/>
  <c r="EN223" i="3"/>
  <c r="EI223" i="3"/>
  <c r="EH223" i="3" s="1"/>
  <c r="EF223" i="3"/>
  <c r="EC223" i="3"/>
  <c r="DS223" i="3"/>
  <c r="FX223" i="3" s="1"/>
  <c r="DR223" i="3"/>
  <c r="FU223" i="3" s="1"/>
  <c r="DC223" i="3"/>
  <c r="FI223" i="3" s="1"/>
  <c r="FH223" i="3" s="1"/>
  <c r="DB223" i="3"/>
  <c r="FG223" i="3" s="1"/>
  <c r="FF223" i="3" s="1"/>
  <c r="DA223" i="3"/>
  <c r="FE223" i="3" s="1"/>
  <c r="FD223" i="3" s="1"/>
  <c r="CZ223" i="3"/>
  <c r="FC223" i="3" s="1"/>
  <c r="FB223" i="3" s="1"/>
  <c r="CY223" i="3"/>
  <c r="FA223" i="3" s="1"/>
  <c r="EZ223" i="3" s="1"/>
  <c r="CQ223" i="3"/>
  <c r="CK223" i="3"/>
  <c r="BT223" i="3"/>
  <c r="BJ223" i="3"/>
  <c r="BI223" i="3"/>
  <c r="BH223" i="3"/>
  <c r="BF223" i="3"/>
  <c r="AW223" i="3"/>
  <c r="AV223" i="3"/>
  <c r="AT223" i="3"/>
  <c r="AR223" i="3"/>
  <c r="AP223" i="3"/>
  <c r="AN223" i="3"/>
  <c r="AI223" i="3"/>
  <c r="AE223" i="3"/>
  <c r="EM223" i="3" s="1"/>
  <c r="EL223" i="3" s="1"/>
  <c r="AD223" i="3"/>
  <c r="AB223" i="3"/>
  <c r="Z223" i="3"/>
  <c r="W223" i="3"/>
  <c r="U223" i="3"/>
  <c r="BE223" i="3" s="1"/>
  <c r="BD223" i="3" s="1"/>
  <c r="FY222" i="3"/>
  <c r="EU222" i="3"/>
  <c r="FZ221" i="3"/>
  <c r="FV221" i="3"/>
  <c r="FT221" i="3"/>
  <c r="EY221" i="3"/>
  <c r="EX221" i="3" s="1"/>
  <c r="EW221" i="3"/>
  <c r="EV221" i="3"/>
  <c r="EU221" i="3"/>
  <c r="ET221" i="3" s="1"/>
  <c r="ES221" i="3"/>
  <c r="ER221" i="3"/>
  <c r="EO221" i="3"/>
  <c r="EN221" i="3" s="1"/>
  <c r="EK221" i="3"/>
  <c r="EJ221" i="3" s="1"/>
  <c r="EI221" i="3"/>
  <c r="EH221" i="3" s="1"/>
  <c r="EF221" i="3"/>
  <c r="EC221" i="3"/>
  <c r="DS221" i="3"/>
  <c r="FX221" i="3" s="1"/>
  <c r="DR221" i="3"/>
  <c r="FU221" i="3" s="1"/>
  <c r="DC221" i="3"/>
  <c r="FI221" i="3" s="1"/>
  <c r="FH221" i="3" s="1"/>
  <c r="DB221" i="3"/>
  <c r="FG221" i="3" s="1"/>
  <c r="FF221" i="3" s="1"/>
  <c r="DA221" i="3"/>
  <c r="FE221" i="3" s="1"/>
  <c r="FD221" i="3" s="1"/>
  <c r="CZ221" i="3"/>
  <c r="FC221" i="3" s="1"/>
  <c r="FB221" i="3" s="1"/>
  <c r="CY221" i="3"/>
  <c r="FA221" i="3" s="1"/>
  <c r="EZ221" i="3" s="1"/>
  <c r="CQ221" i="3"/>
  <c r="CK221" i="3"/>
  <c r="CI221" i="3"/>
  <c r="CF221" i="3"/>
  <c r="CE221" i="3" s="1"/>
  <c r="BT221" i="3"/>
  <c r="BJ221" i="3"/>
  <c r="BI221" i="3"/>
  <c r="BH221" i="3" s="1"/>
  <c r="BF221" i="3"/>
  <c r="AW221" i="3"/>
  <c r="AV221" i="3"/>
  <c r="AT221" i="3"/>
  <c r="AR221" i="3"/>
  <c r="AP221" i="3"/>
  <c r="AN221" i="3"/>
  <c r="AJ221" i="3"/>
  <c r="EQ221" i="3" s="1"/>
  <c r="EP221" i="3" s="1"/>
  <c r="AI221" i="3"/>
  <c r="AE221" i="3"/>
  <c r="EM221" i="3" s="1"/>
  <c r="EL221" i="3" s="1"/>
  <c r="AD221" i="3"/>
  <c r="AB221" i="3"/>
  <c r="Z221" i="3"/>
  <c r="W221" i="3"/>
  <c r="V221" i="3" s="1"/>
  <c r="U221" i="3"/>
  <c r="T221" i="3"/>
  <c r="DZ221" i="3" s="1"/>
  <c r="FY220" i="3"/>
  <c r="EU220" i="3"/>
  <c r="FZ219" i="3"/>
  <c r="FV219" i="3"/>
  <c r="FT219" i="3"/>
  <c r="FI219" i="3"/>
  <c r="FG219" i="3"/>
  <c r="FE219" i="3"/>
  <c r="FC219" i="3"/>
  <c r="FA219" i="3"/>
  <c r="EY219" i="3"/>
  <c r="EW219" i="3"/>
  <c r="EU219" i="3"/>
  <c r="ES219" i="3"/>
  <c r="EQ219" i="3"/>
  <c r="EO219" i="3"/>
  <c r="EK219" i="3"/>
  <c r="EI219" i="3"/>
  <c r="DS219" i="3"/>
  <c r="DR219" i="3"/>
  <c r="FU219" i="3" s="1"/>
  <c r="CX219" i="3"/>
  <c r="CF219" i="3"/>
  <c r="BP219" i="3"/>
  <c r="BU219" i="3" s="1"/>
  <c r="BJ219" i="3"/>
  <c r="AW219" i="3"/>
  <c r="FK219" i="3" s="1"/>
  <c r="AE219" i="3"/>
  <c r="EM219" i="3" s="1"/>
  <c r="W219" i="3"/>
  <c r="FZ218" i="3"/>
  <c r="FV218" i="3"/>
  <c r="FT218" i="3"/>
  <c r="EY218" i="3"/>
  <c r="EX218" i="3" s="1"/>
  <c r="EW218" i="3"/>
  <c r="EV218" i="3" s="1"/>
  <c r="EU218" i="3"/>
  <c r="ET218" i="3" s="1"/>
  <c r="ES218" i="3"/>
  <c r="ER218" i="3" s="1"/>
  <c r="EQ218" i="3"/>
  <c r="EP218" i="3" s="1"/>
  <c r="EO218" i="3"/>
  <c r="EK218" i="3"/>
  <c r="EJ218" i="3" s="1"/>
  <c r="EI218" i="3"/>
  <c r="EF218" i="3"/>
  <c r="EC218" i="3"/>
  <c r="DS218" i="3"/>
  <c r="DR218" i="3"/>
  <c r="DC218" i="3"/>
  <c r="FI218" i="3" s="1"/>
  <c r="FH218" i="3" s="1"/>
  <c r="DB218" i="3"/>
  <c r="FG218" i="3" s="1"/>
  <c r="FF218" i="3" s="1"/>
  <c r="DA218" i="3"/>
  <c r="FE218" i="3" s="1"/>
  <c r="FD218" i="3" s="1"/>
  <c r="CZ218" i="3"/>
  <c r="FC218" i="3" s="1"/>
  <c r="FB218" i="3" s="1"/>
  <c r="CY218" i="3"/>
  <c r="CX218" i="3" s="1"/>
  <c r="CQ218" i="3"/>
  <c r="CK218" i="3"/>
  <c r="CI218" i="3"/>
  <c r="CF218" i="3"/>
  <c r="BP218" i="3"/>
  <c r="BO218" i="3"/>
  <c r="BU218" i="3" s="1"/>
  <c r="BT218" i="3" s="1"/>
  <c r="BH218" i="3"/>
  <c r="BG218" i="3"/>
  <c r="AW218" i="3"/>
  <c r="AV218" i="3"/>
  <c r="AT218" i="3"/>
  <c r="AR218" i="3"/>
  <c r="AP218" i="3"/>
  <c r="AN218" i="3"/>
  <c r="AI218" i="3"/>
  <c r="AB218" i="3"/>
  <c r="Z218" i="3"/>
  <c r="W218" i="3"/>
  <c r="T218" i="3"/>
  <c r="O218" i="3"/>
  <c r="FY217" i="3"/>
  <c r="EU217" i="3"/>
  <c r="FZ216" i="3"/>
  <c r="FV216" i="3"/>
  <c r="FT216" i="3"/>
  <c r="FI216" i="3"/>
  <c r="FH216" i="3" s="1"/>
  <c r="FG216" i="3"/>
  <c r="FF216" i="3" s="1"/>
  <c r="FE216" i="3"/>
  <c r="FD216" i="3" s="1"/>
  <c r="FC216" i="3"/>
  <c r="FB216" i="3"/>
  <c r="FA216" i="3"/>
  <c r="EZ216" i="3" s="1"/>
  <c r="EY216" i="3"/>
  <c r="EX216" i="3" s="1"/>
  <c r="EW216" i="3"/>
  <c r="EV216" i="3" s="1"/>
  <c r="EU216" i="3"/>
  <c r="ET216" i="3" s="1"/>
  <c r="ES216" i="3"/>
  <c r="ER216" i="3" s="1"/>
  <c r="EQ216" i="3"/>
  <c r="EP216" i="3" s="1"/>
  <c r="EO216" i="3"/>
  <c r="EN216" i="3" s="1"/>
  <c r="EM216" i="3"/>
  <c r="EL216" i="3"/>
  <c r="EK216" i="3"/>
  <c r="EJ216" i="3" s="1"/>
  <c r="EI216" i="3"/>
  <c r="EH216" i="3" s="1"/>
  <c r="EF216" i="3"/>
  <c r="EC216" i="3"/>
  <c r="DS216" i="3"/>
  <c r="DR216" i="3"/>
  <c r="CX216" i="3"/>
  <c r="DT216" i="3" s="1"/>
  <c r="CQ216" i="3"/>
  <c r="CK216" i="3"/>
  <c r="CI216" i="3"/>
  <c r="CF216" i="3"/>
  <c r="CE216" i="3"/>
  <c r="BS216" i="3"/>
  <c r="BQ216" i="3"/>
  <c r="BP216" i="3"/>
  <c r="BO216" i="3"/>
  <c r="AW216" i="3"/>
  <c r="AV216" i="3"/>
  <c r="AT216" i="3"/>
  <c r="AR216" i="3"/>
  <c r="AP216" i="3"/>
  <c r="AN216" i="3"/>
  <c r="AI216" i="3"/>
  <c r="AD216" i="3"/>
  <c r="AB216" i="3"/>
  <c r="Z216" i="3"/>
  <c r="W216" i="3"/>
  <c r="AL216" i="3" s="1"/>
  <c r="AK216" i="3" s="1"/>
  <c r="U216" i="3"/>
  <c r="BE216" i="3" s="1"/>
  <c r="BD216" i="3" s="1"/>
  <c r="FY215" i="3"/>
  <c r="EU215" i="3"/>
  <c r="FZ214" i="3"/>
  <c r="FV214" i="3"/>
  <c r="FT214" i="3"/>
  <c r="EY214" i="3"/>
  <c r="EX214" i="3" s="1"/>
  <c r="EW214" i="3"/>
  <c r="EV214" i="3" s="1"/>
  <c r="EU214" i="3"/>
  <c r="ET214" i="3"/>
  <c r="ES214" i="3"/>
  <c r="ER214" i="3" s="1"/>
  <c r="EQ214" i="3"/>
  <c r="EP214" i="3" s="1"/>
  <c r="EO214" i="3"/>
  <c r="EN214" i="3" s="1"/>
  <c r="EK214" i="3"/>
  <c r="EJ214" i="3" s="1"/>
  <c r="EI214" i="3"/>
  <c r="EH214" i="3" s="1"/>
  <c r="EF214" i="3"/>
  <c r="EC214" i="3"/>
  <c r="DS214" i="3"/>
  <c r="DR214" i="3"/>
  <c r="DC214" i="3"/>
  <c r="FI214" i="3" s="1"/>
  <c r="FH214" i="3" s="1"/>
  <c r="DB214" i="3"/>
  <c r="FG214" i="3" s="1"/>
  <c r="FF214" i="3" s="1"/>
  <c r="DA214" i="3"/>
  <c r="FE214" i="3" s="1"/>
  <c r="FD214" i="3" s="1"/>
  <c r="CZ214" i="3"/>
  <c r="FC214" i="3" s="1"/>
  <c r="FB214" i="3" s="1"/>
  <c r="CY214" i="3"/>
  <c r="CX214" i="3" s="1"/>
  <c r="CQ214" i="3"/>
  <c r="CK214" i="3"/>
  <c r="CI214" i="3"/>
  <c r="CF214" i="3"/>
  <c r="BP214" i="3"/>
  <c r="BO214" i="3"/>
  <c r="BU214" i="3" s="1"/>
  <c r="BT214" i="3" s="1"/>
  <c r="BH214" i="3"/>
  <c r="BG214" i="3"/>
  <c r="BJ214" i="3" s="1"/>
  <c r="BF214" i="3"/>
  <c r="AW214" i="3"/>
  <c r="AV214" i="3" s="1"/>
  <c r="AT214" i="3"/>
  <c r="AR214" i="3"/>
  <c r="AP214" i="3"/>
  <c r="AN214" i="3"/>
  <c r="AI214" i="3"/>
  <c r="AE214" i="3"/>
  <c r="AB214" i="3"/>
  <c r="Z214" i="3"/>
  <c r="W214" i="3"/>
  <c r="T214" i="3"/>
  <c r="DZ214" i="3" s="1"/>
  <c r="FY213" i="3"/>
  <c r="EU213" i="3"/>
  <c r="FZ212" i="3"/>
  <c r="FY212" i="3"/>
  <c r="FV212" i="3"/>
  <c r="FT212" i="3"/>
  <c r="EY212" i="3"/>
  <c r="EX212" i="3" s="1"/>
  <c r="EW212" i="3"/>
  <c r="EV212" i="3"/>
  <c r="EU212" i="3"/>
  <c r="ET212" i="3" s="1"/>
  <c r="ES212" i="3"/>
  <c r="ER212" i="3"/>
  <c r="EO212" i="3"/>
  <c r="EN212" i="3"/>
  <c r="EK212" i="3"/>
  <c r="EJ212" i="3"/>
  <c r="EI212" i="3"/>
  <c r="EH212" i="3" s="1"/>
  <c r="EF212" i="3"/>
  <c r="EC212" i="3"/>
  <c r="DS212" i="3"/>
  <c r="FX212" i="3" s="1"/>
  <c r="DR212" i="3"/>
  <c r="FU212" i="3" s="1"/>
  <c r="DC212" i="3"/>
  <c r="FI212" i="3" s="1"/>
  <c r="FH212" i="3" s="1"/>
  <c r="DB212" i="3"/>
  <c r="FG212" i="3" s="1"/>
  <c r="FF212" i="3" s="1"/>
  <c r="DA212" i="3"/>
  <c r="FE212" i="3" s="1"/>
  <c r="FD212" i="3" s="1"/>
  <c r="CZ212" i="3"/>
  <c r="FC212" i="3" s="1"/>
  <c r="FB212" i="3" s="1"/>
  <c r="CY212" i="3"/>
  <c r="FA212" i="3" s="1"/>
  <c r="EZ212" i="3" s="1"/>
  <c r="CX212" i="3"/>
  <c r="DV212" i="3" s="1"/>
  <c r="GA212" i="3" s="1"/>
  <c r="CQ212" i="3"/>
  <c r="CK212" i="3"/>
  <c r="CI212" i="3"/>
  <c r="BT212" i="3"/>
  <c r="BJ212" i="3"/>
  <c r="BI212" i="3"/>
  <c r="BH212" i="3"/>
  <c r="BF212" i="3"/>
  <c r="AW212" i="3"/>
  <c r="AV212" i="3" s="1"/>
  <c r="AT212" i="3"/>
  <c r="AR212" i="3"/>
  <c r="AP212" i="3"/>
  <c r="AN212" i="3"/>
  <c r="AJ212" i="3"/>
  <c r="EQ212" i="3" s="1"/>
  <c r="EP212" i="3" s="1"/>
  <c r="AI212" i="3"/>
  <c r="AE212" i="3"/>
  <c r="EM212" i="3" s="1"/>
  <c r="EL212" i="3" s="1"/>
  <c r="AD212" i="3"/>
  <c r="AB212" i="3"/>
  <c r="Z212" i="3"/>
  <c r="W212" i="3"/>
  <c r="CF212" i="3" s="1"/>
  <c r="V212" i="3"/>
  <c r="U212" i="3"/>
  <c r="FY211" i="3"/>
  <c r="EU211" i="3"/>
  <c r="FV210" i="3"/>
  <c r="FT210" i="3"/>
  <c r="FI210" i="3"/>
  <c r="FH210" i="3" s="1"/>
  <c r="FG210" i="3"/>
  <c r="FF210" i="3"/>
  <c r="FE210" i="3"/>
  <c r="FD210" i="3" s="1"/>
  <c r="FC210" i="3"/>
  <c r="FB210" i="3" s="1"/>
  <c r="FA210" i="3"/>
  <c r="EZ210" i="3" s="1"/>
  <c r="EY210" i="3"/>
  <c r="EX210" i="3"/>
  <c r="EW210" i="3"/>
  <c r="EV210" i="3" s="1"/>
  <c r="EU210" i="3"/>
  <c r="ET210" i="3"/>
  <c r="ES210" i="3"/>
  <c r="ER210" i="3" s="1"/>
  <c r="EQ210" i="3"/>
  <c r="EP210" i="3"/>
  <c r="EO210" i="3"/>
  <c r="EN210" i="3" s="1"/>
  <c r="EM210" i="3"/>
  <c r="EL210" i="3" s="1"/>
  <c r="EK210" i="3"/>
  <c r="EJ210" i="3" s="1"/>
  <c r="EI210" i="3"/>
  <c r="EH210" i="3"/>
  <c r="EF210" i="3"/>
  <c r="EC210" i="3"/>
  <c r="DS210" i="3"/>
  <c r="DR210" i="3"/>
  <c r="CX210" i="3"/>
  <c r="CW210" i="3"/>
  <c r="CQ210" i="3"/>
  <c r="CK210" i="3"/>
  <c r="CI210" i="3"/>
  <c r="CF210" i="3"/>
  <c r="CE210" i="3" s="1"/>
  <c r="BS210" i="3"/>
  <c r="BR210" i="3"/>
  <c r="FZ210" i="3" s="1"/>
  <c r="BQ210" i="3"/>
  <c r="BP210" i="3"/>
  <c r="BO210" i="3"/>
  <c r="FU210" i="3" s="1"/>
  <c r="BG210" i="3"/>
  <c r="BJ210" i="3" s="1"/>
  <c r="AW210" i="3"/>
  <c r="AV210" i="3"/>
  <c r="AT210" i="3"/>
  <c r="AR210" i="3"/>
  <c r="AP210" i="3"/>
  <c r="AN210" i="3"/>
  <c r="AI210" i="3"/>
  <c r="AD210" i="3"/>
  <c r="AB210" i="3"/>
  <c r="Z210" i="3"/>
  <c r="W210" i="3"/>
  <c r="V210" i="3"/>
  <c r="T210" i="3"/>
  <c r="DZ210" i="3" s="1"/>
  <c r="FY209" i="3"/>
  <c r="EU209" i="3"/>
  <c r="FZ208" i="3"/>
  <c r="FV208" i="3"/>
  <c r="FT208" i="3"/>
  <c r="EY208" i="3"/>
  <c r="EW208" i="3"/>
  <c r="EU208" i="3"/>
  <c r="ES208" i="3"/>
  <c r="EQ208" i="3"/>
  <c r="EO208" i="3"/>
  <c r="EK208" i="3"/>
  <c r="EI208" i="3"/>
  <c r="DS208" i="3"/>
  <c r="DR208" i="3"/>
  <c r="DC208" i="3"/>
  <c r="FI208" i="3" s="1"/>
  <c r="DB208" i="3"/>
  <c r="FG208" i="3" s="1"/>
  <c r="DA208" i="3"/>
  <c r="FE208" i="3" s="1"/>
  <c r="CZ208" i="3"/>
  <c r="FC208" i="3" s="1"/>
  <c r="CY208" i="3"/>
  <c r="FA208" i="3" s="1"/>
  <c r="CF208" i="3"/>
  <c r="CC208" i="3"/>
  <c r="DH208" i="3" s="1"/>
  <c r="DK208" i="3" s="1"/>
  <c r="BP208" i="3"/>
  <c r="BO208" i="3"/>
  <c r="BU208" i="3" s="1"/>
  <c r="BG208" i="3"/>
  <c r="BJ208" i="3" s="1"/>
  <c r="AW208" i="3"/>
  <c r="AE208" i="3"/>
  <c r="EM208" i="3" s="1"/>
  <c r="W208" i="3"/>
  <c r="FZ207" i="3"/>
  <c r="FY207" i="3"/>
  <c r="FV207" i="3"/>
  <c r="FT207" i="3"/>
  <c r="EY207" i="3"/>
  <c r="EX207" i="3"/>
  <c r="EW207" i="3"/>
  <c r="EV207" i="3"/>
  <c r="EU207" i="3"/>
  <c r="ET207" i="3"/>
  <c r="ES207" i="3"/>
  <c r="ER207" i="3"/>
  <c r="EQ207" i="3"/>
  <c r="EP207" i="3"/>
  <c r="EO207" i="3"/>
  <c r="EN207" i="3"/>
  <c r="EK207" i="3"/>
  <c r="EJ207" i="3"/>
  <c r="EI207" i="3"/>
  <c r="EH207" i="3"/>
  <c r="EF207" i="3"/>
  <c r="EC207" i="3"/>
  <c r="DS207" i="3"/>
  <c r="FX207" i="3" s="1"/>
  <c r="DR207" i="3"/>
  <c r="DC207" i="3"/>
  <c r="FI207" i="3" s="1"/>
  <c r="DB207" i="3"/>
  <c r="FG207" i="3" s="1"/>
  <c r="FF207" i="3" s="1"/>
  <c r="DA207" i="3"/>
  <c r="FE207" i="3" s="1"/>
  <c r="FD207" i="3" s="1"/>
  <c r="CY207" i="3"/>
  <c r="FA207" i="3" s="1"/>
  <c r="CQ207" i="3"/>
  <c r="CK207" i="3"/>
  <c r="CI207" i="3"/>
  <c r="CF207" i="3"/>
  <c r="CC207" i="3"/>
  <c r="DH207" i="3" s="1"/>
  <c r="BO207" i="3"/>
  <c r="BU207" i="3" s="1"/>
  <c r="BT207" i="3" s="1"/>
  <c r="BH207" i="3"/>
  <c r="BG207" i="3"/>
  <c r="AT207" i="3"/>
  <c r="AR207" i="3"/>
  <c r="AP207" i="3"/>
  <c r="AN207" i="3"/>
  <c r="AI207" i="3"/>
  <c r="AE207" i="3"/>
  <c r="AD207" i="3" s="1"/>
  <c r="AB207" i="3"/>
  <c r="Z207" i="3"/>
  <c r="W207" i="3"/>
  <c r="V207" i="3"/>
  <c r="T207" i="3"/>
  <c r="EU206" i="3"/>
  <c r="FZ205" i="3"/>
  <c r="FV205" i="3"/>
  <c r="FT205" i="3"/>
  <c r="EY205" i="3"/>
  <c r="EX205" i="3" s="1"/>
  <c r="EW205" i="3"/>
  <c r="EV205" i="3"/>
  <c r="EU205" i="3"/>
  <c r="ET205" i="3" s="1"/>
  <c r="ES205" i="3"/>
  <c r="ER205" i="3"/>
  <c r="EQ205" i="3"/>
  <c r="EP205" i="3" s="1"/>
  <c r="EO205" i="3"/>
  <c r="EN205" i="3"/>
  <c r="EK205" i="3"/>
  <c r="EJ205" i="3"/>
  <c r="EI205" i="3"/>
  <c r="EH205" i="3" s="1"/>
  <c r="EF205" i="3"/>
  <c r="EC205" i="3"/>
  <c r="DS205" i="3"/>
  <c r="DR205" i="3"/>
  <c r="DC205" i="3"/>
  <c r="FI205" i="3" s="1"/>
  <c r="FH205" i="3" s="1"/>
  <c r="DB205" i="3"/>
  <c r="DA205" i="3"/>
  <c r="FE205" i="3" s="1"/>
  <c r="FD205" i="3" s="1"/>
  <c r="CZ205" i="3"/>
  <c r="FC205" i="3" s="1"/>
  <c r="FB205" i="3" s="1"/>
  <c r="CY205" i="3"/>
  <c r="FA205" i="3" s="1"/>
  <c r="EZ205" i="3" s="1"/>
  <c r="CQ205" i="3"/>
  <c r="CK205" i="3"/>
  <c r="CI205" i="3"/>
  <c r="CF205" i="3"/>
  <c r="CH205" i="3" s="1"/>
  <c r="CG205" i="3" s="1"/>
  <c r="CE205" i="3"/>
  <c r="CC205" i="3"/>
  <c r="BP205" i="3"/>
  <c r="BO205" i="3"/>
  <c r="BH205" i="3"/>
  <c r="BG205" i="3"/>
  <c r="AW205" i="3"/>
  <c r="AV205" i="3" s="1"/>
  <c r="AT205" i="3"/>
  <c r="AR205" i="3"/>
  <c r="AP205" i="3"/>
  <c r="AN205" i="3"/>
  <c r="AI205" i="3"/>
  <c r="AB205" i="3"/>
  <c r="Z205" i="3"/>
  <c r="W205" i="3"/>
  <c r="V205" i="3"/>
  <c r="T205" i="3"/>
  <c r="DZ205" i="3" s="1"/>
  <c r="O205" i="3"/>
  <c r="BN205" i="3" s="1"/>
  <c r="BU205" i="3" s="1"/>
  <c r="BT205" i="3" s="1"/>
  <c r="EU204" i="3"/>
  <c r="FZ203" i="3"/>
  <c r="FT203" i="3"/>
  <c r="EY203" i="3"/>
  <c r="EX203" i="3"/>
  <c r="EW203" i="3"/>
  <c r="EV203" i="3" s="1"/>
  <c r="EU203" i="3"/>
  <c r="ET203" i="3"/>
  <c r="ES203" i="3"/>
  <c r="ER203" i="3" s="1"/>
  <c r="EQ203" i="3"/>
  <c r="EP203" i="3"/>
  <c r="EO203" i="3"/>
  <c r="EN203" i="3" s="1"/>
  <c r="EM203" i="3"/>
  <c r="EL203" i="3"/>
  <c r="EK203" i="3"/>
  <c r="EJ203" i="3" s="1"/>
  <c r="EI203" i="3"/>
  <c r="EH203" i="3"/>
  <c r="EF203" i="3"/>
  <c r="EC203" i="3"/>
  <c r="DS203" i="3"/>
  <c r="FX203" i="3" s="1"/>
  <c r="DR203" i="3"/>
  <c r="FU203" i="3" s="1"/>
  <c r="DC203" i="3"/>
  <c r="FI203" i="3" s="1"/>
  <c r="FH203" i="3" s="1"/>
  <c r="DB203" i="3"/>
  <c r="FG203" i="3" s="1"/>
  <c r="FF203" i="3" s="1"/>
  <c r="DA203" i="3"/>
  <c r="FE203" i="3" s="1"/>
  <c r="FD203" i="3" s="1"/>
  <c r="CZ203" i="3"/>
  <c r="FC203" i="3" s="1"/>
  <c r="FB203" i="3" s="1"/>
  <c r="CY203" i="3"/>
  <c r="FA203" i="3" s="1"/>
  <c r="EZ203" i="3" s="1"/>
  <c r="CQ203" i="3"/>
  <c r="CK203" i="3"/>
  <c r="CI203" i="3"/>
  <c r="CF203" i="3"/>
  <c r="CE203" i="3"/>
  <c r="BT203" i="3"/>
  <c r="BK203" i="3"/>
  <c r="BJ203" i="3"/>
  <c r="BH203" i="3"/>
  <c r="BF203" i="3"/>
  <c r="BD203" i="3"/>
  <c r="AV203" i="3"/>
  <c r="AT203" i="3"/>
  <c r="AR203" i="3"/>
  <c r="AP203" i="3"/>
  <c r="AN203" i="3"/>
  <c r="AK203" i="3"/>
  <c r="AI203" i="3"/>
  <c r="AD203" i="3"/>
  <c r="AB203" i="3"/>
  <c r="Z203" i="3"/>
  <c r="V203" i="3"/>
  <c r="T203" i="3"/>
  <c r="DZ203" i="3" s="1"/>
  <c r="EU202" i="3"/>
  <c r="FZ201" i="3"/>
  <c r="FV201" i="3"/>
  <c r="FT201" i="3"/>
  <c r="EY201" i="3"/>
  <c r="EX201" i="3" s="1"/>
  <c r="EW201" i="3"/>
  <c r="EV201" i="3"/>
  <c r="EU201" i="3"/>
  <c r="ET201" i="3" s="1"/>
  <c r="ES201" i="3"/>
  <c r="ER201" i="3"/>
  <c r="EQ201" i="3"/>
  <c r="EP201" i="3" s="1"/>
  <c r="EO201" i="3"/>
  <c r="EN201" i="3"/>
  <c r="EK201" i="3"/>
  <c r="EJ201" i="3"/>
  <c r="EI201" i="3"/>
  <c r="EH201" i="3" s="1"/>
  <c r="EF201" i="3"/>
  <c r="EC201" i="3"/>
  <c r="DS201" i="3"/>
  <c r="DR201" i="3"/>
  <c r="DC201" i="3"/>
  <c r="FI201" i="3" s="1"/>
  <c r="FH201" i="3" s="1"/>
  <c r="DB201" i="3"/>
  <c r="DA201" i="3"/>
  <c r="FE201" i="3" s="1"/>
  <c r="FD201" i="3" s="1"/>
  <c r="CZ201" i="3"/>
  <c r="FC201" i="3" s="1"/>
  <c r="FB201" i="3" s="1"/>
  <c r="CY201" i="3"/>
  <c r="FA201" i="3" s="1"/>
  <c r="EZ201" i="3" s="1"/>
  <c r="CQ201" i="3"/>
  <c r="CK201" i="3"/>
  <c r="CI201" i="3"/>
  <c r="CF201" i="3"/>
  <c r="CH201" i="3" s="1"/>
  <c r="CG201" i="3" s="1"/>
  <c r="CE201" i="3"/>
  <c r="CC201" i="3"/>
  <c r="BP201" i="3"/>
  <c r="BO201" i="3"/>
  <c r="BG201" i="3"/>
  <c r="BI201" i="3" s="1"/>
  <c r="BH201" i="3" s="1"/>
  <c r="AW201" i="3"/>
  <c r="AV201" i="3" s="1"/>
  <c r="AT201" i="3"/>
  <c r="AR201" i="3"/>
  <c r="AP201" i="3"/>
  <c r="AN201" i="3"/>
  <c r="AI201" i="3"/>
  <c r="AB201" i="3"/>
  <c r="Z201" i="3"/>
  <c r="W201" i="3"/>
  <c r="V201" i="3"/>
  <c r="T201" i="3"/>
  <c r="DZ201" i="3" s="1"/>
  <c r="EU200" i="3"/>
  <c r="FZ199" i="3"/>
  <c r="FV199" i="3"/>
  <c r="FT199" i="3"/>
  <c r="FI199" i="3"/>
  <c r="FH199" i="3" s="1"/>
  <c r="FG199" i="3"/>
  <c r="FF199" i="3"/>
  <c r="FE199" i="3"/>
  <c r="FD199" i="3" s="1"/>
  <c r="FC199" i="3"/>
  <c r="FB199" i="3" s="1"/>
  <c r="FA199" i="3"/>
  <c r="EZ199" i="3" s="1"/>
  <c r="EY199" i="3"/>
  <c r="EX199" i="3"/>
  <c r="EW199" i="3"/>
  <c r="EV199" i="3" s="1"/>
  <c r="EU199" i="3"/>
  <c r="ET199" i="3" s="1"/>
  <c r="ES199" i="3"/>
  <c r="ER199" i="3" s="1"/>
  <c r="EQ199" i="3"/>
  <c r="EP199" i="3"/>
  <c r="EO199" i="3"/>
  <c r="EN199" i="3" s="1"/>
  <c r="EK199" i="3"/>
  <c r="EJ199" i="3" s="1"/>
  <c r="EI199" i="3"/>
  <c r="EH199" i="3"/>
  <c r="EF199" i="3"/>
  <c r="EC199" i="3"/>
  <c r="DS199" i="3"/>
  <c r="FX199" i="3" s="1"/>
  <c r="DR199" i="3"/>
  <c r="FU199" i="3" s="1"/>
  <c r="DQ199" i="3"/>
  <c r="CX199" i="3"/>
  <c r="CW199" i="3"/>
  <c r="CQ199" i="3"/>
  <c r="CM199" i="3"/>
  <c r="CK199" i="3"/>
  <c r="CI199" i="3"/>
  <c r="CF199" i="3"/>
  <c r="CH199" i="3" s="1"/>
  <c r="CG199" i="3" s="1"/>
  <c r="CC199" i="3"/>
  <c r="BU199" i="3"/>
  <c r="BT199" i="3"/>
  <c r="BJ199" i="3"/>
  <c r="BI199" i="3"/>
  <c r="BH199" i="3" s="1"/>
  <c r="BF199" i="3"/>
  <c r="AW199" i="3"/>
  <c r="AV199" i="3"/>
  <c r="AT199" i="3"/>
  <c r="AR199" i="3"/>
  <c r="AP199" i="3"/>
  <c r="AN199" i="3"/>
  <c r="AI199" i="3"/>
  <c r="AE199" i="3"/>
  <c r="EM199" i="3" s="1"/>
  <c r="EL199" i="3" s="1"/>
  <c r="AD199" i="3"/>
  <c r="AB199" i="3"/>
  <c r="Z199" i="3"/>
  <c r="W199" i="3"/>
  <c r="V199" i="3" s="1"/>
  <c r="U199" i="3"/>
  <c r="BE199" i="3" s="1"/>
  <c r="BD199" i="3" s="1"/>
  <c r="T199" i="3"/>
  <c r="DZ199" i="3" s="1"/>
  <c r="EU198" i="3"/>
  <c r="FZ197" i="3"/>
  <c r="FV197" i="3"/>
  <c r="FT197" i="3"/>
  <c r="EY197" i="3"/>
  <c r="EX197" i="3" s="1"/>
  <c r="EW197" i="3"/>
  <c r="EV197" i="3"/>
  <c r="EU197" i="3"/>
  <c r="ET197" i="3" s="1"/>
  <c r="ES197" i="3"/>
  <c r="ER197" i="3"/>
  <c r="EQ197" i="3"/>
  <c r="EP197" i="3" s="1"/>
  <c r="EO197" i="3"/>
  <c r="EN197" i="3"/>
  <c r="EK197" i="3"/>
  <c r="EJ197" i="3"/>
  <c r="EI197" i="3"/>
  <c r="EH197" i="3" s="1"/>
  <c r="EF197" i="3"/>
  <c r="EC197" i="3"/>
  <c r="DS197" i="3"/>
  <c r="DR197" i="3"/>
  <c r="DC197" i="3"/>
  <c r="FI197" i="3" s="1"/>
  <c r="FH197" i="3" s="1"/>
  <c r="DB197" i="3"/>
  <c r="DA197" i="3"/>
  <c r="FE197" i="3" s="1"/>
  <c r="FD197" i="3" s="1"/>
  <c r="CZ197" i="3"/>
  <c r="FC197" i="3" s="1"/>
  <c r="FB197" i="3" s="1"/>
  <c r="CY197" i="3"/>
  <c r="FA197" i="3" s="1"/>
  <c r="EZ197" i="3" s="1"/>
  <c r="CQ197" i="3"/>
  <c r="CK197" i="3"/>
  <c r="CI197" i="3"/>
  <c r="CH197" i="3"/>
  <c r="CG197" i="3" s="1"/>
  <c r="CE197" i="3"/>
  <c r="CC197" i="3"/>
  <c r="BP197" i="3"/>
  <c r="BO197" i="3"/>
  <c r="BH197" i="3"/>
  <c r="BG197" i="3"/>
  <c r="AW197" i="3"/>
  <c r="AV197" i="3"/>
  <c r="AT197" i="3"/>
  <c r="AR197" i="3"/>
  <c r="AP197" i="3"/>
  <c r="AN197" i="3"/>
  <c r="AI197" i="3"/>
  <c r="AE197" i="3"/>
  <c r="AB197" i="3"/>
  <c r="Z197" i="3"/>
  <c r="W197" i="3"/>
  <c r="V197" i="3"/>
  <c r="T197" i="3"/>
  <c r="EU196" i="3"/>
  <c r="FZ195" i="3"/>
  <c r="FV195" i="3"/>
  <c r="FT195" i="3"/>
  <c r="EY195" i="3"/>
  <c r="EW195" i="3"/>
  <c r="EU195" i="3"/>
  <c r="ES195" i="3"/>
  <c r="EQ195" i="3"/>
  <c r="EO195" i="3"/>
  <c r="EK195" i="3"/>
  <c r="EI195" i="3"/>
  <c r="DS195" i="3"/>
  <c r="DR195" i="3"/>
  <c r="DC195" i="3"/>
  <c r="FI195" i="3" s="1"/>
  <c r="DB195" i="3"/>
  <c r="FG195" i="3" s="1"/>
  <c r="DA195" i="3"/>
  <c r="FE195" i="3" s="1"/>
  <c r="CZ195" i="3"/>
  <c r="FC195" i="3" s="1"/>
  <c r="CY195" i="3"/>
  <c r="FA195" i="3" s="1"/>
  <c r="CF195" i="3"/>
  <c r="CC195" i="3" s="1"/>
  <c r="DH195" i="3" s="1"/>
  <c r="DK195" i="3" s="1"/>
  <c r="BP195" i="3"/>
  <c r="BO195" i="3"/>
  <c r="BG195" i="3"/>
  <c r="BJ195" i="3" s="1"/>
  <c r="AW195" i="3"/>
  <c r="AE195" i="3"/>
  <c r="EM195" i="3" s="1"/>
  <c r="W195" i="3"/>
  <c r="FZ194" i="3"/>
  <c r="FV194" i="3"/>
  <c r="FT194" i="3"/>
  <c r="EY194" i="3"/>
  <c r="EX194" i="3" s="1"/>
  <c r="EW194" i="3"/>
  <c r="EV194" i="3" s="1"/>
  <c r="EU194" i="3"/>
  <c r="ET194" i="3" s="1"/>
  <c r="ES194" i="3"/>
  <c r="ER194" i="3"/>
  <c r="EQ194" i="3"/>
  <c r="EP194" i="3" s="1"/>
  <c r="EO194" i="3"/>
  <c r="EK194" i="3"/>
  <c r="EJ194" i="3"/>
  <c r="EI194" i="3"/>
  <c r="EH194" i="3" s="1"/>
  <c r="EF194" i="3"/>
  <c r="EC194" i="3"/>
  <c r="DS194" i="3"/>
  <c r="DR194" i="3"/>
  <c r="DC194" i="3"/>
  <c r="FI194" i="3" s="1"/>
  <c r="FH194" i="3" s="1"/>
  <c r="DB194" i="3"/>
  <c r="FG194" i="3" s="1"/>
  <c r="DA194" i="3"/>
  <c r="FE194" i="3" s="1"/>
  <c r="FD194" i="3" s="1"/>
  <c r="CZ194" i="3"/>
  <c r="FC194" i="3" s="1"/>
  <c r="FB194" i="3" s="1"/>
  <c r="CY194" i="3"/>
  <c r="CQ194" i="3"/>
  <c r="CK194" i="3"/>
  <c r="CI194" i="3"/>
  <c r="CF194" i="3"/>
  <c r="CH194" i="3" s="1"/>
  <c r="BP194" i="3"/>
  <c r="BO194" i="3"/>
  <c r="FU194" i="3" s="1"/>
  <c r="BH194" i="3"/>
  <c r="BG194" i="3"/>
  <c r="BJ194" i="3" s="1"/>
  <c r="BF194" i="3"/>
  <c r="AW194" i="3"/>
  <c r="AV194" i="3"/>
  <c r="AT194" i="3"/>
  <c r="AR194" i="3"/>
  <c r="AP194" i="3"/>
  <c r="AN194" i="3"/>
  <c r="AI194" i="3"/>
  <c r="AE194" i="3"/>
  <c r="AB194" i="3"/>
  <c r="Z194" i="3"/>
  <c r="W194" i="3"/>
  <c r="V194" i="3"/>
  <c r="T194" i="3"/>
  <c r="EU193" i="3"/>
  <c r="FZ192" i="3"/>
  <c r="FV192" i="3"/>
  <c r="FT192" i="3"/>
  <c r="EY192" i="3"/>
  <c r="EX192" i="3"/>
  <c r="EW192" i="3"/>
  <c r="EV192" i="3"/>
  <c r="EU192" i="3"/>
  <c r="ET192" i="3"/>
  <c r="ES192" i="3"/>
  <c r="ER192" i="3"/>
  <c r="EQ192" i="3"/>
  <c r="EP192" i="3"/>
  <c r="EO192" i="3"/>
  <c r="EN192" i="3"/>
  <c r="EK192" i="3"/>
  <c r="EJ192" i="3"/>
  <c r="EI192" i="3"/>
  <c r="EH192" i="3"/>
  <c r="EF192" i="3"/>
  <c r="EC192" i="3"/>
  <c r="DS192" i="3"/>
  <c r="DR192" i="3"/>
  <c r="DC192" i="3"/>
  <c r="FI192" i="3" s="1"/>
  <c r="FH192" i="3" s="1"/>
  <c r="DB192" i="3"/>
  <c r="FG192" i="3" s="1"/>
  <c r="FF192" i="3" s="1"/>
  <c r="DA192" i="3"/>
  <c r="FE192" i="3" s="1"/>
  <c r="FD192" i="3" s="1"/>
  <c r="CZ192" i="3"/>
  <c r="FC192" i="3" s="1"/>
  <c r="FB192" i="3" s="1"/>
  <c r="CY192" i="3"/>
  <c r="FA192" i="3" s="1"/>
  <c r="EZ192" i="3" s="1"/>
  <c r="CQ192" i="3"/>
  <c r="CK192" i="3"/>
  <c r="CI192" i="3"/>
  <c r="CF192" i="3"/>
  <c r="CE192" i="3"/>
  <c r="CC192" i="3"/>
  <c r="BP192" i="3"/>
  <c r="BO192" i="3"/>
  <c r="BU192" i="3" s="1"/>
  <c r="BT192" i="3" s="1"/>
  <c r="BH192" i="3"/>
  <c r="BG192" i="3"/>
  <c r="BJ192" i="3" s="1"/>
  <c r="BF192" i="3"/>
  <c r="AW192" i="3"/>
  <c r="AV192" i="3" s="1"/>
  <c r="AT192" i="3"/>
  <c r="AR192" i="3"/>
  <c r="AP192" i="3"/>
  <c r="AN192" i="3"/>
  <c r="AI192" i="3"/>
  <c r="AE192" i="3"/>
  <c r="AB192" i="3"/>
  <c r="Z192" i="3"/>
  <c r="W192" i="3"/>
  <c r="V192" i="3"/>
  <c r="T192" i="3"/>
  <c r="DZ192" i="3" s="1"/>
  <c r="EU191" i="3"/>
  <c r="FZ190" i="3"/>
  <c r="FV190" i="3"/>
  <c r="FT190" i="3"/>
  <c r="EY190" i="3"/>
  <c r="EW190" i="3"/>
  <c r="EU190" i="3"/>
  <c r="ES190" i="3"/>
  <c r="EQ190" i="3"/>
  <c r="EO190" i="3"/>
  <c r="EK190" i="3"/>
  <c r="DS190" i="3"/>
  <c r="DR190" i="3"/>
  <c r="FU190" i="3" s="1"/>
  <c r="DC190" i="3"/>
  <c r="FI190" i="3" s="1"/>
  <c r="DB190" i="3"/>
  <c r="FG190" i="3" s="1"/>
  <c r="DA190" i="3"/>
  <c r="FE190" i="3" s="1"/>
  <c r="CZ190" i="3"/>
  <c r="FC190" i="3" s="1"/>
  <c r="CY190" i="3"/>
  <c r="CX190" i="3" s="1"/>
  <c r="CF190" i="3"/>
  <c r="BP190" i="3"/>
  <c r="BU190" i="3" s="1"/>
  <c r="BG190" i="3"/>
  <c r="BJ190" i="3" s="1"/>
  <c r="AW190" i="3"/>
  <c r="AE190" i="3"/>
  <c r="EM190" i="3" s="1"/>
  <c r="W190" i="3"/>
  <c r="FZ189" i="3"/>
  <c r="FV189" i="3"/>
  <c r="FT189" i="3"/>
  <c r="EY189" i="3"/>
  <c r="EX189" i="3" s="1"/>
  <c r="EW189" i="3"/>
  <c r="EV189" i="3" s="1"/>
  <c r="EU189" i="3"/>
  <c r="ET189" i="3" s="1"/>
  <c r="ES189" i="3"/>
  <c r="ER189" i="3"/>
  <c r="EQ189" i="3"/>
  <c r="EP189" i="3"/>
  <c r="EO189" i="3"/>
  <c r="EN189" i="3"/>
  <c r="EK189" i="3"/>
  <c r="EJ189" i="3" s="1"/>
  <c r="EF189" i="3"/>
  <c r="EC189" i="3"/>
  <c r="DS189" i="3"/>
  <c r="DR189" i="3"/>
  <c r="FU189" i="3" s="1"/>
  <c r="DC189" i="3"/>
  <c r="FI189" i="3" s="1"/>
  <c r="FH189" i="3" s="1"/>
  <c r="DB189" i="3"/>
  <c r="FG189" i="3" s="1"/>
  <c r="FF189" i="3" s="1"/>
  <c r="DA189" i="3"/>
  <c r="FE189" i="3" s="1"/>
  <c r="FD189" i="3" s="1"/>
  <c r="CZ189" i="3"/>
  <c r="FC189" i="3" s="1"/>
  <c r="CY189" i="3"/>
  <c r="CQ189" i="3"/>
  <c r="CK189" i="3"/>
  <c r="CI189" i="3"/>
  <c r="CF189" i="3"/>
  <c r="CH189" i="3" s="1"/>
  <c r="BP189" i="3"/>
  <c r="BH189" i="3"/>
  <c r="BG189" i="3"/>
  <c r="BJ189" i="3" s="1"/>
  <c r="BF189" i="3"/>
  <c r="AW189" i="3"/>
  <c r="AT189" i="3"/>
  <c r="AR189" i="3"/>
  <c r="AP189" i="3"/>
  <c r="AN189" i="3"/>
  <c r="AI189" i="3"/>
  <c r="AE189" i="3"/>
  <c r="EM189" i="3" s="1"/>
  <c r="EL189" i="3" s="1"/>
  <c r="AD189" i="3"/>
  <c r="Z189" i="3"/>
  <c r="W189" i="3"/>
  <c r="V189" i="3"/>
  <c r="T189" i="3"/>
  <c r="EU188" i="3"/>
  <c r="FZ187" i="3"/>
  <c r="FY187" i="3"/>
  <c r="FV187" i="3"/>
  <c r="FT187" i="3"/>
  <c r="EY187" i="3"/>
  <c r="EW187" i="3"/>
  <c r="EU187" i="3"/>
  <c r="ES187" i="3"/>
  <c r="EQ187" i="3"/>
  <c r="EO187" i="3"/>
  <c r="EK187" i="3"/>
  <c r="EI187" i="3"/>
  <c r="DS187" i="3"/>
  <c r="DR187" i="3"/>
  <c r="DC187" i="3"/>
  <c r="FI187" i="3" s="1"/>
  <c r="DB187" i="3"/>
  <c r="FG187" i="3" s="1"/>
  <c r="DA187" i="3"/>
  <c r="CZ187" i="3"/>
  <c r="FC187" i="3" s="1"/>
  <c r="CF187" i="3"/>
  <c r="CH187" i="3" s="1"/>
  <c r="CC187" i="3"/>
  <c r="BP187" i="3"/>
  <c r="BO187" i="3"/>
  <c r="BG187" i="3"/>
  <c r="BJ187" i="3" s="1"/>
  <c r="AE187" i="3"/>
  <c r="EM187" i="3" s="1"/>
  <c r="W187" i="3"/>
  <c r="FZ186" i="3"/>
  <c r="FV186" i="3"/>
  <c r="FT186" i="3"/>
  <c r="EY186" i="3"/>
  <c r="EX186" i="3"/>
  <c r="EW186" i="3"/>
  <c r="EV186" i="3" s="1"/>
  <c r="EU186" i="3"/>
  <c r="ET186" i="3" s="1"/>
  <c r="ES186" i="3"/>
  <c r="ER186" i="3" s="1"/>
  <c r="EQ186" i="3"/>
  <c r="EP186" i="3"/>
  <c r="EO186" i="3"/>
  <c r="EN186" i="3"/>
  <c r="EK186" i="3"/>
  <c r="EJ186" i="3" s="1"/>
  <c r="EI186" i="3"/>
  <c r="EH186" i="3" s="1"/>
  <c r="EF186" i="3"/>
  <c r="EC186" i="3"/>
  <c r="DS186" i="3"/>
  <c r="DR186" i="3"/>
  <c r="DC186" i="3"/>
  <c r="FI186" i="3" s="1"/>
  <c r="DB186" i="3"/>
  <c r="FG186" i="3" s="1"/>
  <c r="FF186" i="3" s="1"/>
  <c r="DA186" i="3"/>
  <c r="FE186" i="3" s="1"/>
  <c r="CZ186" i="3"/>
  <c r="FC186" i="3" s="1"/>
  <c r="CY186" i="3"/>
  <c r="FA186" i="3" s="1"/>
  <c r="CQ186" i="3"/>
  <c r="CK186" i="3"/>
  <c r="CI186" i="3"/>
  <c r="CF186" i="3"/>
  <c r="BP186" i="3"/>
  <c r="BO186" i="3"/>
  <c r="BH186" i="3"/>
  <c r="BG186" i="3"/>
  <c r="AW186" i="3"/>
  <c r="AT186" i="3"/>
  <c r="AR186" i="3"/>
  <c r="AP186" i="3"/>
  <c r="AN186" i="3"/>
  <c r="AI186" i="3"/>
  <c r="AE186" i="3"/>
  <c r="AD186" i="3" s="1"/>
  <c r="AB186" i="3"/>
  <c r="Z186" i="3"/>
  <c r="W186" i="3"/>
  <c r="V186" i="3"/>
  <c r="T186" i="3"/>
  <c r="EU185" i="3"/>
  <c r="FZ184" i="3"/>
  <c r="FV184" i="3"/>
  <c r="FT184" i="3"/>
  <c r="EY184" i="3"/>
  <c r="EX184" i="3"/>
  <c r="EW184" i="3"/>
  <c r="EV184" i="3"/>
  <c r="EU184" i="3"/>
  <c r="ET184" i="3"/>
  <c r="ES184" i="3"/>
  <c r="ER184" i="3"/>
  <c r="EQ184" i="3"/>
  <c r="EP184" i="3"/>
  <c r="EO184" i="3"/>
  <c r="EN184" i="3"/>
  <c r="EK184" i="3"/>
  <c r="EJ184" i="3"/>
  <c r="EI184" i="3"/>
  <c r="EH184" i="3"/>
  <c r="EF184" i="3"/>
  <c r="EC184" i="3"/>
  <c r="DS184" i="3"/>
  <c r="DR184" i="3"/>
  <c r="DC184" i="3"/>
  <c r="FI184" i="3" s="1"/>
  <c r="FH184" i="3" s="1"/>
  <c r="DB184" i="3"/>
  <c r="FG184" i="3" s="1"/>
  <c r="FF184" i="3" s="1"/>
  <c r="DA184" i="3"/>
  <c r="FE184" i="3" s="1"/>
  <c r="FD184" i="3" s="1"/>
  <c r="CZ184" i="3"/>
  <c r="CY184" i="3"/>
  <c r="FA184" i="3" s="1"/>
  <c r="EZ184" i="3" s="1"/>
  <c r="CQ184" i="3"/>
  <c r="CK184" i="3"/>
  <c r="CI184" i="3"/>
  <c r="CF184" i="3"/>
  <c r="CE184" i="3"/>
  <c r="BP184" i="3"/>
  <c r="BO184" i="3"/>
  <c r="BH184" i="3"/>
  <c r="BG184" i="3"/>
  <c r="BJ184" i="3" s="1"/>
  <c r="AW184" i="3"/>
  <c r="AV184" i="3" s="1"/>
  <c r="AT184" i="3"/>
  <c r="AR184" i="3"/>
  <c r="AP184" i="3"/>
  <c r="AN184" i="3"/>
  <c r="AI184" i="3"/>
  <c r="AE184" i="3"/>
  <c r="EM184" i="3" s="1"/>
  <c r="EL184" i="3" s="1"/>
  <c r="AD184" i="3"/>
  <c r="AB184" i="3"/>
  <c r="Z184" i="3"/>
  <c r="W184" i="3"/>
  <c r="V184" i="3"/>
  <c r="T184" i="3"/>
  <c r="DZ184" i="3" s="1"/>
  <c r="EU183" i="3"/>
  <c r="FZ182" i="3"/>
  <c r="FV182" i="3"/>
  <c r="FT182" i="3"/>
  <c r="EY182" i="3"/>
  <c r="EX182" i="3" s="1"/>
  <c r="EW182" i="3"/>
  <c r="EV182" i="3" s="1"/>
  <c r="EU182" i="3"/>
  <c r="ET182" i="3"/>
  <c r="ES182" i="3"/>
  <c r="ER182" i="3"/>
  <c r="EQ182" i="3"/>
  <c r="EP182" i="3" s="1"/>
  <c r="EO182" i="3"/>
  <c r="EN182" i="3" s="1"/>
  <c r="EK182" i="3"/>
  <c r="EJ182" i="3"/>
  <c r="EI182" i="3"/>
  <c r="EH182" i="3" s="1"/>
  <c r="EF182" i="3"/>
  <c r="EC182" i="3"/>
  <c r="DS182" i="3"/>
  <c r="DR182" i="3"/>
  <c r="DC182" i="3"/>
  <c r="FI182" i="3" s="1"/>
  <c r="FH182" i="3" s="1"/>
  <c r="DB182" i="3"/>
  <c r="DA182" i="3"/>
  <c r="FE182" i="3" s="1"/>
  <c r="FD182" i="3" s="1"/>
  <c r="CZ182" i="3"/>
  <c r="FC182" i="3" s="1"/>
  <c r="FB182" i="3" s="1"/>
  <c r="CY182" i="3"/>
  <c r="FA182" i="3" s="1"/>
  <c r="EZ182" i="3" s="1"/>
  <c r="CQ182" i="3"/>
  <c r="CK182" i="3"/>
  <c r="CI182" i="3"/>
  <c r="CF182" i="3"/>
  <c r="CE182" i="3"/>
  <c r="CC182" i="3"/>
  <c r="BP182" i="3"/>
  <c r="BO182" i="3"/>
  <c r="BU182" i="3" s="1"/>
  <c r="BT182" i="3" s="1"/>
  <c r="BH182" i="3"/>
  <c r="BG182" i="3"/>
  <c r="BJ182" i="3" s="1"/>
  <c r="BF182" i="3"/>
  <c r="AW182" i="3"/>
  <c r="AV182" i="3"/>
  <c r="AT182" i="3"/>
  <c r="AR182" i="3"/>
  <c r="AP182" i="3"/>
  <c r="AN182" i="3"/>
  <c r="AI182" i="3"/>
  <c r="AE182" i="3"/>
  <c r="AD182" i="3" s="1"/>
  <c r="AB182" i="3"/>
  <c r="Z182" i="3"/>
  <c r="W182" i="3"/>
  <c r="V182" i="3"/>
  <c r="T182" i="3"/>
  <c r="DZ182" i="3" s="1"/>
  <c r="EU181" i="3"/>
  <c r="FZ180" i="3"/>
  <c r="FV180" i="3"/>
  <c r="FT180" i="3"/>
  <c r="EY180" i="3"/>
  <c r="EX180" i="3" s="1"/>
  <c r="EW180" i="3"/>
  <c r="EV180" i="3"/>
  <c r="EU180" i="3"/>
  <c r="ET180" i="3" s="1"/>
  <c r="ES180" i="3"/>
  <c r="ER180" i="3" s="1"/>
  <c r="EO180" i="3"/>
  <c r="EN180" i="3"/>
  <c r="EK180" i="3"/>
  <c r="EJ180" i="3" s="1"/>
  <c r="EI180" i="3"/>
  <c r="EH180" i="3" s="1"/>
  <c r="EF180" i="3"/>
  <c r="EC180" i="3"/>
  <c r="DS180" i="3"/>
  <c r="FX180" i="3" s="1"/>
  <c r="DR180" i="3"/>
  <c r="FU180" i="3" s="1"/>
  <c r="DC180" i="3"/>
  <c r="FI180" i="3" s="1"/>
  <c r="FH180" i="3" s="1"/>
  <c r="DB180" i="3"/>
  <c r="FG180" i="3" s="1"/>
  <c r="FF180" i="3" s="1"/>
  <c r="DA180" i="3"/>
  <c r="FE180" i="3" s="1"/>
  <c r="FD180" i="3" s="1"/>
  <c r="CZ180" i="3"/>
  <c r="FC180" i="3" s="1"/>
  <c r="FB180" i="3" s="1"/>
  <c r="CY180" i="3"/>
  <c r="FA180" i="3" s="1"/>
  <c r="EZ180" i="3" s="1"/>
  <c r="CX180" i="3"/>
  <c r="CW180" i="3" s="1"/>
  <c r="CQ180" i="3"/>
  <c r="CK180" i="3"/>
  <c r="CI180" i="3"/>
  <c r="CF180" i="3"/>
  <c r="BT180" i="3"/>
  <c r="BH180" i="3"/>
  <c r="BG180" i="3"/>
  <c r="BJ180" i="3" s="1"/>
  <c r="BF180" i="3"/>
  <c r="AW180" i="3"/>
  <c r="AV180" i="3" s="1"/>
  <c r="AT180" i="3"/>
  <c r="AR180" i="3"/>
  <c r="AP180" i="3"/>
  <c r="AN180" i="3"/>
  <c r="AJ180" i="3"/>
  <c r="AE180" i="3"/>
  <c r="AB180" i="3"/>
  <c r="Z180" i="3"/>
  <c r="W180" i="3"/>
  <c r="Y180" i="3" s="1"/>
  <c r="T180" i="3"/>
  <c r="DZ180" i="3" s="1"/>
  <c r="EU179" i="3"/>
  <c r="FZ178" i="3"/>
  <c r="FV178" i="3"/>
  <c r="FT178" i="3"/>
  <c r="EY178" i="3"/>
  <c r="EX178" i="3"/>
  <c r="EW178" i="3"/>
  <c r="EV178" i="3" s="1"/>
  <c r="EU178" i="3"/>
  <c r="ET178" i="3" s="1"/>
  <c r="ES178" i="3"/>
  <c r="ER178" i="3" s="1"/>
  <c r="EQ178" i="3"/>
  <c r="EP178" i="3"/>
  <c r="EO178" i="3"/>
  <c r="EN178" i="3" s="1"/>
  <c r="EK178" i="3"/>
  <c r="EJ178" i="3" s="1"/>
  <c r="EI178" i="3"/>
  <c r="EH178" i="3"/>
  <c r="EF178" i="3"/>
  <c r="EC178" i="3"/>
  <c r="DS178" i="3"/>
  <c r="DR178" i="3"/>
  <c r="DC178" i="3"/>
  <c r="FI178" i="3" s="1"/>
  <c r="FH178" i="3" s="1"/>
  <c r="DB178" i="3"/>
  <c r="FG178" i="3" s="1"/>
  <c r="FF178" i="3" s="1"/>
  <c r="DA178" i="3"/>
  <c r="FE178" i="3" s="1"/>
  <c r="FD178" i="3" s="1"/>
  <c r="CZ178" i="3"/>
  <c r="FC178" i="3" s="1"/>
  <c r="FB178" i="3" s="1"/>
  <c r="CY178" i="3"/>
  <c r="CX178" i="3" s="1"/>
  <c r="CQ178" i="3"/>
  <c r="CK178" i="3"/>
  <c r="CI178" i="3"/>
  <c r="CF178" i="3"/>
  <c r="CH178" i="3" s="1"/>
  <c r="CG178" i="3" s="1"/>
  <c r="CE178" i="3"/>
  <c r="BP178" i="3"/>
  <c r="BO178" i="3"/>
  <c r="BU178" i="3" s="1"/>
  <c r="BT178" i="3" s="1"/>
  <c r="BH178" i="3"/>
  <c r="BG178" i="3"/>
  <c r="BJ178" i="3" s="1"/>
  <c r="BF178" i="3"/>
  <c r="AW178" i="3"/>
  <c r="AV178" i="3"/>
  <c r="AT178" i="3"/>
  <c r="AR178" i="3"/>
  <c r="AP178" i="3"/>
  <c r="AN178" i="3"/>
  <c r="AI178" i="3"/>
  <c r="AE178" i="3"/>
  <c r="EM178" i="3" s="1"/>
  <c r="EL178" i="3" s="1"/>
  <c r="AB178" i="3"/>
  <c r="Z178" i="3"/>
  <c r="W178" i="3"/>
  <c r="T178" i="3"/>
  <c r="DZ178" i="3" s="1"/>
  <c r="EU177" i="3"/>
  <c r="FZ176" i="3"/>
  <c r="FV176" i="3"/>
  <c r="FU176" i="3"/>
  <c r="FT176" i="3"/>
  <c r="FI176" i="3"/>
  <c r="FH176" i="3"/>
  <c r="FG176" i="3"/>
  <c r="FF176" i="3"/>
  <c r="FE176" i="3"/>
  <c r="FD176" i="3"/>
  <c r="FC176" i="3"/>
  <c r="FB176" i="3"/>
  <c r="FA176" i="3"/>
  <c r="EZ176" i="3"/>
  <c r="EY176" i="3"/>
  <c r="EX176" i="3"/>
  <c r="EW176" i="3"/>
  <c r="EV176" i="3"/>
  <c r="EU176" i="3"/>
  <c r="ET176" i="3"/>
  <c r="ES176" i="3"/>
  <c r="ER176" i="3"/>
  <c r="EQ176" i="3"/>
  <c r="EP176" i="3"/>
  <c r="EO176" i="3"/>
  <c r="EN176" i="3"/>
  <c r="EK176" i="3"/>
  <c r="EJ176" i="3" s="1"/>
  <c r="EF176" i="3"/>
  <c r="EC176" i="3"/>
  <c r="DV176" i="3"/>
  <c r="GA176" i="3" s="1"/>
  <c r="DT176" i="3"/>
  <c r="FY176" i="3" s="1"/>
  <c r="DS176" i="3"/>
  <c r="FX176" i="3" s="1"/>
  <c r="CW176" i="3"/>
  <c r="CQ176" i="3"/>
  <c r="CL176" i="3"/>
  <c r="CI176" i="3"/>
  <c r="BU176" i="3"/>
  <c r="BT176" i="3" s="1"/>
  <c r="BJ176" i="3"/>
  <c r="BI176" i="3"/>
  <c r="BH176" i="3" s="1"/>
  <c r="BF176" i="3"/>
  <c r="AW176" i="3"/>
  <c r="FK176" i="3" s="1"/>
  <c r="FJ176" i="3" s="1"/>
  <c r="AV176" i="3"/>
  <c r="AT176" i="3"/>
  <c r="AR176" i="3"/>
  <c r="AP176" i="3"/>
  <c r="AN176" i="3"/>
  <c r="AI176" i="3"/>
  <c r="AE176" i="3"/>
  <c r="AB176" i="3"/>
  <c r="Z176" i="3"/>
  <c r="W176" i="3"/>
  <c r="V176" i="3"/>
  <c r="U176" i="3"/>
  <c r="T176" i="3"/>
  <c r="DZ176" i="3" s="1"/>
  <c r="EU175" i="3"/>
  <c r="FZ174" i="3"/>
  <c r="FV174" i="3"/>
  <c r="FT174" i="3"/>
  <c r="EY174" i="3"/>
  <c r="EX174" i="3" s="1"/>
  <c r="EW174" i="3"/>
  <c r="EV174" i="3"/>
  <c r="EU174" i="3"/>
  <c r="ET174" i="3" s="1"/>
  <c r="ES174" i="3"/>
  <c r="ER174" i="3" s="1"/>
  <c r="EQ174" i="3"/>
  <c r="EP174" i="3"/>
  <c r="EO174" i="3"/>
  <c r="EN174" i="3"/>
  <c r="EK174" i="3"/>
  <c r="EJ174" i="3" s="1"/>
  <c r="EF174" i="3"/>
  <c r="EC174" i="3"/>
  <c r="DS174" i="3"/>
  <c r="DC174" i="3"/>
  <c r="FI174" i="3" s="1"/>
  <c r="FH174" i="3" s="1"/>
  <c r="DB174" i="3"/>
  <c r="FG174" i="3" s="1"/>
  <c r="FF174" i="3" s="1"/>
  <c r="DA174" i="3"/>
  <c r="FE174" i="3" s="1"/>
  <c r="FD174" i="3" s="1"/>
  <c r="CZ174" i="3"/>
  <c r="FC174" i="3" s="1"/>
  <c r="FB174" i="3" s="1"/>
  <c r="CY174" i="3"/>
  <c r="FA174" i="3" s="1"/>
  <c r="EZ174" i="3" s="1"/>
  <c r="CQ174" i="3"/>
  <c r="CL174" i="3"/>
  <c r="EI174" i="3" s="1"/>
  <c r="EH174" i="3" s="1"/>
  <c r="CI174" i="3"/>
  <c r="BP174" i="3"/>
  <c r="BO174" i="3"/>
  <c r="FU174" i="3" s="1"/>
  <c r="BG174" i="3"/>
  <c r="AW174" i="3"/>
  <c r="AV174" i="3" s="1"/>
  <c r="AT174" i="3"/>
  <c r="AR174" i="3"/>
  <c r="AP174" i="3"/>
  <c r="AN174" i="3"/>
  <c r="AI174" i="3"/>
  <c r="AE174" i="3"/>
  <c r="AD174" i="3" s="1"/>
  <c r="AB174" i="3"/>
  <c r="Z174" i="3"/>
  <c r="W174" i="3"/>
  <c r="V174" i="3"/>
  <c r="T174" i="3"/>
  <c r="DZ174" i="3" s="1"/>
  <c r="EU173" i="3"/>
  <c r="FZ172" i="3"/>
  <c r="FV172" i="3"/>
  <c r="FT172" i="3"/>
  <c r="EY172" i="3"/>
  <c r="EX172" i="3"/>
  <c r="EW172" i="3"/>
  <c r="EV172" i="3"/>
  <c r="EU172" i="3"/>
  <c r="ET172" i="3"/>
  <c r="ES172" i="3"/>
  <c r="ER172" i="3"/>
  <c r="EQ172" i="3"/>
  <c r="EP172" i="3"/>
  <c r="EO172" i="3"/>
  <c r="EN172" i="3"/>
  <c r="EK172" i="3"/>
  <c r="EJ172" i="3"/>
  <c r="EI172" i="3"/>
  <c r="EH172" i="3"/>
  <c r="EF172" i="3"/>
  <c r="EC172" i="3"/>
  <c r="DS172" i="3"/>
  <c r="DR172" i="3"/>
  <c r="DC172" i="3"/>
  <c r="FI172" i="3" s="1"/>
  <c r="FH172" i="3" s="1"/>
  <c r="DB172" i="3"/>
  <c r="FG172" i="3" s="1"/>
  <c r="FF172" i="3" s="1"/>
  <c r="DA172" i="3"/>
  <c r="FE172" i="3" s="1"/>
  <c r="FD172" i="3" s="1"/>
  <c r="CZ172" i="3"/>
  <c r="FC172" i="3" s="1"/>
  <c r="FB172" i="3" s="1"/>
  <c r="CY172" i="3"/>
  <c r="FA172" i="3" s="1"/>
  <c r="EZ172" i="3" s="1"/>
  <c r="CX172" i="3"/>
  <c r="DV172" i="3" s="1"/>
  <c r="GA172" i="3" s="1"/>
  <c r="CQ172" i="3"/>
  <c r="CK172" i="3"/>
  <c r="CI172" i="3"/>
  <c r="CF172" i="3"/>
  <c r="CE172" i="3"/>
  <c r="CC172" i="3"/>
  <c r="DH172" i="3" s="1"/>
  <c r="BT172" i="3"/>
  <c r="BP172" i="3"/>
  <c r="BO172" i="3"/>
  <c r="BJ172" i="3"/>
  <c r="BI172" i="3"/>
  <c r="BH172" i="3" s="1"/>
  <c r="BF172" i="3"/>
  <c r="BD172" i="3"/>
  <c r="AW172" i="3"/>
  <c r="AV172" i="3"/>
  <c r="AT172" i="3"/>
  <c r="AR172" i="3"/>
  <c r="AP172" i="3"/>
  <c r="AN172" i="3"/>
  <c r="AI172" i="3"/>
  <c r="AE172" i="3"/>
  <c r="AL172" i="3" s="1"/>
  <c r="AK172" i="3" s="1"/>
  <c r="AB172" i="3"/>
  <c r="Z172" i="3"/>
  <c r="Y172" i="3"/>
  <c r="BK172" i="3" s="1"/>
  <c r="V172" i="3"/>
  <c r="T172" i="3"/>
  <c r="DZ172" i="3" s="1"/>
  <c r="EU171" i="3"/>
  <c r="GC170" i="3"/>
  <c r="EW170" i="3"/>
  <c r="EU170" i="3"/>
  <c r="ES170" i="3"/>
  <c r="EQ170" i="3"/>
  <c r="EK170" i="3"/>
  <c r="EI170" i="3"/>
  <c r="DS170" i="3"/>
  <c r="DR170" i="3"/>
  <c r="CX170" i="3"/>
  <c r="CF170" i="3"/>
  <c r="BP170" i="3"/>
  <c r="BO170" i="3"/>
  <c r="BU170" i="3" s="1"/>
  <c r="BG170" i="3"/>
  <c r="BJ170" i="3" s="1"/>
  <c r="AE170" i="3"/>
  <c r="W170" i="3"/>
  <c r="FZ169" i="3"/>
  <c r="FV169" i="3"/>
  <c r="FT169" i="3"/>
  <c r="EY169" i="3"/>
  <c r="EX169" i="3"/>
  <c r="EW169" i="3"/>
  <c r="EU169" i="3"/>
  <c r="ET169" i="3"/>
  <c r="ES169" i="3"/>
  <c r="ER169" i="3"/>
  <c r="EQ169" i="3"/>
  <c r="EP169" i="3"/>
  <c r="EO169" i="3"/>
  <c r="EN169" i="3"/>
  <c r="EK169" i="3"/>
  <c r="EJ169" i="3"/>
  <c r="EI169" i="3"/>
  <c r="EH169" i="3"/>
  <c r="EF169" i="3"/>
  <c r="EC169" i="3"/>
  <c r="DS169" i="3"/>
  <c r="DR169" i="3"/>
  <c r="DC169" i="3"/>
  <c r="FI169" i="3" s="1"/>
  <c r="FH169" i="3" s="1"/>
  <c r="DB169" i="3"/>
  <c r="FG169" i="3" s="1"/>
  <c r="FF169" i="3" s="1"/>
  <c r="DA169" i="3"/>
  <c r="FE169" i="3" s="1"/>
  <c r="FD169" i="3" s="1"/>
  <c r="CZ169" i="3"/>
  <c r="FC169" i="3" s="1"/>
  <c r="FB169" i="3" s="1"/>
  <c r="CY169" i="3"/>
  <c r="FA169" i="3" s="1"/>
  <c r="EZ169" i="3" s="1"/>
  <c r="CX169" i="3"/>
  <c r="CQ169" i="3"/>
  <c r="CK169" i="3"/>
  <c r="CI169" i="3"/>
  <c r="CF169" i="3"/>
  <c r="CC169" i="3"/>
  <c r="BP169" i="3"/>
  <c r="BO169" i="3"/>
  <c r="BU169" i="3" s="1"/>
  <c r="BT169" i="3" s="1"/>
  <c r="BG169" i="3"/>
  <c r="BJ169" i="3" s="1"/>
  <c r="BE169" i="3"/>
  <c r="AV169" i="3"/>
  <c r="AT169" i="3"/>
  <c r="AR169" i="3"/>
  <c r="AP169" i="3"/>
  <c r="AN169" i="3"/>
  <c r="AI169" i="3"/>
  <c r="AE169" i="3"/>
  <c r="AD169" i="3"/>
  <c r="AB169" i="3"/>
  <c r="Z169" i="3"/>
  <c r="Y169" i="3"/>
  <c r="V169" i="3"/>
  <c r="T169" i="3"/>
  <c r="EU168" i="3"/>
  <c r="FV167" i="3"/>
  <c r="FT167" i="3"/>
  <c r="FI167" i="3"/>
  <c r="FG167" i="3"/>
  <c r="FE167" i="3"/>
  <c r="FC167" i="3"/>
  <c r="FA167" i="3"/>
  <c r="EY167" i="3"/>
  <c r="EW167" i="3"/>
  <c r="EU167" i="3"/>
  <c r="ES167" i="3"/>
  <c r="EQ167" i="3"/>
  <c r="EO167" i="3"/>
  <c r="EK167" i="3"/>
  <c r="EI167" i="3"/>
  <c r="DS167" i="3"/>
  <c r="DR167" i="3"/>
  <c r="CX167" i="3"/>
  <c r="CH167" i="3"/>
  <c r="CC167" i="3"/>
  <c r="BS167" i="3"/>
  <c r="BR167" i="3"/>
  <c r="FZ167" i="3" s="1"/>
  <c r="BQ167" i="3"/>
  <c r="BP167" i="3"/>
  <c r="BO167" i="3"/>
  <c r="BG167" i="3"/>
  <c r="BI167" i="3" s="1"/>
  <c r="AW167" i="3"/>
  <c r="AE167" i="3"/>
  <c r="EM167" i="3" s="1"/>
  <c r="W167" i="3"/>
  <c r="FV166" i="3"/>
  <c r="FT166" i="3"/>
  <c r="FI166" i="3"/>
  <c r="FG166" i="3"/>
  <c r="FF166" i="3"/>
  <c r="FE166" i="3"/>
  <c r="FD166" i="3"/>
  <c r="FC166" i="3"/>
  <c r="FB166" i="3"/>
  <c r="FA166" i="3"/>
  <c r="EZ166" i="3"/>
  <c r="EY166" i="3"/>
  <c r="EX166" i="3"/>
  <c r="EW166" i="3"/>
  <c r="EV166" i="3"/>
  <c r="EU166" i="3"/>
  <c r="ET166" i="3"/>
  <c r="ES166" i="3"/>
  <c r="EQ166" i="3"/>
  <c r="EP166" i="3"/>
  <c r="EO166" i="3"/>
  <c r="EN166" i="3"/>
  <c r="EK166" i="3"/>
  <c r="EJ166" i="3"/>
  <c r="EI166" i="3"/>
  <c r="EH166" i="3"/>
  <c r="EF166" i="3"/>
  <c r="EC166" i="3"/>
  <c r="DS166" i="3"/>
  <c r="DR166" i="3"/>
  <c r="CX166" i="3"/>
  <c r="CW166" i="3"/>
  <c r="CQ166" i="3"/>
  <c r="CN166" i="3"/>
  <c r="CK166" i="3"/>
  <c r="CI166" i="3"/>
  <c r="CH166" i="3"/>
  <c r="CG166" i="3" s="1"/>
  <c r="CE166" i="3"/>
  <c r="CC166" i="3"/>
  <c r="DH166" i="3" s="1"/>
  <c r="BS166" i="3"/>
  <c r="BR166" i="3"/>
  <c r="FZ166" i="3" s="1"/>
  <c r="BQ166" i="3"/>
  <c r="BP166" i="3"/>
  <c r="FX166" i="3" s="1"/>
  <c r="BO166" i="3"/>
  <c r="BG166" i="3"/>
  <c r="BI166" i="3" s="1"/>
  <c r="AW166" i="3"/>
  <c r="AV166" i="3"/>
  <c r="AT166" i="3"/>
  <c r="AR166" i="3"/>
  <c r="AP166" i="3"/>
  <c r="AN166" i="3"/>
  <c r="AI166" i="3"/>
  <c r="AE166" i="3"/>
  <c r="EM166" i="3" s="1"/>
  <c r="EL166" i="3" s="1"/>
  <c r="AB166" i="3"/>
  <c r="Z166" i="3"/>
  <c r="W166" i="3"/>
  <c r="T166" i="3"/>
  <c r="EU165" i="3"/>
  <c r="FZ164" i="3"/>
  <c r="FV164" i="3"/>
  <c r="FT164" i="3"/>
  <c r="FI164" i="3"/>
  <c r="FH164" i="3"/>
  <c r="FG164" i="3"/>
  <c r="FF164" i="3"/>
  <c r="FE164" i="3"/>
  <c r="FD164" i="3"/>
  <c r="FC164" i="3"/>
  <c r="FB164" i="3"/>
  <c r="FA164" i="3"/>
  <c r="EZ164" i="3"/>
  <c r="EY164" i="3"/>
  <c r="EX164" i="3"/>
  <c r="EW164" i="3"/>
  <c r="EV164" i="3"/>
  <c r="ES164" i="3"/>
  <c r="ER164" i="3"/>
  <c r="EQ164" i="3"/>
  <c r="EP164" i="3"/>
  <c r="EO164" i="3"/>
  <c r="EN164" i="3"/>
  <c r="EK164" i="3"/>
  <c r="EJ164" i="3"/>
  <c r="EI164" i="3"/>
  <c r="EH164" i="3"/>
  <c r="EF164" i="3"/>
  <c r="EC164" i="3"/>
  <c r="DS164" i="3"/>
  <c r="FX164" i="3" s="1"/>
  <c r="DR164" i="3"/>
  <c r="FU164" i="3" s="1"/>
  <c r="CX164" i="3"/>
  <c r="CW164" i="3"/>
  <c r="CQ164" i="3"/>
  <c r="CK164" i="3"/>
  <c r="CI164" i="3"/>
  <c r="CF164" i="3"/>
  <c r="CC164" i="3"/>
  <c r="DH164" i="3" s="1"/>
  <c r="BT164" i="3"/>
  <c r="BJ164" i="3"/>
  <c r="BI164" i="3"/>
  <c r="BH164" i="3" s="1"/>
  <c r="BF164" i="3"/>
  <c r="AW164" i="3"/>
  <c r="AV164" i="3"/>
  <c r="AT164" i="3"/>
  <c r="AR164" i="3"/>
  <c r="AQ164" i="3"/>
  <c r="EU164" i="3" s="1"/>
  <c r="ET164" i="3" s="1"/>
  <c r="AP164" i="3"/>
  <c r="AN164" i="3"/>
  <c r="AI164" i="3"/>
  <c r="AE164" i="3"/>
  <c r="EM164" i="3" s="1"/>
  <c r="EL164" i="3" s="1"/>
  <c r="AD164" i="3"/>
  <c r="AB164" i="3"/>
  <c r="Z164" i="3"/>
  <c r="W164" i="3"/>
  <c r="Y164" i="3" s="1"/>
  <c r="U164" i="3"/>
  <c r="EU163" i="3"/>
  <c r="FV162" i="3"/>
  <c r="FT162" i="3"/>
  <c r="FI162" i="3"/>
  <c r="FH162" i="3"/>
  <c r="FG162" i="3"/>
  <c r="FF162" i="3"/>
  <c r="FE162" i="3"/>
  <c r="FD162" i="3"/>
  <c r="FC162" i="3"/>
  <c r="FB162" i="3"/>
  <c r="FA162" i="3"/>
  <c r="EZ162" i="3"/>
  <c r="EY162" i="3"/>
  <c r="EX162" i="3"/>
  <c r="EW162" i="3"/>
  <c r="EV162" i="3"/>
  <c r="EU162" i="3"/>
  <c r="ET162" i="3"/>
  <c r="ES162" i="3"/>
  <c r="ER162" i="3"/>
  <c r="EQ162" i="3"/>
  <c r="EP162" i="3"/>
  <c r="EO162" i="3"/>
  <c r="EN162" i="3"/>
  <c r="EK162" i="3"/>
  <c r="EJ162" i="3"/>
  <c r="EI162" i="3"/>
  <c r="EH162" i="3"/>
  <c r="EF162" i="3"/>
  <c r="EC162" i="3"/>
  <c r="DS162" i="3"/>
  <c r="DR162" i="3"/>
  <c r="CX162" i="3"/>
  <c r="CW162" i="3"/>
  <c r="CQ162" i="3"/>
  <c r="CK162" i="3"/>
  <c r="CI162" i="3"/>
  <c r="CF162" i="3"/>
  <c r="CH162" i="3" s="1"/>
  <c r="CG162" i="3" s="1"/>
  <c r="BS162" i="3"/>
  <c r="BR162" i="3"/>
  <c r="FZ162" i="3" s="1"/>
  <c r="BQ162" i="3"/>
  <c r="BP162" i="3"/>
  <c r="BO162" i="3"/>
  <c r="BG162" i="3"/>
  <c r="BJ162" i="3" s="1"/>
  <c r="BF162" i="3"/>
  <c r="AW162" i="3"/>
  <c r="AV162" i="3"/>
  <c r="AT162" i="3"/>
  <c r="AR162" i="3"/>
  <c r="AP162" i="3"/>
  <c r="AN162" i="3"/>
  <c r="AI162" i="3"/>
  <c r="AB162" i="3"/>
  <c r="Z162" i="3"/>
  <c r="W162" i="3"/>
  <c r="V162" i="3"/>
  <c r="T162" i="3"/>
  <c r="DZ162" i="3" s="1"/>
  <c r="O162" i="3"/>
  <c r="AF162" i="3" s="1"/>
  <c r="EU161" i="3"/>
  <c r="FZ160" i="3"/>
  <c r="FV160" i="3"/>
  <c r="FT160" i="3"/>
  <c r="EY160" i="3"/>
  <c r="EW160" i="3"/>
  <c r="ES160" i="3"/>
  <c r="EQ160" i="3"/>
  <c r="EO160" i="3"/>
  <c r="EK160" i="3"/>
  <c r="EI160" i="3"/>
  <c r="DS160" i="3"/>
  <c r="DR160" i="3"/>
  <c r="DC160" i="3"/>
  <c r="FI160" i="3" s="1"/>
  <c r="DB160" i="3"/>
  <c r="DA160" i="3"/>
  <c r="FE160" i="3" s="1"/>
  <c r="CZ160" i="3"/>
  <c r="FC160" i="3" s="1"/>
  <c r="CY160" i="3"/>
  <c r="FA160" i="3" s="1"/>
  <c r="CF160" i="3"/>
  <c r="CC160" i="3"/>
  <c r="DH160" i="3" s="1"/>
  <c r="DK160" i="3" s="1"/>
  <c r="BP160" i="3"/>
  <c r="BO160" i="3"/>
  <c r="BG160" i="3"/>
  <c r="BJ160" i="3" s="1"/>
  <c r="AW160" i="3"/>
  <c r="AE160" i="3"/>
  <c r="EM160" i="3" s="1"/>
  <c r="W160" i="3"/>
  <c r="FZ159" i="3"/>
  <c r="FV159" i="3"/>
  <c r="FT159" i="3"/>
  <c r="EY159" i="3"/>
  <c r="EX159" i="3" s="1"/>
  <c r="EU159" i="3"/>
  <c r="ES159" i="3"/>
  <c r="ER159" i="3" s="1"/>
  <c r="EQ159" i="3"/>
  <c r="EP159" i="3" s="1"/>
  <c r="EO159" i="3"/>
  <c r="EN159" i="3" s="1"/>
  <c r="EK159" i="3"/>
  <c r="EJ159" i="3" s="1"/>
  <c r="EI159" i="3"/>
  <c r="EH159" i="3" s="1"/>
  <c r="EF159" i="3"/>
  <c r="EC159" i="3"/>
  <c r="DS159" i="3"/>
  <c r="DR159" i="3"/>
  <c r="DC159" i="3"/>
  <c r="FI159" i="3" s="1"/>
  <c r="FH159" i="3" s="1"/>
  <c r="DB159" i="3"/>
  <c r="FG159" i="3" s="1"/>
  <c r="DA159" i="3"/>
  <c r="FE159" i="3" s="1"/>
  <c r="FD159" i="3" s="1"/>
  <c r="CZ159" i="3"/>
  <c r="FC159" i="3" s="1"/>
  <c r="FB159" i="3" s="1"/>
  <c r="CY159" i="3"/>
  <c r="CQ159" i="3"/>
  <c r="CK159" i="3"/>
  <c r="CI159" i="3"/>
  <c r="CF159" i="3"/>
  <c r="BP159" i="3"/>
  <c r="BO159" i="3"/>
  <c r="BU159" i="3" s="1"/>
  <c r="BH159" i="3"/>
  <c r="BG159" i="3"/>
  <c r="BJ159" i="3" s="1"/>
  <c r="BF159" i="3"/>
  <c r="AW159" i="3"/>
  <c r="AT159" i="3"/>
  <c r="AN159" i="3"/>
  <c r="AI159" i="3"/>
  <c r="AE159" i="3"/>
  <c r="EM159" i="3" s="1"/>
  <c r="EL159" i="3" s="1"/>
  <c r="AD159" i="3"/>
  <c r="AB159" i="3"/>
  <c r="Z159" i="3"/>
  <c r="W159" i="3"/>
  <c r="T159" i="3"/>
  <c r="EU158" i="3"/>
  <c r="FZ157" i="3"/>
  <c r="FV157" i="3"/>
  <c r="FT157" i="3"/>
  <c r="EY157" i="3"/>
  <c r="EW157" i="3"/>
  <c r="EU157" i="3"/>
  <c r="ES157" i="3"/>
  <c r="EQ157" i="3"/>
  <c r="EO157" i="3"/>
  <c r="EK157" i="3"/>
  <c r="EI157" i="3"/>
  <c r="DS157" i="3"/>
  <c r="DR157" i="3"/>
  <c r="DC157" i="3"/>
  <c r="FI157" i="3" s="1"/>
  <c r="DB157" i="3"/>
  <c r="FG157" i="3" s="1"/>
  <c r="DA157" i="3"/>
  <c r="FE157" i="3" s="1"/>
  <c r="CZ157" i="3"/>
  <c r="FC157" i="3" s="1"/>
  <c r="CY157" i="3"/>
  <c r="FA157" i="3" s="1"/>
  <c r="CH157" i="3"/>
  <c r="CC157" i="3"/>
  <c r="BP157" i="3"/>
  <c r="BO157" i="3"/>
  <c r="BU157" i="3" s="1"/>
  <c r="BG157" i="3"/>
  <c r="AW157" i="3"/>
  <c r="AG157" i="3"/>
  <c r="AE157" i="3"/>
  <c r="W157" i="3"/>
  <c r="O157" i="3"/>
  <c r="FZ156" i="3"/>
  <c r="FV156" i="3"/>
  <c r="FT156" i="3"/>
  <c r="FK156" i="3"/>
  <c r="FI156" i="3"/>
  <c r="FE156" i="3"/>
  <c r="EY156" i="3"/>
  <c r="EW156" i="3"/>
  <c r="EU156" i="3"/>
  <c r="ES156" i="3"/>
  <c r="EQ156" i="3"/>
  <c r="EO156" i="3"/>
  <c r="EK156" i="3"/>
  <c r="EI156" i="3"/>
  <c r="EB156" i="3"/>
  <c r="DV156" i="3"/>
  <c r="GA156" i="3" s="1"/>
  <c r="DT156" i="3"/>
  <c r="FY156" i="3" s="1"/>
  <c r="DS156" i="3"/>
  <c r="FX156" i="3" s="1"/>
  <c r="DR156" i="3"/>
  <c r="DQ156" i="3"/>
  <c r="FW156" i="3" s="1"/>
  <c r="DB156" i="3"/>
  <c r="FG156" i="3" s="1"/>
  <c r="CZ156" i="3"/>
  <c r="FC156" i="3" s="1"/>
  <c r="CY156" i="3"/>
  <c r="FA156" i="3" s="1"/>
  <c r="CH156" i="3"/>
  <c r="CC156" i="3"/>
  <c r="DH156" i="3" s="1"/>
  <c r="FO156" i="3" s="1"/>
  <c r="BO156" i="3"/>
  <c r="BU156" i="3" s="1"/>
  <c r="BJ156" i="3"/>
  <c r="AE156" i="3"/>
  <c r="Y156" i="3"/>
  <c r="BK156" i="3" s="1"/>
  <c r="FZ155" i="3"/>
  <c r="FV155" i="3"/>
  <c r="FT155" i="3"/>
  <c r="EY155" i="3"/>
  <c r="EW155" i="3"/>
  <c r="EU155" i="3"/>
  <c r="ES155" i="3"/>
  <c r="EQ155" i="3"/>
  <c r="EO155" i="3"/>
  <c r="EK155" i="3"/>
  <c r="EI155" i="3"/>
  <c r="DS155" i="3"/>
  <c r="FX155" i="3" s="1"/>
  <c r="DR155" i="3"/>
  <c r="DC155" i="3"/>
  <c r="FI155" i="3" s="1"/>
  <c r="DB155" i="3"/>
  <c r="FG155" i="3" s="1"/>
  <c r="DA155" i="3"/>
  <c r="FE155" i="3" s="1"/>
  <c r="CZ155" i="3"/>
  <c r="FC155" i="3" s="1"/>
  <c r="CY155" i="3"/>
  <c r="FA155" i="3" s="1"/>
  <c r="CH155" i="3"/>
  <c r="CC155" i="3"/>
  <c r="DF155" i="3" s="1"/>
  <c r="BO155" i="3"/>
  <c r="BU155" i="3" s="1"/>
  <c r="BG155" i="3"/>
  <c r="BJ155" i="3" s="1"/>
  <c r="AE155" i="3"/>
  <c r="EM155" i="3" s="1"/>
  <c r="W155" i="3"/>
  <c r="BE155" i="3" s="1"/>
  <c r="O155" i="3"/>
  <c r="FZ154" i="3"/>
  <c r="FV154" i="3"/>
  <c r="FT154" i="3"/>
  <c r="EY154" i="3"/>
  <c r="EW154" i="3"/>
  <c r="EU154" i="3"/>
  <c r="ES154" i="3"/>
  <c r="EQ154" i="3"/>
  <c r="EO154" i="3"/>
  <c r="EK154" i="3"/>
  <c r="EI154" i="3"/>
  <c r="DS154" i="3"/>
  <c r="DR154" i="3"/>
  <c r="DC154" i="3"/>
  <c r="FI154" i="3" s="1"/>
  <c r="DB154" i="3"/>
  <c r="FG154" i="3" s="1"/>
  <c r="DA154" i="3"/>
  <c r="FE154" i="3" s="1"/>
  <c r="CZ154" i="3"/>
  <c r="CY154" i="3"/>
  <c r="FA154" i="3" s="1"/>
  <c r="CH154" i="3"/>
  <c r="CC154" i="3"/>
  <c r="BP154" i="3"/>
  <c r="FX154" i="3" s="1"/>
  <c r="BO154" i="3"/>
  <c r="BU154" i="3" s="1"/>
  <c r="BG154" i="3"/>
  <c r="BJ154" i="3" s="1"/>
  <c r="AW154" i="3"/>
  <c r="AG154" i="3"/>
  <c r="AE154" i="3"/>
  <c r="EM154" i="3" s="1"/>
  <c r="W154" i="3"/>
  <c r="O154" i="3"/>
  <c r="FZ153" i="3"/>
  <c r="FV153" i="3"/>
  <c r="FT153" i="3"/>
  <c r="EY153" i="3"/>
  <c r="EW153" i="3"/>
  <c r="EU153" i="3"/>
  <c r="ES153" i="3"/>
  <c r="EQ153" i="3"/>
  <c r="EO153" i="3"/>
  <c r="EK153" i="3"/>
  <c r="EI153" i="3"/>
  <c r="DS153" i="3"/>
  <c r="DR153" i="3"/>
  <c r="DC153" i="3"/>
  <c r="FI153" i="3" s="1"/>
  <c r="DB153" i="3"/>
  <c r="FG153" i="3" s="1"/>
  <c r="DA153" i="3"/>
  <c r="FE153" i="3" s="1"/>
  <c r="CZ153" i="3"/>
  <c r="FC153" i="3" s="1"/>
  <c r="CY153" i="3"/>
  <c r="FA153" i="3" s="1"/>
  <c r="CH153" i="3"/>
  <c r="CC153" i="3"/>
  <c r="DH153" i="3" s="1"/>
  <c r="DK153" i="3" s="1"/>
  <c r="BP153" i="3"/>
  <c r="BO153" i="3"/>
  <c r="BU153" i="3" s="1"/>
  <c r="BG153" i="3"/>
  <c r="BJ153" i="3" s="1"/>
  <c r="AW153" i="3"/>
  <c r="AG153" i="3"/>
  <c r="AE153" i="3"/>
  <c r="EM153" i="3" s="1"/>
  <c r="W153" i="3"/>
  <c r="O153" i="3"/>
  <c r="FZ152" i="3"/>
  <c r="FV152" i="3"/>
  <c r="FT152" i="3"/>
  <c r="EY152" i="3"/>
  <c r="EW152" i="3"/>
  <c r="EU152" i="3"/>
  <c r="ES152" i="3"/>
  <c r="EQ152" i="3"/>
  <c r="EO152" i="3"/>
  <c r="EK152" i="3"/>
  <c r="EI152" i="3"/>
  <c r="DS152" i="3"/>
  <c r="DR152" i="3"/>
  <c r="DC152" i="3"/>
  <c r="FI152" i="3" s="1"/>
  <c r="DB152" i="3"/>
  <c r="FG152" i="3" s="1"/>
  <c r="DA152" i="3"/>
  <c r="FE152" i="3" s="1"/>
  <c r="CZ152" i="3"/>
  <c r="FC152" i="3" s="1"/>
  <c r="CY152" i="3"/>
  <c r="FA152" i="3" s="1"/>
  <c r="CX152" i="3"/>
  <c r="DV152" i="3" s="1"/>
  <c r="GA152" i="3" s="1"/>
  <c r="CH152" i="3"/>
  <c r="CC152" i="3"/>
  <c r="BP152" i="3"/>
  <c r="BO152" i="3"/>
  <c r="BN152" i="3"/>
  <c r="BU152" i="3" s="1"/>
  <c r="BG152" i="3"/>
  <c r="BJ152" i="3" s="1"/>
  <c r="AW152" i="3"/>
  <c r="AE152" i="3"/>
  <c r="EM152" i="3" s="1"/>
  <c r="W152" i="3"/>
  <c r="FZ151" i="3"/>
  <c r="FV151" i="3"/>
  <c r="FT151" i="3"/>
  <c r="EY151" i="3"/>
  <c r="EW151" i="3"/>
  <c r="EV151" i="3" s="1"/>
  <c r="EU151" i="3"/>
  <c r="ES151" i="3"/>
  <c r="ER151" i="3" s="1"/>
  <c r="EQ151" i="3"/>
  <c r="EO151" i="3"/>
  <c r="EN151" i="3" s="1"/>
  <c r="EK151" i="3"/>
  <c r="EJ151" i="3"/>
  <c r="EI151" i="3"/>
  <c r="EF151" i="3"/>
  <c r="EC151" i="3"/>
  <c r="DS151" i="3"/>
  <c r="DR151" i="3"/>
  <c r="DC151" i="3"/>
  <c r="FI151" i="3" s="1"/>
  <c r="DB151" i="3"/>
  <c r="FG151" i="3" s="1"/>
  <c r="DA151" i="3"/>
  <c r="FE151" i="3" s="1"/>
  <c r="CZ151" i="3"/>
  <c r="FC151" i="3" s="1"/>
  <c r="CY151" i="3"/>
  <c r="FA151" i="3" s="1"/>
  <c r="CQ151" i="3"/>
  <c r="CK151" i="3"/>
  <c r="CI151" i="3"/>
  <c r="CH151" i="3"/>
  <c r="CE151" i="3"/>
  <c r="CC151" i="3"/>
  <c r="BP151" i="3"/>
  <c r="FX151" i="3" s="1"/>
  <c r="BO151" i="3"/>
  <c r="BH151" i="3"/>
  <c r="BG151" i="3"/>
  <c r="BJ151" i="3" s="1"/>
  <c r="AW151" i="3"/>
  <c r="AT151" i="3"/>
  <c r="AR151" i="3"/>
  <c r="AP151" i="3"/>
  <c r="AN151" i="3"/>
  <c r="AI151" i="3"/>
  <c r="AB151" i="3"/>
  <c r="Z151" i="3"/>
  <c r="W151" i="3"/>
  <c r="V151" i="3" s="1"/>
  <c r="T151" i="3"/>
  <c r="O151" i="3"/>
  <c r="EU150" i="3"/>
  <c r="FZ149" i="3"/>
  <c r="FV149" i="3"/>
  <c r="FT149" i="3"/>
  <c r="EY149" i="3"/>
  <c r="EX149" i="3"/>
  <c r="EW149" i="3"/>
  <c r="EV149" i="3"/>
  <c r="EU149" i="3"/>
  <c r="ET149" i="3"/>
  <c r="ES149" i="3"/>
  <c r="ER149" i="3"/>
  <c r="EQ149" i="3"/>
  <c r="EP149" i="3"/>
  <c r="EO149" i="3"/>
  <c r="EN149" i="3"/>
  <c r="EK149" i="3"/>
  <c r="EJ149" i="3"/>
  <c r="EF149" i="3"/>
  <c r="EC149" i="3"/>
  <c r="DS149" i="3"/>
  <c r="DR149" i="3"/>
  <c r="FU149" i="3" s="1"/>
  <c r="DC149" i="3"/>
  <c r="FI149" i="3" s="1"/>
  <c r="FH149" i="3" s="1"/>
  <c r="DB149" i="3"/>
  <c r="FG149" i="3" s="1"/>
  <c r="FF149" i="3" s="1"/>
  <c r="DA149" i="3"/>
  <c r="FE149" i="3" s="1"/>
  <c r="FD149" i="3" s="1"/>
  <c r="CZ149" i="3"/>
  <c r="FC149" i="3" s="1"/>
  <c r="FB149" i="3" s="1"/>
  <c r="CY149" i="3"/>
  <c r="FA149" i="3" s="1"/>
  <c r="EZ149" i="3" s="1"/>
  <c r="CQ149" i="3"/>
  <c r="CK149" i="3"/>
  <c r="CI149" i="3"/>
  <c r="CH149" i="3"/>
  <c r="CG149" i="3" s="1"/>
  <c r="CE149" i="3"/>
  <c r="CC149" i="3"/>
  <c r="DF149" i="3" s="1"/>
  <c r="BP149" i="3"/>
  <c r="BU149" i="3" s="1"/>
  <c r="BT149" i="3" s="1"/>
  <c r="BH149" i="3"/>
  <c r="BG149" i="3"/>
  <c r="BJ149" i="3" s="1"/>
  <c r="BF149" i="3"/>
  <c r="AW149" i="3"/>
  <c r="AV149" i="3" s="1"/>
  <c r="AT149" i="3"/>
  <c r="AR149" i="3"/>
  <c r="AP149" i="3"/>
  <c r="AN149" i="3"/>
  <c r="AI149" i="3"/>
  <c r="AE149" i="3"/>
  <c r="Z149" i="3"/>
  <c r="W149" i="3"/>
  <c r="V149" i="3"/>
  <c r="T149" i="3"/>
  <c r="EU148" i="3"/>
  <c r="FZ147" i="3"/>
  <c r="FV147" i="3"/>
  <c r="FT147" i="3"/>
  <c r="FI147" i="3"/>
  <c r="FG147" i="3"/>
  <c r="FE147" i="3"/>
  <c r="FC147" i="3"/>
  <c r="FA147" i="3"/>
  <c r="EY147" i="3"/>
  <c r="EW147" i="3"/>
  <c r="EU147" i="3"/>
  <c r="ES147" i="3"/>
  <c r="EQ147" i="3"/>
  <c r="EO147" i="3"/>
  <c r="EK147" i="3"/>
  <c r="EI147" i="3"/>
  <c r="DS147" i="3"/>
  <c r="DR147" i="3"/>
  <c r="CX147" i="3"/>
  <c r="DV147" i="3" s="1"/>
  <c r="CN147" i="3"/>
  <c r="DQ147" i="3" s="1"/>
  <c r="CH147" i="3"/>
  <c r="CC147" i="3"/>
  <c r="BS147" i="3"/>
  <c r="BQ147" i="3"/>
  <c r="BP147" i="3"/>
  <c r="BO147" i="3"/>
  <c r="BG147" i="3"/>
  <c r="BI147" i="3" s="1"/>
  <c r="BH145" i="3" s="1"/>
  <c r="AW147" i="3"/>
  <c r="FK147" i="3" s="1"/>
  <c r="AF147" i="3"/>
  <c r="AE147" i="3"/>
  <c r="W147" i="3"/>
  <c r="O147" i="3"/>
  <c r="FZ146" i="3"/>
  <c r="FV146" i="3"/>
  <c r="FT146" i="3"/>
  <c r="EY146" i="3"/>
  <c r="EW146" i="3"/>
  <c r="EU146" i="3"/>
  <c r="ES146" i="3"/>
  <c r="EQ146" i="3"/>
  <c r="EO146" i="3"/>
  <c r="EK146" i="3"/>
  <c r="EI146" i="3"/>
  <c r="DS146" i="3"/>
  <c r="DR146" i="3"/>
  <c r="DC146" i="3"/>
  <c r="FI146" i="3" s="1"/>
  <c r="DB146" i="3"/>
  <c r="FG146" i="3" s="1"/>
  <c r="DA146" i="3"/>
  <c r="FE146" i="3" s="1"/>
  <c r="CZ146" i="3"/>
  <c r="FC146" i="3" s="1"/>
  <c r="CY146" i="3"/>
  <c r="FA146" i="3" s="1"/>
  <c r="CX146" i="3"/>
  <c r="DV146" i="3" s="1"/>
  <c r="GA146" i="3" s="1"/>
  <c r="CF146" i="3"/>
  <c r="CC146" i="3"/>
  <c r="DH146" i="3" s="1"/>
  <c r="BQ146" i="3"/>
  <c r="BP146" i="3"/>
  <c r="BO146" i="3"/>
  <c r="BU146" i="3" s="1"/>
  <c r="BG146" i="3"/>
  <c r="BJ146" i="3" s="1"/>
  <c r="AW146" i="3"/>
  <c r="AG146" i="3"/>
  <c r="AE146" i="3"/>
  <c r="W146" i="3"/>
  <c r="FZ145" i="3"/>
  <c r="FV145" i="3"/>
  <c r="FT145" i="3"/>
  <c r="EY145" i="3"/>
  <c r="EX145" i="3"/>
  <c r="EW145" i="3"/>
  <c r="EV145" i="3"/>
  <c r="EU145" i="3"/>
  <c r="ES145" i="3"/>
  <c r="ER145" i="3"/>
  <c r="EQ145" i="3"/>
  <c r="EP145" i="3"/>
  <c r="EO145" i="3"/>
  <c r="EN145" i="3"/>
  <c r="EK145" i="3"/>
  <c r="EJ145" i="3"/>
  <c r="EI145" i="3"/>
  <c r="EH145" i="3"/>
  <c r="EF145" i="3"/>
  <c r="EC145" i="3"/>
  <c r="DS145" i="3"/>
  <c r="DR145" i="3"/>
  <c r="DC145" i="3"/>
  <c r="FI145" i="3" s="1"/>
  <c r="FH145" i="3" s="1"/>
  <c r="DB145" i="3"/>
  <c r="FG145" i="3" s="1"/>
  <c r="FF145" i="3" s="1"/>
  <c r="DA145" i="3"/>
  <c r="FE145" i="3" s="1"/>
  <c r="FD145" i="3" s="1"/>
  <c r="CZ145" i="3"/>
  <c r="FC145" i="3" s="1"/>
  <c r="CY145" i="3"/>
  <c r="FA145" i="3" s="1"/>
  <c r="EZ145" i="3" s="1"/>
  <c r="CQ145" i="3"/>
  <c r="CK145" i="3"/>
  <c r="CI145" i="3"/>
  <c r="CH145" i="3"/>
  <c r="CE145" i="3"/>
  <c r="CC145" i="3"/>
  <c r="BQ145" i="3"/>
  <c r="BP145" i="3"/>
  <c r="BO145" i="3"/>
  <c r="BU145" i="3" s="1"/>
  <c r="BG145" i="3"/>
  <c r="BJ145" i="3" s="1"/>
  <c r="AW145" i="3"/>
  <c r="AT145" i="3"/>
  <c r="AR145" i="3"/>
  <c r="AP145" i="3"/>
  <c r="AN145" i="3"/>
  <c r="AI145" i="3"/>
  <c r="AE145" i="3"/>
  <c r="EM145" i="3" s="1"/>
  <c r="AB145" i="3"/>
  <c r="Z145" i="3"/>
  <c r="W145" i="3"/>
  <c r="V145" i="3"/>
  <c r="T145" i="3"/>
  <c r="EU144" i="3"/>
  <c r="FZ143" i="3"/>
  <c r="FV143" i="3"/>
  <c r="FT143" i="3"/>
  <c r="EY143" i="3"/>
  <c r="EW143" i="3"/>
  <c r="EU143" i="3"/>
  <c r="ES143" i="3"/>
  <c r="EQ143" i="3"/>
  <c r="EO143" i="3"/>
  <c r="EK143" i="3"/>
  <c r="EI143" i="3"/>
  <c r="DS143" i="3"/>
  <c r="DR143" i="3"/>
  <c r="DC143" i="3"/>
  <c r="FI143" i="3" s="1"/>
  <c r="DB143" i="3"/>
  <c r="FG143" i="3" s="1"/>
  <c r="DA143" i="3"/>
  <c r="FE143" i="3" s="1"/>
  <c r="CZ143" i="3"/>
  <c r="FC143" i="3" s="1"/>
  <c r="CY143" i="3"/>
  <c r="FA143" i="3" s="1"/>
  <c r="CF143" i="3"/>
  <c r="CC143" i="3"/>
  <c r="BP143" i="3"/>
  <c r="BO143" i="3"/>
  <c r="BU143" i="3" s="1"/>
  <c r="BG143" i="3"/>
  <c r="BJ143" i="3" s="1"/>
  <c r="AW143" i="3"/>
  <c r="AE143" i="3"/>
  <c r="EM143" i="3" s="1"/>
  <c r="W143" i="3"/>
  <c r="BE143" i="3" s="1"/>
  <c r="O143" i="3"/>
  <c r="FZ142" i="3"/>
  <c r="FV142" i="3"/>
  <c r="FT142" i="3"/>
  <c r="EY142" i="3"/>
  <c r="EW142" i="3"/>
  <c r="EU142" i="3"/>
  <c r="ES142" i="3"/>
  <c r="EQ142" i="3"/>
  <c r="EO142" i="3"/>
  <c r="EK142" i="3"/>
  <c r="EI142" i="3"/>
  <c r="DS142" i="3"/>
  <c r="DR142" i="3"/>
  <c r="DC142" i="3"/>
  <c r="FI142" i="3" s="1"/>
  <c r="DB142" i="3"/>
  <c r="FG142" i="3" s="1"/>
  <c r="DA142" i="3"/>
  <c r="FE142" i="3" s="1"/>
  <c r="CZ142" i="3"/>
  <c r="CY142" i="3"/>
  <c r="FA142" i="3" s="1"/>
  <c r="CF142" i="3"/>
  <c r="CC142" i="3"/>
  <c r="BP142" i="3"/>
  <c r="BO142" i="3"/>
  <c r="BG142" i="3"/>
  <c r="BJ142" i="3" s="1"/>
  <c r="AW142" i="3"/>
  <c r="W142" i="3"/>
  <c r="O142" i="3"/>
  <c r="FZ141" i="3"/>
  <c r="FV141" i="3"/>
  <c r="FT141" i="3"/>
  <c r="EY141" i="3"/>
  <c r="EW141" i="3"/>
  <c r="EU141" i="3"/>
  <c r="ET141" i="3" s="1"/>
  <c r="ES141" i="3"/>
  <c r="ER141" i="3"/>
  <c r="EQ141" i="3"/>
  <c r="EP141" i="3" s="1"/>
  <c r="EO141" i="3"/>
  <c r="EK141" i="3"/>
  <c r="EJ141" i="3"/>
  <c r="EI141" i="3"/>
  <c r="EH141" i="3"/>
  <c r="EF141" i="3"/>
  <c r="EC141" i="3"/>
  <c r="DS141" i="3"/>
  <c r="DR141" i="3"/>
  <c r="DC141" i="3"/>
  <c r="FI141" i="3" s="1"/>
  <c r="FH141" i="3" s="1"/>
  <c r="DB141" i="3"/>
  <c r="FG141" i="3" s="1"/>
  <c r="FF141" i="3" s="1"/>
  <c r="DA141" i="3"/>
  <c r="FE141" i="3" s="1"/>
  <c r="CZ141" i="3"/>
  <c r="FC141" i="3" s="1"/>
  <c r="CY141" i="3"/>
  <c r="FA141" i="3" s="1"/>
  <c r="CQ141" i="3"/>
  <c r="CK141" i="3"/>
  <c r="CI141" i="3"/>
  <c r="CF141" i="3"/>
  <c r="CC141" i="3"/>
  <c r="DF141" i="3" s="1"/>
  <c r="BP141" i="3"/>
  <c r="BO141" i="3"/>
  <c r="BH141" i="3"/>
  <c r="BG141" i="3"/>
  <c r="AW141" i="3"/>
  <c r="AT141" i="3"/>
  <c r="AR141" i="3"/>
  <c r="AP141" i="3"/>
  <c r="AN141" i="3"/>
  <c r="AI141" i="3"/>
  <c r="AG141" i="3"/>
  <c r="AE141" i="3"/>
  <c r="EM141" i="3" s="1"/>
  <c r="AB141" i="3"/>
  <c r="Z141" i="3"/>
  <c r="W141" i="3"/>
  <c r="T141" i="3"/>
  <c r="O141" i="3"/>
  <c r="EU140" i="3"/>
  <c r="FZ139" i="3"/>
  <c r="FV139" i="3"/>
  <c r="FT139" i="3"/>
  <c r="FI139" i="3"/>
  <c r="FG139" i="3"/>
  <c r="FE139" i="3"/>
  <c r="FC139" i="3"/>
  <c r="FA139" i="3"/>
  <c r="EY139" i="3"/>
  <c r="EW139" i="3"/>
  <c r="EU139" i="3"/>
  <c r="ES139" i="3"/>
  <c r="EQ139" i="3"/>
  <c r="EO139" i="3"/>
  <c r="EK139" i="3"/>
  <c r="EI139" i="3"/>
  <c r="DV139" i="3"/>
  <c r="GA139" i="3" s="1"/>
  <c r="DT139" i="3"/>
  <c r="FY139" i="3" s="1"/>
  <c r="DS139" i="3"/>
  <c r="DR139" i="3"/>
  <c r="CF139" i="3"/>
  <c r="CC139" i="3"/>
  <c r="DF139" i="3" s="1"/>
  <c r="BP139" i="3"/>
  <c r="FX139" i="3" s="1"/>
  <c r="BO139" i="3"/>
  <c r="BJ139" i="3"/>
  <c r="AW139" i="3"/>
  <c r="FK139" i="3" s="1"/>
  <c r="W139" i="3"/>
  <c r="O139" i="3"/>
  <c r="AG139" i="3" s="1"/>
  <c r="AE139" i="3" s="1"/>
  <c r="FZ138" i="3"/>
  <c r="FV138" i="3"/>
  <c r="FT138" i="3"/>
  <c r="FI138" i="3"/>
  <c r="FG138" i="3"/>
  <c r="FE138" i="3"/>
  <c r="FC138" i="3"/>
  <c r="FA138" i="3"/>
  <c r="EY138" i="3"/>
  <c r="EW138" i="3"/>
  <c r="EU138" i="3"/>
  <c r="ES138" i="3"/>
  <c r="EQ138" i="3"/>
  <c r="EO138" i="3"/>
  <c r="EK138" i="3"/>
  <c r="EI138" i="3"/>
  <c r="DV138" i="3"/>
  <c r="GA138" i="3" s="1"/>
  <c r="DT138" i="3"/>
  <c r="FY138" i="3" s="1"/>
  <c r="DS138" i="3"/>
  <c r="DR138" i="3"/>
  <c r="CF138" i="3"/>
  <c r="CC138" i="3"/>
  <c r="DH138" i="3" s="1"/>
  <c r="BP138" i="3"/>
  <c r="FX138" i="3" s="1"/>
  <c r="BO138" i="3"/>
  <c r="BJ138" i="3"/>
  <c r="AW138" i="3"/>
  <c r="FK138" i="3" s="1"/>
  <c r="W138" i="3"/>
  <c r="O138" i="3"/>
  <c r="AG138" i="3" s="1"/>
  <c r="AE138" i="3" s="1"/>
  <c r="FZ137" i="3"/>
  <c r="FV137" i="3"/>
  <c r="FT137" i="3"/>
  <c r="EY137" i="3"/>
  <c r="EX137" i="3"/>
  <c r="EW137" i="3"/>
  <c r="EV137" i="3" s="1"/>
  <c r="EU137" i="3"/>
  <c r="ET137" i="3"/>
  <c r="ES137" i="3"/>
  <c r="EQ137" i="3"/>
  <c r="EP137" i="3"/>
  <c r="EO137" i="3"/>
  <c r="EN137" i="3" s="1"/>
  <c r="EI137" i="3"/>
  <c r="EF137" i="3"/>
  <c r="EC137" i="3"/>
  <c r="DS137" i="3"/>
  <c r="DR137" i="3"/>
  <c r="DC137" i="3"/>
  <c r="FI137" i="3" s="1"/>
  <c r="DB137" i="3"/>
  <c r="FG137" i="3" s="1"/>
  <c r="FF137" i="3" s="1"/>
  <c r="DA137" i="3"/>
  <c r="CZ137" i="3"/>
  <c r="FC137" i="3" s="1"/>
  <c r="FB137" i="3" s="1"/>
  <c r="CY137" i="3"/>
  <c r="FA137" i="3" s="1"/>
  <c r="EZ137" i="3" s="1"/>
  <c r="CQ137" i="3"/>
  <c r="CK137" i="3"/>
  <c r="CF137" i="3"/>
  <c r="CE137" i="3"/>
  <c r="CC137" i="3"/>
  <c r="DH137" i="3" s="1"/>
  <c r="BP137" i="3"/>
  <c r="BO137" i="3"/>
  <c r="BU137" i="3" s="1"/>
  <c r="BH137" i="3"/>
  <c r="BG137" i="3"/>
  <c r="AW137" i="3"/>
  <c r="AV137" i="3" s="1"/>
  <c r="AT137" i="3"/>
  <c r="AR137" i="3"/>
  <c r="AP137" i="3"/>
  <c r="AN137" i="3"/>
  <c r="AI137" i="3"/>
  <c r="AE137" i="3"/>
  <c r="EM137" i="3" s="1"/>
  <c r="AB137" i="3"/>
  <c r="AA137" i="3"/>
  <c r="W137" i="3"/>
  <c r="V137" i="3"/>
  <c r="EA137" i="3" s="1"/>
  <c r="T137" i="3"/>
  <c r="EU136" i="3"/>
  <c r="FZ135" i="3"/>
  <c r="FY135" i="3"/>
  <c r="FT135" i="3"/>
  <c r="EY135" i="3"/>
  <c r="EX135" i="3" s="1"/>
  <c r="EW135" i="3"/>
  <c r="EV135" i="3" s="1"/>
  <c r="EU135" i="3"/>
  <c r="ET135" i="3" s="1"/>
  <c r="ES135" i="3"/>
  <c r="ER135" i="3" s="1"/>
  <c r="EQ135" i="3"/>
  <c r="EP135" i="3" s="1"/>
  <c r="EO135" i="3"/>
  <c r="EN135" i="3"/>
  <c r="EM135" i="3"/>
  <c r="EL135" i="3" s="1"/>
  <c r="EK135" i="3"/>
  <c r="EJ135" i="3"/>
  <c r="EI135" i="3"/>
  <c r="EH135" i="3" s="1"/>
  <c r="EF135" i="3"/>
  <c r="EC135" i="3"/>
  <c r="DS135" i="3"/>
  <c r="FX135" i="3" s="1"/>
  <c r="DR135" i="3"/>
  <c r="FU135" i="3" s="1"/>
  <c r="DC135" i="3"/>
  <c r="FI135" i="3" s="1"/>
  <c r="FH135" i="3" s="1"/>
  <c r="DB135" i="3"/>
  <c r="FG135" i="3" s="1"/>
  <c r="FF135" i="3" s="1"/>
  <c r="DA135" i="3"/>
  <c r="FE135" i="3" s="1"/>
  <c r="FD135" i="3" s="1"/>
  <c r="CZ135" i="3"/>
  <c r="FC135" i="3" s="1"/>
  <c r="FB135" i="3" s="1"/>
  <c r="CY135" i="3"/>
  <c r="FA135" i="3" s="1"/>
  <c r="EZ135" i="3" s="1"/>
  <c r="CQ135" i="3"/>
  <c r="CK135" i="3"/>
  <c r="CI135" i="3"/>
  <c r="CF135" i="3"/>
  <c r="CH135" i="3" s="1"/>
  <c r="CG135" i="3" s="1"/>
  <c r="CE135" i="3"/>
  <c r="CC135" i="3"/>
  <c r="DF135" i="3" s="1"/>
  <c r="DE135" i="3" s="1"/>
  <c r="BU135" i="3"/>
  <c r="BT135" i="3" s="1"/>
  <c r="BJ135" i="3"/>
  <c r="BI135" i="3"/>
  <c r="BH135" i="3" s="1"/>
  <c r="BF135" i="3"/>
  <c r="AW135" i="3"/>
  <c r="AV135" i="3"/>
  <c r="AT135" i="3"/>
  <c r="AR135" i="3"/>
  <c r="AP135" i="3"/>
  <c r="AN135" i="3"/>
  <c r="AI135" i="3"/>
  <c r="AF135" i="3"/>
  <c r="AD135" i="3"/>
  <c r="AB135" i="3"/>
  <c r="Z135" i="3"/>
  <c r="W135" i="3"/>
  <c r="V135" i="3"/>
  <c r="U135" i="3"/>
  <c r="T135" i="3"/>
  <c r="DZ135" i="3" s="1"/>
  <c r="EU134" i="3"/>
  <c r="FV133" i="3"/>
  <c r="FT133" i="3"/>
  <c r="FI133" i="3"/>
  <c r="FG133" i="3"/>
  <c r="FE133" i="3"/>
  <c r="FC133" i="3"/>
  <c r="FA133" i="3"/>
  <c r="EY133" i="3"/>
  <c r="EW133" i="3"/>
  <c r="ES133" i="3"/>
  <c r="EQ133" i="3"/>
  <c r="EO133" i="3"/>
  <c r="EI133" i="3"/>
  <c r="DS133" i="3"/>
  <c r="DR133" i="3"/>
  <c r="CX133" i="3"/>
  <c r="DT133" i="3" s="1"/>
  <c r="CF133" i="3"/>
  <c r="CC133" i="3" s="1"/>
  <c r="BS133" i="3"/>
  <c r="BR133" i="3"/>
  <c r="FZ133" i="3" s="1"/>
  <c r="BQ133" i="3"/>
  <c r="FY133" i="3" s="1"/>
  <c r="BP133" i="3"/>
  <c r="BO133" i="3"/>
  <c r="BG133" i="3"/>
  <c r="BI133" i="3" s="1"/>
  <c r="AW133" i="3"/>
  <c r="FK133" i="3" s="1"/>
  <c r="W133" i="3"/>
  <c r="O133" i="3"/>
  <c r="AG133" i="3" s="1"/>
  <c r="FV132" i="3"/>
  <c r="FT132" i="3"/>
  <c r="FI132" i="3"/>
  <c r="FH132" i="3" s="1"/>
  <c r="FG132" i="3"/>
  <c r="FF132" i="3"/>
  <c r="FE132" i="3"/>
  <c r="FD132" i="3" s="1"/>
  <c r="FC132" i="3"/>
  <c r="FB132" i="3"/>
  <c r="FA132" i="3"/>
  <c r="EZ132" i="3" s="1"/>
  <c r="EY132" i="3"/>
  <c r="EX132" i="3"/>
  <c r="EW132" i="3"/>
  <c r="EV132" i="3" s="1"/>
  <c r="EU132" i="3"/>
  <c r="ES132" i="3"/>
  <c r="ER132" i="3" s="1"/>
  <c r="EQ132" i="3"/>
  <c r="EP132" i="3" s="1"/>
  <c r="EO132" i="3"/>
  <c r="EN132" i="3" s="1"/>
  <c r="EI132" i="3"/>
  <c r="EH132" i="3"/>
  <c r="EF132" i="3"/>
  <c r="EC132" i="3"/>
  <c r="DS132" i="3"/>
  <c r="DR132" i="3"/>
  <c r="CX132" i="3"/>
  <c r="DT132" i="3" s="1"/>
  <c r="CQ132" i="3"/>
  <c r="CM132" i="3"/>
  <c r="CK132" i="3"/>
  <c r="CF132" i="3"/>
  <c r="CE132" i="3" s="1"/>
  <c r="BS132" i="3"/>
  <c r="BR132" i="3"/>
  <c r="FZ132" i="3" s="1"/>
  <c r="BQ132" i="3"/>
  <c r="BP132" i="3"/>
  <c r="BO132" i="3"/>
  <c r="BG132" i="3"/>
  <c r="BI132" i="3" s="1"/>
  <c r="BH132" i="3" s="1"/>
  <c r="BF132" i="3"/>
  <c r="AW132" i="3"/>
  <c r="AV132" i="3" s="1"/>
  <c r="AT132" i="3"/>
  <c r="AR132" i="3"/>
  <c r="AN132" i="3"/>
  <c r="AI132" i="3"/>
  <c r="AE132" i="3"/>
  <c r="AB132" i="3"/>
  <c r="Z132" i="3"/>
  <c r="W132" i="3"/>
  <c r="T132" i="3"/>
  <c r="O132" i="3"/>
  <c r="EU131" i="3"/>
  <c r="FZ130" i="3"/>
  <c r="FV130" i="3"/>
  <c r="FT130" i="3"/>
  <c r="EY130" i="3"/>
  <c r="EW130" i="3"/>
  <c r="EU130" i="3"/>
  <c r="ES130" i="3"/>
  <c r="EQ130" i="3"/>
  <c r="EO130" i="3"/>
  <c r="EK130" i="3"/>
  <c r="DS130" i="3"/>
  <c r="DC130" i="3"/>
  <c r="FI130" i="3" s="1"/>
  <c r="DB130" i="3"/>
  <c r="FG130" i="3" s="1"/>
  <c r="DA130" i="3"/>
  <c r="FE130" i="3" s="1"/>
  <c r="CZ130" i="3"/>
  <c r="FC130" i="3" s="1"/>
  <c r="CY130" i="3"/>
  <c r="CF130" i="3"/>
  <c r="BP130" i="3"/>
  <c r="BO130" i="3"/>
  <c r="FU130" i="3" s="1"/>
  <c r="BG130" i="3"/>
  <c r="BJ130" i="3" s="1"/>
  <c r="AW130" i="3"/>
  <c r="AG130" i="3"/>
  <c r="AE130" i="3" s="1"/>
  <c r="EM130" i="3" s="1"/>
  <c r="W130" i="3"/>
  <c r="BE130" i="3" s="1"/>
  <c r="FV129" i="3"/>
  <c r="FT129" i="3"/>
  <c r="FI129" i="3"/>
  <c r="FG129" i="3"/>
  <c r="FF129" i="3"/>
  <c r="FE129" i="3"/>
  <c r="FD129" i="3" s="1"/>
  <c r="FC129" i="3"/>
  <c r="FB129" i="3" s="1"/>
  <c r="FA129" i="3"/>
  <c r="EY129" i="3"/>
  <c r="EX129" i="3" s="1"/>
  <c r="EW129" i="3"/>
  <c r="EV129" i="3" s="1"/>
  <c r="EU129" i="3"/>
  <c r="ET129" i="3"/>
  <c r="ES129" i="3"/>
  <c r="ER129" i="3" s="1"/>
  <c r="EQ129" i="3"/>
  <c r="EO129" i="3"/>
  <c r="EN129" i="3" s="1"/>
  <c r="EK129" i="3"/>
  <c r="EJ129" i="3" s="1"/>
  <c r="EI129" i="3"/>
  <c r="EF129" i="3"/>
  <c r="EC129" i="3"/>
  <c r="DS129" i="3"/>
  <c r="DR129" i="3"/>
  <c r="CX129" i="3"/>
  <c r="CQ129" i="3"/>
  <c r="CI129" i="3"/>
  <c r="CF129" i="3"/>
  <c r="BS129" i="3"/>
  <c r="BR129" i="3"/>
  <c r="FZ129" i="3" s="1"/>
  <c r="BQ129" i="3"/>
  <c r="BP129" i="3"/>
  <c r="BO129" i="3"/>
  <c r="BG129" i="3"/>
  <c r="AW129" i="3"/>
  <c r="AT129" i="3"/>
  <c r="AR129" i="3"/>
  <c r="AP129" i="3"/>
  <c r="AN129" i="3"/>
  <c r="AI129" i="3"/>
  <c r="AG129" i="3"/>
  <c r="AF129" i="3"/>
  <c r="AE129" i="3"/>
  <c r="EM129" i="3" s="1"/>
  <c r="EL129" i="3" s="1"/>
  <c r="AB129" i="3"/>
  <c r="Z129" i="3"/>
  <c r="W129" i="3"/>
  <c r="T129" i="3"/>
  <c r="O129" i="3"/>
  <c r="EU128" i="3"/>
  <c r="FZ127" i="3"/>
  <c r="FV127" i="3"/>
  <c r="FT127" i="3"/>
  <c r="EY127" i="3"/>
  <c r="EW127" i="3"/>
  <c r="EU127" i="3"/>
  <c r="ES127" i="3"/>
  <c r="EQ127" i="3"/>
  <c r="EO127" i="3"/>
  <c r="EK127" i="3"/>
  <c r="EI127" i="3"/>
  <c r="DS127" i="3"/>
  <c r="FX127" i="3" s="1"/>
  <c r="DR127" i="3"/>
  <c r="FU127" i="3" s="1"/>
  <c r="DC127" i="3"/>
  <c r="FI127" i="3" s="1"/>
  <c r="DB127" i="3"/>
  <c r="FG127" i="3" s="1"/>
  <c r="DA127" i="3"/>
  <c r="FE127" i="3" s="1"/>
  <c r="CZ127" i="3"/>
  <c r="FC127" i="3" s="1"/>
  <c r="CY127" i="3"/>
  <c r="FA127" i="3" s="1"/>
  <c r="CF127" i="3"/>
  <c r="CC127" i="3"/>
  <c r="DH127" i="3" s="1"/>
  <c r="DK127" i="3" s="1"/>
  <c r="BG127" i="3"/>
  <c r="BJ127" i="3" s="1"/>
  <c r="AE127" i="3"/>
  <c r="EM127" i="3" s="1"/>
  <c r="W127" i="3"/>
  <c r="FZ126" i="3"/>
  <c r="FV126" i="3"/>
  <c r="FT126" i="3"/>
  <c r="EY126" i="3"/>
  <c r="EX126" i="3" s="1"/>
  <c r="EW126" i="3"/>
  <c r="EV126" i="3"/>
  <c r="EU126" i="3"/>
  <c r="ET126" i="3" s="1"/>
  <c r="ES126" i="3"/>
  <c r="ER126" i="3"/>
  <c r="EQ126" i="3"/>
  <c r="EP126" i="3" s="1"/>
  <c r="EO126" i="3"/>
  <c r="EN126" i="3"/>
  <c r="EK126" i="3"/>
  <c r="EJ126" i="3"/>
  <c r="EI126" i="3"/>
  <c r="EH126" i="3" s="1"/>
  <c r="EF126" i="3"/>
  <c r="EC126" i="3"/>
  <c r="DS126" i="3"/>
  <c r="DR126" i="3"/>
  <c r="DC126" i="3"/>
  <c r="FI126" i="3" s="1"/>
  <c r="DB126" i="3"/>
  <c r="FG126" i="3" s="1"/>
  <c r="FF126" i="3" s="1"/>
  <c r="DA126" i="3"/>
  <c r="FE126" i="3" s="1"/>
  <c r="FD126" i="3" s="1"/>
  <c r="CZ126" i="3"/>
  <c r="FC126" i="3" s="1"/>
  <c r="FB126" i="3" s="1"/>
  <c r="CY126" i="3"/>
  <c r="FA126" i="3" s="1"/>
  <c r="CQ126" i="3"/>
  <c r="CK126" i="3"/>
  <c r="CI126" i="3"/>
  <c r="CF126" i="3"/>
  <c r="CH126" i="3" s="1"/>
  <c r="CC126" i="3"/>
  <c r="DF126" i="3" s="1"/>
  <c r="BP126" i="3"/>
  <c r="BO126" i="3"/>
  <c r="BU126" i="3" s="1"/>
  <c r="BT126" i="3" s="1"/>
  <c r="BH126" i="3"/>
  <c r="BG126" i="3"/>
  <c r="AW126" i="3"/>
  <c r="AV126" i="3" s="1"/>
  <c r="AT126" i="3"/>
  <c r="AR126" i="3"/>
  <c r="AP126" i="3"/>
  <c r="AN126" i="3"/>
  <c r="AI126" i="3"/>
  <c r="AB126" i="3"/>
  <c r="Z126" i="3"/>
  <c r="W126" i="3"/>
  <c r="V126" i="3"/>
  <c r="T126" i="3"/>
  <c r="O126" i="3"/>
  <c r="AG126" i="3" s="1"/>
  <c r="AE126" i="3" s="1"/>
  <c r="EU125" i="3"/>
  <c r="FZ124" i="3"/>
  <c r="FY124" i="3"/>
  <c r="FV124" i="3"/>
  <c r="FT124" i="3"/>
  <c r="EY124" i="3"/>
  <c r="EX124" i="3"/>
  <c r="EW124" i="3"/>
  <c r="EV124" i="3" s="1"/>
  <c r="EU124" i="3"/>
  <c r="ET124" i="3" s="1"/>
  <c r="ES124" i="3"/>
  <c r="ER124" i="3" s="1"/>
  <c r="EQ124" i="3"/>
  <c r="EP124" i="3" s="1"/>
  <c r="EO124" i="3"/>
  <c r="EN124" i="3" s="1"/>
  <c r="EK124" i="3"/>
  <c r="EJ124" i="3" s="1"/>
  <c r="EF124" i="3"/>
  <c r="EC124" i="3"/>
  <c r="DS124" i="3"/>
  <c r="DR124" i="3"/>
  <c r="DC124" i="3"/>
  <c r="FI124" i="3" s="1"/>
  <c r="FH124" i="3" s="1"/>
  <c r="DB124" i="3"/>
  <c r="FG124" i="3" s="1"/>
  <c r="FF124" i="3" s="1"/>
  <c r="DA124" i="3"/>
  <c r="FE124" i="3" s="1"/>
  <c r="FD124" i="3" s="1"/>
  <c r="CQ124" i="3"/>
  <c r="CK124" i="3"/>
  <c r="CI124" i="3"/>
  <c r="CF124" i="3"/>
  <c r="CE124" i="3" s="1"/>
  <c r="BP124" i="3"/>
  <c r="BH124" i="3"/>
  <c r="BG124" i="3"/>
  <c r="BJ124" i="3" s="1"/>
  <c r="BF124" i="3"/>
  <c r="AT124" i="3"/>
  <c r="AR124" i="3"/>
  <c r="AP124" i="3"/>
  <c r="AN124" i="3"/>
  <c r="AI124" i="3"/>
  <c r="AE124" i="3"/>
  <c r="AD124" i="3" s="1"/>
  <c r="Z124" i="3"/>
  <c r="W124" i="3"/>
  <c r="T124" i="3"/>
  <c r="DZ124" i="3" s="1"/>
  <c r="EU123" i="3"/>
  <c r="FZ122" i="3"/>
  <c r="FT122" i="3"/>
  <c r="FK122" i="3"/>
  <c r="FI122" i="3"/>
  <c r="FG122" i="3"/>
  <c r="FE122" i="3"/>
  <c r="FC122" i="3"/>
  <c r="FA122" i="3"/>
  <c r="EY122" i="3"/>
  <c r="EW122" i="3"/>
  <c r="EU122" i="3"/>
  <c r="ES122" i="3"/>
  <c r="EQ122" i="3"/>
  <c r="EO122" i="3"/>
  <c r="EM122" i="3"/>
  <c r="EK122" i="3"/>
  <c r="EI122" i="3"/>
  <c r="DV122" i="3"/>
  <c r="DS122" i="3"/>
  <c r="DR122" i="3"/>
  <c r="CF122" i="3"/>
  <c r="CC122" i="3"/>
  <c r="DH122" i="3" s="1"/>
  <c r="DJ122" i="3" s="1"/>
  <c r="DP122" i="3" s="1"/>
  <c r="BS122" i="3"/>
  <c r="GA122" i="3" s="1"/>
  <c r="BQ122" i="3"/>
  <c r="FY122" i="3" s="1"/>
  <c r="BP122" i="3"/>
  <c r="BO122" i="3"/>
  <c r="BN122" i="3"/>
  <c r="BU122" i="3" s="1"/>
  <c r="BG122" i="3"/>
  <c r="BI122" i="3" s="1"/>
  <c r="BE122" i="3"/>
  <c r="AL122" i="3"/>
  <c r="Y122" i="3"/>
  <c r="FZ121" i="3"/>
  <c r="FT121" i="3"/>
  <c r="FK121" i="3"/>
  <c r="FJ121" i="3" s="1"/>
  <c r="FI121" i="3"/>
  <c r="FG121" i="3"/>
  <c r="FF121" i="3" s="1"/>
  <c r="FE121" i="3"/>
  <c r="FD121" i="3"/>
  <c r="FC121" i="3"/>
  <c r="FB121" i="3" s="1"/>
  <c r="FA121" i="3"/>
  <c r="EY121" i="3"/>
  <c r="EX121" i="3" s="1"/>
  <c r="EW121" i="3"/>
  <c r="EV121" i="3"/>
  <c r="EU121" i="3"/>
  <c r="ET121" i="3" s="1"/>
  <c r="ES121" i="3"/>
  <c r="EQ121" i="3"/>
  <c r="EP121" i="3" s="1"/>
  <c r="EO121" i="3"/>
  <c r="EN121" i="3"/>
  <c r="EM121" i="3"/>
  <c r="EL121" i="3" s="1"/>
  <c r="EK121" i="3"/>
  <c r="EI121" i="3"/>
  <c r="EH121" i="3" s="1"/>
  <c r="EF121" i="3"/>
  <c r="EC121" i="3"/>
  <c r="DV121" i="3"/>
  <c r="DS121" i="3"/>
  <c r="DR121" i="3"/>
  <c r="CW121" i="3"/>
  <c r="CQ121" i="3"/>
  <c r="CK121" i="3"/>
  <c r="CI121" i="3"/>
  <c r="CF121" i="3"/>
  <c r="CE121" i="3"/>
  <c r="BS121" i="3"/>
  <c r="GA121" i="3" s="1"/>
  <c r="BQ121" i="3"/>
  <c r="FY121" i="3" s="1"/>
  <c r="BP121" i="3"/>
  <c r="BO121" i="3"/>
  <c r="BN121" i="3"/>
  <c r="BU121" i="3" s="1"/>
  <c r="BG121" i="3"/>
  <c r="BF121" i="3" s="1"/>
  <c r="BE121" i="3"/>
  <c r="BD121" i="3" s="1"/>
  <c r="AV121" i="3"/>
  <c r="AT121" i="3"/>
  <c r="AR121" i="3"/>
  <c r="AP121" i="3"/>
  <c r="AN121" i="3"/>
  <c r="AL121" i="3"/>
  <c r="BK121" i="3" s="1"/>
  <c r="AK121" i="3"/>
  <c r="AI121" i="3"/>
  <c r="AD121" i="3"/>
  <c r="AB121" i="3"/>
  <c r="Z121" i="3"/>
  <c r="Y121" i="3"/>
  <c r="V121" i="3"/>
  <c r="T121" i="3"/>
  <c r="EU120" i="3"/>
  <c r="FZ119" i="3"/>
  <c r="FV119" i="3"/>
  <c r="EY119" i="3"/>
  <c r="EW119" i="3"/>
  <c r="EU119" i="3"/>
  <c r="ES119" i="3"/>
  <c r="EQ119" i="3"/>
  <c r="EO119" i="3"/>
  <c r="DS119" i="3"/>
  <c r="DR119" i="3"/>
  <c r="DC119" i="3"/>
  <c r="FI119" i="3" s="1"/>
  <c r="DB119" i="3"/>
  <c r="FG119" i="3" s="1"/>
  <c r="DA119" i="3"/>
  <c r="FE119" i="3" s="1"/>
  <c r="CZ119" i="3"/>
  <c r="FC119" i="3" s="1"/>
  <c r="CY119" i="3"/>
  <c r="FA119" i="3" s="1"/>
  <c r="CJ119" i="3"/>
  <c r="CF119" i="3"/>
  <c r="CH119" i="3" s="1"/>
  <c r="BP119" i="3"/>
  <c r="BG119" i="3"/>
  <c r="BJ119" i="3" s="1"/>
  <c r="BE119" i="3"/>
  <c r="AE119" i="3"/>
  <c r="EM119" i="3" s="1"/>
  <c r="AC119" i="3"/>
  <c r="AB117" i="3" s="1"/>
  <c r="Y119" i="3"/>
  <c r="FZ118" i="3"/>
  <c r="FY118" i="3"/>
  <c r="FV118" i="3"/>
  <c r="FT118" i="3"/>
  <c r="EY118" i="3"/>
  <c r="EW118" i="3"/>
  <c r="EU118" i="3"/>
  <c r="ES118" i="3"/>
  <c r="EQ118" i="3"/>
  <c r="EO118" i="3"/>
  <c r="EK118" i="3"/>
  <c r="EI118" i="3"/>
  <c r="DS118" i="3"/>
  <c r="DR118" i="3"/>
  <c r="DC118" i="3"/>
  <c r="FI118" i="3" s="1"/>
  <c r="DB118" i="3"/>
  <c r="FG118" i="3" s="1"/>
  <c r="DA118" i="3"/>
  <c r="FE118" i="3" s="1"/>
  <c r="CZ118" i="3"/>
  <c r="FC118" i="3" s="1"/>
  <c r="CY118" i="3"/>
  <c r="FA118" i="3" s="1"/>
  <c r="CF118" i="3"/>
  <c r="CH118" i="3" s="1"/>
  <c r="BP118" i="3"/>
  <c r="BO118" i="3"/>
  <c r="BU118" i="3" s="1"/>
  <c r="BG118" i="3"/>
  <c r="BJ118" i="3" s="1"/>
  <c r="AW118" i="3"/>
  <c r="W118" i="3"/>
  <c r="O118" i="3"/>
  <c r="FZ117" i="3"/>
  <c r="FV117" i="3"/>
  <c r="FT117" i="3"/>
  <c r="EY117" i="3"/>
  <c r="EW117" i="3"/>
  <c r="EV117" i="3" s="1"/>
  <c r="ES117" i="3"/>
  <c r="ER117" i="3" s="1"/>
  <c r="EQ117" i="3"/>
  <c r="EO117" i="3"/>
  <c r="EN117" i="3" s="1"/>
  <c r="EK117" i="3"/>
  <c r="EI117" i="3"/>
  <c r="EF117" i="3"/>
  <c r="EC117" i="3"/>
  <c r="DS117" i="3"/>
  <c r="DR117" i="3"/>
  <c r="DC117" i="3"/>
  <c r="FI117" i="3" s="1"/>
  <c r="DB117" i="3"/>
  <c r="FG117" i="3" s="1"/>
  <c r="FF117" i="3" s="1"/>
  <c r="DA117" i="3"/>
  <c r="FE117" i="3" s="1"/>
  <c r="FD117" i="3" s="1"/>
  <c r="CZ117" i="3"/>
  <c r="FC117" i="3" s="1"/>
  <c r="FB117" i="3" s="1"/>
  <c r="CY117" i="3"/>
  <c r="FA117" i="3" s="1"/>
  <c r="EZ117" i="3" s="1"/>
  <c r="CQ117" i="3"/>
  <c r="CK117" i="3"/>
  <c r="CI117" i="3"/>
  <c r="CF117" i="3"/>
  <c r="CE117" i="3"/>
  <c r="BP117" i="3"/>
  <c r="BO117" i="3"/>
  <c r="BH117" i="3"/>
  <c r="BG117" i="3"/>
  <c r="BJ117" i="3" s="1"/>
  <c r="BF117" i="3"/>
  <c r="AW117" i="3"/>
  <c r="AV117" i="3"/>
  <c r="AT117" i="3"/>
  <c r="AR117" i="3"/>
  <c r="AQ117" i="3"/>
  <c r="AP117" i="3"/>
  <c r="AN117" i="3"/>
  <c r="AI117" i="3"/>
  <c r="AE117" i="3"/>
  <c r="Z117" i="3"/>
  <c r="W117" i="3"/>
  <c r="V117" i="3"/>
  <c r="T117" i="3"/>
  <c r="EU116" i="3"/>
  <c r="FZ115" i="3"/>
  <c r="FY115" i="3"/>
  <c r="FV115" i="3"/>
  <c r="FT115" i="3"/>
  <c r="EY115" i="3"/>
  <c r="EW115" i="3"/>
  <c r="ES115" i="3"/>
  <c r="EQ115" i="3"/>
  <c r="EO115" i="3"/>
  <c r="EI115" i="3"/>
  <c r="DS115" i="3"/>
  <c r="DR115" i="3"/>
  <c r="DC115" i="3"/>
  <c r="FI115" i="3" s="1"/>
  <c r="DB115" i="3"/>
  <c r="FG115" i="3" s="1"/>
  <c r="DA115" i="3"/>
  <c r="FE115" i="3" s="1"/>
  <c r="CZ115" i="3"/>
  <c r="FC115" i="3" s="1"/>
  <c r="CY115" i="3"/>
  <c r="CF115" i="3"/>
  <c r="BP115" i="3"/>
  <c r="BO115" i="3"/>
  <c r="BU115" i="3" s="1"/>
  <c r="BG115" i="3"/>
  <c r="BJ115" i="3" s="1"/>
  <c r="AW115" i="3"/>
  <c r="W115" i="3"/>
  <c r="FZ114" i="3"/>
  <c r="FY114" i="3"/>
  <c r="FV114" i="3"/>
  <c r="FT114" i="3"/>
  <c r="EY114" i="3"/>
  <c r="EX114" i="3" s="1"/>
  <c r="EW114" i="3"/>
  <c r="ES114" i="3"/>
  <c r="ER114" i="3"/>
  <c r="EQ114" i="3"/>
  <c r="EP114" i="3" s="1"/>
  <c r="EO114" i="3"/>
  <c r="EN114" i="3"/>
  <c r="EK114" i="3"/>
  <c r="EI114" i="3"/>
  <c r="EH114" i="3" s="1"/>
  <c r="EF114" i="3"/>
  <c r="EC114" i="3"/>
  <c r="DS114" i="3"/>
  <c r="DR114" i="3"/>
  <c r="DC114" i="3"/>
  <c r="FI114" i="3" s="1"/>
  <c r="FH114" i="3" s="1"/>
  <c r="DB114" i="3"/>
  <c r="FG114" i="3" s="1"/>
  <c r="FF114" i="3" s="1"/>
  <c r="DA114" i="3"/>
  <c r="FE114" i="3" s="1"/>
  <c r="FD114" i="3" s="1"/>
  <c r="CZ114" i="3"/>
  <c r="FC114" i="3" s="1"/>
  <c r="CY114" i="3"/>
  <c r="FA114" i="3" s="1"/>
  <c r="CQ114" i="3"/>
  <c r="CK114" i="3"/>
  <c r="CI114" i="3"/>
  <c r="CF114" i="3"/>
  <c r="CC114" i="3"/>
  <c r="DF114" i="3" s="1"/>
  <c r="BP114" i="3"/>
  <c r="FX114" i="3" s="1"/>
  <c r="BO114" i="3"/>
  <c r="BH114" i="3"/>
  <c r="BG114" i="3"/>
  <c r="AW114" i="3"/>
  <c r="AV114" i="3" s="1"/>
  <c r="AT114" i="3"/>
  <c r="AR114" i="3"/>
  <c r="AN114" i="3"/>
  <c r="AI114" i="3"/>
  <c r="AB114" i="3"/>
  <c r="W114" i="3"/>
  <c r="Y114" i="3" s="1"/>
  <c r="T114" i="3"/>
  <c r="EU113" i="3"/>
  <c r="FZ112" i="3"/>
  <c r="FY112" i="3"/>
  <c r="FV112" i="3"/>
  <c r="FT112" i="3"/>
  <c r="EY112" i="3"/>
  <c r="EW112" i="3"/>
  <c r="EU112" i="3"/>
  <c r="ES112" i="3"/>
  <c r="EO112" i="3"/>
  <c r="EK112" i="3"/>
  <c r="EI112" i="3"/>
  <c r="DS112" i="3"/>
  <c r="FX112" i="3" s="1"/>
  <c r="DR112" i="3"/>
  <c r="FU112" i="3" s="1"/>
  <c r="DC112" i="3"/>
  <c r="FI112" i="3" s="1"/>
  <c r="DB112" i="3"/>
  <c r="FG112" i="3" s="1"/>
  <c r="DA112" i="3"/>
  <c r="FE112" i="3" s="1"/>
  <c r="CZ112" i="3"/>
  <c r="FC112" i="3" s="1"/>
  <c r="CY112" i="3"/>
  <c r="FA112" i="3" s="1"/>
  <c r="CF112" i="3"/>
  <c r="CC112" i="3"/>
  <c r="BJ112" i="3"/>
  <c r="BI112" i="3"/>
  <c r="AW112" i="3"/>
  <c r="AJ112" i="3"/>
  <c r="EQ112" i="3" s="1"/>
  <c r="AE112" i="3"/>
  <c r="EM112" i="3" s="1"/>
  <c r="W112" i="3"/>
  <c r="U112" i="3"/>
  <c r="BE112" i="3" s="1"/>
  <c r="FZ111" i="3"/>
  <c r="FY111" i="3"/>
  <c r="FV111" i="3"/>
  <c r="FT111" i="3"/>
  <c r="EY111" i="3"/>
  <c r="EW111" i="3"/>
  <c r="EU111" i="3"/>
  <c r="ES111" i="3"/>
  <c r="EO111" i="3"/>
  <c r="EK111" i="3"/>
  <c r="EI111" i="3"/>
  <c r="DS111" i="3"/>
  <c r="FX111" i="3" s="1"/>
  <c r="DR111" i="3"/>
  <c r="FU111" i="3" s="1"/>
  <c r="DC111" i="3"/>
  <c r="FI111" i="3" s="1"/>
  <c r="DB111" i="3"/>
  <c r="FG111" i="3" s="1"/>
  <c r="DA111" i="3"/>
  <c r="FE111" i="3" s="1"/>
  <c r="CZ111" i="3"/>
  <c r="FC111" i="3" s="1"/>
  <c r="CY111" i="3"/>
  <c r="FA111" i="3" s="1"/>
  <c r="CF111" i="3"/>
  <c r="CC111" i="3"/>
  <c r="DF111" i="3" s="1"/>
  <c r="BJ111" i="3"/>
  <c r="BI111" i="3"/>
  <c r="AW111" i="3"/>
  <c r="AJ111" i="3"/>
  <c r="EQ111" i="3" s="1"/>
  <c r="AE111" i="3"/>
  <c r="EM111" i="3" s="1"/>
  <c r="W111" i="3"/>
  <c r="Y111" i="3" s="1"/>
  <c r="U111" i="3"/>
  <c r="BE111" i="3" s="1"/>
  <c r="FZ110" i="3"/>
  <c r="FY110" i="3"/>
  <c r="FV110" i="3"/>
  <c r="FT110" i="3"/>
  <c r="EY110" i="3"/>
  <c r="EW110" i="3"/>
  <c r="EU110" i="3"/>
  <c r="ES110" i="3"/>
  <c r="EO110" i="3"/>
  <c r="EK110" i="3"/>
  <c r="EI110" i="3"/>
  <c r="DS110" i="3"/>
  <c r="FX110" i="3" s="1"/>
  <c r="DR110" i="3"/>
  <c r="FU110" i="3" s="1"/>
  <c r="DC110" i="3"/>
  <c r="FI110" i="3" s="1"/>
  <c r="DB110" i="3"/>
  <c r="FG110" i="3" s="1"/>
  <c r="DA110" i="3"/>
  <c r="FE110" i="3" s="1"/>
  <c r="CZ110" i="3"/>
  <c r="CY110" i="3"/>
  <c r="FA110" i="3" s="1"/>
  <c r="CF110" i="3"/>
  <c r="CC110" i="3"/>
  <c r="BJ110" i="3"/>
  <c r="BI110" i="3"/>
  <c r="AW110" i="3"/>
  <c r="AJ110" i="3"/>
  <c r="EQ110" i="3" s="1"/>
  <c r="W110" i="3"/>
  <c r="U110" i="3"/>
  <c r="BE110" i="3" s="1"/>
  <c r="FZ109" i="3"/>
  <c r="FY109" i="3"/>
  <c r="FV109" i="3"/>
  <c r="FT109" i="3"/>
  <c r="EY109" i="3"/>
  <c r="EW109" i="3"/>
  <c r="EV109" i="3"/>
  <c r="EU109" i="3"/>
  <c r="ES109" i="3"/>
  <c r="EO109" i="3"/>
  <c r="EN109" i="3"/>
  <c r="EK109" i="3"/>
  <c r="EJ109" i="3"/>
  <c r="EI109" i="3"/>
  <c r="EF109" i="3"/>
  <c r="EC109" i="3"/>
  <c r="DS109" i="3"/>
  <c r="FX109" i="3" s="1"/>
  <c r="DR109" i="3"/>
  <c r="FU109" i="3" s="1"/>
  <c r="DC109" i="3"/>
  <c r="FI109" i="3" s="1"/>
  <c r="FH109" i="3" s="1"/>
  <c r="DB109" i="3"/>
  <c r="FG109" i="3" s="1"/>
  <c r="DA109" i="3"/>
  <c r="FE109" i="3" s="1"/>
  <c r="FD109" i="3" s="1"/>
  <c r="CZ109" i="3"/>
  <c r="FC109" i="3" s="1"/>
  <c r="CY109" i="3"/>
  <c r="CX109" i="3" s="1"/>
  <c r="CQ109" i="3"/>
  <c r="CK109" i="3"/>
  <c r="CI109" i="3"/>
  <c r="CF109" i="3"/>
  <c r="CE109" i="3"/>
  <c r="BT109" i="3"/>
  <c r="BJ109" i="3"/>
  <c r="BI109" i="3"/>
  <c r="BF109" i="3"/>
  <c r="AW109" i="3"/>
  <c r="AT109" i="3"/>
  <c r="AR109" i="3"/>
  <c r="AP109" i="3"/>
  <c r="AN109" i="3"/>
  <c r="AJ109" i="3"/>
  <c r="EQ109" i="3" s="1"/>
  <c r="EP109" i="3" s="1"/>
  <c r="AE109" i="3"/>
  <c r="AB109" i="3"/>
  <c r="Z109" i="3"/>
  <c r="W109" i="3"/>
  <c r="Y109" i="3" s="1"/>
  <c r="V109" i="3"/>
  <c r="U109" i="3"/>
  <c r="BE109" i="3" s="1"/>
  <c r="EU108" i="3"/>
  <c r="FZ107" i="3"/>
  <c r="FY107" i="3"/>
  <c r="FV107" i="3"/>
  <c r="FT107" i="3"/>
  <c r="FI107" i="3"/>
  <c r="FH107" i="3" s="1"/>
  <c r="FG107" i="3"/>
  <c r="FF107" i="3" s="1"/>
  <c r="FE107" i="3"/>
  <c r="FD107" i="3"/>
  <c r="FC107" i="3"/>
  <c r="FB107" i="3" s="1"/>
  <c r="EY107" i="3"/>
  <c r="EX107" i="3" s="1"/>
  <c r="EU107" i="3"/>
  <c r="ET107" i="3" s="1"/>
  <c r="ES107" i="3"/>
  <c r="ER107" i="3" s="1"/>
  <c r="EQ107" i="3"/>
  <c r="EP107" i="3" s="1"/>
  <c r="EO107" i="3"/>
  <c r="EN107" i="3" s="1"/>
  <c r="EK107" i="3"/>
  <c r="EJ107" i="3"/>
  <c r="EI107" i="3"/>
  <c r="EH107" i="3" s="1"/>
  <c r="EF107" i="3"/>
  <c r="EC107" i="3"/>
  <c r="DS107" i="3"/>
  <c r="DR107" i="3"/>
  <c r="FU107" i="3" s="1"/>
  <c r="DQ107" i="3"/>
  <c r="FW107" i="3" s="1"/>
  <c r="CY107" i="3"/>
  <c r="FA107" i="3" s="1"/>
  <c r="EZ107" i="3" s="1"/>
  <c r="CX107" i="3"/>
  <c r="CW107" i="3" s="1"/>
  <c r="CQ107" i="3"/>
  <c r="CM107" i="3"/>
  <c r="CK107" i="3"/>
  <c r="CI107" i="3"/>
  <c r="BU107" i="3"/>
  <c r="BT107" i="3" s="1"/>
  <c r="BJ107" i="3"/>
  <c r="BI107" i="3"/>
  <c r="BH107" i="3" s="1"/>
  <c r="BF107" i="3"/>
  <c r="AW107" i="3"/>
  <c r="AV107" i="3" s="1"/>
  <c r="AT107" i="3"/>
  <c r="AP107" i="3"/>
  <c r="AN107" i="3"/>
  <c r="AI107" i="3"/>
  <c r="AE107" i="3"/>
  <c r="EM107" i="3" s="1"/>
  <c r="EL107" i="3" s="1"/>
  <c r="AD107" i="3"/>
  <c r="AB107" i="3"/>
  <c r="Z107" i="3"/>
  <c r="W107" i="3"/>
  <c r="V107" i="3"/>
  <c r="U107" i="3"/>
  <c r="T107" i="3"/>
  <c r="DZ107" i="3" s="1"/>
  <c r="EU106" i="3"/>
  <c r="FZ105" i="3"/>
  <c r="FY105" i="3"/>
  <c r="FV105" i="3"/>
  <c r="FT105" i="3"/>
  <c r="EY105" i="3"/>
  <c r="EX105" i="3"/>
  <c r="EW105" i="3"/>
  <c r="EV105" i="3" s="1"/>
  <c r="EU105" i="3"/>
  <c r="ET105" i="3"/>
  <c r="ES105" i="3"/>
  <c r="ER105" i="3" s="1"/>
  <c r="EQ105" i="3"/>
  <c r="EP105" i="3" s="1"/>
  <c r="EO105" i="3"/>
  <c r="EN105" i="3" s="1"/>
  <c r="EK105" i="3"/>
  <c r="EJ105" i="3" s="1"/>
  <c r="EI105" i="3"/>
  <c r="EH105" i="3"/>
  <c r="EF105" i="3"/>
  <c r="EC105" i="3"/>
  <c r="DS105" i="3"/>
  <c r="DR105" i="3"/>
  <c r="DC105" i="3"/>
  <c r="FI105" i="3" s="1"/>
  <c r="FH105" i="3" s="1"/>
  <c r="DB105" i="3"/>
  <c r="FG105" i="3" s="1"/>
  <c r="FF105" i="3" s="1"/>
  <c r="DA105" i="3"/>
  <c r="FE105" i="3" s="1"/>
  <c r="FD105" i="3" s="1"/>
  <c r="CZ105" i="3"/>
  <c r="CY105" i="3"/>
  <c r="FA105" i="3" s="1"/>
  <c r="EZ105" i="3" s="1"/>
  <c r="CQ105" i="3"/>
  <c r="CK105" i="3"/>
  <c r="CI105" i="3"/>
  <c r="CF105" i="3"/>
  <c r="CE105" i="3"/>
  <c r="BT105" i="3"/>
  <c r="BP105" i="3"/>
  <c r="BO105" i="3"/>
  <c r="BH105" i="3"/>
  <c r="BG105" i="3"/>
  <c r="BF105" i="3" s="1"/>
  <c r="AW105" i="3"/>
  <c r="AV105" i="3" s="1"/>
  <c r="AT105" i="3"/>
  <c r="AR105" i="3"/>
  <c r="AP105" i="3"/>
  <c r="AN105" i="3"/>
  <c r="AI105" i="3"/>
  <c r="AB105" i="3"/>
  <c r="Z105" i="3"/>
  <c r="W105" i="3"/>
  <c r="AG105" i="3" s="1"/>
  <c r="AE105" i="3" s="1"/>
  <c r="T105" i="3"/>
  <c r="DZ105" i="3" s="1"/>
  <c r="EU104" i="3"/>
  <c r="FZ103" i="3"/>
  <c r="FY103" i="3"/>
  <c r="FV103" i="3"/>
  <c r="FT103" i="3"/>
  <c r="EY103" i="3"/>
  <c r="EX103" i="3" s="1"/>
  <c r="EW103" i="3"/>
  <c r="EV103" i="3" s="1"/>
  <c r="ES103" i="3"/>
  <c r="ER103" i="3" s="1"/>
  <c r="EQ103" i="3"/>
  <c r="EP103" i="3"/>
  <c r="EO103" i="3"/>
  <c r="EN103" i="3" s="1"/>
  <c r="EI103" i="3"/>
  <c r="EH103" i="3" s="1"/>
  <c r="EF103" i="3"/>
  <c r="EC103" i="3"/>
  <c r="DS103" i="3"/>
  <c r="DR103" i="3"/>
  <c r="DC103" i="3"/>
  <c r="FI103" i="3" s="1"/>
  <c r="FH103" i="3" s="1"/>
  <c r="DB103" i="3"/>
  <c r="FG103" i="3" s="1"/>
  <c r="FF103" i="3" s="1"/>
  <c r="DA103" i="3"/>
  <c r="FE103" i="3" s="1"/>
  <c r="FD103" i="3" s="1"/>
  <c r="CZ103" i="3"/>
  <c r="FC103" i="3" s="1"/>
  <c r="FB103" i="3" s="1"/>
  <c r="CY103" i="3"/>
  <c r="FA103" i="3" s="1"/>
  <c r="EZ103" i="3" s="1"/>
  <c r="CX103" i="3"/>
  <c r="CQ103" i="3"/>
  <c r="CK103" i="3"/>
  <c r="CI103" i="3"/>
  <c r="CF103" i="3"/>
  <c r="CE103" i="3"/>
  <c r="BP103" i="3"/>
  <c r="BO103" i="3"/>
  <c r="BH103" i="3"/>
  <c r="BG103" i="3"/>
  <c r="BJ103" i="3" s="1"/>
  <c r="BF103" i="3"/>
  <c r="AW103" i="3"/>
  <c r="AV103" i="3"/>
  <c r="AT103" i="3"/>
  <c r="AR103" i="3"/>
  <c r="AQ103" i="3"/>
  <c r="EU103" i="3" s="1"/>
  <c r="ET103" i="3" s="1"/>
  <c r="AP103" i="3"/>
  <c r="AN103" i="3"/>
  <c r="AI103" i="3"/>
  <c r="AB103" i="3"/>
  <c r="AA103" i="3"/>
  <c r="W103" i="3"/>
  <c r="V103" i="3"/>
  <c r="T103" i="3"/>
  <c r="DZ103" i="3" s="1"/>
  <c r="EU102" i="3"/>
  <c r="FZ101" i="3"/>
  <c r="FY101" i="3"/>
  <c r="FV101" i="3"/>
  <c r="FT101" i="3"/>
  <c r="EY101" i="3"/>
  <c r="EX101" i="3"/>
  <c r="EW101" i="3"/>
  <c r="EV101" i="3"/>
  <c r="EU101" i="3"/>
  <c r="ET101" i="3"/>
  <c r="ES101" i="3"/>
  <c r="ER101" i="3" s="1"/>
  <c r="EQ101" i="3"/>
  <c r="EP101" i="3"/>
  <c r="EO101" i="3"/>
  <c r="EN101" i="3"/>
  <c r="EK101" i="3"/>
  <c r="EJ101" i="3"/>
  <c r="EI101" i="3"/>
  <c r="EH101" i="3"/>
  <c r="EF101" i="3"/>
  <c r="EC101" i="3"/>
  <c r="DS101" i="3"/>
  <c r="DR101" i="3"/>
  <c r="DC101" i="3"/>
  <c r="FI101" i="3" s="1"/>
  <c r="FH101" i="3" s="1"/>
  <c r="DB101" i="3"/>
  <c r="FG101" i="3" s="1"/>
  <c r="FF101" i="3" s="1"/>
  <c r="DA101" i="3"/>
  <c r="FE101" i="3" s="1"/>
  <c r="FD101" i="3" s="1"/>
  <c r="CZ101" i="3"/>
  <c r="FC101" i="3" s="1"/>
  <c r="FB101" i="3" s="1"/>
  <c r="CY101" i="3"/>
  <c r="FA101" i="3" s="1"/>
  <c r="EZ101" i="3" s="1"/>
  <c r="CQ101" i="3"/>
  <c r="CK101" i="3"/>
  <c r="CI101" i="3"/>
  <c r="BP101" i="3"/>
  <c r="BO101" i="3"/>
  <c r="BU101" i="3" s="1"/>
  <c r="BT101" i="3" s="1"/>
  <c r="BH101" i="3"/>
  <c r="BG101" i="3"/>
  <c r="BF101" i="3" s="1"/>
  <c r="AW101" i="3"/>
  <c r="AV101" i="3" s="1"/>
  <c r="AT101" i="3"/>
  <c r="AR101" i="3"/>
  <c r="AP101" i="3"/>
  <c r="AN101" i="3"/>
  <c r="AI101" i="3"/>
  <c r="AE101" i="3"/>
  <c r="EM101" i="3" s="1"/>
  <c r="EL101" i="3" s="1"/>
  <c r="AD101" i="3"/>
  <c r="AB101" i="3"/>
  <c r="Z101" i="3"/>
  <c r="W101" i="3"/>
  <c r="V101" i="3"/>
  <c r="T101" i="3"/>
  <c r="DZ101" i="3" s="1"/>
  <c r="EU100" i="3"/>
  <c r="FZ99" i="3"/>
  <c r="FY99" i="3"/>
  <c r="FV99" i="3"/>
  <c r="FT99" i="3"/>
  <c r="EY99" i="3"/>
  <c r="EX99" i="3" s="1"/>
  <c r="EW99" i="3"/>
  <c r="EV99" i="3" s="1"/>
  <c r="EU99" i="3"/>
  <c r="ET99" i="3" s="1"/>
  <c r="ES99" i="3"/>
  <c r="ER99" i="3" s="1"/>
  <c r="EQ99" i="3"/>
  <c r="EP99" i="3" s="1"/>
  <c r="EO99" i="3"/>
  <c r="EN99" i="3"/>
  <c r="EK99" i="3"/>
  <c r="EJ99" i="3"/>
  <c r="EI99" i="3"/>
  <c r="EH99" i="3" s="1"/>
  <c r="EF99" i="3"/>
  <c r="EC99" i="3"/>
  <c r="DS99" i="3"/>
  <c r="DR99" i="3"/>
  <c r="DC99" i="3"/>
  <c r="FI99" i="3" s="1"/>
  <c r="FH99" i="3" s="1"/>
  <c r="DB99" i="3"/>
  <c r="FG99" i="3" s="1"/>
  <c r="FF99" i="3" s="1"/>
  <c r="DA99" i="3"/>
  <c r="FE99" i="3" s="1"/>
  <c r="FD99" i="3" s="1"/>
  <c r="CY99" i="3"/>
  <c r="FA99" i="3" s="1"/>
  <c r="EZ99" i="3" s="1"/>
  <c r="CQ99" i="3"/>
  <c r="CK99" i="3"/>
  <c r="CI99" i="3"/>
  <c r="BP99" i="3"/>
  <c r="BO99" i="3"/>
  <c r="BU99" i="3" s="1"/>
  <c r="BT99" i="3" s="1"/>
  <c r="BH99" i="3"/>
  <c r="BG99" i="3"/>
  <c r="BJ99" i="3" s="1"/>
  <c r="AT99" i="3"/>
  <c r="AR99" i="3"/>
  <c r="AP99" i="3"/>
  <c r="AN99" i="3"/>
  <c r="AI99" i="3"/>
  <c r="AE99" i="3"/>
  <c r="EM99" i="3" s="1"/>
  <c r="EL99" i="3" s="1"/>
  <c r="AD99" i="3"/>
  <c r="AB99" i="3"/>
  <c r="Z99" i="3"/>
  <c r="W99" i="3"/>
  <c r="T99" i="3"/>
  <c r="DZ99" i="3" s="1"/>
  <c r="EU98" i="3"/>
  <c r="FZ97" i="3"/>
  <c r="FT97" i="3"/>
  <c r="FI97" i="3"/>
  <c r="FH97" i="3"/>
  <c r="FG97" i="3"/>
  <c r="FF97" i="3"/>
  <c r="FE97" i="3"/>
  <c r="FD97" i="3"/>
  <c r="FC97" i="3"/>
  <c r="FB97" i="3"/>
  <c r="FA97" i="3"/>
  <c r="EZ97" i="3"/>
  <c r="EY97" i="3"/>
  <c r="EX97" i="3"/>
  <c r="EW97" i="3"/>
  <c r="EV97" i="3"/>
  <c r="EU97" i="3"/>
  <c r="ET97" i="3"/>
  <c r="ES97" i="3"/>
  <c r="ER97" i="3"/>
  <c r="EQ97" i="3"/>
  <c r="EP97" i="3"/>
  <c r="EO97" i="3"/>
  <c r="EN97" i="3"/>
  <c r="EK97" i="3"/>
  <c r="EJ97" i="3"/>
  <c r="EI97" i="3"/>
  <c r="EH97" i="3"/>
  <c r="EF97" i="3"/>
  <c r="EC97" i="3"/>
  <c r="DV97" i="3"/>
  <c r="GA97" i="3" s="1"/>
  <c r="DS97" i="3"/>
  <c r="FX97" i="3" s="1"/>
  <c r="DR97" i="3"/>
  <c r="FU97" i="3" s="1"/>
  <c r="CW97" i="3"/>
  <c r="CQ97" i="3"/>
  <c r="CK97" i="3"/>
  <c r="CI97" i="3"/>
  <c r="CF97" i="3"/>
  <c r="CE97" i="3"/>
  <c r="BQ97" i="3"/>
  <c r="BU97" i="3" s="1"/>
  <c r="BT97" i="3" s="1"/>
  <c r="AW97" i="3"/>
  <c r="AV97" i="3" s="1"/>
  <c r="AT97" i="3"/>
  <c r="AR97" i="3"/>
  <c r="AP97" i="3"/>
  <c r="AN97" i="3"/>
  <c r="AI97" i="3"/>
  <c r="AE97" i="3"/>
  <c r="EM97" i="3" s="1"/>
  <c r="EL97" i="3" s="1"/>
  <c r="AD97" i="3"/>
  <c r="AB97" i="3"/>
  <c r="Z97" i="3"/>
  <c r="W97" i="3"/>
  <c r="V97" i="3"/>
  <c r="U97" i="3"/>
  <c r="T97" i="3" s="1"/>
  <c r="DZ97" i="3" s="1"/>
  <c r="EU96" i="3"/>
  <c r="FZ95" i="3"/>
  <c r="FY95" i="3"/>
  <c r="FV95" i="3"/>
  <c r="FT95" i="3"/>
  <c r="EY95" i="3"/>
  <c r="EX95" i="3"/>
  <c r="EW95" i="3"/>
  <c r="EV95" i="3" s="1"/>
  <c r="EU95" i="3"/>
  <c r="ET95" i="3"/>
  <c r="ES95" i="3"/>
  <c r="ER95" i="3"/>
  <c r="EO95" i="3"/>
  <c r="EN95" i="3"/>
  <c r="EK95" i="3"/>
  <c r="EJ95" i="3"/>
  <c r="EI95" i="3"/>
  <c r="EH95" i="3"/>
  <c r="EF95" i="3"/>
  <c r="EC95" i="3"/>
  <c r="DS95" i="3"/>
  <c r="FX95" i="3" s="1"/>
  <c r="DR95" i="3"/>
  <c r="FU95" i="3" s="1"/>
  <c r="DC95" i="3"/>
  <c r="FI95" i="3" s="1"/>
  <c r="FH95" i="3" s="1"/>
  <c r="DB95" i="3"/>
  <c r="FG95" i="3" s="1"/>
  <c r="FF95" i="3" s="1"/>
  <c r="DA95" i="3"/>
  <c r="FE95" i="3" s="1"/>
  <c r="FD95" i="3" s="1"/>
  <c r="CZ95" i="3"/>
  <c r="FC95" i="3" s="1"/>
  <c r="FB95" i="3" s="1"/>
  <c r="CY95" i="3"/>
  <c r="CQ95" i="3"/>
  <c r="CK95" i="3"/>
  <c r="CI95" i="3"/>
  <c r="CF95" i="3"/>
  <c r="CE95" i="3"/>
  <c r="CC95" i="3"/>
  <c r="DH95" i="3" s="1"/>
  <c r="BT95" i="3"/>
  <c r="BJ95" i="3"/>
  <c r="BI95" i="3"/>
  <c r="BH95" i="3" s="1"/>
  <c r="BF95" i="3"/>
  <c r="AW95" i="3"/>
  <c r="AV95" i="3"/>
  <c r="AT95" i="3"/>
  <c r="AR95" i="3"/>
  <c r="AP95" i="3"/>
  <c r="AN95" i="3"/>
  <c r="AJ95" i="3"/>
  <c r="EQ95" i="3" s="1"/>
  <c r="EP95" i="3" s="1"/>
  <c r="AI95" i="3"/>
  <c r="AE95" i="3"/>
  <c r="EM95" i="3" s="1"/>
  <c r="EL95" i="3" s="1"/>
  <c r="AD95" i="3"/>
  <c r="AB95" i="3"/>
  <c r="Z95" i="3"/>
  <c r="W95" i="3"/>
  <c r="V95" i="3" s="1"/>
  <c r="U95" i="3"/>
  <c r="BE95" i="3" s="1"/>
  <c r="BD95" i="3" s="1"/>
  <c r="EU94" i="3"/>
  <c r="FZ93" i="3"/>
  <c r="FT93" i="3"/>
  <c r="FI93" i="3"/>
  <c r="FH93" i="3" s="1"/>
  <c r="FG93" i="3"/>
  <c r="FF93" i="3" s="1"/>
  <c r="FE93" i="3"/>
  <c r="FD93" i="3" s="1"/>
  <c r="FC93" i="3"/>
  <c r="FB93" i="3"/>
  <c r="FA93" i="3"/>
  <c r="EZ93" i="3" s="1"/>
  <c r="EY93" i="3"/>
  <c r="EX93" i="3"/>
  <c r="EW93" i="3"/>
  <c r="EV93" i="3" s="1"/>
  <c r="EU93" i="3"/>
  <c r="ET93" i="3" s="1"/>
  <c r="ES93" i="3"/>
  <c r="ER93" i="3" s="1"/>
  <c r="EQ93" i="3"/>
  <c r="EP93" i="3"/>
  <c r="EO93" i="3"/>
  <c r="EN93" i="3" s="1"/>
  <c r="EM93" i="3"/>
  <c r="EL93" i="3"/>
  <c r="EI93" i="3"/>
  <c r="EH93" i="3"/>
  <c r="EF93" i="3"/>
  <c r="EC93" i="3"/>
  <c r="DS93" i="3"/>
  <c r="DR93" i="3"/>
  <c r="CX93" i="3"/>
  <c r="CW93" i="3"/>
  <c r="CQ93" i="3"/>
  <c r="CK93" i="3"/>
  <c r="CF93" i="3"/>
  <c r="BS93" i="3"/>
  <c r="BQ93" i="3"/>
  <c r="FY93" i="3" s="1"/>
  <c r="BP93" i="3"/>
  <c r="FX93" i="3" s="1"/>
  <c r="BO93" i="3"/>
  <c r="BU93" i="3" s="1"/>
  <c r="BT93" i="3" s="1"/>
  <c r="BG93" i="3"/>
  <c r="AW93" i="3"/>
  <c r="AV93" i="3" s="1"/>
  <c r="AT93" i="3"/>
  <c r="AR93" i="3"/>
  <c r="AP93" i="3"/>
  <c r="AN93" i="3"/>
  <c r="AI93" i="3"/>
  <c r="AD93" i="3"/>
  <c r="AB93" i="3"/>
  <c r="Z93" i="3"/>
  <c r="W93" i="3"/>
  <c r="V93" i="3"/>
  <c r="T93" i="3"/>
  <c r="DZ93" i="3" s="1"/>
  <c r="EU92" i="3"/>
  <c r="FZ91" i="3"/>
  <c r="FY91" i="3"/>
  <c r="FT91" i="3"/>
  <c r="FI91" i="3"/>
  <c r="FH91" i="3" s="1"/>
  <c r="FG91" i="3"/>
  <c r="FF91" i="3"/>
  <c r="FE91" i="3"/>
  <c r="FD91" i="3" s="1"/>
  <c r="FC91" i="3"/>
  <c r="FB91" i="3"/>
  <c r="FA91" i="3"/>
  <c r="EZ91" i="3" s="1"/>
  <c r="EY91" i="3"/>
  <c r="EX91" i="3"/>
  <c r="EW91" i="3"/>
  <c r="EV91" i="3" s="1"/>
  <c r="EU91" i="3"/>
  <c r="ET91" i="3" s="1"/>
  <c r="ES91" i="3"/>
  <c r="ER91" i="3" s="1"/>
  <c r="EQ91" i="3"/>
  <c r="EP91" i="3" s="1"/>
  <c r="EO91" i="3"/>
  <c r="EN91" i="3" s="1"/>
  <c r="EK91" i="3"/>
  <c r="EJ91" i="3" s="1"/>
  <c r="EI91" i="3"/>
  <c r="EH91" i="3"/>
  <c r="EF91" i="3"/>
  <c r="EC91" i="3"/>
  <c r="DV91" i="3"/>
  <c r="GA91" i="3" s="1"/>
  <c r="DS91" i="3"/>
  <c r="FX91" i="3" s="1"/>
  <c r="DR91" i="3"/>
  <c r="FU91" i="3" s="1"/>
  <c r="CW91" i="3"/>
  <c r="CQ91" i="3"/>
  <c r="CK91" i="3"/>
  <c r="CI91" i="3"/>
  <c r="CF91" i="3"/>
  <c r="CE91" i="3"/>
  <c r="CC91" i="3"/>
  <c r="DH91" i="3" s="1"/>
  <c r="BU91" i="3"/>
  <c r="BT91" i="3" s="1"/>
  <c r="AW91" i="3"/>
  <c r="FK91" i="3" s="1"/>
  <c r="FJ91" i="3" s="1"/>
  <c r="AV91" i="3"/>
  <c r="AT91" i="3"/>
  <c r="AR91" i="3"/>
  <c r="AP91" i="3"/>
  <c r="AN91" i="3"/>
  <c r="AI91" i="3"/>
  <c r="AE91" i="3"/>
  <c r="EM91" i="3" s="1"/>
  <c r="EL91" i="3" s="1"/>
  <c r="AD91" i="3"/>
  <c r="AB91" i="3"/>
  <c r="Z91" i="3"/>
  <c r="W91" i="3"/>
  <c r="V91" i="3" s="1"/>
  <c r="EA91" i="3" s="1"/>
  <c r="U91" i="3"/>
  <c r="EU90" i="3"/>
  <c r="FZ89" i="3"/>
  <c r="FY89" i="3"/>
  <c r="FT89" i="3"/>
  <c r="FI89" i="3"/>
  <c r="FH89" i="3" s="1"/>
  <c r="FG89" i="3"/>
  <c r="FF89" i="3" s="1"/>
  <c r="FE89" i="3"/>
  <c r="FD89" i="3" s="1"/>
  <c r="FC89" i="3"/>
  <c r="FB89" i="3" s="1"/>
  <c r="FA89" i="3"/>
  <c r="EZ89" i="3" s="1"/>
  <c r="EY89" i="3"/>
  <c r="EX89" i="3"/>
  <c r="EW89" i="3"/>
  <c r="EV89" i="3" s="1"/>
  <c r="EU89" i="3"/>
  <c r="ET89" i="3"/>
  <c r="ES89" i="3"/>
  <c r="ER89" i="3" s="1"/>
  <c r="EQ89" i="3"/>
  <c r="EP89" i="3" s="1"/>
  <c r="EO89" i="3"/>
  <c r="EN89" i="3" s="1"/>
  <c r="EK89" i="3"/>
  <c r="EJ89" i="3" s="1"/>
  <c r="EI89" i="3"/>
  <c r="EH89" i="3"/>
  <c r="EF89" i="3"/>
  <c r="EC89" i="3"/>
  <c r="DV89" i="3"/>
  <c r="GA89" i="3" s="1"/>
  <c r="DS89" i="3"/>
  <c r="FX89" i="3" s="1"/>
  <c r="DR89" i="3"/>
  <c r="FU89" i="3" s="1"/>
  <c r="CW89" i="3"/>
  <c r="CQ89" i="3"/>
  <c r="CK89" i="3"/>
  <c r="CI89" i="3"/>
  <c r="CF89" i="3"/>
  <c r="CE89" i="3"/>
  <c r="CC89" i="3"/>
  <c r="BU89" i="3"/>
  <c r="BT89" i="3" s="1"/>
  <c r="AW89" i="3"/>
  <c r="FK89" i="3" s="1"/>
  <c r="FJ89" i="3" s="1"/>
  <c r="AV89" i="3"/>
  <c r="AT89" i="3"/>
  <c r="AR89" i="3"/>
  <c r="AP89" i="3"/>
  <c r="AN89" i="3"/>
  <c r="AI89" i="3"/>
  <c r="AE89" i="3"/>
  <c r="EM89" i="3" s="1"/>
  <c r="EL89" i="3" s="1"/>
  <c r="AD89" i="3"/>
  <c r="AB89" i="3"/>
  <c r="Z89" i="3"/>
  <c r="W89" i="3"/>
  <c r="U89" i="3"/>
  <c r="BG89" i="3" s="1"/>
  <c r="BJ89" i="3" s="1"/>
  <c r="T89" i="3"/>
  <c r="DZ89" i="3" s="1"/>
  <c r="EU88" i="3"/>
  <c r="FZ87" i="3"/>
  <c r="FY87" i="3"/>
  <c r="FT87" i="3"/>
  <c r="FI87" i="3"/>
  <c r="FH87" i="3"/>
  <c r="FG87" i="3"/>
  <c r="FF87" i="3" s="1"/>
  <c r="FE87" i="3"/>
  <c r="FD87" i="3"/>
  <c r="FC87" i="3"/>
  <c r="FB87" i="3" s="1"/>
  <c r="FA87" i="3"/>
  <c r="EZ87" i="3"/>
  <c r="EY87" i="3"/>
  <c r="EX87" i="3" s="1"/>
  <c r="EW87" i="3"/>
  <c r="EV87" i="3"/>
  <c r="EU87" i="3"/>
  <c r="ET87" i="3" s="1"/>
  <c r="ES87" i="3"/>
  <c r="ER87" i="3"/>
  <c r="EQ87" i="3"/>
  <c r="EP87" i="3" s="1"/>
  <c r="EO87" i="3"/>
  <c r="EN87" i="3"/>
  <c r="EK87" i="3"/>
  <c r="EJ87" i="3"/>
  <c r="EI87" i="3"/>
  <c r="EH87" i="3" s="1"/>
  <c r="EF87" i="3"/>
  <c r="EC87" i="3"/>
  <c r="DV87" i="3"/>
  <c r="GA87" i="3" s="1"/>
  <c r="DS87" i="3"/>
  <c r="FX87" i="3" s="1"/>
  <c r="DR87" i="3"/>
  <c r="FU87" i="3" s="1"/>
  <c r="CW87" i="3"/>
  <c r="CQ87" i="3"/>
  <c r="CK87" i="3"/>
  <c r="CI87" i="3"/>
  <c r="CF87" i="3"/>
  <c r="CE87" i="3" s="1"/>
  <c r="BU87" i="3"/>
  <c r="BT87" i="3"/>
  <c r="AW87" i="3"/>
  <c r="FK87" i="3" s="1"/>
  <c r="FJ87" i="3" s="1"/>
  <c r="AT87" i="3"/>
  <c r="AR87" i="3"/>
  <c r="AP87" i="3"/>
  <c r="AN87" i="3"/>
  <c r="AI87" i="3"/>
  <c r="AE87" i="3"/>
  <c r="EM87" i="3" s="1"/>
  <c r="EL87" i="3" s="1"/>
  <c r="AD87" i="3"/>
  <c r="AB87" i="3"/>
  <c r="Z87" i="3"/>
  <c r="W87" i="3"/>
  <c r="Y87" i="3" s="1"/>
  <c r="V87" i="3"/>
  <c r="U87" i="3"/>
  <c r="BG87" i="3" s="1"/>
  <c r="EU86" i="3"/>
  <c r="FZ85" i="3"/>
  <c r="FY85" i="3"/>
  <c r="FT85" i="3"/>
  <c r="EY85" i="3"/>
  <c r="EX85" i="3" s="1"/>
  <c r="EW85" i="3"/>
  <c r="EV85" i="3"/>
  <c r="EU85" i="3"/>
  <c r="ET85" i="3" s="1"/>
  <c r="ES85" i="3"/>
  <c r="ER85" i="3"/>
  <c r="EQ85" i="3"/>
  <c r="EP85" i="3" s="1"/>
  <c r="EO85" i="3"/>
  <c r="EN85" i="3"/>
  <c r="EK85" i="3"/>
  <c r="EJ85" i="3"/>
  <c r="EI85" i="3"/>
  <c r="EH85" i="3" s="1"/>
  <c r="EF85" i="3"/>
  <c r="EC85" i="3"/>
  <c r="DS85" i="3"/>
  <c r="DR85" i="3"/>
  <c r="DC85" i="3"/>
  <c r="FI85" i="3" s="1"/>
  <c r="FH85" i="3" s="1"/>
  <c r="DB85" i="3"/>
  <c r="FG85" i="3" s="1"/>
  <c r="FF85" i="3" s="1"/>
  <c r="DA85" i="3"/>
  <c r="FE85" i="3" s="1"/>
  <c r="FD85" i="3" s="1"/>
  <c r="CZ85" i="3"/>
  <c r="FC85" i="3" s="1"/>
  <c r="FB85" i="3" s="1"/>
  <c r="CY85" i="3"/>
  <c r="CX85" i="3" s="1"/>
  <c r="CQ85" i="3"/>
  <c r="CK85" i="3"/>
  <c r="CI85" i="3"/>
  <c r="CF85" i="3"/>
  <c r="CE85" i="3"/>
  <c r="CC85" i="3"/>
  <c r="BP85" i="3"/>
  <c r="BO85" i="3"/>
  <c r="BU85" i="3" s="1"/>
  <c r="BT85" i="3" s="1"/>
  <c r="BH85" i="3"/>
  <c r="BG85" i="3"/>
  <c r="BJ85" i="3" s="1"/>
  <c r="BF85" i="3"/>
  <c r="AW85" i="3"/>
  <c r="AV85" i="3" s="1"/>
  <c r="AT85" i="3"/>
  <c r="AR85" i="3"/>
  <c r="AP85" i="3"/>
  <c r="AN85" i="3"/>
  <c r="AI85" i="3"/>
  <c r="AE85" i="3"/>
  <c r="EM85" i="3" s="1"/>
  <c r="EL85" i="3" s="1"/>
  <c r="AB85" i="3"/>
  <c r="Z85" i="3"/>
  <c r="W85" i="3"/>
  <c r="V85" i="3"/>
  <c r="T85" i="3"/>
  <c r="DZ85" i="3" s="1"/>
  <c r="EU84" i="3"/>
  <c r="FZ83" i="3"/>
  <c r="FY83" i="3"/>
  <c r="FT83" i="3"/>
  <c r="EY83" i="3"/>
  <c r="EX83" i="3"/>
  <c r="EW83" i="3"/>
  <c r="EV83" i="3" s="1"/>
  <c r="EU83" i="3"/>
  <c r="ET83" i="3"/>
  <c r="EQ83" i="3"/>
  <c r="EP83" i="3"/>
  <c r="EO83" i="3"/>
  <c r="EN83" i="3" s="1"/>
  <c r="EK83" i="3"/>
  <c r="EJ83" i="3" s="1"/>
  <c r="EI83" i="3"/>
  <c r="EH83" i="3"/>
  <c r="EF83" i="3"/>
  <c r="EC83" i="3"/>
  <c r="DS83" i="3"/>
  <c r="DR83" i="3"/>
  <c r="DC83" i="3"/>
  <c r="FI83" i="3" s="1"/>
  <c r="FH83" i="3" s="1"/>
  <c r="DB83" i="3"/>
  <c r="FG83" i="3" s="1"/>
  <c r="FF83" i="3" s="1"/>
  <c r="DA83" i="3"/>
  <c r="FE83" i="3" s="1"/>
  <c r="FD83" i="3" s="1"/>
  <c r="CZ83" i="3"/>
  <c r="FC83" i="3" s="1"/>
  <c r="FB83" i="3" s="1"/>
  <c r="CY83" i="3"/>
  <c r="FA83" i="3" s="1"/>
  <c r="EZ83" i="3" s="1"/>
  <c r="CQ83" i="3"/>
  <c r="CK83" i="3"/>
  <c r="CI83" i="3"/>
  <c r="CF83" i="3"/>
  <c r="CH83" i="3" s="1"/>
  <c r="CG83" i="3" s="1"/>
  <c r="CE83" i="3"/>
  <c r="BP83" i="3"/>
  <c r="FX83" i="3" s="1"/>
  <c r="BO83" i="3"/>
  <c r="BH83" i="3"/>
  <c r="BG83" i="3"/>
  <c r="BJ83" i="3" s="1"/>
  <c r="BE83" i="3"/>
  <c r="BD83" i="3" s="1"/>
  <c r="AW83" i="3"/>
  <c r="AV83" i="3"/>
  <c r="AT83" i="3"/>
  <c r="AR83" i="3"/>
  <c r="AP83" i="3"/>
  <c r="AO83" i="3"/>
  <c r="AN83" i="3"/>
  <c r="AK83" i="3"/>
  <c r="AI83" i="3"/>
  <c r="AE83" i="3"/>
  <c r="EM83" i="3" s="1"/>
  <c r="EL83" i="3" s="1"/>
  <c r="AD83" i="3"/>
  <c r="AB83" i="3"/>
  <c r="Z83" i="3"/>
  <c r="Y83" i="3"/>
  <c r="V83" i="3"/>
  <c r="T83" i="3"/>
  <c r="DZ83" i="3" s="1"/>
  <c r="EU82" i="3"/>
  <c r="FZ81" i="3"/>
  <c r="FY81" i="3"/>
  <c r="FT81" i="3"/>
  <c r="FI81" i="3"/>
  <c r="FH81" i="3"/>
  <c r="FG81" i="3"/>
  <c r="FF81" i="3" s="1"/>
  <c r="FE81" i="3"/>
  <c r="FD81" i="3"/>
  <c r="FC81" i="3"/>
  <c r="FB81" i="3" s="1"/>
  <c r="FA81" i="3"/>
  <c r="EZ81" i="3"/>
  <c r="EY81" i="3"/>
  <c r="EX81" i="3" s="1"/>
  <c r="EW81" i="3"/>
  <c r="EV81" i="3"/>
  <c r="EU81" i="3"/>
  <c r="ET81" i="3" s="1"/>
  <c r="ES81" i="3"/>
  <c r="ER81" i="3"/>
  <c r="EQ81" i="3"/>
  <c r="EP81" i="3" s="1"/>
  <c r="EO81" i="3"/>
  <c r="EN81" i="3"/>
  <c r="EK81" i="3"/>
  <c r="EJ81" i="3"/>
  <c r="EI81" i="3"/>
  <c r="EH81" i="3" s="1"/>
  <c r="EF81" i="3"/>
  <c r="EC81" i="3"/>
  <c r="DV81" i="3"/>
  <c r="GA81" i="3" s="1"/>
  <c r="DS81" i="3"/>
  <c r="FX81" i="3" s="1"/>
  <c r="DR81" i="3"/>
  <c r="FU81" i="3" s="1"/>
  <c r="CW81" i="3"/>
  <c r="CQ81" i="3"/>
  <c r="CK81" i="3"/>
  <c r="CI81" i="3"/>
  <c r="CF81" i="3"/>
  <c r="CE81" i="3" s="1"/>
  <c r="BU81" i="3"/>
  <c r="BT81" i="3"/>
  <c r="AW81" i="3"/>
  <c r="FK81" i="3" s="1"/>
  <c r="FJ81" i="3" s="1"/>
  <c r="AT81" i="3"/>
  <c r="AR81" i="3"/>
  <c r="AP81" i="3"/>
  <c r="AN81" i="3"/>
  <c r="AI81" i="3"/>
  <c r="AE81" i="3"/>
  <c r="EM81" i="3" s="1"/>
  <c r="EL81" i="3" s="1"/>
  <c r="AD81" i="3"/>
  <c r="AB81" i="3"/>
  <c r="Z81" i="3"/>
  <c r="W81" i="3"/>
  <c r="Y81" i="3" s="1"/>
  <c r="V81" i="3"/>
  <c r="U81" i="3"/>
  <c r="BG81" i="3" s="1"/>
  <c r="EU80" i="3"/>
  <c r="FZ79" i="3"/>
  <c r="FY79" i="3"/>
  <c r="FT79" i="3"/>
  <c r="EY79" i="3"/>
  <c r="EX79" i="3" s="1"/>
  <c r="EW79" i="3"/>
  <c r="EV79" i="3"/>
  <c r="EU79" i="3"/>
  <c r="ET79" i="3" s="1"/>
  <c r="ES79" i="3"/>
  <c r="ER79" i="3"/>
  <c r="EQ79" i="3"/>
  <c r="EP79" i="3" s="1"/>
  <c r="EO79" i="3"/>
  <c r="EN79" i="3"/>
  <c r="EK79" i="3"/>
  <c r="EJ79" i="3"/>
  <c r="EI79" i="3"/>
  <c r="EH79" i="3" s="1"/>
  <c r="EF79" i="3"/>
  <c r="EC79" i="3"/>
  <c r="DS79" i="3"/>
  <c r="DR79" i="3"/>
  <c r="DC79" i="3"/>
  <c r="FI79" i="3" s="1"/>
  <c r="FH79" i="3" s="1"/>
  <c r="DB79" i="3"/>
  <c r="FG79" i="3" s="1"/>
  <c r="FF79" i="3" s="1"/>
  <c r="DA79" i="3"/>
  <c r="FE79" i="3" s="1"/>
  <c r="FD79" i="3" s="1"/>
  <c r="CZ79" i="3"/>
  <c r="FC79" i="3" s="1"/>
  <c r="FB79" i="3" s="1"/>
  <c r="CY79" i="3"/>
  <c r="CX79" i="3" s="1"/>
  <c r="CQ79" i="3"/>
  <c r="CK79" i="3"/>
  <c r="CI79" i="3"/>
  <c r="CF79" i="3"/>
  <c r="CE79" i="3"/>
  <c r="CC79" i="3"/>
  <c r="BP79" i="3"/>
  <c r="BO79" i="3"/>
  <c r="BU79" i="3" s="1"/>
  <c r="BT79" i="3" s="1"/>
  <c r="BH79" i="3"/>
  <c r="BG79" i="3"/>
  <c r="BJ79" i="3" s="1"/>
  <c r="BF79" i="3"/>
  <c r="AW79" i="3"/>
  <c r="AV79" i="3" s="1"/>
  <c r="AT79" i="3"/>
  <c r="AR79" i="3"/>
  <c r="AP79" i="3"/>
  <c r="AN79" i="3"/>
  <c r="AI79" i="3"/>
  <c r="AE79" i="3"/>
  <c r="EM79" i="3" s="1"/>
  <c r="EL79" i="3" s="1"/>
  <c r="AB79" i="3"/>
  <c r="Z79" i="3"/>
  <c r="W79" i="3"/>
  <c r="V79" i="3"/>
  <c r="T79" i="3"/>
  <c r="DZ79" i="3" s="1"/>
  <c r="EU78" i="3"/>
  <c r="FZ77" i="3"/>
  <c r="FY77" i="3"/>
  <c r="FV77" i="3"/>
  <c r="FT77" i="3"/>
  <c r="EY77" i="3"/>
  <c r="EW77" i="3"/>
  <c r="EU77" i="3"/>
  <c r="ES77" i="3"/>
  <c r="EQ77" i="3"/>
  <c r="EO77" i="3"/>
  <c r="EK77" i="3"/>
  <c r="EI77" i="3"/>
  <c r="DS77" i="3"/>
  <c r="DR77" i="3"/>
  <c r="DC77" i="3"/>
  <c r="FI77" i="3" s="1"/>
  <c r="DB77" i="3"/>
  <c r="FG77" i="3" s="1"/>
  <c r="DA77" i="3"/>
  <c r="FE77" i="3" s="1"/>
  <c r="CZ77" i="3"/>
  <c r="FC77" i="3" s="1"/>
  <c r="CY77" i="3"/>
  <c r="CX77" i="3" s="1"/>
  <c r="CF77" i="3"/>
  <c r="CC77" i="3"/>
  <c r="DH77" i="3" s="1"/>
  <c r="BP77" i="3"/>
  <c r="BO77" i="3"/>
  <c r="BU77" i="3" s="1"/>
  <c r="BG77" i="3"/>
  <c r="BJ77" i="3" s="1"/>
  <c r="AW77" i="3"/>
  <c r="AE77" i="3"/>
  <c r="EM77" i="3" s="1"/>
  <c r="W77" i="3"/>
  <c r="FZ76" i="3"/>
  <c r="FY76" i="3"/>
  <c r="FV76" i="3"/>
  <c r="FT76" i="3"/>
  <c r="EY76" i="3"/>
  <c r="EW76" i="3"/>
  <c r="EU76" i="3"/>
  <c r="ES76" i="3"/>
  <c r="EQ76" i="3"/>
  <c r="EO76" i="3"/>
  <c r="EK76" i="3"/>
  <c r="EI76" i="3"/>
  <c r="DS76" i="3"/>
  <c r="FX76" i="3" s="1"/>
  <c r="DR76" i="3"/>
  <c r="FU76" i="3" s="1"/>
  <c r="DC76" i="3"/>
  <c r="FI76" i="3" s="1"/>
  <c r="DB76" i="3"/>
  <c r="FG76" i="3" s="1"/>
  <c r="DA76" i="3"/>
  <c r="FE76" i="3" s="1"/>
  <c r="CY76" i="3"/>
  <c r="FA76" i="3" s="1"/>
  <c r="CX76" i="3"/>
  <c r="CH76" i="3"/>
  <c r="CC76" i="3"/>
  <c r="DH76" i="3" s="1"/>
  <c r="BU76" i="3"/>
  <c r="BJ76" i="3"/>
  <c r="AE76" i="3"/>
  <c r="EM76" i="3" s="1"/>
  <c r="W76" i="3"/>
  <c r="FZ75" i="3"/>
  <c r="FY75" i="3"/>
  <c r="FV75" i="3"/>
  <c r="FT75" i="3"/>
  <c r="EY75" i="3"/>
  <c r="EW75" i="3"/>
  <c r="EU75" i="3"/>
  <c r="ES75" i="3"/>
  <c r="EQ75" i="3"/>
  <c r="EO75" i="3"/>
  <c r="DS75" i="3"/>
  <c r="FX75" i="3" s="1"/>
  <c r="DC75" i="3"/>
  <c r="DB75" i="3"/>
  <c r="FG75" i="3" s="1"/>
  <c r="DA75" i="3"/>
  <c r="FE75" i="3" s="1"/>
  <c r="CZ75" i="3"/>
  <c r="FC75" i="3" s="1"/>
  <c r="CY75" i="3"/>
  <c r="FA75" i="3" s="1"/>
  <c r="CF75" i="3"/>
  <c r="CC75" i="3"/>
  <c r="BU75" i="3"/>
  <c r="BJ75" i="3"/>
  <c r="AW75" i="3"/>
  <c r="AE75" i="3"/>
  <c r="EM75" i="3" s="1"/>
  <c r="W75" i="3"/>
  <c r="FZ74" i="3"/>
  <c r="FY74" i="3"/>
  <c r="FV74" i="3"/>
  <c r="FT74" i="3"/>
  <c r="EY74" i="3"/>
  <c r="EW74" i="3"/>
  <c r="EU74" i="3"/>
  <c r="ES74" i="3"/>
  <c r="EQ74" i="3"/>
  <c r="EO74" i="3"/>
  <c r="EK74" i="3"/>
  <c r="EI74" i="3"/>
  <c r="DS74" i="3"/>
  <c r="DR74" i="3"/>
  <c r="DQ74" i="3"/>
  <c r="FW74" i="3" s="1"/>
  <c r="DC74" i="3"/>
  <c r="FI74" i="3" s="1"/>
  <c r="DB74" i="3"/>
  <c r="FG74" i="3" s="1"/>
  <c r="DA74" i="3"/>
  <c r="FE74" i="3" s="1"/>
  <c r="CZ74" i="3"/>
  <c r="FC74" i="3" s="1"/>
  <c r="CY74" i="3"/>
  <c r="FA74" i="3" s="1"/>
  <c r="CF74" i="3"/>
  <c r="BP74" i="3"/>
  <c r="BO74" i="3"/>
  <c r="BU74" i="3" s="1"/>
  <c r="BG74" i="3"/>
  <c r="BJ74" i="3" s="1"/>
  <c r="AW74" i="3"/>
  <c r="AE74" i="3"/>
  <c r="EM74" i="3" s="1"/>
  <c r="W74" i="3"/>
  <c r="FZ73" i="3"/>
  <c r="FY73" i="3"/>
  <c r="FV73" i="3"/>
  <c r="FT73" i="3"/>
  <c r="EY73" i="3"/>
  <c r="EX73" i="3"/>
  <c r="EW73" i="3"/>
  <c r="EU73" i="3"/>
  <c r="ET73" i="3" s="1"/>
  <c r="ES73" i="3"/>
  <c r="EQ73" i="3"/>
  <c r="EP73" i="3"/>
  <c r="EO73" i="3"/>
  <c r="EF73" i="3"/>
  <c r="EC73" i="3"/>
  <c r="DS73" i="3"/>
  <c r="DR73" i="3"/>
  <c r="FU73" i="3" s="1"/>
  <c r="DC73" i="3"/>
  <c r="FI73" i="3" s="1"/>
  <c r="DB73" i="3"/>
  <c r="FG73" i="3" s="1"/>
  <c r="FF73" i="3" s="1"/>
  <c r="DA73" i="3"/>
  <c r="FE73" i="3" s="1"/>
  <c r="CZ73" i="3"/>
  <c r="FC73" i="3" s="1"/>
  <c r="CY73" i="3"/>
  <c r="FA73" i="3" s="1"/>
  <c r="CX73" i="3"/>
  <c r="CQ73" i="3"/>
  <c r="CF73" i="3"/>
  <c r="CC73" i="3"/>
  <c r="BP73" i="3"/>
  <c r="BU73" i="3" s="1"/>
  <c r="BH73" i="3"/>
  <c r="BG73" i="3"/>
  <c r="BJ73" i="3" s="1"/>
  <c r="BF73" i="3"/>
  <c r="AW73" i="3"/>
  <c r="AT73" i="3"/>
  <c r="AR73" i="3"/>
  <c r="AP73" i="3"/>
  <c r="AN73" i="3"/>
  <c r="AI73" i="3"/>
  <c r="AE73" i="3"/>
  <c r="EM73" i="3" s="1"/>
  <c r="EL73" i="3" s="1"/>
  <c r="AD73" i="3"/>
  <c r="W73" i="3"/>
  <c r="V73" i="3"/>
  <c r="T73" i="3"/>
  <c r="EU72" i="3"/>
  <c r="FZ71" i="3"/>
  <c r="FY71" i="3"/>
  <c r="FV71" i="3"/>
  <c r="FT71" i="3"/>
  <c r="EY71" i="3"/>
  <c r="EX71" i="3" s="1"/>
  <c r="EW71" i="3"/>
  <c r="EV71" i="3"/>
  <c r="EU71" i="3"/>
  <c r="ET71" i="3" s="1"/>
  <c r="ES71" i="3"/>
  <c r="ER71" i="3"/>
  <c r="EQ71" i="3"/>
  <c r="EP71" i="3" s="1"/>
  <c r="EO71" i="3"/>
  <c r="EN71" i="3"/>
  <c r="EK71" i="3"/>
  <c r="EJ71" i="3"/>
  <c r="EF71" i="3"/>
  <c r="EC71" i="3"/>
  <c r="DS71" i="3"/>
  <c r="DR71" i="3"/>
  <c r="FU71" i="3" s="1"/>
  <c r="DC71" i="3"/>
  <c r="FI71" i="3" s="1"/>
  <c r="FH71" i="3" s="1"/>
  <c r="DB71" i="3"/>
  <c r="FG71" i="3" s="1"/>
  <c r="FF71" i="3" s="1"/>
  <c r="DA71" i="3"/>
  <c r="FE71" i="3" s="1"/>
  <c r="FD71" i="3" s="1"/>
  <c r="CZ71" i="3"/>
  <c r="FC71" i="3" s="1"/>
  <c r="FB71" i="3" s="1"/>
  <c r="CY71" i="3"/>
  <c r="FA71" i="3" s="1"/>
  <c r="EZ71" i="3" s="1"/>
  <c r="CQ71" i="3"/>
  <c r="CK71" i="3"/>
  <c r="CI71" i="3"/>
  <c r="CF71" i="3"/>
  <c r="CE71" i="3"/>
  <c r="CC71" i="3"/>
  <c r="DF71" i="3" s="1"/>
  <c r="BP71" i="3"/>
  <c r="BU71" i="3" s="1"/>
  <c r="BT71" i="3" s="1"/>
  <c r="BH71" i="3"/>
  <c r="BG71" i="3"/>
  <c r="BJ71" i="3" s="1"/>
  <c r="BF71" i="3"/>
  <c r="AW71" i="3"/>
  <c r="AV71" i="3"/>
  <c r="AT71" i="3"/>
  <c r="AR71" i="3"/>
  <c r="AP71" i="3"/>
  <c r="AN71" i="3"/>
  <c r="AI71" i="3"/>
  <c r="AE71" i="3"/>
  <c r="Z71" i="3"/>
  <c r="W71" i="3"/>
  <c r="V71" i="3"/>
  <c r="T71" i="3"/>
  <c r="DZ71" i="3" s="1"/>
  <c r="EU70" i="3"/>
  <c r="FZ69" i="3"/>
  <c r="FY69" i="3"/>
  <c r="FV69" i="3"/>
  <c r="FT69" i="3"/>
  <c r="EY69" i="3"/>
  <c r="EX69" i="3"/>
  <c r="EW69" i="3"/>
  <c r="EV69" i="3"/>
  <c r="EU69" i="3"/>
  <c r="ET69" i="3"/>
  <c r="ES69" i="3"/>
  <c r="ER69" i="3"/>
  <c r="EQ69" i="3"/>
  <c r="EP69" i="3"/>
  <c r="EO69" i="3"/>
  <c r="EN69" i="3"/>
  <c r="EI69" i="3"/>
  <c r="EH69" i="3" s="1"/>
  <c r="EF69" i="3"/>
  <c r="EC69" i="3"/>
  <c r="DS69" i="3"/>
  <c r="DR69" i="3"/>
  <c r="DC69" i="3"/>
  <c r="FI69" i="3" s="1"/>
  <c r="FH69" i="3" s="1"/>
  <c r="DB69" i="3"/>
  <c r="FG69" i="3" s="1"/>
  <c r="FF69" i="3" s="1"/>
  <c r="DA69" i="3"/>
  <c r="FE69" i="3" s="1"/>
  <c r="FD69" i="3" s="1"/>
  <c r="CZ69" i="3"/>
  <c r="FC69" i="3" s="1"/>
  <c r="FB69" i="3" s="1"/>
  <c r="CY69" i="3"/>
  <c r="FA69" i="3" s="1"/>
  <c r="EZ69" i="3" s="1"/>
  <c r="CQ69" i="3"/>
  <c r="CK69" i="3"/>
  <c r="CI69" i="3"/>
  <c r="CF69" i="3"/>
  <c r="BP69" i="3"/>
  <c r="BO69" i="3"/>
  <c r="BU69" i="3" s="1"/>
  <c r="BT69" i="3" s="1"/>
  <c r="BH69" i="3"/>
  <c r="BG69" i="3"/>
  <c r="BJ69" i="3" s="1"/>
  <c r="BF69" i="3"/>
  <c r="AW69" i="3"/>
  <c r="AV69" i="3"/>
  <c r="AT69" i="3"/>
  <c r="AR69" i="3"/>
  <c r="AP69" i="3"/>
  <c r="AN69" i="3"/>
  <c r="AI69" i="3"/>
  <c r="AE69" i="3"/>
  <c r="EM69" i="3" s="1"/>
  <c r="EL69" i="3" s="1"/>
  <c r="AD69" i="3"/>
  <c r="AB69" i="3"/>
  <c r="W69" i="3"/>
  <c r="V69" i="3"/>
  <c r="T69" i="3"/>
  <c r="DZ69" i="3" s="1"/>
  <c r="EU68" i="3"/>
  <c r="FZ67" i="3"/>
  <c r="FY67" i="3"/>
  <c r="FV67" i="3"/>
  <c r="FT67" i="3"/>
  <c r="EY67" i="3"/>
  <c r="EW67" i="3"/>
  <c r="EU67" i="3"/>
  <c r="ES67" i="3"/>
  <c r="EQ67" i="3"/>
  <c r="EO67" i="3"/>
  <c r="EK67" i="3"/>
  <c r="DS67" i="3"/>
  <c r="DR67" i="3"/>
  <c r="FU67" i="3" s="1"/>
  <c r="DC67" i="3"/>
  <c r="FI67" i="3" s="1"/>
  <c r="DB67" i="3"/>
  <c r="FG67" i="3" s="1"/>
  <c r="DA67" i="3"/>
  <c r="FE67" i="3" s="1"/>
  <c r="CZ67" i="3"/>
  <c r="FC67" i="3" s="1"/>
  <c r="CY67" i="3"/>
  <c r="FA67" i="3" s="1"/>
  <c r="CX67" i="3"/>
  <c r="DV67" i="3" s="1"/>
  <c r="GA67" i="3" s="1"/>
  <c r="CF67" i="3"/>
  <c r="CC67" i="3" s="1"/>
  <c r="BP67" i="3"/>
  <c r="BU67" i="3" s="1"/>
  <c r="BG67" i="3"/>
  <c r="BJ67" i="3" s="1"/>
  <c r="AW67" i="3"/>
  <c r="AE67" i="3"/>
  <c r="EM67" i="3" s="1"/>
  <c r="W67" i="3"/>
  <c r="Y67" i="3" s="1"/>
  <c r="FZ66" i="3"/>
  <c r="FY66" i="3"/>
  <c r="FV66" i="3"/>
  <c r="FT66" i="3"/>
  <c r="EY66" i="3"/>
  <c r="EX66" i="3"/>
  <c r="EW66" i="3"/>
  <c r="EV66" i="3"/>
  <c r="EU66" i="3"/>
  <c r="ET66" i="3" s="1"/>
  <c r="ES66" i="3"/>
  <c r="EQ66" i="3"/>
  <c r="EP66" i="3"/>
  <c r="EO66" i="3"/>
  <c r="EN66" i="3"/>
  <c r="EK66" i="3"/>
  <c r="EI66" i="3"/>
  <c r="EF66" i="3"/>
  <c r="EC66" i="3"/>
  <c r="DS66" i="3"/>
  <c r="DR66" i="3"/>
  <c r="DC66" i="3"/>
  <c r="FI66" i="3" s="1"/>
  <c r="FH66" i="3" s="1"/>
  <c r="DB66" i="3"/>
  <c r="FG66" i="3" s="1"/>
  <c r="FF66" i="3" s="1"/>
  <c r="DA66" i="3"/>
  <c r="FE66" i="3" s="1"/>
  <c r="FD66" i="3" s="1"/>
  <c r="CZ66" i="3"/>
  <c r="FC66" i="3" s="1"/>
  <c r="FB66" i="3" s="1"/>
  <c r="CY66" i="3"/>
  <c r="FA66" i="3" s="1"/>
  <c r="CX66" i="3"/>
  <c r="DV66" i="3" s="1"/>
  <c r="GA66" i="3" s="1"/>
  <c r="CQ66" i="3"/>
  <c r="CK66" i="3"/>
  <c r="CI66" i="3"/>
  <c r="CF66" i="3"/>
  <c r="CC66" i="3"/>
  <c r="DF66" i="3" s="1"/>
  <c r="BP66" i="3"/>
  <c r="BO66" i="3"/>
  <c r="BU66" i="3" s="1"/>
  <c r="BT66" i="3" s="1"/>
  <c r="BH66" i="3"/>
  <c r="BG66" i="3"/>
  <c r="BJ66" i="3" s="1"/>
  <c r="BF66" i="3"/>
  <c r="AW66" i="3"/>
  <c r="AV66" i="3" s="1"/>
  <c r="AT66" i="3"/>
  <c r="AR66" i="3"/>
  <c r="AP66" i="3"/>
  <c r="AN66" i="3"/>
  <c r="AI66" i="3"/>
  <c r="AE66" i="3"/>
  <c r="AD66" i="3" s="1"/>
  <c r="Z66" i="3"/>
  <c r="W66" i="3"/>
  <c r="T66" i="3"/>
  <c r="EU65" i="3"/>
  <c r="FZ64" i="3"/>
  <c r="FY64" i="3"/>
  <c r="FV64" i="3"/>
  <c r="FT64" i="3"/>
  <c r="EY64" i="3"/>
  <c r="EX64" i="3"/>
  <c r="EW64" i="3"/>
  <c r="EV64" i="3"/>
  <c r="EU64" i="3"/>
  <c r="ET64" i="3"/>
  <c r="ES64" i="3"/>
  <c r="ER64" i="3"/>
  <c r="EQ64" i="3"/>
  <c r="EP64" i="3"/>
  <c r="EO64" i="3"/>
  <c r="EN64" i="3"/>
  <c r="EK64" i="3"/>
  <c r="EJ64" i="3"/>
  <c r="EI64" i="3"/>
  <c r="EH64" i="3"/>
  <c r="EF64" i="3"/>
  <c r="EC64" i="3"/>
  <c r="DS64" i="3"/>
  <c r="DR64" i="3"/>
  <c r="DC64" i="3"/>
  <c r="FI64" i="3" s="1"/>
  <c r="FH64" i="3" s="1"/>
  <c r="DB64" i="3"/>
  <c r="FG64" i="3" s="1"/>
  <c r="FF64" i="3" s="1"/>
  <c r="DA64" i="3"/>
  <c r="FE64" i="3" s="1"/>
  <c r="FD64" i="3" s="1"/>
  <c r="CZ64" i="3"/>
  <c r="FC64" i="3" s="1"/>
  <c r="FB64" i="3" s="1"/>
  <c r="CQ64" i="3"/>
  <c r="CK64" i="3"/>
  <c r="CI64" i="3"/>
  <c r="BP64" i="3"/>
  <c r="BO64" i="3"/>
  <c r="BU64" i="3" s="1"/>
  <c r="BT64" i="3" s="1"/>
  <c r="BH64" i="3"/>
  <c r="BG64" i="3"/>
  <c r="BJ64" i="3" s="1"/>
  <c r="BF64" i="3"/>
  <c r="AT64" i="3"/>
  <c r="AR64" i="3"/>
  <c r="AP64" i="3"/>
  <c r="AN64" i="3"/>
  <c r="AI64" i="3"/>
  <c r="AE64" i="3"/>
  <c r="AD64" i="3" s="1"/>
  <c r="AB64" i="3"/>
  <c r="Z64" i="3"/>
  <c r="W64" i="3"/>
  <c r="V64" i="3"/>
  <c r="T64" i="3"/>
  <c r="DZ64" i="3" s="1"/>
  <c r="EU63" i="3"/>
  <c r="FZ62" i="3"/>
  <c r="FY62" i="3"/>
  <c r="FV62" i="3"/>
  <c r="FT62" i="3"/>
  <c r="EY62" i="3"/>
  <c r="EX62" i="3"/>
  <c r="EW62" i="3"/>
  <c r="EV62" i="3"/>
  <c r="EU62" i="3"/>
  <c r="ET62" i="3"/>
  <c r="ES62" i="3"/>
  <c r="ER62" i="3"/>
  <c r="EQ62" i="3"/>
  <c r="EP62" i="3"/>
  <c r="EO62" i="3"/>
  <c r="EN62" i="3"/>
  <c r="EK62" i="3"/>
  <c r="EJ62" i="3"/>
  <c r="EI62" i="3"/>
  <c r="EH62" i="3"/>
  <c r="EF62" i="3"/>
  <c r="EC62" i="3"/>
  <c r="DS62" i="3"/>
  <c r="DR62" i="3"/>
  <c r="DC62" i="3"/>
  <c r="FI62" i="3" s="1"/>
  <c r="FH62" i="3" s="1"/>
  <c r="DB62" i="3"/>
  <c r="FG62" i="3" s="1"/>
  <c r="FF62" i="3" s="1"/>
  <c r="DA62" i="3"/>
  <c r="FE62" i="3" s="1"/>
  <c r="FD62" i="3" s="1"/>
  <c r="CZ62" i="3"/>
  <c r="FC62" i="3" s="1"/>
  <c r="FB62" i="3" s="1"/>
  <c r="CQ62" i="3"/>
  <c r="CK62" i="3"/>
  <c r="CI62" i="3"/>
  <c r="BP62" i="3"/>
  <c r="BO62" i="3"/>
  <c r="BU62" i="3" s="1"/>
  <c r="BT62" i="3" s="1"/>
  <c r="BH62" i="3"/>
  <c r="BG62" i="3"/>
  <c r="BJ62" i="3" s="1"/>
  <c r="BF62" i="3"/>
  <c r="AT62" i="3"/>
  <c r="AR62" i="3"/>
  <c r="AP62" i="3"/>
  <c r="AN62" i="3"/>
  <c r="AI62" i="3"/>
  <c r="AE62" i="3"/>
  <c r="AD62" i="3" s="1"/>
  <c r="AB62" i="3"/>
  <c r="Z62" i="3"/>
  <c r="W62" i="3"/>
  <c r="V62" i="3"/>
  <c r="T62" i="3"/>
  <c r="DZ62" i="3" s="1"/>
  <c r="EU61" i="3"/>
  <c r="FZ60" i="3"/>
  <c r="FY60" i="3"/>
  <c r="FV60" i="3"/>
  <c r="FT60" i="3"/>
  <c r="EY60" i="3"/>
  <c r="EX60" i="3"/>
  <c r="EW60" i="3"/>
  <c r="EV60" i="3"/>
  <c r="EU60" i="3"/>
  <c r="ET60" i="3"/>
  <c r="ES60" i="3"/>
  <c r="ER60" i="3"/>
  <c r="EQ60" i="3"/>
  <c r="EP60" i="3"/>
  <c r="EO60" i="3"/>
  <c r="EN60" i="3"/>
  <c r="EK60" i="3"/>
  <c r="EJ60" i="3"/>
  <c r="EI60" i="3"/>
  <c r="EH60" i="3"/>
  <c r="EF60" i="3"/>
  <c r="EC60" i="3"/>
  <c r="DS60" i="3"/>
  <c r="DR60" i="3"/>
  <c r="DC60" i="3"/>
  <c r="FI60" i="3" s="1"/>
  <c r="FH60" i="3" s="1"/>
  <c r="DB60" i="3"/>
  <c r="FG60" i="3" s="1"/>
  <c r="FF60" i="3" s="1"/>
  <c r="DA60" i="3"/>
  <c r="FE60" i="3" s="1"/>
  <c r="FD60" i="3" s="1"/>
  <c r="CZ60" i="3"/>
  <c r="FC60" i="3" s="1"/>
  <c r="FB60" i="3" s="1"/>
  <c r="CY60" i="3"/>
  <c r="FA60" i="3" s="1"/>
  <c r="EZ60" i="3" s="1"/>
  <c r="CQ60" i="3"/>
  <c r="CK60" i="3"/>
  <c r="CI60" i="3"/>
  <c r="BP60" i="3"/>
  <c r="BO60" i="3"/>
  <c r="BU60" i="3" s="1"/>
  <c r="BT60" i="3" s="1"/>
  <c r="BH60" i="3"/>
  <c r="BG60" i="3"/>
  <c r="BJ60" i="3" s="1"/>
  <c r="BF60" i="3"/>
  <c r="AW60" i="3"/>
  <c r="AV60" i="3"/>
  <c r="AT60" i="3"/>
  <c r="AR60" i="3"/>
  <c r="AP60" i="3"/>
  <c r="AN60" i="3"/>
  <c r="AI60" i="3"/>
  <c r="AE60" i="3"/>
  <c r="EM60" i="3" s="1"/>
  <c r="EL60" i="3" s="1"/>
  <c r="AD60" i="3"/>
  <c r="AB60" i="3"/>
  <c r="Z60" i="3"/>
  <c r="W60" i="3"/>
  <c r="T60" i="3"/>
  <c r="DZ60" i="3" s="1"/>
  <c r="EU59" i="3"/>
  <c r="FZ58" i="3"/>
  <c r="FY58" i="3"/>
  <c r="FI58" i="3"/>
  <c r="FH58" i="3" s="1"/>
  <c r="FG58" i="3"/>
  <c r="FF58" i="3"/>
  <c r="FE58" i="3"/>
  <c r="FD58" i="3" s="1"/>
  <c r="FC58" i="3"/>
  <c r="FB58" i="3"/>
  <c r="FA58" i="3"/>
  <c r="EZ58" i="3" s="1"/>
  <c r="EY58" i="3"/>
  <c r="EX58" i="3"/>
  <c r="EW58" i="3"/>
  <c r="EV58" i="3" s="1"/>
  <c r="EU58" i="3"/>
  <c r="ET58" i="3"/>
  <c r="ES58" i="3"/>
  <c r="ER58" i="3" s="1"/>
  <c r="EQ58" i="3"/>
  <c r="EP58" i="3"/>
  <c r="EO58" i="3"/>
  <c r="EN58" i="3" s="1"/>
  <c r="EK58" i="3"/>
  <c r="EJ58" i="3"/>
  <c r="EI58" i="3"/>
  <c r="EH58" i="3"/>
  <c r="EF58" i="3"/>
  <c r="EC58" i="3"/>
  <c r="DV58" i="3"/>
  <c r="GA58" i="3" s="1"/>
  <c r="DS58" i="3"/>
  <c r="FX58" i="3" s="1"/>
  <c r="DR58" i="3"/>
  <c r="FU58" i="3" s="1"/>
  <c r="DQ58" i="3"/>
  <c r="DX58" i="3" s="1"/>
  <c r="DW58" i="3" s="1"/>
  <c r="CW58" i="3"/>
  <c r="CQ58" i="3"/>
  <c r="CM58" i="3"/>
  <c r="CK58" i="3"/>
  <c r="CI58" i="3"/>
  <c r="CF58" i="3"/>
  <c r="CE58" i="3" s="1"/>
  <c r="BU58" i="3"/>
  <c r="BT58" i="3"/>
  <c r="BJ58" i="3"/>
  <c r="BI58" i="3"/>
  <c r="BH58" i="3"/>
  <c r="BF58" i="3"/>
  <c r="AW58" i="3"/>
  <c r="AT58" i="3"/>
  <c r="AR58" i="3"/>
  <c r="AP58" i="3"/>
  <c r="AN58" i="3"/>
  <c r="AI58" i="3"/>
  <c r="AE58" i="3"/>
  <c r="EM58" i="3" s="1"/>
  <c r="EL58" i="3" s="1"/>
  <c r="AD58" i="3"/>
  <c r="AB58" i="3"/>
  <c r="Z58" i="3"/>
  <c r="W58" i="3"/>
  <c r="V58" i="3"/>
  <c r="U58" i="3"/>
  <c r="T58" i="3" s="1"/>
  <c r="DZ58" i="3" s="1"/>
  <c r="EU57" i="3"/>
  <c r="FZ56" i="3"/>
  <c r="FY56" i="3"/>
  <c r="FV56" i="3"/>
  <c r="FT56" i="3"/>
  <c r="EY56" i="3"/>
  <c r="EW56" i="3"/>
  <c r="EU56" i="3"/>
  <c r="ES56" i="3"/>
  <c r="EQ56" i="3"/>
  <c r="EO56" i="3"/>
  <c r="EK56" i="3"/>
  <c r="EI56" i="3"/>
  <c r="DS56" i="3"/>
  <c r="DR56" i="3"/>
  <c r="DC56" i="3"/>
  <c r="FI56" i="3" s="1"/>
  <c r="DB56" i="3"/>
  <c r="FG56" i="3" s="1"/>
  <c r="DA56" i="3"/>
  <c r="CZ56" i="3"/>
  <c r="FC56" i="3" s="1"/>
  <c r="CY56" i="3"/>
  <c r="FA56" i="3" s="1"/>
  <c r="CF56" i="3"/>
  <c r="CC56" i="3"/>
  <c r="DH56" i="3" s="1"/>
  <c r="BP56" i="3"/>
  <c r="BO56" i="3"/>
  <c r="BU56" i="3" s="1"/>
  <c r="BG56" i="3"/>
  <c r="BJ56" i="3" s="1"/>
  <c r="AW56" i="3"/>
  <c r="AE56" i="3"/>
  <c r="EM56" i="3" s="1"/>
  <c r="W56" i="3"/>
  <c r="AL56" i="3" s="1"/>
  <c r="O56" i="3"/>
  <c r="FZ55" i="3"/>
  <c r="FY55" i="3"/>
  <c r="FV55" i="3"/>
  <c r="FT55" i="3"/>
  <c r="EY55" i="3"/>
  <c r="EX55" i="3"/>
  <c r="EW55" i="3"/>
  <c r="EV55" i="3" s="1"/>
  <c r="EU55" i="3"/>
  <c r="ET55" i="3"/>
  <c r="ES55" i="3"/>
  <c r="ER55" i="3" s="1"/>
  <c r="EQ55" i="3"/>
  <c r="EP55" i="3" s="1"/>
  <c r="EO55" i="3"/>
  <c r="EK55" i="3"/>
  <c r="EJ55" i="3" s="1"/>
  <c r="EI55" i="3"/>
  <c r="EH55" i="3"/>
  <c r="EF55" i="3"/>
  <c r="EC55" i="3"/>
  <c r="DS55" i="3"/>
  <c r="DR55" i="3"/>
  <c r="DC55" i="3"/>
  <c r="FI55" i="3" s="1"/>
  <c r="DB55" i="3"/>
  <c r="FG55" i="3" s="1"/>
  <c r="DA55" i="3"/>
  <c r="FE55" i="3" s="1"/>
  <c r="CZ55" i="3"/>
  <c r="CY55" i="3"/>
  <c r="FA55" i="3" s="1"/>
  <c r="CQ55" i="3"/>
  <c r="CK55" i="3"/>
  <c r="CI55" i="3"/>
  <c r="CF55" i="3"/>
  <c r="CE55" i="3"/>
  <c r="CC55" i="3"/>
  <c r="BP55" i="3"/>
  <c r="BO55" i="3"/>
  <c r="BU55" i="3" s="1"/>
  <c r="BT55" i="3" s="1"/>
  <c r="BH55" i="3"/>
  <c r="BG55" i="3"/>
  <c r="BJ55" i="3" s="1"/>
  <c r="AW55" i="3"/>
  <c r="AV55" i="3"/>
  <c r="AT55" i="3"/>
  <c r="AR55" i="3"/>
  <c r="AP55" i="3"/>
  <c r="AN55" i="3"/>
  <c r="AI55" i="3"/>
  <c r="AE55" i="3"/>
  <c r="EM55" i="3" s="1"/>
  <c r="EL55" i="3" s="1"/>
  <c r="AD55" i="3"/>
  <c r="AB55" i="3"/>
  <c r="Z55" i="3"/>
  <c r="W55" i="3"/>
  <c r="V55" i="3" s="1"/>
  <c r="EA55" i="3" s="1"/>
  <c r="T55" i="3"/>
  <c r="EU54" i="3"/>
  <c r="FZ53" i="3"/>
  <c r="FY53" i="3"/>
  <c r="FV53" i="3"/>
  <c r="FT53" i="3"/>
  <c r="EY53" i="3"/>
  <c r="EW53" i="3"/>
  <c r="EU53" i="3"/>
  <c r="ES53" i="3"/>
  <c r="EQ53" i="3"/>
  <c r="EO53" i="3"/>
  <c r="EK53" i="3"/>
  <c r="EI53" i="3"/>
  <c r="DS53" i="3"/>
  <c r="DR53" i="3"/>
  <c r="DC53" i="3"/>
  <c r="FI53" i="3" s="1"/>
  <c r="DB53" i="3"/>
  <c r="FG53" i="3" s="1"/>
  <c r="DA53" i="3"/>
  <c r="FE53" i="3" s="1"/>
  <c r="CZ53" i="3"/>
  <c r="FC53" i="3" s="1"/>
  <c r="CY53" i="3"/>
  <c r="FA53" i="3" s="1"/>
  <c r="CF53" i="3"/>
  <c r="CH53" i="3" s="1"/>
  <c r="CC53" i="3"/>
  <c r="DH53" i="3" s="1"/>
  <c r="BP53" i="3"/>
  <c r="BO53" i="3"/>
  <c r="BG53" i="3"/>
  <c r="BJ53" i="3" s="1"/>
  <c r="AW53" i="3"/>
  <c r="AE53" i="3"/>
  <c r="EM53" i="3" s="1"/>
  <c r="W53" i="3"/>
  <c r="AL53" i="3" s="1"/>
  <c r="FZ52" i="3"/>
  <c r="FY52" i="3"/>
  <c r="FV52" i="3"/>
  <c r="FT52" i="3"/>
  <c r="FI52" i="3"/>
  <c r="FG52" i="3"/>
  <c r="FC52" i="3"/>
  <c r="FA52" i="3"/>
  <c r="EY52" i="3"/>
  <c r="EW52" i="3"/>
  <c r="EU52" i="3"/>
  <c r="ES52" i="3"/>
  <c r="EQ52" i="3"/>
  <c r="EO52" i="3"/>
  <c r="EK52" i="3"/>
  <c r="EI52" i="3"/>
  <c r="DS52" i="3"/>
  <c r="FX52" i="3" s="1"/>
  <c r="DR52" i="3"/>
  <c r="FU52" i="3" s="1"/>
  <c r="DQ52" i="3"/>
  <c r="FW52" i="3" s="1"/>
  <c r="DA52" i="3"/>
  <c r="CX52" i="3" s="1"/>
  <c r="CF52" i="3"/>
  <c r="CC52" i="3"/>
  <c r="BJ52" i="3"/>
  <c r="BI52" i="3"/>
  <c r="AW52" i="3"/>
  <c r="AE52" i="3"/>
  <c r="EM52" i="3" s="1"/>
  <c r="W52" i="3"/>
  <c r="Y52" i="3" s="1"/>
  <c r="U52" i="3"/>
  <c r="BE52" i="3" s="1"/>
  <c r="FV51" i="3"/>
  <c r="FK51" i="3"/>
  <c r="FI51" i="3"/>
  <c r="FG51" i="3"/>
  <c r="FE51" i="3"/>
  <c r="FC51" i="3"/>
  <c r="FA51" i="3"/>
  <c r="EY51" i="3"/>
  <c r="EX51" i="3" s="1"/>
  <c r="EW51" i="3"/>
  <c r="EV51" i="3"/>
  <c r="EU51" i="3"/>
  <c r="ET51" i="3" s="1"/>
  <c r="ES51" i="3"/>
  <c r="EQ51" i="3"/>
  <c r="EP51" i="3" s="1"/>
  <c r="EO51" i="3"/>
  <c r="EN51" i="3" s="1"/>
  <c r="EK51" i="3"/>
  <c r="EJ51" i="3"/>
  <c r="EI51" i="3"/>
  <c r="EH51" i="3" s="1"/>
  <c r="EF51" i="3"/>
  <c r="EC51" i="3"/>
  <c r="DS51" i="3"/>
  <c r="DR51" i="3"/>
  <c r="CX51" i="3"/>
  <c r="DV51" i="3" s="1"/>
  <c r="CQ51" i="3"/>
  <c r="CK51" i="3"/>
  <c r="CI51" i="3"/>
  <c r="CF51" i="3"/>
  <c r="CC51" i="3" s="1"/>
  <c r="BS51" i="3"/>
  <c r="BQ51" i="3"/>
  <c r="GA51" i="3" s="1"/>
  <c r="BP51" i="3"/>
  <c r="BO51" i="3"/>
  <c r="BG51" i="3"/>
  <c r="BI51" i="3" s="1"/>
  <c r="BH51" i="3" s="1"/>
  <c r="AW51" i="3"/>
  <c r="AT51" i="3"/>
  <c r="AR51" i="3"/>
  <c r="AP51" i="3"/>
  <c r="AN51" i="3"/>
  <c r="AI51" i="3"/>
  <c r="AB51" i="3"/>
  <c r="Z51" i="3"/>
  <c r="W51" i="3"/>
  <c r="T51" i="3"/>
  <c r="DZ51" i="3" s="1"/>
  <c r="O51" i="3"/>
  <c r="AG51" i="3" s="1"/>
  <c r="AE51" i="3" s="1"/>
  <c r="EU50" i="3"/>
  <c r="FZ49" i="3"/>
  <c r="FV49" i="3"/>
  <c r="FT49" i="3"/>
  <c r="EY49" i="3"/>
  <c r="EX49" i="3" s="1"/>
  <c r="EW49" i="3"/>
  <c r="EV49" i="3"/>
  <c r="EU49" i="3"/>
  <c r="ET49" i="3" s="1"/>
  <c r="ES49" i="3"/>
  <c r="ER49" i="3" s="1"/>
  <c r="EO49" i="3"/>
  <c r="EN49" i="3" s="1"/>
  <c r="EK49" i="3"/>
  <c r="EJ49" i="3"/>
  <c r="EI49" i="3"/>
  <c r="EH49" i="3" s="1"/>
  <c r="EF49" i="3"/>
  <c r="EC49" i="3"/>
  <c r="DS49" i="3"/>
  <c r="FX49" i="3" s="1"/>
  <c r="DR49" i="3"/>
  <c r="FU49" i="3" s="1"/>
  <c r="DC49" i="3"/>
  <c r="FI49" i="3" s="1"/>
  <c r="FH49" i="3" s="1"/>
  <c r="DB49" i="3"/>
  <c r="FG49" i="3" s="1"/>
  <c r="FF49" i="3" s="1"/>
  <c r="DA49" i="3"/>
  <c r="FE49" i="3" s="1"/>
  <c r="FD49" i="3" s="1"/>
  <c r="CZ49" i="3"/>
  <c r="CY49" i="3"/>
  <c r="FA49" i="3" s="1"/>
  <c r="EZ49" i="3" s="1"/>
  <c r="CQ49" i="3"/>
  <c r="CK49" i="3"/>
  <c r="CI49" i="3"/>
  <c r="CF49" i="3"/>
  <c r="CE49" i="3"/>
  <c r="CC49" i="3"/>
  <c r="DF49" i="3" s="1"/>
  <c r="DE49" i="3" s="1"/>
  <c r="BQ49" i="3"/>
  <c r="BJ49" i="3"/>
  <c r="BI49" i="3"/>
  <c r="BH49" i="3"/>
  <c r="BF49" i="3"/>
  <c r="AW49" i="3"/>
  <c r="AV49" i="3"/>
  <c r="AT49" i="3"/>
  <c r="AR49" i="3"/>
  <c r="AP49" i="3"/>
  <c r="AN49" i="3"/>
  <c r="AJ49" i="3"/>
  <c r="AE49" i="3"/>
  <c r="AD49" i="3" s="1"/>
  <c r="AB49" i="3"/>
  <c r="Z49" i="3"/>
  <c r="W49" i="3"/>
  <c r="Y49" i="3" s="1"/>
  <c r="V49" i="3"/>
  <c r="U49" i="3"/>
  <c r="BE49" i="3" s="1"/>
  <c r="BD49" i="3" s="1"/>
  <c r="EU48" i="3"/>
  <c r="FZ47" i="3"/>
  <c r="FV47" i="3"/>
  <c r="FT47" i="3"/>
  <c r="FI47" i="3"/>
  <c r="FH47" i="3" s="1"/>
  <c r="FG47" i="3"/>
  <c r="FF47" i="3" s="1"/>
  <c r="FE47" i="3"/>
  <c r="FD47" i="3"/>
  <c r="FC47" i="3"/>
  <c r="FB47" i="3" s="1"/>
  <c r="FA47" i="3"/>
  <c r="EZ47" i="3"/>
  <c r="EY47" i="3"/>
  <c r="EX47" i="3" s="1"/>
  <c r="EW47" i="3"/>
  <c r="EV47" i="3"/>
  <c r="EU47" i="3"/>
  <c r="ET47" i="3" s="1"/>
  <c r="ES47" i="3"/>
  <c r="ER47" i="3" s="1"/>
  <c r="EQ47" i="3"/>
  <c r="EP47" i="3" s="1"/>
  <c r="EO47" i="3"/>
  <c r="EN47" i="3" s="1"/>
  <c r="EK47" i="3"/>
  <c r="EJ47" i="3"/>
  <c r="EI47" i="3"/>
  <c r="EH47" i="3" s="1"/>
  <c r="EF47" i="3"/>
  <c r="EC47" i="3"/>
  <c r="DS47" i="3"/>
  <c r="DR47" i="3"/>
  <c r="CX47" i="3"/>
  <c r="CW47" i="3"/>
  <c r="CQ47" i="3"/>
  <c r="CN47" i="3"/>
  <c r="DQ47" i="3" s="1"/>
  <c r="CK47" i="3"/>
  <c r="CI47" i="3"/>
  <c r="CH47" i="3"/>
  <c r="CG47" i="3" s="1"/>
  <c r="CE47" i="3"/>
  <c r="CC47" i="3"/>
  <c r="BS47" i="3"/>
  <c r="BQ47" i="3"/>
  <c r="FY47" i="3" s="1"/>
  <c r="BP47" i="3"/>
  <c r="BO47" i="3"/>
  <c r="BG47" i="3"/>
  <c r="BJ47" i="3" s="1"/>
  <c r="BF47" i="3"/>
  <c r="AW47" i="3"/>
  <c r="AV47" i="3" s="1"/>
  <c r="AT47" i="3"/>
  <c r="AR47" i="3"/>
  <c r="AP47" i="3"/>
  <c r="AN47" i="3"/>
  <c r="AI47" i="3"/>
  <c r="AB47" i="3"/>
  <c r="Z47" i="3"/>
  <c r="W47" i="3"/>
  <c r="V47" i="3"/>
  <c r="T47" i="3"/>
  <c r="O47" i="3"/>
  <c r="EU46" i="3"/>
  <c r="FZ45" i="3"/>
  <c r="FY45" i="3"/>
  <c r="FV45" i="3"/>
  <c r="FT45" i="3"/>
  <c r="FI45" i="3"/>
  <c r="FG45" i="3"/>
  <c r="FE45" i="3"/>
  <c r="FC45" i="3"/>
  <c r="EY45" i="3"/>
  <c r="EW45" i="3"/>
  <c r="EU45" i="3"/>
  <c r="ES45" i="3"/>
  <c r="EQ45" i="3"/>
  <c r="EO45" i="3"/>
  <c r="EK45" i="3"/>
  <c r="EI45" i="3"/>
  <c r="DS45" i="3"/>
  <c r="FX45" i="3" s="1"/>
  <c r="DR45" i="3"/>
  <c r="FU45" i="3" s="1"/>
  <c r="BU45" i="3"/>
  <c r="BG45" i="3"/>
  <c r="AX45" i="3"/>
  <c r="AE45" i="3"/>
  <c r="EM45" i="3" s="1"/>
  <c r="W45" i="3"/>
  <c r="FZ44" i="3"/>
  <c r="FY44" i="3"/>
  <c r="FV44" i="3"/>
  <c r="FT44" i="3"/>
  <c r="FI44" i="3"/>
  <c r="FG44" i="3"/>
  <c r="FE44" i="3"/>
  <c r="FC44" i="3"/>
  <c r="FA44" i="3"/>
  <c r="EY44" i="3"/>
  <c r="EW44" i="3"/>
  <c r="EU44" i="3"/>
  <c r="ES44" i="3"/>
  <c r="EQ44" i="3"/>
  <c r="EO44" i="3"/>
  <c r="EK44" i="3"/>
  <c r="EI44" i="3"/>
  <c r="DS44" i="3"/>
  <c r="FX44" i="3" s="1"/>
  <c r="DR44" i="3"/>
  <c r="FU44" i="3" s="1"/>
  <c r="CX44" i="3"/>
  <c r="DV44" i="3" s="1"/>
  <c r="GA44" i="3" s="1"/>
  <c r="CF44" i="3"/>
  <c r="CN44" i="3" s="1"/>
  <c r="DQ44" i="3" s="1"/>
  <c r="BU44" i="3"/>
  <c r="BG44" i="3"/>
  <c r="AW44" i="3"/>
  <c r="FK44" i="3" s="1"/>
  <c r="AE44" i="3"/>
  <c r="EM44" i="3" s="1"/>
  <c r="W44" i="3"/>
  <c r="Y44" i="3" s="1"/>
  <c r="BK44" i="3" s="1"/>
  <c r="FV43" i="3"/>
  <c r="FT43" i="3"/>
  <c r="EY43" i="3"/>
  <c r="EW43" i="3"/>
  <c r="EU43" i="3"/>
  <c r="ES43" i="3"/>
  <c r="EQ43" i="3"/>
  <c r="EO43" i="3"/>
  <c r="EK43" i="3"/>
  <c r="EI43" i="3"/>
  <c r="DS43" i="3"/>
  <c r="DR43" i="3"/>
  <c r="DC43" i="3"/>
  <c r="FI43" i="3" s="1"/>
  <c r="DB43" i="3"/>
  <c r="FG43" i="3" s="1"/>
  <c r="DA43" i="3"/>
  <c r="FE43" i="3" s="1"/>
  <c r="CZ43" i="3"/>
  <c r="FC43" i="3" s="1"/>
  <c r="CY43" i="3"/>
  <c r="FA43" i="3" s="1"/>
  <c r="BS43" i="3"/>
  <c r="BQ43" i="3"/>
  <c r="FY43" i="3" s="1"/>
  <c r="BP43" i="3"/>
  <c r="BO43" i="3"/>
  <c r="BG43" i="3"/>
  <c r="BI43" i="3" s="1"/>
  <c r="AW43" i="3"/>
  <c r="AE43" i="3"/>
  <c r="W43" i="3"/>
  <c r="O43" i="3"/>
  <c r="FZ42" i="3"/>
  <c r="FY42" i="3"/>
  <c r="FV42" i="3"/>
  <c r="FT42" i="3"/>
  <c r="EY42" i="3"/>
  <c r="EW42" i="3"/>
  <c r="EV42" i="3"/>
  <c r="EU42" i="3"/>
  <c r="ES42" i="3"/>
  <c r="ER42" i="3" s="1"/>
  <c r="EQ42" i="3"/>
  <c r="EO42" i="3"/>
  <c r="EK42" i="3"/>
  <c r="EJ42" i="3" s="1"/>
  <c r="EI42" i="3"/>
  <c r="EF42" i="3"/>
  <c r="EC42" i="3"/>
  <c r="DS42" i="3"/>
  <c r="DR42" i="3"/>
  <c r="DC42" i="3"/>
  <c r="FI42" i="3" s="1"/>
  <c r="FH42" i="3" s="1"/>
  <c r="DB42" i="3"/>
  <c r="FG42" i="3" s="1"/>
  <c r="FF42" i="3" s="1"/>
  <c r="DA42" i="3"/>
  <c r="FE42" i="3" s="1"/>
  <c r="CZ42" i="3"/>
  <c r="FC42" i="3" s="1"/>
  <c r="CY42" i="3"/>
  <c r="CQ42" i="3"/>
  <c r="CK42" i="3"/>
  <c r="CI42" i="3"/>
  <c r="CF42" i="3"/>
  <c r="BP42" i="3"/>
  <c r="BO42" i="3"/>
  <c r="BG42" i="3"/>
  <c r="BF42" i="3" s="1"/>
  <c r="BE42" i="3"/>
  <c r="AT42" i="3"/>
  <c r="AR42" i="3"/>
  <c r="AP42" i="3"/>
  <c r="AN42" i="3"/>
  <c r="AI42" i="3"/>
  <c r="AE42" i="3"/>
  <c r="AD42" i="3"/>
  <c r="AB42" i="3"/>
  <c r="Z42" i="3"/>
  <c r="Y42" i="3"/>
  <c r="V42" i="3"/>
  <c r="T42" i="3"/>
  <c r="EU41" i="3"/>
  <c r="FZ40" i="3"/>
  <c r="FV40" i="3"/>
  <c r="FT40" i="3"/>
  <c r="FI40" i="3"/>
  <c r="FH40" i="3"/>
  <c r="FG40" i="3"/>
  <c r="FF40" i="3" s="1"/>
  <c r="FE40" i="3"/>
  <c r="FD40" i="3"/>
  <c r="FC40" i="3"/>
  <c r="FB40" i="3" s="1"/>
  <c r="FA40" i="3"/>
  <c r="EZ40" i="3"/>
  <c r="EY40" i="3"/>
  <c r="EX40" i="3" s="1"/>
  <c r="EW40" i="3"/>
  <c r="EV40" i="3"/>
  <c r="EU40" i="3"/>
  <c r="ET40" i="3" s="1"/>
  <c r="ES40" i="3"/>
  <c r="ER40" i="3"/>
  <c r="EQ40" i="3"/>
  <c r="EP40" i="3" s="1"/>
  <c r="EO40" i="3"/>
  <c r="EN40" i="3"/>
  <c r="EM40" i="3"/>
  <c r="EL40" i="3" s="1"/>
  <c r="EK40" i="3"/>
  <c r="EJ40" i="3"/>
  <c r="EI40" i="3"/>
  <c r="EH40" i="3" s="1"/>
  <c r="EF40" i="3"/>
  <c r="EC40" i="3"/>
  <c r="DS40" i="3"/>
  <c r="DR40" i="3"/>
  <c r="CX40" i="3"/>
  <c r="CW40" i="3" s="1"/>
  <c r="CQ40" i="3"/>
  <c r="CK40" i="3"/>
  <c r="CI40" i="3"/>
  <c r="CF40" i="3"/>
  <c r="CH40" i="3" s="1"/>
  <c r="BS40" i="3"/>
  <c r="BQ40" i="3"/>
  <c r="FY40" i="3" s="1"/>
  <c r="BP40" i="3"/>
  <c r="BO40" i="3"/>
  <c r="BG40" i="3"/>
  <c r="BF40" i="3"/>
  <c r="AW40" i="3"/>
  <c r="AV40" i="3"/>
  <c r="AT40" i="3"/>
  <c r="AR40" i="3"/>
  <c r="AP40" i="3"/>
  <c r="AN40" i="3"/>
  <c r="AI40" i="3"/>
  <c r="AD40" i="3"/>
  <c r="AB40" i="3"/>
  <c r="Z40" i="3"/>
  <c r="W40" i="3"/>
  <c r="Y40" i="3" s="1"/>
  <c r="T40" i="3"/>
  <c r="DZ40" i="3" s="1"/>
  <c r="EU39" i="3"/>
  <c r="FZ38" i="3"/>
  <c r="FY38" i="3"/>
  <c r="FV38" i="3"/>
  <c r="FT38" i="3"/>
  <c r="EY38" i="3"/>
  <c r="EX38" i="3"/>
  <c r="EW38" i="3"/>
  <c r="EV38" i="3" s="1"/>
  <c r="EU38" i="3"/>
  <c r="ET38" i="3"/>
  <c r="ES38" i="3"/>
  <c r="ER38" i="3" s="1"/>
  <c r="EQ38" i="3"/>
  <c r="EP38" i="3"/>
  <c r="EO38" i="3"/>
  <c r="EN38" i="3" s="1"/>
  <c r="EK38" i="3"/>
  <c r="EJ38" i="3" s="1"/>
  <c r="EI38" i="3"/>
  <c r="EH38" i="3"/>
  <c r="EF38" i="3"/>
  <c r="EC38" i="3"/>
  <c r="DS38" i="3"/>
  <c r="DR38" i="3"/>
  <c r="DC38" i="3"/>
  <c r="FI38" i="3" s="1"/>
  <c r="FH38" i="3" s="1"/>
  <c r="DB38" i="3"/>
  <c r="FG38" i="3" s="1"/>
  <c r="FF38" i="3" s="1"/>
  <c r="DA38" i="3"/>
  <c r="FE38" i="3" s="1"/>
  <c r="FD38" i="3" s="1"/>
  <c r="CZ38" i="3"/>
  <c r="FC38" i="3" s="1"/>
  <c r="FB38" i="3" s="1"/>
  <c r="CY38" i="3"/>
  <c r="FA38" i="3" s="1"/>
  <c r="EZ38" i="3" s="1"/>
  <c r="CQ38" i="3"/>
  <c r="CK38" i="3"/>
  <c r="CI38" i="3"/>
  <c r="CF38" i="3"/>
  <c r="CE38" i="3"/>
  <c r="CC38" i="3"/>
  <c r="DF38" i="3" s="1"/>
  <c r="BP38" i="3"/>
  <c r="BO38" i="3"/>
  <c r="BU38" i="3" s="1"/>
  <c r="BT38" i="3" s="1"/>
  <c r="BH38" i="3"/>
  <c r="BG38" i="3"/>
  <c r="BJ38" i="3" s="1"/>
  <c r="AW38" i="3"/>
  <c r="AV38" i="3" s="1"/>
  <c r="AT38" i="3"/>
  <c r="AR38" i="3"/>
  <c r="AP38" i="3"/>
  <c r="AN38" i="3"/>
  <c r="AI38" i="3"/>
  <c r="AE38" i="3"/>
  <c r="EM38" i="3" s="1"/>
  <c r="EL38" i="3" s="1"/>
  <c r="AD38" i="3"/>
  <c r="AB38" i="3"/>
  <c r="Z38" i="3"/>
  <c r="W38" i="3"/>
  <c r="Y38" i="3" s="1"/>
  <c r="V38" i="3"/>
  <c r="T38" i="3"/>
  <c r="DZ38" i="3" s="1"/>
  <c r="EU37" i="3"/>
  <c r="FZ36" i="3"/>
  <c r="FY36" i="3"/>
  <c r="FV36" i="3"/>
  <c r="FT36" i="3"/>
  <c r="EY36" i="3"/>
  <c r="EW36" i="3"/>
  <c r="EU36" i="3"/>
  <c r="ES36" i="3"/>
  <c r="EQ36" i="3"/>
  <c r="EO36" i="3"/>
  <c r="EK36" i="3"/>
  <c r="EI36" i="3"/>
  <c r="DS36" i="3"/>
  <c r="DR36" i="3"/>
  <c r="DC36" i="3"/>
  <c r="FI36" i="3" s="1"/>
  <c r="DB36" i="3"/>
  <c r="FG36" i="3" s="1"/>
  <c r="DA36" i="3"/>
  <c r="FE36" i="3" s="1"/>
  <c r="CZ36" i="3"/>
  <c r="FC36" i="3" s="1"/>
  <c r="CY36" i="3"/>
  <c r="FA36" i="3" s="1"/>
  <c r="CF36" i="3"/>
  <c r="CH36" i="3" s="1"/>
  <c r="BP36" i="3"/>
  <c r="BO36" i="3"/>
  <c r="BN36" i="3"/>
  <c r="BG36" i="3"/>
  <c r="BJ36" i="3" s="1"/>
  <c r="AW36" i="3"/>
  <c r="AE36" i="3"/>
  <c r="EM36" i="3" s="1"/>
  <c r="W36" i="3"/>
  <c r="FZ35" i="3"/>
  <c r="FY35" i="3"/>
  <c r="FV35" i="3"/>
  <c r="FT35" i="3"/>
  <c r="EY35" i="3"/>
  <c r="EW35" i="3"/>
  <c r="EU35" i="3"/>
  <c r="ES35" i="3"/>
  <c r="EQ35" i="3"/>
  <c r="EO35" i="3"/>
  <c r="EK35" i="3"/>
  <c r="EI35" i="3"/>
  <c r="DS35" i="3"/>
  <c r="DR35" i="3"/>
  <c r="DC35" i="3"/>
  <c r="FI35" i="3" s="1"/>
  <c r="DB35" i="3"/>
  <c r="FG35" i="3" s="1"/>
  <c r="DA35" i="3"/>
  <c r="FE35" i="3" s="1"/>
  <c r="CZ35" i="3"/>
  <c r="CY35" i="3"/>
  <c r="FA35" i="3" s="1"/>
  <c r="BP35" i="3"/>
  <c r="BO35" i="3"/>
  <c r="BU35" i="3" s="1"/>
  <c r="BG35" i="3"/>
  <c r="BJ35" i="3" s="1"/>
  <c r="AW35" i="3"/>
  <c r="AE35" i="3"/>
  <c r="EM35" i="3" s="1"/>
  <c r="W35" i="3"/>
  <c r="FZ34" i="3"/>
  <c r="FY34" i="3"/>
  <c r="FV34" i="3"/>
  <c r="FT34" i="3"/>
  <c r="FC34" i="3"/>
  <c r="EY34" i="3"/>
  <c r="EW34" i="3"/>
  <c r="EU34" i="3"/>
  <c r="ES34" i="3"/>
  <c r="EQ34" i="3"/>
  <c r="EO34" i="3"/>
  <c r="EK34" i="3"/>
  <c r="DV34" i="3"/>
  <c r="GA34" i="3" s="1"/>
  <c r="DS34" i="3"/>
  <c r="FX34" i="3" s="1"/>
  <c r="DC34" i="3"/>
  <c r="FI34" i="3" s="1"/>
  <c r="DB34" i="3"/>
  <c r="FG34" i="3" s="1"/>
  <c r="DA34" i="3"/>
  <c r="FE34" i="3" s="1"/>
  <c r="CY34" i="3"/>
  <c r="FA34" i="3" s="1"/>
  <c r="CL34" i="3"/>
  <c r="CF34" i="3"/>
  <c r="CH34" i="3" s="1"/>
  <c r="BJ34" i="3"/>
  <c r="AW34" i="3"/>
  <c r="FK34" i="3" s="1"/>
  <c r="AE34" i="3"/>
  <c r="W34" i="3"/>
  <c r="FZ33" i="3"/>
  <c r="FY33" i="3"/>
  <c r="FV33" i="3"/>
  <c r="FT33" i="3"/>
  <c r="EY33" i="3"/>
  <c r="EX33" i="3" s="1"/>
  <c r="EW33" i="3"/>
  <c r="EV33" i="3"/>
  <c r="EU33" i="3"/>
  <c r="ET33" i="3" s="1"/>
  <c r="ES33" i="3"/>
  <c r="ER33" i="3"/>
  <c r="EQ33" i="3"/>
  <c r="EP33" i="3" s="1"/>
  <c r="EO33" i="3"/>
  <c r="EN33" i="3"/>
  <c r="EK33" i="3"/>
  <c r="EJ33" i="3"/>
  <c r="EI33" i="3"/>
  <c r="EF33" i="3"/>
  <c r="EC33" i="3"/>
  <c r="DS33" i="3"/>
  <c r="DR33" i="3"/>
  <c r="DC33" i="3"/>
  <c r="FI33" i="3" s="1"/>
  <c r="DB33" i="3"/>
  <c r="FG33" i="3" s="1"/>
  <c r="FF33" i="3" s="1"/>
  <c r="DA33" i="3"/>
  <c r="FE33" i="3" s="1"/>
  <c r="FD33" i="3" s="1"/>
  <c r="CZ33" i="3"/>
  <c r="FC33" i="3" s="1"/>
  <c r="CY33" i="3"/>
  <c r="CQ33" i="3"/>
  <c r="CI33" i="3"/>
  <c r="CF33" i="3"/>
  <c r="CC33" i="3"/>
  <c r="BP33" i="3"/>
  <c r="BO33" i="3"/>
  <c r="BU33" i="3" s="1"/>
  <c r="BH33" i="3"/>
  <c r="BG33" i="3"/>
  <c r="BJ33" i="3" s="1"/>
  <c r="AW33" i="3"/>
  <c r="AV33" i="3" s="1"/>
  <c r="AT33" i="3"/>
  <c r="AR33" i="3"/>
  <c r="AP33" i="3"/>
  <c r="AN33" i="3"/>
  <c r="AI33" i="3"/>
  <c r="AE33" i="3"/>
  <c r="EM33" i="3" s="1"/>
  <c r="AB33" i="3"/>
  <c r="Z33" i="3"/>
  <c r="W33" i="3"/>
  <c r="Y33" i="3" s="1"/>
  <c r="V33" i="3"/>
  <c r="T33" i="3"/>
  <c r="EU32" i="3"/>
  <c r="FZ31" i="3"/>
  <c r="FV31" i="3"/>
  <c r="FT31" i="3"/>
  <c r="FI31" i="3"/>
  <c r="FH31" i="3"/>
  <c r="FG31" i="3"/>
  <c r="FF31" i="3" s="1"/>
  <c r="FE31" i="3"/>
  <c r="FD31" i="3"/>
  <c r="FC31" i="3"/>
  <c r="FB31" i="3" s="1"/>
  <c r="FA31" i="3"/>
  <c r="EZ31" i="3"/>
  <c r="EY31" i="3"/>
  <c r="EX31" i="3" s="1"/>
  <c r="EW31" i="3"/>
  <c r="EV31" i="3"/>
  <c r="EU31" i="3"/>
  <c r="ET31" i="3" s="1"/>
  <c r="ES31" i="3"/>
  <c r="ER31" i="3"/>
  <c r="EQ31" i="3"/>
  <c r="EP31" i="3" s="1"/>
  <c r="EO31" i="3"/>
  <c r="EN31" i="3"/>
  <c r="EM31" i="3"/>
  <c r="EL31" i="3" s="1"/>
  <c r="EK31" i="3"/>
  <c r="EJ31" i="3"/>
  <c r="EI31" i="3"/>
  <c r="EH31" i="3" s="1"/>
  <c r="EF31" i="3"/>
  <c r="EC31" i="3"/>
  <c r="DV31" i="3"/>
  <c r="DS31" i="3"/>
  <c r="DR31" i="3"/>
  <c r="CW31" i="3"/>
  <c r="CQ31" i="3"/>
  <c r="CK31" i="3"/>
  <c r="CI31" i="3"/>
  <c r="CF31" i="3"/>
  <c r="BS31" i="3"/>
  <c r="BQ31" i="3"/>
  <c r="FY31" i="3" s="1"/>
  <c r="BP31" i="3"/>
  <c r="FX31" i="3" s="1"/>
  <c r="BO31" i="3"/>
  <c r="BG31" i="3"/>
  <c r="BI31" i="3" s="1"/>
  <c r="BH31" i="3" s="1"/>
  <c r="AW31" i="3"/>
  <c r="FK31" i="3" s="1"/>
  <c r="FJ31" i="3" s="1"/>
  <c r="AV31" i="3"/>
  <c r="AT31" i="3"/>
  <c r="AR31" i="3"/>
  <c r="AP31" i="3"/>
  <c r="AN31" i="3"/>
  <c r="AI31" i="3"/>
  <c r="AD31" i="3"/>
  <c r="AB31" i="3"/>
  <c r="Z31" i="3"/>
  <c r="W31" i="3"/>
  <c r="T31" i="3"/>
  <c r="EU30" i="3"/>
  <c r="FZ29" i="3"/>
  <c r="FV29" i="3"/>
  <c r="FT29" i="3"/>
  <c r="EY29" i="3"/>
  <c r="EW29" i="3"/>
  <c r="EU29" i="3"/>
  <c r="ES29" i="3"/>
  <c r="EO29" i="3"/>
  <c r="EK29" i="3"/>
  <c r="EI29" i="3"/>
  <c r="DS29" i="3"/>
  <c r="DR29" i="3"/>
  <c r="DC29" i="3"/>
  <c r="FI29" i="3" s="1"/>
  <c r="DB29" i="3"/>
  <c r="FG29" i="3" s="1"/>
  <c r="DA29" i="3"/>
  <c r="FE29" i="3" s="1"/>
  <c r="CY29" i="3"/>
  <c r="FA29" i="3" s="1"/>
  <c r="CF29" i="3"/>
  <c r="CC29" i="3"/>
  <c r="BS29" i="3"/>
  <c r="BQ29" i="3"/>
  <c r="FY29" i="3" s="1"/>
  <c r="BP29" i="3"/>
  <c r="BO29" i="3"/>
  <c r="FU29" i="3" s="1"/>
  <c r="BJ29" i="3"/>
  <c r="BI29" i="3"/>
  <c r="AW29" i="3"/>
  <c r="AJ29" i="3"/>
  <c r="EQ29" i="3" s="1"/>
  <c r="AE29" i="3"/>
  <c r="W29" i="3"/>
  <c r="U29" i="3"/>
  <c r="BE29" i="3" s="1"/>
  <c r="FZ28" i="3"/>
  <c r="FV28" i="3"/>
  <c r="FT28" i="3"/>
  <c r="EY28" i="3"/>
  <c r="EW28" i="3"/>
  <c r="EV28" i="3" s="1"/>
  <c r="EU28" i="3"/>
  <c r="ET28" i="3"/>
  <c r="ES28" i="3"/>
  <c r="ER28" i="3" s="1"/>
  <c r="EO28" i="3"/>
  <c r="EN28" i="3" s="1"/>
  <c r="EK28" i="3"/>
  <c r="EJ28" i="3" s="1"/>
  <c r="EI28" i="3"/>
  <c r="EF28" i="3"/>
  <c r="EC28" i="3"/>
  <c r="DS28" i="3"/>
  <c r="DR28" i="3"/>
  <c r="DC28" i="3"/>
  <c r="FI28" i="3" s="1"/>
  <c r="FH28" i="3" s="1"/>
  <c r="DB28" i="3"/>
  <c r="FG28" i="3" s="1"/>
  <c r="FF28" i="3" s="1"/>
  <c r="DA28" i="3"/>
  <c r="FE28" i="3" s="1"/>
  <c r="FD28" i="3" s="1"/>
  <c r="CZ28" i="3"/>
  <c r="FC28" i="3" s="1"/>
  <c r="CY28" i="3"/>
  <c r="FA28" i="3" s="1"/>
  <c r="EZ28" i="3" s="1"/>
  <c r="CX28" i="3"/>
  <c r="CQ28" i="3"/>
  <c r="CK28" i="3"/>
  <c r="CI28" i="3"/>
  <c r="CF28" i="3"/>
  <c r="CC28" i="3"/>
  <c r="BS28" i="3"/>
  <c r="BQ28" i="3"/>
  <c r="BP28" i="3"/>
  <c r="BO28" i="3"/>
  <c r="BJ28" i="3"/>
  <c r="BI28" i="3"/>
  <c r="BF28" i="3"/>
  <c r="AW28" i="3"/>
  <c r="AV28" i="3"/>
  <c r="AT28" i="3"/>
  <c r="AR28" i="3"/>
  <c r="AP28" i="3"/>
  <c r="AN28" i="3"/>
  <c r="AJ28" i="3"/>
  <c r="EQ28" i="3" s="1"/>
  <c r="EP28" i="3" s="1"/>
  <c r="AI28" i="3"/>
  <c r="AE28" i="3"/>
  <c r="EM28" i="3" s="1"/>
  <c r="AB28" i="3"/>
  <c r="Z28" i="3"/>
  <c r="W28" i="3"/>
  <c r="V28" i="3"/>
  <c r="U28" i="3"/>
  <c r="EU27" i="3"/>
  <c r="FZ26" i="3"/>
  <c r="FV26" i="3"/>
  <c r="FT26" i="3"/>
  <c r="EY26" i="3"/>
  <c r="EW26" i="3"/>
  <c r="EU26" i="3"/>
  <c r="ES26" i="3"/>
  <c r="EO26" i="3"/>
  <c r="EK26" i="3"/>
  <c r="EI26" i="3"/>
  <c r="DS26" i="3"/>
  <c r="DR26" i="3"/>
  <c r="DC26" i="3"/>
  <c r="FI26" i="3" s="1"/>
  <c r="DB26" i="3"/>
  <c r="FG26" i="3" s="1"/>
  <c r="DA26" i="3"/>
  <c r="FE26" i="3" s="1"/>
  <c r="CZ26" i="3"/>
  <c r="CY26" i="3"/>
  <c r="FA26" i="3" s="1"/>
  <c r="CF26" i="3"/>
  <c r="CC26" i="3"/>
  <c r="BS26" i="3"/>
  <c r="BQ26" i="3"/>
  <c r="BP26" i="3"/>
  <c r="BO26" i="3"/>
  <c r="BJ26" i="3"/>
  <c r="BI26" i="3"/>
  <c r="AW26" i="3"/>
  <c r="AJ26" i="3"/>
  <c r="EQ26" i="3" s="1"/>
  <c r="AE26" i="3"/>
  <c r="W26" i="3"/>
  <c r="U26" i="3"/>
  <c r="BE26" i="3" s="1"/>
  <c r="FZ25" i="3"/>
  <c r="FV25" i="3"/>
  <c r="FT25" i="3"/>
  <c r="EY25" i="3"/>
  <c r="EW25" i="3"/>
  <c r="EU25" i="3"/>
  <c r="ES25" i="3"/>
  <c r="EO25" i="3"/>
  <c r="EK25" i="3"/>
  <c r="EI25" i="3"/>
  <c r="DS25" i="3"/>
  <c r="DC25" i="3"/>
  <c r="FI25" i="3" s="1"/>
  <c r="DB25" i="3"/>
  <c r="FG25" i="3" s="1"/>
  <c r="DA25" i="3"/>
  <c r="FE25" i="3" s="1"/>
  <c r="CZ25" i="3"/>
  <c r="FC25" i="3" s="1"/>
  <c r="CY25" i="3"/>
  <c r="FA25" i="3" s="1"/>
  <c r="CX25" i="3"/>
  <c r="DV25" i="3" s="1"/>
  <c r="CC25" i="3"/>
  <c r="BS25" i="3"/>
  <c r="BQ25" i="3"/>
  <c r="BP25" i="3"/>
  <c r="FX25" i="3" s="1"/>
  <c r="BO25" i="3"/>
  <c r="FU25" i="3" s="1"/>
  <c r="BJ25" i="3"/>
  <c r="BI25" i="3"/>
  <c r="AW25" i="3"/>
  <c r="AJ25" i="3"/>
  <c r="EQ25" i="3" s="1"/>
  <c r="AE25" i="3"/>
  <c r="EM25" i="3" s="1"/>
  <c r="W25" i="3"/>
  <c r="U25" i="3"/>
  <c r="FZ24" i="3"/>
  <c r="FV24" i="3"/>
  <c r="FT24" i="3"/>
  <c r="EY24" i="3"/>
  <c r="EX24" i="3"/>
  <c r="EW24" i="3"/>
  <c r="EU24" i="3"/>
  <c r="ET24" i="3" s="1"/>
  <c r="ES24" i="3"/>
  <c r="EO24" i="3"/>
  <c r="EK24" i="3"/>
  <c r="EI24" i="3"/>
  <c r="EH24" i="3"/>
  <c r="EF24" i="3"/>
  <c r="EC24" i="3"/>
  <c r="DS24" i="3"/>
  <c r="DR24" i="3"/>
  <c r="DC24" i="3"/>
  <c r="FI24" i="3" s="1"/>
  <c r="FH24" i="3" s="1"/>
  <c r="DB24" i="3"/>
  <c r="FG24" i="3" s="1"/>
  <c r="FF24" i="3" s="1"/>
  <c r="DA24" i="3"/>
  <c r="FE24" i="3" s="1"/>
  <c r="CZ24" i="3"/>
  <c r="FC24" i="3" s="1"/>
  <c r="CY24" i="3"/>
  <c r="FA24" i="3" s="1"/>
  <c r="CQ24" i="3"/>
  <c r="CK24" i="3"/>
  <c r="CI24" i="3"/>
  <c r="CF24" i="3"/>
  <c r="CC24" i="3"/>
  <c r="BS24" i="3"/>
  <c r="BS285" i="3" s="1"/>
  <c r="BQ24" i="3"/>
  <c r="BP24" i="3"/>
  <c r="BO24" i="3"/>
  <c r="BJ24" i="3"/>
  <c r="BI24" i="3"/>
  <c r="BH24" i="3"/>
  <c r="BF24" i="3"/>
  <c r="AW24" i="3"/>
  <c r="AV24" i="3" s="1"/>
  <c r="AT24" i="3"/>
  <c r="AR24" i="3"/>
  <c r="AP24" i="3"/>
  <c r="AN24" i="3"/>
  <c r="AJ24" i="3"/>
  <c r="AI24" i="3" s="1"/>
  <c r="AE24" i="3"/>
  <c r="EM24" i="3" s="1"/>
  <c r="AB24" i="3"/>
  <c r="Z24" i="3"/>
  <c r="W24" i="3"/>
  <c r="BN24" i="3" s="1"/>
  <c r="V24" i="3"/>
  <c r="U24" i="3"/>
  <c r="EU23" i="3"/>
  <c r="FZ22" i="3"/>
  <c r="FY22" i="3"/>
  <c r="FV22" i="3"/>
  <c r="FT22" i="3"/>
  <c r="EY22" i="3"/>
  <c r="EW22" i="3"/>
  <c r="EU22" i="3"/>
  <c r="ES22" i="3"/>
  <c r="EQ22" i="3"/>
  <c r="EO22" i="3"/>
  <c r="EK22" i="3"/>
  <c r="EI22" i="3"/>
  <c r="DS22" i="3"/>
  <c r="DR22" i="3"/>
  <c r="DC22" i="3"/>
  <c r="FI22" i="3" s="1"/>
  <c r="DB22" i="3"/>
  <c r="FG22" i="3" s="1"/>
  <c r="DA22" i="3"/>
  <c r="FE22" i="3" s="1"/>
  <c r="CZ22" i="3"/>
  <c r="CY22" i="3"/>
  <c r="FA22" i="3" s="1"/>
  <c r="CF22" i="3"/>
  <c r="CC22" i="3"/>
  <c r="BP22" i="3"/>
  <c r="BO22" i="3"/>
  <c r="BU22" i="3" s="1"/>
  <c r="BG22" i="3"/>
  <c r="BJ22" i="3" s="1"/>
  <c r="AW22" i="3"/>
  <c r="AE22" i="3"/>
  <c r="EM22" i="3" s="1"/>
  <c r="U22" i="3"/>
  <c r="N22" i="3"/>
  <c r="W22" i="3" s="1"/>
  <c r="FZ21" i="3"/>
  <c r="FY21" i="3"/>
  <c r="FV21" i="3"/>
  <c r="FT21" i="3"/>
  <c r="EY21" i="3"/>
  <c r="EX21" i="3" s="1"/>
  <c r="EW21" i="3"/>
  <c r="EU21" i="3"/>
  <c r="ET21" i="3"/>
  <c r="ES21" i="3"/>
  <c r="ER21" i="3"/>
  <c r="EQ21" i="3"/>
  <c r="EP21" i="3" s="1"/>
  <c r="EO21" i="3"/>
  <c r="EK21" i="3"/>
  <c r="EJ21" i="3"/>
  <c r="EI21" i="3"/>
  <c r="EH21" i="3" s="1"/>
  <c r="EF21" i="3"/>
  <c r="EC21" i="3"/>
  <c r="DS21" i="3"/>
  <c r="DR21" i="3"/>
  <c r="DC21" i="3"/>
  <c r="FI21" i="3" s="1"/>
  <c r="FH21" i="3" s="1"/>
  <c r="DB21" i="3"/>
  <c r="FG21" i="3" s="1"/>
  <c r="FF21" i="3" s="1"/>
  <c r="DA21" i="3"/>
  <c r="FE21" i="3" s="1"/>
  <c r="FD21" i="3" s="1"/>
  <c r="CZ21" i="3"/>
  <c r="FC21" i="3" s="1"/>
  <c r="CY21" i="3"/>
  <c r="FA21" i="3" s="1"/>
  <c r="EZ21" i="3" s="1"/>
  <c r="CQ21" i="3"/>
  <c r="CK21" i="3"/>
  <c r="CI21" i="3"/>
  <c r="CF21" i="3"/>
  <c r="CE21" i="3" s="1"/>
  <c r="BP21" i="3"/>
  <c r="BO21" i="3"/>
  <c r="BU21" i="3" s="1"/>
  <c r="BT21" i="3" s="1"/>
  <c r="BH21" i="3"/>
  <c r="BG21" i="3"/>
  <c r="BJ21" i="3" s="1"/>
  <c r="AW21" i="3"/>
  <c r="AV21" i="3"/>
  <c r="AT21" i="3"/>
  <c r="AR21" i="3"/>
  <c r="AP21" i="3"/>
  <c r="AN21" i="3"/>
  <c r="AI21" i="3"/>
  <c r="AE21" i="3"/>
  <c r="EM21" i="3" s="1"/>
  <c r="AB21" i="3"/>
  <c r="Z21" i="3"/>
  <c r="W21" i="3"/>
  <c r="V21" i="3"/>
  <c r="T21" i="3"/>
  <c r="EU20" i="3"/>
  <c r="FZ19" i="3"/>
  <c r="FY19" i="3"/>
  <c r="FV19" i="3"/>
  <c r="FT19" i="3"/>
  <c r="EY19" i="3"/>
  <c r="EX19" i="3" s="1"/>
  <c r="EW19" i="3"/>
  <c r="EV19" i="3"/>
  <c r="EU19" i="3"/>
  <c r="ET19" i="3" s="1"/>
  <c r="ES19" i="3"/>
  <c r="ER19" i="3"/>
  <c r="EQ19" i="3"/>
  <c r="EP19" i="3" s="1"/>
  <c r="EO19" i="3"/>
  <c r="EN19" i="3"/>
  <c r="EI19" i="3"/>
  <c r="EH19" i="3" s="1"/>
  <c r="EF19" i="3"/>
  <c r="EC19" i="3"/>
  <c r="DS19" i="3"/>
  <c r="DR19" i="3"/>
  <c r="DC19" i="3"/>
  <c r="FI19" i="3" s="1"/>
  <c r="FH19" i="3" s="1"/>
  <c r="DB19" i="3"/>
  <c r="FG19" i="3" s="1"/>
  <c r="FF19" i="3" s="1"/>
  <c r="DA19" i="3"/>
  <c r="FE19" i="3" s="1"/>
  <c r="FD19" i="3" s="1"/>
  <c r="CZ19" i="3"/>
  <c r="FC19" i="3" s="1"/>
  <c r="FB19" i="3" s="1"/>
  <c r="CY19" i="3"/>
  <c r="FA19" i="3" s="1"/>
  <c r="EZ19" i="3" s="1"/>
  <c r="CX19" i="3"/>
  <c r="DV19" i="3" s="1"/>
  <c r="GA19" i="3" s="1"/>
  <c r="CQ19" i="3"/>
  <c r="CK19" i="3"/>
  <c r="CF19" i="3"/>
  <c r="CE19" i="3"/>
  <c r="CC19" i="3"/>
  <c r="BP19" i="3"/>
  <c r="BO19" i="3"/>
  <c r="BU19" i="3" s="1"/>
  <c r="BT19" i="3" s="1"/>
  <c r="BH19" i="3"/>
  <c r="BG19" i="3"/>
  <c r="BJ19" i="3" s="1"/>
  <c r="AW19" i="3"/>
  <c r="AV19" i="3"/>
  <c r="AT19" i="3"/>
  <c r="AR19" i="3"/>
  <c r="AP19" i="3"/>
  <c r="AN19" i="3"/>
  <c r="AI19" i="3"/>
  <c r="AE19" i="3"/>
  <c r="AB19" i="3"/>
  <c r="W19" i="3"/>
  <c r="V19" i="3" s="1"/>
  <c r="T19" i="3"/>
  <c r="DZ19" i="3" s="1"/>
  <c r="EU18" i="3"/>
  <c r="FZ17" i="3"/>
  <c r="FY17" i="3"/>
  <c r="FV17" i="3"/>
  <c r="FU17" i="3"/>
  <c r="FT17" i="3"/>
  <c r="EY17" i="3"/>
  <c r="EX17" i="3" s="1"/>
  <c r="EW17" i="3"/>
  <c r="EV17" i="3" s="1"/>
  <c r="EU17" i="3"/>
  <c r="ET17" i="3" s="1"/>
  <c r="ES17" i="3"/>
  <c r="ER17" i="3" s="1"/>
  <c r="EQ17" i="3"/>
  <c r="EP17" i="3" s="1"/>
  <c r="EO17" i="3"/>
  <c r="EN17" i="3"/>
  <c r="EK17" i="3"/>
  <c r="EJ17" i="3"/>
  <c r="EF17" i="3"/>
  <c r="EC17" i="3"/>
  <c r="DS17" i="3"/>
  <c r="DB17" i="3"/>
  <c r="DA17" i="3"/>
  <c r="FE17" i="3" s="1"/>
  <c r="FD17" i="3" s="1"/>
  <c r="CZ17" i="3"/>
  <c r="FC17" i="3" s="1"/>
  <c r="FB17" i="3" s="1"/>
  <c r="CY17" i="3"/>
  <c r="FA17" i="3" s="1"/>
  <c r="EZ17" i="3" s="1"/>
  <c r="CQ17" i="3"/>
  <c r="CK17" i="3"/>
  <c r="CI17" i="3"/>
  <c r="CH17" i="3"/>
  <c r="CG17" i="3"/>
  <c r="CE17" i="3"/>
  <c r="CC17" i="3"/>
  <c r="BP17" i="3"/>
  <c r="BU17" i="3" s="1"/>
  <c r="BH17" i="3"/>
  <c r="BG17" i="3"/>
  <c r="BF17" i="3" s="1"/>
  <c r="AT17" i="3"/>
  <c r="AR17" i="3"/>
  <c r="AP17" i="3"/>
  <c r="AN17" i="3"/>
  <c r="AI17" i="3"/>
  <c r="AE17" i="3"/>
  <c r="AD17" i="3" s="1"/>
  <c r="Z17" i="3"/>
  <c r="W17" i="3"/>
  <c r="T17" i="3"/>
  <c r="DZ17" i="3" s="1"/>
  <c r="EU16" i="3"/>
  <c r="FZ15" i="3"/>
  <c r="FY15" i="3"/>
  <c r="FV15" i="3"/>
  <c r="FT15" i="3"/>
  <c r="EY15" i="3"/>
  <c r="EW15" i="3"/>
  <c r="EU15" i="3"/>
  <c r="ES15" i="3"/>
  <c r="EQ15" i="3"/>
  <c r="EO15" i="3"/>
  <c r="EI15" i="3"/>
  <c r="DS15" i="3"/>
  <c r="DR15" i="3"/>
  <c r="DC15" i="3"/>
  <c r="FI15" i="3" s="1"/>
  <c r="DB15" i="3"/>
  <c r="FG15" i="3" s="1"/>
  <c r="DA15" i="3"/>
  <c r="FE15" i="3" s="1"/>
  <c r="CZ15" i="3"/>
  <c r="FC15" i="3" s="1"/>
  <c r="CY15" i="3"/>
  <c r="FA15" i="3" s="1"/>
  <c r="CF15" i="3"/>
  <c r="CC15" i="3"/>
  <c r="DF15" i="3" s="1"/>
  <c r="BP15" i="3"/>
  <c r="FX15" i="3" s="1"/>
  <c r="BO15" i="3"/>
  <c r="BG15" i="3"/>
  <c r="BJ15" i="3" s="1"/>
  <c r="AW15" i="3"/>
  <c r="AE15" i="3"/>
  <c r="EM15" i="3" s="1"/>
  <c r="W15" i="3"/>
  <c r="FZ14" i="3"/>
  <c r="FY14" i="3"/>
  <c r="FV14" i="3"/>
  <c r="FT14" i="3"/>
  <c r="EY14" i="3"/>
  <c r="EW14" i="3"/>
  <c r="EU14" i="3"/>
  <c r="ES14" i="3"/>
  <c r="EQ14" i="3"/>
  <c r="EO14" i="3"/>
  <c r="EK14" i="3"/>
  <c r="EI14" i="3"/>
  <c r="DS14" i="3"/>
  <c r="DR14" i="3"/>
  <c r="DC14" i="3"/>
  <c r="FI14" i="3" s="1"/>
  <c r="DB14" i="3"/>
  <c r="FG14" i="3" s="1"/>
  <c r="DA14" i="3"/>
  <c r="FE14" i="3" s="1"/>
  <c r="CZ14" i="3"/>
  <c r="FC14" i="3" s="1"/>
  <c r="CY14" i="3"/>
  <c r="CC14" i="3"/>
  <c r="DH14" i="3" s="1"/>
  <c r="BP14" i="3"/>
  <c r="BO14" i="3"/>
  <c r="BU14" i="3" s="1"/>
  <c r="BJ14" i="3"/>
  <c r="AW14" i="3"/>
  <c r="AE14" i="3"/>
  <c r="EM14" i="3" s="1"/>
  <c r="W14" i="3"/>
  <c r="AL14" i="3" s="1"/>
  <c r="BK14" i="3" s="1"/>
  <c r="FZ13" i="3"/>
  <c r="FY13" i="3"/>
  <c r="FV13" i="3"/>
  <c r="FT13" i="3"/>
  <c r="EY13" i="3"/>
  <c r="EW13" i="3"/>
  <c r="EU13" i="3"/>
  <c r="ES13" i="3"/>
  <c r="EQ13" i="3"/>
  <c r="EO13" i="3"/>
  <c r="EK13" i="3"/>
  <c r="EI13" i="3"/>
  <c r="DS13" i="3"/>
  <c r="DR13" i="3"/>
  <c r="DC13" i="3"/>
  <c r="FI13" i="3" s="1"/>
  <c r="DB13" i="3"/>
  <c r="FG13" i="3" s="1"/>
  <c r="DA13" i="3"/>
  <c r="FE13" i="3" s="1"/>
  <c r="CZ13" i="3"/>
  <c r="FC13" i="3" s="1"/>
  <c r="CY13" i="3"/>
  <c r="FA13" i="3" s="1"/>
  <c r="CF13" i="3"/>
  <c r="CH13" i="3" s="1"/>
  <c r="CC13" i="3"/>
  <c r="DH13" i="3" s="1"/>
  <c r="BP13" i="3"/>
  <c r="BO13" i="3"/>
  <c r="BU13" i="3" s="1"/>
  <c r="BG13" i="3"/>
  <c r="AW13" i="3"/>
  <c r="AE13" i="3"/>
  <c r="EM13" i="3" s="1"/>
  <c r="W13" i="3"/>
  <c r="AL13" i="3" s="1"/>
  <c r="FZ12" i="3"/>
  <c r="FY12" i="3"/>
  <c r="FV12" i="3"/>
  <c r="FT12" i="3"/>
  <c r="EY12" i="3"/>
  <c r="EW12" i="3"/>
  <c r="EU12" i="3"/>
  <c r="ES12" i="3"/>
  <c r="ER12" i="3" s="1"/>
  <c r="EQ12" i="3"/>
  <c r="EO12" i="3"/>
  <c r="EK12" i="3"/>
  <c r="EI12" i="3"/>
  <c r="EF12" i="3"/>
  <c r="EC12" i="3"/>
  <c r="DS12" i="3"/>
  <c r="DR12" i="3"/>
  <c r="DC12" i="3"/>
  <c r="FI12" i="3" s="1"/>
  <c r="FH12" i="3" s="1"/>
  <c r="DB12" i="3"/>
  <c r="FG12" i="3" s="1"/>
  <c r="FF12" i="3" s="1"/>
  <c r="DA12" i="3"/>
  <c r="FE12" i="3" s="1"/>
  <c r="CZ12" i="3"/>
  <c r="FC12" i="3" s="1"/>
  <c r="FB12" i="3" s="1"/>
  <c r="CY12" i="3"/>
  <c r="FA12" i="3" s="1"/>
  <c r="CQ12" i="3"/>
  <c r="CK12" i="3"/>
  <c r="CF12" i="3"/>
  <c r="CC12" i="3" s="1"/>
  <c r="DH12" i="3" s="1"/>
  <c r="BP12" i="3"/>
  <c r="BO12" i="3"/>
  <c r="BN12" i="3"/>
  <c r="BH12" i="3"/>
  <c r="BG12" i="3"/>
  <c r="BJ12" i="3" s="1"/>
  <c r="AW12" i="3"/>
  <c r="AV12" i="3" s="1"/>
  <c r="AT12" i="3"/>
  <c r="AR12" i="3"/>
  <c r="AP12" i="3"/>
  <c r="AN12" i="3"/>
  <c r="AI12" i="3"/>
  <c r="AE12" i="3"/>
  <c r="EM12" i="3" s="1"/>
  <c r="AB12" i="3"/>
  <c r="W12" i="3"/>
  <c r="T12" i="3"/>
  <c r="EU11" i="3"/>
  <c r="FZ10" i="3"/>
  <c r="FY10" i="3"/>
  <c r="FV10" i="3"/>
  <c r="FT10" i="3"/>
  <c r="FI10" i="3"/>
  <c r="FG10" i="3"/>
  <c r="FE10" i="3"/>
  <c r="FC10" i="3"/>
  <c r="FA10" i="3"/>
  <c r="EY10" i="3"/>
  <c r="EW10" i="3"/>
  <c r="EU10" i="3"/>
  <c r="ES10" i="3"/>
  <c r="EQ10" i="3"/>
  <c r="EO10" i="3"/>
  <c r="EK10" i="3"/>
  <c r="EI10" i="3"/>
  <c r="DV10" i="3"/>
  <c r="GA10" i="3" s="1"/>
  <c r="DS10" i="3"/>
  <c r="FX10" i="3" s="1"/>
  <c r="DR10" i="3"/>
  <c r="FU10" i="3" s="1"/>
  <c r="CF10" i="3"/>
  <c r="BU10" i="3"/>
  <c r="BJ10" i="3"/>
  <c r="AW10" i="3"/>
  <c r="FK10" i="3" s="1"/>
  <c r="AE10" i="3"/>
  <c r="EM10" i="3" s="1"/>
  <c r="W10" i="3"/>
  <c r="O10" i="3"/>
  <c r="FZ9" i="3"/>
  <c r="FY9" i="3"/>
  <c r="FV9" i="3"/>
  <c r="FT9" i="3"/>
  <c r="EY9" i="3"/>
  <c r="EW9" i="3"/>
  <c r="EV9" i="3" s="1"/>
  <c r="EU9" i="3"/>
  <c r="ET9" i="3" s="1"/>
  <c r="ES9" i="3"/>
  <c r="ER9" i="3" s="1"/>
  <c r="EQ9" i="3"/>
  <c r="EP9" i="3" s="1"/>
  <c r="EO9" i="3"/>
  <c r="EN9" i="3" s="1"/>
  <c r="EK9" i="3"/>
  <c r="EJ9" i="3" s="1"/>
  <c r="EI9" i="3"/>
  <c r="EH9" i="3"/>
  <c r="EF9" i="3"/>
  <c r="EC9" i="3"/>
  <c r="DS9" i="3"/>
  <c r="DR9" i="3"/>
  <c r="DC9" i="3"/>
  <c r="FI9" i="3" s="1"/>
  <c r="DB9" i="3"/>
  <c r="FG9" i="3" s="1"/>
  <c r="FF9" i="3" s="1"/>
  <c r="DA9" i="3"/>
  <c r="FE9" i="3" s="1"/>
  <c r="FD9" i="3" s="1"/>
  <c r="CZ9" i="3"/>
  <c r="CY9" i="3"/>
  <c r="FA9" i="3" s="1"/>
  <c r="EZ9" i="3" s="1"/>
  <c r="CQ9" i="3"/>
  <c r="CK9" i="3"/>
  <c r="CI9" i="3"/>
  <c r="CF9" i="3"/>
  <c r="CE9" i="3" s="1"/>
  <c r="CC9" i="3"/>
  <c r="BP9" i="3"/>
  <c r="BO9" i="3"/>
  <c r="BU9" i="3" s="1"/>
  <c r="BT9" i="3" s="1"/>
  <c r="BH9" i="3"/>
  <c r="BG9" i="3"/>
  <c r="BF9" i="3" s="1"/>
  <c r="AW9" i="3"/>
  <c r="AV9" i="3"/>
  <c r="AT9" i="3"/>
  <c r="AR9" i="3"/>
  <c r="AP9" i="3"/>
  <c r="AN9" i="3"/>
  <c r="AI9" i="3"/>
  <c r="AE9" i="3"/>
  <c r="EM9" i="3" s="1"/>
  <c r="AB9" i="3"/>
  <c r="Z9" i="3"/>
  <c r="W9" i="3"/>
  <c r="V9" i="3" s="1"/>
  <c r="T9" i="3"/>
  <c r="EU8" i="3"/>
  <c r="FZ7" i="3"/>
  <c r="FY7" i="3"/>
  <c r="FV7" i="3"/>
  <c r="FT7" i="3"/>
  <c r="FI7" i="3"/>
  <c r="FG7" i="3"/>
  <c r="FE7" i="3"/>
  <c r="FC7" i="3"/>
  <c r="FA7" i="3"/>
  <c r="EY7" i="3"/>
  <c r="EW7" i="3"/>
  <c r="EU7" i="3"/>
  <c r="ES7" i="3"/>
  <c r="EQ7" i="3"/>
  <c r="EO7" i="3"/>
  <c r="EK7" i="3"/>
  <c r="EI7" i="3"/>
  <c r="EE7" i="3"/>
  <c r="DV7" i="3"/>
  <c r="GA7" i="3" s="1"/>
  <c r="DS7" i="3"/>
  <c r="FX7" i="3" s="1"/>
  <c r="DR7" i="3"/>
  <c r="FU7" i="3" s="1"/>
  <c r="CF7" i="3"/>
  <c r="BU7" i="3"/>
  <c r="BJ7" i="3"/>
  <c r="AW7" i="3"/>
  <c r="FK7" i="3" s="1"/>
  <c r="AE7" i="3"/>
  <c r="EM7" i="3" s="1"/>
  <c r="W7" i="3"/>
  <c r="Y7" i="3" s="1"/>
  <c r="BK7" i="3" s="1"/>
  <c r="U7" i="3"/>
  <c r="T5" i="3" s="1"/>
  <c r="FZ6" i="3"/>
  <c r="FY6" i="3"/>
  <c r="FV6" i="3"/>
  <c r="FT6" i="3"/>
  <c r="EY6" i="3"/>
  <c r="EW6" i="3"/>
  <c r="EU6" i="3"/>
  <c r="ES6" i="3"/>
  <c r="EQ6" i="3"/>
  <c r="EO6" i="3"/>
  <c r="EK6" i="3"/>
  <c r="EI6" i="3"/>
  <c r="EE6" i="3"/>
  <c r="DS6" i="3"/>
  <c r="DR6" i="3"/>
  <c r="DC6" i="3"/>
  <c r="FI6" i="3" s="1"/>
  <c r="DB6" i="3"/>
  <c r="FG6" i="3" s="1"/>
  <c r="DA6" i="3"/>
  <c r="FE6" i="3" s="1"/>
  <c r="CZ6" i="3"/>
  <c r="FC6" i="3" s="1"/>
  <c r="CY6" i="3"/>
  <c r="CF6" i="3"/>
  <c r="CH6" i="3" s="1"/>
  <c r="CC6" i="3"/>
  <c r="DF6" i="3" s="1"/>
  <c r="BP6" i="3"/>
  <c r="BO6" i="3"/>
  <c r="BU6" i="3" s="1"/>
  <c r="BG6" i="3"/>
  <c r="BJ6" i="3" s="1"/>
  <c r="AW6" i="3"/>
  <c r="AE6" i="3"/>
  <c r="EM6" i="3" s="1"/>
  <c r="W6" i="3"/>
  <c r="FZ5" i="3"/>
  <c r="FY5" i="3"/>
  <c r="FV5" i="3"/>
  <c r="FT5" i="3"/>
  <c r="EY5" i="3"/>
  <c r="EY285" i="3" s="1"/>
  <c r="EW5" i="3"/>
  <c r="EU5" i="3"/>
  <c r="ET5" i="3"/>
  <c r="ES5" i="3"/>
  <c r="EQ5" i="3"/>
  <c r="EP5" i="3"/>
  <c r="EO5" i="3"/>
  <c r="EK5" i="3"/>
  <c r="EI5" i="3"/>
  <c r="EH5" i="3" s="1"/>
  <c r="EF5" i="3"/>
  <c r="EC5" i="3"/>
  <c r="EC285" i="3" s="1"/>
  <c r="DS5" i="3"/>
  <c r="DR5" i="3"/>
  <c r="DC5" i="3"/>
  <c r="FI5" i="3" s="1"/>
  <c r="DB5" i="3"/>
  <c r="DB285" i="3" s="1"/>
  <c r="DA5" i="3"/>
  <c r="DA285" i="3" s="1"/>
  <c r="CZ5" i="3"/>
  <c r="FC5" i="3" s="1"/>
  <c r="FB5" i="3" s="1"/>
  <c r="CY5" i="3"/>
  <c r="FA5" i="3" s="1"/>
  <c r="CQ5" i="3"/>
  <c r="CK5" i="3"/>
  <c r="CI5" i="3"/>
  <c r="CF5" i="3"/>
  <c r="CE5" i="3" s="1"/>
  <c r="BP5" i="3"/>
  <c r="BP285" i="3" s="1"/>
  <c r="BO5" i="3"/>
  <c r="BU5" i="3" s="1"/>
  <c r="BH5" i="3"/>
  <c r="BG5" i="3"/>
  <c r="BJ5" i="3" s="1"/>
  <c r="BF5" i="3"/>
  <c r="AW5" i="3"/>
  <c r="AT5" i="3"/>
  <c r="AR5" i="3"/>
  <c r="AP5" i="3"/>
  <c r="AN5" i="3"/>
  <c r="AI5" i="3"/>
  <c r="AE5" i="3"/>
  <c r="EM5" i="3" s="1"/>
  <c r="EL5" i="3" s="1"/>
  <c r="AD5" i="3"/>
  <c r="AB5" i="3"/>
  <c r="Z5" i="3"/>
  <c r="W5" i="3"/>
  <c r="GW137" i="2"/>
  <c r="FO137" i="2"/>
  <c r="FE137" i="2"/>
  <c r="FC137" i="2"/>
  <c r="EJ137" i="2"/>
  <c r="DV137" i="2"/>
  <c r="DT137" i="2"/>
  <c r="DR137" i="2"/>
  <c r="DP137" i="2"/>
  <c r="DL137" i="2"/>
  <c r="DJ137" i="2"/>
  <c r="BZ137" i="2"/>
  <c r="BL137" i="2"/>
  <c r="BH137" i="2"/>
  <c r="BF137" i="2"/>
  <c r="BB137" i="2"/>
  <c r="AX137" i="2"/>
  <c r="AV137" i="2"/>
  <c r="AP137" i="2"/>
  <c r="AN137" i="2"/>
  <c r="AL137" i="2"/>
  <c r="Q137" i="2"/>
  <c r="P137" i="2"/>
  <c r="O137" i="2"/>
  <c r="M137" i="2"/>
  <c r="HA135" i="2"/>
  <c r="FK135" i="2"/>
  <c r="GY135" i="2" s="1"/>
  <c r="FI135" i="2"/>
  <c r="GV135" i="2" s="1"/>
  <c r="EH135" i="2"/>
  <c r="EF135" i="2"/>
  <c r="ED135" i="2"/>
  <c r="EB135" i="2"/>
  <c r="DZ135" i="2"/>
  <c r="CZ135" i="2"/>
  <c r="CX135" i="2"/>
  <c r="EN135" i="2" s="1"/>
  <c r="CN135" i="2"/>
  <c r="BT135" i="2"/>
  <c r="AZ135" i="2"/>
  <c r="AJ135" i="2"/>
  <c r="AF135" i="2"/>
  <c r="AD135" i="2"/>
  <c r="BV135" i="2" s="1"/>
  <c r="V135" i="2"/>
  <c r="HA134" i="2"/>
  <c r="FK134" i="2"/>
  <c r="GY134" i="2" s="1"/>
  <c r="FI134" i="2"/>
  <c r="GV134" i="2" s="1"/>
  <c r="EH134" i="2"/>
  <c r="EF134" i="2"/>
  <c r="ED134" i="2"/>
  <c r="EB134" i="2"/>
  <c r="DZ134" i="2"/>
  <c r="DX134" i="2"/>
  <c r="CZ134" i="2"/>
  <c r="DB134" i="2" s="1"/>
  <c r="CX134" i="2"/>
  <c r="EN134" i="2" s="1"/>
  <c r="CN134" i="2"/>
  <c r="BP134" i="2"/>
  <c r="BT134" i="2" s="1"/>
  <c r="AZ134" i="2"/>
  <c r="AJ134" i="2"/>
  <c r="AF134" i="2"/>
  <c r="BV134" i="2" s="1"/>
  <c r="V134" i="2"/>
  <c r="HA133" i="2"/>
  <c r="GE133" i="2"/>
  <c r="GA133" i="2"/>
  <c r="FR133" i="2"/>
  <c r="FN133" i="2"/>
  <c r="FK133" i="2"/>
  <c r="FJ133" i="2" s="1"/>
  <c r="FI133" i="2"/>
  <c r="GV133" i="2" s="1"/>
  <c r="FD133" i="2"/>
  <c r="FB133" i="2"/>
  <c r="EI133" i="2"/>
  <c r="EH133" i="2"/>
  <c r="GK133" i="2" s="1"/>
  <c r="EF133" i="2"/>
  <c r="GJ133" i="2" s="1"/>
  <c r="ED133" i="2"/>
  <c r="GI133" i="2" s="1"/>
  <c r="EC133" i="2"/>
  <c r="EB133" i="2"/>
  <c r="EA133" i="2" s="1"/>
  <c r="DZ133" i="2"/>
  <c r="GG133" i="2" s="1"/>
  <c r="DU133" i="2"/>
  <c r="DS133" i="2"/>
  <c r="DQ133" i="2"/>
  <c r="DO133" i="2"/>
  <c r="DM133" i="2"/>
  <c r="DK133" i="2"/>
  <c r="DI133" i="2"/>
  <c r="DE133" i="2"/>
  <c r="DC133" i="2"/>
  <c r="CZ133" i="2"/>
  <c r="DB133" i="2" s="1"/>
  <c r="CX133" i="2"/>
  <c r="CN133" i="2"/>
  <c r="CM133" i="2"/>
  <c r="CK133" i="2"/>
  <c r="CI133" i="2"/>
  <c r="CG133" i="2"/>
  <c r="CE133" i="2"/>
  <c r="CC133" i="2"/>
  <c r="CA133" i="2"/>
  <c r="BY133" i="2"/>
  <c r="BW133" i="2"/>
  <c r="BQ133" i="2"/>
  <c r="BP133" i="2"/>
  <c r="BT133" i="2" s="1"/>
  <c r="BO133" i="2"/>
  <c r="BK133" i="2"/>
  <c r="BI133" i="2"/>
  <c r="BG133" i="2"/>
  <c r="BE133" i="2"/>
  <c r="BC133" i="2"/>
  <c r="BA133" i="2"/>
  <c r="AZ133" i="2"/>
  <c r="AY133" i="2" s="1"/>
  <c r="AW133" i="2"/>
  <c r="GF133" i="2" s="1"/>
  <c r="AU133" i="2"/>
  <c r="AS133" i="2"/>
  <c r="GD133" i="2" s="1"/>
  <c r="AQ133" i="2"/>
  <c r="GC133" i="2" s="1"/>
  <c r="AO133" i="2"/>
  <c r="AM133" i="2"/>
  <c r="GB133" i="2" s="1"/>
  <c r="AK133" i="2"/>
  <c r="AJ133" i="2"/>
  <c r="AI133" i="2" s="1"/>
  <c r="AG133" i="2"/>
  <c r="AF133" i="2"/>
  <c r="AE133" i="2" s="1"/>
  <c r="FZ133" i="2" s="1"/>
  <c r="AA133" i="2"/>
  <c r="Y133" i="2"/>
  <c r="V133" i="2"/>
  <c r="S133" i="2"/>
  <c r="CN132" i="2"/>
  <c r="HA131" i="2"/>
  <c r="GZ131" i="2"/>
  <c r="GJ131" i="2"/>
  <c r="GI131" i="2"/>
  <c r="GH131" i="2"/>
  <c r="GG131" i="2"/>
  <c r="GF131" i="2"/>
  <c r="GE131" i="2"/>
  <c r="GD131" i="2"/>
  <c r="GC131" i="2"/>
  <c r="GB131" i="2"/>
  <c r="GA131" i="2"/>
  <c r="FZ131" i="2"/>
  <c r="FY131" i="2"/>
  <c r="FX131" i="2"/>
  <c r="FW131" i="2"/>
  <c r="FV131" i="2"/>
  <c r="FR131" i="2"/>
  <c r="FN131" i="2"/>
  <c r="FL131" i="2"/>
  <c r="FK131" i="2"/>
  <c r="FI131" i="2"/>
  <c r="GV131" i="2" s="1"/>
  <c r="FH131" i="2"/>
  <c r="FG131" i="2"/>
  <c r="GX131" i="2" s="1"/>
  <c r="FD131" i="2"/>
  <c r="FB131" i="2"/>
  <c r="CZ131" i="2"/>
  <c r="CX131" i="2" s="1"/>
  <c r="CY131" i="2"/>
  <c r="CK131" i="2"/>
  <c r="CI131" i="2"/>
  <c r="CG131" i="2"/>
  <c r="CE131" i="2"/>
  <c r="CC131" i="2"/>
  <c r="CA131" i="2"/>
  <c r="BY131" i="2"/>
  <c r="BX131" i="2"/>
  <c r="CN131" i="2" s="1"/>
  <c r="BW131" i="2"/>
  <c r="BS131" i="2"/>
  <c r="BG131" i="2"/>
  <c r="BE131" i="2"/>
  <c r="BC131" i="2"/>
  <c r="AU131" i="2"/>
  <c r="AK131" i="2"/>
  <c r="V131" i="2"/>
  <c r="U131" i="2" s="1"/>
  <c r="BN131" i="2" s="1"/>
  <c r="S131" i="2"/>
  <c r="HA129" i="2"/>
  <c r="GZ129" i="2"/>
  <c r="GK129" i="2"/>
  <c r="GJ129" i="2"/>
  <c r="GI129" i="2"/>
  <c r="GH129" i="2"/>
  <c r="GG129" i="2"/>
  <c r="GF129" i="2"/>
  <c r="GE129" i="2"/>
  <c r="GD129" i="2"/>
  <c r="GC129" i="2"/>
  <c r="GB129" i="2"/>
  <c r="GA129" i="2"/>
  <c r="FZ129" i="2"/>
  <c r="FY129" i="2"/>
  <c r="FX129" i="2"/>
  <c r="FW129" i="2"/>
  <c r="FV129" i="2"/>
  <c r="FT129" i="2"/>
  <c r="FR129" i="2"/>
  <c r="FN129" i="2"/>
  <c r="FL129" i="2"/>
  <c r="FK129" i="2"/>
  <c r="FI129" i="2"/>
  <c r="GV129" i="2" s="1"/>
  <c r="FH129" i="2"/>
  <c r="FG129" i="2"/>
  <c r="GX129" i="2" s="1"/>
  <c r="FD129" i="2"/>
  <c r="FB129" i="2"/>
  <c r="EZ129" i="2"/>
  <c r="EY129" i="2" s="1"/>
  <c r="EV129" i="2"/>
  <c r="ER129" i="2"/>
  <c r="EQ129" i="2" s="1"/>
  <c r="EP129" i="2"/>
  <c r="GP129" i="2" s="1"/>
  <c r="GO129" i="2" s="1"/>
  <c r="EO129" i="2"/>
  <c r="EL129" i="2"/>
  <c r="EK129" i="2" s="1"/>
  <c r="EI129" i="2"/>
  <c r="EG129" i="2"/>
  <c r="EE129" i="2"/>
  <c r="EC129" i="2"/>
  <c r="EA129" i="2"/>
  <c r="DY129" i="2"/>
  <c r="DX129" i="2"/>
  <c r="FQ129" i="2" s="1"/>
  <c r="DB129" i="2"/>
  <c r="DA129" i="2"/>
  <c r="CY129" i="2"/>
  <c r="FU129" i="2" s="1"/>
  <c r="CK129" i="2"/>
  <c r="CI129" i="2"/>
  <c r="CG129" i="2"/>
  <c r="CE129" i="2"/>
  <c r="CC129" i="2"/>
  <c r="CA129" i="2"/>
  <c r="BY129" i="2"/>
  <c r="BP129" i="2"/>
  <c r="BO129" i="2"/>
  <c r="GN129" i="2" s="1"/>
  <c r="BN129" i="2"/>
  <c r="BM129" i="2"/>
  <c r="BK129" i="2"/>
  <c r="BI129" i="2"/>
  <c r="BG129" i="2"/>
  <c r="BE129" i="2"/>
  <c r="BC129" i="2"/>
  <c r="BA129" i="2"/>
  <c r="AZ129" i="2"/>
  <c r="AY129" i="2"/>
  <c r="AU129" i="2"/>
  <c r="W129" i="2"/>
  <c r="HA127" i="2"/>
  <c r="GZ127" i="2"/>
  <c r="FK127" i="2"/>
  <c r="FI127" i="2"/>
  <c r="FA127" i="2"/>
  <c r="EV127" i="2"/>
  <c r="ER127" i="2"/>
  <c r="EP127" i="2"/>
  <c r="GP127" i="2" s="1"/>
  <c r="DX127" i="2"/>
  <c r="FQ127" i="2" s="1"/>
  <c r="CZ127" i="2"/>
  <c r="CW127" i="2"/>
  <c r="EL127" i="2" s="1"/>
  <c r="CL127" i="2"/>
  <c r="CF127" i="2"/>
  <c r="CD127" i="2"/>
  <c r="GV127" i="2" s="1"/>
  <c r="CB127" i="2"/>
  <c r="BX127" i="2"/>
  <c r="CN127" i="2" s="1"/>
  <c r="BT127" i="2"/>
  <c r="AZ127" i="2"/>
  <c r="AD127" i="2" s="1"/>
  <c r="BV127" i="2" s="1"/>
  <c r="X127" i="2"/>
  <c r="T127" i="2"/>
  <c r="HA126" i="2"/>
  <c r="GZ126" i="2"/>
  <c r="FK126" i="2"/>
  <c r="FI126" i="2"/>
  <c r="FA126" i="2"/>
  <c r="EV126" i="2"/>
  <c r="ER126" i="2"/>
  <c r="EP126" i="2"/>
  <c r="GP126" i="2" s="1"/>
  <c r="DX126" i="2"/>
  <c r="FQ126" i="2" s="1"/>
  <c r="CZ126" i="2"/>
  <c r="DH126" i="2" s="1"/>
  <c r="CL126" i="2"/>
  <c r="CF126" i="2"/>
  <c r="CD126" i="2"/>
  <c r="CB126" i="2"/>
  <c r="BX126" i="2"/>
  <c r="BT126" i="2"/>
  <c r="AZ126" i="2"/>
  <c r="AD126" i="2"/>
  <c r="X126" i="2"/>
  <c r="T126" i="2"/>
  <c r="HA125" i="2"/>
  <c r="GZ125" i="2"/>
  <c r="GK125" i="2"/>
  <c r="GJ125" i="2"/>
  <c r="GI125" i="2"/>
  <c r="GH125" i="2"/>
  <c r="GG125" i="2"/>
  <c r="GE125" i="2"/>
  <c r="GA125" i="2"/>
  <c r="FR125" i="2"/>
  <c r="FN125" i="2"/>
  <c r="FL125" i="2"/>
  <c r="FK125" i="2"/>
  <c r="FI125" i="2"/>
  <c r="FD125" i="2"/>
  <c r="FB125" i="2"/>
  <c r="FA125" i="2"/>
  <c r="EV125" i="2"/>
  <c r="EU125" i="2"/>
  <c r="ER125" i="2"/>
  <c r="EP125" i="2"/>
  <c r="GP125" i="2" s="1"/>
  <c r="GO125" i="2" s="1"/>
  <c r="EM125" i="2"/>
  <c r="EI125" i="2"/>
  <c r="EG125" i="2"/>
  <c r="EE125" i="2"/>
  <c r="EC125" i="2"/>
  <c r="EA125" i="2"/>
  <c r="DY125" i="2"/>
  <c r="DX125" i="2"/>
  <c r="DU125" i="2"/>
  <c r="DS125" i="2"/>
  <c r="DQ125" i="2"/>
  <c r="DO125" i="2"/>
  <c r="DM125" i="2"/>
  <c r="DK125" i="2"/>
  <c r="DI125" i="2"/>
  <c r="DE125" i="2"/>
  <c r="DC125" i="2"/>
  <c r="CZ125" i="2"/>
  <c r="CY125" i="2" s="1"/>
  <c r="CL125" i="2"/>
  <c r="CI125" i="2"/>
  <c r="CG125" i="2"/>
  <c r="CF125" i="2"/>
  <c r="CE125" i="2" s="1"/>
  <c r="CD125" i="2"/>
  <c r="CC125" i="2"/>
  <c r="CB125" i="2"/>
  <c r="CA125" i="2" s="1"/>
  <c r="BY125" i="2"/>
  <c r="BX125" i="2"/>
  <c r="BT125" i="2"/>
  <c r="BS125" i="2" s="1"/>
  <c r="BQ125" i="2"/>
  <c r="BO125" i="2"/>
  <c r="GN125" i="2" s="1"/>
  <c r="BM125" i="2"/>
  <c r="BK125" i="2"/>
  <c r="BI125" i="2"/>
  <c r="BG125" i="2"/>
  <c r="BE125" i="2"/>
  <c r="BC125" i="2"/>
  <c r="BA125" i="2"/>
  <c r="AZ125" i="2"/>
  <c r="AD125" i="2" s="1"/>
  <c r="AW125" i="2"/>
  <c r="GF125" i="2" s="1"/>
  <c r="AU125" i="2"/>
  <c r="AS125" i="2"/>
  <c r="GD125" i="2" s="1"/>
  <c r="AQ125" i="2"/>
  <c r="GC125" i="2" s="1"/>
  <c r="AO125" i="2"/>
  <c r="AM125" i="2"/>
  <c r="AK125" i="2"/>
  <c r="AJ125" i="2"/>
  <c r="AH125" i="2"/>
  <c r="AA125" i="2"/>
  <c r="Y125" i="2"/>
  <c r="X125" i="2"/>
  <c r="U125" i="2"/>
  <c r="T125" i="2"/>
  <c r="S125" i="2"/>
  <c r="CN124" i="2"/>
  <c r="HA123" i="2"/>
  <c r="GK123" i="2"/>
  <c r="GJ123" i="2"/>
  <c r="GI123" i="2"/>
  <c r="GH123" i="2"/>
  <c r="GG123" i="2"/>
  <c r="GE123" i="2"/>
  <c r="GA123" i="2"/>
  <c r="FR123" i="2"/>
  <c r="FN123" i="2"/>
  <c r="FL123" i="2"/>
  <c r="FK123" i="2"/>
  <c r="FJ123" i="2" s="1"/>
  <c r="FI123" i="2"/>
  <c r="FH123" i="2"/>
  <c r="FD123" i="2"/>
  <c r="FB123" i="2"/>
  <c r="EY123" i="2"/>
  <c r="EI123" i="2"/>
  <c r="EG123" i="2"/>
  <c r="EE123" i="2"/>
  <c r="EC123" i="2"/>
  <c r="EA123" i="2"/>
  <c r="DY123" i="2"/>
  <c r="DX123" i="2"/>
  <c r="FQ123" i="2" s="1"/>
  <c r="FP123" i="2" s="1"/>
  <c r="DW123" i="2"/>
  <c r="DU123" i="2"/>
  <c r="DS123" i="2"/>
  <c r="DQ123" i="2"/>
  <c r="DO123" i="2"/>
  <c r="DM123" i="2"/>
  <c r="GB123" i="2" s="1"/>
  <c r="DK123" i="2"/>
  <c r="DI123" i="2"/>
  <c r="DE123" i="2"/>
  <c r="DC123" i="2"/>
  <c r="CZ123" i="2"/>
  <c r="CW123" i="2"/>
  <c r="CL123" i="2"/>
  <c r="CK123" i="2"/>
  <c r="CI123" i="2"/>
  <c r="CH123" i="2"/>
  <c r="GZ123" i="2" s="1"/>
  <c r="CG123" i="2"/>
  <c r="CF123" i="2"/>
  <c r="GY123" i="2" s="1"/>
  <c r="CD123" i="2"/>
  <c r="CC123" i="2"/>
  <c r="BY123" i="2"/>
  <c r="BQ123" i="2"/>
  <c r="BK123" i="2"/>
  <c r="BI123" i="2"/>
  <c r="BG123" i="2"/>
  <c r="BE123" i="2"/>
  <c r="BC123" i="2"/>
  <c r="BA123" i="2"/>
  <c r="AZ123" i="2"/>
  <c r="AY123" i="2" s="1"/>
  <c r="AW123" i="2"/>
  <c r="GF123" i="2" s="1"/>
  <c r="AU123" i="2"/>
  <c r="AS123" i="2"/>
  <c r="GD123" i="2" s="1"/>
  <c r="AQ123" i="2"/>
  <c r="GC123" i="2" s="1"/>
  <c r="AO123" i="2"/>
  <c r="AK123" i="2"/>
  <c r="AJ123" i="2"/>
  <c r="AH123" i="2"/>
  <c r="AE123" i="2"/>
  <c r="FZ123" i="2" s="1"/>
  <c r="AA123" i="2"/>
  <c r="Y123" i="2"/>
  <c r="V123" i="2"/>
  <c r="T123" i="2"/>
  <c r="S123" i="2" s="1"/>
  <c r="CN122" i="2"/>
  <c r="HA121" i="2"/>
  <c r="GZ121" i="2"/>
  <c r="GU121" i="2"/>
  <c r="GJ121" i="2"/>
  <c r="GE121" i="2"/>
  <c r="GA121" i="2"/>
  <c r="FR121" i="2"/>
  <c r="FN121" i="2"/>
  <c r="FL121" i="2"/>
  <c r="FK121" i="2"/>
  <c r="FI121" i="2"/>
  <c r="FH121" i="2"/>
  <c r="FD121" i="2"/>
  <c r="FB121" i="2"/>
  <c r="EY121" i="2"/>
  <c r="EQ121" i="2"/>
  <c r="EN121" i="2"/>
  <c r="EM121" i="2"/>
  <c r="EL121" i="2"/>
  <c r="EK121" i="2" s="1"/>
  <c r="EI121" i="2"/>
  <c r="EH121" i="2"/>
  <c r="GK121" i="2" s="1"/>
  <c r="EE121" i="2"/>
  <c r="ED121" i="2"/>
  <c r="GI121" i="2" s="1"/>
  <c r="EC121" i="2"/>
  <c r="EB121" i="2"/>
  <c r="EA121" i="2" s="1"/>
  <c r="DZ121" i="2"/>
  <c r="GG121" i="2" s="1"/>
  <c r="DY121" i="2"/>
  <c r="DX121" i="2"/>
  <c r="DU121" i="2"/>
  <c r="DS121" i="2"/>
  <c r="DQ121" i="2"/>
  <c r="DO121" i="2"/>
  <c r="DM121" i="2"/>
  <c r="GB121" i="2" s="1"/>
  <c r="DK121" i="2"/>
  <c r="DI121" i="2"/>
  <c r="DE121" i="2"/>
  <c r="DC121" i="2"/>
  <c r="DB121" i="2"/>
  <c r="DA121" i="2" s="1"/>
  <c r="CY121" i="2"/>
  <c r="CX121" i="2"/>
  <c r="CK121" i="2"/>
  <c r="CI121" i="2"/>
  <c r="CG121" i="2"/>
  <c r="CF121" i="2"/>
  <c r="CE121" i="2"/>
  <c r="CD121" i="2"/>
  <c r="CA121" i="2"/>
  <c r="BY121" i="2"/>
  <c r="BW121" i="2"/>
  <c r="BQ121" i="2"/>
  <c r="BP121" i="2"/>
  <c r="BT121" i="2" s="1"/>
  <c r="BS121" i="2" s="1"/>
  <c r="BO121" i="2"/>
  <c r="BK121" i="2"/>
  <c r="BI121" i="2"/>
  <c r="BG121" i="2"/>
  <c r="BE121" i="2"/>
  <c r="BC121" i="2"/>
  <c r="BA121" i="2"/>
  <c r="AZ121" i="2"/>
  <c r="AY121" i="2" s="1"/>
  <c r="AW121" i="2"/>
  <c r="GF121" i="2" s="1"/>
  <c r="AU121" i="2"/>
  <c r="AS121" i="2"/>
  <c r="GD121" i="2" s="1"/>
  <c r="AQ121" i="2"/>
  <c r="GC121" i="2" s="1"/>
  <c r="AO121" i="2"/>
  <c r="AK121" i="2"/>
  <c r="AJ121" i="2"/>
  <c r="AH121" i="2"/>
  <c r="AF121" i="2"/>
  <c r="AE121" i="2"/>
  <c r="FZ121" i="2" s="1"/>
  <c r="AA121" i="2"/>
  <c r="Y121" i="2"/>
  <c r="V121" i="2"/>
  <c r="S121" i="2"/>
  <c r="CN120" i="2"/>
  <c r="HA119" i="2"/>
  <c r="GZ119" i="2"/>
  <c r="GK119" i="2"/>
  <c r="GJ119" i="2"/>
  <c r="GI119" i="2"/>
  <c r="GH119" i="2"/>
  <c r="GG119" i="2"/>
  <c r="GE119" i="2"/>
  <c r="GA119" i="2"/>
  <c r="FR119" i="2"/>
  <c r="FN119" i="2"/>
  <c r="FL119" i="2"/>
  <c r="FK119" i="2"/>
  <c r="FJ119" i="2" s="1"/>
  <c r="FI119" i="2"/>
  <c r="FH119" i="2"/>
  <c r="FD119" i="2"/>
  <c r="FB119" i="2"/>
  <c r="EI119" i="2"/>
  <c r="EG119" i="2"/>
  <c r="EE119" i="2"/>
  <c r="EC119" i="2"/>
  <c r="EA119" i="2"/>
  <c r="DY119" i="2"/>
  <c r="DX119" i="2"/>
  <c r="FQ119" i="2" s="1"/>
  <c r="DW119" i="2"/>
  <c r="DU119" i="2"/>
  <c r="DS119" i="2"/>
  <c r="DQ119" i="2"/>
  <c r="DO119" i="2"/>
  <c r="DM119" i="2"/>
  <c r="GB119" i="2" s="1"/>
  <c r="DK119" i="2"/>
  <c r="DI119" i="2"/>
  <c r="DE119" i="2"/>
  <c r="DC119" i="2"/>
  <c r="CZ119" i="2"/>
  <c r="CY119" i="2"/>
  <c r="CW119" i="2"/>
  <c r="CL119" i="2"/>
  <c r="CK119" i="2"/>
  <c r="CI119" i="2"/>
  <c r="CG119" i="2"/>
  <c r="CF119" i="2"/>
  <c r="CE119" i="2"/>
  <c r="CD119" i="2"/>
  <c r="CC119" i="2"/>
  <c r="BY119" i="2"/>
  <c r="BQ119" i="2"/>
  <c r="BK119" i="2"/>
  <c r="BI119" i="2"/>
  <c r="BG119" i="2"/>
  <c r="BE119" i="2"/>
  <c r="BC119" i="2"/>
  <c r="BA119" i="2"/>
  <c r="AZ119" i="2"/>
  <c r="AY119" i="2" s="1"/>
  <c r="AW119" i="2"/>
  <c r="GF119" i="2" s="1"/>
  <c r="AU119" i="2"/>
  <c r="AS119" i="2"/>
  <c r="GD119" i="2" s="1"/>
  <c r="AQ119" i="2"/>
  <c r="GC119" i="2" s="1"/>
  <c r="AO119" i="2"/>
  <c r="AK119" i="2"/>
  <c r="AJ119" i="2"/>
  <c r="AH119" i="2"/>
  <c r="AE119" i="2"/>
  <c r="FZ119" i="2" s="1"/>
  <c r="AA119" i="2"/>
  <c r="Y119" i="2"/>
  <c r="V119" i="2"/>
  <c r="X119" i="2" s="1"/>
  <c r="W119" i="2" s="1"/>
  <c r="CN118" i="2"/>
  <c r="HA117" i="2"/>
  <c r="GK117" i="2"/>
  <c r="GJ117" i="2"/>
  <c r="GI117" i="2"/>
  <c r="GH117" i="2"/>
  <c r="GG117" i="2"/>
  <c r="GE117" i="2"/>
  <c r="GA117" i="2"/>
  <c r="FR117" i="2"/>
  <c r="FN117" i="2"/>
  <c r="FL117" i="2"/>
  <c r="FK117" i="2"/>
  <c r="FJ117" i="2"/>
  <c r="FI117" i="2"/>
  <c r="FH117" i="2" s="1"/>
  <c r="FD117" i="2"/>
  <c r="FB117" i="2"/>
  <c r="FA117" i="2"/>
  <c r="EZ117" i="2"/>
  <c r="EY117" i="2"/>
  <c r="EV117" i="2"/>
  <c r="EU117" i="2"/>
  <c r="ER117" i="2"/>
  <c r="EQ117" i="2" s="1"/>
  <c r="EP117" i="2"/>
  <c r="EM117" i="2"/>
  <c r="EI117" i="2"/>
  <c r="EG117" i="2"/>
  <c r="EE117" i="2"/>
  <c r="EC117" i="2"/>
  <c r="EA117" i="2"/>
  <c r="DY117" i="2"/>
  <c r="DX117" i="2"/>
  <c r="FQ117" i="2" s="1"/>
  <c r="DU117" i="2"/>
  <c r="DS117" i="2"/>
  <c r="DQ117" i="2"/>
  <c r="DO117" i="2"/>
  <c r="DM117" i="2"/>
  <c r="GB117" i="2" s="1"/>
  <c r="DK117" i="2"/>
  <c r="DI117" i="2"/>
  <c r="DE117" i="2"/>
  <c r="DC117" i="2"/>
  <c r="CZ117" i="2"/>
  <c r="CY117" i="2"/>
  <c r="CL117" i="2"/>
  <c r="CK117" i="2" s="1"/>
  <c r="CI117" i="2"/>
  <c r="CH117" i="2"/>
  <c r="GZ117" i="2" s="1"/>
  <c r="CF117" i="2"/>
  <c r="CE117" i="2"/>
  <c r="CD117" i="2"/>
  <c r="CC117" i="2" s="1"/>
  <c r="BY117" i="2"/>
  <c r="BQ117" i="2"/>
  <c r="BK117" i="2"/>
  <c r="BI117" i="2"/>
  <c r="BG117" i="2"/>
  <c r="BE117" i="2"/>
  <c r="BC117" i="2"/>
  <c r="BA117" i="2"/>
  <c r="AZ117" i="2"/>
  <c r="AY117" i="2"/>
  <c r="AW117" i="2"/>
  <c r="GF117" i="2" s="1"/>
  <c r="AU117" i="2"/>
  <c r="AS117" i="2"/>
  <c r="GD117" i="2" s="1"/>
  <c r="AQ117" i="2"/>
  <c r="GC117" i="2" s="1"/>
  <c r="AO117" i="2"/>
  <c r="AK117" i="2"/>
  <c r="AJ117" i="2"/>
  <c r="AH117" i="2"/>
  <c r="AE117" i="2"/>
  <c r="FZ117" i="2" s="1"/>
  <c r="AA117" i="2"/>
  <c r="Y117" i="2"/>
  <c r="V117" i="2"/>
  <c r="U117" i="2"/>
  <c r="T117" i="2"/>
  <c r="CN116" i="2"/>
  <c r="HA115" i="2"/>
  <c r="GZ115" i="2"/>
  <c r="FK115" i="2"/>
  <c r="FI115" i="2"/>
  <c r="EH115" i="2"/>
  <c r="EF115" i="2"/>
  <c r="ED115" i="2"/>
  <c r="EB115" i="2"/>
  <c r="DZ115" i="2"/>
  <c r="DX115" i="2"/>
  <c r="FQ115" i="2" s="1"/>
  <c r="HB115" i="2" s="1"/>
  <c r="CZ115" i="2"/>
  <c r="DB115" i="2" s="1"/>
  <c r="CW115" i="2"/>
  <c r="EL115" i="2" s="1"/>
  <c r="CF115" i="2"/>
  <c r="GY115" i="2" s="1"/>
  <c r="CD115" i="2"/>
  <c r="BP115" i="2"/>
  <c r="AZ115" i="2"/>
  <c r="AF115" i="2"/>
  <c r="V115" i="2"/>
  <c r="AD115" i="2" s="1"/>
  <c r="HA114" i="2"/>
  <c r="GZ114" i="2"/>
  <c r="GE114" i="2"/>
  <c r="GA114" i="2"/>
  <c r="FR114" i="2"/>
  <c r="FN114" i="2"/>
  <c r="FL114" i="2"/>
  <c r="FK114" i="2"/>
  <c r="FJ114" i="2" s="1"/>
  <c r="FI114" i="2"/>
  <c r="FD114" i="2"/>
  <c r="FB114" i="2"/>
  <c r="EI114" i="2"/>
  <c r="EH114" i="2"/>
  <c r="GK114" i="2" s="1"/>
  <c r="EF114" i="2"/>
  <c r="GJ114" i="2" s="1"/>
  <c r="ED114" i="2"/>
  <c r="GI114" i="2" s="1"/>
  <c r="EC114" i="2"/>
  <c r="EB114" i="2"/>
  <c r="EA114" i="2" s="1"/>
  <c r="DZ114" i="2"/>
  <c r="GG114" i="2" s="1"/>
  <c r="DY114" i="2"/>
  <c r="DU114" i="2"/>
  <c r="DS114" i="2"/>
  <c r="DQ114" i="2"/>
  <c r="DO114" i="2"/>
  <c r="DM114" i="2"/>
  <c r="DK114" i="2"/>
  <c r="DI114" i="2"/>
  <c r="DE114" i="2"/>
  <c r="DC114" i="2"/>
  <c r="CZ114" i="2"/>
  <c r="CW114" i="2" s="1"/>
  <c r="CY114" i="2"/>
  <c r="CK114" i="2"/>
  <c r="CI114" i="2"/>
  <c r="CG114" i="2"/>
  <c r="CF114" i="2"/>
  <c r="CE114" i="2" s="1"/>
  <c r="CD114" i="2"/>
  <c r="CN114" i="2" s="1"/>
  <c r="CA114" i="2"/>
  <c r="BY114" i="2"/>
  <c r="BW114" i="2"/>
  <c r="BP114" i="2"/>
  <c r="BK114" i="2"/>
  <c r="BI114" i="2"/>
  <c r="BG114" i="2"/>
  <c r="BE114" i="2"/>
  <c r="BC114" i="2"/>
  <c r="BA114" i="2"/>
  <c r="AZ114" i="2"/>
  <c r="AY114" i="2"/>
  <c r="AW114" i="2"/>
  <c r="GF114" i="2" s="1"/>
  <c r="AU114" i="2"/>
  <c r="AS114" i="2"/>
  <c r="GD114" i="2" s="1"/>
  <c r="AQ114" i="2"/>
  <c r="GC114" i="2" s="1"/>
  <c r="AO114" i="2"/>
  <c r="AM114" i="2"/>
  <c r="AK114" i="2"/>
  <c r="AH114" i="2"/>
  <c r="AA114" i="2"/>
  <c r="Y114" i="2"/>
  <c r="V114" i="2"/>
  <c r="S114" i="2"/>
  <c r="CN113" i="2"/>
  <c r="HA112" i="2"/>
  <c r="GZ112" i="2"/>
  <c r="GU112" i="2"/>
  <c r="GK112" i="2"/>
  <c r="GJ112" i="2"/>
  <c r="GI112" i="2"/>
  <c r="GH112" i="2"/>
  <c r="GG112" i="2"/>
  <c r="GE112" i="2"/>
  <c r="GA112" i="2"/>
  <c r="FR112" i="2"/>
  <c r="FN112" i="2"/>
  <c r="FL112" i="2"/>
  <c r="FK112" i="2"/>
  <c r="GY112" i="2" s="1"/>
  <c r="FJ112" i="2"/>
  <c r="FI112" i="2"/>
  <c r="GV112" i="2" s="1"/>
  <c r="FH112" i="2"/>
  <c r="FD112" i="2"/>
  <c r="FB112" i="2"/>
  <c r="EY112" i="2"/>
  <c r="EI112" i="2"/>
  <c r="EG112" i="2"/>
  <c r="EE112" i="2"/>
  <c r="EC112" i="2"/>
  <c r="EA112" i="2"/>
  <c r="DY112" i="2"/>
  <c r="DX112" i="2"/>
  <c r="DW112" i="2" s="1"/>
  <c r="DU112" i="2"/>
  <c r="DS112" i="2"/>
  <c r="DQ112" i="2"/>
  <c r="DO112" i="2"/>
  <c r="DM112" i="2"/>
  <c r="GB112" i="2" s="1"/>
  <c r="DK112" i="2"/>
  <c r="DI112" i="2"/>
  <c r="DE112" i="2"/>
  <c r="DC112" i="2"/>
  <c r="CZ112" i="2"/>
  <c r="CY112" i="2"/>
  <c r="CW112" i="2"/>
  <c r="CX112" i="2" s="1"/>
  <c r="CN112" i="2"/>
  <c r="CM112" i="2"/>
  <c r="CK112" i="2"/>
  <c r="CI112" i="2"/>
  <c r="CG112" i="2"/>
  <c r="CE112" i="2"/>
  <c r="CC112" i="2"/>
  <c r="CA112" i="2"/>
  <c r="BY112" i="2"/>
  <c r="BW112" i="2"/>
  <c r="BT112" i="2"/>
  <c r="BS112" i="2" s="1"/>
  <c r="BQ112" i="2"/>
  <c r="BO112" i="2"/>
  <c r="BM112" i="2"/>
  <c r="BK112" i="2"/>
  <c r="BI112" i="2"/>
  <c r="BG112" i="2"/>
  <c r="BE112" i="2"/>
  <c r="BC112" i="2"/>
  <c r="BA112" i="2"/>
  <c r="AZ112" i="2"/>
  <c r="AD112" i="2" s="1"/>
  <c r="BV112" i="2" s="1"/>
  <c r="BU112" i="2" s="1"/>
  <c r="AY112" i="2"/>
  <c r="AW112" i="2"/>
  <c r="GF112" i="2" s="1"/>
  <c r="AU112" i="2"/>
  <c r="AS112" i="2"/>
  <c r="GD112" i="2" s="1"/>
  <c r="AQ112" i="2"/>
  <c r="GC112" i="2" s="1"/>
  <c r="AO112" i="2"/>
  <c r="AK112" i="2"/>
  <c r="AJ112" i="2"/>
  <c r="AH112" i="2"/>
  <c r="AE112" i="2"/>
  <c r="FZ112" i="2" s="1"/>
  <c r="AA112" i="2"/>
  <c r="Y112" i="2"/>
  <c r="W112" i="2"/>
  <c r="U112" i="2"/>
  <c r="S112" i="2"/>
  <c r="CN111" i="2"/>
  <c r="HA110" i="2"/>
  <c r="GZ110" i="2"/>
  <c r="GU110" i="2"/>
  <c r="GK110" i="2"/>
  <c r="GJ110" i="2"/>
  <c r="GI110" i="2"/>
  <c r="GH110" i="2"/>
  <c r="GG110" i="2"/>
  <c r="GE110" i="2"/>
  <c r="GA110" i="2"/>
  <c r="FR110" i="2"/>
  <c r="FN110" i="2"/>
  <c r="FL110" i="2"/>
  <c r="FK110" i="2"/>
  <c r="GY110" i="2" s="1"/>
  <c r="FJ110" i="2"/>
  <c r="FI110" i="2"/>
  <c r="GV110" i="2" s="1"/>
  <c r="FH110" i="2"/>
  <c r="FD110" i="2"/>
  <c r="FB110" i="2"/>
  <c r="EY110" i="2"/>
  <c r="EI110" i="2"/>
  <c r="EG110" i="2"/>
  <c r="EE110" i="2"/>
  <c r="EC110" i="2"/>
  <c r="EA110" i="2"/>
  <c r="DY110" i="2"/>
  <c r="DX110" i="2"/>
  <c r="FQ110" i="2" s="1"/>
  <c r="FP110" i="2" s="1"/>
  <c r="DW110" i="2"/>
  <c r="DU110" i="2"/>
  <c r="DS110" i="2"/>
  <c r="DQ110" i="2"/>
  <c r="DO110" i="2"/>
  <c r="DM110" i="2"/>
  <c r="GB110" i="2" s="1"/>
  <c r="DK110" i="2"/>
  <c r="DI110" i="2"/>
  <c r="DE110" i="2"/>
  <c r="DC110" i="2"/>
  <c r="CZ110" i="2"/>
  <c r="CY110" i="2"/>
  <c r="CW110" i="2"/>
  <c r="CN110" i="2"/>
  <c r="CM110" i="2"/>
  <c r="CK110" i="2"/>
  <c r="CI110" i="2"/>
  <c r="CG110" i="2"/>
  <c r="CE110" i="2"/>
  <c r="CC110" i="2"/>
  <c r="CA110" i="2"/>
  <c r="BY110" i="2"/>
  <c r="BW110" i="2"/>
  <c r="BQ110" i="2"/>
  <c r="BP110" i="2"/>
  <c r="BN110" i="2"/>
  <c r="BM110" i="2" s="1"/>
  <c r="BK110" i="2"/>
  <c r="BI110" i="2"/>
  <c r="BG110" i="2"/>
  <c r="BE110" i="2"/>
  <c r="BC110" i="2"/>
  <c r="BA110" i="2"/>
  <c r="AZ110" i="2"/>
  <c r="AY110" i="2" s="1"/>
  <c r="AW110" i="2"/>
  <c r="GF110" i="2" s="1"/>
  <c r="AU110" i="2"/>
  <c r="AS110" i="2"/>
  <c r="GD110" i="2" s="1"/>
  <c r="AQ110" i="2"/>
  <c r="GC110" i="2" s="1"/>
  <c r="AO110" i="2"/>
  <c r="AK110" i="2"/>
  <c r="AJ110" i="2"/>
  <c r="AH110" i="2"/>
  <c r="AF110" i="2"/>
  <c r="AE110" i="2" s="1"/>
  <c r="FZ110" i="2" s="1"/>
  <c r="AA110" i="2"/>
  <c r="FX110" i="2" s="1"/>
  <c r="Y110" i="2"/>
  <c r="W110" i="2"/>
  <c r="U110" i="2"/>
  <c r="FU110" i="2" s="1"/>
  <c r="S110" i="2"/>
  <c r="CN109" i="2"/>
  <c r="HA108" i="2"/>
  <c r="GZ108" i="2"/>
  <c r="GU108" i="2"/>
  <c r="GK108" i="2"/>
  <c r="GJ108" i="2"/>
  <c r="GI108" i="2"/>
  <c r="GH108" i="2"/>
  <c r="GG108" i="2"/>
  <c r="GE108" i="2"/>
  <c r="GA108" i="2"/>
  <c r="FR108" i="2"/>
  <c r="FN108" i="2"/>
  <c r="FL108" i="2"/>
  <c r="FK108" i="2"/>
  <c r="GY108" i="2" s="1"/>
  <c r="FI108" i="2"/>
  <c r="FD108" i="2"/>
  <c r="FB108" i="2"/>
  <c r="EY108" i="2"/>
  <c r="EN108" i="2"/>
  <c r="EM108" i="2"/>
  <c r="EI108" i="2"/>
  <c r="EG108" i="2"/>
  <c r="EE108" i="2"/>
  <c r="EC108" i="2"/>
  <c r="EA108" i="2"/>
  <c r="DY108" i="2"/>
  <c r="DX108" i="2"/>
  <c r="FQ108" i="2" s="1"/>
  <c r="DW108" i="2"/>
  <c r="DU108" i="2"/>
  <c r="DS108" i="2"/>
  <c r="DQ108" i="2"/>
  <c r="DO108" i="2"/>
  <c r="DM108" i="2"/>
  <c r="GB108" i="2" s="1"/>
  <c r="DK108" i="2"/>
  <c r="DI108" i="2"/>
  <c r="DE108" i="2"/>
  <c r="DC108" i="2"/>
  <c r="CZ108" i="2"/>
  <c r="CY108" i="2" s="1"/>
  <c r="CN108" i="2"/>
  <c r="CM108" i="2"/>
  <c r="CK108" i="2"/>
  <c r="CI108" i="2"/>
  <c r="CG108" i="2"/>
  <c r="CE108" i="2"/>
  <c r="CC108" i="2"/>
  <c r="CA108" i="2"/>
  <c r="BY108" i="2"/>
  <c r="BW108" i="2"/>
  <c r="BT108" i="2"/>
  <c r="BS108" i="2" s="1"/>
  <c r="BQ108" i="2"/>
  <c r="BO108" i="2"/>
  <c r="BK108" i="2"/>
  <c r="BI108" i="2"/>
  <c r="BG108" i="2"/>
  <c r="BE108" i="2"/>
  <c r="BC108" i="2"/>
  <c r="BA108" i="2"/>
  <c r="AZ108" i="2"/>
  <c r="AY108" i="2" s="1"/>
  <c r="AW108" i="2"/>
  <c r="GF108" i="2" s="1"/>
  <c r="AU108" i="2"/>
  <c r="AS108" i="2"/>
  <c r="GD108" i="2" s="1"/>
  <c r="AQ108" i="2"/>
  <c r="GC108" i="2" s="1"/>
  <c r="AO108" i="2"/>
  <c r="AK108" i="2"/>
  <c r="AJ108" i="2"/>
  <c r="AH108" i="2"/>
  <c r="AF108" i="2"/>
  <c r="AE108" i="2" s="1"/>
  <c r="FZ108" i="2" s="1"/>
  <c r="AA108" i="2"/>
  <c r="Y108" i="2"/>
  <c r="V108" i="2"/>
  <c r="T108" i="2"/>
  <c r="CW108" i="2" s="1"/>
  <c r="CX108" i="2" s="1"/>
  <c r="S108" i="2"/>
  <c r="CN107" i="2"/>
  <c r="HA106" i="2"/>
  <c r="GU106" i="2"/>
  <c r="FK106" i="2"/>
  <c r="FI106" i="2"/>
  <c r="DX106" i="2"/>
  <c r="FQ106" i="2" s="1"/>
  <c r="CZ106" i="2"/>
  <c r="CW106" i="2"/>
  <c r="CH106" i="2"/>
  <c r="GZ106" i="2" s="1"/>
  <c r="CF106" i="2"/>
  <c r="CD106" i="2"/>
  <c r="GV106" i="2" s="1"/>
  <c r="BT106" i="2"/>
  <c r="BR106" i="2"/>
  <c r="AZ106" i="2"/>
  <c r="AF106" i="2"/>
  <c r="HA105" i="2"/>
  <c r="GZ105" i="2"/>
  <c r="GU105" i="2"/>
  <c r="FK105" i="2"/>
  <c r="GY105" i="2" s="1"/>
  <c r="FI105" i="2"/>
  <c r="GV105" i="2" s="1"/>
  <c r="DX105" i="2"/>
  <c r="FQ105" i="2" s="1"/>
  <c r="HB105" i="2" s="1"/>
  <c r="CZ105" i="2"/>
  <c r="DB105" i="2" s="1"/>
  <c r="CW105" i="2"/>
  <c r="EN105" i="2" s="1"/>
  <c r="EV105" i="2" s="1"/>
  <c r="CN105" i="2"/>
  <c r="BT105" i="2"/>
  <c r="BN105" i="2"/>
  <c r="AZ105" i="2"/>
  <c r="AF105" i="2"/>
  <c r="HA104" i="2"/>
  <c r="GU104" i="2"/>
  <c r="GK104" i="2"/>
  <c r="GJ104" i="2"/>
  <c r="GI104" i="2"/>
  <c r="GH104" i="2"/>
  <c r="GG104" i="2"/>
  <c r="GE104" i="2"/>
  <c r="GA104" i="2"/>
  <c r="FR104" i="2"/>
  <c r="FN104" i="2"/>
  <c r="FL104" i="2"/>
  <c r="FK104" i="2"/>
  <c r="FJ104" i="2"/>
  <c r="FI104" i="2"/>
  <c r="FH104" i="2"/>
  <c r="FD104" i="2"/>
  <c r="FB104" i="2"/>
  <c r="EZ104" i="2"/>
  <c r="EY104" i="2"/>
  <c r="EI104" i="2"/>
  <c r="EG104" i="2"/>
  <c r="EE104" i="2"/>
  <c r="EC104" i="2"/>
  <c r="EA104" i="2"/>
  <c r="DY104" i="2"/>
  <c r="DX104" i="2"/>
  <c r="FQ104" i="2" s="1"/>
  <c r="DW104" i="2"/>
  <c r="DU104" i="2"/>
  <c r="DS104" i="2"/>
  <c r="DQ104" i="2"/>
  <c r="DO104" i="2"/>
  <c r="DM104" i="2"/>
  <c r="DK104" i="2"/>
  <c r="DI104" i="2"/>
  <c r="DE104" i="2"/>
  <c r="DC104" i="2"/>
  <c r="CZ104" i="2"/>
  <c r="CY104" i="2" s="1"/>
  <c r="CL104" i="2"/>
  <c r="CI104" i="2"/>
  <c r="CH104" i="2"/>
  <c r="GZ104" i="2" s="1"/>
  <c r="CG104" i="2"/>
  <c r="CF104" i="2"/>
  <c r="CE104" i="2"/>
  <c r="CD104" i="2"/>
  <c r="CC104" i="2"/>
  <c r="BY104" i="2"/>
  <c r="BW104" i="2"/>
  <c r="BP104" i="2"/>
  <c r="BO104" i="2"/>
  <c r="BK104" i="2"/>
  <c r="BI104" i="2"/>
  <c r="BG104" i="2"/>
  <c r="BE104" i="2"/>
  <c r="BC104" i="2"/>
  <c r="BA104" i="2"/>
  <c r="AZ104" i="2"/>
  <c r="AY104" i="2" s="1"/>
  <c r="AW104" i="2"/>
  <c r="GF104" i="2" s="1"/>
  <c r="AU104" i="2"/>
  <c r="AS104" i="2"/>
  <c r="GD104" i="2" s="1"/>
  <c r="AQ104" i="2"/>
  <c r="GC104" i="2" s="1"/>
  <c r="AO104" i="2"/>
  <c r="AM104" i="2"/>
  <c r="AK104" i="2"/>
  <c r="AJ104" i="2"/>
  <c r="AH104" i="2"/>
  <c r="AF104" i="2"/>
  <c r="AE104" i="2" s="1"/>
  <c r="FZ104" i="2" s="1"/>
  <c r="AA104" i="2"/>
  <c r="Y104" i="2"/>
  <c r="FY104" i="2" s="1"/>
  <c r="V104" i="2"/>
  <c r="S104" i="2"/>
  <c r="HA102" i="2"/>
  <c r="GZ102" i="2"/>
  <c r="GL102" i="2"/>
  <c r="GK102" i="2"/>
  <c r="GJ102" i="2"/>
  <c r="GI102" i="2"/>
  <c r="GH102" i="2"/>
  <c r="GG102" i="2"/>
  <c r="GF102" i="2"/>
  <c r="GE102" i="2"/>
  <c r="GD102" i="2"/>
  <c r="GC102" i="2"/>
  <c r="GB102" i="2"/>
  <c r="GA102" i="2"/>
  <c r="FZ102" i="2"/>
  <c r="FW102" i="2"/>
  <c r="FQ102" i="2"/>
  <c r="HB102" i="2" s="1"/>
  <c r="FL102" i="2"/>
  <c r="FK102" i="2"/>
  <c r="FJ102" i="2" s="1"/>
  <c r="FI102" i="2"/>
  <c r="GV102" i="2" s="1"/>
  <c r="FH102" i="2"/>
  <c r="FG102" i="2"/>
  <c r="GX102" i="2" s="1"/>
  <c r="FF102" i="2"/>
  <c r="CZ102" i="2"/>
  <c r="CW102" i="2" s="1"/>
  <c r="CY102" i="2"/>
  <c r="BV102" i="2"/>
  <c r="BU102" i="2"/>
  <c r="AI102" i="2"/>
  <c r="AJ102" i="2" s="1"/>
  <c r="AA102" i="2"/>
  <c r="FX102" i="2" s="1"/>
  <c r="Y102" i="2"/>
  <c r="V102" i="2"/>
  <c r="X102" i="2" s="1"/>
  <c r="U102" i="2"/>
  <c r="T102" i="2"/>
  <c r="S102" i="2"/>
  <c r="CN101" i="2"/>
  <c r="AZ101" i="2"/>
  <c r="HA100" i="2"/>
  <c r="GU100" i="2"/>
  <c r="GK100" i="2"/>
  <c r="GJ100" i="2"/>
  <c r="GI100" i="2"/>
  <c r="GH100" i="2"/>
  <c r="GG100" i="2"/>
  <c r="GE100" i="2"/>
  <c r="GA100" i="2"/>
  <c r="FR100" i="2"/>
  <c r="FN100" i="2"/>
  <c r="FL100" i="2"/>
  <c r="FK100" i="2"/>
  <c r="FJ100" i="2"/>
  <c r="FI100" i="2"/>
  <c r="FH100" i="2"/>
  <c r="FD100" i="2"/>
  <c r="FB100" i="2"/>
  <c r="EY100" i="2"/>
  <c r="EI100" i="2"/>
  <c r="EG100" i="2"/>
  <c r="EE100" i="2"/>
  <c r="EC100" i="2"/>
  <c r="EA100" i="2"/>
  <c r="DY100" i="2"/>
  <c r="DX100" i="2"/>
  <c r="FQ100" i="2" s="1"/>
  <c r="DW100" i="2"/>
  <c r="DU100" i="2"/>
  <c r="DS100" i="2"/>
  <c r="DQ100" i="2"/>
  <c r="DO100" i="2"/>
  <c r="DM100" i="2"/>
  <c r="GB100" i="2" s="1"/>
  <c r="DK100" i="2"/>
  <c r="DI100" i="2"/>
  <c r="DH100" i="2"/>
  <c r="DG100" i="2" s="1"/>
  <c r="DE100" i="2"/>
  <c r="DC100" i="2"/>
  <c r="DB100" i="2"/>
  <c r="DA100" i="2"/>
  <c r="CY100" i="2"/>
  <c r="CW100" i="2"/>
  <c r="CL100" i="2"/>
  <c r="CK100" i="2"/>
  <c r="CI100" i="2"/>
  <c r="CH100" i="2"/>
  <c r="GZ100" i="2" s="1"/>
  <c r="CG100" i="2"/>
  <c r="CF100" i="2"/>
  <c r="CE100" i="2" s="1"/>
  <c r="CD100" i="2"/>
  <c r="CC100" i="2"/>
  <c r="BY100" i="2"/>
  <c r="BW100" i="2"/>
  <c r="BP100" i="2"/>
  <c r="BO100" i="2"/>
  <c r="BK100" i="2"/>
  <c r="BI100" i="2"/>
  <c r="BG100" i="2"/>
  <c r="BE100" i="2"/>
  <c r="BC100" i="2"/>
  <c r="BA100" i="2"/>
  <c r="AZ100" i="2"/>
  <c r="AY100" i="2" s="1"/>
  <c r="AW100" i="2"/>
  <c r="GF100" i="2" s="1"/>
  <c r="AU100" i="2"/>
  <c r="AS100" i="2"/>
  <c r="GD100" i="2" s="1"/>
  <c r="AQ100" i="2"/>
  <c r="GC100" i="2" s="1"/>
  <c r="AO100" i="2"/>
  <c r="AK100" i="2"/>
  <c r="AJ100" i="2"/>
  <c r="AH100" i="2"/>
  <c r="AE100" i="2"/>
  <c r="FZ100" i="2" s="1"/>
  <c r="AA100" i="2"/>
  <c r="FX100" i="2" s="1"/>
  <c r="Y100" i="2"/>
  <c r="V100" i="2"/>
  <c r="S100" i="2"/>
  <c r="CN99" i="2"/>
  <c r="AZ99" i="2"/>
  <c r="HA98" i="2"/>
  <c r="GU98" i="2"/>
  <c r="FK98" i="2"/>
  <c r="FI98" i="2"/>
  <c r="DX98" i="2"/>
  <c r="FQ98" i="2" s="1"/>
  <c r="DH98" i="2"/>
  <c r="FG98" i="2" s="1"/>
  <c r="DB98" i="2"/>
  <c r="CW98" i="2"/>
  <c r="CL98" i="2"/>
  <c r="CH98" i="2"/>
  <c r="GZ98" i="2" s="1"/>
  <c r="CF98" i="2"/>
  <c r="CD98" i="2"/>
  <c r="GV98" i="2" s="1"/>
  <c r="BP98" i="2"/>
  <c r="BR98" i="2" s="1"/>
  <c r="AZ98" i="2"/>
  <c r="V98" i="2"/>
  <c r="BN98" i="2" s="1"/>
  <c r="N98" i="2"/>
  <c r="HA97" i="2"/>
  <c r="GU97" i="2"/>
  <c r="GK97" i="2"/>
  <c r="GJ97" i="2"/>
  <c r="GI97" i="2"/>
  <c r="GH97" i="2"/>
  <c r="GG97" i="2"/>
  <c r="GE97" i="2"/>
  <c r="GA97" i="2"/>
  <c r="FR97" i="2"/>
  <c r="FN97" i="2"/>
  <c r="FL97" i="2"/>
  <c r="FK97" i="2"/>
  <c r="FJ97" i="2"/>
  <c r="FI97" i="2"/>
  <c r="FD97" i="2"/>
  <c r="FB97" i="2"/>
  <c r="EY97" i="2"/>
  <c r="EI97" i="2"/>
  <c r="EG97" i="2"/>
  <c r="EE97" i="2"/>
  <c r="EC97" i="2"/>
  <c r="EA97" i="2"/>
  <c r="DY97" i="2"/>
  <c r="DX97" i="2"/>
  <c r="FQ97" i="2" s="1"/>
  <c r="DW97" i="2"/>
  <c r="DU97" i="2"/>
  <c r="DS97" i="2"/>
  <c r="DQ97" i="2"/>
  <c r="DO97" i="2"/>
  <c r="DM97" i="2"/>
  <c r="DK97" i="2"/>
  <c r="DI97" i="2"/>
  <c r="DH97" i="2"/>
  <c r="DG97" i="2"/>
  <c r="DE97" i="2"/>
  <c r="DC97" i="2"/>
  <c r="DB97" i="2"/>
  <c r="DA97" i="2" s="1"/>
  <c r="CY97" i="2"/>
  <c r="CW97" i="2"/>
  <c r="EN97" i="2" s="1"/>
  <c r="CL97" i="2"/>
  <c r="CK97" i="2"/>
  <c r="CI97" i="2"/>
  <c r="CH97" i="2"/>
  <c r="GZ97" i="2" s="1"/>
  <c r="CG97" i="2"/>
  <c r="CF97" i="2"/>
  <c r="CE97" i="2"/>
  <c r="CD97" i="2"/>
  <c r="CC97" i="2"/>
  <c r="BY97" i="2"/>
  <c r="BW97" i="2"/>
  <c r="BP97" i="2"/>
  <c r="BO97" i="2"/>
  <c r="BK97" i="2"/>
  <c r="BI97" i="2"/>
  <c r="BG97" i="2"/>
  <c r="BE97" i="2"/>
  <c r="BC97" i="2"/>
  <c r="BA97" i="2"/>
  <c r="AZ97" i="2"/>
  <c r="AY97" i="2"/>
  <c r="AW97" i="2"/>
  <c r="GF97" i="2" s="1"/>
  <c r="AU97" i="2"/>
  <c r="AS97" i="2"/>
  <c r="GD97" i="2" s="1"/>
  <c r="AQ97" i="2"/>
  <c r="GC97" i="2" s="1"/>
  <c r="AO97" i="2"/>
  <c r="AM97" i="2"/>
  <c r="GB97" i="2" s="1"/>
  <c r="AK97" i="2"/>
  <c r="AJ97" i="2"/>
  <c r="AH97" i="2"/>
  <c r="AF97" i="2"/>
  <c r="AE97" i="2"/>
  <c r="FZ97" i="2" s="1"/>
  <c r="AA97" i="2"/>
  <c r="Y97" i="2"/>
  <c r="V97" i="2"/>
  <c r="U97" i="2"/>
  <c r="FU97" i="2" s="1"/>
  <c r="S97" i="2"/>
  <c r="CN96" i="2"/>
  <c r="AZ96" i="2"/>
  <c r="HA95" i="2"/>
  <c r="FK95" i="2"/>
  <c r="FI95" i="2"/>
  <c r="DX95" i="2"/>
  <c r="FQ95" i="2" s="1"/>
  <c r="CZ95" i="2"/>
  <c r="DH95" i="2" s="1"/>
  <c r="CL95" i="2"/>
  <c r="CH95" i="2"/>
  <c r="GZ95" i="2" s="1"/>
  <c r="CF95" i="2"/>
  <c r="CD95" i="2"/>
  <c r="BP95" i="2"/>
  <c r="BR95" i="2" s="1"/>
  <c r="AZ95" i="2"/>
  <c r="AF95" i="2"/>
  <c r="V95" i="2"/>
  <c r="FK94" i="2"/>
  <c r="FI94" i="2"/>
  <c r="DX94" i="2"/>
  <c r="FQ94" i="2" s="1"/>
  <c r="CZ94" i="2"/>
  <c r="DB94" i="2" s="1"/>
  <c r="CL94" i="2"/>
  <c r="CJ94" i="2"/>
  <c r="HA94" i="2" s="1"/>
  <c r="CH94" i="2"/>
  <c r="CF94" i="2"/>
  <c r="CD94" i="2"/>
  <c r="BP94" i="2"/>
  <c r="BT94" i="2" s="1"/>
  <c r="AZ94" i="2"/>
  <c r="AF94" i="2"/>
  <c r="V94" i="2"/>
  <c r="FK93" i="2"/>
  <c r="FI93" i="2"/>
  <c r="DX93" i="2"/>
  <c r="FQ93" i="2" s="1"/>
  <c r="CZ93" i="2"/>
  <c r="DH93" i="2" s="1"/>
  <c r="CW93" i="2"/>
  <c r="EN93" i="2" s="1"/>
  <c r="CL93" i="2"/>
  <c r="CJ93" i="2"/>
  <c r="HA93" i="2" s="1"/>
  <c r="CH93" i="2"/>
  <c r="GZ93" i="2" s="1"/>
  <c r="CF93" i="2"/>
  <c r="CD93" i="2"/>
  <c r="GV93" i="2" s="1"/>
  <c r="BP93" i="2"/>
  <c r="BR93" i="2" s="1"/>
  <c r="AZ93" i="2"/>
  <c r="AF93" i="2"/>
  <c r="V93" i="2"/>
  <c r="HA92" i="2"/>
  <c r="GK92" i="2"/>
  <c r="GJ92" i="2"/>
  <c r="GI92" i="2"/>
  <c r="GH92" i="2"/>
  <c r="GG92" i="2"/>
  <c r="GE92" i="2"/>
  <c r="GA92" i="2"/>
  <c r="FR92" i="2"/>
  <c r="FN92" i="2"/>
  <c r="FL92" i="2"/>
  <c r="FK92" i="2"/>
  <c r="FJ92" i="2"/>
  <c r="FI92" i="2"/>
  <c r="FD92" i="2"/>
  <c r="FB92" i="2"/>
  <c r="EI92" i="2"/>
  <c r="EG92" i="2"/>
  <c r="EE92" i="2"/>
  <c r="EC92" i="2"/>
  <c r="EA92" i="2"/>
  <c r="DY92" i="2"/>
  <c r="DX92" i="2"/>
  <c r="FQ92" i="2" s="1"/>
  <c r="DW92" i="2"/>
  <c r="DU92" i="2"/>
  <c r="DS92" i="2"/>
  <c r="DQ92" i="2"/>
  <c r="DO92" i="2"/>
  <c r="DM92" i="2"/>
  <c r="DK92" i="2"/>
  <c r="DI92" i="2"/>
  <c r="DE92" i="2"/>
  <c r="DC92" i="2"/>
  <c r="CZ92" i="2"/>
  <c r="DH92" i="2" s="1"/>
  <c r="CL92" i="2"/>
  <c r="HB92" i="2" s="1"/>
  <c r="CK92" i="2"/>
  <c r="CI92" i="2"/>
  <c r="CH92" i="2"/>
  <c r="GZ92" i="2" s="1"/>
  <c r="CF92" i="2"/>
  <c r="CE92" i="2" s="1"/>
  <c r="CD92" i="2"/>
  <c r="CC92" i="2"/>
  <c r="BY92" i="2"/>
  <c r="BW92" i="2"/>
  <c r="BP92" i="2"/>
  <c r="BK92" i="2"/>
  <c r="BI92" i="2"/>
  <c r="BG92" i="2"/>
  <c r="BE92" i="2"/>
  <c r="BC92" i="2"/>
  <c r="BA92" i="2"/>
  <c r="AZ92" i="2"/>
  <c r="AY92" i="2" s="1"/>
  <c r="AW92" i="2"/>
  <c r="GF92" i="2" s="1"/>
  <c r="AU92" i="2"/>
  <c r="AS92" i="2"/>
  <c r="GD92" i="2" s="1"/>
  <c r="AQ92" i="2"/>
  <c r="GC92" i="2" s="1"/>
  <c r="AO92" i="2"/>
  <c r="AM92" i="2"/>
  <c r="AK92" i="2"/>
  <c r="AI92" i="2"/>
  <c r="AJ92" i="2" s="1"/>
  <c r="AH92" i="2"/>
  <c r="AF92" i="2"/>
  <c r="AE92" i="2"/>
  <c r="FZ92" i="2" s="1"/>
  <c r="AA92" i="2"/>
  <c r="Y92" i="2"/>
  <c r="FY92" i="2" s="1"/>
  <c r="V92" i="2"/>
  <c r="U92" i="2"/>
  <c r="S92" i="2"/>
  <c r="CN91" i="2"/>
  <c r="AZ91" i="2"/>
  <c r="HA90" i="2"/>
  <c r="GZ90" i="2"/>
  <c r="GJ90" i="2"/>
  <c r="GI90" i="2"/>
  <c r="GG90" i="2"/>
  <c r="GE90" i="2"/>
  <c r="GA90" i="2"/>
  <c r="FR90" i="2"/>
  <c r="FN90" i="2"/>
  <c r="FL90" i="2"/>
  <c r="FK90" i="2"/>
  <c r="FJ90" i="2"/>
  <c r="FI90" i="2"/>
  <c r="FH90" i="2" s="1"/>
  <c r="FD90" i="2"/>
  <c r="FB90" i="2"/>
  <c r="EY90" i="2"/>
  <c r="EQ90" i="2"/>
  <c r="EN90" i="2"/>
  <c r="EP90" i="2" s="1"/>
  <c r="EI90" i="2"/>
  <c r="EH90" i="2"/>
  <c r="GK90" i="2" s="1"/>
  <c r="EG90" i="2"/>
  <c r="EE90" i="2"/>
  <c r="EC90" i="2"/>
  <c r="EB90" i="2"/>
  <c r="EA90" i="2"/>
  <c r="DY90" i="2"/>
  <c r="DX90" i="2"/>
  <c r="FQ90" i="2" s="1"/>
  <c r="DU90" i="2"/>
  <c r="DS90" i="2"/>
  <c r="DQ90" i="2"/>
  <c r="DO90" i="2"/>
  <c r="DM90" i="2"/>
  <c r="GB90" i="2" s="1"/>
  <c r="DK90" i="2"/>
  <c r="DI90" i="2"/>
  <c r="DE90" i="2"/>
  <c r="DC90" i="2"/>
  <c r="DA90" i="2"/>
  <c r="CX90" i="2"/>
  <c r="CL90" i="2"/>
  <c r="CK90" i="2" s="1"/>
  <c r="CI90" i="2"/>
  <c r="CG90" i="2"/>
  <c r="CF90" i="2"/>
  <c r="GY90" i="2" s="1"/>
  <c r="CE90" i="2"/>
  <c r="CD90" i="2"/>
  <c r="CC90" i="2"/>
  <c r="CB90" i="2"/>
  <c r="CA90" i="2" s="1"/>
  <c r="BY90" i="2"/>
  <c r="BP90" i="2"/>
  <c r="BT90" i="2" s="1"/>
  <c r="BS90" i="2" s="1"/>
  <c r="BO90" i="2"/>
  <c r="BK90" i="2"/>
  <c r="BI90" i="2"/>
  <c r="BG90" i="2"/>
  <c r="BE90" i="2"/>
  <c r="BD90" i="2"/>
  <c r="BD137" i="2" s="1"/>
  <c r="BC90" i="2"/>
  <c r="BA90" i="2"/>
  <c r="AW90" i="2"/>
  <c r="GF90" i="2" s="1"/>
  <c r="AU90" i="2"/>
  <c r="AS90" i="2"/>
  <c r="GD90" i="2" s="1"/>
  <c r="AQ90" i="2"/>
  <c r="GC90" i="2" s="1"/>
  <c r="AO90" i="2"/>
  <c r="AK90" i="2"/>
  <c r="AJ90" i="2"/>
  <c r="AH90" i="2"/>
  <c r="AE90" i="2"/>
  <c r="FZ90" i="2" s="1"/>
  <c r="AA90" i="2"/>
  <c r="Y90" i="2"/>
  <c r="FY90" i="2" s="1"/>
  <c r="X90" i="2"/>
  <c r="W90" i="2" s="1"/>
  <c r="U90" i="2"/>
  <c r="S90" i="2"/>
  <c r="CN89" i="2"/>
  <c r="AZ89" i="2"/>
  <c r="HA88" i="2"/>
  <c r="GU88" i="2"/>
  <c r="FK88" i="2"/>
  <c r="FI88" i="2"/>
  <c r="DX88" i="2"/>
  <c r="FQ88" i="2" s="1"/>
  <c r="CZ88" i="2"/>
  <c r="DH88" i="2" s="1"/>
  <c r="CW88" i="2"/>
  <c r="EL88" i="2" s="1"/>
  <c r="CL88" i="2"/>
  <c r="CH88" i="2"/>
  <c r="GZ88" i="2" s="1"/>
  <c r="CF88" i="2"/>
  <c r="CD88" i="2"/>
  <c r="BP88" i="2"/>
  <c r="AZ88" i="2"/>
  <c r="V88" i="2"/>
  <c r="BN88" i="2" s="1"/>
  <c r="HA87" i="2"/>
  <c r="GU87" i="2"/>
  <c r="GK87" i="2"/>
  <c r="GJ87" i="2"/>
  <c r="GI87" i="2"/>
  <c r="GH87" i="2"/>
  <c r="GG87" i="2"/>
  <c r="GE87" i="2"/>
  <c r="GA87" i="2"/>
  <c r="FR87" i="2"/>
  <c r="FN87" i="2"/>
  <c r="FL87" i="2"/>
  <c r="FK87" i="2"/>
  <c r="FJ87" i="2"/>
  <c r="FI87" i="2"/>
  <c r="FH87" i="2"/>
  <c r="FD87" i="2"/>
  <c r="FB87" i="2"/>
  <c r="EZ87" i="2"/>
  <c r="EY87" i="2"/>
  <c r="EI87" i="2"/>
  <c r="EG87" i="2"/>
  <c r="EE87" i="2"/>
  <c r="EC87" i="2"/>
  <c r="EA87" i="2"/>
  <c r="DY87" i="2"/>
  <c r="DX87" i="2"/>
  <c r="FQ87" i="2" s="1"/>
  <c r="DW87" i="2"/>
  <c r="DU87" i="2"/>
  <c r="DS87" i="2"/>
  <c r="DQ87" i="2"/>
  <c r="DO87" i="2"/>
  <c r="DM87" i="2"/>
  <c r="GB87" i="2" s="1"/>
  <c r="DK87" i="2"/>
  <c r="DI87" i="2"/>
  <c r="DE87" i="2"/>
  <c r="DC87" i="2"/>
  <c r="CZ87" i="2"/>
  <c r="CW87" i="2"/>
  <c r="EN87" i="2" s="1"/>
  <c r="CL87" i="2"/>
  <c r="CK87" i="2"/>
  <c r="CI87" i="2"/>
  <c r="CH87" i="2"/>
  <c r="GZ87" i="2" s="1"/>
  <c r="CG87" i="2"/>
  <c r="CF87" i="2"/>
  <c r="CE87" i="2"/>
  <c r="CD87" i="2"/>
  <c r="CC87" i="2"/>
  <c r="BY87" i="2"/>
  <c r="BW87" i="2"/>
  <c r="BP87" i="2"/>
  <c r="BO87" i="2"/>
  <c r="BK87" i="2"/>
  <c r="BI87" i="2"/>
  <c r="BG87" i="2"/>
  <c r="BE87" i="2"/>
  <c r="BC87" i="2"/>
  <c r="BA87" i="2"/>
  <c r="AZ87" i="2"/>
  <c r="AY87" i="2"/>
  <c r="AW87" i="2"/>
  <c r="GF87" i="2" s="1"/>
  <c r="AU87" i="2"/>
  <c r="AS87" i="2"/>
  <c r="GD87" i="2" s="1"/>
  <c r="AQ87" i="2"/>
  <c r="GC87" i="2" s="1"/>
  <c r="AO87" i="2"/>
  <c r="AJ87" i="2"/>
  <c r="AH87" i="2"/>
  <c r="AE87" i="2"/>
  <c r="FZ87" i="2" s="1"/>
  <c r="AA87" i="2"/>
  <c r="Y87" i="2"/>
  <c r="FY87" i="2" s="1"/>
  <c r="V87" i="2"/>
  <c r="CB87" i="2" s="1"/>
  <c r="CN87" i="2" s="1"/>
  <c r="U87" i="2"/>
  <c r="S87" i="2"/>
  <c r="CN86" i="2"/>
  <c r="AZ86" i="2"/>
  <c r="HA85" i="2"/>
  <c r="GU85" i="2"/>
  <c r="GK85" i="2"/>
  <c r="GJ85" i="2"/>
  <c r="GI85" i="2"/>
  <c r="GH85" i="2"/>
  <c r="GG85" i="2"/>
  <c r="GE85" i="2"/>
  <c r="GA85" i="2"/>
  <c r="FR85" i="2"/>
  <c r="FN85" i="2"/>
  <c r="FL85" i="2"/>
  <c r="FK85" i="2"/>
  <c r="FI85" i="2"/>
  <c r="FH85" i="2"/>
  <c r="FD85" i="2"/>
  <c r="FB85" i="2"/>
  <c r="EY85" i="2"/>
  <c r="EI85" i="2"/>
  <c r="EG85" i="2"/>
  <c r="EE85" i="2"/>
  <c r="EC85" i="2"/>
  <c r="EA85" i="2"/>
  <c r="DY85" i="2"/>
  <c r="DX85" i="2"/>
  <c r="FQ85" i="2" s="1"/>
  <c r="DW85" i="2"/>
  <c r="DU85" i="2"/>
  <c r="DS85" i="2"/>
  <c r="DQ85" i="2"/>
  <c r="DO85" i="2"/>
  <c r="DM85" i="2"/>
  <c r="GB85" i="2" s="1"/>
  <c r="DK85" i="2"/>
  <c r="DI85" i="2"/>
  <c r="DE85" i="2"/>
  <c r="CZ85" i="2"/>
  <c r="DD85" i="2" s="1"/>
  <c r="CY85" i="2"/>
  <c r="CW85" i="2"/>
  <c r="CL85" i="2"/>
  <c r="CK85" i="2"/>
  <c r="CI85" i="2"/>
  <c r="CH85" i="2"/>
  <c r="GZ85" i="2" s="1"/>
  <c r="CG85" i="2"/>
  <c r="CF85" i="2"/>
  <c r="CE85" i="2" s="1"/>
  <c r="CD85" i="2"/>
  <c r="CC85" i="2"/>
  <c r="BY85" i="2"/>
  <c r="BW85" i="2"/>
  <c r="BP85" i="2"/>
  <c r="BO85" i="2"/>
  <c r="BK85" i="2"/>
  <c r="BI85" i="2"/>
  <c r="BG85" i="2"/>
  <c r="BE85" i="2"/>
  <c r="BC85" i="2"/>
  <c r="BA85" i="2"/>
  <c r="AZ85" i="2"/>
  <c r="AY85" i="2" s="1"/>
  <c r="AW85" i="2"/>
  <c r="GF85" i="2" s="1"/>
  <c r="AU85" i="2"/>
  <c r="AS85" i="2"/>
  <c r="GD85" i="2" s="1"/>
  <c r="AQ85" i="2"/>
  <c r="GC85" i="2" s="1"/>
  <c r="AO85" i="2"/>
  <c r="AK85" i="2"/>
  <c r="AJ85" i="2"/>
  <c r="AH85" i="2"/>
  <c r="AE85" i="2"/>
  <c r="FZ85" i="2" s="1"/>
  <c r="AA85" i="2"/>
  <c r="Y85" i="2"/>
  <c r="V85" i="2"/>
  <c r="U85" i="2"/>
  <c r="S85" i="2"/>
  <c r="CN84" i="2"/>
  <c r="AZ84" i="2"/>
  <c r="HA83" i="2"/>
  <c r="GZ83" i="2"/>
  <c r="FK83" i="2"/>
  <c r="GY83" i="2" s="1"/>
  <c r="FI83" i="2"/>
  <c r="GV83" i="2" s="1"/>
  <c r="EH83" i="2"/>
  <c r="EF83" i="2"/>
  <c r="ED83" i="2"/>
  <c r="EB83" i="2"/>
  <c r="DZ83" i="2"/>
  <c r="DX83" i="2" s="1"/>
  <c r="FQ83" i="2" s="1"/>
  <c r="HB83" i="2" s="1"/>
  <c r="CZ83" i="2"/>
  <c r="CN83" i="2"/>
  <c r="BT83" i="2"/>
  <c r="AZ83" i="2"/>
  <c r="AF83" i="2"/>
  <c r="V83" i="2"/>
  <c r="HA82" i="2"/>
  <c r="GZ82" i="2"/>
  <c r="GE82" i="2"/>
  <c r="GA82" i="2"/>
  <c r="FR82" i="2"/>
  <c r="FN82" i="2"/>
  <c r="FL82" i="2"/>
  <c r="FK82" i="2"/>
  <c r="FJ82" i="2" s="1"/>
  <c r="FI82" i="2"/>
  <c r="FH82" i="2"/>
  <c r="FD82" i="2"/>
  <c r="FB82" i="2"/>
  <c r="EI82" i="2"/>
  <c r="EH82" i="2"/>
  <c r="GK82" i="2" s="1"/>
  <c r="EF82" i="2"/>
  <c r="GJ82" i="2" s="1"/>
  <c r="EE82" i="2"/>
  <c r="ED82" i="2"/>
  <c r="GI82" i="2" s="1"/>
  <c r="EC82" i="2"/>
  <c r="EB82" i="2"/>
  <c r="EA82" i="2" s="1"/>
  <c r="DZ82" i="2"/>
  <c r="GG82" i="2" s="1"/>
  <c r="DY82" i="2"/>
  <c r="DX82" i="2"/>
  <c r="FQ82" i="2" s="1"/>
  <c r="HB82" i="2" s="1"/>
  <c r="DU82" i="2"/>
  <c r="DS82" i="2"/>
  <c r="DQ82" i="2"/>
  <c r="DO82" i="2"/>
  <c r="DM82" i="2"/>
  <c r="GB82" i="2" s="1"/>
  <c r="DK82" i="2"/>
  <c r="DI82" i="2"/>
  <c r="DE82" i="2"/>
  <c r="DC82" i="2"/>
  <c r="CZ82" i="2"/>
  <c r="CK82" i="2"/>
  <c r="CI82" i="2"/>
  <c r="CG82" i="2"/>
  <c r="CF82" i="2"/>
  <c r="CE82" i="2"/>
  <c r="CD82" i="2"/>
  <c r="CC82" i="2"/>
  <c r="CA82" i="2"/>
  <c r="BY82" i="2"/>
  <c r="BW82" i="2"/>
  <c r="BQ82" i="2"/>
  <c r="BP82" i="2"/>
  <c r="BK82" i="2"/>
  <c r="BI82" i="2"/>
  <c r="BG82" i="2"/>
  <c r="BE82" i="2"/>
  <c r="BC82" i="2"/>
  <c r="BA82" i="2"/>
  <c r="AZ82" i="2"/>
  <c r="AY82" i="2"/>
  <c r="AW82" i="2"/>
  <c r="GF82" i="2" s="1"/>
  <c r="AU82" i="2"/>
  <c r="AS82" i="2"/>
  <c r="GD82" i="2" s="1"/>
  <c r="AQ82" i="2"/>
  <c r="GC82" i="2" s="1"/>
  <c r="AO82" i="2"/>
  <c r="AJ82" i="2"/>
  <c r="AH82" i="2"/>
  <c r="AF82" i="2"/>
  <c r="AE82" i="2"/>
  <c r="FZ82" i="2" s="1"/>
  <c r="AA82" i="2"/>
  <c r="Y82" i="2"/>
  <c r="V82" i="2"/>
  <c r="U82" i="2"/>
  <c r="S82" i="2"/>
  <c r="CN81" i="2"/>
  <c r="AZ81" i="2"/>
  <c r="HA80" i="2"/>
  <c r="GZ80" i="2"/>
  <c r="GU80" i="2"/>
  <c r="GE80" i="2"/>
  <c r="GA80" i="2"/>
  <c r="FR80" i="2"/>
  <c r="FN80" i="2"/>
  <c r="FL80" i="2"/>
  <c r="FK80" i="2"/>
  <c r="FJ80" i="2" s="1"/>
  <c r="FI80" i="2"/>
  <c r="FH80" i="2"/>
  <c r="FD80" i="2"/>
  <c r="FB80" i="2"/>
  <c r="EY80" i="2"/>
  <c r="EI80" i="2"/>
  <c r="EH80" i="2"/>
  <c r="GK80" i="2" s="1"/>
  <c r="EF80" i="2"/>
  <c r="GJ80" i="2" s="1"/>
  <c r="EE80" i="2"/>
  <c r="ED80" i="2"/>
  <c r="GI80" i="2" s="1"/>
  <c r="EC80" i="2"/>
  <c r="EB80" i="2"/>
  <c r="GH80" i="2" s="1"/>
  <c r="EA80" i="2"/>
  <c r="DZ80" i="2"/>
  <c r="DU80" i="2"/>
  <c r="DS80" i="2"/>
  <c r="DQ80" i="2"/>
  <c r="DO80" i="2"/>
  <c r="DM80" i="2"/>
  <c r="GB80" i="2" s="1"/>
  <c r="DK80" i="2"/>
  <c r="DI80" i="2"/>
  <c r="DE80" i="2"/>
  <c r="DC80" i="2"/>
  <c r="CZ80" i="2"/>
  <c r="DB80" i="2" s="1"/>
  <c r="DA80" i="2" s="1"/>
  <c r="CW80" i="2"/>
  <c r="CK80" i="2"/>
  <c r="CI80" i="2"/>
  <c r="CG80" i="2"/>
  <c r="CF80" i="2"/>
  <c r="CE80" i="2"/>
  <c r="CD80" i="2"/>
  <c r="CN80" i="2" s="1"/>
  <c r="CM80" i="2" s="1"/>
  <c r="CC80" i="2"/>
  <c r="CA80" i="2"/>
  <c r="BY80" i="2"/>
  <c r="BW80" i="2"/>
  <c r="BP80" i="2"/>
  <c r="BO80" i="2"/>
  <c r="BK80" i="2"/>
  <c r="BI80" i="2"/>
  <c r="BG80" i="2"/>
  <c r="BE80" i="2"/>
  <c r="BC80" i="2"/>
  <c r="BA80" i="2"/>
  <c r="AZ80" i="2"/>
  <c r="AY80" i="2" s="1"/>
  <c r="AW80" i="2"/>
  <c r="GF80" i="2" s="1"/>
  <c r="AU80" i="2"/>
  <c r="AS80" i="2"/>
  <c r="GD80" i="2" s="1"/>
  <c r="AQ80" i="2"/>
  <c r="GC80" i="2" s="1"/>
  <c r="AO80" i="2"/>
  <c r="AK80" i="2"/>
  <c r="AJ80" i="2"/>
  <c r="AH80" i="2"/>
  <c r="AF80" i="2"/>
  <c r="AE80" i="2"/>
  <c r="FZ80" i="2" s="1"/>
  <c r="AA80" i="2"/>
  <c r="Y80" i="2"/>
  <c r="V80" i="2"/>
  <c r="U80" i="2"/>
  <c r="S80" i="2"/>
  <c r="CN79" i="2"/>
  <c r="BV79" i="2"/>
  <c r="AZ79" i="2"/>
  <c r="GY78" i="2"/>
  <c r="FA78" i="2"/>
  <c r="EV78" i="2"/>
  <c r="ER78" i="2"/>
  <c r="EP78" i="2"/>
  <c r="EL78" i="2"/>
  <c r="DX78" i="2"/>
  <c r="FQ78" i="2" s="1"/>
  <c r="HB78" i="2" s="1"/>
  <c r="CJ78" i="2"/>
  <c r="HA78" i="2" s="1"/>
  <c r="CH78" i="2"/>
  <c r="GZ78" i="2" s="1"/>
  <c r="CD78" i="2"/>
  <c r="GV78" i="2" s="1"/>
  <c r="BT78" i="2"/>
  <c r="BR78" i="2"/>
  <c r="BN78" i="2"/>
  <c r="AZ78" i="2"/>
  <c r="AD78" i="2"/>
  <c r="X78" i="2"/>
  <c r="GY77" i="2"/>
  <c r="GU77" i="2"/>
  <c r="EV77" i="2"/>
  <c r="ER77" i="2"/>
  <c r="EP77" i="2"/>
  <c r="EL77" i="2"/>
  <c r="DX77" i="2"/>
  <c r="FQ77" i="2" s="1"/>
  <c r="HB77" i="2" s="1"/>
  <c r="DH77" i="2"/>
  <c r="FG77" i="2" s="1"/>
  <c r="ET77" i="2" s="1"/>
  <c r="EX77" i="2" s="1"/>
  <c r="CJ77" i="2"/>
  <c r="HA77" i="2" s="1"/>
  <c r="CH77" i="2"/>
  <c r="GZ77" i="2" s="1"/>
  <c r="CD77" i="2"/>
  <c r="BT77" i="2"/>
  <c r="BR77" i="2"/>
  <c r="BN77" i="2"/>
  <c r="AZ77" i="2"/>
  <c r="AD77" i="2" s="1"/>
  <c r="X77" i="2"/>
  <c r="GU76" i="2"/>
  <c r="FK76" i="2"/>
  <c r="FI76" i="2"/>
  <c r="DX76" i="2"/>
  <c r="FQ76" i="2" s="1"/>
  <c r="CZ76" i="2"/>
  <c r="DB76" i="2" s="1"/>
  <c r="CL76" i="2"/>
  <c r="CJ76" i="2"/>
  <c r="HA76" i="2" s="1"/>
  <c r="CH76" i="2"/>
  <c r="GZ76" i="2" s="1"/>
  <c r="CF76" i="2"/>
  <c r="CD76" i="2"/>
  <c r="BP76" i="2"/>
  <c r="AZ76" i="2"/>
  <c r="V76" i="2"/>
  <c r="BN76" i="2" s="1"/>
  <c r="GU75" i="2"/>
  <c r="GK75" i="2"/>
  <c r="GJ75" i="2"/>
  <c r="GI75" i="2"/>
  <c r="GH75" i="2"/>
  <c r="GG75" i="2"/>
  <c r="GE75" i="2"/>
  <c r="GA75" i="2"/>
  <c r="FR75" i="2"/>
  <c r="FN75" i="2"/>
  <c r="FL75" i="2"/>
  <c r="FK75" i="2"/>
  <c r="FJ75" i="2" s="1"/>
  <c r="FI75" i="2"/>
  <c r="FH75" i="2"/>
  <c r="FD75" i="2"/>
  <c r="FB75" i="2"/>
  <c r="EY75" i="2"/>
  <c r="EI75" i="2"/>
  <c r="EG75" i="2"/>
  <c r="EE75" i="2"/>
  <c r="EC75" i="2"/>
  <c r="EA75" i="2"/>
  <c r="DY75" i="2"/>
  <c r="DX75" i="2"/>
  <c r="FQ75" i="2" s="1"/>
  <c r="DW75" i="2"/>
  <c r="DU75" i="2"/>
  <c r="DS75" i="2"/>
  <c r="DQ75" i="2"/>
  <c r="DO75" i="2"/>
  <c r="DM75" i="2"/>
  <c r="DK75" i="2"/>
  <c r="DI75" i="2"/>
  <c r="DE75" i="2"/>
  <c r="DC75" i="2"/>
  <c r="CZ75" i="2"/>
  <c r="CL75" i="2"/>
  <c r="CK75" i="2" s="1"/>
  <c r="CJ75" i="2"/>
  <c r="CH75" i="2"/>
  <c r="GZ75" i="2" s="1"/>
  <c r="CF75" i="2"/>
  <c r="CE75" i="2" s="1"/>
  <c r="CD75" i="2"/>
  <c r="CC75" i="2" s="1"/>
  <c r="BY75" i="2"/>
  <c r="BW75" i="2"/>
  <c r="BP75" i="2"/>
  <c r="BO75" i="2"/>
  <c r="BK75" i="2"/>
  <c r="BI75" i="2"/>
  <c r="BG75" i="2"/>
  <c r="BE75" i="2"/>
  <c r="BC75" i="2"/>
  <c r="BA75" i="2"/>
  <c r="AZ75" i="2"/>
  <c r="AY75" i="2" s="1"/>
  <c r="AW75" i="2"/>
  <c r="GF75" i="2" s="1"/>
  <c r="AU75" i="2"/>
  <c r="AS75" i="2"/>
  <c r="GD75" i="2" s="1"/>
  <c r="AQ75" i="2"/>
  <c r="GC75" i="2" s="1"/>
  <c r="AO75" i="2"/>
  <c r="AM75" i="2"/>
  <c r="AK75" i="2" s="1"/>
  <c r="AI75" i="2"/>
  <c r="AJ75" i="2" s="1"/>
  <c r="AH75" i="2"/>
  <c r="AF75" i="2"/>
  <c r="AE75" i="2" s="1"/>
  <c r="FZ75" i="2" s="1"/>
  <c r="AA75" i="2"/>
  <c r="Y75" i="2"/>
  <c r="V75" i="2"/>
  <c r="S75" i="2"/>
  <c r="CN74" i="2"/>
  <c r="AZ74" i="2"/>
  <c r="GU73" i="2"/>
  <c r="FK73" i="2"/>
  <c r="DX73" i="2"/>
  <c r="FQ73" i="2" s="1"/>
  <c r="CZ73" i="2"/>
  <c r="CL73" i="2"/>
  <c r="CJ73" i="2"/>
  <c r="CH73" i="2"/>
  <c r="GZ73" i="2" s="1"/>
  <c r="CF73" i="2"/>
  <c r="GY73" i="2" s="1"/>
  <c r="CD73" i="2"/>
  <c r="GV73" i="2" s="1"/>
  <c r="BP73" i="2"/>
  <c r="AZ73" i="2"/>
  <c r="AI73" i="2"/>
  <c r="AF73" i="2"/>
  <c r="V73" i="2"/>
  <c r="GU72" i="2"/>
  <c r="GK72" i="2"/>
  <c r="GJ72" i="2"/>
  <c r="GI72" i="2"/>
  <c r="GH72" i="2"/>
  <c r="GG72" i="2"/>
  <c r="GE72" i="2"/>
  <c r="GA72" i="2"/>
  <c r="FR72" i="2"/>
  <c r="FN72" i="2"/>
  <c r="FL72" i="2"/>
  <c r="FK72" i="2"/>
  <c r="FH72" i="2"/>
  <c r="FD72" i="2"/>
  <c r="FB72" i="2"/>
  <c r="EZ72" i="2"/>
  <c r="EY72" i="2"/>
  <c r="EI72" i="2"/>
  <c r="EG72" i="2"/>
  <c r="EE72" i="2"/>
  <c r="EC72" i="2"/>
  <c r="EA72" i="2"/>
  <c r="DY72" i="2"/>
  <c r="DX72" i="2"/>
  <c r="FQ72" i="2" s="1"/>
  <c r="DW72" i="2"/>
  <c r="DU72" i="2"/>
  <c r="DS72" i="2"/>
  <c r="DQ72" i="2"/>
  <c r="DO72" i="2"/>
  <c r="DM72" i="2"/>
  <c r="DK72" i="2"/>
  <c r="DI72" i="2"/>
  <c r="DC72" i="2"/>
  <c r="CZ72" i="2"/>
  <c r="DB72" i="2" s="1"/>
  <c r="CY72" i="2"/>
  <c r="CW72" i="2"/>
  <c r="CL72" i="2"/>
  <c r="CK72" i="2"/>
  <c r="CJ72" i="2"/>
  <c r="HA72" i="2" s="1"/>
  <c r="CH72" i="2"/>
  <c r="GZ72" i="2" s="1"/>
  <c r="CG72" i="2"/>
  <c r="CF72" i="2"/>
  <c r="CE72" i="2"/>
  <c r="CD72" i="2"/>
  <c r="GV72" i="2" s="1"/>
  <c r="CC72" i="2"/>
  <c r="BY72" i="2"/>
  <c r="BW72" i="2"/>
  <c r="BP72" i="2"/>
  <c r="BR72" i="2" s="1"/>
  <c r="BK72" i="2"/>
  <c r="BI72" i="2"/>
  <c r="BG72" i="2"/>
  <c r="BE72" i="2"/>
  <c r="BC72" i="2"/>
  <c r="BA72" i="2"/>
  <c r="AZ72" i="2"/>
  <c r="AW72" i="2"/>
  <c r="GF72" i="2" s="1"/>
  <c r="AU72" i="2"/>
  <c r="AS72" i="2"/>
  <c r="GD72" i="2" s="1"/>
  <c r="AQ72" i="2"/>
  <c r="GC72" i="2" s="1"/>
  <c r="AO72" i="2"/>
  <c r="AM72" i="2"/>
  <c r="GB72" i="2" s="1"/>
  <c r="AK72" i="2"/>
  <c r="AI72" i="2"/>
  <c r="AH72" i="2"/>
  <c r="AA72" i="2"/>
  <c r="Y72" i="2"/>
  <c r="V72" i="2"/>
  <c r="S72" i="2"/>
  <c r="CN71" i="2"/>
  <c r="AZ71" i="2"/>
  <c r="GZ70" i="2"/>
  <c r="GU70" i="2"/>
  <c r="FK70" i="2"/>
  <c r="FI70" i="2"/>
  <c r="DX70" i="2"/>
  <c r="DH70" i="2" s="1"/>
  <c r="DB70" i="2"/>
  <c r="CW70" i="2"/>
  <c r="EN70" i="2" s="1"/>
  <c r="CL70" i="2"/>
  <c r="CJ70" i="2"/>
  <c r="HA70" i="2" s="1"/>
  <c r="CF70" i="2"/>
  <c r="CD70" i="2"/>
  <c r="BP70" i="2"/>
  <c r="BT70" i="2" s="1"/>
  <c r="AZ70" i="2"/>
  <c r="V70" i="2"/>
  <c r="X70" i="2" s="1"/>
  <c r="N70" i="2"/>
  <c r="AI70" i="2" s="1"/>
  <c r="GU69" i="2"/>
  <c r="FK69" i="2"/>
  <c r="FI69" i="2"/>
  <c r="DX69" i="2"/>
  <c r="FQ69" i="2" s="1"/>
  <c r="DB69" i="2"/>
  <c r="CW69" i="2"/>
  <c r="CL69" i="2"/>
  <c r="CJ69" i="2"/>
  <c r="HA69" i="2" s="1"/>
  <c r="CH69" i="2"/>
  <c r="GZ69" i="2" s="1"/>
  <c r="CF69" i="2"/>
  <c r="CD69" i="2"/>
  <c r="BP69" i="2"/>
  <c r="AZ69" i="2"/>
  <c r="AF69" i="2"/>
  <c r="V69" i="2"/>
  <c r="GU68" i="2"/>
  <c r="GK68" i="2"/>
  <c r="GJ68" i="2"/>
  <c r="GI68" i="2"/>
  <c r="GH68" i="2"/>
  <c r="GG68" i="2"/>
  <c r="GE68" i="2"/>
  <c r="GA68" i="2"/>
  <c r="FR68" i="2"/>
  <c r="FN68" i="2"/>
  <c r="FL68" i="2"/>
  <c r="FK68" i="2"/>
  <c r="FI68" i="2"/>
  <c r="FH68" i="2"/>
  <c r="FD68" i="2"/>
  <c r="FB68" i="2"/>
  <c r="EY68" i="2"/>
  <c r="EI68" i="2"/>
  <c r="EG68" i="2"/>
  <c r="EE68" i="2"/>
  <c r="EC68" i="2"/>
  <c r="EA68" i="2"/>
  <c r="DY68" i="2"/>
  <c r="DX68" i="2"/>
  <c r="FQ68" i="2" s="1"/>
  <c r="DU68" i="2"/>
  <c r="DS68" i="2"/>
  <c r="DQ68" i="2"/>
  <c r="DO68" i="2"/>
  <c r="DM68" i="2"/>
  <c r="DK68" i="2"/>
  <c r="DI68" i="2"/>
  <c r="DE68" i="2"/>
  <c r="DC68" i="2"/>
  <c r="DB68" i="2"/>
  <c r="CY68" i="2"/>
  <c r="CW68" i="2"/>
  <c r="CL68" i="2"/>
  <c r="CK68" i="2" s="1"/>
  <c r="CJ68" i="2"/>
  <c r="HA68" i="2" s="1"/>
  <c r="CH68" i="2"/>
  <c r="CG68" i="2" s="1"/>
  <c r="CF68" i="2"/>
  <c r="CD68" i="2"/>
  <c r="BY68" i="2"/>
  <c r="BW68" i="2"/>
  <c r="BP68" i="2"/>
  <c r="BK68" i="2"/>
  <c r="BI68" i="2"/>
  <c r="BG68" i="2"/>
  <c r="BE68" i="2"/>
  <c r="BC68" i="2"/>
  <c r="BA68" i="2"/>
  <c r="AZ68" i="2"/>
  <c r="AY68" i="2" s="1"/>
  <c r="AW68" i="2"/>
  <c r="GF68" i="2" s="1"/>
  <c r="AU68" i="2"/>
  <c r="AS68" i="2"/>
  <c r="GD68" i="2" s="1"/>
  <c r="AQ68" i="2"/>
  <c r="GC68" i="2" s="1"/>
  <c r="AO68" i="2"/>
  <c r="AM68" i="2"/>
  <c r="AK68" i="2"/>
  <c r="AH68" i="2"/>
  <c r="AF68" i="2"/>
  <c r="AA68" i="2"/>
  <c r="Y68" i="2"/>
  <c r="V68" i="2"/>
  <c r="U68" i="2"/>
  <c r="S68" i="2"/>
  <c r="CN67" i="2"/>
  <c r="AZ67" i="2"/>
  <c r="GU66" i="2"/>
  <c r="FK66" i="2"/>
  <c r="FI66" i="2"/>
  <c r="DX66" i="2"/>
  <c r="FQ66" i="2" s="1"/>
  <c r="DH66" i="2"/>
  <c r="FG66" i="2" s="1"/>
  <c r="DB66" i="2"/>
  <c r="CW66" i="2"/>
  <c r="CL66" i="2"/>
  <c r="CJ66" i="2"/>
  <c r="HA66" i="2" s="1"/>
  <c r="CH66" i="2"/>
  <c r="GZ66" i="2" s="1"/>
  <c r="CF66" i="2"/>
  <c r="CD66" i="2"/>
  <c r="BP66" i="2"/>
  <c r="AZ66" i="2"/>
  <c r="AI66" i="2"/>
  <c r="AF66" i="2" s="1"/>
  <c r="V66" i="2"/>
  <c r="GU65" i="2"/>
  <c r="GK65" i="2"/>
  <c r="GJ65" i="2"/>
  <c r="GI65" i="2"/>
  <c r="GH65" i="2"/>
  <c r="GG65" i="2"/>
  <c r="GE65" i="2"/>
  <c r="GA65" i="2"/>
  <c r="FR65" i="2"/>
  <c r="FN65" i="2"/>
  <c r="FL65" i="2"/>
  <c r="FK65" i="2"/>
  <c r="FJ65" i="2" s="1"/>
  <c r="FI65" i="2"/>
  <c r="FD65" i="2"/>
  <c r="FB65" i="2"/>
  <c r="EZ65" i="2"/>
  <c r="EY65" i="2" s="1"/>
  <c r="EI65" i="2"/>
  <c r="EG65" i="2"/>
  <c r="EE65" i="2"/>
  <c r="EC65" i="2"/>
  <c r="EA65" i="2"/>
  <c r="DY65" i="2"/>
  <c r="DX65" i="2"/>
  <c r="DW65" i="2" s="1"/>
  <c r="DU65" i="2"/>
  <c r="DS65" i="2"/>
  <c r="DQ65" i="2"/>
  <c r="DO65" i="2"/>
  <c r="DM65" i="2"/>
  <c r="DK65" i="2"/>
  <c r="DI65" i="2"/>
  <c r="DE65" i="2"/>
  <c r="DC65" i="2"/>
  <c r="DB65" i="2"/>
  <c r="DA65" i="2"/>
  <c r="CY65" i="2"/>
  <c r="CW65" i="2"/>
  <c r="CL65" i="2"/>
  <c r="CK65" i="2" s="1"/>
  <c r="CJ65" i="2"/>
  <c r="HA65" i="2" s="1"/>
  <c r="CH65" i="2"/>
  <c r="GZ65" i="2" s="1"/>
  <c r="CF65" i="2"/>
  <c r="CE65" i="2" s="1"/>
  <c r="CD65" i="2"/>
  <c r="CC65" i="2" s="1"/>
  <c r="BY65" i="2"/>
  <c r="BW65" i="2"/>
  <c r="BP65" i="2"/>
  <c r="BK65" i="2"/>
  <c r="BI65" i="2"/>
  <c r="BG65" i="2"/>
  <c r="BE65" i="2"/>
  <c r="BC65" i="2"/>
  <c r="BA65" i="2"/>
  <c r="AZ65" i="2"/>
  <c r="AY65" i="2" s="1"/>
  <c r="AW65" i="2"/>
  <c r="GF65" i="2" s="1"/>
  <c r="AU65" i="2"/>
  <c r="AS65" i="2"/>
  <c r="GD65" i="2" s="1"/>
  <c r="AQ65" i="2"/>
  <c r="GC65" i="2" s="1"/>
  <c r="AO65" i="2"/>
  <c r="AM65" i="2"/>
  <c r="AK65" i="2"/>
  <c r="AH65" i="2"/>
  <c r="AA65" i="2"/>
  <c r="FX65" i="2" s="1"/>
  <c r="Y65" i="2"/>
  <c r="V65" i="2"/>
  <c r="S65" i="2"/>
  <c r="N65" i="2"/>
  <c r="AI65" i="2" s="1"/>
  <c r="AJ65" i="2" s="1"/>
  <c r="CN64" i="2"/>
  <c r="AZ64" i="2"/>
  <c r="FK63" i="2"/>
  <c r="FI63" i="2"/>
  <c r="DX63" i="2"/>
  <c r="FQ63" i="2" s="1"/>
  <c r="CZ63" i="2"/>
  <c r="CW63" i="2"/>
  <c r="CL63" i="2"/>
  <c r="CJ63" i="2"/>
  <c r="HA63" i="2" s="1"/>
  <c r="CH63" i="2"/>
  <c r="GZ63" i="2" s="1"/>
  <c r="CF63" i="2"/>
  <c r="CD63" i="2"/>
  <c r="BP63" i="2"/>
  <c r="AZ63" i="2"/>
  <c r="V63" i="2"/>
  <c r="N63" i="2"/>
  <c r="AI63" i="2" s="1"/>
  <c r="AF63" i="2" s="1"/>
  <c r="AE62" i="2" s="1"/>
  <c r="FZ62" i="2" s="1"/>
  <c r="GK62" i="2"/>
  <c r="GJ62" i="2"/>
  <c r="GI62" i="2"/>
  <c r="GH62" i="2"/>
  <c r="GG62" i="2"/>
  <c r="GE62" i="2"/>
  <c r="GA62" i="2"/>
  <c r="FR62" i="2"/>
  <c r="FN62" i="2"/>
  <c r="FL62" i="2"/>
  <c r="FK62" i="2"/>
  <c r="FJ62" i="2" s="1"/>
  <c r="FI62" i="2"/>
  <c r="FD62" i="2"/>
  <c r="FB62" i="2"/>
  <c r="EI62" i="2"/>
  <c r="EG62" i="2"/>
  <c r="EE62" i="2"/>
  <c r="EC62" i="2"/>
  <c r="EA62" i="2"/>
  <c r="DY62" i="2"/>
  <c r="DX62" i="2"/>
  <c r="FQ62" i="2" s="1"/>
  <c r="DW62" i="2"/>
  <c r="DU62" i="2"/>
  <c r="DS62" i="2"/>
  <c r="DQ62" i="2"/>
  <c r="DO62" i="2"/>
  <c r="DM62" i="2"/>
  <c r="DK62" i="2"/>
  <c r="DI62" i="2"/>
  <c r="DE62" i="2"/>
  <c r="DC62" i="2"/>
  <c r="CZ62" i="2"/>
  <c r="CL62" i="2"/>
  <c r="CK62" i="2" s="1"/>
  <c r="CJ62" i="2"/>
  <c r="CH62" i="2"/>
  <c r="CG62" i="2" s="1"/>
  <c r="CF62" i="2"/>
  <c r="CD62" i="2"/>
  <c r="CC62" i="2" s="1"/>
  <c r="BY62" i="2"/>
  <c r="BW62" i="2"/>
  <c r="BP62" i="2"/>
  <c r="BR62" i="2" s="1"/>
  <c r="BK62" i="2"/>
  <c r="BI62" i="2"/>
  <c r="BG62" i="2"/>
  <c r="BE62" i="2"/>
  <c r="BC62" i="2"/>
  <c r="BA62" i="2"/>
  <c r="AZ62" i="2"/>
  <c r="AW62" i="2"/>
  <c r="GF62" i="2" s="1"/>
  <c r="AU62" i="2"/>
  <c r="AS62" i="2"/>
  <c r="GD62" i="2" s="1"/>
  <c r="AQ62" i="2"/>
  <c r="GC62" i="2" s="1"/>
  <c r="AO62" i="2"/>
  <c r="AM62" i="2"/>
  <c r="AK62" i="2"/>
  <c r="AH62" i="2"/>
  <c r="AA62" i="2"/>
  <c r="Y62" i="2"/>
  <c r="V62" i="2"/>
  <c r="S62" i="2"/>
  <c r="CN61" i="2"/>
  <c r="AZ61" i="2"/>
  <c r="HA60" i="2"/>
  <c r="FK60" i="2"/>
  <c r="FI60" i="2"/>
  <c r="EH60" i="2"/>
  <c r="EF60" i="2"/>
  <c r="ED60" i="2"/>
  <c r="EB60" i="2"/>
  <c r="DZ60" i="2"/>
  <c r="DX60" i="2" s="1"/>
  <c r="CW60" i="2"/>
  <c r="CF60" i="2"/>
  <c r="CD60" i="2"/>
  <c r="CN60" i="2" s="1"/>
  <c r="BP60" i="2"/>
  <c r="BT60" i="2" s="1"/>
  <c r="AZ60" i="2"/>
  <c r="N60" i="2"/>
  <c r="V60" i="2" s="1"/>
  <c r="HA59" i="2"/>
  <c r="FK59" i="2"/>
  <c r="FI59" i="2"/>
  <c r="DX59" i="2"/>
  <c r="DH59" i="2"/>
  <c r="DB59" i="2"/>
  <c r="CW59" i="2"/>
  <c r="EN59" i="2" s="1"/>
  <c r="CF59" i="2"/>
  <c r="CD59" i="2"/>
  <c r="CN59" i="2" s="1"/>
  <c r="BT59" i="2"/>
  <c r="AZ59" i="2"/>
  <c r="AF59" i="2"/>
  <c r="V59" i="2"/>
  <c r="HA58" i="2"/>
  <c r="FK58" i="2"/>
  <c r="FI58" i="2"/>
  <c r="DX58" i="2"/>
  <c r="DB58" i="2"/>
  <c r="CW58" i="2"/>
  <c r="CL58" i="2"/>
  <c r="CH58" i="2"/>
  <c r="CF58" i="2"/>
  <c r="CD58" i="2"/>
  <c r="BP58" i="2"/>
  <c r="AZ58" i="2"/>
  <c r="AF58" i="2"/>
  <c r="V58" i="2"/>
  <c r="HA57" i="2"/>
  <c r="FK57" i="2"/>
  <c r="FI57" i="2"/>
  <c r="DX57" i="2"/>
  <c r="DH57" i="2"/>
  <c r="FG57" i="2" s="1"/>
  <c r="DB57" i="2"/>
  <c r="CW57" i="2"/>
  <c r="EL57" i="2" s="1"/>
  <c r="CL57" i="2"/>
  <c r="CK56" i="2" s="1"/>
  <c r="CH57" i="2"/>
  <c r="CF57" i="2"/>
  <c r="CD57" i="2"/>
  <c r="BP57" i="2"/>
  <c r="AZ57" i="2"/>
  <c r="AG57" i="2"/>
  <c r="AF57" i="2"/>
  <c r="V57" i="2"/>
  <c r="HA56" i="2"/>
  <c r="GE56" i="2"/>
  <c r="GA56" i="2"/>
  <c r="FR56" i="2"/>
  <c r="FN56" i="2"/>
  <c r="FK56" i="2"/>
  <c r="FI56" i="2"/>
  <c r="FD56" i="2"/>
  <c r="FB56" i="2"/>
  <c r="EI56" i="2"/>
  <c r="EH56" i="2"/>
  <c r="GK56" i="2" s="1"/>
  <c r="EG56" i="2"/>
  <c r="EF56" i="2"/>
  <c r="GJ56" i="2" s="1"/>
  <c r="EE56" i="2"/>
  <c r="ED56" i="2"/>
  <c r="GI56" i="2" s="1"/>
  <c r="EB56" i="2"/>
  <c r="GH56" i="2" s="1"/>
  <c r="EA56" i="2"/>
  <c r="DZ56" i="2"/>
  <c r="GG56" i="2" s="1"/>
  <c r="DY56" i="2"/>
  <c r="DU56" i="2"/>
  <c r="DS56" i="2"/>
  <c r="DQ56" i="2"/>
  <c r="DO56" i="2"/>
  <c r="DM56" i="2"/>
  <c r="DK56" i="2"/>
  <c r="DI56" i="2"/>
  <c r="DE56" i="2"/>
  <c r="CW56" i="2"/>
  <c r="CI56" i="2"/>
  <c r="CF56" i="2"/>
  <c r="CE56" i="2" s="1"/>
  <c r="CD56" i="2"/>
  <c r="CN56" i="2" s="1"/>
  <c r="BY56" i="2"/>
  <c r="BW56" i="2"/>
  <c r="BP56" i="2"/>
  <c r="BT56" i="2" s="1"/>
  <c r="BK56" i="2"/>
  <c r="BI56" i="2"/>
  <c r="BG56" i="2"/>
  <c r="BE56" i="2"/>
  <c r="BC56" i="2"/>
  <c r="BA56" i="2"/>
  <c r="AZ56" i="2"/>
  <c r="AY56" i="2" s="1"/>
  <c r="AW56" i="2"/>
  <c r="GF56" i="2" s="1"/>
  <c r="AU56" i="2"/>
  <c r="AS56" i="2"/>
  <c r="GD56" i="2" s="1"/>
  <c r="AQ56" i="2"/>
  <c r="GC56" i="2" s="1"/>
  <c r="AO56" i="2"/>
  <c r="AM56" i="2" s="1"/>
  <c r="AJ56" i="2"/>
  <c r="AF56" i="2"/>
  <c r="AA56" i="2"/>
  <c r="V56" i="2"/>
  <c r="U56" i="2"/>
  <c r="S56" i="2"/>
  <c r="CN55" i="2"/>
  <c r="AZ55" i="2"/>
  <c r="GU54" i="2"/>
  <c r="FK54" i="2"/>
  <c r="FI54" i="2"/>
  <c r="DX54" i="2"/>
  <c r="FQ54" i="2" s="1"/>
  <c r="CZ54" i="2"/>
  <c r="CL54" i="2"/>
  <c r="CJ54" i="2"/>
  <c r="CI53" i="2" s="1"/>
  <c r="CH54" i="2"/>
  <c r="GZ54" i="2" s="1"/>
  <c r="CF54" i="2"/>
  <c r="CD54" i="2"/>
  <c r="BP54" i="2"/>
  <c r="BT54" i="2" s="1"/>
  <c r="AZ54" i="2"/>
  <c r="V54" i="2"/>
  <c r="HA53" i="2"/>
  <c r="GZ53" i="2"/>
  <c r="GX53" i="2"/>
  <c r="GU53" i="2"/>
  <c r="GE53" i="2"/>
  <c r="GA53" i="2"/>
  <c r="FR53" i="2"/>
  <c r="FN53" i="2"/>
  <c r="FL53" i="2"/>
  <c r="FK53" i="2"/>
  <c r="FD53" i="2"/>
  <c r="FB53" i="2"/>
  <c r="EZ53" i="2"/>
  <c r="EY53" i="2"/>
  <c r="EI53" i="2"/>
  <c r="EH53" i="2"/>
  <c r="GK53" i="2" s="1"/>
  <c r="EF53" i="2"/>
  <c r="GJ53" i="2" s="1"/>
  <c r="ED53" i="2"/>
  <c r="EB53" i="2"/>
  <c r="DZ53" i="2"/>
  <c r="DY53" i="2" s="1"/>
  <c r="DU53" i="2"/>
  <c r="DS53" i="2"/>
  <c r="DQ53" i="2"/>
  <c r="DO53" i="2"/>
  <c r="DM53" i="2"/>
  <c r="DK53" i="2"/>
  <c r="DI53" i="2"/>
  <c r="DC53" i="2"/>
  <c r="CZ53" i="2"/>
  <c r="DB53" i="2" s="1"/>
  <c r="CK53" i="2"/>
  <c r="CG53" i="2"/>
  <c r="CF53" i="2"/>
  <c r="CE53" i="2"/>
  <c r="CD53" i="2"/>
  <c r="CN53" i="2" s="1"/>
  <c r="CC53" i="2"/>
  <c r="BY53" i="2"/>
  <c r="BW53" i="2"/>
  <c r="BP53" i="2"/>
  <c r="BT53" i="2" s="1"/>
  <c r="BS53" i="2" s="1"/>
  <c r="BO53" i="2"/>
  <c r="BK53" i="2"/>
  <c r="BI53" i="2"/>
  <c r="BG53" i="2"/>
  <c r="BE53" i="2"/>
  <c r="BC53" i="2"/>
  <c r="BA53" i="2"/>
  <c r="AZ53" i="2"/>
  <c r="AW53" i="2"/>
  <c r="GF53" i="2" s="1"/>
  <c r="AU53" i="2"/>
  <c r="AS53" i="2"/>
  <c r="GD53" i="2" s="1"/>
  <c r="AQ53" i="2"/>
  <c r="GC53" i="2" s="1"/>
  <c r="AO53" i="2"/>
  <c r="AM53" i="2"/>
  <c r="AK53" i="2"/>
  <c r="AJ53" i="2"/>
  <c r="AH53" i="2"/>
  <c r="AF53" i="2"/>
  <c r="AE53" i="2" s="1"/>
  <c r="FZ53" i="2" s="1"/>
  <c r="AA53" i="2"/>
  <c r="Y53" i="2"/>
  <c r="FY53" i="2" s="1"/>
  <c r="V53" i="2"/>
  <c r="BN53" i="2" s="1"/>
  <c r="S53" i="2"/>
  <c r="CN52" i="2"/>
  <c r="AZ52" i="2"/>
  <c r="FK51" i="2"/>
  <c r="FI51" i="2"/>
  <c r="DX51" i="2"/>
  <c r="FQ51" i="2" s="1"/>
  <c r="CZ51" i="2"/>
  <c r="DH51" i="2" s="1"/>
  <c r="CL51" i="2"/>
  <c r="CJ51" i="2"/>
  <c r="HA51" i="2" s="1"/>
  <c r="CH51" i="2"/>
  <c r="GZ51" i="2" s="1"/>
  <c r="CF51" i="2"/>
  <c r="CD51" i="2"/>
  <c r="CB51" i="2"/>
  <c r="CN51" i="2" s="1"/>
  <c r="BP51" i="2"/>
  <c r="BN51" i="2"/>
  <c r="AZ51" i="2"/>
  <c r="AD51" i="2" s="1"/>
  <c r="BV51" i="2" s="1"/>
  <c r="X51" i="2"/>
  <c r="FK50" i="2"/>
  <c r="FI50" i="2"/>
  <c r="DX50" i="2"/>
  <c r="FQ50" i="2" s="1"/>
  <c r="CZ50" i="2"/>
  <c r="DH50" i="2" s="1"/>
  <c r="CL50" i="2"/>
  <c r="CJ50" i="2"/>
  <c r="HA50" i="2" s="1"/>
  <c r="CH50" i="2"/>
  <c r="GZ50" i="2" s="1"/>
  <c r="CF50" i="2"/>
  <c r="CD50" i="2"/>
  <c r="CB50" i="2"/>
  <c r="CN50" i="2" s="1"/>
  <c r="BP50" i="2"/>
  <c r="BT50" i="2" s="1"/>
  <c r="BN50" i="2"/>
  <c r="AZ50" i="2"/>
  <c r="AD50" i="2" s="1"/>
  <c r="BV50" i="2" s="1"/>
  <c r="X50" i="2"/>
  <c r="GK49" i="2"/>
  <c r="GJ49" i="2"/>
  <c r="GI49" i="2"/>
  <c r="GH49" i="2"/>
  <c r="GG49" i="2"/>
  <c r="GE49" i="2"/>
  <c r="GA49" i="2"/>
  <c r="FR49" i="2"/>
  <c r="FN49" i="2"/>
  <c r="FL49" i="2"/>
  <c r="FK49" i="2"/>
  <c r="FI49" i="2"/>
  <c r="FH49" i="2"/>
  <c r="FD49" i="2"/>
  <c r="FB49" i="2"/>
  <c r="EI49" i="2"/>
  <c r="EG49" i="2"/>
  <c r="EE49" i="2"/>
  <c r="EC49" i="2"/>
  <c r="EA49" i="2"/>
  <c r="DY49" i="2"/>
  <c r="DX49" i="2"/>
  <c r="DU49" i="2"/>
  <c r="DS49" i="2"/>
  <c r="DQ49" i="2"/>
  <c r="DO49" i="2"/>
  <c r="DM49" i="2"/>
  <c r="DK49" i="2"/>
  <c r="DI49" i="2"/>
  <c r="DE49" i="2"/>
  <c r="CZ49" i="2"/>
  <c r="DB49" i="2" s="1"/>
  <c r="CL49" i="2"/>
  <c r="CK49" i="2" s="1"/>
  <c r="CJ49" i="2"/>
  <c r="CI49" i="2" s="1"/>
  <c r="CH49" i="2"/>
  <c r="CF49" i="2"/>
  <c r="CE49" i="2" s="1"/>
  <c r="CD49" i="2"/>
  <c r="CC49" i="2" s="1"/>
  <c r="CB49" i="2"/>
  <c r="CA49" i="2" s="1"/>
  <c r="BY49" i="2"/>
  <c r="BW49" i="2"/>
  <c r="BP49" i="2"/>
  <c r="BN49" i="2"/>
  <c r="BM49" i="2" s="1"/>
  <c r="BK49" i="2"/>
  <c r="BI49" i="2"/>
  <c r="BG49" i="2"/>
  <c r="BE49" i="2"/>
  <c r="BC49" i="2"/>
  <c r="BA49" i="2"/>
  <c r="AZ49" i="2"/>
  <c r="AY49" i="2" s="1"/>
  <c r="AW49" i="2"/>
  <c r="GF49" i="2" s="1"/>
  <c r="AU49" i="2"/>
  <c r="AS49" i="2"/>
  <c r="GD49" i="2" s="1"/>
  <c r="AQ49" i="2"/>
  <c r="GC49" i="2" s="1"/>
  <c r="AO49" i="2"/>
  <c r="AM49" i="2"/>
  <c r="AK49" i="2"/>
  <c r="AJ49" i="2"/>
  <c r="AH49" i="2"/>
  <c r="AE49" i="2"/>
  <c r="FZ49" i="2" s="1"/>
  <c r="AD49" i="2"/>
  <c r="AA49" i="2"/>
  <c r="Y49" i="2"/>
  <c r="FY49" i="2" s="1"/>
  <c r="X49" i="2"/>
  <c r="U49" i="2"/>
  <c r="S49" i="2"/>
  <c r="CN48" i="2"/>
  <c r="AZ48" i="2"/>
  <c r="HB47" i="2"/>
  <c r="HA47" i="2"/>
  <c r="GZ47" i="2"/>
  <c r="GY47" i="2"/>
  <c r="GV47" i="2"/>
  <c r="GE47" i="2"/>
  <c r="GA47" i="2"/>
  <c r="FR47" i="2"/>
  <c r="FP47" i="2"/>
  <c r="FN47" i="2"/>
  <c r="FL47" i="2"/>
  <c r="FJ47" i="2"/>
  <c r="FH47" i="2"/>
  <c r="FD47" i="2"/>
  <c r="FB47" i="2"/>
  <c r="EI47" i="2"/>
  <c r="EH47" i="2"/>
  <c r="GK47" i="2" s="1"/>
  <c r="EG47" i="2"/>
  <c r="EF47" i="2"/>
  <c r="GJ47" i="2" s="1"/>
  <c r="EE47" i="2"/>
  <c r="ED47" i="2"/>
  <c r="GI47" i="2" s="1"/>
  <c r="EC47" i="2"/>
  <c r="EB47" i="2"/>
  <c r="GH47" i="2" s="1"/>
  <c r="EA47" i="2"/>
  <c r="DZ47" i="2"/>
  <c r="GG47" i="2" s="1"/>
  <c r="DY47" i="2"/>
  <c r="DX47" i="2"/>
  <c r="DW47" i="2"/>
  <c r="DU47" i="2"/>
  <c r="DS47" i="2"/>
  <c r="DQ47" i="2"/>
  <c r="DO47" i="2"/>
  <c r="DM47" i="2"/>
  <c r="GB47" i="2" s="1"/>
  <c r="DK47" i="2"/>
  <c r="DI47" i="2"/>
  <c r="DE47" i="2"/>
  <c r="DC47" i="2"/>
  <c r="CZ47" i="2"/>
  <c r="CN47" i="2"/>
  <c r="CM47" i="2" s="1"/>
  <c r="CK47" i="2"/>
  <c r="CI47" i="2"/>
  <c r="CG47" i="2"/>
  <c r="CE47" i="2"/>
  <c r="CC47" i="2"/>
  <c r="CA47" i="2"/>
  <c r="BY47" i="2"/>
  <c r="BW47" i="2"/>
  <c r="BV47" i="2"/>
  <c r="BU47" i="2" s="1"/>
  <c r="BT47" i="2"/>
  <c r="BS47" i="2" s="1"/>
  <c r="BQ47" i="2"/>
  <c r="BO47" i="2"/>
  <c r="BN47" i="2"/>
  <c r="BM47" i="2" s="1"/>
  <c r="BK47" i="2"/>
  <c r="BI47" i="2"/>
  <c r="BG47" i="2"/>
  <c r="BE47" i="2"/>
  <c r="BC47" i="2"/>
  <c r="BA47" i="2"/>
  <c r="AZ47" i="2"/>
  <c r="AY47" i="2" s="1"/>
  <c r="GL47" i="2" s="1"/>
  <c r="AW47" i="2"/>
  <c r="GF47" i="2" s="1"/>
  <c r="AU47" i="2"/>
  <c r="AS47" i="2"/>
  <c r="GD47" i="2" s="1"/>
  <c r="AQ47" i="2"/>
  <c r="GC47" i="2" s="1"/>
  <c r="AO47" i="2"/>
  <c r="AK47" i="2"/>
  <c r="AJ47" i="2"/>
  <c r="AH47" i="2"/>
  <c r="AE47" i="2"/>
  <c r="FZ47" i="2" s="1"/>
  <c r="AC47" i="2"/>
  <c r="AA47" i="2"/>
  <c r="FX47" i="2" s="1"/>
  <c r="Y47" i="2"/>
  <c r="W47" i="2"/>
  <c r="U47" i="2"/>
  <c r="S47" i="2"/>
  <c r="CN46" i="2"/>
  <c r="AZ46" i="2"/>
  <c r="HA45" i="2"/>
  <c r="GU45" i="2"/>
  <c r="GK45" i="2"/>
  <c r="GJ45" i="2"/>
  <c r="GI45" i="2"/>
  <c r="GH45" i="2"/>
  <c r="GG45" i="2"/>
  <c r="GE45" i="2"/>
  <c r="GA45" i="2"/>
  <c r="FR45" i="2"/>
  <c r="FN45" i="2"/>
  <c r="FL45" i="2"/>
  <c r="FK45" i="2"/>
  <c r="FJ45" i="2"/>
  <c r="FH45" i="2"/>
  <c r="FD45" i="2"/>
  <c r="FB45" i="2"/>
  <c r="EZ45" i="2"/>
  <c r="EY45" i="2" s="1"/>
  <c r="EV45" i="2"/>
  <c r="EP45" i="2"/>
  <c r="ER45" i="2" s="1"/>
  <c r="EQ45" i="2" s="1"/>
  <c r="EM45" i="2"/>
  <c r="EI45" i="2"/>
  <c r="EG45" i="2"/>
  <c r="EE45" i="2"/>
  <c r="EC45" i="2"/>
  <c r="EA45" i="2"/>
  <c r="DY45" i="2"/>
  <c r="DX45" i="2"/>
  <c r="FQ45" i="2" s="1"/>
  <c r="DW45" i="2"/>
  <c r="DU45" i="2"/>
  <c r="DS45" i="2"/>
  <c r="DQ45" i="2"/>
  <c r="DO45" i="2"/>
  <c r="DM45" i="2"/>
  <c r="GB45" i="2" s="1"/>
  <c r="DK45" i="2"/>
  <c r="DI45" i="2"/>
  <c r="DE45" i="2"/>
  <c r="DC45" i="2"/>
  <c r="CZ45" i="2"/>
  <c r="DH45" i="2" s="1"/>
  <c r="CL45" i="2"/>
  <c r="CK45" i="2" s="1"/>
  <c r="CI45" i="2"/>
  <c r="CH45" i="2"/>
  <c r="GZ45" i="2" s="1"/>
  <c r="CG45" i="2"/>
  <c r="CF45" i="2"/>
  <c r="CE45" i="2"/>
  <c r="CD45" i="2"/>
  <c r="CC45" i="2"/>
  <c r="CA45" i="2"/>
  <c r="BY45" i="2"/>
  <c r="BW45" i="2"/>
  <c r="BQ45" i="2"/>
  <c r="BK45" i="2"/>
  <c r="BI45" i="2"/>
  <c r="BG45" i="2"/>
  <c r="BE45" i="2"/>
  <c r="BC45" i="2"/>
  <c r="BA45" i="2"/>
  <c r="AZ45" i="2"/>
  <c r="AY45" i="2"/>
  <c r="AW45" i="2"/>
  <c r="GF45" i="2" s="1"/>
  <c r="AU45" i="2"/>
  <c r="AS45" i="2"/>
  <c r="GD45" i="2" s="1"/>
  <c r="AQ45" i="2"/>
  <c r="GC45" i="2" s="1"/>
  <c r="AO45" i="2"/>
  <c r="AK45" i="2"/>
  <c r="AJ45" i="2"/>
  <c r="AH45" i="2"/>
  <c r="AE45" i="2"/>
  <c r="FZ45" i="2" s="1"/>
  <c r="AA45" i="2"/>
  <c r="Y45" i="2"/>
  <c r="V45" i="2"/>
  <c r="T45" i="2"/>
  <c r="CN44" i="2"/>
  <c r="AZ44" i="2"/>
  <c r="HA43" i="2"/>
  <c r="GZ43" i="2"/>
  <c r="GU43" i="2"/>
  <c r="GE43" i="2"/>
  <c r="GA43" i="2"/>
  <c r="FR43" i="2"/>
  <c r="FN43" i="2"/>
  <c r="FL43" i="2"/>
  <c r="FK43" i="2"/>
  <c r="FJ43" i="2" s="1"/>
  <c r="FI43" i="2"/>
  <c r="FH43" i="2" s="1"/>
  <c r="FD43" i="2"/>
  <c r="FB43" i="2"/>
  <c r="EY43" i="2"/>
  <c r="EI43" i="2"/>
  <c r="EH43" i="2"/>
  <c r="EF43" i="2"/>
  <c r="EE43" i="2" s="1"/>
  <c r="ED43" i="2"/>
  <c r="EB43" i="2"/>
  <c r="DZ43" i="2"/>
  <c r="DU43" i="2"/>
  <c r="DS43" i="2"/>
  <c r="DQ43" i="2"/>
  <c r="DO43" i="2"/>
  <c r="DM43" i="2"/>
  <c r="GB43" i="2" s="1"/>
  <c r="DK43" i="2"/>
  <c r="DI43" i="2"/>
  <c r="DE43" i="2"/>
  <c r="DC43" i="2"/>
  <c r="CZ43" i="2"/>
  <c r="DB43" i="2" s="1"/>
  <c r="DA43" i="2" s="1"/>
  <c r="CY43" i="2"/>
  <c r="CW43" i="2"/>
  <c r="CK43" i="2"/>
  <c r="CI43" i="2"/>
  <c r="CG43" i="2"/>
  <c r="CF43" i="2"/>
  <c r="CE43" i="2" s="1"/>
  <c r="CD43" i="2"/>
  <c r="GV43" i="2" s="1"/>
  <c r="CA43" i="2"/>
  <c r="BY43" i="2"/>
  <c r="BW43" i="2"/>
  <c r="BQ43" i="2"/>
  <c r="BP43" i="2"/>
  <c r="BK43" i="2"/>
  <c r="BI43" i="2"/>
  <c r="BG43" i="2"/>
  <c r="BE43" i="2"/>
  <c r="BC43" i="2"/>
  <c r="BA43" i="2"/>
  <c r="AZ43" i="2"/>
  <c r="AY43" i="2" s="1"/>
  <c r="AW43" i="2"/>
  <c r="GF43" i="2" s="1"/>
  <c r="AU43" i="2"/>
  <c r="AS43" i="2"/>
  <c r="GD43" i="2" s="1"/>
  <c r="AQ43" i="2"/>
  <c r="GC43" i="2" s="1"/>
  <c r="AO43" i="2"/>
  <c r="AK43" i="2"/>
  <c r="AJ43" i="2"/>
  <c r="AH43" i="2"/>
  <c r="AF43" i="2"/>
  <c r="AE43" i="2" s="1"/>
  <c r="FZ43" i="2" s="1"/>
  <c r="AA43" i="2"/>
  <c r="FX43" i="2" s="1"/>
  <c r="Y43" i="2"/>
  <c r="V43" i="2"/>
  <c r="S43" i="2"/>
  <c r="CN42" i="2"/>
  <c r="AZ42" i="2"/>
  <c r="GK41" i="2"/>
  <c r="GJ41" i="2"/>
  <c r="GH41" i="2"/>
  <c r="GG41" i="2"/>
  <c r="GE41" i="2"/>
  <c r="GA41" i="2"/>
  <c r="FR41" i="2"/>
  <c r="FN41" i="2"/>
  <c r="FL41" i="2"/>
  <c r="FK41" i="2"/>
  <c r="FJ41" i="2"/>
  <c r="FI41" i="2"/>
  <c r="FH41" i="2"/>
  <c r="FD41" i="2"/>
  <c r="FB41" i="2"/>
  <c r="EI41" i="2"/>
  <c r="EG41" i="2"/>
  <c r="EE41" i="2"/>
  <c r="ED41" i="2"/>
  <c r="GI41" i="2" s="1"/>
  <c r="EC41" i="2"/>
  <c r="EA41" i="2"/>
  <c r="DY41" i="2"/>
  <c r="DX41" i="2"/>
  <c r="FQ41" i="2" s="1"/>
  <c r="DW41" i="2"/>
  <c r="DU41" i="2"/>
  <c r="DS41" i="2"/>
  <c r="DQ41" i="2"/>
  <c r="DO41" i="2"/>
  <c r="DM41" i="2"/>
  <c r="GB41" i="2" s="1"/>
  <c r="DK41" i="2"/>
  <c r="DI41" i="2"/>
  <c r="DE41" i="2"/>
  <c r="DC41" i="2"/>
  <c r="CZ41" i="2"/>
  <c r="DH41" i="2" s="1"/>
  <c r="CL41" i="2"/>
  <c r="CK41" i="2" s="1"/>
  <c r="CJ41" i="2"/>
  <c r="CH41" i="2"/>
  <c r="CG41" i="2" s="1"/>
  <c r="CF41" i="2"/>
  <c r="CE41" i="2" s="1"/>
  <c r="CD41" i="2"/>
  <c r="CC41" i="2" s="1"/>
  <c r="BY41" i="2"/>
  <c r="BW41" i="2"/>
  <c r="BP41" i="2"/>
  <c r="BK41" i="2"/>
  <c r="BI41" i="2"/>
  <c r="BG41" i="2"/>
  <c r="BE41" i="2"/>
  <c r="BC41" i="2"/>
  <c r="BA41" i="2"/>
  <c r="AZ41" i="2"/>
  <c r="AY41" i="2" s="1"/>
  <c r="AW41" i="2"/>
  <c r="GF41" i="2" s="1"/>
  <c r="AU41" i="2"/>
  <c r="AT41" i="2"/>
  <c r="AQ41" i="2"/>
  <c r="GC41" i="2" s="1"/>
  <c r="AO41" i="2"/>
  <c r="AK41" i="2"/>
  <c r="AH41" i="2"/>
  <c r="AA41" i="2"/>
  <c r="Y41" i="2"/>
  <c r="V41" i="2"/>
  <c r="U41" i="2" s="1"/>
  <c r="S41" i="2"/>
  <c r="N41" i="2"/>
  <c r="AI41" i="2" s="1"/>
  <c r="AJ41" i="2" s="1"/>
  <c r="CN40" i="2"/>
  <c r="AZ40" i="2"/>
  <c r="HA39" i="2"/>
  <c r="GU39" i="2"/>
  <c r="GK39" i="2"/>
  <c r="GJ39" i="2"/>
  <c r="GI39" i="2"/>
  <c r="GH39" i="2"/>
  <c r="GG39" i="2"/>
  <c r="GE39" i="2"/>
  <c r="GA39" i="2"/>
  <c r="FR39" i="2"/>
  <c r="FN39" i="2"/>
  <c r="FL39" i="2"/>
  <c r="FK39" i="2"/>
  <c r="FI39" i="2"/>
  <c r="FD39" i="2"/>
  <c r="FB39" i="2"/>
  <c r="EY39" i="2"/>
  <c r="EV39" i="2"/>
  <c r="EU39" i="2"/>
  <c r="EP39" i="2"/>
  <c r="EO39" i="2"/>
  <c r="EM39" i="2"/>
  <c r="EI39" i="2"/>
  <c r="EG39" i="2"/>
  <c r="EE39" i="2"/>
  <c r="EC39" i="2"/>
  <c r="EA39" i="2"/>
  <c r="DY39" i="2"/>
  <c r="DX39" i="2"/>
  <c r="DW39" i="2" s="1"/>
  <c r="DU39" i="2"/>
  <c r="DS39" i="2"/>
  <c r="DQ39" i="2"/>
  <c r="DO39" i="2"/>
  <c r="DK39" i="2"/>
  <c r="DI39" i="2"/>
  <c r="DG39" i="2"/>
  <c r="DE39" i="2"/>
  <c r="DC39" i="2"/>
  <c r="CZ39" i="2"/>
  <c r="DB39" i="2" s="1"/>
  <c r="DA39" i="2" s="1"/>
  <c r="CY39" i="2"/>
  <c r="CX39" i="2"/>
  <c r="CL39" i="2"/>
  <c r="CK39" i="2" s="1"/>
  <c r="CI39" i="2"/>
  <c r="CH39" i="2"/>
  <c r="GZ39" i="2" s="1"/>
  <c r="CF39" i="2"/>
  <c r="CE39" i="2"/>
  <c r="CD39" i="2"/>
  <c r="CN39" i="2" s="1"/>
  <c r="CM39" i="2" s="1"/>
  <c r="CA39" i="2"/>
  <c r="BY39" i="2"/>
  <c r="BW39" i="2"/>
  <c r="BP39" i="2"/>
  <c r="BO39" i="2"/>
  <c r="BK39" i="2"/>
  <c r="BI39" i="2"/>
  <c r="BG39" i="2"/>
  <c r="BE39" i="2"/>
  <c r="BC39" i="2"/>
  <c r="BA39" i="2"/>
  <c r="AZ39" i="2"/>
  <c r="AY39" i="2" s="1"/>
  <c r="AW39" i="2"/>
  <c r="GF39" i="2" s="1"/>
  <c r="AU39" i="2"/>
  <c r="AS39" i="2"/>
  <c r="GD39" i="2" s="1"/>
  <c r="AQ39" i="2"/>
  <c r="GC39" i="2" s="1"/>
  <c r="AO39" i="2"/>
  <c r="AK39" i="2"/>
  <c r="AJ39" i="2"/>
  <c r="AH39" i="2"/>
  <c r="AE39" i="2"/>
  <c r="FZ39" i="2" s="1"/>
  <c r="AA39" i="2"/>
  <c r="Y39" i="2"/>
  <c r="V39" i="2"/>
  <c r="U39" i="2"/>
  <c r="FU39" i="2" s="1"/>
  <c r="S39" i="2"/>
  <c r="CN38" i="2"/>
  <c r="AZ38" i="2"/>
  <c r="GK37" i="2"/>
  <c r="GJ37" i="2"/>
  <c r="GI37" i="2"/>
  <c r="GH37" i="2"/>
  <c r="GG37" i="2"/>
  <c r="GE37" i="2"/>
  <c r="GA37" i="2"/>
  <c r="FR37" i="2"/>
  <c r="FN37" i="2"/>
  <c r="FL37" i="2"/>
  <c r="FK37" i="2"/>
  <c r="FJ37" i="2"/>
  <c r="FI37" i="2"/>
  <c r="FH37" i="2"/>
  <c r="FD37" i="2"/>
  <c r="FB37" i="2"/>
  <c r="EY37" i="2"/>
  <c r="EI37" i="2"/>
  <c r="EG37" i="2"/>
  <c r="EE37" i="2"/>
  <c r="EC37" i="2"/>
  <c r="EA37" i="2"/>
  <c r="DY37" i="2"/>
  <c r="DX37" i="2"/>
  <c r="DU37" i="2"/>
  <c r="DS37" i="2"/>
  <c r="DQ37" i="2"/>
  <c r="DO37" i="2"/>
  <c r="DM37" i="2"/>
  <c r="GB37" i="2" s="1"/>
  <c r="DK37" i="2"/>
  <c r="DI37" i="2"/>
  <c r="DE37" i="2"/>
  <c r="DC37" i="2"/>
  <c r="CZ37" i="2"/>
  <c r="CY37" i="2" s="1"/>
  <c r="CL37" i="2"/>
  <c r="CK37" i="2"/>
  <c r="CJ37" i="2"/>
  <c r="CI37" i="2" s="1"/>
  <c r="CH37" i="2"/>
  <c r="GZ37" i="2" s="1"/>
  <c r="CG37" i="2"/>
  <c r="CF37" i="2"/>
  <c r="CE37" i="2" s="1"/>
  <c r="CD37" i="2"/>
  <c r="CC37" i="2"/>
  <c r="BY37" i="2"/>
  <c r="BQ37" i="2"/>
  <c r="BK37" i="2"/>
  <c r="BI37" i="2"/>
  <c r="BG37" i="2"/>
  <c r="BE37" i="2"/>
  <c r="BC37" i="2"/>
  <c r="BA37" i="2"/>
  <c r="AZ37" i="2"/>
  <c r="AY37" i="2" s="1"/>
  <c r="AW37" i="2"/>
  <c r="GF37" i="2" s="1"/>
  <c r="AU37" i="2"/>
  <c r="AS37" i="2"/>
  <c r="GD37" i="2" s="1"/>
  <c r="AQ37" i="2"/>
  <c r="GC37" i="2" s="1"/>
  <c r="AO37" i="2"/>
  <c r="AK37" i="2"/>
  <c r="AJ37" i="2"/>
  <c r="AH37" i="2"/>
  <c r="AE37" i="2"/>
  <c r="FZ37" i="2" s="1"/>
  <c r="AA37" i="2"/>
  <c r="Y37" i="2"/>
  <c r="V37" i="2"/>
  <c r="T37" i="2"/>
  <c r="BP37" i="2" s="1"/>
  <c r="S37" i="2"/>
  <c r="CN36" i="2"/>
  <c r="AZ36" i="2"/>
  <c r="HA35" i="2"/>
  <c r="GK35" i="2"/>
  <c r="GJ35" i="2"/>
  <c r="GI35" i="2"/>
  <c r="GH35" i="2"/>
  <c r="GG35" i="2"/>
  <c r="GE35" i="2"/>
  <c r="GA35" i="2"/>
  <c r="FR35" i="2"/>
  <c r="FN35" i="2"/>
  <c r="FL35" i="2"/>
  <c r="FK35" i="2"/>
  <c r="FJ35" i="2"/>
  <c r="FI35" i="2"/>
  <c r="FH35" i="2" s="1"/>
  <c r="FD35" i="2"/>
  <c r="FB35" i="2"/>
  <c r="EY35" i="2"/>
  <c r="EV35" i="2"/>
  <c r="EQ35" i="2"/>
  <c r="EP35" i="2"/>
  <c r="EO35" i="2"/>
  <c r="EM35" i="2"/>
  <c r="EI35" i="2"/>
  <c r="EG35" i="2"/>
  <c r="EE35" i="2"/>
  <c r="EC35" i="2"/>
  <c r="EA35" i="2"/>
  <c r="DY35" i="2"/>
  <c r="DX35" i="2"/>
  <c r="FQ35" i="2" s="1"/>
  <c r="DU35" i="2"/>
  <c r="DS35" i="2"/>
  <c r="DQ35" i="2"/>
  <c r="DO35" i="2"/>
  <c r="DK35" i="2"/>
  <c r="DI35" i="2"/>
  <c r="DG35" i="2"/>
  <c r="DE35" i="2"/>
  <c r="DC35" i="2"/>
  <c r="CZ35" i="2"/>
  <c r="CY35" i="2"/>
  <c r="CX35" i="2"/>
  <c r="CL35" i="2"/>
  <c r="CK35" i="2" s="1"/>
  <c r="CI35" i="2"/>
  <c r="CH35" i="2"/>
  <c r="CG35" i="2" s="1"/>
  <c r="CF35" i="2"/>
  <c r="CE35" i="2"/>
  <c r="CD35" i="2"/>
  <c r="GV35" i="2" s="1"/>
  <c r="CA35" i="2"/>
  <c r="BY35" i="2"/>
  <c r="BP35" i="2"/>
  <c r="BK35" i="2"/>
  <c r="BI35" i="2"/>
  <c r="BG35" i="2"/>
  <c r="BE35" i="2"/>
  <c r="BC35" i="2"/>
  <c r="BA35" i="2"/>
  <c r="AZ35" i="2"/>
  <c r="AY35" i="2"/>
  <c r="AW35" i="2"/>
  <c r="GF35" i="2" s="1"/>
  <c r="AU35" i="2"/>
  <c r="AS35" i="2"/>
  <c r="GD35" i="2" s="1"/>
  <c r="AQ35" i="2"/>
  <c r="GC35" i="2" s="1"/>
  <c r="AO35" i="2"/>
  <c r="AK35" i="2"/>
  <c r="AJ35" i="2"/>
  <c r="AH35" i="2"/>
  <c r="AE35" i="2"/>
  <c r="FZ35" i="2" s="1"/>
  <c r="AA35" i="2"/>
  <c r="Y35" i="2"/>
  <c r="V35" i="2"/>
  <c r="AD35" i="2" s="1"/>
  <c r="U35" i="2"/>
  <c r="S35" i="2"/>
  <c r="FT35" i="2" s="1"/>
  <c r="CN34" i="2"/>
  <c r="AZ34" i="2"/>
  <c r="GU33" i="2"/>
  <c r="GK33" i="2"/>
  <c r="GJ33" i="2"/>
  <c r="GI33" i="2"/>
  <c r="GH33" i="2"/>
  <c r="GG33" i="2"/>
  <c r="GE33" i="2"/>
  <c r="GA33" i="2"/>
  <c r="FR33" i="2"/>
  <c r="FN33" i="2"/>
  <c r="FL33" i="2"/>
  <c r="FK33" i="2"/>
  <c r="FI33" i="2"/>
  <c r="FH33" i="2"/>
  <c r="FG33" i="2"/>
  <c r="FD33" i="2"/>
  <c r="FB33" i="2"/>
  <c r="EY33" i="2"/>
  <c r="EI33" i="2"/>
  <c r="EG33" i="2"/>
  <c r="EE33" i="2"/>
  <c r="EC33" i="2"/>
  <c r="EA33" i="2"/>
  <c r="DY33" i="2"/>
  <c r="DX33" i="2"/>
  <c r="DU33" i="2"/>
  <c r="DS33" i="2"/>
  <c r="DQ33" i="2"/>
  <c r="DO33" i="2"/>
  <c r="DM33" i="2"/>
  <c r="GB33" i="2" s="1"/>
  <c r="DK33" i="2"/>
  <c r="DI33" i="2"/>
  <c r="DG33" i="2"/>
  <c r="DE33" i="2"/>
  <c r="DC33" i="2"/>
  <c r="CZ33" i="2"/>
  <c r="CW33" i="2" s="1"/>
  <c r="CY33" i="2"/>
  <c r="CJ33" i="2"/>
  <c r="HA33" i="2" s="1"/>
  <c r="CI33" i="2"/>
  <c r="CH33" i="2"/>
  <c r="GZ33" i="2" s="1"/>
  <c r="CF33" i="2"/>
  <c r="CE33" i="2"/>
  <c r="CD33" i="2"/>
  <c r="CC33" i="2" s="1"/>
  <c r="CB33" i="2"/>
  <c r="CA33" i="2"/>
  <c r="BY33" i="2"/>
  <c r="BW33" i="2"/>
  <c r="BP33" i="2"/>
  <c r="BN33" i="2"/>
  <c r="BM33" i="2"/>
  <c r="BK33" i="2"/>
  <c r="BI33" i="2"/>
  <c r="BG33" i="2"/>
  <c r="BE33" i="2"/>
  <c r="BC33" i="2"/>
  <c r="BA33" i="2"/>
  <c r="AZ33" i="2"/>
  <c r="CL33" i="2" s="1"/>
  <c r="CK33" i="2" s="1"/>
  <c r="AY33" i="2"/>
  <c r="AW33" i="2"/>
  <c r="GF33" i="2" s="1"/>
  <c r="AU33" i="2"/>
  <c r="AS33" i="2"/>
  <c r="GD33" i="2" s="1"/>
  <c r="AQ33" i="2"/>
  <c r="GC33" i="2" s="1"/>
  <c r="AO33" i="2"/>
  <c r="AK33" i="2"/>
  <c r="AJ33" i="2"/>
  <c r="AH33" i="2"/>
  <c r="AE33" i="2"/>
  <c r="FZ33" i="2" s="1"/>
  <c r="AA33" i="2"/>
  <c r="Y33" i="2"/>
  <c r="X33" i="2"/>
  <c r="W33" i="2"/>
  <c r="U33" i="2"/>
  <c r="S33" i="2"/>
  <c r="CN32" i="2"/>
  <c r="AZ32" i="2"/>
  <c r="GK31" i="2"/>
  <c r="GJ31" i="2"/>
  <c r="GI31" i="2"/>
  <c r="GH31" i="2"/>
  <c r="GG31" i="2"/>
  <c r="GE31" i="2"/>
  <c r="GA31" i="2"/>
  <c r="FR31" i="2"/>
  <c r="FN31" i="2"/>
  <c r="FL31" i="2"/>
  <c r="FK31" i="2"/>
  <c r="FJ31" i="2" s="1"/>
  <c r="FH31" i="2"/>
  <c r="FD31" i="2"/>
  <c r="FB31" i="2"/>
  <c r="EY31" i="2"/>
  <c r="EI31" i="2"/>
  <c r="EG31" i="2"/>
  <c r="EE31" i="2"/>
  <c r="EC31" i="2"/>
  <c r="EA31" i="2"/>
  <c r="DY31" i="2"/>
  <c r="DX31" i="2"/>
  <c r="FQ31" i="2" s="1"/>
  <c r="DU31" i="2"/>
  <c r="DS31" i="2"/>
  <c r="DQ31" i="2"/>
  <c r="DO31" i="2"/>
  <c r="DM31" i="2"/>
  <c r="GB31" i="2" s="1"/>
  <c r="DK31" i="2"/>
  <c r="DI31" i="2"/>
  <c r="DE31" i="2"/>
  <c r="DC31" i="2"/>
  <c r="CZ31" i="2"/>
  <c r="DB31" i="2" s="1"/>
  <c r="DA31" i="2" s="1"/>
  <c r="CY31" i="2"/>
  <c r="CL31" i="2"/>
  <c r="CK31" i="2" s="1"/>
  <c r="CJ31" i="2"/>
  <c r="HA31" i="2" s="1"/>
  <c r="CH31" i="2"/>
  <c r="GZ31" i="2" s="1"/>
  <c r="CF31" i="2"/>
  <c r="CE31" i="2" s="1"/>
  <c r="BY31" i="2"/>
  <c r="BQ31" i="2"/>
  <c r="BK31" i="2"/>
  <c r="BI31" i="2"/>
  <c r="BG31" i="2"/>
  <c r="BE31" i="2"/>
  <c r="BC31" i="2"/>
  <c r="BA31" i="2"/>
  <c r="AZ31" i="2"/>
  <c r="AW31" i="2"/>
  <c r="GF31" i="2" s="1"/>
  <c r="AU31" i="2"/>
  <c r="AS31" i="2"/>
  <c r="GD31" i="2" s="1"/>
  <c r="AQ31" i="2"/>
  <c r="GC31" i="2" s="1"/>
  <c r="AO31" i="2"/>
  <c r="AK31" i="2"/>
  <c r="AJ31" i="2"/>
  <c r="AH31" i="2"/>
  <c r="AE31" i="2"/>
  <c r="FZ31" i="2" s="1"/>
  <c r="Y31" i="2"/>
  <c r="V31" i="2"/>
  <c r="T31" i="2"/>
  <c r="S31" i="2" s="1"/>
  <c r="CN30" i="2"/>
  <c r="AZ30" i="2"/>
  <c r="GU29" i="2"/>
  <c r="GK29" i="2"/>
  <c r="GJ29" i="2"/>
  <c r="GI29" i="2"/>
  <c r="GH29" i="2"/>
  <c r="GG29" i="2"/>
  <c r="GE29" i="2"/>
  <c r="GA29" i="2"/>
  <c r="FR29" i="2"/>
  <c r="FN29" i="2"/>
  <c r="FL29" i="2"/>
  <c r="FK29" i="2"/>
  <c r="FJ29" i="2" s="1"/>
  <c r="FI29" i="2"/>
  <c r="FH29" i="2" s="1"/>
  <c r="FD29" i="2"/>
  <c r="FB29" i="2"/>
  <c r="EY29" i="2"/>
  <c r="EI29" i="2"/>
  <c r="EG29" i="2"/>
  <c r="EE29" i="2"/>
  <c r="EC29" i="2"/>
  <c r="EA29" i="2"/>
  <c r="DY29" i="2"/>
  <c r="DX29" i="2"/>
  <c r="DU29" i="2"/>
  <c r="DS29" i="2"/>
  <c r="DQ29" i="2"/>
  <c r="DO29" i="2"/>
  <c r="DM29" i="2"/>
  <c r="GB29" i="2" s="1"/>
  <c r="DK29" i="2"/>
  <c r="DI29" i="2"/>
  <c r="DE29" i="2"/>
  <c r="DC29" i="2"/>
  <c r="CZ29" i="2"/>
  <c r="DB29" i="2" s="1"/>
  <c r="DA29" i="2" s="1"/>
  <c r="CL29" i="2"/>
  <c r="CK29" i="2" s="1"/>
  <c r="CJ29" i="2"/>
  <c r="HA29" i="2" s="1"/>
  <c r="CH29" i="2"/>
  <c r="GZ29" i="2" s="1"/>
  <c r="CF29" i="2"/>
  <c r="CD29" i="2"/>
  <c r="CC29" i="2" s="1"/>
  <c r="BY29" i="2"/>
  <c r="BW29" i="2"/>
  <c r="BP29" i="2"/>
  <c r="BK29" i="2"/>
  <c r="BI29" i="2"/>
  <c r="BG29" i="2"/>
  <c r="BE29" i="2"/>
  <c r="BC29" i="2"/>
  <c r="BA29" i="2"/>
  <c r="AZ29" i="2"/>
  <c r="AW29" i="2"/>
  <c r="GF29" i="2" s="1"/>
  <c r="AU29" i="2"/>
  <c r="AS29" i="2"/>
  <c r="GD29" i="2" s="1"/>
  <c r="AQ29" i="2"/>
  <c r="GC29" i="2" s="1"/>
  <c r="AO29" i="2"/>
  <c r="AK29" i="2"/>
  <c r="AJ29" i="2"/>
  <c r="AH29" i="2"/>
  <c r="AE29" i="2"/>
  <c r="FZ29" i="2" s="1"/>
  <c r="AA29" i="2"/>
  <c r="Y29" i="2"/>
  <c r="V29" i="2"/>
  <c r="S29" i="2"/>
  <c r="CN28" i="2"/>
  <c r="AZ28" i="2"/>
  <c r="FK27" i="2"/>
  <c r="FI27" i="2"/>
  <c r="DX27" i="2"/>
  <c r="CZ27" i="2"/>
  <c r="DB27" i="2" s="1"/>
  <c r="CW27" i="2"/>
  <c r="EN27" i="2" s="1"/>
  <c r="CL27" i="2"/>
  <c r="CJ27" i="2"/>
  <c r="HA27" i="2" s="1"/>
  <c r="CH27" i="2"/>
  <c r="GZ27" i="2" s="1"/>
  <c r="CF27" i="2"/>
  <c r="CD27" i="2"/>
  <c r="BP27" i="2"/>
  <c r="AZ27" i="2"/>
  <c r="AI27" i="2"/>
  <c r="AF27" i="2" s="1"/>
  <c r="V27" i="2"/>
  <c r="N27" i="2"/>
  <c r="FK26" i="2"/>
  <c r="FI26" i="2"/>
  <c r="DX26" i="2"/>
  <c r="FQ26" i="2" s="1"/>
  <c r="CZ26" i="2"/>
  <c r="CL26" i="2"/>
  <c r="CJ26" i="2"/>
  <c r="HA26" i="2" s="1"/>
  <c r="CH26" i="2"/>
  <c r="GZ26" i="2" s="1"/>
  <c r="CF26" i="2"/>
  <c r="CD26" i="2"/>
  <c r="BP26" i="2"/>
  <c r="AZ26" i="2"/>
  <c r="V26" i="2"/>
  <c r="HA25" i="2"/>
  <c r="GZ25" i="2"/>
  <c r="FK25" i="2"/>
  <c r="GY25" i="2" s="1"/>
  <c r="FI25" i="2"/>
  <c r="GV25" i="2" s="1"/>
  <c r="DX25" i="2"/>
  <c r="FQ25" i="2" s="1"/>
  <c r="HB25" i="2" s="1"/>
  <c r="CZ25" i="2"/>
  <c r="CW25" i="2" s="1"/>
  <c r="CN25" i="2"/>
  <c r="BT25" i="2"/>
  <c r="BN25" i="2"/>
  <c r="AZ25" i="2"/>
  <c r="AD25" i="2" s="1"/>
  <c r="GK24" i="2"/>
  <c r="GJ24" i="2"/>
  <c r="GI24" i="2"/>
  <c r="GH24" i="2"/>
  <c r="GG24" i="2"/>
  <c r="GE24" i="2"/>
  <c r="GA24" i="2"/>
  <c r="FR24" i="2"/>
  <c r="FN24" i="2"/>
  <c r="FL24" i="2"/>
  <c r="FK24" i="2"/>
  <c r="FJ24" i="2"/>
  <c r="FI24" i="2"/>
  <c r="FH24" i="2" s="1"/>
  <c r="FD24" i="2"/>
  <c r="FB24" i="2"/>
  <c r="EI24" i="2"/>
  <c r="EG24" i="2"/>
  <c r="EE24" i="2"/>
  <c r="EC24" i="2"/>
  <c r="EA24" i="2"/>
  <c r="DY24" i="2"/>
  <c r="DX24" i="2"/>
  <c r="FQ24" i="2" s="1"/>
  <c r="DU24" i="2"/>
  <c r="DS24" i="2"/>
  <c r="DQ24" i="2"/>
  <c r="DO24" i="2"/>
  <c r="DM24" i="2"/>
  <c r="DK24" i="2"/>
  <c r="DI24" i="2"/>
  <c r="DE24" i="2"/>
  <c r="CZ24" i="2"/>
  <c r="DB24" i="2" s="1"/>
  <c r="CL24" i="2"/>
  <c r="CK24" i="2" s="1"/>
  <c r="CJ24" i="2"/>
  <c r="HA24" i="2" s="1"/>
  <c r="CH24" i="2"/>
  <c r="GZ24" i="2" s="1"/>
  <c r="CF24" i="2"/>
  <c r="CE24" i="2" s="1"/>
  <c r="CD24" i="2"/>
  <c r="CC24" i="2" s="1"/>
  <c r="BY24" i="2"/>
  <c r="BW24" i="2"/>
  <c r="BP24" i="2"/>
  <c r="BK24" i="2"/>
  <c r="BI24" i="2"/>
  <c r="BG24" i="2"/>
  <c r="BE24" i="2"/>
  <c r="BC24" i="2"/>
  <c r="BA24" i="2"/>
  <c r="AZ24" i="2"/>
  <c r="AY24" i="2" s="1"/>
  <c r="AW24" i="2"/>
  <c r="GF24" i="2" s="1"/>
  <c r="AU24" i="2"/>
  <c r="AS24" i="2"/>
  <c r="GD24" i="2" s="1"/>
  <c r="AQ24" i="2"/>
  <c r="GC24" i="2" s="1"/>
  <c r="AO24" i="2"/>
  <c r="AM24" i="2"/>
  <c r="AK24" i="2"/>
  <c r="AJ24" i="2"/>
  <c r="AA24" i="2"/>
  <c r="Y24" i="2"/>
  <c r="FY24" i="2" s="1"/>
  <c r="V24" i="2"/>
  <c r="BN24" i="2" s="1"/>
  <c r="S24" i="2"/>
  <c r="CN23" i="2"/>
  <c r="AZ23" i="2"/>
  <c r="GU22" i="2"/>
  <c r="GK22" i="2"/>
  <c r="GJ22" i="2"/>
  <c r="GI22" i="2"/>
  <c r="GH22" i="2"/>
  <c r="GG22" i="2"/>
  <c r="GE22" i="2"/>
  <c r="GA22" i="2"/>
  <c r="FR22" i="2"/>
  <c r="FN22" i="2"/>
  <c r="FL22" i="2"/>
  <c r="FK22" i="2"/>
  <c r="FJ22" i="2" s="1"/>
  <c r="FI22" i="2"/>
  <c r="FH22" i="2"/>
  <c r="FD22" i="2"/>
  <c r="FB22" i="2"/>
  <c r="EY22" i="2"/>
  <c r="EI22" i="2"/>
  <c r="EG22" i="2"/>
  <c r="EE22" i="2"/>
  <c r="EC22" i="2"/>
  <c r="EA22" i="2"/>
  <c r="DY22" i="2"/>
  <c r="DX22" i="2"/>
  <c r="DU22" i="2"/>
  <c r="DS22" i="2"/>
  <c r="DQ22" i="2"/>
  <c r="DO22" i="2"/>
  <c r="DM22" i="2"/>
  <c r="GB22" i="2" s="1"/>
  <c r="DK22" i="2"/>
  <c r="DI22" i="2"/>
  <c r="DE22" i="2"/>
  <c r="DC22" i="2"/>
  <c r="CZ22" i="2"/>
  <c r="DB22" i="2" s="1"/>
  <c r="DA22" i="2" s="1"/>
  <c r="CW22" i="2"/>
  <c r="EN22" i="2" s="1"/>
  <c r="CL22" i="2"/>
  <c r="CK22" i="2"/>
  <c r="CJ22" i="2"/>
  <c r="HA22" i="2" s="1"/>
  <c r="CH22" i="2"/>
  <c r="GZ22" i="2" s="1"/>
  <c r="CG22" i="2"/>
  <c r="CF22" i="2"/>
  <c r="CE22" i="2" s="1"/>
  <c r="CD22" i="2"/>
  <c r="CC22" i="2"/>
  <c r="BY22" i="2"/>
  <c r="BW22" i="2"/>
  <c r="BP22" i="2"/>
  <c r="BO22" i="2"/>
  <c r="BK22" i="2"/>
  <c r="BI22" i="2"/>
  <c r="BG22" i="2"/>
  <c r="BE22" i="2"/>
  <c r="BC22" i="2"/>
  <c r="BA22" i="2"/>
  <c r="AZ22" i="2"/>
  <c r="AY22" i="2" s="1"/>
  <c r="AW22" i="2"/>
  <c r="GF22" i="2" s="1"/>
  <c r="AU22" i="2"/>
  <c r="AS22" i="2"/>
  <c r="GD22" i="2" s="1"/>
  <c r="AQ22" i="2"/>
  <c r="GC22" i="2" s="1"/>
  <c r="AO22" i="2"/>
  <c r="AK22" i="2"/>
  <c r="AA22" i="2"/>
  <c r="Y22" i="2"/>
  <c r="V22" i="2"/>
  <c r="BN22" i="2" s="1"/>
  <c r="BM22" i="2" s="1"/>
  <c r="S22" i="2"/>
  <c r="N22" i="2"/>
  <c r="CN21" i="2"/>
  <c r="AZ21" i="2"/>
  <c r="GU20" i="2"/>
  <c r="FK20" i="2"/>
  <c r="FI20" i="2"/>
  <c r="DX20" i="2"/>
  <c r="CZ20" i="2"/>
  <c r="DB20" i="2" s="1"/>
  <c r="CW20" i="2"/>
  <c r="EN20" i="2" s="1"/>
  <c r="CL20" i="2"/>
  <c r="CJ20" i="2"/>
  <c r="HA20" i="2" s="1"/>
  <c r="CH20" i="2"/>
  <c r="GZ20" i="2" s="1"/>
  <c r="CF20" i="2"/>
  <c r="CD20" i="2"/>
  <c r="BP20" i="2"/>
  <c r="AZ20" i="2"/>
  <c r="V20" i="2"/>
  <c r="GU19" i="2"/>
  <c r="FK19" i="2"/>
  <c r="FI19" i="2"/>
  <c r="DX19" i="2"/>
  <c r="FQ19" i="2" s="1"/>
  <c r="CZ19" i="2"/>
  <c r="CL19" i="2"/>
  <c r="CJ19" i="2"/>
  <c r="HA19" i="2" s="1"/>
  <c r="CH19" i="2"/>
  <c r="GZ19" i="2" s="1"/>
  <c r="CF19" i="2"/>
  <c r="CD19" i="2"/>
  <c r="BP19" i="2"/>
  <c r="AZ19" i="2"/>
  <c r="V19" i="2"/>
  <c r="GU18" i="2"/>
  <c r="GK18" i="2"/>
  <c r="GJ18" i="2"/>
  <c r="GI18" i="2"/>
  <c r="GH18" i="2"/>
  <c r="GG18" i="2"/>
  <c r="GE18" i="2"/>
  <c r="GA18" i="2"/>
  <c r="FR18" i="2"/>
  <c r="FN18" i="2"/>
  <c r="FL18" i="2"/>
  <c r="FK18" i="2"/>
  <c r="FJ18" i="2"/>
  <c r="FI18" i="2"/>
  <c r="FH18" i="2" s="1"/>
  <c r="FD18" i="2"/>
  <c r="FB18" i="2"/>
  <c r="EZ18" i="2"/>
  <c r="EY18" i="2"/>
  <c r="EI18" i="2"/>
  <c r="EG18" i="2"/>
  <c r="EE18" i="2"/>
  <c r="EC18" i="2"/>
  <c r="EA18" i="2"/>
  <c r="DY18" i="2"/>
  <c r="DX18" i="2"/>
  <c r="FQ18" i="2" s="1"/>
  <c r="DU18" i="2"/>
  <c r="DS18" i="2"/>
  <c r="DQ18" i="2"/>
  <c r="DO18" i="2"/>
  <c r="DM18" i="2"/>
  <c r="DK18" i="2"/>
  <c r="DI18" i="2"/>
  <c r="DE18" i="2"/>
  <c r="CZ18" i="2"/>
  <c r="DB18" i="2" s="1"/>
  <c r="CY18" i="2"/>
  <c r="CW18" i="2"/>
  <c r="CL18" i="2"/>
  <c r="CK18" i="2" s="1"/>
  <c r="CJ18" i="2"/>
  <c r="HA18" i="2" s="1"/>
  <c r="CI18" i="2"/>
  <c r="CH18" i="2"/>
  <c r="GZ18" i="2" s="1"/>
  <c r="CF18" i="2"/>
  <c r="CE18" i="2"/>
  <c r="CD18" i="2"/>
  <c r="CC18" i="2" s="1"/>
  <c r="BY18" i="2"/>
  <c r="BW18" i="2"/>
  <c r="BP18" i="2"/>
  <c r="BT18" i="2" s="1"/>
  <c r="BK18" i="2"/>
  <c r="BI18" i="2"/>
  <c r="BG18" i="2"/>
  <c r="BE18" i="2"/>
  <c r="BC18" i="2"/>
  <c r="BA18" i="2"/>
  <c r="AZ18" i="2"/>
  <c r="AY18" i="2"/>
  <c r="AW18" i="2"/>
  <c r="GF18" i="2" s="1"/>
  <c r="AU18" i="2"/>
  <c r="AS18" i="2"/>
  <c r="GD18" i="2" s="1"/>
  <c r="AQ18" i="2"/>
  <c r="GC18" i="2" s="1"/>
  <c r="AO18" i="2"/>
  <c r="AM18" i="2" s="1"/>
  <c r="AJ18" i="2"/>
  <c r="AH18" i="2"/>
  <c r="AA18" i="2"/>
  <c r="Y18" i="2"/>
  <c r="FY18" i="2" s="1"/>
  <c r="V18" i="2"/>
  <c r="U18" i="2" s="1"/>
  <c r="S18" i="2"/>
  <c r="CN17" i="2"/>
  <c r="AZ17" i="2"/>
  <c r="FK16" i="2"/>
  <c r="FI16" i="2"/>
  <c r="DX16" i="2"/>
  <c r="FQ16" i="2" s="1"/>
  <c r="CZ16" i="2"/>
  <c r="DB16" i="2" s="1"/>
  <c r="CW16" i="2"/>
  <c r="EN16" i="2" s="1"/>
  <c r="CL16" i="2"/>
  <c r="CJ16" i="2"/>
  <c r="HA16" i="2" s="1"/>
  <c r="CH16" i="2"/>
  <c r="GZ16" i="2" s="1"/>
  <c r="CF16" i="2"/>
  <c r="CD16" i="2"/>
  <c r="BP16" i="2"/>
  <c r="AZ16" i="2"/>
  <c r="V16" i="2"/>
  <c r="GK15" i="2"/>
  <c r="GJ15" i="2"/>
  <c r="GI15" i="2"/>
  <c r="GH15" i="2"/>
  <c r="GG15" i="2"/>
  <c r="GE15" i="2"/>
  <c r="GA15" i="2"/>
  <c r="FR15" i="2"/>
  <c r="FN15" i="2"/>
  <c r="FL15" i="2"/>
  <c r="FK15" i="2"/>
  <c r="FJ15" i="2" s="1"/>
  <c r="FI15" i="2"/>
  <c r="FH15" i="2"/>
  <c r="FD15" i="2"/>
  <c r="FB15" i="2"/>
  <c r="EI15" i="2"/>
  <c r="EG15" i="2"/>
  <c r="EE15" i="2"/>
  <c r="EC15" i="2"/>
  <c r="EA15" i="2"/>
  <c r="DY15" i="2"/>
  <c r="DX15" i="2"/>
  <c r="DW15" i="2" s="1"/>
  <c r="DU15" i="2"/>
  <c r="DS15" i="2"/>
  <c r="DQ15" i="2"/>
  <c r="DO15" i="2"/>
  <c r="DM15" i="2"/>
  <c r="DK15" i="2"/>
  <c r="DI15" i="2"/>
  <c r="DE15" i="2"/>
  <c r="DC15" i="2"/>
  <c r="CZ15" i="2"/>
  <c r="DB15" i="2" s="1"/>
  <c r="DA15" i="2" s="1"/>
  <c r="CY15" i="2"/>
  <c r="CW15" i="2"/>
  <c r="CL15" i="2"/>
  <c r="CK15" i="2" s="1"/>
  <c r="CJ15" i="2"/>
  <c r="HA15" i="2" s="1"/>
  <c r="CI15" i="2"/>
  <c r="CH15" i="2"/>
  <c r="CG15" i="2" s="1"/>
  <c r="CF15" i="2"/>
  <c r="CE15" i="2"/>
  <c r="CD15" i="2"/>
  <c r="CC15" i="2" s="1"/>
  <c r="BY15" i="2"/>
  <c r="BW15" i="2"/>
  <c r="BP15" i="2"/>
  <c r="BO15" i="2" s="1"/>
  <c r="BK15" i="2"/>
  <c r="BI15" i="2"/>
  <c r="BG15" i="2"/>
  <c r="BE15" i="2"/>
  <c r="BC15" i="2"/>
  <c r="BA15" i="2"/>
  <c r="AZ15" i="2"/>
  <c r="AY15" i="2"/>
  <c r="AW15" i="2"/>
  <c r="GF15" i="2" s="1"/>
  <c r="AU15" i="2"/>
  <c r="AS15" i="2"/>
  <c r="GD15" i="2" s="1"/>
  <c r="AQ15" i="2"/>
  <c r="GC15" i="2" s="1"/>
  <c r="AO15" i="2"/>
  <c r="AM15" i="2"/>
  <c r="AK15" i="2"/>
  <c r="AH15" i="2"/>
  <c r="AA15" i="2"/>
  <c r="Y15" i="2"/>
  <c r="V15" i="2"/>
  <c r="U15" i="2"/>
  <c r="S15" i="2"/>
  <c r="N15" i="2"/>
  <c r="CN14" i="2"/>
  <c r="AZ14" i="2"/>
  <c r="FK13" i="2"/>
  <c r="FI13" i="2"/>
  <c r="FG13" i="2"/>
  <c r="DX13" i="2"/>
  <c r="FQ13" i="2" s="1"/>
  <c r="CL13" i="2"/>
  <c r="CJ13" i="2"/>
  <c r="HA13" i="2" s="1"/>
  <c r="CH13" i="2"/>
  <c r="GZ13" i="2" s="1"/>
  <c r="CF13" i="2"/>
  <c r="BP13" i="2"/>
  <c r="BR13" i="2" s="1"/>
  <c r="AZ13" i="2"/>
  <c r="V13" i="2"/>
  <c r="HA12" i="2"/>
  <c r="GZ12" i="2"/>
  <c r="GE12" i="2"/>
  <c r="GA12" i="2"/>
  <c r="FR12" i="2"/>
  <c r="FN12" i="2"/>
  <c r="FL12" i="2"/>
  <c r="FK12" i="2"/>
  <c r="FJ12" i="2"/>
  <c r="FI12" i="2"/>
  <c r="FH12" i="2" s="1"/>
  <c r="FD12" i="2"/>
  <c r="FB12" i="2"/>
  <c r="EI12" i="2"/>
  <c r="EH12" i="2"/>
  <c r="GK12" i="2" s="1"/>
  <c r="EF12" i="2"/>
  <c r="EE12" i="2"/>
  <c r="ED12" i="2"/>
  <c r="ED137" i="2" s="1"/>
  <c r="EB12" i="2"/>
  <c r="GH12" i="2" s="1"/>
  <c r="EA12" i="2"/>
  <c r="DZ12" i="2"/>
  <c r="DZ137" i="2" s="1"/>
  <c r="DU12" i="2"/>
  <c r="DS12" i="2"/>
  <c r="DQ12" i="2"/>
  <c r="DO12" i="2"/>
  <c r="DM12" i="2"/>
  <c r="DK12" i="2"/>
  <c r="DI12" i="2"/>
  <c r="DE12" i="2"/>
  <c r="DC12" i="2"/>
  <c r="CZ12" i="2"/>
  <c r="CW12" i="2"/>
  <c r="EN12" i="2" s="1"/>
  <c r="CK12" i="2"/>
  <c r="CI12" i="2"/>
  <c r="CG12" i="2"/>
  <c r="CF12" i="2"/>
  <c r="CN12" i="2" s="1"/>
  <c r="CE12" i="2"/>
  <c r="BY12" i="2"/>
  <c r="BW12" i="2"/>
  <c r="BP12" i="2"/>
  <c r="BO12" i="2"/>
  <c r="BK12" i="2"/>
  <c r="BI12" i="2"/>
  <c r="BG12" i="2"/>
  <c r="BE12" i="2"/>
  <c r="BC12" i="2"/>
  <c r="BA12" i="2"/>
  <c r="AZ12" i="2"/>
  <c r="AY12" i="2" s="1"/>
  <c r="AW12" i="2"/>
  <c r="GF12" i="2" s="1"/>
  <c r="AU12" i="2"/>
  <c r="AS12" i="2"/>
  <c r="AR12" i="2" s="1"/>
  <c r="AQ12" i="2" s="1"/>
  <c r="GC12" i="2" s="1"/>
  <c r="AO12" i="2"/>
  <c r="AM12" i="2"/>
  <c r="AK12" i="2"/>
  <c r="AJ12" i="2"/>
  <c r="AH12" i="2"/>
  <c r="AF12" i="2"/>
  <c r="AE12" i="2" s="1"/>
  <c r="FZ12" i="2" s="1"/>
  <c r="V12" i="2"/>
  <c r="U12" i="2"/>
  <c r="S12" i="2"/>
  <c r="CN11" i="2"/>
  <c r="AZ11" i="2"/>
  <c r="GU10" i="2"/>
  <c r="FK10" i="2"/>
  <c r="DX10" i="2"/>
  <c r="FQ10" i="2" s="1"/>
  <c r="CZ10" i="2"/>
  <c r="DF10" i="2" s="1"/>
  <c r="CW10" i="2"/>
  <c r="EN10" i="2" s="1"/>
  <c r="CL10" i="2"/>
  <c r="CJ10" i="2"/>
  <c r="HA10" i="2" s="1"/>
  <c r="CH10" i="2"/>
  <c r="GZ10" i="2" s="1"/>
  <c r="CF10" i="2"/>
  <c r="CD10" i="2"/>
  <c r="GV10" i="2" s="1"/>
  <c r="BP10" i="2"/>
  <c r="BT10" i="2" s="1"/>
  <c r="AZ10" i="2"/>
  <c r="V10" i="2"/>
  <c r="GU9" i="2"/>
  <c r="GK9" i="2"/>
  <c r="GJ9" i="2"/>
  <c r="GI9" i="2"/>
  <c r="GH9" i="2"/>
  <c r="GG9" i="2"/>
  <c r="GE9" i="2"/>
  <c r="GA9" i="2"/>
  <c r="FR9" i="2"/>
  <c r="FN9" i="2"/>
  <c r="FL9" i="2"/>
  <c r="FK9" i="2"/>
  <c r="FI9" i="2"/>
  <c r="FH9" i="2"/>
  <c r="FD9" i="2"/>
  <c r="FB9" i="2"/>
  <c r="EY9" i="2"/>
  <c r="EI9" i="2"/>
  <c r="EG9" i="2"/>
  <c r="EE9" i="2"/>
  <c r="EC9" i="2"/>
  <c r="EA9" i="2"/>
  <c r="DY9" i="2"/>
  <c r="DX9" i="2"/>
  <c r="FQ9" i="2" s="1"/>
  <c r="FP9" i="2" s="1"/>
  <c r="DW9" i="2"/>
  <c r="DU9" i="2"/>
  <c r="DS9" i="2"/>
  <c r="DQ9" i="2"/>
  <c r="DO9" i="2"/>
  <c r="DM9" i="2"/>
  <c r="DK9" i="2"/>
  <c r="DI9" i="2"/>
  <c r="CZ9" i="2"/>
  <c r="DD9" i="2" s="1"/>
  <c r="CY9" i="2"/>
  <c r="CW9" i="2"/>
  <c r="CL9" i="2"/>
  <c r="CK9" i="2" s="1"/>
  <c r="CJ9" i="2"/>
  <c r="HA9" i="2" s="1"/>
  <c r="CI9" i="2"/>
  <c r="CH9" i="2"/>
  <c r="GZ9" i="2" s="1"/>
  <c r="CF9" i="2"/>
  <c r="CE9" i="2"/>
  <c r="CD9" i="2"/>
  <c r="CC9" i="2" s="1"/>
  <c r="BY9" i="2"/>
  <c r="BW9" i="2"/>
  <c r="BP9" i="2"/>
  <c r="BK9" i="2"/>
  <c r="BI9" i="2"/>
  <c r="BG9" i="2"/>
  <c r="BE9" i="2"/>
  <c r="BC9" i="2"/>
  <c r="BA9" i="2"/>
  <c r="AZ9" i="2"/>
  <c r="AY9" i="2"/>
  <c r="AW9" i="2"/>
  <c r="GF9" i="2" s="1"/>
  <c r="AU9" i="2"/>
  <c r="AS9" i="2"/>
  <c r="GD9" i="2" s="1"/>
  <c r="AR9" i="2"/>
  <c r="AQ9" i="2"/>
  <c r="GC9" i="2" s="1"/>
  <c r="AO9" i="2"/>
  <c r="AM9" i="2"/>
  <c r="AK9" i="2"/>
  <c r="AH9" i="2"/>
  <c r="AA9" i="2"/>
  <c r="Y9" i="2"/>
  <c r="V9" i="2"/>
  <c r="AI9" i="2" s="1"/>
  <c r="U9" i="2"/>
  <c r="S9" i="2"/>
  <c r="N9" i="2"/>
  <c r="CN8" i="2"/>
  <c r="AZ8" i="2"/>
  <c r="GU7" i="2"/>
  <c r="FK7" i="2"/>
  <c r="FI7" i="2"/>
  <c r="DX7" i="2"/>
  <c r="FQ7" i="2" s="1"/>
  <c r="CL7" i="2"/>
  <c r="CJ7" i="2"/>
  <c r="HA7" i="2" s="1"/>
  <c r="CH7" i="2"/>
  <c r="GZ7" i="2" s="1"/>
  <c r="CF7" i="2"/>
  <c r="CD7" i="2"/>
  <c r="BP7" i="2"/>
  <c r="AZ7" i="2"/>
  <c r="V7" i="2"/>
  <c r="GU6" i="2"/>
  <c r="GK6" i="2"/>
  <c r="GJ6" i="2"/>
  <c r="GI6" i="2"/>
  <c r="GH6" i="2"/>
  <c r="GG6" i="2"/>
  <c r="GE6" i="2"/>
  <c r="GA6" i="2"/>
  <c r="FR6" i="2"/>
  <c r="FN6" i="2"/>
  <c r="FL6" i="2"/>
  <c r="FK6" i="2"/>
  <c r="FJ6" i="2"/>
  <c r="FI6" i="2"/>
  <c r="FD6" i="2"/>
  <c r="FB6" i="2"/>
  <c r="EZ6" i="2"/>
  <c r="EY6" i="2"/>
  <c r="EI6" i="2"/>
  <c r="EG6" i="2"/>
  <c r="EE6" i="2"/>
  <c r="EC6" i="2"/>
  <c r="EA6" i="2"/>
  <c r="DY6" i="2"/>
  <c r="DX6" i="2"/>
  <c r="DU6" i="2"/>
  <c r="DS6" i="2"/>
  <c r="DQ6" i="2"/>
  <c r="DO6" i="2"/>
  <c r="DM6" i="2"/>
  <c r="DK6" i="2"/>
  <c r="DI6" i="2"/>
  <c r="DE6" i="2"/>
  <c r="DC6" i="2"/>
  <c r="CZ6" i="2"/>
  <c r="CL6" i="2"/>
  <c r="CJ6" i="2"/>
  <c r="CI6" i="2" s="1"/>
  <c r="CH6" i="2"/>
  <c r="GZ6" i="2" s="1"/>
  <c r="CG6" i="2"/>
  <c r="CF6" i="2"/>
  <c r="CE6" i="2" s="1"/>
  <c r="CD6" i="2"/>
  <c r="BY6" i="2"/>
  <c r="BW6" i="2"/>
  <c r="BP6" i="2"/>
  <c r="BO6" i="2"/>
  <c r="BK6" i="2"/>
  <c r="BI6" i="2"/>
  <c r="BG6" i="2"/>
  <c r="BE6" i="2"/>
  <c r="BC6" i="2"/>
  <c r="BA6" i="2"/>
  <c r="AZ6" i="2"/>
  <c r="AY6" i="2" s="1"/>
  <c r="AW6" i="2"/>
  <c r="GF6" i="2" s="1"/>
  <c r="AU6" i="2"/>
  <c r="AS6" i="2"/>
  <c r="AR6" i="2" s="1"/>
  <c r="AQ6" i="2" s="1"/>
  <c r="GC6" i="2" s="1"/>
  <c r="AO6" i="2"/>
  <c r="AM6" i="2"/>
  <c r="AK6" i="2"/>
  <c r="AJ6" i="2"/>
  <c r="AH6" i="2"/>
  <c r="AE6" i="2"/>
  <c r="FZ6" i="2" s="1"/>
  <c r="AA6" i="2"/>
  <c r="Y6" i="2"/>
  <c r="FY6" i="2" s="1"/>
  <c r="V6" i="2"/>
  <c r="U6" i="2"/>
  <c r="S6" i="2"/>
  <c r="CN5" i="2"/>
  <c r="AZ5" i="2"/>
  <c r="GJ4" i="2"/>
  <c r="GI4" i="2"/>
  <c r="GG4" i="2"/>
  <c r="GE4" i="2"/>
  <c r="GE137" i="2" s="1"/>
  <c r="GA4" i="2"/>
  <c r="GA137" i="2" s="1"/>
  <c r="FR4" i="2"/>
  <c r="FN4" i="2"/>
  <c r="FL4" i="2"/>
  <c r="FK4" i="2"/>
  <c r="FK137" i="2" s="1"/>
  <c r="FI4" i="2"/>
  <c r="FH4" i="2"/>
  <c r="FD4" i="2"/>
  <c r="FB4" i="2"/>
  <c r="FB137" i="2" s="1"/>
  <c r="EZ4" i="2"/>
  <c r="EY4" i="2" s="1"/>
  <c r="EQ4" i="2"/>
  <c r="EN4" i="2"/>
  <c r="EM4" i="2"/>
  <c r="EI4" i="2"/>
  <c r="EI137" i="2" s="1"/>
  <c r="EH4" i="2"/>
  <c r="GK4" i="2" s="1"/>
  <c r="EE4" i="2"/>
  <c r="EC4" i="2"/>
  <c r="EB4" i="2"/>
  <c r="EB137" i="2" s="1"/>
  <c r="DY4" i="2"/>
  <c r="DU4" i="2"/>
  <c r="DS4" i="2"/>
  <c r="DQ4" i="2"/>
  <c r="DQ137" i="2" s="1"/>
  <c r="DO4" i="2"/>
  <c r="DO137" i="2" s="1"/>
  <c r="DM4" i="2"/>
  <c r="DK4" i="2"/>
  <c r="DI4" i="2"/>
  <c r="DI137" i="2" s="1"/>
  <c r="DE4" i="2"/>
  <c r="DC4" i="2"/>
  <c r="DA4" i="2"/>
  <c r="CX4" i="2"/>
  <c r="CL4" i="2"/>
  <c r="CK4" i="2"/>
  <c r="CJ4" i="2"/>
  <c r="CJ137" i="2" s="1"/>
  <c r="CH4" i="2"/>
  <c r="GZ4" i="2" s="1"/>
  <c r="CG4" i="2"/>
  <c r="CF4" i="2"/>
  <c r="CF137" i="2" s="1"/>
  <c r="CD4" i="2"/>
  <c r="CC4" i="2"/>
  <c r="BY4" i="2"/>
  <c r="BW4" i="2"/>
  <c r="BP4" i="2"/>
  <c r="BO4" i="2"/>
  <c r="BK4" i="2"/>
  <c r="BI4" i="2"/>
  <c r="BG4" i="2"/>
  <c r="BG137" i="2" s="1"/>
  <c r="BE4" i="2"/>
  <c r="BE137" i="2" s="1"/>
  <c r="BC4" i="2"/>
  <c r="BA4" i="2"/>
  <c r="BA137" i="2" s="1"/>
  <c r="AZ4" i="2"/>
  <c r="AY4" i="2" s="1"/>
  <c r="AW4" i="2"/>
  <c r="AU4" i="2"/>
  <c r="AU137" i="2" s="1"/>
  <c r="AS4" i="2"/>
  <c r="AO4" i="2"/>
  <c r="AO137" i="2" s="1"/>
  <c r="AM4" i="2"/>
  <c r="AK4" i="2"/>
  <c r="AJ4" i="2"/>
  <c r="AH4" i="2"/>
  <c r="AE4" i="2"/>
  <c r="AA4" i="2"/>
  <c r="Y4" i="2"/>
  <c r="V4" i="2"/>
  <c r="U4" i="2"/>
  <c r="S4" i="2"/>
  <c r="CB4" i="2" l="1"/>
  <c r="BN4" i="2"/>
  <c r="BM4" i="2" s="1"/>
  <c r="BT4" i="2"/>
  <c r="BR4" i="2"/>
  <c r="FT4" i="2"/>
  <c r="GB4" i="2"/>
  <c r="GN4" i="2"/>
  <c r="EP4" i="2"/>
  <c r="EV4" i="2"/>
  <c r="CB6" i="2"/>
  <c r="BN6" i="2"/>
  <c r="BT6" i="2"/>
  <c r="BR6" i="2"/>
  <c r="FX6" i="2"/>
  <c r="GB6" i="2"/>
  <c r="DW6" i="2"/>
  <c r="GL6" i="2" s="1"/>
  <c r="FQ6" i="2"/>
  <c r="GV6" i="2"/>
  <c r="GY6" i="2"/>
  <c r="BN7" i="2"/>
  <c r="CZ7" i="2"/>
  <c r="CB7" i="2"/>
  <c r="AD7" i="2"/>
  <c r="X7" i="2"/>
  <c r="BT7" i="2"/>
  <c r="BR7" i="2"/>
  <c r="CC6" i="2"/>
  <c r="CK6" i="2"/>
  <c r="HB7" i="2"/>
  <c r="GV7" i="2"/>
  <c r="GY7" i="2"/>
  <c r="BR9" i="2"/>
  <c r="BT9" i="2"/>
  <c r="BS9" i="2" s="1"/>
  <c r="EL9" i="2"/>
  <c r="EN9" i="2"/>
  <c r="EV9" i="2" s="1"/>
  <c r="CX9" i="2"/>
  <c r="FT9" i="2" s="1"/>
  <c r="FU9" i="2"/>
  <c r="GB9" i="2"/>
  <c r="GL9" i="2"/>
  <c r="GV9" i="2"/>
  <c r="GY9" i="2"/>
  <c r="AD10" i="2"/>
  <c r="BN10" i="2"/>
  <c r="HB10" i="2"/>
  <c r="GY10" i="2"/>
  <c r="BN12" i="2"/>
  <c r="AB12" i="2"/>
  <c r="Z12" i="2"/>
  <c r="X12" i="2"/>
  <c r="BV12" i="2" s="1"/>
  <c r="BT12" i="2"/>
  <c r="BR12" i="2"/>
  <c r="DB12" i="2"/>
  <c r="GB12" i="2"/>
  <c r="EF137" i="2"/>
  <c r="GJ12" i="2"/>
  <c r="GY12" i="2"/>
  <c r="CZ13" i="2"/>
  <c r="CB13" i="2"/>
  <c r="GX13" i="2" s="1"/>
  <c r="BN13" i="2"/>
  <c r="AB13" i="2"/>
  <c r="X13" i="2"/>
  <c r="HB13" i="2"/>
  <c r="GY13" i="2"/>
  <c r="BN15" i="2"/>
  <c r="X15" i="2"/>
  <c r="EN15" i="2"/>
  <c r="EL15" i="2"/>
  <c r="CX15" i="2"/>
  <c r="FT15" i="2" s="1"/>
  <c r="FU15" i="2"/>
  <c r="FX15" i="2"/>
  <c r="GB15" i="2"/>
  <c r="GL15" i="2"/>
  <c r="GV15" i="2"/>
  <c r="AD16" i="2"/>
  <c r="BN16" i="2"/>
  <c r="BT16" i="2"/>
  <c r="BR16" i="2"/>
  <c r="HB16" i="2"/>
  <c r="GV16" i="2"/>
  <c r="GY16" i="2"/>
  <c r="EN18" i="2"/>
  <c r="EL18" i="2"/>
  <c r="FU18" i="2"/>
  <c r="FX18" i="2"/>
  <c r="GY18" i="2"/>
  <c r="BN19" i="2"/>
  <c r="CB19" i="2"/>
  <c r="CN19" i="2" s="1"/>
  <c r="AD19" i="2"/>
  <c r="BV19" i="2" s="1"/>
  <c r="X19" i="2"/>
  <c r="BT19" i="2"/>
  <c r="BR19" i="2"/>
  <c r="DH19" i="2"/>
  <c r="DB19" i="2"/>
  <c r="DA18" i="2" s="1"/>
  <c r="HB19" i="2"/>
  <c r="GV19" i="2"/>
  <c r="GY19" i="2"/>
  <c r="AD20" i="2"/>
  <c r="BN20" i="2"/>
  <c r="BT20" i="2"/>
  <c r="BR20" i="2"/>
  <c r="DH20" i="2"/>
  <c r="GV20" i="2"/>
  <c r="GY20" i="2"/>
  <c r="BT22" i="2"/>
  <c r="BS22" i="2" s="1"/>
  <c r="BR22" i="2"/>
  <c r="BQ22" i="2" s="1"/>
  <c r="FY22" i="2"/>
  <c r="DW22" i="2"/>
  <c r="GL22" i="2" s="1"/>
  <c r="FQ22" i="2"/>
  <c r="HB22" i="2" s="1"/>
  <c r="GV22" i="2"/>
  <c r="BT24" i="2"/>
  <c r="BR24" i="2"/>
  <c r="FX24" i="2"/>
  <c r="GB24" i="2"/>
  <c r="GY24" i="2"/>
  <c r="CB26" i="2"/>
  <c r="CN26" i="2" s="1"/>
  <c r="BN26" i="2"/>
  <c r="AD26" i="2"/>
  <c r="X26" i="2"/>
  <c r="BT26" i="2"/>
  <c r="BR26" i="2"/>
  <c r="DH26" i="2"/>
  <c r="DB26" i="2"/>
  <c r="HB26" i="2"/>
  <c r="GV26" i="2"/>
  <c r="GY26" i="2"/>
  <c r="CB27" i="2"/>
  <c r="CN27" i="2" s="1"/>
  <c r="BN27" i="2"/>
  <c r="X27" i="2"/>
  <c r="AD27" i="2"/>
  <c r="BT27" i="2"/>
  <c r="BR27" i="2"/>
  <c r="DH27" i="2"/>
  <c r="FQ27" i="2"/>
  <c r="HB27" i="2" s="1"/>
  <c r="GV27" i="2"/>
  <c r="GY27" i="2"/>
  <c r="U29" i="2"/>
  <c r="CB29" i="2"/>
  <c r="CA29" i="2" s="1"/>
  <c r="BN29" i="2"/>
  <c r="BM29" i="2" s="1"/>
  <c r="BO29" i="2"/>
  <c r="BT29" i="2"/>
  <c r="BS29" i="2" s="1"/>
  <c r="BR29" i="2"/>
  <c r="BQ29" i="2" s="1"/>
  <c r="CN29" i="2"/>
  <c r="CM29" i="2" s="1"/>
  <c r="FY29" i="2"/>
  <c r="DW29" i="2"/>
  <c r="FQ29" i="2"/>
  <c r="HB29" i="2" s="1"/>
  <c r="CB31" i="2"/>
  <c r="CA31" i="2" s="1"/>
  <c r="AB31" i="2"/>
  <c r="X31" i="2"/>
  <c r="W31" i="2" s="1"/>
  <c r="BN31" i="2"/>
  <c r="BM31" i="2" s="1"/>
  <c r="BO33" i="2"/>
  <c r="BR33" i="2"/>
  <c r="BQ33" i="2" s="1"/>
  <c r="CN33" i="2"/>
  <c r="CM33" i="2" s="1"/>
  <c r="FU33" i="2"/>
  <c r="FY33" i="2"/>
  <c r="FX33" i="2"/>
  <c r="DW33" i="2"/>
  <c r="GL33" i="2" s="1"/>
  <c r="FQ33" i="2"/>
  <c r="FP33" i="2" s="1"/>
  <c r="GX33" i="2"/>
  <c r="GV33" i="2"/>
  <c r="FJ33" i="2"/>
  <c r="GY33" i="2"/>
  <c r="BR35" i="2"/>
  <c r="BT35" i="2"/>
  <c r="BS35" i="2" s="1"/>
  <c r="FU35" i="2"/>
  <c r="DB35" i="2"/>
  <c r="DA35" i="2" s="1"/>
  <c r="DN35" i="2"/>
  <c r="DM35" i="2" s="1"/>
  <c r="GB35" i="2" s="1"/>
  <c r="FY35" i="2"/>
  <c r="FX35" i="2"/>
  <c r="GR35" i="2"/>
  <c r="GQ35" i="2" s="1"/>
  <c r="GY35" i="2"/>
  <c r="U37" i="2"/>
  <c r="CB37" i="2"/>
  <c r="CA37" i="2" s="1"/>
  <c r="AD37" i="2"/>
  <c r="AC37" i="2" s="1"/>
  <c r="X37" i="2"/>
  <c r="W37" i="2" s="1"/>
  <c r="FY37" i="2"/>
  <c r="FX37" i="2"/>
  <c r="DW37" i="2"/>
  <c r="GL37" i="2" s="1"/>
  <c r="FQ37" i="2"/>
  <c r="FP37" i="2" s="1"/>
  <c r="GV37" i="2"/>
  <c r="GY37" i="2"/>
  <c r="AD39" i="2"/>
  <c r="BN39" i="2"/>
  <c r="BM39" i="2" s="1"/>
  <c r="BT39" i="2"/>
  <c r="BR39" i="2"/>
  <c r="FY39" i="2"/>
  <c r="FX39" i="2"/>
  <c r="FH39" i="2"/>
  <c r="GV39" i="2"/>
  <c r="FJ39" i="2"/>
  <c r="GY39" i="2"/>
  <c r="BO41" i="2"/>
  <c r="BT41" i="2"/>
  <c r="BS41" i="2" s="1"/>
  <c r="BR41" i="2"/>
  <c r="BQ41" i="2" s="1"/>
  <c r="FY41" i="2"/>
  <c r="FX41" i="2"/>
  <c r="GL41" i="2"/>
  <c r="HB41" i="2"/>
  <c r="GY41" i="2"/>
  <c r="U43" i="2"/>
  <c r="BN43" i="2"/>
  <c r="BM43" i="2" s="1"/>
  <c r="X43" i="2"/>
  <c r="FY43" i="2"/>
  <c r="EA43" i="2"/>
  <c r="GH43" i="2"/>
  <c r="DX43" i="2"/>
  <c r="U45" i="2"/>
  <c r="AD45" i="2"/>
  <c r="AC45" i="2" s="1"/>
  <c r="GV45" i="2"/>
  <c r="CN45" i="2"/>
  <c r="CM45" i="2" s="1"/>
  <c r="FY45" i="2"/>
  <c r="GL45" i="2"/>
  <c r="HB45" i="2"/>
  <c r="FP45" i="2"/>
  <c r="GY45" i="2"/>
  <c r="FY47" i="2"/>
  <c r="GB49" i="2"/>
  <c r="GV49" i="2"/>
  <c r="GY49" i="2"/>
  <c r="HB50" i="2"/>
  <c r="GV50" i="2"/>
  <c r="GY50" i="2"/>
  <c r="BR51" i="2"/>
  <c r="BT51" i="2"/>
  <c r="HB51" i="2"/>
  <c r="GV51" i="2"/>
  <c r="GY51" i="2"/>
  <c r="GB53" i="2"/>
  <c r="EA53" i="2"/>
  <c r="GH53" i="2"/>
  <c r="DX53" i="2"/>
  <c r="FJ53" i="2"/>
  <c r="GY53" i="2"/>
  <c r="CB54" i="2"/>
  <c r="CA53" i="2" s="1"/>
  <c r="BN54" i="2"/>
  <c r="BM53" i="2" s="1"/>
  <c r="X54" i="2"/>
  <c r="AY53" i="2"/>
  <c r="CN54" i="2"/>
  <c r="CM53" i="2" s="1"/>
  <c r="DB54" i="2"/>
  <c r="DH54" i="2"/>
  <c r="FG54" i="2" s="1"/>
  <c r="HB54" i="2"/>
  <c r="GV54" i="2"/>
  <c r="GY54" i="2"/>
  <c r="AD56" i="2"/>
  <c r="BN56" i="2"/>
  <c r="CX56" i="2"/>
  <c r="FT56" i="2" s="1"/>
  <c r="EN56" i="2"/>
  <c r="ER56" i="2" s="1"/>
  <c r="FX56" i="2"/>
  <c r="GV56" i="2"/>
  <c r="AD57" i="2"/>
  <c r="CB57" i="2"/>
  <c r="CN57" i="2" s="1"/>
  <c r="X57" i="2"/>
  <c r="BR57" i="2"/>
  <c r="BT57" i="2"/>
  <c r="GX57" i="2"/>
  <c r="FM57" i="2"/>
  <c r="GZ57" i="2" s="1"/>
  <c r="FQ57" i="2"/>
  <c r="HB57" i="2" s="1"/>
  <c r="GV57" i="2"/>
  <c r="GY57" i="2"/>
  <c r="CB58" i="2"/>
  <c r="BN58" i="2"/>
  <c r="X58" i="2"/>
  <c r="BT58" i="2"/>
  <c r="BR58" i="2"/>
  <c r="CG56" i="2"/>
  <c r="EL58" i="2"/>
  <c r="EN58" i="2"/>
  <c r="EV58" i="2" s="1"/>
  <c r="GR58" i="2" s="1"/>
  <c r="DA56" i="2"/>
  <c r="CY56" i="2" s="1"/>
  <c r="FU56" i="2" s="1"/>
  <c r="FQ58" i="2"/>
  <c r="HB58" i="2" s="1"/>
  <c r="FM58" i="2"/>
  <c r="GZ58" i="2" s="1"/>
  <c r="FH56" i="2"/>
  <c r="GY58" i="2"/>
  <c r="BN59" i="2"/>
  <c r="Z59" i="2"/>
  <c r="FM59" i="2"/>
  <c r="GZ59" i="2" s="1"/>
  <c r="FQ59" i="2"/>
  <c r="HB59" i="2" s="1"/>
  <c r="GV59" i="2"/>
  <c r="FJ56" i="2"/>
  <c r="X60" i="2"/>
  <c r="BN60" i="2"/>
  <c r="AG60" i="2"/>
  <c r="EL60" i="2"/>
  <c r="EN60" i="2"/>
  <c r="EC56" i="2"/>
  <c r="GV60" i="2"/>
  <c r="GY60" i="2"/>
  <c r="U62" i="2"/>
  <c r="CB62" i="2"/>
  <c r="BN62" i="2"/>
  <c r="X62" i="2"/>
  <c r="AD62" i="2"/>
  <c r="CN62" i="2"/>
  <c r="CI62" i="2"/>
  <c r="HA62" i="2"/>
  <c r="CY62" i="2"/>
  <c r="DH62" i="2"/>
  <c r="FY62" i="2"/>
  <c r="FX62" i="2"/>
  <c r="GB62" i="2"/>
  <c r="HB62" i="2"/>
  <c r="GV62" i="2"/>
  <c r="CB63" i="2"/>
  <c r="CN63" i="2" s="1"/>
  <c r="BN63" i="2"/>
  <c r="BT63" i="2"/>
  <c r="BR63" i="2"/>
  <c r="BQ62" i="2" s="1"/>
  <c r="EL63" i="2"/>
  <c r="EN63" i="2"/>
  <c r="DH63" i="2"/>
  <c r="DB63" i="2"/>
  <c r="HB63" i="2"/>
  <c r="GV63" i="2"/>
  <c r="GY63" i="2"/>
  <c r="CB65" i="2"/>
  <c r="BN65" i="2"/>
  <c r="X65" i="2"/>
  <c r="BO65" i="2"/>
  <c r="BT65" i="2"/>
  <c r="EN65" i="2"/>
  <c r="EL65" i="2"/>
  <c r="CX65" i="2"/>
  <c r="FT65" i="2" s="1"/>
  <c r="GB65" i="2"/>
  <c r="GV65" i="2"/>
  <c r="CB66" i="2"/>
  <c r="CN66" i="2" s="1"/>
  <c r="AD66" i="2"/>
  <c r="BT66" i="2"/>
  <c r="BR66" i="2"/>
  <c r="EN66" i="2"/>
  <c r="EV66" i="2" s="1"/>
  <c r="EL66" i="2"/>
  <c r="HB66" i="2"/>
  <c r="GV66" i="2"/>
  <c r="CB68" i="2"/>
  <c r="BN68" i="2"/>
  <c r="X68" i="2"/>
  <c r="BR68" i="2"/>
  <c r="BT68" i="2"/>
  <c r="EN68" i="2"/>
  <c r="EL68" i="2"/>
  <c r="CX68" i="2"/>
  <c r="FT68" i="2" s="1"/>
  <c r="FU68" i="2"/>
  <c r="FY68" i="2"/>
  <c r="FX68" i="2"/>
  <c r="GB68" i="2"/>
  <c r="GV68" i="2"/>
  <c r="GY68" i="2"/>
  <c r="CB69" i="2"/>
  <c r="AD69" i="2"/>
  <c r="BT69" i="2"/>
  <c r="BR69" i="2"/>
  <c r="CN69" i="2"/>
  <c r="EN69" i="2"/>
  <c r="EP69" i="2" s="1"/>
  <c r="EL69" i="2"/>
  <c r="DA68" i="2"/>
  <c r="HB69" i="2"/>
  <c r="GV69" i="2"/>
  <c r="EV70" i="2"/>
  <c r="GR70" i="2" s="1"/>
  <c r="EP70" i="2"/>
  <c r="ER70" i="2" s="1"/>
  <c r="GV70" i="2"/>
  <c r="GY70" i="2"/>
  <c r="CB72" i="2"/>
  <c r="CN72" i="2" s="1"/>
  <c r="X72" i="2"/>
  <c r="AF72" i="2"/>
  <c r="AJ72" i="2"/>
  <c r="EL72" i="2"/>
  <c r="EN72" i="2"/>
  <c r="DF72" i="2"/>
  <c r="DE72" i="2" s="1"/>
  <c r="FX72" i="2" s="1"/>
  <c r="FY72" i="2"/>
  <c r="FJ72" i="2"/>
  <c r="GY72" i="2"/>
  <c r="U72" i="2"/>
  <c r="AY72" i="2"/>
  <c r="BT73" i="2"/>
  <c r="BR73" i="2"/>
  <c r="BQ72" i="2" s="1"/>
  <c r="CI72" i="2"/>
  <c r="CW73" i="2"/>
  <c r="DB73" i="2"/>
  <c r="DA72" i="2" s="1"/>
  <c r="HB73" i="2"/>
  <c r="CB75" i="2"/>
  <c r="X75" i="2"/>
  <c r="BT75" i="2"/>
  <c r="BR75" i="2"/>
  <c r="CY75" i="2"/>
  <c r="DB75" i="2"/>
  <c r="DA75" i="2" s="1"/>
  <c r="FY75" i="2"/>
  <c r="FX75" i="2"/>
  <c r="GB75" i="2"/>
  <c r="GV75" i="2"/>
  <c r="HB76" i="2"/>
  <c r="GV76" i="2"/>
  <c r="GY76" i="2"/>
  <c r="GV77" i="2"/>
  <c r="CN77" i="2"/>
  <c r="GP77" i="2"/>
  <c r="GR77" i="2"/>
  <c r="GR78" i="2"/>
  <c r="BN80" i="2"/>
  <c r="BM80" i="2" s="1"/>
  <c r="AD80" i="2"/>
  <c r="BT80" i="2"/>
  <c r="BS80" i="2" s="1"/>
  <c r="BR80" i="2"/>
  <c r="BQ80" i="2" s="1"/>
  <c r="EN80" i="2"/>
  <c r="EL80" i="2"/>
  <c r="EK80" i="2" s="1"/>
  <c r="FY80" i="2"/>
  <c r="DY80" i="2"/>
  <c r="GG80" i="2"/>
  <c r="GV80" i="2"/>
  <c r="X82" i="2"/>
  <c r="AD82" i="2"/>
  <c r="BO82" i="2"/>
  <c r="BT82" i="2"/>
  <c r="BS82" i="2" s="1"/>
  <c r="CN82" i="2"/>
  <c r="CM82" i="2" s="1"/>
  <c r="DB82" i="2"/>
  <c r="DH82" i="2"/>
  <c r="FY82" i="2"/>
  <c r="FX82" i="2"/>
  <c r="GV82" i="2"/>
  <c r="BN83" i="2"/>
  <c r="AD83" i="2"/>
  <c r="BV83" i="2" s="1"/>
  <c r="EG82" i="2"/>
  <c r="CB85" i="2"/>
  <c r="BN85" i="2"/>
  <c r="BM85" i="2" s="1"/>
  <c r="AD85" i="2"/>
  <c r="AC85" i="2" s="1"/>
  <c r="X85" i="2"/>
  <c r="W85" i="2" s="1"/>
  <c r="BT85" i="2"/>
  <c r="BS85" i="2" s="1"/>
  <c r="BR85" i="2"/>
  <c r="BQ85" i="2" s="1"/>
  <c r="EL85" i="2"/>
  <c r="EK85" i="2" s="1"/>
  <c r="EN85" i="2"/>
  <c r="CX85" i="2"/>
  <c r="FT85" i="2" s="1"/>
  <c r="FU85" i="2"/>
  <c r="FX85" i="2"/>
  <c r="GL85" i="2"/>
  <c r="GV85" i="2"/>
  <c r="FJ85" i="2"/>
  <c r="GY85" i="2"/>
  <c r="BT87" i="2"/>
  <c r="BR87" i="2"/>
  <c r="DB87" i="2"/>
  <c r="DH87" i="2"/>
  <c r="FG87" i="2" s="1"/>
  <c r="FP87" i="2"/>
  <c r="HB87" i="2"/>
  <c r="GV87" i="2"/>
  <c r="GY87" i="2"/>
  <c r="BT88" i="2"/>
  <c r="BR88" i="2"/>
  <c r="HB88" i="2"/>
  <c r="GV88" i="2"/>
  <c r="GY88" i="2"/>
  <c r="FT90" i="2"/>
  <c r="FX90" i="2"/>
  <c r="X92" i="2"/>
  <c r="CB92" i="2"/>
  <c r="BN92" i="2"/>
  <c r="BT92" i="2"/>
  <c r="BR92" i="2"/>
  <c r="FX92" i="2"/>
  <c r="GB92" i="2"/>
  <c r="FH92" i="2"/>
  <c r="GV92" i="2"/>
  <c r="CB93" i="2"/>
  <c r="CN93" i="2" s="1"/>
  <c r="BN93" i="2"/>
  <c r="AD93" i="2"/>
  <c r="AC92" i="2" s="1"/>
  <c r="X93" i="2"/>
  <c r="HB93" i="2"/>
  <c r="GY93" i="2"/>
  <c r="CB94" i="2"/>
  <c r="CN94" i="2" s="1"/>
  <c r="BN94" i="2"/>
  <c r="AD94" i="2"/>
  <c r="X94" i="2"/>
  <c r="CG92" i="2"/>
  <c r="HB94" i="2"/>
  <c r="GV94" i="2"/>
  <c r="GY94" i="2"/>
  <c r="CB95" i="2"/>
  <c r="CN95" i="2" s="1"/>
  <c r="BN95" i="2"/>
  <c r="AD95" i="2"/>
  <c r="X95" i="2"/>
  <c r="HB95" i="2"/>
  <c r="GV95" i="2"/>
  <c r="GY95" i="2"/>
  <c r="CB97" i="2"/>
  <c r="CN97" i="2" s="1"/>
  <c r="BN97" i="2"/>
  <c r="X97" i="2"/>
  <c r="AD97" i="2"/>
  <c r="BT97" i="2"/>
  <c r="BR97" i="2"/>
  <c r="FY97" i="2"/>
  <c r="FX97" i="2"/>
  <c r="GL97" i="2"/>
  <c r="FH97" i="2"/>
  <c r="GV97" i="2"/>
  <c r="GY97" i="2"/>
  <c r="BM97" i="2"/>
  <c r="EL98" i="2"/>
  <c r="EN98" i="2"/>
  <c r="HB98" i="2"/>
  <c r="GY98" i="2"/>
  <c r="X100" i="2"/>
  <c r="W100" i="2" s="1"/>
  <c r="CB100" i="2"/>
  <c r="BN100" i="2"/>
  <c r="BM100" i="2" s="1"/>
  <c r="BT100" i="2"/>
  <c r="BS100" i="2" s="1"/>
  <c r="BR100" i="2"/>
  <c r="BQ100" i="2" s="1"/>
  <c r="EL100" i="2"/>
  <c r="EK100" i="2" s="1"/>
  <c r="EN100" i="2"/>
  <c r="EP100" i="2" s="1"/>
  <c r="FY100" i="2"/>
  <c r="GV100" i="2"/>
  <c r="GY100" i="2"/>
  <c r="BN102" i="2"/>
  <c r="BM102" i="2" s="1"/>
  <c r="FV102" i="2"/>
  <c r="FY102" i="2"/>
  <c r="FU102" i="2"/>
  <c r="CB104" i="2"/>
  <c r="BN104" i="2"/>
  <c r="BT104" i="2"/>
  <c r="BS104" i="2" s="1"/>
  <c r="BR104" i="2"/>
  <c r="BQ104" i="2" s="1"/>
  <c r="FP104" i="2"/>
  <c r="HB104" i="2"/>
  <c r="GV104" i="2"/>
  <c r="GY104" i="2"/>
  <c r="AD105" i="2"/>
  <c r="BV105" i="2" s="1"/>
  <c r="GR105" i="2"/>
  <c r="V106" i="2"/>
  <c r="CL106" i="2"/>
  <c r="CK104" i="2" s="1"/>
  <c r="EL106" i="2"/>
  <c r="EN106" i="2"/>
  <c r="EV106" i="2" s="1"/>
  <c r="GR106" i="2" s="1"/>
  <c r="DH106" i="2"/>
  <c r="FG106" i="2" s="1"/>
  <c r="DB106" i="2"/>
  <c r="HB106" i="2"/>
  <c r="GY106" i="2"/>
  <c r="FT108" i="2"/>
  <c r="U108" i="2"/>
  <c r="AD108" i="2"/>
  <c r="X108" i="2"/>
  <c r="W108" i="2" s="1"/>
  <c r="FU108" i="2"/>
  <c r="FX108" i="2"/>
  <c r="HB108" i="2"/>
  <c r="FP108" i="2"/>
  <c r="GN108" i="2"/>
  <c r="ER108" i="2"/>
  <c r="EQ108" i="2" s="1"/>
  <c r="EP108" i="2"/>
  <c r="FH108" i="2"/>
  <c r="GV108" i="2"/>
  <c r="EL110" i="2"/>
  <c r="EK110" i="2" s="1"/>
  <c r="EN110" i="2"/>
  <c r="EM110" i="2" s="1"/>
  <c r="CX110" i="2"/>
  <c r="FT110" i="2" s="1"/>
  <c r="DH110" i="2"/>
  <c r="DB110" i="2"/>
  <c r="DA110" i="2" s="1"/>
  <c r="FY110" i="2"/>
  <c r="FT112" i="2"/>
  <c r="FU112" i="2"/>
  <c r="FY112" i="2"/>
  <c r="GL112" i="2"/>
  <c r="AI114" i="2"/>
  <c r="BN114" i="2"/>
  <c r="X114" i="2"/>
  <c r="FX114" i="2"/>
  <c r="GB114" i="2"/>
  <c r="GV114" i="2"/>
  <c r="BT115" i="2"/>
  <c r="BR115" i="2"/>
  <c r="BQ114" i="2" s="1"/>
  <c r="GV115" i="2"/>
  <c r="CB117" i="2"/>
  <c r="CA117" i="2" s="1"/>
  <c r="AD117" i="2"/>
  <c r="AC117" i="2" s="1"/>
  <c r="X117" i="2"/>
  <c r="W117" i="2" s="1"/>
  <c r="FU117" i="2"/>
  <c r="CW117" i="2"/>
  <c r="DB117" i="2"/>
  <c r="DA117" i="2" s="1"/>
  <c r="FX117" i="2"/>
  <c r="HB117" i="2"/>
  <c r="FP117" i="2"/>
  <c r="GY117" i="2"/>
  <c r="EN119" i="2"/>
  <c r="FA119" i="2" s="1"/>
  <c r="EL119" i="2"/>
  <c r="EK119" i="2" s="1"/>
  <c r="CX119" i="2"/>
  <c r="DH119" i="2"/>
  <c r="DG119" i="2" s="1"/>
  <c r="DB119" i="2"/>
  <c r="DA119" i="2" s="1"/>
  <c r="FY119" i="2"/>
  <c r="GV119" i="2"/>
  <c r="FT121" i="2"/>
  <c r="FY121" i="2"/>
  <c r="FX121" i="2"/>
  <c r="GN121" i="2"/>
  <c r="EV121" i="2"/>
  <c r="EP121" i="2"/>
  <c r="GV121" i="2"/>
  <c r="X123" i="2"/>
  <c r="W123" i="2" s="1"/>
  <c r="CB123" i="2"/>
  <c r="CA123" i="2" s="1"/>
  <c r="AD123" i="2"/>
  <c r="AC123" i="2" s="1"/>
  <c r="EL123" i="2"/>
  <c r="EK123" i="2" s="1"/>
  <c r="EN123" i="2"/>
  <c r="CY123" i="2"/>
  <c r="DB123" i="2"/>
  <c r="DA123" i="2" s="1"/>
  <c r="FY123" i="2"/>
  <c r="FX123" i="2"/>
  <c r="GV123" i="2"/>
  <c r="FU125" i="2"/>
  <c r="FY125" i="2"/>
  <c r="FX125" i="2"/>
  <c r="GB125" i="2"/>
  <c r="GR125" i="2"/>
  <c r="FH125" i="2"/>
  <c r="GV125" i="2"/>
  <c r="GY125" i="2"/>
  <c r="W125" i="2"/>
  <c r="GR126" i="2"/>
  <c r="GU126" i="2"/>
  <c r="GV126" i="2"/>
  <c r="FJ125" i="2"/>
  <c r="DH127" i="2"/>
  <c r="FG127" i="2" s="1"/>
  <c r="GX127" i="2" s="1"/>
  <c r="DB127" i="2"/>
  <c r="HB127" i="2"/>
  <c r="EQ125" i="2"/>
  <c r="GR127" i="2"/>
  <c r="EZ125" i="2"/>
  <c r="EY125" i="2" s="1"/>
  <c r="GY127" i="2"/>
  <c r="GM129" i="2"/>
  <c r="FU131" i="2"/>
  <c r="X133" i="2"/>
  <c r="BN133" i="2"/>
  <c r="EN133" i="2"/>
  <c r="EL133" i="2"/>
  <c r="FX133" i="2"/>
  <c r="BN134" i="2"/>
  <c r="X134" i="2"/>
  <c r="BS133" i="2"/>
  <c r="DH134" i="2"/>
  <c r="DY133" i="2"/>
  <c r="BN135" i="2"/>
  <c r="X135" i="2"/>
  <c r="CY133" i="2"/>
  <c r="DX135" i="2"/>
  <c r="EG133" i="2"/>
  <c r="Y5" i="3"/>
  <c r="BK5" i="3" s="1"/>
  <c r="FU5" i="3"/>
  <c r="BE6" i="3"/>
  <c r="Y6" i="3"/>
  <c r="AV5" i="3"/>
  <c r="BT5" i="3"/>
  <c r="CX6" i="3"/>
  <c r="FA6" i="3"/>
  <c r="FU6" i="3"/>
  <c r="FX6" i="3"/>
  <c r="CC7" i="3"/>
  <c r="DF7" i="3" s="1"/>
  <c r="CH7" i="3"/>
  <c r="EA9" i="3"/>
  <c r="CX9" i="3"/>
  <c r="FC9" i="3"/>
  <c r="FB9" i="3" s="1"/>
  <c r="FU9" i="3"/>
  <c r="FX9" i="3"/>
  <c r="EB10" i="3"/>
  <c r="AL10" i="3"/>
  <c r="EL9" i="3"/>
  <c r="CC10" i="3"/>
  <c r="CN10" i="3"/>
  <c r="DQ10" i="3" s="1"/>
  <c r="CH10" i="3"/>
  <c r="EX9" i="3"/>
  <c r="BE12" i="3"/>
  <c r="Y12" i="3"/>
  <c r="FU12" i="3"/>
  <c r="FX12" i="3"/>
  <c r="BF12" i="3"/>
  <c r="FD12" i="3"/>
  <c r="FU13" i="3"/>
  <c r="FX13" i="3"/>
  <c r="EN12" i="3"/>
  <c r="EP12" i="3"/>
  <c r="EX12" i="3"/>
  <c r="FU14" i="3"/>
  <c r="FX14" i="3"/>
  <c r="EH12" i="3"/>
  <c r="ET12" i="3"/>
  <c r="EV12" i="3"/>
  <c r="BE15" i="3"/>
  <c r="AA15" i="3"/>
  <c r="Z12" i="3" s="1"/>
  <c r="Y15" i="3"/>
  <c r="BK15" i="3" s="1"/>
  <c r="EB15" i="3"/>
  <c r="FU15" i="3"/>
  <c r="BB17" i="3"/>
  <c r="AC17" i="3"/>
  <c r="EI17" i="3" s="1"/>
  <c r="EH17" i="3" s="1"/>
  <c r="Y17" i="3"/>
  <c r="DH17" i="3"/>
  <c r="DK17" i="3" s="1"/>
  <c r="DF17" i="3"/>
  <c r="DE17" i="3" s="1"/>
  <c r="FX17" i="3"/>
  <c r="AD19" i="3"/>
  <c r="EM19" i="3"/>
  <c r="EL19" i="3" s="1"/>
  <c r="DH19" i="3"/>
  <c r="DG19" i="3" s="1"/>
  <c r="DF19" i="3"/>
  <c r="FX19" i="3"/>
  <c r="BE21" i="3"/>
  <c r="Y21" i="3"/>
  <c r="BK21" i="3" s="1"/>
  <c r="FU21" i="3"/>
  <c r="FX21" i="3"/>
  <c r="Y22" i="3"/>
  <c r="AL22" i="3"/>
  <c r="BE22" i="3"/>
  <c r="EL21" i="3"/>
  <c r="DH22" i="3"/>
  <c r="DF22" i="3"/>
  <c r="FM22" i="3" s="1"/>
  <c r="EB22" i="3"/>
  <c r="CH22" i="3"/>
  <c r="FU22" i="3"/>
  <c r="FX22" i="3"/>
  <c r="EN21" i="3"/>
  <c r="EV21" i="3"/>
  <c r="DF24" i="3"/>
  <c r="DH24" i="3"/>
  <c r="DJ24" i="3" s="1"/>
  <c r="EB24" i="3"/>
  <c r="CH24" i="3"/>
  <c r="FU24" i="3"/>
  <c r="FX24" i="3"/>
  <c r="CD24" i="3"/>
  <c r="GA25" i="3"/>
  <c r="EJ24" i="3"/>
  <c r="ER24" i="3"/>
  <c r="Y26" i="3"/>
  <c r="BN26" i="3"/>
  <c r="BU26" i="3" s="1"/>
  <c r="DH26" i="3"/>
  <c r="DF26" i="3"/>
  <c r="FM26" i="3" s="1"/>
  <c r="EB26" i="3"/>
  <c r="CH26" i="3"/>
  <c r="FU26" i="3"/>
  <c r="FX26" i="3"/>
  <c r="EN24" i="3"/>
  <c r="EV24" i="3"/>
  <c r="BN28" i="3"/>
  <c r="Y28" i="3"/>
  <c r="CH28" i="3"/>
  <c r="EB28" i="3"/>
  <c r="FU28" i="3"/>
  <c r="FX28" i="3"/>
  <c r="Y29" i="3"/>
  <c r="BN29" i="3"/>
  <c r="BU29" i="3" s="1"/>
  <c r="AL29" i="3"/>
  <c r="BK29" i="3" s="1"/>
  <c r="DH29" i="3"/>
  <c r="DJ29" i="3" s="1"/>
  <c r="DF29" i="3"/>
  <c r="EB29" i="3"/>
  <c r="CZ29" i="3"/>
  <c r="CH29" i="3"/>
  <c r="FX29" i="3"/>
  <c r="EH28" i="3"/>
  <c r="EX28" i="3"/>
  <c r="FU31" i="3"/>
  <c r="GA31" i="3"/>
  <c r="DF33" i="3"/>
  <c r="DH33" i="3"/>
  <c r="EB33" i="3"/>
  <c r="CH33" i="3"/>
  <c r="FU33" i="3"/>
  <c r="BE34" i="3"/>
  <c r="Y34" i="3"/>
  <c r="AL34" i="3"/>
  <c r="BK34" i="3" s="1"/>
  <c r="DR34" i="3"/>
  <c r="FU34" i="3" s="1"/>
  <c r="EI34" i="3"/>
  <c r="EH33" i="3" s="1"/>
  <c r="BE35" i="3"/>
  <c r="AL35" i="3"/>
  <c r="BK35" i="3" s="1"/>
  <c r="CX35" i="3"/>
  <c r="FU35" i="3"/>
  <c r="FX35" i="3"/>
  <c r="BE36" i="3"/>
  <c r="AL36" i="3"/>
  <c r="BU36" i="3"/>
  <c r="BT33" i="3" s="1"/>
  <c r="FU36" i="3"/>
  <c r="FX36" i="3"/>
  <c r="EA38" i="3"/>
  <c r="EB38" i="3"/>
  <c r="CH38" i="3"/>
  <c r="CG38" i="3" s="1"/>
  <c r="FU38" i="3"/>
  <c r="FX38" i="3"/>
  <c r="BJ40" i="3"/>
  <c r="BI40" i="3"/>
  <c r="BH40" i="3" s="1"/>
  <c r="FU40" i="3"/>
  <c r="FX40" i="3"/>
  <c r="EM42" i="3"/>
  <c r="AL42" i="3"/>
  <c r="BU42" i="3"/>
  <c r="EB42" i="3"/>
  <c r="CH42" i="3"/>
  <c r="CX42" i="3"/>
  <c r="FA42" i="3"/>
  <c r="FU42" i="3"/>
  <c r="FX42" i="3"/>
  <c r="BE43" i="3"/>
  <c r="Y43" i="3"/>
  <c r="BK43" i="3" s="1"/>
  <c r="AL43" i="3"/>
  <c r="BR43" i="3" s="1"/>
  <c r="FU43" i="3"/>
  <c r="FX43" i="3"/>
  <c r="EH42" i="3"/>
  <c r="EP42" i="3"/>
  <c r="EX42" i="3"/>
  <c r="BJ44" i="3"/>
  <c r="BI44" i="3"/>
  <c r="EN42" i="3"/>
  <c r="ET42" i="3"/>
  <c r="FD42" i="3"/>
  <c r="CF45" i="3"/>
  <c r="BE45" i="3"/>
  <c r="Y45" i="3"/>
  <c r="BK45" i="3" s="1"/>
  <c r="BI45" i="3"/>
  <c r="BJ45" i="3"/>
  <c r="BN47" i="3"/>
  <c r="BU47" i="3" s="1"/>
  <c r="BT47" i="3" s="1"/>
  <c r="BE47" i="3"/>
  <c r="BD47" i="3" s="1"/>
  <c r="Y47" i="3"/>
  <c r="AG47" i="3" s="1"/>
  <c r="EA47" i="3"/>
  <c r="FK47" i="3"/>
  <c r="FJ47" i="3" s="1"/>
  <c r="DV47" i="3"/>
  <c r="FU47" i="3"/>
  <c r="FX47" i="3"/>
  <c r="AL49" i="3"/>
  <c r="BU49" i="3"/>
  <c r="BT49" i="3" s="1"/>
  <c r="FY49" i="3"/>
  <c r="EA49" i="3"/>
  <c r="EB49" i="3"/>
  <c r="CH49" i="3"/>
  <c r="CG49" i="3" s="1"/>
  <c r="CX49" i="3"/>
  <c r="BN51" i="3"/>
  <c r="BU51" i="3" s="1"/>
  <c r="BE51" i="3"/>
  <c r="Y51" i="3"/>
  <c r="FW51" i="3"/>
  <c r="FZ51" i="3"/>
  <c r="DH52" i="3"/>
  <c r="FO52" i="3" s="1"/>
  <c r="CD52" i="3"/>
  <c r="CH52" i="3"/>
  <c r="EB52" i="3"/>
  <c r="ER51" i="3"/>
  <c r="FH51" i="3"/>
  <c r="AV51" i="3"/>
  <c r="FO53" i="3"/>
  <c r="DK53" i="3"/>
  <c r="FR53" i="3" s="1"/>
  <c r="FU53" i="3"/>
  <c r="CX55" i="3"/>
  <c r="FC55" i="3"/>
  <c r="FB55" i="3" s="1"/>
  <c r="FU55" i="3"/>
  <c r="FX55" i="3"/>
  <c r="EB56" i="3"/>
  <c r="CH56" i="3"/>
  <c r="CX56" i="3"/>
  <c r="FU56" i="3"/>
  <c r="FX56" i="3"/>
  <c r="Y58" i="3"/>
  <c r="AL58" i="3"/>
  <c r="BK58" i="3" s="1"/>
  <c r="EA58" i="3"/>
  <c r="V60" i="3"/>
  <c r="BE60" i="3"/>
  <c r="BD60" i="3" s="1"/>
  <c r="AL60" i="3"/>
  <c r="AK60" i="3" s="1"/>
  <c r="FU60" i="3"/>
  <c r="FX60" i="3"/>
  <c r="BE62" i="3"/>
  <c r="BD62" i="3" s="1"/>
  <c r="AX62" i="3"/>
  <c r="Y62" i="3"/>
  <c r="BK62" i="3" s="1"/>
  <c r="FU62" i="3"/>
  <c r="FX62" i="3"/>
  <c r="BE64" i="3"/>
  <c r="BD64" i="3" s="1"/>
  <c r="AX64" i="3"/>
  <c r="Y64" i="3"/>
  <c r="BK64" i="3" s="1"/>
  <c r="FU64" i="3"/>
  <c r="FX64" i="3"/>
  <c r="BE66" i="3"/>
  <c r="Y66" i="3"/>
  <c r="EB66" i="3"/>
  <c r="FX66" i="3"/>
  <c r="FX67" i="3"/>
  <c r="EJ66" i="3"/>
  <c r="ER66" i="3"/>
  <c r="BE69" i="3"/>
  <c r="BD69" i="3" s="1"/>
  <c r="AA69" i="3"/>
  <c r="Y69" i="3"/>
  <c r="BK69" i="3" s="1"/>
  <c r="EB69" i="3"/>
  <c r="FU69" i="3"/>
  <c r="FX69" i="3"/>
  <c r="BE71" i="3"/>
  <c r="BD71" i="3" s="1"/>
  <c r="AC71" i="3"/>
  <c r="Y71" i="3"/>
  <c r="EA71" i="3"/>
  <c r="EB71" i="3"/>
  <c r="CH71" i="3"/>
  <c r="CG71" i="3" s="1"/>
  <c r="FX71" i="3"/>
  <c r="AC73" i="3"/>
  <c r="BE73" i="3"/>
  <c r="AA73" i="3"/>
  <c r="EK73" i="3" s="1"/>
  <c r="FX73" i="3"/>
  <c r="AL74" i="3"/>
  <c r="EE74" i="3" s="1"/>
  <c r="BE74" i="3"/>
  <c r="FU74" i="3"/>
  <c r="FX74" i="3"/>
  <c r="EN73" i="3"/>
  <c r="EV73" i="3"/>
  <c r="BE75" i="3"/>
  <c r="AC75" i="3"/>
  <c r="CL75" i="3" s="1"/>
  <c r="DR75" i="3" s="1"/>
  <c r="FU75" i="3" s="1"/>
  <c r="AA75" i="3"/>
  <c r="CJ75" i="3" s="1"/>
  <c r="Y75" i="3"/>
  <c r="BK75" i="3" s="1"/>
  <c r="AL75" i="3"/>
  <c r="DH75" i="3"/>
  <c r="DF75" i="3"/>
  <c r="FM75" i="3" s="1"/>
  <c r="EB75" i="3"/>
  <c r="ER73" i="3"/>
  <c r="BE76" i="3"/>
  <c r="EB76" i="3"/>
  <c r="AY76" i="3"/>
  <c r="AW76" i="3" s="1"/>
  <c r="FK76" i="3"/>
  <c r="BE77" i="3"/>
  <c r="Y77" i="3"/>
  <c r="BK77" i="3" s="1"/>
  <c r="EB77" i="3"/>
  <c r="FU77" i="3"/>
  <c r="FX77" i="3"/>
  <c r="BE79" i="3"/>
  <c r="BD79" i="3" s="1"/>
  <c r="Y79" i="3"/>
  <c r="DF79" i="3"/>
  <c r="DH79" i="3"/>
  <c r="DG79" i="3" s="1"/>
  <c r="EA79" i="3"/>
  <c r="EB79" i="3"/>
  <c r="CH79" i="3"/>
  <c r="CG79" i="3" s="1"/>
  <c r="FU79" i="3"/>
  <c r="FX79" i="3"/>
  <c r="EA81" i="3"/>
  <c r="ES83" i="3"/>
  <c r="ER83" i="3" s="1"/>
  <c r="EA83" i="3"/>
  <c r="FU83" i="3"/>
  <c r="BE85" i="3"/>
  <c r="BD85" i="3" s="1"/>
  <c r="Y85" i="3"/>
  <c r="DF85" i="3"/>
  <c r="DH85" i="3"/>
  <c r="DG85" i="3" s="1"/>
  <c r="EA85" i="3"/>
  <c r="EB85" i="3"/>
  <c r="CH85" i="3"/>
  <c r="CG85" i="3" s="1"/>
  <c r="FU85" i="3"/>
  <c r="FX85" i="3"/>
  <c r="EA87" i="3"/>
  <c r="V89" i="3"/>
  <c r="EA89" i="3" s="1"/>
  <c r="Y89" i="3"/>
  <c r="DH89" i="3"/>
  <c r="DJ89" i="3" s="1"/>
  <c r="DP89" i="3" s="1"/>
  <c r="DF89" i="3"/>
  <c r="CN89" i="3"/>
  <c r="CM89" i="3" s="1"/>
  <c r="CH89" i="3"/>
  <c r="CG89" i="3" s="1"/>
  <c r="BE91" i="3"/>
  <c r="BD91" i="3" s="1"/>
  <c r="BG91" i="3"/>
  <c r="BI91" i="3" s="1"/>
  <c r="DK91" i="3"/>
  <c r="DJ91" i="3"/>
  <c r="CN91" i="3"/>
  <c r="CH91" i="3"/>
  <c r="CG91" i="3" s="1"/>
  <c r="BE93" i="3"/>
  <c r="BD93" i="3" s="1"/>
  <c r="AL93" i="3"/>
  <c r="AK93" i="3" s="1"/>
  <c r="Y93" i="3"/>
  <c r="BK93" i="3"/>
  <c r="EB93" i="3"/>
  <c r="FK93" i="3"/>
  <c r="FJ93" i="3" s="1"/>
  <c r="DV93" i="3"/>
  <c r="GA93" i="3" s="1"/>
  <c r="FU93" i="3"/>
  <c r="EA95" i="3"/>
  <c r="EB95" i="3"/>
  <c r="Y97" i="3"/>
  <c r="AL97" i="3"/>
  <c r="AK97" i="3" s="1"/>
  <c r="EA97" i="3"/>
  <c r="CH97" i="3"/>
  <c r="CG97" i="3" s="1"/>
  <c r="EB97" i="3"/>
  <c r="CN97" i="3"/>
  <c r="CM97" i="3" s="1"/>
  <c r="EE97" i="3"/>
  <c r="FU99" i="3"/>
  <c r="FX99" i="3"/>
  <c r="Y101" i="3"/>
  <c r="BE101" i="3"/>
  <c r="BD101" i="3" s="1"/>
  <c r="AL101" i="3"/>
  <c r="AK101" i="3" s="1"/>
  <c r="FX101" i="3"/>
  <c r="BU103" i="3"/>
  <c r="BT103" i="3" s="1"/>
  <c r="EA103" i="3"/>
  <c r="EB103" i="3"/>
  <c r="FK103" i="3"/>
  <c r="FJ103" i="3" s="1"/>
  <c r="FU103" i="3"/>
  <c r="CX105" i="3"/>
  <c r="FU105" i="3"/>
  <c r="FX105" i="3"/>
  <c r="CF107" i="3"/>
  <c r="AS107" i="3"/>
  <c r="EA109" i="3"/>
  <c r="FK109" i="3"/>
  <c r="AG110" i="3"/>
  <c r="AE110" i="3" s="1"/>
  <c r="Y110" i="3"/>
  <c r="AV109" i="3"/>
  <c r="DH110" i="3"/>
  <c r="DF110" i="3"/>
  <c r="FM110" i="3" s="1"/>
  <c r="EB110" i="3"/>
  <c r="CH110" i="3"/>
  <c r="EX109" i="3"/>
  <c r="FM111" i="3"/>
  <c r="EB111" i="3"/>
  <c r="ER109" i="3"/>
  <c r="EB112" i="3"/>
  <c r="ET109" i="3"/>
  <c r="EB114" i="3"/>
  <c r="CH114" i="3"/>
  <c r="FX115" i="3"/>
  <c r="EV114" i="3"/>
  <c r="BE117" i="3"/>
  <c r="Y117" i="3"/>
  <c r="BK117" i="3" s="1"/>
  <c r="EU117" i="3"/>
  <c r="ET117" i="3" s="1"/>
  <c r="BQ117" i="3"/>
  <c r="EA117" i="3"/>
  <c r="EB117" i="3"/>
  <c r="CH117" i="3"/>
  <c r="CG117" i="3" s="1"/>
  <c r="FU117" i="3"/>
  <c r="FX117" i="3"/>
  <c r="BE118" i="3"/>
  <c r="AG118" i="3"/>
  <c r="AE118" i="3" s="1"/>
  <c r="Y118" i="3"/>
  <c r="FU118" i="3"/>
  <c r="FX118" i="3"/>
  <c r="EK119" i="3"/>
  <c r="EJ117" i="3" s="1"/>
  <c r="DQ119" i="3"/>
  <c r="FW119" i="3" s="1"/>
  <c r="FX119" i="3"/>
  <c r="EP117" i="3"/>
  <c r="EX117" i="3"/>
  <c r="EA121" i="3"/>
  <c r="CC121" i="3"/>
  <c r="EB121" i="3"/>
  <c r="CN121" i="3"/>
  <c r="DQ121" i="3" s="1"/>
  <c r="CH121" i="3"/>
  <c r="FU121" i="3"/>
  <c r="EB122" i="3"/>
  <c r="CN122" i="3"/>
  <c r="DQ122" i="3" s="1"/>
  <c r="FW122" i="3" s="1"/>
  <c r="CH122" i="3"/>
  <c r="FU122" i="3"/>
  <c r="FX122" i="3"/>
  <c r="EJ121" i="3"/>
  <c r="ER121" i="3"/>
  <c r="EZ121" i="3"/>
  <c r="FH121" i="3"/>
  <c r="BE124" i="3"/>
  <c r="BD124" i="3" s="1"/>
  <c r="AX124" i="3"/>
  <c r="CY124" i="3" s="1"/>
  <c r="BE126" i="3"/>
  <c r="Y126" i="3"/>
  <c r="BF126" i="3"/>
  <c r="BJ126" i="3"/>
  <c r="FM126" i="3"/>
  <c r="FU126" i="3"/>
  <c r="FX126" i="3"/>
  <c r="BE127" i="3"/>
  <c r="Y127" i="3"/>
  <c r="FR127" i="3"/>
  <c r="V129" i="3"/>
  <c r="Y129" i="3"/>
  <c r="BI129" i="3"/>
  <c r="BH129" i="3" s="1"/>
  <c r="BJ129" i="3"/>
  <c r="CE129" i="3"/>
  <c r="EB129" i="3"/>
  <c r="DT129" i="3"/>
  <c r="FY129" i="3" s="1"/>
  <c r="FK129" i="3"/>
  <c r="DV129" i="3"/>
  <c r="GA129" i="3" s="1"/>
  <c r="FU129" i="3"/>
  <c r="AV129" i="3"/>
  <c r="BU130" i="3"/>
  <c r="CL130" i="3"/>
  <c r="CH130" i="3"/>
  <c r="FX130" i="3"/>
  <c r="EP129" i="3"/>
  <c r="BE132" i="3"/>
  <c r="BN132" i="3"/>
  <c r="Y132" i="3"/>
  <c r="BU132" i="3"/>
  <c r="FY132" i="3"/>
  <c r="FU132" i="3"/>
  <c r="AQ133" i="3"/>
  <c r="AE133" i="3"/>
  <c r="Y133" i="3"/>
  <c r="BK133" i="3" s="1"/>
  <c r="BN133" i="3"/>
  <c r="BU133" i="3" s="1"/>
  <c r="BE133" i="3"/>
  <c r="FU133" i="3"/>
  <c r="FX133" i="3"/>
  <c r="BE135" i="3"/>
  <c r="BD135" i="3" s="1"/>
  <c r="Y135" i="3"/>
  <c r="EA135" i="3"/>
  <c r="EB137" i="3"/>
  <c r="BE137" i="3"/>
  <c r="Y137" i="3"/>
  <c r="BK137" i="3" s="1"/>
  <c r="BF137" i="3"/>
  <c r="BJ137" i="3"/>
  <c r="FO137" i="3"/>
  <c r="CX137" i="3"/>
  <c r="FU137" i="3"/>
  <c r="EB138" i="3"/>
  <c r="BE138" i="3"/>
  <c r="DJ138" i="3"/>
  <c r="DK138" i="3"/>
  <c r="FR138" i="3" s="1"/>
  <c r="CN138" i="3"/>
  <c r="DQ138" i="3" s="1"/>
  <c r="FW138" i="3" s="1"/>
  <c r="CH138" i="3"/>
  <c r="FU138" i="3"/>
  <c r="GC138" i="3" s="1"/>
  <c r="EB139" i="3"/>
  <c r="BE139" i="3"/>
  <c r="FM139" i="3"/>
  <c r="CN139" i="3"/>
  <c r="DQ139" i="3" s="1"/>
  <c r="FW139" i="3" s="1"/>
  <c r="CH139" i="3"/>
  <c r="FU139" i="3"/>
  <c r="EH137" i="3"/>
  <c r="EB141" i="3"/>
  <c r="CH141" i="3"/>
  <c r="FU141" i="3"/>
  <c r="FU142" i="3"/>
  <c r="BU142" i="3"/>
  <c r="DH142" i="3"/>
  <c r="DF142" i="3"/>
  <c r="CH142" i="3"/>
  <c r="CX142" i="3"/>
  <c r="FC142" i="3"/>
  <c r="FB141" i="3" s="1"/>
  <c r="EN141" i="3"/>
  <c r="EV141" i="3"/>
  <c r="FU143" i="3"/>
  <c r="FX143" i="3"/>
  <c r="EX141" i="3"/>
  <c r="Y145" i="3"/>
  <c r="EB145" i="3"/>
  <c r="BE145" i="3"/>
  <c r="AL145" i="3"/>
  <c r="FX145" i="3"/>
  <c r="AL146" i="3"/>
  <c r="BE146" i="3"/>
  <c r="AD145" i="3"/>
  <c r="EB146" i="3"/>
  <c r="CH146" i="3"/>
  <c r="FX146" i="3"/>
  <c r="ET145" i="3"/>
  <c r="BN147" i="3"/>
  <c r="EB147" i="3"/>
  <c r="BE147" i="3"/>
  <c r="Y147" i="3"/>
  <c r="BU147" i="3"/>
  <c r="BT145" i="3" s="1"/>
  <c r="DH147" i="3"/>
  <c r="DK147" i="3" s="1"/>
  <c r="DF147" i="3"/>
  <c r="FW147" i="3"/>
  <c r="GA147" i="3"/>
  <c r="FU147" i="3"/>
  <c r="FX147" i="3"/>
  <c r="AC149" i="3"/>
  <c r="EB149" i="3"/>
  <c r="BE149" i="3"/>
  <c r="BD149" i="3" s="1"/>
  <c r="Y149" i="3"/>
  <c r="AL149" i="3"/>
  <c r="AK149" i="3" s="1"/>
  <c r="FX149" i="3"/>
  <c r="DH151" i="3"/>
  <c r="DF151" i="3"/>
  <c r="CD151" i="3"/>
  <c r="DZ151" i="3" s="1"/>
  <c r="EA151" i="3"/>
  <c r="FU151" i="3"/>
  <c r="EB152" i="3"/>
  <c r="AL152" i="3"/>
  <c r="AV151" i="3"/>
  <c r="DH152" i="3"/>
  <c r="DK152" i="3" s="1"/>
  <c r="FR152" i="3" s="1"/>
  <c r="DF152" i="3"/>
  <c r="FU152" i="3"/>
  <c r="FX152" i="3"/>
  <c r="ET151" i="3"/>
  <c r="EB153" i="3"/>
  <c r="Y153" i="3"/>
  <c r="FR153" i="3"/>
  <c r="CG151" i="3"/>
  <c r="FU153" i="3"/>
  <c r="FX153" i="3"/>
  <c r="Y154" i="3"/>
  <c r="BE154" i="3"/>
  <c r="DH154" i="3"/>
  <c r="DK154" i="3" s="1"/>
  <c r="FR154" i="3" s="1"/>
  <c r="DF154" i="3"/>
  <c r="FM154" i="3" s="1"/>
  <c r="CX154" i="3"/>
  <c r="FC154" i="3"/>
  <c r="EH151" i="3"/>
  <c r="EP151" i="3"/>
  <c r="EX151" i="3"/>
  <c r="FU155" i="3"/>
  <c r="EM156" i="3"/>
  <c r="AL156" i="3"/>
  <c r="FU156" i="3"/>
  <c r="GC156" i="3" s="1"/>
  <c r="Y157" i="3"/>
  <c r="EB157" i="3"/>
  <c r="BE157" i="3"/>
  <c r="AL157" i="3"/>
  <c r="DH157" i="3"/>
  <c r="DF157" i="3"/>
  <c r="FX157" i="3"/>
  <c r="AS159" i="3"/>
  <c r="FU159" i="3"/>
  <c r="FX159" i="3"/>
  <c r="BE160" i="3"/>
  <c r="Y160" i="3"/>
  <c r="BK160" i="3" s="1"/>
  <c r="AV159" i="3"/>
  <c r="BU160" i="3"/>
  <c r="BT159" i="3" s="1"/>
  <c r="EB160" i="3"/>
  <c r="CH160" i="3"/>
  <c r="CX160" i="3"/>
  <c r="FU160" i="3"/>
  <c r="FX160" i="3"/>
  <c r="BN162" i="3"/>
  <c r="BE162" i="3"/>
  <c r="BD162" i="3" s="1"/>
  <c r="Y162" i="3"/>
  <c r="FK162" i="3"/>
  <c r="FJ162" i="3" s="1"/>
  <c r="DV162" i="3"/>
  <c r="GA162" i="3" s="1"/>
  <c r="DT162" i="3"/>
  <c r="FY162" i="3" s="1"/>
  <c r="FU162" i="3"/>
  <c r="FX162" i="3"/>
  <c r="CE164" i="3"/>
  <c r="EB164" i="3"/>
  <c r="CN164" i="3"/>
  <c r="CH164" i="3"/>
  <c r="CG164" i="3" s="1"/>
  <c r="DV164" i="3"/>
  <c r="GA164" i="3" s="1"/>
  <c r="DT164" i="3"/>
  <c r="FY164" i="3" s="1"/>
  <c r="BE166" i="3"/>
  <c r="EB166" i="3"/>
  <c r="BN166" i="3"/>
  <c r="BU166" i="3" s="1"/>
  <c r="Y166" i="3"/>
  <c r="FK166" i="3"/>
  <c r="DT166" i="3"/>
  <c r="FY166" i="3" s="1"/>
  <c r="FU166" i="3"/>
  <c r="V166" i="3"/>
  <c r="DH167" i="3"/>
  <c r="DK167" i="3" s="1"/>
  <c r="DF167" i="3"/>
  <c r="CN167" i="3"/>
  <c r="DT167" i="3"/>
  <c r="FY167" i="3" s="1"/>
  <c r="FU167" i="3"/>
  <c r="FX167" i="3"/>
  <c r="ER166" i="3"/>
  <c r="FH166" i="3"/>
  <c r="EM169" i="3"/>
  <c r="EL169" i="3" s="1"/>
  <c r="AL169" i="3"/>
  <c r="EB169" i="3"/>
  <c r="CH169" i="3"/>
  <c r="CN169" i="3"/>
  <c r="FU169" i="3"/>
  <c r="FX169" i="3"/>
  <c r="Y170" i="3"/>
  <c r="AL170" i="3"/>
  <c r="CE169" i="3"/>
  <c r="EA169" i="3" s="1"/>
  <c r="DV170" i="3"/>
  <c r="DT170" i="3"/>
  <c r="EV169" i="3"/>
  <c r="EA172" i="3"/>
  <c r="EB172" i="3"/>
  <c r="CH172" i="3"/>
  <c r="CG172" i="3" s="1"/>
  <c r="FX172" i="3"/>
  <c r="CF174" i="3"/>
  <c r="BE174" i="3"/>
  <c r="BD174" i="3" s="1"/>
  <c r="AL174" i="3"/>
  <c r="AK174" i="3" s="1"/>
  <c r="Y174" i="3"/>
  <c r="BK174" i="3" s="1"/>
  <c r="BI174" i="3"/>
  <c r="BH174" i="3" s="1"/>
  <c r="BJ174" i="3"/>
  <c r="BE176" i="3"/>
  <c r="BD176" i="3" s="1"/>
  <c r="CF176" i="3"/>
  <c r="Y176" i="3"/>
  <c r="CK176" i="3"/>
  <c r="EI176" i="3"/>
  <c r="EH176" i="3" s="1"/>
  <c r="BE178" i="3"/>
  <c r="BD178" i="3" s="1"/>
  <c r="AL178" i="3"/>
  <c r="AK178" i="3" s="1"/>
  <c r="Y178" i="3"/>
  <c r="BK178" i="3" s="1"/>
  <c r="FK178" i="3"/>
  <c r="FJ178" i="3" s="1"/>
  <c r="FU178" i="3"/>
  <c r="FX178" i="3"/>
  <c r="AD180" i="3"/>
  <c r="EM180" i="3"/>
  <c r="EL180" i="3" s="1"/>
  <c r="AI180" i="3"/>
  <c r="EQ180" i="3"/>
  <c r="EP180" i="3" s="1"/>
  <c r="Y182" i="3"/>
  <c r="BE182" i="3"/>
  <c r="BD182" i="3" s="1"/>
  <c r="AL182" i="3"/>
  <c r="AK182" i="3" s="1"/>
  <c r="DF182" i="3"/>
  <c r="DH182" i="3"/>
  <c r="DK182" i="3" s="1"/>
  <c r="FR182" i="3" s="1"/>
  <c r="EB182" i="3"/>
  <c r="CH182" i="3"/>
  <c r="CG182" i="3" s="1"/>
  <c r="FU182" i="3"/>
  <c r="FX182" i="3"/>
  <c r="BE184" i="3"/>
  <c r="BD184" i="3" s="1"/>
  <c r="Y184" i="3"/>
  <c r="EA184" i="3"/>
  <c r="CH184" i="3"/>
  <c r="CG184" i="3" s="1"/>
  <c r="EB184" i="3"/>
  <c r="BE186" i="3"/>
  <c r="Y186" i="3"/>
  <c r="AL186" i="3"/>
  <c r="BU186" i="3"/>
  <c r="FU186" i="3"/>
  <c r="FX186" i="3"/>
  <c r="BE187" i="3"/>
  <c r="AX187" i="3"/>
  <c r="Y187" i="3"/>
  <c r="BU187" i="3"/>
  <c r="DF187" i="3"/>
  <c r="FM187" i="3" s="1"/>
  <c r="DH187" i="3"/>
  <c r="DK187" i="3" s="1"/>
  <c r="FU187" i="3"/>
  <c r="FX187" i="3"/>
  <c r="BE189" i="3"/>
  <c r="AC189" i="3"/>
  <c r="Y189" i="3"/>
  <c r="FX189" i="3"/>
  <c r="BU189" i="3"/>
  <c r="BT189" i="3" s="1"/>
  <c r="BE190" i="3"/>
  <c r="AC190" i="3"/>
  <c r="EI190" i="3" s="1"/>
  <c r="Y190" i="3"/>
  <c r="CC190" i="3"/>
  <c r="DH190" i="3" s="1"/>
  <c r="DK190" i="3" s="1"/>
  <c r="FR190" i="3" s="1"/>
  <c r="CN190" i="3"/>
  <c r="DQ190" i="3" s="1"/>
  <c r="BE192" i="3"/>
  <c r="BD192" i="3" s="1"/>
  <c r="Y192" i="3"/>
  <c r="EA192" i="3"/>
  <c r="EB192" i="3"/>
  <c r="CH192" i="3"/>
  <c r="CG192" i="3" s="1"/>
  <c r="FU192" i="3"/>
  <c r="FX192" i="3"/>
  <c r="BE194" i="3"/>
  <c r="Y194" i="3"/>
  <c r="BK194" i="3" s="1"/>
  <c r="AD194" i="3"/>
  <c r="EM194" i="3"/>
  <c r="BU194" i="3"/>
  <c r="FX194" i="3"/>
  <c r="BE195" i="3"/>
  <c r="AL195" i="3"/>
  <c r="Y195" i="3"/>
  <c r="BU195" i="3"/>
  <c r="FR195" i="3"/>
  <c r="FU195" i="3"/>
  <c r="BE197" i="3"/>
  <c r="BD197" i="3" s="1"/>
  <c r="EB197" i="3"/>
  <c r="Y197" i="3"/>
  <c r="AD197" i="3"/>
  <c r="EM197" i="3"/>
  <c r="EL197" i="3" s="1"/>
  <c r="BU197" i="3"/>
  <c r="BT197" i="3" s="1"/>
  <c r="DF197" i="3"/>
  <c r="FM197" i="3" s="1"/>
  <c r="FL197" i="3" s="1"/>
  <c r="DH197" i="3"/>
  <c r="FO197" i="3" s="1"/>
  <c r="FN197" i="3" s="1"/>
  <c r="EA197" i="3"/>
  <c r="FU197" i="3"/>
  <c r="DT199" i="3"/>
  <c r="FY199" i="3" s="1"/>
  <c r="FK199" i="3"/>
  <c r="FJ199" i="3" s="1"/>
  <c r="AG201" i="3"/>
  <c r="BE201" i="3"/>
  <c r="BD201" i="3" s="1"/>
  <c r="Y201" i="3"/>
  <c r="BU201" i="3"/>
  <c r="BT201" i="3" s="1"/>
  <c r="DF201" i="3"/>
  <c r="DH201" i="3"/>
  <c r="FU201" i="3"/>
  <c r="EA203" i="3"/>
  <c r="AF205" i="3"/>
  <c r="AE205" i="3" s="1"/>
  <c r="EM205" i="3" s="1"/>
  <c r="EL205" i="3" s="1"/>
  <c r="BE205" i="3"/>
  <c r="BD205" i="3" s="1"/>
  <c r="Y205" i="3"/>
  <c r="BF205" i="3"/>
  <c r="BJ205" i="3"/>
  <c r="DF205" i="3"/>
  <c r="DH205" i="3"/>
  <c r="DJ205" i="3" s="1"/>
  <c r="CX205" i="3"/>
  <c r="FU205" i="3"/>
  <c r="FX205" i="3"/>
  <c r="BE207" i="3"/>
  <c r="AY207" i="3"/>
  <c r="Y207" i="3"/>
  <c r="BF207" i="3"/>
  <c r="BJ207" i="3"/>
  <c r="CE207" i="3"/>
  <c r="EA207" i="3" s="1"/>
  <c r="EB207" i="3"/>
  <c r="CH207" i="3"/>
  <c r="BE208" i="3"/>
  <c r="Y208" i="3"/>
  <c r="BK208" i="3" s="1"/>
  <c r="FR208" i="3"/>
  <c r="EB208" i="3"/>
  <c r="CH208" i="3"/>
  <c r="FH207" i="3"/>
  <c r="FU208" i="3"/>
  <c r="FX208" i="3"/>
  <c r="BN210" i="3"/>
  <c r="Y210" i="3"/>
  <c r="EA210" i="3"/>
  <c r="DT210" i="3"/>
  <c r="FY210" i="3" s="1"/>
  <c r="FK210" i="3"/>
  <c r="FJ210" i="3" s="1"/>
  <c r="DV210" i="3"/>
  <c r="GA210" i="3" s="1"/>
  <c r="FX210" i="3"/>
  <c r="V214" i="3"/>
  <c r="BE214" i="3"/>
  <c r="BD214" i="3" s="1"/>
  <c r="Y214" i="3"/>
  <c r="EB214" i="3"/>
  <c r="CH214" i="3"/>
  <c r="CG214" i="3" s="1"/>
  <c r="FU214" i="3"/>
  <c r="FX214" i="3"/>
  <c r="EB216" i="3"/>
  <c r="FY216" i="3"/>
  <c r="FU216" i="3"/>
  <c r="V218" i="3"/>
  <c r="AG218" i="3"/>
  <c r="AE218" i="3" s="1"/>
  <c r="EM218" i="3" s="1"/>
  <c r="EL218" i="3" s="1"/>
  <c r="CE218" i="3"/>
  <c r="EB218" i="3"/>
  <c r="CH218" i="3"/>
  <c r="FU218" i="3"/>
  <c r="AL219" i="3"/>
  <c r="Y219" i="3"/>
  <c r="EB219" i="3"/>
  <c r="CN219" i="3"/>
  <c r="DQ219" i="3" s="1"/>
  <c r="DV219" i="3"/>
  <c r="GA219" i="3" s="1"/>
  <c r="DT219" i="3"/>
  <c r="FY219" i="3" s="1"/>
  <c r="FX219" i="3"/>
  <c r="EA221" i="3"/>
  <c r="V225" i="3"/>
  <c r="CF225" i="3"/>
  <c r="CE225" i="3" s="1"/>
  <c r="EA225" i="3" s="1"/>
  <c r="Y225" i="3"/>
  <c r="EB228" i="3"/>
  <c r="BE228" i="3"/>
  <c r="Y228" i="3"/>
  <c r="BU228" i="3"/>
  <c r="BT227" i="3" s="1"/>
  <c r="DF228" i="3"/>
  <c r="FM228" i="3" s="1"/>
  <c r="DH228" i="3"/>
  <c r="DK228" i="3" s="1"/>
  <c r="FR228" i="3" s="1"/>
  <c r="EZ227" i="3"/>
  <c r="CX228" i="3"/>
  <c r="FE228" i="3"/>
  <c r="FD227" i="3" s="1"/>
  <c r="FU228" i="3"/>
  <c r="FX228" i="3"/>
  <c r="EB229" i="3"/>
  <c r="AL229" i="3"/>
  <c r="FU229" i="3"/>
  <c r="FX229" i="3"/>
  <c r="Y230" i="3"/>
  <c r="CF230" i="3"/>
  <c r="EJ227" i="3"/>
  <c r="ER227" i="3"/>
  <c r="EB232" i="3"/>
  <c r="AG232" i="3"/>
  <c r="AE232" i="3" s="1"/>
  <c r="FU232" i="3"/>
  <c r="FX232" i="3"/>
  <c r="BE234" i="3"/>
  <c r="BD234" i="3" s="1"/>
  <c r="CF234" i="3"/>
  <c r="AY234" i="3"/>
  <c r="Y234" i="3"/>
  <c r="AC236" i="3"/>
  <c r="BE236" i="3"/>
  <c r="BD236" i="3" s="1"/>
  <c r="AO236" i="3"/>
  <c r="AL236" i="3"/>
  <c r="Y236" i="3"/>
  <c r="FR236" i="3"/>
  <c r="CX236" i="3"/>
  <c r="EB238" i="3"/>
  <c r="BE238" i="3"/>
  <c r="BD238" i="3" s="1"/>
  <c r="Y238" i="3"/>
  <c r="X238" i="3" s="1"/>
  <c r="EA238" i="3"/>
  <c r="AX240" i="3"/>
  <c r="BE240" i="3"/>
  <c r="BD240" i="3" s="1"/>
  <c r="AL240" i="3"/>
  <c r="EA240" i="3"/>
  <c r="EB240" i="3"/>
  <c r="CH240" i="3"/>
  <c r="CG240" i="3" s="1"/>
  <c r="FX240" i="3"/>
  <c r="Y242" i="3"/>
  <c r="BE242" i="3"/>
  <c r="AL242" i="3"/>
  <c r="DF242" i="3"/>
  <c r="DH242" i="3"/>
  <c r="EB242" i="3"/>
  <c r="CH242" i="3"/>
  <c r="FX242" i="3"/>
  <c r="Y243" i="3"/>
  <c r="AL243" i="3"/>
  <c r="FU243" i="3"/>
  <c r="FX243" i="3"/>
  <c r="EN242" i="3"/>
  <c r="ER242" i="3"/>
  <c r="EV242" i="3"/>
  <c r="BE244" i="3"/>
  <c r="Y244" i="3"/>
  <c r="AL244" i="3"/>
  <c r="EM244" i="3"/>
  <c r="EL242" i="3" s="1"/>
  <c r="CC244" i="3"/>
  <c r="EB244" i="3"/>
  <c r="CH244" i="3"/>
  <c r="FH242" i="3"/>
  <c r="FU244" i="3"/>
  <c r="BE245" i="3"/>
  <c r="Y245" i="3"/>
  <c r="FU245" i="3"/>
  <c r="FX245" i="3"/>
  <c r="EJ242" i="3"/>
  <c r="Y247" i="3"/>
  <c r="AC247" i="3"/>
  <c r="BO247" i="3" s="1"/>
  <c r="FU247" i="3" s="1"/>
  <c r="BF247" i="3"/>
  <c r="BI247" i="3"/>
  <c r="CL247" i="3"/>
  <c r="CH247" i="3"/>
  <c r="GA247" i="3"/>
  <c r="FX247" i="3"/>
  <c r="AD247" i="3"/>
  <c r="EM248" i="3"/>
  <c r="EL247" i="3" s="1"/>
  <c r="BJ248" i="3"/>
  <c r="BI248" i="3"/>
  <c r="FX248" i="3"/>
  <c r="BE250" i="3"/>
  <c r="BD250" i="3" s="1"/>
  <c r="Y250" i="3"/>
  <c r="CE250" i="3"/>
  <c r="EB250" i="3"/>
  <c r="FU250" i="3"/>
  <c r="BN252" i="3"/>
  <c r="BU252" i="3" s="1"/>
  <c r="BE252" i="3"/>
  <c r="Y252" i="3"/>
  <c r="BK252" i="3" s="1"/>
  <c r="EB252" i="3"/>
  <c r="FU252" i="3"/>
  <c r="FX252" i="3"/>
  <c r="BJ253" i="3"/>
  <c r="BI253" i="3"/>
  <c r="CC253" i="3"/>
  <c r="CH253" i="3"/>
  <c r="FU253" i="3"/>
  <c r="FU255" i="3"/>
  <c r="BJ256" i="3"/>
  <c r="BI256" i="3"/>
  <c r="DH256" i="3"/>
  <c r="DK256" i="3" s="1"/>
  <c r="FR256" i="3" s="1"/>
  <c r="DF256" i="3"/>
  <c r="FM256" i="3" s="1"/>
  <c r="CX256" i="3"/>
  <c r="FC256" i="3"/>
  <c r="FB255" i="3" s="1"/>
  <c r="FU256" i="3"/>
  <c r="BE257" i="3"/>
  <c r="AL257" i="3"/>
  <c r="Y257" i="3"/>
  <c r="BK257" i="3" s="1"/>
  <c r="BJ257" i="3"/>
  <c r="BI257" i="3"/>
  <c r="CC257" i="3"/>
  <c r="EB257" i="3"/>
  <c r="CH257" i="3"/>
  <c r="FU257" i="3"/>
  <c r="FX257" i="3"/>
  <c r="BE258" i="3"/>
  <c r="AL258" i="3"/>
  <c r="EE258" i="3" s="1"/>
  <c r="Y258" i="3"/>
  <c r="BK258" i="3" s="1"/>
  <c r="BJ258" i="3"/>
  <c r="BI258" i="3"/>
  <c r="FU258" i="3"/>
  <c r="FX258" i="3"/>
  <c r="BE260" i="3"/>
  <c r="BD260" i="3" s="1"/>
  <c r="Y260" i="3"/>
  <c r="BK260" i="3" s="1"/>
  <c r="AD260" i="3"/>
  <c r="EM260" i="3"/>
  <c r="EL260" i="3" s="1"/>
  <c r="EA260" i="3"/>
  <c r="FU260" i="3"/>
  <c r="CC264" i="3"/>
  <c r="CH264" i="3"/>
  <c r="DT264" i="3"/>
  <c r="FY264" i="3" s="1"/>
  <c r="DV264" i="3"/>
  <c r="GA264" i="3" s="1"/>
  <c r="FX265" i="3"/>
  <c r="GA265" i="3"/>
  <c r="V267" i="3"/>
  <c r="BE267" i="3"/>
  <c r="BD267" i="3" s="1"/>
  <c r="AL267" i="3"/>
  <c r="AK267" i="3" s="1"/>
  <c r="Y267" i="3"/>
  <c r="BK267" i="3" s="1"/>
  <c r="BU267" i="3"/>
  <c r="BT267" i="3" s="1"/>
  <c r="EA267" i="3"/>
  <c r="FU267" i="3"/>
  <c r="BE269" i="3"/>
  <c r="BD269" i="3" s="1"/>
  <c r="BG269" i="3"/>
  <c r="CD269" i="3"/>
  <c r="DZ269" i="3" s="1"/>
  <c r="DH269" i="3"/>
  <c r="EA269" i="3"/>
  <c r="EB269" i="3"/>
  <c r="CN269" i="3"/>
  <c r="CH269" i="3"/>
  <c r="CG269" i="3" s="1"/>
  <c r="FK269" i="3"/>
  <c r="FJ269" i="3" s="1"/>
  <c r="FX269" i="3"/>
  <c r="EM271" i="3"/>
  <c r="EL271" i="3" s="1"/>
  <c r="AL271" i="3"/>
  <c r="AK271" i="3" s="1"/>
  <c r="FK271" i="3"/>
  <c r="FJ271" i="3" s="1"/>
  <c r="BF273" i="3"/>
  <c r="BL273" i="3"/>
  <c r="BU273" i="3" s="1"/>
  <c r="BT273" i="3" s="1"/>
  <c r="CC273" i="3"/>
  <c r="DZ273" i="3"/>
  <c r="FK273" i="3"/>
  <c r="FJ273" i="3" s="1"/>
  <c r="DZ275" i="3"/>
  <c r="AL277" i="3"/>
  <c r="EB277" i="3"/>
  <c r="Y277" i="3"/>
  <c r="X277" i="3" s="1"/>
  <c r="AD277" i="3"/>
  <c r="EM277" i="3"/>
  <c r="EL277" i="3" s="1"/>
  <c r="DZ277" i="3"/>
  <c r="EA277" i="3"/>
  <c r="FK277" i="3"/>
  <c r="FJ277" i="3" s="1"/>
  <c r="AL279" i="3"/>
  <c r="EB279" i="3"/>
  <c r="BE279" i="3"/>
  <c r="BD279" i="3" s="1"/>
  <c r="Y279" i="3"/>
  <c r="X279" i="3" s="1"/>
  <c r="AD279" i="3"/>
  <c r="EM279" i="3"/>
  <c r="EL279" i="3" s="1"/>
  <c r="BL279" i="3"/>
  <c r="BJ279" i="3"/>
  <c r="FR279" i="3" s="1"/>
  <c r="CC279" i="3"/>
  <c r="DZ279" i="3"/>
  <c r="EA279" i="3"/>
  <c r="AG281" i="3"/>
  <c r="AE281" i="3" s="1"/>
  <c r="W281" i="3"/>
  <c r="DZ281" i="3"/>
  <c r="W283" i="3"/>
  <c r="AG283" i="3"/>
  <c r="AE283" i="3" s="1"/>
  <c r="AD283" i="3" s="1"/>
  <c r="BJ283" i="3"/>
  <c r="FR283" i="3" s="1"/>
  <c r="BL283" i="3"/>
  <c r="BU283" i="3" s="1"/>
  <c r="BT283" i="3" s="1"/>
  <c r="BJ31" i="3"/>
  <c r="BJ122" i="3"/>
  <c r="BJ147" i="3"/>
  <c r="FR147" i="3" s="1"/>
  <c r="DJ160" i="3"/>
  <c r="DG236" i="3"/>
  <c r="FO236" i="3"/>
  <c r="FN236" i="3" s="1"/>
  <c r="BI42" i="3"/>
  <c r="BH42" i="3" s="1"/>
  <c r="BI121" i="3"/>
  <c r="BH121" i="3" s="1"/>
  <c r="BJ167" i="3"/>
  <c r="BI169" i="3"/>
  <c r="FO205" i="3"/>
  <c r="FN205" i="3" s="1"/>
  <c r="DK24" i="3"/>
  <c r="FR24" i="3" s="1"/>
  <c r="FO29" i="3"/>
  <c r="BJ42" i="3"/>
  <c r="BI47" i="3"/>
  <c r="BH47" i="3" s="1"/>
  <c r="BF83" i="3"/>
  <c r="BI89" i="3"/>
  <c r="BH89" i="3" s="1"/>
  <c r="BJ121" i="3"/>
  <c r="DK137" i="3"/>
  <c r="FR137" i="3" s="1"/>
  <c r="FO138" i="3"/>
  <c r="BF145" i="3"/>
  <c r="FO152" i="3"/>
  <c r="DJ236" i="3"/>
  <c r="BK42" i="3"/>
  <c r="BF51" i="3"/>
  <c r="BF129" i="3"/>
  <c r="BJ132" i="3"/>
  <c r="DJ152" i="3"/>
  <c r="FQ152" i="3" s="1"/>
  <c r="DJ157" i="3"/>
  <c r="BI162" i="3"/>
  <c r="BH162" i="3" s="1"/>
  <c r="BF166" i="3"/>
  <c r="FO167" i="3"/>
  <c r="BK169" i="3"/>
  <c r="BK170" i="3"/>
  <c r="BH28" i="3"/>
  <c r="FO89" i="3"/>
  <c r="FN89" i="3" s="1"/>
  <c r="BK119" i="3"/>
  <c r="FR167" i="3"/>
  <c r="FO17" i="3"/>
  <c r="FN17" i="3" s="1"/>
  <c r="BF31" i="3"/>
  <c r="BJ51" i="3"/>
  <c r="DJ53" i="3"/>
  <c r="DP53" i="3" s="1"/>
  <c r="BK132" i="3"/>
  <c r="BJ166" i="3"/>
  <c r="DJ208" i="3"/>
  <c r="DP208" i="3" s="1"/>
  <c r="FO122" i="3"/>
  <c r="BH109" i="3"/>
  <c r="BS4" i="2"/>
  <c r="DH10" i="2"/>
  <c r="DE9" i="2"/>
  <c r="FX9" i="2" s="1"/>
  <c r="ER16" i="2"/>
  <c r="EP16" i="2"/>
  <c r="GP16" i="2" s="1"/>
  <c r="FA16" i="2"/>
  <c r="EV16" i="2"/>
  <c r="GR16" i="2" s="1"/>
  <c r="HB24" i="2"/>
  <c r="FP24" i="2"/>
  <c r="FG26" i="2"/>
  <c r="GX26" i="2" s="1"/>
  <c r="DD137" i="2"/>
  <c r="DC9" i="2"/>
  <c r="DB9" i="2"/>
  <c r="DH9" i="2"/>
  <c r="GR9" i="2"/>
  <c r="HB18" i="2"/>
  <c r="FG19" i="2"/>
  <c r="FU37" i="2"/>
  <c r="GP4" i="2"/>
  <c r="EO4" i="2"/>
  <c r="BQ12" i="2"/>
  <c r="EV20" i="2"/>
  <c r="GR20" i="2" s="1"/>
  <c r="EP20" i="2"/>
  <c r="AC35" i="2"/>
  <c r="ER27" i="2"/>
  <c r="EP27" i="2"/>
  <c r="GP27" i="2" s="1"/>
  <c r="FA27" i="2"/>
  <c r="EV27" i="2"/>
  <c r="GR27" i="2" s="1"/>
  <c r="FV35" i="2"/>
  <c r="DW43" i="2"/>
  <c r="GL43" i="2" s="1"/>
  <c r="DH43" i="2"/>
  <c r="FQ43" i="2"/>
  <c r="ER22" i="2"/>
  <c r="EQ22" i="2" s="1"/>
  <c r="EP22" i="2"/>
  <c r="EV22" i="2"/>
  <c r="EM22" i="2"/>
  <c r="GN22" i="2" s="1"/>
  <c r="BV39" i="2"/>
  <c r="BU39" i="2" s="1"/>
  <c r="AC39" i="2"/>
  <c r="FW39" i="2" s="1"/>
  <c r="EN25" i="2"/>
  <c r="EL25" i="2"/>
  <c r="AD6" i="2"/>
  <c r="EP12" i="2"/>
  <c r="EV12" i="2"/>
  <c r="FA12" i="2"/>
  <c r="ER12" i="2"/>
  <c r="EP18" i="2"/>
  <c r="EV18" i="2"/>
  <c r="FG20" i="2"/>
  <c r="BV26" i="2"/>
  <c r="FW35" i="2"/>
  <c r="FP35" i="2"/>
  <c r="HB35" i="2"/>
  <c r="GB18" i="2"/>
  <c r="AK18" i="2"/>
  <c r="AE18" i="2" s="1"/>
  <c r="FZ18" i="2" s="1"/>
  <c r="FG27" i="2"/>
  <c r="GX27" i="2" s="1"/>
  <c r="GP35" i="2"/>
  <c r="BQ35" i="2"/>
  <c r="EV10" i="2"/>
  <c r="EP10" i="2"/>
  <c r="FA15" i="2"/>
  <c r="ER15" i="2"/>
  <c r="EP15" i="2"/>
  <c r="EV15" i="2"/>
  <c r="EM15" i="2"/>
  <c r="GN15" i="2" s="1"/>
  <c r="EN33" i="2"/>
  <c r="EL33" i="2"/>
  <c r="EK33" i="2" s="1"/>
  <c r="GM33" i="2" s="1"/>
  <c r="CX33" i="2"/>
  <c r="FT33" i="2" s="1"/>
  <c r="BT37" i="2"/>
  <c r="BS37" i="2" s="1"/>
  <c r="BX37" i="2"/>
  <c r="BO37" i="2"/>
  <c r="AJ9" i="2"/>
  <c r="AF9" i="2"/>
  <c r="BV27" i="2"/>
  <c r="HB31" i="2"/>
  <c r="FP31" i="2"/>
  <c r="GH4" i="2"/>
  <c r="AW137" i="2"/>
  <c r="BK137" i="2"/>
  <c r="CL137" i="2"/>
  <c r="GR4" i="2"/>
  <c r="HA4" i="2"/>
  <c r="DB6" i="2"/>
  <c r="FH6" i="2"/>
  <c r="BN9" i="2"/>
  <c r="BM9" i="2" s="1"/>
  <c r="EP9" i="2"/>
  <c r="FJ9" i="2"/>
  <c r="HB9" i="2"/>
  <c r="BR10" i="2"/>
  <c r="BQ9" i="2" s="1"/>
  <c r="EL10" i="2"/>
  <c r="EK9" i="2" s="1"/>
  <c r="GM9" i="2" s="1"/>
  <c r="GD12" i="2"/>
  <c r="BT13" i="2"/>
  <c r="BS12" i="2" s="1"/>
  <c r="AF15" i="2"/>
  <c r="BR15" i="2"/>
  <c r="BQ15" i="2" s="1"/>
  <c r="CB15" i="2"/>
  <c r="X16" i="2"/>
  <c r="W15" i="2" s="1"/>
  <c r="CB16" i="2"/>
  <c r="CN16" i="2" s="1"/>
  <c r="BV16" i="2" s="1"/>
  <c r="X18" i="2"/>
  <c r="BN18" i="2"/>
  <c r="BM18" i="2" s="1"/>
  <c r="EL20" i="2"/>
  <c r="CX22" i="2"/>
  <c r="FT22" i="2" s="1"/>
  <c r="DH22" i="2"/>
  <c r="FX22" i="2"/>
  <c r="BO24" i="2"/>
  <c r="CG24" i="2"/>
  <c r="CW24" i="2"/>
  <c r="DH24" i="2"/>
  <c r="DW24" i="2"/>
  <c r="GL24" i="2" s="1"/>
  <c r="DB25" i="2"/>
  <c r="DA24" i="2" s="1"/>
  <c r="X29" i="2"/>
  <c r="W29" i="2" s="1"/>
  <c r="CG29" i="2"/>
  <c r="CW29" i="2"/>
  <c r="CG31" i="2"/>
  <c r="CW31" i="2"/>
  <c r="AD33" i="2"/>
  <c r="BN35" i="2"/>
  <c r="BM35" i="2" s="1"/>
  <c r="DW35" i="2"/>
  <c r="GL35" i="2" s="1"/>
  <c r="EU35" i="2"/>
  <c r="FG35" i="2"/>
  <c r="GZ35" i="2"/>
  <c r="DB37" i="2"/>
  <c r="DA37" i="2" s="1"/>
  <c r="HA37" i="2"/>
  <c r="CC39" i="2"/>
  <c r="EL39" i="2"/>
  <c r="EK39" i="2" s="1"/>
  <c r="GM39" i="2" s="1"/>
  <c r="FP41" i="2"/>
  <c r="W49" i="2"/>
  <c r="FG50" i="2"/>
  <c r="GX50" i="2" s="1"/>
  <c r="GX54" i="2"/>
  <c r="FF53" i="2"/>
  <c r="ET54" i="2"/>
  <c r="GB56" i="2"/>
  <c r="AK56" i="2"/>
  <c r="AK137" i="2" s="1"/>
  <c r="DH60" i="2"/>
  <c r="FQ60" i="2"/>
  <c r="HB60" i="2" s="1"/>
  <c r="FM60" i="2"/>
  <c r="GZ60" i="2" s="1"/>
  <c r="CM62" i="2"/>
  <c r="GL72" i="2"/>
  <c r="X4" i="2"/>
  <c r="CE4" i="2"/>
  <c r="EG4" i="2"/>
  <c r="FJ4" i="2"/>
  <c r="X6" i="2"/>
  <c r="W6" i="2" s="1"/>
  <c r="HA6" i="2"/>
  <c r="AD9" i="2"/>
  <c r="BO9" i="2"/>
  <c r="CG9" i="2"/>
  <c r="W12" i="2"/>
  <c r="CA12" i="2"/>
  <c r="EC12" i="2"/>
  <c r="EL12" i="2"/>
  <c r="GV12" i="2"/>
  <c r="FY15" i="2"/>
  <c r="BO18" i="2"/>
  <c r="CG18" i="2"/>
  <c r="DH18" i="2"/>
  <c r="DW18" i="2"/>
  <c r="GL18" i="2" s="1"/>
  <c r="CW19" i="2"/>
  <c r="U22" i="2"/>
  <c r="CI22" i="2"/>
  <c r="CY22" i="2"/>
  <c r="EL22" i="2"/>
  <c r="EK22" i="2" s="1"/>
  <c r="GM22" i="2" s="1"/>
  <c r="FP22" i="2"/>
  <c r="DH25" i="2"/>
  <c r="CW26" i="2"/>
  <c r="DH29" i="2"/>
  <c r="FX29" i="2"/>
  <c r="GV29" i="2"/>
  <c r="AA31" i="2"/>
  <c r="FX31" i="2" s="1"/>
  <c r="BP31" i="2"/>
  <c r="DH31" i="2"/>
  <c r="DW31" i="2"/>
  <c r="FY31" i="2"/>
  <c r="BT33" i="2"/>
  <c r="BS33" i="2" s="1"/>
  <c r="DB33" i="2"/>
  <c r="DA33" i="2" s="1"/>
  <c r="HB33" i="2"/>
  <c r="X35" i="2"/>
  <c r="W35" i="2" s="1"/>
  <c r="BO35" i="2"/>
  <c r="GN35" i="2" s="1"/>
  <c r="EL35" i="2"/>
  <c r="EK35" i="2" s="1"/>
  <c r="GM35" i="2" s="1"/>
  <c r="HB37" i="2"/>
  <c r="X39" i="2"/>
  <c r="W39" i="2" s="1"/>
  <c r="GP39" i="2"/>
  <c r="GO39" i="2" s="1"/>
  <c r="BQ39" i="2"/>
  <c r="GL39" i="2"/>
  <c r="GN39" i="2"/>
  <c r="AT137" i="2"/>
  <c r="AS41" i="2"/>
  <c r="GD41" i="2" s="1"/>
  <c r="BV43" i="2"/>
  <c r="BU43" i="2" s="1"/>
  <c r="W43" i="2"/>
  <c r="EO45" i="2"/>
  <c r="GP45" i="2"/>
  <c r="GO45" i="2" s="1"/>
  <c r="FX49" i="2"/>
  <c r="FQ49" i="2"/>
  <c r="DW49" i="2"/>
  <c r="GL49" i="2" s="1"/>
  <c r="CN58" i="2"/>
  <c r="CM56" i="2" s="1"/>
  <c r="CA56" i="2"/>
  <c r="CN65" i="2"/>
  <c r="CM65" i="2" s="1"/>
  <c r="CA65" i="2"/>
  <c r="AM137" i="2"/>
  <c r="CN4" i="2"/>
  <c r="CN6" i="2"/>
  <c r="BT15" i="2"/>
  <c r="BS15" i="2" s="1"/>
  <c r="FQ15" i="2"/>
  <c r="GY15" i="2"/>
  <c r="DH16" i="2"/>
  <c r="GV18" i="2"/>
  <c r="FQ20" i="2"/>
  <c r="HB20" i="2" s="1"/>
  <c r="CB22" i="2"/>
  <c r="GY22" i="2"/>
  <c r="U24" i="2"/>
  <c r="CI24" i="2"/>
  <c r="CY24" i="2"/>
  <c r="GV24" i="2"/>
  <c r="CI29" i="2"/>
  <c r="CY29" i="2"/>
  <c r="FU29" i="2" s="1"/>
  <c r="FP29" i="2"/>
  <c r="CI31" i="2"/>
  <c r="GY31" i="2"/>
  <c r="BX35" i="2"/>
  <c r="BN37" i="2"/>
  <c r="BM37" i="2" s="1"/>
  <c r="FT39" i="2"/>
  <c r="CB41" i="2"/>
  <c r="CY41" i="2"/>
  <c r="FU41" i="2" s="1"/>
  <c r="CW41" i="2"/>
  <c r="S45" i="2"/>
  <c r="BP45" i="2"/>
  <c r="BN45" i="2"/>
  <c r="BM45" i="2" s="1"/>
  <c r="DB47" i="2"/>
  <c r="DA47" i="2" s="1"/>
  <c r="CY47" i="2"/>
  <c r="FU47" i="2" s="1"/>
  <c r="DH47" i="2"/>
  <c r="CW47" i="2"/>
  <c r="FG51" i="2"/>
  <c r="GX51" i="2" s="1"/>
  <c r="BV66" i="2"/>
  <c r="GU4" i="2"/>
  <c r="GD6" i="2"/>
  <c r="X10" i="2"/>
  <c r="CB10" i="2"/>
  <c r="CN10" i="2" s="1"/>
  <c r="BV10" i="2" s="1"/>
  <c r="GG12" i="2"/>
  <c r="CB24" i="2"/>
  <c r="GY29" i="2"/>
  <c r="CW37" i="2"/>
  <c r="AF41" i="2"/>
  <c r="BN41" i="2"/>
  <c r="BM41" i="2" s="1"/>
  <c r="DB41" i="2"/>
  <c r="DA41" i="2" s="1"/>
  <c r="GV41" i="2"/>
  <c r="GZ41" i="2"/>
  <c r="EN43" i="2"/>
  <c r="CX43" i="2"/>
  <c r="FT43" i="2" s="1"/>
  <c r="EL43" i="2"/>
  <c r="EK43" i="2" s="1"/>
  <c r="GM43" i="2" s="1"/>
  <c r="GG43" i="2"/>
  <c r="DY43" i="2"/>
  <c r="CW45" i="2"/>
  <c r="CY45" i="2"/>
  <c r="FU45" i="2" s="1"/>
  <c r="AC49" i="2"/>
  <c r="DA53" i="2"/>
  <c r="BV56" i="2"/>
  <c r="BV62" i="2"/>
  <c r="AJ68" i="2"/>
  <c r="AF70" i="2"/>
  <c r="AE68" i="2" s="1"/>
  <c r="FZ68" i="2" s="1"/>
  <c r="GD4" i="2"/>
  <c r="DX4" i="2"/>
  <c r="CW6" i="2"/>
  <c r="CN7" i="2"/>
  <c r="BV7" i="2" s="1"/>
  <c r="GZ15" i="2"/>
  <c r="BC137" i="2"/>
  <c r="BY137" i="2"/>
  <c r="CH137" i="2"/>
  <c r="DK137" i="2"/>
  <c r="FD137" i="2"/>
  <c r="FN137" i="2"/>
  <c r="FX4" i="2"/>
  <c r="GF4" i="2"/>
  <c r="GF137" i="2" s="1"/>
  <c r="GV4" i="2"/>
  <c r="DH6" i="2"/>
  <c r="CB9" i="2"/>
  <c r="DB10" i="2"/>
  <c r="DX12" i="2"/>
  <c r="EL16" i="2"/>
  <c r="EK15" i="2" s="1"/>
  <c r="AD18" i="2"/>
  <c r="BR18" i="2"/>
  <c r="BQ18" i="2" s="1"/>
  <c r="CB18" i="2"/>
  <c r="X20" i="2"/>
  <c r="CB20" i="2"/>
  <c r="CN20" i="2" s="1"/>
  <c r="BV20" i="2" s="1"/>
  <c r="X22" i="2"/>
  <c r="EL27" i="2"/>
  <c r="AD29" i="2"/>
  <c r="U31" i="2"/>
  <c r="FU31" i="2" s="1"/>
  <c r="CG33" i="2"/>
  <c r="DH37" i="2"/>
  <c r="CG39" i="2"/>
  <c r="DN39" i="2"/>
  <c r="DN137" i="2" s="1"/>
  <c r="FQ39" i="2"/>
  <c r="HB39" i="2" s="1"/>
  <c r="AD43" i="2"/>
  <c r="AC43" i="2" s="1"/>
  <c r="FU43" i="2"/>
  <c r="GJ43" i="2"/>
  <c r="GJ137" i="2" s="1"/>
  <c r="GY43" i="2"/>
  <c r="X45" i="2"/>
  <c r="W45" i="2" s="1"/>
  <c r="DB45" i="2"/>
  <c r="DA45" i="2" s="1"/>
  <c r="GZ49" i="2"/>
  <c r="CG49" i="2"/>
  <c r="FU62" i="2"/>
  <c r="AR4" i="2"/>
  <c r="AD4" i="2" s="1"/>
  <c r="BQ4" i="2"/>
  <c r="CA4" i="2"/>
  <c r="CI4" i="2"/>
  <c r="EA4" i="2"/>
  <c r="EA137" i="2" s="1"/>
  <c r="EU4" i="2"/>
  <c r="FY4" i="2"/>
  <c r="X9" i="2"/>
  <c r="W9" i="2" s="1"/>
  <c r="EM9" i="2"/>
  <c r="GN9" i="2" s="1"/>
  <c r="AA12" i="2"/>
  <c r="FX12" i="2" s="1"/>
  <c r="DY12" i="2"/>
  <c r="DY137" i="2" s="1"/>
  <c r="EG12" i="2"/>
  <c r="X24" i="2"/>
  <c r="ET33" i="2"/>
  <c r="ES33" i="2" s="1"/>
  <c r="HC33" i="2" s="1"/>
  <c r="FF33" i="2"/>
  <c r="CC35" i="2"/>
  <c r="CN43" i="2"/>
  <c r="CM43" i="2" s="1"/>
  <c r="CC43" i="2"/>
  <c r="GI43" i="2"/>
  <c r="EC43" i="2"/>
  <c r="BV45" i="2"/>
  <c r="BU45" i="2" s="1"/>
  <c r="FG63" i="2"/>
  <c r="GX63" i="2" s="1"/>
  <c r="GL65" i="2"/>
  <c r="ER69" i="2"/>
  <c r="GP69" i="2"/>
  <c r="GY4" i="2"/>
  <c r="DH15" i="2"/>
  <c r="AY29" i="2"/>
  <c r="GL29" i="2" s="1"/>
  <c r="CE29" i="2"/>
  <c r="AY31" i="2"/>
  <c r="FV39" i="2"/>
  <c r="CI41" i="2"/>
  <c r="HA41" i="2"/>
  <c r="FG41" i="2"/>
  <c r="DG41" i="2"/>
  <c r="BT43" i="2"/>
  <c r="BS43" i="2" s="1"/>
  <c r="BO43" i="2"/>
  <c r="FX45" i="2"/>
  <c r="BT49" i="2"/>
  <c r="BS49" i="2" s="1"/>
  <c r="BR49" i="2"/>
  <c r="BO49" i="2"/>
  <c r="DW53" i="2"/>
  <c r="GL53" i="2" s="1"/>
  <c r="FQ53" i="2"/>
  <c r="EV59" i="2"/>
  <c r="GR59" i="2" s="1"/>
  <c r="ER59" i="2"/>
  <c r="EP59" i="2"/>
  <c r="GP59" i="2" s="1"/>
  <c r="FA59" i="2"/>
  <c r="FG70" i="2"/>
  <c r="FZ4" i="2"/>
  <c r="X41" i="2"/>
  <c r="W41" i="2" s="1"/>
  <c r="GK43" i="2"/>
  <c r="EG43" i="2"/>
  <c r="DG45" i="2"/>
  <c r="FG45" i="2"/>
  <c r="GX66" i="2"/>
  <c r="ET66" i="2"/>
  <c r="EX66" i="2" s="1"/>
  <c r="GT66" i="2" s="1"/>
  <c r="EU45" i="2"/>
  <c r="HA49" i="2"/>
  <c r="BR50" i="2"/>
  <c r="CW54" i="2"/>
  <c r="HA54" i="2"/>
  <c r="X56" i="2"/>
  <c r="FA56" i="2"/>
  <c r="BN57" i="2"/>
  <c r="BM56" i="2" s="1"/>
  <c r="EN57" i="2"/>
  <c r="AD58" i="2"/>
  <c r="DH58" i="2"/>
  <c r="EP60" i="2"/>
  <c r="GP60" i="2" s="1"/>
  <c r="FP62" i="2"/>
  <c r="X63" i="2"/>
  <c r="W62" i="2" s="1"/>
  <c r="EP63" i="2"/>
  <c r="GP63" i="2" s="1"/>
  <c r="U65" i="2"/>
  <c r="FU65" i="2" s="1"/>
  <c r="CI65" i="2"/>
  <c r="EM65" i="2"/>
  <c r="GN65" i="2" s="1"/>
  <c r="FY65" i="2"/>
  <c r="AD68" i="2"/>
  <c r="CC68" i="2"/>
  <c r="CN68" i="2"/>
  <c r="DW68" i="2"/>
  <c r="GL68" i="2" s="1"/>
  <c r="DH68" i="2"/>
  <c r="EM68" i="2"/>
  <c r="FJ68" i="2"/>
  <c r="HB68" i="2"/>
  <c r="EV69" i="2"/>
  <c r="GR69" i="2" s="1"/>
  <c r="EL70" i="2"/>
  <c r="FQ70" i="2"/>
  <c r="HB70" i="2" s="1"/>
  <c r="BO72" i="2"/>
  <c r="X73" i="2"/>
  <c r="W72" i="2" s="1"/>
  <c r="DH73" i="2"/>
  <c r="HA73" i="2"/>
  <c r="CB76" i="2"/>
  <c r="CN76" i="2" s="1"/>
  <c r="GU78" i="2"/>
  <c r="GX87" i="2"/>
  <c r="ET87" i="2"/>
  <c r="GL87" i="2"/>
  <c r="FG92" i="2"/>
  <c r="ET98" i="2"/>
  <c r="GL100" i="2"/>
  <c r="ER100" i="2"/>
  <c r="EQ100" i="2" s="1"/>
  <c r="EO100" i="2"/>
  <c r="GP100" i="2"/>
  <c r="GO100" i="2" s="1"/>
  <c r="GL108" i="2"/>
  <c r="GM110" i="2"/>
  <c r="CN49" i="2"/>
  <c r="CM49" i="2" s="1"/>
  <c r="FJ49" i="2"/>
  <c r="AD53" i="2"/>
  <c r="EL56" i="2"/>
  <c r="FA58" i="2"/>
  <c r="EL59" i="2"/>
  <c r="FG59" i="2"/>
  <c r="GX59" i="2" s="1"/>
  <c r="BT62" i="2"/>
  <c r="BS62" i="2" s="1"/>
  <c r="DB62" i="2"/>
  <c r="DA62" i="2" s="1"/>
  <c r="FG62" i="2"/>
  <c r="GY62" i="2"/>
  <c r="AD63" i="2"/>
  <c r="BV63" i="2" s="1"/>
  <c r="AF65" i="2"/>
  <c r="BR65" i="2"/>
  <c r="BQ65" i="2" s="1"/>
  <c r="FQ65" i="2"/>
  <c r="BS68" i="2"/>
  <c r="CE68" i="2"/>
  <c r="FP72" i="2"/>
  <c r="HB72" i="2"/>
  <c r="CG75" i="2"/>
  <c r="GY75" i="2"/>
  <c r="FX80" i="2"/>
  <c r="BV82" i="2"/>
  <c r="BU82" i="2" s="1"/>
  <c r="AC82" i="2"/>
  <c r="FP82" i="2"/>
  <c r="HB90" i="2"/>
  <c r="FP90" i="2"/>
  <c r="FG95" i="2"/>
  <c r="GX95" i="2" s="1"/>
  <c r="HB97" i="2"/>
  <c r="FP97" i="2"/>
  <c r="FP100" i="2"/>
  <c r="HB100" i="2"/>
  <c r="AJ114" i="2"/>
  <c r="AF114" i="2"/>
  <c r="BV114" i="2" s="1"/>
  <c r="EN114" i="2"/>
  <c r="CX114" i="2"/>
  <c r="FT114" i="2" s="1"/>
  <c r="EL114" i="2"/>
  <c r="EK114" i="2" s="1"/>
  <c r="CW49" i="2"/>
  <c r="DH49" i="2"/>
  <c r="CW50" i="2"/>
  <c r="U53" i="2"/>
  <c r="CW53" i="2"/>
  <c r="DF53" i="2"/>
  <c r="EC53" i="2"/>
  <c r="EC137" i="2" s="1"/>
  <c r="GG53" i="2"/>
  <c r="AD54" i="2"/>
  <c r="BV54" i="2" s="1"/>
  <c r="BO56" i="2"/>
  <c r="EM56" i="2"/>
  <c r="GN56" i="2" s="1"/>
  <c r="X59" i="2"/>
  <c r="AJ62" i="2"/>
  <c r="AY62" i="2"/>
  <c r="GL62" i="2" s="1"/>
  <c r="CE62" i="2"/>
  <c r="FH62" i="2"/>
  <c r="GZ62" i="2"/>
  <c r="FH65" i="2"/>
  <c r="X66" i="2"/>
  <c r="W65" i="2" s="1"/>
  <c r="X69" i="2"/>
  <c r="W68" i="2" s="1"/>
  <c r="BN69" i="2"/>
  <c r="DH69" i="2"/>
  <c r="GY69" i="2"/>
  <c r="AD75" i="2"/>
  <c r="HB75" i="2"/>
  <c r="FP75" i="2"/>
  <c r="DH78" i="2"/>
  <c r="GM80" i="2"/>
  <c r="EO90" i="2"/>
  <c r="GL92" i="2"/>
  <c r="AC97" i="2"/>
  <c r="BV97" i="2"/>
  <c r="EP97" i="2"/>
  <c r="EV97" i="2"/>
  <c r="EM97" i="2"/>
  <c r="GN97" i="2" s="1"/>
  <c r="GM100" i="2"/>
  <c r="CX102" i="2"/>
  <c r="FT102" i="2" s="1"/>
  <c r="EN102" i="2"/>
  <c r="EL102" i="2"/>
  <c r="EK102" i="2" s="1"/>
  <c r="GM102" i="2" s="1"/>
  <c r="EV56" i="2"/>
  <c r="GV58" i="2"/>
  <c r="BV69" i="2"/>
  <c r="HA75" i="2"/>
  <c r="CI75" i="2"/>
  <c r="CN85" i="2"/>
  <c r="CA85" i="2"/>
  <c r="FG88" i="2"/>
  <c r="FF87" i="2" s="1"/>
  <c r="DG87" i="2"/>
  <c r="FA93" i="2"/>
  <c r="EV93" i="2"/>
  <c r="ER93" i="2"/>
  <c r="EP93" i="2"/>
  <c r="GP93" i="2" s="1"/>
  <c r="GL119" i="2"/>
  <c r="CY49" i="2"/>
  <c r="FU49" i="2" s="1"/>
  <c r="DB50" i="2"/>
  <c r="CW51" i="2"/>
  <c r="CY53" i="2"/>
  <c r="FU53" i="2" s="1"/>
  <c r="DH53" i="2"/>
  <c r="EE53" i="2"/>
  <c r="GI53" i="2"/>
  <c r="CC56" i="2"/>
  <c r="DX56" i="2"/>
  <c r="EP58" i="2"/>
  <c r="GP58" i="2" s="1"/>
  <c r="GY59" i="2"/>
  <c r="BO62" i="2"/>
  <c r="CW62" i="2"/>
  <c r="GY66" i="2"/>
  <c r="CI68" i="2"/>
  <c r="BR70" i="2"/>
  <c r="GP70" i="2" s="1"/>
  <c r="BT72" i="2"/>
  <c r="BS72" i="2" s="1"/>
  <c r="U75" i="2"/>
  <c r="FU75" i="2" s="1"/>
  <c r="BN75" i="2"/>
  <c r="BM75" i="2" s="1"/>
  <c r="X76" i="2"/>
  <c r="W75" i="2" s="1"/>
  <c r="BV77" i="2"/>
  <c r="GT77" i="2" s="1"/>
  <c r="BV80" i="2"/>
  <c r="BU80" i="2" s="1"/>
  <c r="AC80" i="2"/>
  <c r="FG82" i="2"/>
  <c r="DW82" i="2"/>
  <c r="GL82" i="2" s="1"/>
  <c r="DH83" i="2"/>
  <c r="DB83" i="2"/>
  <c r="DA82" i="2" s="1"/>
  <c r="CY82" i="2"/>
  <c r="FU82" i="2" s="1"/>
  <c r="CW83" i="2"/>
  <c r="GM85" i="2"/>
  <c r="EV87" i="2"/>
  <c r="EP87" i="2"/>
  <c r="FG93" i="2"/>
  <c r="GX93" i="2" s="1"/>
  <c r="BQ97" i="2"/>
  <c r="GL104" i="2"/>
  <c r="X53" i="2"/>
  <c r="EP56" i="2"/>
  <c r="GY56" i="2"/>
  <c r="ER58" i="2"/>
  <c r="GY65" i="2"/>
  <c r="DH72" i="2"/>
  <c r="CA75" i="2"/>
  <c r="GP78" i="2"/>
  <c r="HB85" i="2"/>
  <c r="FP85" i="2"/>
  <c r="BV94" i="2"/>
  <c r="EZ119" i="2"/>
  <c r="EY119" i="2" s="1"/>
  <c r="DB51" i="2"/>
  <c r="DA49" i="2" s="1"/>
  <c r="EG53" i="2"/>
  <c r="BR54" i="2"/>
  <c r="BQ53" i="2" s="1"/>
  <c r="CG65" i="2"/>
  <c r="DH65" i="2"/>
  <c r="BN66" i="2"/>
  <c r="BM65" i="2" s="1"/>
  <c r="EP66" i="2"/>
  <c r="BO68" i="2"/>
  <c r="BN70" i="2"/>
  <c r="CB70" i="2"/>
  <c r="CN70" i="2" s="1"/>
  <c r="FU72" i="2"/>
  <c r="CN75" i="2"/>
  <c r="CW76" i="2"/>
  <c r="DH76" i="2"/>
  <c r="ER80" i="2"/>
  <c r="EQ80" i="2" s="1"/>
  <c r="EP80" i="2"/>
  <c r="EV80" i="2"/>
  <c r="EM80" i="2"/>
  <c r="GN80" i="2" s="1"/>
  <c r="ET106" i="2"/>
  <c r="EK68" i="2"/>
  <c r="GZ68" i="2"/>
  <c r="AD73" i="2"/>
  <c r="BN73" i="2"/>
  <c r="CB73" i="2"/>
  <c r="CN73" i="2" s="1"/>
  <c r="CM72" i="2" s="1"/>
  <c r="CW75" i="2"/>
  <c r="DH75" i="2"/>
  <c r="GL75" i="2"/>
  <c r="BV76" i="2"/>
  <c r="BT76" i="2"/>
  <c r="BS75" i="2" s="1"/>
  <c r="BR76" i="2"/>
  <c r="BQ75" i="2" s="1"/>
  <c r="GX77" i="2"/>
  <c r="DH85" i="2"/>
  <c r="DC85" i="2"/>
  <c r="DC137" i="2" s="1"/>
  <c r="DB85" i="2"/>
  <c r="DA85" i="2" s="1"/>
  <c r="FX87" i="2"/>
  <c r="FW97" i="2"/>
  <c r="CN104" i="2"/>
  <c r="BN72" i="2"/>
  <c r="CN78" i="2"/>
  <c r="BV78" i="2" s="1"/>
  <c r="CW82" i="2"/>
  <c r="X83" i="2"/>
  <c r="W82" i="2" s="1"/>
  <c r="AD87" i="2"/>
  <c r="EN88" i="2"/>
  <c r="AZ90" i="2"/>
  <c r="DW90" i="2"/>
  <c r="GV90" i="2"/>
  <c r="CY92" i="2"/>
  <c r="FU92" i="2" s="1"/>
  <c r="BT93" i="2"/>
  <c r="DH94" i="2"/>
  <c r="BT95" i="2"/>
  <c r="CW95" i="2"/>
  <c r="FV97" i="2"/>
  <c r="BT98" i="2"/>
  <c r="EM100" i="2"/>
  <c r="GN100" i="2" s="1"/>
  <c r="FG100" i="2"/>
  <c r="FP102" i="2"/>
  <c r="GY102" i="2"/>
  <c r="X104" i="2"/>
  <c r="AD106" i="2"/>
  <c r="DB108" i="2"/>
  <c r="DA108" i="2" s="1"/>
  <c r="FY108" i="2"/>
  <c r="HB110" i="2"/>
  <c r="EN112" i="2"/>
  <c r="BO114" i="2"/>
  <c r="BT114" i="2"/>
  <c r="BS114" i="2" s="1"/>
  <c r="CC114" i="2"/>
  <c r="FH114" i="2"/>
  <c r="DH115" i="2"/>
  <c r="EN115" i="2"/>
  <c r="CG117" i="2"/>
  <c r="GV117" i="2"/>
  <c r="EG121" i="2"/>
  <c r="FJ121" i="2"/>
  <c r="GY121" i="2"/>
  <c r="AY125" i="2"/>
  <c r="DW125" i="2"/>
  <c r="FQ125" i="2"/>
  <c r="ET127" i="2"/>
  <c r="BJ131" i="2"/>
  <c r="X131" i="2"/>
  <c r="W131" i="2" s="1"/>
  <c r="FW10" i="3"/>
  <c r="DX10" i="3"/>
  <c r="EV100" i="2"/>
  <c r="GH114" i="2"/>
  <c r="HB119" i="2"/>
  <c r="FP119" i="2"/>
  <c r="DW121" i="2"/>
  <c r="GL121" i="2" s="1"/>
  <c r="DH121" i="2"/>
  <c r="BP123" i="2"/>
  <c r="BN123" i="2"/>
  <c r="BM123" i="2" s="1"/>
  <c r="AC125" i="2"/>
  <c r="ER134" i="2"/>
  <c r="EP134" i="2"/>
  <c r="GP134" i="2" s="1"/>
  <c r="FA134" i="2"/>
  <c r="EV134" i="2"/>
  <c r="GR134" i="2" s="1"/>
  <c r="DK13" i="3"/>
  <c r="DJ13" i="3"/>
  <c r="FO13" i="3"/>
  <c r="GY80" i="2"/>
  <c r="GH82" i="2"/>
  <c r="GY82" i="2"/>
  <c r="EV85" i="2"/>
  <c r="BN87" i="2"/>
  <c r="BM87" i="2" s="1"/>
  <c r="FP92" i="2"/>
  <c r="DB95" i="2"/>
  <c r="CB98" i="2"/>
  <c r="CN98" i="2" s="1"/>
  <c r="BV98" i="2" s="1"/>
  <c r="EX98" i="2"/>
  <c r="GB104" i="2"/>
  <c r="EP106" i="2"/>
  <c r="DB114" i="2"/>
  <c r="DA114" i="2" s="1"/>
  <c r="X115" i="2"/>
  <c r="BV115" i="2" s="1"/>
  <c r="S117" i="2"/>
  <c r="BN117" i="2"/>
  <c r="BM117" i="2" s="1"/>
  <c r="FY117" i="2"/>
  <c r="X121" i="2"/>
  <c r="U121" i="2"/>
  <c r="GL123" i="2"/>
  <c r="EM123" i="2"/>
  <c r="EP123" i="2"/>
  <c r="FG126" i="2"/>
  <c r="HB129" i="2"/>
  <c r="FP129" i="2"/>
  <c r="FQ135" i="2"/>
  <c r="HB135" i="2" s="1"/>
  <c r="FM135" i="2"/>
  <c r="GZ135" i="2" s="1"/>
  <c r="GC10" i="3"/>
  <c r="DJ14" i="3"/>
  <c r="DK14" i="3"/>
  <c r="FR14" i="3" s="1"/>
  <c r="FO14" i="3"/>
  <c r="CX80" i="2"/>
  <c r="FT80" i="2" s="1"/>
  <c r="CX87" i="2"/>
  <c r="FT87" i="2" s="1"/>
  <c r="CZ90" i="2"/>
  <c r="GH90" i="2"/>
  <c r="DB92" i="2"/>
  <c r="GY92" i="2"/>
  <c r="DB93" i="2"/>
  <c r="BR94" i="2"/>
  <c r="BQ92" i="2" s="1"/>
  <c r="CX97" i="2"/>
  <c r="FT97" i="2" s="1"/>
  <c r="EL97" i="2"/>
  <c r="EK97" i="2" s="1"/>
  <c r="GM97" i="2" s="1"/>
  <c r="X98" i="2"/>
  <c r="W97" i="2" s="1"/>
  <c r="AD100" i="2"/>
  <c r="DB104" i="2"/>
  <c r="DA104" i="2" s="1"/>
  <c r="BN106" i="2"/>
  <c r="BM104" i="2" s="1"/>
  <c r="DH108" i="2"/>
  <c r="AD110" i="2"/>
  <c r="EP110" i="2"/>
  <c r="DH112" i="2"/>
  <c r="DB112" i="2"/>
  <c r="DA112" i="2" s="1"/>
  <c r="ER119" i="2"/>
  <c r="EQ119" i="2" s="1"/>
  <c r="EP119" i="2"/>
  <c r="EV119" i="2"/>
  <c r="EM119" i="2"/>
  <c r="FG119" i="2"/>
  <c r="ET119" i="2" s="1"/>
  <c r="FQ121" i="2"/>
  <c r="HB126" i="2"/>
  <c r="EL131" i="2"/>
  <c r="EK131" i="2" s="1"/>
  <c r="FT131" i="2"/>
  <c r="CW131" i="2"/>
  <c r="EN131" i="2"/>
  <c r="FG134" i="2"/>
  <c r="CY80" i="2"/>
  <c r="FU80" i="2" s="1"/>
  <c r="DX80" i="2"/>
  <c r="BN82" i="2"/>
  <c r="BM82" i="2" s="1"/>
  <c r="EP85" i="2"/>
  <c r="X87" i="2"/>
  <c r="CY87" i="2"/>
  <c r="FU87" i="2" s="1"/>
  <c r="EL87" i="2"/>
  <c r="EK87" i="2" s="1"/>
  <c r="GM87" i="2" s="1"/>
  <c r="X88" i="2"/>
  <c r="CB88" i="2"/>
  <c r="CN88" i="2" s="1"/>
  <c r="CM87" i="2" s="1"/>
  <c r="DB88" i="2"/>
  <c r="DA87" i="2" s="1"/>
  <c r="EM90" i="2"/>
  <c r="GN90" i="2" s="1"/>
  <c r="EV90" i="2"/>
  <c r="FG97" i="2"/>
  <c r="U100" i="2"/>
  <c r="FU100" i="2" s="1"/>
  <c r="AD104" i="2"/>
  <c r="DH105" i="2"/>
  <c r="EL108" i="2"/>
  <c r="EK108" i="2" s="1"/>
  <c r="FQ112" i="2"/>
  <c r="U114" i="2"/>
  <c r="FU114" i="2" s="1"/>
  <c r="FY114" i="2"/>
  <c r="EE114" i="2"/>
  <c r="CN115" i="2"/>
  <c r="CM114" i="2" s="1"/>
  <c r="BP117" i="2"/>
  <c r="DH117" i="2"/>
  <c r="DW117" i="2"/>
  <c r="GL117" i="2" s="1"/>
  <c r="GY119" i="2"/>
  <c r="GH121" i="2"/>
  <c r="EV123" i="2"/>
  <c r="GU125" i="2"/>
  <c r="BW125" i="2"/>
  <c r="CN125" i="2"/>
  <c r="CK125" i="2"/>
  <c r="CK137" i="2" s="1"/>
  <c r="GQ125" i="2"/>
  <c r="GY126" i="2"/>
  <c r="FJ129" i="2"/>
  <c r="GY129" i="2"/>
  <c r="FJ131" i="2"/>
  <c r="GY131" i="2"/>
  <c r="X80" i="2"/>
  <c r="W80" i="2" s="1"/>
  <c r="EG80" i="2"/>
  <c r="AD88" i="2"/>
  <c r="BV88" i="2" s="1"/>
  <c r="BR90" i="2"/>
  <c r="BQ90" i="2" s="1"/>
  <c r="CW94" i="2"/>
  <c r="GZ94" i="2"/>
  <c r="FX104" i="2"/>
  <c r="EX106" i="2"/>
  <c r="BN108" i="2"/>
  <c r="BM108" i="2" s="1"/>
  <c r="FJ108" i="2"/>
  <c r="EG114" i="2"/>
  <c r="GY114" i="2"/>
  <c r="BN115" i="2"/>
  <c r="BM114" i="2" s="1"/>
  <c r="GM123" i="2"/>
  <c r="CN126" i="2"/>
  <c r="BV126" i="2" s="1"/>
  <c r="EV135" i="2"/>
  <c r="GR135" i="2" s="1"/>
  <c r="ER135" i="2"/>
  <c r="EP135" i="2"/>
  <c r="GP135" i="2" s="1"/>
  <c r="FA135" i="2"/>
  <c r="FK6" i="3"/>
  <c r="DV6" i="3"/>
  <c r="GA6" i="3" s="1"/>
  <c r="CW9" i="3"/>
  <c r="FK9" i="3"/>
  <c r="FJ9" i="3" s="1"/>
  <c r="DV9" i="3"/>
  <c r="GA9" i="3" s="1"/>
  <c r="FO12" i="3"/>
  <c r="DK12" i="3"/>
  <c r="FR12" i="3" s="1"/>
  <c r="DJ12" i="3"/>
  <c r="CW92" i="2"/>
  <c r="EL93" i="2"/>
  <c r="EL105" i="2"/>
  <c r="CB106" i="2"/>
  <c r="CN106" i="2" s="1"/>
  <c r="FX112" i="2"/>
  <c r="EL112" i="2"/>
  <c r="EK112" i="2" s="1"/>
  <c r="GM112" i="2" s="1"/>
  <c r="W114" i="2"/>
  <c r="DX114" i="2"/>
  <c r="DH114" i="2" s="1"/>
  <c r="U119" i="2"/>
  <c r="FU119" i="2" s="1"/>
  <c r="AD119" i="2"/>
  <c r="T119" i="2"/>
  <c r="BN121" i="2"/>
  <c r="BM121" i="2" s="1"/>
  <c r="GM121" i="2" s="1"/>
  <c r="FU121" i="2"/>
  <c r="EO121" i="2"/>
  <c r="GP121" i="2"/>
  <c r="DH125" i="2"/>
  <c r="CW125" i="2"/>
  <c r="DB125" i="2"/>
  <c r="BX129" i="2"/>
  <c r="BT129" i="2"/>
  <c r="FA133" i="2"/>
  <c r="ER133" i="2"/>
  <c r="EQ133" i="2" s="1"/>
  <c r="EP133" i="2"/>
  <c r="EV133" i="2"/>
  <c r="EM133" i="2"/>
  <c r="GN133" i="2" s="1"/>
  <c r="EL12" i="3"/>
  <c r="BO92" i="2"/>
  <c r="CX100" i="2"/>
  <c r="FT100" i="2" s="1"/>
  <c r="CW104" i="2"/>
  <c r="DH104" i="2"/>
  <c r="EP105" i="2"/>
  <c r="BT110" i="2"/>
  <c r="BS110" i="2" s="1"/>
  <c r="BO110" i="2"/>
  <c r="GN110" i="2" s="1"/>
  <c r="GL110" i="2"/>
  <c r="EV110" i="2"/>
  <c r="AC112" i="2"/>
  <c r="GP117" i="2"/>
  <c r="GO117" i="2" s="1"/>
  <c r="EO117" i="2"/>
  <c r="CB119" i="2"/>
  <c r="CA119" i="2" s="1"/>
  <c r="FX119" i="2"/>
  <c r="CN121" i="2"/>
  <c r="CM121" i="2" s="1"/>
  <c r="CC121" i="2"/>
  <c r="AE125" i="2"/>
  <c r="FZ125" i="2" s="1"/>
  <c r="EV108" i="2"/>
  <c r="U123" i="2"/>
  <c r="FU123" i="2" s="1"/>
  <c r="HB123" i="2"/>
  <c r="EO125" i="2"/>
  <c r="ET129" i="2"/>
  <c r="AD133" i="2"/>
  <c r="CW133" i="2"/>
  <c r="FT133" i="2" s="1"/>
  <c r="FM134" i="2"/>
  <c r="GZ134" i="2" s="1"/>
  <c r="DB135" i="2"/>
  <c r="DA133" i="2" s="1"/>
  <c r="EL135" i="2"/>
  <c r="CC5" i="3"/>
  <c r="DR285" i="3"/>
  <c r="EF285" i="3"/>
  <c r="FV285" i="3"/>
  <c r="CN7" i="3"/>
  <c r="Y9" i="3"/>
  <c r="BK9" i="3" s="1"/>
  <c r="AD12" i="3"/>
  <c r="CH12" i="3"/>
  <c r="EB13" i="3"/>
  <c r="CX14" i="3"/>
  <c r="FA14" i="3"/>
  <c r="EZ12" i="3" s="1"/>
  <c r="BU15" i="3"/>
  <c r="EB17" i="3"/>
  <c r="V17" i="3"/>
  <c r="EA17" i="3" s="1"/>
  <c r="BE17" i="3"/>
  <c r="BD17" i="3" s="1"/>
  <c r="DG17" i="3"/>
  <c r="FG17" i="3"/>
  <c r="FF17" i="3" s="1"/>
  <c r="DJ19" i="3"/>
  <c r="CX21" i="3"/>
  <c r="DK22" i="3"/>
  <c r="FR22" i="3" s="1"/>
  <c r="DJ22" i="3"/>
  <c r="T24" i="3"/>
  <c r="BE24" i="3"/>
  <c r="FO24" i="3"/>
  <c r="BE25" i="3"/>
  <c r="BU28" i="3"/>
  <c r="BT28" i="3" s="1"/>
  <c r="FH33" i="3"/>
  <c r="BK36" i="3"/>
  <c r="DE38" i="3"/>
  <c r="BR285" i="3"/>
  <c r="FZ43" i="3"/>
  <c r="FF55" i="3"/>
  <c r="DK56" i="3"/>
  <c r="FR56" i="3" s="1"/>
  <c r="DJ56" i="3"/>
  <c r="FO56" i="3"/>
  <c r="FM66" i="3"/>
  <c r="DH67" i="3"/>
  <c r="DF67" i="3"/>
  <c r="DE66" i="3" s="1"/>
  <c r="CE123" i="2"/>
  <c r="CW126" i="2"/>
  <c r="EL126" i="2" s="1"/>
  <c r="EX127" i="2"/>
  <c r="GT127" i="2" s="1"/>
  <c r="DW129" i="2"/>
  <c r="GL129" i="2" s="1"/>
  <c r="EU129" i="2"/>
  <c r="FF129" i="2"/>
  <c r="DB131" i="2"/>
  <c r="FF131" i="2"/>
  <c r="U133" i="2"/>
  <c r="FU133" i="2" s="1"/>
  <c r="EE133" i="2"/>
  <c r="FQ134" i="2"/>
  <c r="HB134" i="2" s="1"/>
  <c r="DH135" i="2"/>
  <c r="FX5" i="3"/>
  <c r="ER5" i="3"/>
  <c r="AL6" i="3"/>
  <c r="AL7" i="3"/>
  <c r="DH7" i="3"/>
  <c r="BJ9" i="3"/>
  <c r="CN9" i="3"/>
  <c r="CH9" i="3"/>
  <c r="CG9" i="3" s="1"/>
  <c r="EB12" i="3"/>
  <c r="DF13" i="3"/>
  <c r="BK17" i="3"/>
  <c r="EM17" i="3"/>
  <c r="EL17" i="3" s="1"/>
  <c r="AA19" i="3"/>
  <c r="DK19" i="3"/>
  <c r="FR19" i="3" s="1"/>
  <c r="EB19" i="3"/>
  <c r="FO19" i="3"/>
  <c r="FN19" i="3" s="1"/>
  <c r="CH21" i="3"/>
  <c r="CG21" i="3" s="1"/>
  <c r="DP24" i="3"/>
  <c r="FQ24" i="3"/>
  <c r="CF25" i="3"/>
  <c r="Y25" i="3"/>
  <c r="BN25" i="3"/>
  <c r="BU25" i="3" s="1"/>
  <c r="Y31" i="3"/>
  <c r="BE31" i="3"/>
  <c r="BD31" i="3" s="1"/>
  <c r="AL31" i="3"/>
  <c r="V31" i="3"/>
  <c r="BN31" i="3"/>
  <c r="BU31" i="3" s="1"/>
  <c r="BT31" i="3" s="1"/>
  <c r="FO33" i="3"/>
  <c r="DK33" i="3"/>
  <c r="FR33" i="3" s="1"/>
  <c r="DJ33" i="3"/>
  <c r="GU127" i="2"/>
  <c r="DW131" i="2"/>
  <c r="DX133" i="2"/>
  <c r="FY133" i="2"/>
  <c r="AT285" i="3"/>
  <c r="CX5" i="3"/>
  <c r="CN5" i="3" s="1"/>
  <c r="FE5" i="3"/>
  <c r="FM6" i="3"/>
  <c r="EB7" i="3"/>
  <c r="BJ13" i="3"/>
  <c r="CJ15" i="3"/>
  <c r="CH15" i="3" s="1"/>
  <c r="AL15" i="3"/>
  <c r="FM15" i="3"/>
  <c r="DJ17" i="3"/>
  <c r="EB21" i="3"/>
  <c r="AL24" i="3"/>
  <c r="CX24" i="3"/>
  <c r="EQ24" i="3"/>
  <c r="EP24" i="3" s="1"/>
  <c r="DJ26" i="3"/>
  <c r="FO26" i="3"/>
  <c r="DK26" i="3"/>
  <c r="FR26" i="3" s="1"/>
  <c r="FK28" i="3"/>
  <c r="DV28" i="3"/>
  <c r="GA28" i="3" s="1"/>
  <c r="DT28" i="3"/>
  <c r="FY28" i="3" s="1"/>
  <c r="FM29" i="3"/>
  <c r="DV52" i="3"/>
  <c r="GA52" i="3" s="1"/>
  <c r="FK52" i="3"/>
  <c r="DV55" i="3"/>
  <c r="GA55" i="3" s="1"/>
  <c r="CW55" i="3"/>
  <c r="FK55" i="3"/>
  <c r="CX123" i="2"/>
  <c r="FT123" i="2" s="1"/>
  <c r="DH123" i="2"/>
  <c r="DB126" i="2"/>
  <c r="FH133" i="2"/>
  <c r="GH133" i="2"/>
  <c r="GY133" i="2"/>
  <c r="EJ5" i="3"/>
  <c r="FZ285" i="3"/>
  <c r="DH6" i="3"/>
  <c r="AD9" i="3"/>
  <c r="FH9" i="3"/>
  <c r="AL12" i="3"/>
  <c r="CX13" i="3"/>
  <c r="AB17" i="3"/>
  <c r="BJ17" i="3"/>
  <c r="FR17" i="3" s="1"/>
  <c r="CX22" i="3"/>
  <c r="FC22" i="3"/>
  <c r="FB21" i="3" s="1"/>
  <c r="BU24" i="3"/>
  <c r="BT24" i="3" s="1"/>
  <c r="EZ24" i="3"/>
  <c r="BE28" i="3"/>
  <c r="BD28" i="3" s="1"/>
  <c r="T28" i="3"/>
  <c r="DH28" i="3"/>
  <c r="DF28" i="3"/>
  <c r="CD28" i="3"/>
  <c r="FQ29" i="3"/>
  <c r="FX33" i="3"/>
  <c r="DV42" i="3"/>
  <c r="GA42" i="3" s="1"/>
  <c r="FK42" i="3"/>
  <c r="CN42" i="3"/>
  <c r="CW49" i="3"/>
  <c r="DV49" i="3"/>
  <c r="GA49" i="3" s="1"/>
  <c r="CN49" i="3"/>
  <c r="FK49" i="3"/>
  <c r="FJ49" i="3" s="1"/>
  <c r="DF51" i="3"/>
  <c r="DH51" i="3"/>
  <c r="EL134" i="2"/>
  <c r="EK133" i="2" s="1"/>
  <c r="CH5" i="3"/>
  <c r="EV5" i="3"/>
  <c r="FG5" i="3"/>
  <c r="CN6" i="3"/>
  <c r="EB6" i="3"/>
  <c r="EB9" i="3"/>
  <c r="V12" i="3"/>
  <c r="BU12" i="3"/>
  <c r="BT12" i="3" s="1"/>
  <c r="DF12" i="3"/>
  <c r="DH15" i="3"/>
  <c r="FU19" i="3"/>
  <c r="AD21" i="3"/>
  <c r="BK22" i="3"/>
  <c r="FO22" i="3"/>
  <c r="AL25" i="3"/>
  <c r="BK25" i="3" s="1"/>
  <c r="AL26" i="3"/>
  <c r="BK26" i="3" s="1"/>
  <c r="EM26" i="3"/>
  <c r="EL24" i="3" s="1"/>
  <c r="AD24" i="3"/>
  <c r="DP29" i="3"/>
  <c r="CC31" i="3"/>
  <c r="EB31" i="3"/>
  <c r="CH31" i="3"/>
  <c r="CG31" i="3" s="1"/>
  <c r="CE31" i="3"/>
  <c r="EA31" i="3" s="1"/>
  <c r="CN31" i="3"/>
  <c r="FA33" i="3"/>
  <c r="EZ33" i="3" s="1"/>
  <c r="CX33" i="3"/>
  <c r="FB42" i="3"/>
  <c r="BU43" i="3"/>
  <c r="V5" i="3"/>
  <c r="EX5" i="3"/>
  <c r="FH5" i="3"/>
  <c r="BE9" i="3"/>
  <c r="Y10" i="3"/>
  <c r="BE10" i="3"/>
  <c r="CD12" i="3"/>
  <c r="DZ12" i="3" s="1"/>
  <c r="BE13" i="3"/>
  <c r="Y13" i="3"/>
  <c r="BK13" i="3" s="1"/>
  <c r="BE14" i="3"/>
  <c r="BD12" i="3" s="1"/>
  <c r="Y14" i="3"/>
  <c r="DF14" i="3"/>
  <c r="FM14" i="3" s="1"/>
  <c r="EB14" i="3"/>
  <c r="BT17" i="3"/>
  <c r="BF19" i="3"/>
  <c r="EA19" i="3"/>
  <c r="DE19" i="3"/>
  <c r="CC21" i="3"/>
  <c r="CN21" i="3"/>
  <c r="FD24" i="3"/>
  <c r="DF25" i="3"/>
  <c r="FM25" i="3" s="1"/>
  <c r="DH25" i="3"/>
  <c r="DG24" i="3" s="1"/>
  <c r="CX26" i="3"/>
  <c r="FC26" i="3"/>
  <c r="FB24" i="3" s="1"/>
  <c r="BT42" i="3"/>
  <c r="FK56" i="3"/>
  <c r="CN56" i="3"/>
  <c r="DV56" i="3"/>
  <c r="GA56" i="3" s="1"/>
  <c r="AL5" i="3"/>
  <c r="BE5" i="3"/>
  <c r="EB5" i="3"/>
  <c r="EO285" i="3"/>
  <c r="EN5" i="3"/>
  <c r="U285" i="3"/>
  <c r="BE7" i="3"/>
  <c r="FM7" i="3" s="1"/>
  <c r="AL9" i="3"/>
  <c r="AK9" i="3" s="1"/>
  <c r="EE10" i="3"/>
  <c r="CE12" i="3"/>
  <c r="CX12" i="3"/>
  <c r="CN12" i="3" s="1"/>
  <c r="CX15" i="3"/>
  <c r="AW17" i="3"/>
  <c r="DC17" i="3"/>
  <c r="FI17" i="3" s="1"/>
  <c r="FH17" i="3" s="1"/>
  <c r="CW19" i="3"/>
  <c r="FK19" i="3"/>
  <c r="FJ19" i="3" s="1"/>
  <c r="BF21" i="3"/>
  <c r="CX29" i="3"/>
  <c r="EZ5" i="3"/>
  <c r="CD9" i="3"/>
  <c r="DZ9" i="3" s="1"/>
  <c r="DH9" i="3"/>
  <c r="DF9" i="3"/>
  <c r="BE19" i="3"/>
  <c r="AL19" i="3"/>
  <c r="AK19" i="3" s="1"/>
  <c r="Y19" i="3"/>
  <c r="BK19" i="3" s="1"/>
  <c r="EA21" i="3"/>
  <c r="FK25" i="3"/>
  <c r="DT25" i="3"/>
  <c r="FY25" i="3" s="1"/>
  <c r="DV35" i="3"/>
  <c r="GA35" i="3" s="1"/>
  <c r="CF35" i="3"/>
  <c r="CE33" i="3" s="1"/>
  <c r="EA33" i="3" s="1"/>
  <c r="FK35" i="3"/>
  <c r="CG40" i="3"/>
  <c r="CN40" i="3"/>
  <c r="AE47" i="3"/>
  <c r="AK49" i="3"/>
  <c r="BK49" i="3"/>
  <c r="AD51" i="3"/>
  <c r="EM51" i="3"/>
  <c r="EL51" i="3" s="1"/>
  <c r="AL51" i="3"/>
  <c r="EZ51" i="3"/>
  <c r="AL21" i="3"/>
  <c r="AK21" i="3" s="1"/>
  <c r="Y24" i="3"/>
  <c r="AD28" i="3"/>
  <c r="DK29" i="3"/>
  <c r="FR29" i="3" s="1"/>
  <c r="CN34" i="3"/>
  <c r="EB34" i="3"/>
  <c r="Y35" i="3"/>
  <c r="Y36" i="3"/>
  <c r="CX36" i="3"/>
  <c r="CN36" i="3" s="1"/>
  <c r="CX38" i="3"/>
  <c r="EB40" i="3"/>
  <c r="CC42" i="3"/>
  <c r="BJ43" i="3"/>
  <c r="EM43" i="3"/>
  <c r="EL42" i="3" s="1"/>
  <c r="EB45" i="3"/>
  <c r="CM47" i="3"/>
  <c r="EM49" i="3"/>
  <c r="EL49" i="3" s="1"/>
  <c r="DK52" i="3"/>
  <c r="FR52" i="3" s="1"/>
  <c r="O55" i="3"/>
  <c r="BE55" i="3"/>
  <c r="EZ55" i="3"/>
  <c r="Y56" i="3"/>
  <c r="BK56" i="3" s="1"/>
  <c r="BE56" i="3"/>
  <c r="FE56" i="3"/>
  <c r="FD55" i="3" s="1"/>
  <c r="CC58" i="3"/>
  <c r="EB58" i="3"/>
  <c r="FW58" i="3"/>
  <c r="Y60" i="3"/>
  <c r="BK60" i="3" s="1"/>
  <c r="EM62" i="3"/>
  <c r="EL62" i="3" s="1"/>
  <c r="FU66" i="3"/>
  <c r="AD71" i="3"/>
  <c r="EM71" i="3"/>
  <c r="EL71" i="3" s="1"/>
  <c r="AB73" i="3"/>
  <c r="EI73" i="3"/>
  <c r="FI75" i="3"/>
  <c r="CX75" i="3"/>
  <c r="DK76" i="3"/>
  <c r="FR76" i="3" s="1"/>
  <c r="DJ76" i="3"/>
  <c r="FO76" i="3"/>
  <c r="DK77" i="3"/>
  <c r="FR77" i="3" s="1"/>
  <c r="DJ77" i="3"/>
  <c r="FO77" i="3"/>
  <c r="BI81" i="3"/>
  <c r="BH81" i="3" s="1"/>
  <c r="BF81" i="3"/>
  <c r="BJ81" i="3"/>
  <c r="BI87" i="3"/>
  <c r="BH87" i="3" s="1"/>
  <c r="BF87" i="3"/>
  <c r="BJ87" i="3"/>
  <c r="CE107" i="3"/>
  <c r="EA107" i="3" s="1"/>
  <c r="EB107" i="3"/>
  <c r="CC107" i="3"/>
  <c r="CH107" i="3"/>
  <c r="CG107" i="3" s="1"/>
  <c r="BD109" i="3"/>
  <c r="EB36" i="3"/>
  <c r="DH38" i="3"/>
  <c r="FK40" i="3"/>
  <c r="FJ40" i="3" s="1"/>
  <c r="AL44" i="3"/>
  <c r="CC44" i="3"/>
  <c r="BU53" i="3"/>
  <c r="BT51" i="3" s="1"/>
  <c r="AL55" i="3"/>
  <c r="AK55" i="3" s="1"/>
  <c r="BF55" i="3"/>
  <c r="AK58" i="3"/>
  <c r="BE58" i="3"/>
  <c r="BD58" i="3" s="1"/>
  <c r="CX60" i="3"/>
  <c r="CN67" i="3"/>
  <c r="CH67" i="3"/>
  <c r="Z73" i="3"/>
  <c r="DV73" i="3"/>
  <c r="GA73" i="3" s="1"/>
  <c r="FO75" i="3"/>
  <c r="DK75" i="3"/>
  <c r="FR75" i="3" s="1"/>
  <c r="DJ75" i="3"/>
  <c r="CN77" i="3"/>
  <c r="BH91" i="3"/>
  <c r="FQ91" i="3"/>
  <c r="FP91" i="3" s="1"/>
  <c r="DX44" i="3"/>
  <c r="CD47" i="3"/>
  <c r="DZ47" i="3" s="1"/>
  <c r="DF47" i="3"/>
  <c r="CE51" i="3"/>
  <c r="EB51" i="3"/>
  <c r="FX53" i="3"/>
  <c r="CD55" i="3"/>
  <c r="DZ55" i="3" s="1"/>
  <c r="DH55" i="3"/>
  <c r="DF55" i="3"/>
  <c r="EE58" i="3"/>
  <c r="DE71" i="3"/>
  <c r="FM71" i="3"/>
  <c r="FL71" i="3" s="1"/>
  <c r="CN75" i="3"/>
  <c r="FK77" i="3"/>
  <c r="DV77" i="3"/>
  <c r="GA77" i="3" s="1"/>
  <c r="DV105" i="3"/>
  <c r="GA105" i="3" s="1"/>
  <c r="CW105" i="3"/>
  <c r="FK105" i="3"/>
  <c r="FJ105" i="3" s="1"/>
  <c r="CN28" i="3"/>
  <c r="AL33" i="3"/>
  <c r="BE33" i="3"/>
  <c r="AL38" i="3"/>
  <c r="BE38" i="3"/>
  <c r="BD38" i="3" s="1"/>
  <c r="CC40" i="3"/>
  <c r="DV40" i="3"/>
  <c r="GA40" i="3" s="1"/>
  <c r="BE44" i="3"/>
  <c r="BD42" i="3" s="1"/>
  <c r="CH44" i="3"/>
  <c r="EQ49" i="3"/>
  <c r="EP49" i="3" s="1"/>
  <c r="FB51" i="3"/>
  <c r="FE52" i="3"/>
  <c r="FD51" i="3" s="1"/>
  <c r="GC52" i="3"/>
  <c r="Y53" i="3"/>
  <c r="BK53" i="3" s="1"/>
  <c r="Y55" i="3"/>
  <c r="BK55" i="3" s="1"/>
  <c r="CH58" i="3"/>
  <c r="CG58" i="3" s="1"/>
  <c r="EM66" i="3"/>
  <c r="EL66" i="3" s="1"/>
  <c r="FK67" i="3"/>
  <c r="AL71" i="3"/>
  <c r="AK71" i="3" s="1"/>
  <c r="DH71" i="3"/>
  <c r="AV73" i="3"/>
  <c r="EI75" i="3"/>
  <c r="CK73" i="3"/>
  <c r="EK75" i="3"/>
  <c r="EJ73" i="3" s="1"/>
  <c r="DQ75" i="3"/>
  <c r="CH75" i="3"/>
  <c r="EE75" i="3"/>
  <c r="CI73" i="3"/>
  <c r="DV79" i="3"/>
  <c r="GA79" i="3" s="1"/>
  <c r="FK79" i="3"/>
  <c r="FJ79" i="3" s="1"/>
  <c r="CW79" i="3"/>
  <c r="CN79" i="3"/>
  <c r="DV85" i="3"/>
  <c r="GA85" i="3" s="1"/>
  <c r="FK85" i="3"/>
  <c r="FJ85" i="3" s="1"/>
  <c r="CW85" i="3"/>
  <c r="CN85" i="3"/>
  <c r="DS285" i="3"/>
  <c r="CE28" i="3"/>
  <c r="EA28" i="3" s="1"/>
  <c r="EM29" i="3"/>
  <c r="EL28" i="3" s="1"/>
  <c r="FC29" i="3"/>
  <c r="FB28" i="3" s="1"/>
  <c r="BF33" i="3"/>
  <c r="CK33" i="3"/>
  <c r="CC34" i="3"/>
  <c r="EM34" i="3"/>
  <c r="EL33" i="3" s="1"/>
  <c r="FC35" i="3"/>
  <c r="FB33" i="3" s="1"/>
  <c r="CC36" i="3"/>
  <c r="BF38" i="3"/>
  <c r="BN40" i="3"/>
  <c r="BU40" i="3" s="1"/>
  <c r="BT40" i="3" s="1"/>
  <c r="CE40" i="3"/>
  <c r="CX43" i="3"/>
  <c r="FW44" i="3"/>
  <c r="GC44" i="3" s="1"/>
  <c r="FW47" i="3"/>
  <c r="T49" i="3"/>
  <c r="DZ49" i="3" s="1"/>
  <c r="AI49" i="3"/>
  <c r="FC49" i="3"/>
  <c r="FB49" i="3" s="1"/>
  <c r="FM49" i="3"/>
  <c r="FL49" i="3" s="1"/>
  <c r="CH51" i="3"/>
  <c r="AL52" i="3"/>
  <c r="BK52" i="3" s="1"/>
  <c r="DF53" i="3"/>
  <c r="EB53" i="3"/>
  <c r="CN55" i="3"/>
  <c r="CH55" i="3"/>
  <c r="CG55" i="3" s="1"/>
  <c r="DF56" i="3"/>
  <c r="FM56" i="3" s="1"/>
  <c r="EM64" i="3"/>
  <c r="EL64" i="3" s="1"/>
  <c r="CW66" i="3"/>
  <c r="FK66" i="3"/>
  <c r="CX71" i="3"/>
  <c r="BT73" i="3"/>
  <c r="FD73" i="3"/>
  <c r="CH74" i="3"/>
  <c r="EB74" i="3"/>
  <c r="FM79" i="3"/>
  <c r="FL79" i="3" s="1"/>
  <c r="DE79" i="3"/>
  <c r="FM85" i="3"/>
  <c r="FL85" i="3" s="1"/>
  <c r="DE85" i="3"/>
  <c r="AL28" i="3"/>
  <c r="V40" i="3"/>
  <c r="AL40" i="3"/>
  <c r="BE40" i="3"/>
  <c r="BD40" i="3" s="1"/>
  <c r="EB44" i="3"/>
  <c r="DX52" i="3"/>
  <c r="DL52" i="3" s="1"/>
  <c r="FQ53" i="3"/>
  <c r="CD66" i="3"/>
  <c r="DZ66" i="3" s="1"/>
  <c r="DH66" i="3"/>
  <c r="DH73" i="3"/>
  <c r="DF73" i="3"/>
  <c r="AX285" i="3"/>
  <c r="AW45" i="3"/>
  <c r="AL45" i="3" s="1"/>
  <c r="V51" i="3"/>
  <c r="FF51" i="3"/>
  <c r="DF52" i="3"/>
  <c r="FM52" i="3" s="1"/>
  <c r="BE53" i="3"/>
  <c r="BD51" i="3" s="1"/>
  <c r="CX53" i="3"/>
  <c r="CN53" i="3" s="1"/>
  <c r="FH55" i="3"/>
  <c r="CN66" i="3"/>
  <c r="CH66" i="3"/>
  <c r="CG66" i="3" s="1"/>
  <c r="CE66" i="3"/>
  <c r="EZ66" i="3"/>
  <c r="EB67" i="3"/>
  <c r="CX69" i="3"/>
  <c r="AL73" i="3"/>
  <c r="CH73" i="3"/>
  <c r="EB73" i="3"/>
  <c r="CE73" i="3"/>
  <c r="EA73" i="3" s="1"/>
  <c r="CN73" i="3"/>
  <c r="FH73" i="3"/>
  <c r="FK73" i="3"/>
  <c r="DG95" i="3"/>
  <c r="FO95" i="3"/>
  <c r="FN95" i="3" s="1"/>
  <c r="DK95" i="3"/>
  <c r="FR95" i="3" s="1"/>
  <c r="DJ95" i="3"/>
  <c r="O105" i="3"/>
  <c r="AD105" i="3"/>
  <c r="EM105" i="3"/>
  <c r="EL105" i="3" s="1"/>
  <c r="AD33" i="3"/>
  <c r="CY45" i="3"/>
  <c r="DH47" i="3"/>
  <c r="DH49" i="3"/>
  <c r="DJ52" i="3"/>
  <c r="EB55" i="3"/>
  <c r="EN55" i="3"/>
  <c r="FK58" i="3"/>
  <c r="FJ58" i="3" s="1"/>
  <c r="AV58" i="3"/>
  <c r="AC67" i="3"/>
  <c r="BK67" i="3" s="1"/>
  <c r="BE67" i="3"/>
  <c r="BD66" i="3" s="1"/>
  <c r="V66" i="3"/>
  <c r="CH69" i="3"/>
  <c r="CG69" i="3" s="1"/>
  <c r="CE69" i="3"/>
  <c r="EA69" i="3" s="1"/>
  <c r="CN69" i="3"/>
  <c r="CC69" i="3"/>
  <c r="EB47" i="3"/>
  <c r="Y73" i="3"/>
  <c r="BK73" i="3" s="1"/>
  <c r="CX74" i="3"/>
  <c r="CW73" i="3" s="1"/>
  <c r="AL77" i="3"/>
  <c r="AL79" i="3"/>
  <c r="DJ79" i="3"/>
  <c r="T81" i="3"/>
  <c r="DZ81" i="3" s="1"/>
  <c r="AV81" i="3"/>
  <c r="CH81" i="3"/>
  <c r="CG81" i="3" s="1"/>
  <c r="EB81" i="3"/>
  <c r="CC83" i="3"/>
  <c r="AL85" i="3"/>
  <c r="DJ85" i="3"/>
  <c r="T87" i="3"/>
  <c r="DZ87" i="3" s="1"/>
  <c r="AV87" i="3"/>
  <c r="CH87" i="3"/>
  <c r="CG87" i="3" s="1"/>
  <c r="EB87" i="3"/>
  <c r="DI89" i="3"/>
  <c r="FQ89" i="3"/>
  <c r="FP89" i="3" s="1"/>
  <c r="BJ91" i="3"/>
  <c r="FR91" i="3" s="1"/>
  <c r="DG91" i="3"/>
  <c r="FO91" i="3"/>
  <c r="FN91" i="3" s="1"/>
  <c r="BI93" i="3"/>
  <c r="BH93" i="3" s="1"/>
  <c r="CE93" i="3"/>
  <c r="EA93" i="3" s="1"/>
  <c r="T95" i="3"/>
  <c r="DZ95" i="3" s="1"/>
  <c r="DF95" i="3"/>
  <c r="CC97" i="3"/>
  <c r="V99" i="3"/>
  <c r="BF99" i="3"/>
  <c r="BJ101" i="3"/>
  <c r="Z103" i="3"/>
  <c r="CW103" i="3"/>
  <c r="FX103" i="3"/>
  <c r="V105" i="3"/>
  <c r="EA105" i="3" s="1"/>
  <c r="BE105" i="3"/>
  <c r="BD105" i="3" s="1"/>
  <c r="CH105" i="3"/>
  <c r="CG105" i="3" s="1"/>
  <c r="CN105" i="3"/>
  <c r="CC105" i="3"/>
  <c r="Y107" i="3"/>
  <c r="T109" i="3"/>
  <c r="AI109" i="3"/>
  <c r="DV109" i="3"/>
  <c r="GA109" i="3" s="1"/>
  <c r="DJ110" i="3"/>
  <c r="DK110" i="3"/>
  <c r="FR110" i="3" s="1"/>
  <c r="AL111" i="3"/>
  <c r="BK111" i="3" s="1"/>
  <c r="AL112" i="3"/>
  <c r="BK112" i="3" s="1"/>
  <c r="CH112" i="3"/>
  <c r="DH114" i="3"/>
  <c r="FB114" i="3"/>
  <c r="CX117" i="3"/>
  <c r="AL126" i="3"/>
  <c r="EZ126" i="3"/>
  <c r="FK137" i="3"/>
  <c r="FJ137" i="3" s="1"/>
  <c r="DT137" i="3"/>
  <c r="FY137" i="3" s="1"/>
  <c r="CW137" i="3"/>
  <c r="DV137" i="3"/>
  <c r="GA137" i="3" s="1"/>
  <c r="GC139" i="3"/>
  <c r="FA77" i="3"/>
  <c r="EZ73" i="3" s="1"/>
  <c r="DK79" i="3"/>
  <c r="FR79" i="3" s="1"/>
  <c r="FO79" i="3"/>
  <c r="FN79" i="3" s="1"/>
  <c r="DK85" i="3"/>
  <c r="FR85" i="3" s="1"/>
  <c r="FO85" i="3"/>
  <c r="FN85" i="3" s="1"/>
  <c r="CC93" i="3"/>
  <c r="BE97" i="3"/>
  <c r="BD97" i="3" s="1"/>
  <c r="FY97" i="3"/>
  <c r="BE99" i="3"/>
  <c r="BD99" i="3" s="1"/>
  <c r="Y99" i="3"/>
  <c r="DV103" i="3"/>
  <c r="GA103" i="3" s="1"/>
  <c r="AL105" i="3"/>
  <c r="AK105" i="3" s="1"/>
  <c r="FX107" i="3"/>
  <c r="CX112" i="3"/>
  <c r="CN112" i="3" s="1"/>
  <c r="CX114" i="3"/>
  <c r="Y74" i="3"/>
  <c r="Y76" i="3"/>
  <c r="FC76" i="3"/>
  <c r="FB73" i="3" s="1"/>
  <c r="EB83" i="3"/>
  <c r="DK89" i="3"/>
  <c r="FR89" i="3" s="1"/>
  <c r="CX95" i="3"/>
  <c r="CN95" i="3" s="1"/>
  <c r="FA95" i="3"/>
  <c r="EZ95" i="3" s="1"/>
  <c r="BG97" i="3"/>
  <c r="CN103" i="3"/>
  <c r="CC103" i="3"/>
  <c r="CH103" i="3"/>
  <c r="CG103" i="3" s="1"/>
  <c r="EK103" i="3"/>
  <c r="EJ103" i="3" s="1"/>
  <c r="Y105" i="3"/>
  <c r="BK105" i="3" s="1"/>
  <c r="DV107" i="3"/>
  <c r="GA107" i="3" s="1"/>
  <c r="AL109" i="3"/>
  <c r="EB109" i="3"/>
  <c r="CC109" i="3"/>
  <c r="FA109" i="3"/>
  <c r="EZ109" i="3" s="1"/>
  <c r="DH111" i="3"/>
  <c r="AA115" i="3"/>
  <c r="AQ115" i="3"/>
  <c r="EU115" i="3" s="1"/>
  <c r="AL117" i="3"/>
  <c r="DH121" i="3"/>
  <c r="DF121" i="3"/>
  <c r="CD121" i="3"/>
  <c r="DZ121" i="3" s="1"/>
  <c r="DF76" i="3"/>
  <c r="FM76" i="3" s="1"/>
  <c r="CH77" i="3"/>
  <c r="DF77" i="3"/>
  <c r="FM77" i="3" s="1"/>
  <c r="FA79" i="3"/>
  <c r="EZ79" i="3" s="1"/>
  <c r="AL81" i="3"/>
  <c r="BE81" i="3"/>
  <c r="BD81" i="3" s="1"/>
  <c r="CX83" i="3"/>
  <c r="CN83" i="3" s="1"/>
  <c r="FA85" i="3"/>
  <c r="EZ85" i="3" s="1"/>
  <c r="AL87" i="3"/>
  <c r="BE87" i="3"/>
  <c r="BD87" i="3" s="1"/>
  <c r="BE89" i="3"/>
  <c r="BD89" i="3" s="1"/>
  <c r="EB89" i="3"/>
  <c r="Y95" i="3"/>
  <c r="AL95" i="3"/>
  <c r="BJ105" i="3"/>
  <c r="EB105" i="3"/>
  <c r="CH109" i="3"/>
  <c r="CX110" i="3"/>
  <c r="FC110" i="3"/>
  <c r="FB109" i="3" s="1"/>
  <c r="BJ114" i="3"/>
  <c r="BF114" i="3"/>
  <c r="FU114" i="3"/>
  <c r="Y115" i="3"/>
  <c r="CE114" i="3"/>
  <c r="CC115" i="3"/>
  <c r="CD114" i="3" s="1"/>
  <c r="DZ114" i="3" s="1"/>
  <c r="DP138" i="3"/>
  <c r="FQ138" i="3"/>
  <c r="EM139" i="3"/>
  <c r="AL139" i="3"/>
  <c r="AL66" i="3"/>
  <c r="AL76" i="3"/>
  <c r="DV76" i="3"/>
  <c r="GA76" i="3" s="1"/>
  <c r="AD79" i="3"/>
  <c r="CC81" i="3"/>
  <c r="CN81" i="3"/>
  <c r="Q83" i="3"/>
  <c r="AD85" i="3"/>
  <c r="CC87" i="3"/>
  <c r="CN87" i="3"/>
  <c r="AL89" i="3"/>
  <c r="BF89" i="3"/>
  <c r="DQ89" i="3"/>
  <c r="T91" i="3"/>
  <c r="DZ91" i="3" s="1"/>
  <c r="EB91" i="3"/>
  <c r="CJ93" i="3"/>
  <c r="CH93" i="3" s="1"/>
  <c r="CG93" i="3" s="1"/>
  <c r="CH95" i="3"/>
  <c r="CG95" i="3" s="1"/>
  <c r="AG103" i="3"/>
  <c r="AE103" i="3" s="1"/>
  <c r="EW107" i="3"/>
  <c r="EV107" i="3" s="1"/>
  <c r="FF109" i="3"/>
  <c r="FO110" i="3"/>
  <c r="CX111" i="3"/>
  <c r="AG115" i="3"/>
  <c r="AE115" i="3" s="1"/>
  <c r="CH115" i="3"/>
  <c r="CG114" i="3" s="1"/>
  <c r="BU117" i="3"/>
  <c r="BT121" i="3"/>
  <c r="FH126" i="3"/>
  <c r="EA129" i="3"/>
  <c r="DH133" i="3"/>
  <c r="DF133" i="3"/>
  <c r="FM133" i="3" s="1"/>
  <c r="AL138" i="3"/>
  <c r="EM138" i="3"/>
  <c r="EL137" i="3" s="1"/>
  <c r="AD137" i="3"/>
  <c r="CN76" i="3"/>
  <c r="DE89" i="3"/>
  <c r="AL91" i="3"/>
  <c r="BF91" i="3"/>
  <c r="CX101" i="3"/>
  <c r="FU101" i="3"/>
  <c r="AG114" i="3"/>
  <c r="BE114" i="3"/>
  <c r="V114" i="3"/>
  <c r="BU114" i="3"/>
  <c r="BT114" i="3" s="1"/>
  <c r="FA115" i="3"/>
  <c r="EZ114" i="3" s="1"/>
  <c r="CX115" i="3"/>
  <c r="CN115" i="3" s="1"/>
  <c r="FU115" i="3"/>
  <c r="EM117" i="3"/>
  <c r="AD117" i="3"/>
  <c r="GC122" i="3"/>
  <c r="EM126" i="3"/>
  <c r="EL126" i="3" s="1"/>
  <c r="AD126" i="3"/>
  <c r="BJ93" i="3"/>
  <c r="BF93" i="3"/>
  <c r="AY99" i="3"/>
  <c r="FC105" i="3"/>
  <c r="FB105" i="3" s="1"/>
  <c r="FK107" i="3"/>
  <c r="FJ107" i="3" s="1"/>
  <c r="CN109" i="3"/>
  <c r="DX121" i="3"/>
  <c r="FW121" i="3"/>
  <c r="BU83" i="3"/>
  <c r="DG89" i="3"/>
  <c r="Y91" i="3"/>
  <c r="DF91" i="3"/>
  <c r="DQ97" i="3"/>
  <c r="FK97" i="3"/>
  <c r="FJ97" i="3" s="1"/>
  <c r="BK101" i="3"/>
  <c r="Y103" i="3"/>
  <c r="BK103" i="3" s="1"/>
  <c r="BE103" i="3"/>
  <c r="BD103" i="3" s="1"/>
  <c r="AL107" i="3"/>
  <c r="EE107" i="3" s="1"/>
  <c r="BE107" i="3"/>
  <c r="BD107" i="3" s="1"/>
  <c r="EM109" i="3"/>
  <c r="AD109" i="3"/>
  <c r="EH109" i="3"/>
  <c r="DH112" i="3"/>
  <c r="DF112" i="3"/>
  <c r="FM112" i="3" s="1"/>
  <c r="BE115" i="3"/>
  <c r="EB115" i="3"/>
  <c r="O117" i="3"/>
  <c r="FH117" i="3"/>
  <c r="BK118" i="3"/>
  <c r="BT132" i="3"/>
  <c r="Y112" i="3"/>
  <c r="CC117" i="3"/>
  <c r="CM121" i="3"/>
  <c r="EE121" i="3" s="1"/>
  <c r="FQ122" i="3"/>
  <c r="AC124" i="3"/>
  <c r="EB124" i="3"/>
  <c r="EB126" i="3"/>
  <c r="V132" i="3"/>
  <c r="EA132" i="3" s="1"/>
  <c r="DV132" i="3"/>
  <c r="GA132" i="3" s="1"/>
  <c r="AL133" i="3"/>
  <c r="DV133" i="3"/>
  <c r="GA133" i="3" s="1"/>
  <c r="AL135" i="3"/>
  <c r="EB135" i="3"/>
  <c r="CX135" i="3"/>
  <c r="DH135" i="3"/>
  <c r="FX137" i="3"/>
  <c r="FE137" i="3"/>
  <c r="FD137" i="3" s="1"/>
  <c r="EE139" i="3"/>
  <c r="DX139" i="3"/>
  <c r="AV141" i="3"/>
  <c r="CX141" i="3"/>
  <c r="FX142" i="3"/>
  <c r="FK142" i="3"/>
  <c r="FB145" i="3"/>
  <c r="FB151" i="3"/>
  <c r="FF151" i="3"/>
  <c r="FH151" i="3"/>
  <c r="CX118" i="3"/>
  <c r="CN118" i="3" s="1"/>
  <c r="BL119" i="3"/>
  <c r="CX119" i="3"/>
  <c r="FA124" i="3"/>
  <c r="EZ124" i="3" s="1"/>
  <c r="BE129" i="3"/>
  <c r="BD129" i="3" s="1"/>
  <c r="AL129" i="3"/>
  <c r="CN129" i="3"/>
  <c r="CH129" i="3"/>
  <c r="CG129" i="3" s="1"/>
  <c r="FX129" i="3"/>
  <c r="AL130" i="3"/>
  <c r="CJ132" i="3"/>
  <c r="EZ141" i="3"/>
  <c r="Y142" i="3"/>
  <c r="BE142" i="3"/>
  <c r="FM142" i="3" s="1"/>
  <c r="DF145" i="3"/>
  <c r="DH145" i="3"/>
  <c r="CD145" i="3"/>
  <c r="DZ145" i="3" s="1"/>
  <c r="FD151" i="3"/>
  <c r="BK153" i="3"/>
  <c r="EB118" i="3"/>
  <c r="BO119" i="3"/>
  <c r="FU119" i="3" s="1"/>
  <c r="EB133" i="3"/>
  <c r="DF137" i="3"/>
  <c r="FH137" i="3"/>
  <c r="BJ141" i="3"/>
  <c r="BF141" i="3"/>
  <c r="AG142" i="3"/>
  <c r="AE142" i="3" s="1"/>
  <c r="EB142" i="3"/>
  <c r="AL143" i="3"/>
  <c r="EB119" i="3"/>
  <c r="DL121" i="3"/>
  <c r="FS121" i="3" s="1"/>
  <c r="FX124" i="3"/>
  <c r="CD126" i="3"/>
  <c r="DZ126" i="3" s="1"/>
  <c r="DF127" i="3"/>
  <c r="FM127" i="3" s="1"/>
  <c r="FL126" i="3" s="1"/>
  <c r="FO127" i="3"/>
  <c r="EB130" i="3"/>
  <c r="EM132" i="3"/>
  <c r="CD137" i="3"/>
  <c r="DZ137" i="3" s="1"/>
  <c r="EE138" i="3"/>
  <c r="DX138" i="3"/>
  <c r="DL138" i="3" s="1"/>
  <c r="V141" i="3"/>
  <c r="FD141" i="3"/>
  <c r="FX141" i="3"/>
  <c r="AL142" i="3"/>
  <c r="Y143" i="3"/>
  <c r="BK143" i="3" s="1"/>
  <c r="DH143" i="3"/>
  <c r="DF143" i="3"/>
  <c r="FM143" i="3" s="1"/>
  <c r="EZ151" i="3"/>
  <c r="CH111" i="3"/>
  <c r="AL119" i="3"/>
  <c r="EE119" i="3" s="1"/>
  <c r="V124" i="3"/>
  <c r="EA124" i="3" s="1"/>
  <c r="CE126" i="3"/>
  <c r="EA126" i="3" s="1"/>
  <c r="AL127" i="3"/>
  <c r="CH127" i="3"/>
  <c r="CG126" i="3" s="1"/>
  <c r="DJ127" i="3"/>
  <c r="EB127" i="3"/>
  <c r="CC132" i="3"/>
  <c r="EB132" i="3"/>
  <c r="BJ133" i="3"/>
  <c r="AL137" i="3"/>
  <c r="DJ137" i="3"/>
  <c r="BU139" i="3"/>
  <c r="BE141" i="3"/>
  <c r="BD141" i="3" s="1"/>
  <c r="AL141" i="3"/>
  <c r="Y141" i="3"/>
  <c r="BK141" i="3" s="1"/>
  <c r="BU141" i="3"/>
  <c r="BT141" i="3" s="1"/>
  <c r="FO142" i="3"/>
  <c r="DK142" i="3"/>
  <c r="FR142" i="3" s="1"/>
  <c r="DJ142" i="3"/>
  <c r="EB143" i="3"/>
  <c r="CH143" i="3"/>
  <c r="CG141" i="3" s="1"/>
  <c r="CE141" i="3"/>
  <c r="EA141" i="3" s="1"/>
  <c r="BK149" i="3"/>
  <c r="CC118" i="3"/>
  <c r="CC119" i="3"/>
  <c r="EI119" i="3"/>
  <c r="EH117" i="3" s="1"/>
  <c r="DF122" i="3"/>
  <c r="FM122" i="3" s="1"/>
  <c r="DX122" i="3"/>
  <c r="DL122" i="3" s="1"/>
  <c r="Y124" i="3"/>
  <c r="BK126" i="3"/>
  <c r="CX126" i="3"/>
  <c r="DH126" i="3"/>
  <c r="BK127" i="3"/>
  <c r="CX127" i="3"/>
  <c r="AD129" i="3"/>
  <c r="FH129" i="3"/>
  <c r="CW132" i="3"/>
  <c r="FK132" i="3"/>
  <c r="FJ132" i="3" s="1"/>
  <c r="FM135" i="3"/>
  <c r="FL135" i="3" s="1"/>
  <c r="CX143" i="3"/>
  <c r="DV154" i="3"/>
  <c r="GA154" i="3" s="1"/>
  <c r="CN154" i="3"/>
  <c r="FK154" i="3"/>
  <c r="DT154" i="3"/>
  <c r="FY154" i="3" s="1"/>
  <c r="BK122" i="3"/>
  <c r="CC124" i="3"/>
  <c r="CH124" i="3"/>
  <c r="CG124" i="3" s="1"/>
  <c r="FA130" i="3"/>
  <c r="CX130" i="3"/>
  <c r="CH132" i="3"/>
  <c r="CJ137" i="3"/>
  <c r="Z137" i="3"/>
  <c r="DE141" i="3"/>
  <c r="FX121" i="3"/>
  <c r="DK122" i="3"/>
  <c r="FR122" i="3" s="1"/>
  <c r="EE122" i="3"/>
  <c r="EM124" i="3"/>
  <c r="EL124" i="3" s="1"/>
  <c r="BN129" i="3"/>
  <c r="BU129" i="3" s="1"/>
  <c r="BT129" i="3" s="1"/>
  <c r="CC129" i="3"/>
  <c r="EZ129" i="3"/>
  <c r="Y130" i="3"/>
  <c r="FX132" i="3"/>
  <c r="CJ133" i="3"/>
  <c r="CH133" i="3" s="1"/>
  <c r="ER137" i="3"/>
  <c r="BU138" i="3"/>
  <c r="CD141" i="3"/>
  <c r="DZ141" i="3" s="1"/>
  <c r="DH141" i="3"/>
  <c r="DK146" i="3"/>
  <c r="FR146" i="3" s="1"/>
  <c r="FO146" i="3"/>
  <c r="DJ146" i="3"/>
  <c r="FM155" i="3"/>
  <c r="DT160" i="3"/>
  <c r="FY160" i="3" s="1"/>
  <c r="CN160" i="3"/>
  <c r="DV160" i="3"/>
  <c r="GA160" i="3" s="1"/>
  <c r="FK160" i="3"/>
  <c r="AF285" i="3"/>
  <c r="Y139" i="3"/>
  <c r="BK139" i="3" s="1"/>
  <c r="DH139" i="3"/>
  <c r="DL139" i="3" s="1"/>
  <c r="AV145" i="3"/>
  <c r="AD149" i="3"/>
  <c r="EM149" i="3"/>
  <c r="EL149" i="3" s="1"/>
  <c r="BF151" i="3"/>
  <c r="BU151" i="3"/>
  <c r="BT151" i="3" s="1"/>
  <c r="EB151" i="3"/>
  <c r="DT152" i="3"/>
  <c r="FY152" i="3" s="1"/>
  <c r="FK152" i="3"/>
  <c r="AL154" i="3"/>
  <c r="DJ156" i="3"/>
  <c r="DX156" i="3"/>
  <c r="DF160" i="3"/>
  <c r="FM160" i="3" s="1"/>
  <c r="BE164" i="3"/>
  <c r="BD164" i="3" s="1"/>
  <c r="T164" i="3"/>
  <c r="DZ164" i="3" s="1"/>
  <c r="CM166" i="3"/>
  <c r="FU145" i="3"/>
  <c r="FU146" i="3"/>
  <c r="EM146" i="3"/>
  <c r="EM147" i="3"/>
  <c r="CN152" i="3"/>
  <c r="AL153" i="3"/>
  <c r="CX155" i="3"/>
  <c r="DK156" i="3"/>
  <c r="FR156" i="3" s="1"/>
  <c r="CX157" i="3"/>
  <c r="FQ157" i="3"/>
  <c r="DP157" i="3"/>
  <c r="FQ160" i="3"/>
  <c r="DP160" i="3"/>
  <c r="FG160" i="3"/>
  <c r="BU162" i="3"/>
  <c r="BT162" i="3" s="1"/>
  <c r="FM149" i="3"/>
  <c r="FL149" i="3" s="1"/>
  <c r="DE149" i="3"/>
  <c r="DF153" i="3"/>
  <c r="FO153" i="3"/>
  <c r="DL156" i="3"/>
  <c r="FS156" i="3" s="1"/>
  <c r="EM157" i="3"/>
  <c r="CX159" i="3"/>
  <c r="EW159" i="3"/>
  <c r="EV159" i="3" s="1"/>
  <c r="AG162" i="3"/>
  <c r="AE162" i="3" s="1"/>
  <c r="DQ167" i="3"/>
  <c r="DF138" i="3"/>
  <c r="FM138" i="3" s="1"/>
  <c r="DF146" i="3"/>
  <c r="FM146" i="3" s="1"/>
  <c r="DT146" i="3"/>
  <c r="FY146" i="3" s="1"/>
  <c r="FK146" i="3"/>
  <c r="DT147" i="3"/>
  <c r="FY147" i="3" s="1"/>
  <c r="GC147" i="3" s="1"/>
  <c r="CD149" i="3"/>
  <c r="DZ149" i="3" s="1"/>
  <c r="CX151" i="3"/>
  <c r="BE153" i="3"/>
  <c r="DJ153" i="3"/>
  <c r="DJ154" i="3"/>
  <c r="EB154" i="3"/>
  <c r="FO154" i="3"/>
  <c r="BJ157" i="3"/>
  <c r="CC159" i="3"/>
  <c r="EB159" i="3"/>
  <c r="CE159" i="3"/>
  <c r="FO160" i="3"/>
  <c r="FO164" i="3"/>
  <c r="FN164" i="3" s="1"/>
  <c r="DK164" i="3"/>
  <c r="FR164" i="3" s="1"/>
  <c r="DJ164" i="3"/>
  <c r="BH166" i="3"/>
  <c r="DG166" i="3"/>
  <c r="FO166" i="3"/>
  <c r="FN166" i="3" s="1"/>
  <c r="DJ166" i="3"/>
  <c r="CE174" i="3"/>
  <c r="EA174" i="3" s="1"/>
  <c r="CH174" i="3"/>
  <c r="CG174" i="3" s="1"/>
  <c r="EB174" i="3"/>
  <c r="AL132" i="3"/>
  <c r="AK132" i="3" s="1"/>
  <c r="Y138" i="3"/>
  <c r="BK138" i="3" s="1"/>
  <c r="BK145" i="3"/>
  <c r="EA145" i="3"/>
  <c r="CX145" i="3"/>
  <c r="CN145" i="3" s="1"/>
  <c r="Y146" i="3"/>
  <c r="BK146" i="3" s="1"/>
  <c r="AL147" i="3"/>
  <c r="BK147" i="3" s="1"/>
  <c r="DX147" i="3"/>
  <c r="DL147" i="3" s="1"/>
  <c r="EA149" i="3"/>
  <c r="CX149" i="3"/>
  <c r="DH149" i="3"/>
  <c r="AG151" i="3"/>
  <c r="AE151" i="3" s="1"/>
  <c r="Y152" i="3"/>
  <c r="BK152" i="3" s="1"/>
  <c r="BE152" i="3"/>
  <c r="FM152" i="3" s="1"/>
  <c r="DP152" i="3"/>
  <c r="CX153" i="3"/>
  <c r="EE156" i="3"/>
  <c r="BK157" i="3"/>
  <c r="FU157" i="3"/>
  <c r="CH159" i="3"/>
  <c r="CG159" i="3" s="1"/>
  <c r="FA159" i="3"/>
  <c r="EZ159" i="3" s="1"/>
  <c r="DG164" i="3"/>
  <c r="EA166" i="3"/>
  <c r="DK166" i="3"/>
  <c r="FR166" i="3" s="1"/>
  <c r="DQ169" i="3"/>
  <c r="FO147" i="3"/>
  <c r="DJ147" i="3"/>
  <c r="DJ151" i="3"/>
  <c r="BK154" i="3"/>
  <c r="BE159" i="3"/>
  <c r="BD159" i="3" s="1"/>
  <c r="Y159" i="3"/>
  <c r="BK159" i="3" s="1"/>
  <c r="V159" i="3"/>
  <c r="AL155" i="3"/>
  <c r="EB155" i="3"/>
  <c r="DJ172" i="3"/>
  <c r="DK172" i="3"/>
  <c r="FR172" i="3" s="1"/>
  <c r="FO172" i="3"/>
  <c r="FN172" i="3" s="1"/>
  <c r="DG172" i="3"/>
  <c r="Y151" i="3"/>
  <c r="BK151" i="3" s="1"/>
  <c r="AL151" i="3"/>
  <c r="AK151" i="3" s="1"/>
  <c r="BE151" i="3"/>
  <c r="FM151" i="3" s="1"/>
  <c r="FU154" i="3"/>
  <c r="Y155" i="3"/>
  <c r="BK155" i="3" s="1"/>
  <c r="DH155" i="3"/>
  <c r="DF156" i="3"/>
  <c r="FM156" i="3" s="1"/>
  <c r="FM157" i="3"/>
  <c r="CN159" i="3"/>
  <c r="FF159" i="3"/>
  <c r="FR160" i="3"/>
  <c r="CE162" i="3"/>
  <c r="EA162" i="3" s="1"/>
  <c r="CN162" i="3"/>
  <c r="CC162" i="3"/>
  <c r="EB162" i="3"/>
  <c r="DF164" i="3"/>
  <c r="DQ164" i="3"/>
  <c r="AL166" i="3"/>
  <c r="CD166" i="3"/>
  <c r="DZ166" i="3" s="1"/>
  <c r="DV166" i="3"/>
  <c r="GA166" i="3" s="1"/>
  <c r="DJ167" i="3"/>
  <c r="DV167" i="3"/>
  <c r="GA167" i="3" s="1"/>
  <c r="CW169" i="3"/>
  <c r="DF169" i="3"/>
  <c r="BE170" i="3"/>
  <c r="BD169" i="3" s="1"/>
  <c r="CC170" i="3"/>
  <c r="EB170" i="3"/>
  <c r="CW172" i="3"/>
  <c r="DF172" i="3"/>
  <c r="FU172" i="3"/>
  <c r="EM172" i="3"/>
  <c r="EL172" i="3" s="1"/>
  <c r="CK174" i="3"/>
  <c r="EM174" i="3"/>
  <c r="EL174" i="3" s="1"/>
  <c r="DV178" i="3"/>
  <c r="GA178" i="3" s="1"/>
  <c r="V180" i="3"/>
  <c r="BK182" i="3"/>
  <c r="BD186" i="3"/>
  <c r="EB189" i="3"/>
  <c r="CE189" i="3"/>
  <c r="EA189" i="3" s="1"/>
  <c r="CC189" i="3"/>
  <c r="FO190" i="3"/>
  <c r="DJ190" i="3"/>
  <c r="BK192" i="3"/>
  <c r="FO195" i="3"/>
  <c r="DJ195" i="3"/>
  <c r="BK180" i="3"/>
  <c r="DV180" i="3"/>
  <c r="GA180" i="3" s="1"/>
  <c r="FK180" i="3"/>
  <c r="FJ180" i="3" s="1"/>
  <c r="DT180" i="3"/>
  <c r="FY180" i="3" s="1"/>
  <c r="FG182" i="3"/>
  <c r="FF182" i="3" s="1"/>
  <c r="CX182" i="3"/>
  <c r="BJ186" i="3"/>
  <c r="BF186" i="3"/>
  <c r="AL189" i="3"/>
  <c r="EI189" i="3"/>
  <c r="EH189" i="3" s="1"/>
  <c r="BK190" i="3"/>
  <c r="FW190" i="3"/>
  <c r="DF192" i="3"/>
  <c r="DH192" i="3"/>
  <c r="AQ160" i="3"/>
  <c r="V164" i="3"/>
  <c r="EA164" i="3" s="1"/>
  <c r="CM164" i="3"/>
  <c r="FK164" i="3"/>
  <c r="FJ164" i="3" s="1"/>
  <c r="Y167" i="3"/>
  <c r="EB167" i="3"/>
  <c r="FK167" i="3"/>
  <c r="FJ166" i="3" s="1"/>
  <c r="DH169" i="3"/>
  <c r="FK169" i="3"/>
  <c r="FJ169" i="3" s="1"/>
  <c r="BI170" i="3"/>
  <c r="BH169" i="3" s="1"/>
  <c r="CH170" i="3"/>
  <c r="CG169" i="3" s="1"/>
  <c r="AD172" i="3"/>
  <c r="DT172" i="3"/>
  <c r="FY172" i="3" s="1"/>
  <c r="BF174" i="3"/>
  <c r="BU174" i="3"/>
  <c r="BT174" i="3" s="1"/>
  <c r="EB178" i="3"/>
  <c r="V178" i="3"/>
  <c r="EA178" i="3" s="1"/>
  <c r="CW178" i="3"/>
  <c r="FE187" i="3"/>
  <c r="FD186" i="3" s="1"/>
  <c r="DV190" i="3"/>
  <c r="GA190" i="3" s="1"/>
  <c r="FK190" i="3"/>
  <c r="DT190" i="3"/>
  <c r="FY190" i="3" s="1"/>
  <c r="AL164" i="3"/>
  <c r="BN167" i="3"/>
  <c r="BU167" i="3" s="1"/>
  <c r="BT166" i="3" s="1"/>
  <c r="BF169" i="3"/>
  <c r="DT169" i="3"/>
  <c r="FY169" i="3" s="1"/>
  <c r="CN170" i="3"/>
  <c r="CC174" i="3"/>
  <c r="EB180" i="3"/>
  <c r="CE180" i="3"/>
  <c r="CN180" i="3"/>
  <c r="CC180" i="3"/>
  <c r="CH180" i="3"/>
  <c r="CG180" i="3" s="1"/>
  <c r="FX184" i="3"/>
  <c r="AD192" i="3"/>
  <c r="EM192" i="3"/>
  <c r="EL192" i="3" s="1"/>
  <c r="AD166" i="3"/>
  <c r="DF166" i="3"/>
  <c r="DQ166" i="3"/>
  <c r="AL167" i="3"/>
  <c r="BK167" i="3" s="1"/>
  <c r="DV169" i="3"/>
  <c r="GA169" i="3" s="1"/>
  <c r="FX174" i="3"/>
  <c r="BU184" i="3"/>
  <c r="BT184" i="3" s="1"/>
  <c r="CX184" i="3"/>
  <c r="FC184" i="3"/>
  <c r="FB184" i="3" s="1"/>
  <c r="BT186" i="3"/>
  <c r="FB186" i="3"/>
  <c r="FR187" i="3"/>
  <c r="FA190" i="3"/>
  <c r="FG197" i="3"/>
  <c r="FF197" i="3" s="1"/>
  <c r="CX197" i="3"/>
  <c r="CX174" i="3"/>
  <c r="BE180" i="3"/>
  <c r="BD180" i="3" s="1"/>
  <c r="CX189" i="3"/>
  <c r="CN189" i="3" s="1"/>
  <c r="FA189" i="3"/>
  <c r="BE167" i="3"/>
  <c r="FM167" i="3" s="1"/>
  <c r="CN172" i="3"/>
  <c r="AD178" i="3"/>
  <c r="FM182" i="3"/>
  <c r="FL182" i="3" s="1"/>
  <c r="BK184" i="3"/>
  <c r="BK186" i="3"/>
  <c r="CE186" i="3"/>
  <c r="EA186" i="3" s="1"/>
  <c r="EB186" i="3"/>
  <c r="CC186" i="3"/>
  <c r="CH186" i="3"/>
  <c r="CG186" i="3" s="1"/>
  <c r="FB189" i="3"/>
  <c r="FK172" i="3"/>
  <c r="FJ172" i="3" s="1"/>
  <c r="EM176" i="3"/>
  <c r="EL176" i="3" s="1"/>
  <c r="AD176" i="3"/>
  <c r="DT178" i="3"/>
  <c r="FY178" i="3" s="1"/>
  <c r="FA178" i="3"/>
  <c r="EZ178" i="3" s="1"/>
  <c r="AL180" i="3"/>
  <c r="AK180" i="3" s="1"/>
  <c r="BK195" i="3"/>
  <c r="EZ207" i="3"/>
  <c r="DE182" i="3"/>
  <c r="EM182" i="3"/>
  <c r="EL182" i="3" s="1"/>
  <c r="CX186" i="3"/>
  <c r="CN186" i="3" s="1"/>
  <c r="FH186" i="3"/>
  <c r="FX195" i="3"/>
  <c r="DG207" i="3"/>
  <c r="FO207" i="3"/>
  <c r="DK207" i="3"/>
  <c r="FR207" i="3" s="1"/>
  <c r="DJ207" i="3"/>
  <c r="EB212" i="3"/>
  <c r="CE212" i="3"/>
  <c r="EA212" i="3" s="1"/>
  <c r="CC212" i="3"/>
  <c r="CN212" i="3"/>
  <c r="CH212" i="3"/>
  <c r="CG212" i="3" s="1"/>
  <c r="EA182" i="3"/>
  <c r="DG182" i="3"/>
  <c r="BF184" i="3"/>
  <c r="CC184" i="3"/>
  <c r="CN184" i="3"/>
  <c r="EB187" i="3"/>
  <c r="AV189" i="3"/>
  <c r="CX192" i="3"/>
  <c r="BJ197" i="3"/>
  <c r="BF197" i="3"/>
  <c r="DJ197" i="3"/>
  <c r="DK197" i="3"/>
  <c r="FR197" i="3" s="1"/>
  <c r="DG197" i="3"/>
  <c r="DT218" i="3"/>
  <c r="FY218" i="3" s="1"/>
  <c r="CW218" i="3"/>
  <c r="FK218" i="3"/>
  <c r="FJ218" i="3" s="1"/>
  <c r="DV218" i="3"/>
  <c r="GA218" i="3" s="1"/>
  <c r="CN218" i="3"/>
  <c r="FO182" i="3"/>
  <c r="FN182" i="3" s="1"/>
  <c r="AL190" i="3"/>
  <c r="EE190" i="3" s="1"/>
  <c r="FX190" i="3"/>
  <c r="CX194" i="3"/>
  <c r="FA194" i="3"/>
  <c r="EZ194" i="3" s="1"/>
  <c r="DH199" i="3"/>
  <c r="DF199" i="3"/>
  <c r="FW199" i="3"/>
  <c r="FX201" i="3"/>
  <c r="CW205" i="3"/>
  <c r="DV205" i="3"/>
  <c r="GA205" i="3" s="1"/>
  <c r="FK205" i="3"/>
  <c r="FJ205" i="3" s="1"/>
  <c r="DT205" i="3"/>
  <c r="FY205" i="3" s="1"/>
  <c r="CN205" i="3"/>
  <c r="FU184" i="3"/>
  <c r="DJ187" i="3"/>
  <c r="FO187" i="3"/>
  <c r="EB194" i="3"/>
  <c r="CE194" i="3"/>
  <c r="EA194" i="3" s="1"/>
  <c r="CC194" i="3"/>
  <c r="DJ182" i="3"/>
  <c r="BK189" i="3"/>
  <c r="DF190" i="3"/>
  <c r="FM190" i="3" s="1"/>
  <c r="EL194" i="3"/>
  <c r="FX197" i="3"/>
  <c r="AL176" i="3"/>
  <c r="CN178" i="3"/>
  <c r="CC178" i="3"/>
  <c r="EM186" i="3"/>
  <c r="EL186" i="3" s="1"/>
  <c r="CH190" i="3"/>
  <c r="CG189" i="3" s="1"/>
  <c r="EB190" i="3"/>
  <c r="FF194" i="3"/>
  <c r="EN194" i="3"/>
  <c r="BK197" i="3"/>
  <c r="CX201" i="3"/>
  <c r="FG201" i="3"/>
  <c r="FF201" i="3" s="1"/>
  <c r="DT214" i="3"/>
  <c r="FY214" i="3" s="1"/>
  <c r="CW214" i="3"/>
  <c r="FK214" i="3"/>
  <c r="FJ214" i="3" s="1"/>
  <c r="DV214" i="3"/>
  <c r="GA214" i="3" s="1"/>
  <c r="CN214" i="3"/>
  <c r="AL194" i="3"/>
  <c r="AK194" i="3" s="1"/>
  <c r="CD197" i="3"/>
  <c r="DZ197" i="3" s="1"/>
  <c r="EB199" i="3"/>
  <c r="EB201" i="3"/>
  <c r="CC203" i="3"/>
  <c r="CH203" i="3"/>
  <c r="CG203" i="3" s="1"/>
  <c r="AD205" i="3"/>
  <c r="EB205" i="3"/>
  <c r="DF208" i="3"/>
  <c r="FM208" i="3" s="1"/>
  <c r="FO208" i="3"/>
  <c r="T212" i="3"/>
  <c r="DZ212" i="3" s="1"/>
  <c r="BE212" i="3"/>
  <c r="BD212" i="3" s="1"/>
  <c r="CW212" i="3"/>
  <c r="FK212" i="3"/>
  <c r="FJ212" i="3" s="1"/>
  <c r="Y216" i="3"/>
  <c r="V216" i="3"/>
  <c r="EA216" i="3" s="1"/>
  <c r="BN216" i="3"/>
  <c r="BU216" i="3" s="1"/>
  <c r="BT216" i="3" s="1"/>
  <c r="FQ208" i="3"/>
  <c r="CH210" i="3"/>
  <c r="CG210" i="3" s="1"/>
  <c r="CN210" i="3"/>
  <c r="CC210" i="3"/>
  <c r="FK216" i="3"/>
  <c r="FJ216" i="3" s="1"/>
  <c r="BE218" i="3"/>
  <c r="AL218" i="3"/>
  <c r="AK218" i="3" s="1"/>
  <c r="Y218" i="3"/>
  <c r="BK218" i="3" s="1"/>
  <c r="EH218" i="3"/>
  <c r="AL199" i="3"/>
  <c r="CE199" i="3"/>
  <c r="EA199" i="3" s="1"/>
  <c r="BK207" i="3"/>
  <c r="EM207" i="3"/>
  <c r="EL207" i="3" s="1"/>
  <c r="CX208" i="3"/>
  <c r="CN208" i="3" s="1"/>
  <c r="AL212" i="3"/>
  <c r="Y212" i="3"/>
  <c r="EM214" i="3"/>
  <c r="EL214" i="3" s="1"/>
  <c r="AD214" i="3"/>
  <c r="BE219" i="3"/>
  <c r="EE219" i="3"/>
  <c r="DF195" i="3"/>
  <c r="FM195" i="3" s="1"/>
  <c r="FM201" i="3"/>
  <c r="FL201" i="3" s="1"/>
  <c r="DE201" i="3"/>
  <c r="FM205" i="3"/>
  <c r="FL205" i="3" s="1"/>
  <c r="DE205" i="3"/>
  <c r="FG205" i="3"/>
  <c r="FF205" i="3" s="1"/>
  <c r="BE210" i="3"/>
  <c r="BD210" i="3" s="1"/>
  <c r="FA214" i="3"/>
  <c r="EZ214" i="3" s="1"/>
  <c r="FK228" i="3"/>
  <c r="CN228" i="3"/>
  <c r="DV228" i="3"/>
  <c r="GA228" i="3" s="1"/>
  <c r="DT228" i="3"/>
  <c r="FY228" i="3" s="1"/>
  <c r="AL184" i="3"/>
  <c r="AK184" i="3" s="1"/>
  <c r="AL192" i="3"/>
  <c r="AK192" i="3" s="1"/>
  <c r="CH195" i="3"/>
  <c r="CG194" i="3" s="1"/>
  <c r="EB195" i="3"/>
  <c r="Y199" i="3"/>
  <c r="DV199" i="3"/>
  <c r="GA199" i="3" s="1"/>
  <c r="BJ201" i="3"/>
  <c r="BF201" i="3"/>
  <c r="EA201" i="3"/>
  <c r="DG201" i="3"/>
  <c r="EB203" i="3"/>
  <c r="AL205" i="3"/>
  <c r="EA205" i="3"/>
  <c r="DG205" i="3"/>
  <c r="FU207" i="3"/>
  <c r="AL210" i="3"/>
  <c r="BF210" i="3"/>
  <c r="AL214" i="3"/>
  <c r="CE214" i="3"/>
  <c r="EA214" i="3" s="1"/>
  <c r="CC214" i="3"/>
  <c r="AD218" i="3"/>
  <c r="CC218" i="3"/>
  <c r="EN218" i="3"/>
  <c r="FA218" i="3"/>
  <c r="EZ218" i="3" s="1"/>
  <c r="CX221" i="3"/>
  <c r="CN221" i="3" s="1"/>
  <c r="V223" i="3"/>
  <c r="Y223" i="3"/>
  <c r="AL223" i="3"/>
  <c r="CF223" i="3"/>
  <c r="DT232" i="3"/>
  <c r="FY232" i="3" s="1"/>
  <c r="CW232" i="3"/>
  <c r="DV232" i="3"/>
  <c r="GA232" i="3" s="1"/>
  <c r="FK232" i="3"/>
  <c r="FJ232" i="3" s="1"/>
  <c r="CN232" i="3"/>
  <c r="BD207" i="3"/>
  <c r="DF207" i="3"/>
  <c r="EA218" i="3"/>
  <c r="EM225" i="3"/>
  <c r="EL225" i="3" s="1"/>
  <c r="AD225" i="3"/>
  <c r="DQ227" i="3"/>
  <c r="EQ227" i="3"/>
  <c r="CX195" i="3"/>
  <c r="EE199" i="3"/>
  <c r="DI205" i="3"/>
  <c r="CD207" i="3"/>
  <c r="DZ207" i="3" s="1"/>
  <c r="AL208" i="3"/>
  <c r="BI210" i="3"/>
  <c r="BH210" i="3" s="1"/>
  <c r="EB210" i="3"/>
  <c r="CW216" i="3"/>
  <c r="BJ218" i="3"/>
  <c r="BF218" i="3"/>
  <c r="CC219" i="3"/>
  <c r="CH219" i="3"/>
  <c r="CG218" i="3" s="1"/>
  <c r="EB221" i="3"/>
  <c r="CC221" i="3"/>
  <c r="DE197" i="3"/>
  <c r="DK201" i="3"/>
  <c r="FR201" i="3" s="1"/>
  <c r="CX203" i="3"/>
  <c r="CN203" i="3" s="1"/>
  <c r="DK205" i="3"/>
  <c r="FR205" i="3" s="1"/>
  <c r="BU210" i="3"/>
  <c r="BT210" i="3" s="1"/>
  <c r="T216" i="3"/>
  <c r="DZ216" i="3" s="1"/>
  <c r="BG216" i="3"/>
  <c r="DV216" i="3"/>
  <c r="GA216" i="3" s="1"/>
  <c r="BK219" i="3"/>
  <c r="DX219" i="3"/>
  <c r="FW219" i="3"/>
  <c r="GC219" i="3" s="1"/>
  <c r="Y221" i="3"/>
  <c r="AL221" i="3"/>
  <c r="BE221" i="3"/>
  <c r="BD221" i="3" s="1"/>
  <c r="CH221" i="3"/>
  <c r="CG221" i="3" s="1"/>
  <c r="FK225" i="3"/>
  <c r="FJ225" i="3" s="1"/>
  <c r="CW225" i="3"/>
  <c r="DV236" i="3"/>
  <c r="GA236" i="3" s="1"/>
  <c r="FK236" i="3"/>
  <c r="FJ236" i="3" s="1"/>
  <c r="CW236" i="3"/>
  <c r="CN216" i="3"/>
  <c r="CC216" i="3"/>
  <c r="CH216" i="3"/>
  <c r="CG216" i="3" s="1"/>
  <c r="FX216" i="3"/>
  <c r="FX218" i="3"/>
  <c r="CH227" i="3"/>
  <c r="DH229" i="3"/>
  <c r="DF229" i="3"/>
  <c r="BE230" i="3"/>
  <c r="FG236" i="3"/>
  <c r="FF236" i="3" s="1"/>
  <c r="FF227" i="3"/>
  <c r="BK228" i="3"/>
  <c r="FA232" i="3"/>
  <c r="EZ232" i="3" s="1"/>
  <c r="EM228" i="3"/>
  <c r="AL228" i="3"/>
  <c r="AD227" i="3"/>
  <c r="FK229" i="3"/>
  <c r="DT229" i="3"/>
  <c r="FY229" i="3" s="1"/>
  <c r="CN229" i="3"/>
  <c r="AK240" i="3"/>
  <c r="CN225" i="3"/>
  <c r="CC225" i="3"/>
  <c r="CH225" i="3"/>
  <c r="CG225" i="3" s="1"/>
  <c r="EX227" i="3"/>
  <c r="DJ228" i="3"/>
  <c r="DF232" i="3"/>
  <c r="CD232" i="3"/>
  <c r="DZ232" i="3" s="1"/>
  <c r="DH232" i="3"/>
  <c r="CD238" i="3"/>
  <c r="DZ238" i="3" s="1"/>
  <c r="DH238" i="3"/>
  <c r="BK243" i="3"/>
  <c r="AL197" i="3"/>
  <c r="AK197" i="3" s="1"/>
  <c r="T223" i="3"/>
  <c r="DZ223" i="3" s="1"/>
  <c r="CX223" i="3"/>
  <c r="AL225" i="3"/>
  <c r="CR230" i="3"/>
  <c r="CR285" i="3" s="1"/>
  <c r="EB230" i="3"/>
  <c r="CH230" i="3"/>
  <c r="EM232" i="3"/>
  <c r="EL232" i="3" s="1"/>
  <c r="AD232" i="3"/>
  <c r="BF232" i="3"/>
  <c r="EA232" i="3"/>
  <c r="GC238" i="3"/>
  <c r="GB238" i="3" s="1"/>
  <c r="DV229" i="3"/>
  <c r="GA229" i="3" s="1"/>
  <c r="EM230" i="3"/>
  <c r="EL227" i="3" s="1"/>
  <c r="AL230" i="3"/>
  <c r="FK230" i="3"/>
  <c r="DT230" i="3"/>
  <c r="FY230" i="3" s="1"/>
  <c r="EB225" i="3"/>
  <c r="FI227" i="3"/>
  <c r="FH227" i="3" s="1"/>
  <c r="CX227" i="3"/>
  <c r="FO228" i="3"/>
  <c r="DF238" i="3"/>
  <c r="AW240" i="3"/>
  <c r="AV240" i="3" s="1"/>
  <c r="CY240" i="3"/>
  <c r="BK245" i="3"/>
  <c r="EB227" i="3"/>
  <c r="CC227" i="3"/>
  <c r="AK236" i="3"/>
  <c r="DQ245" i="3"/>
  <c r="Y229" i="3"/>
  <c r="BK229" i="3" s="1"/>
  <c r="Y232" i="3"/>
  <c r="AL232" i="3"/>
  <c r="BE232" i="3"/>
  <c r="BD232" i="3" s="1"/>
  <c r="Y240" i="3"/>
  <c r="FM242" i="3"/>
  <c r="FU242" i="3"/>
  <c r="BE243" i="3"/>
  <c r="EB243" i="3"/>
  <c r="CH243" i="3"/>
  <c r="DH243" i="3"/>
  <c r="EB247" i="3"/>
  <c r="EM252" i="3"/>
  <c r="AD252" i="3"/>
  <c r="AL252" i="3"/>
  <c r="EZ252" i="3"/>
  <c r="DV256" i="3"/>
  <c r="GA256" i="3" s="1"/>
  <c r="CN256" i="3"/>
  <c r="FK256" i="3"/>
  <c r="DT256" i="3"/>
  <c r="FY256" i="3" s="1"/>
  <c r="DH257" i="3"/>
  <c r="DF257" i="3"/>
  <c r="FM257" i="3" s="1"/>
  <c r="GC258" i="3"/>
  <c r="DT245" i="3"/>
  <c r="FY245" i="3" s="1"/>
  <c r="FK245" i="3"/>
  <c r="CW250" i="3"/>
  <c r="DV250" i="3"/>
  <c r="GA250" i="3" s="1"/>
  <c r="DT250" i="3"/>
  <c r="FY250" i="3" s="1"/>
  <c r="FK250" i="3"/>
  <c r="FJ250" i="3" s="1"/>
  <c r="EM253" i="3"/>
  <c r="AL253" i="3"/>
  <c r="EA242" i="3"/>
  <c r="CX243" i="3"/>
  <c r="FD247" i="3"/>
  <c r="AC248" i="3"/>
  <c r="EI248" i="3" s="1"/>
  <c r="AA248" i="3"/>
  <c r="Y248" i="3" s="1"/>
  <c r="BB248" i="3"/>
  <c r="DT255" i="3"/>
  <c r="FY255" i="3" s="1"/>
  <c r="DV255" i="3"/>
  <c r="GA255" i="3" s="1"/>
  <c r="FK255" i="3"/>
  <c r="BN240" i="3"/>
  <c r="BU240" i="3" s="1"/>
  <c r="BT240" i="3" s="1"/>
  <c r="BK242" i="3"/>
  <c r="CX242" i="3"/>
  <c r="CX244" i="3"/>
  <c r="BE247" i="3"/>
  <c r="EI247" i="3"/>
  <c r="EH247" i="3" s="1"/>
  <c r="FF247" i="3"/>
  <c r="AD250" i="3"/>
  <c r="EM250" i="3"/>
  <c r="EL250" i="3" s="1"/>
  <c r="FK252" i="3"/>
  <c r="BI265" i="3"/>
  <c r="BH264" i="3" s="1"/>
  <c r="BF264" i="3"/>
  <c r="BJ265" i="3"/>
  <c r="BE229" i="3"/>
  <c r="BD227" i="3" s="1"/>
  <c r="EI236" i="3"/>
  <c r="EH236" i="3" s="1"/>
  <c r="BJ242" i="3"/>
  <c r="FA244" i="3"/>
  <c r="EZ242" i="3" s="1"/>
  <c r="AL245" i="3"/>
  <c r="AK242" i="3" s="1"/>
  <c r="DV245" i="3"/>
  <c r="GA245" i="3" s="1"/>
  <c r="AL247" i="3"/>
  <c r="BE248" i="3"/>
  <c r="FA248" i="3"/>
  <c r="EZ247" i="3" s="1"/>
  <c r="BT252" i="3"/>
  <c r="FH252" i="3"/>
  <c r="FD255" i="3"/>
  <c r="BU242" i="3"/>
  <c r="BT242" i="3" s="1"/>
  <c r="ET247" i="3"/>
  <c r="BK244" i="3"/>
  <c r="FX244" i="3"/>
  <c r="DH245" i="3"/>
  <c r="DF245" i="3"/>
  <c r="FM245" i="3" s="1"/>
  <c r="DH252" i="3"/>
  <c r="DF252" i="3"/>
  <c r="CD252" i="3"/>
  <c r="DZ252" i="3" s="1"/>
  <c r="CE234" i="3"/>
  <c r="EA234" i="3" s="1"/>
  <c r="EB234" i="3"/>
  <c r="BF240" i="3"/>
  <c r="BJ240" i="3"/>
  <c r="FO242" i="3"/>
  <c r="CH245" i="3"/>
  <c r="CG242" i="3" s="1"/>
  <c r="EB245" i="3"/>
  <c r="BN247" i="3"/>
  <c r="BU247" i="3" s="1"/>
  <c r="BT247" i="3" s="1"/>
  <c r="DF253" i="3"/>
  <c r="DH253" i="3"/>
  <c r="GC264" i="3"/>
  <c r="BJ247" i="3"/>
  <c r="CK247" i="3"/>
  <c r="CH250" i="3"/>
  <c r="CG250" i="3" s="1"/>
  <c r="CN252" i="3"/>
  <c r="DT252" i="3"/>
  <c r="FY252" i="3" s="1"/>
  <c r="FA255" i="3"/>
  <c r="EZ255" i="3" s="1"/>
  <c r="Y256" i="3"/>
  <c r="BK256" i="3" s="1"/>
  <c r="DJ256" i="3"/>
  <c r="EB256" i="3"/>
  <c r="FO256" i="3"/>
  <c r="CX257" i="3"/>
  <c r="EB258" i="3"/>
  <c r="CX260" i="3"/>
  <c r="CH262" i="3"/>
  <c r="CG262" i="3" s="1"/>
  <c r="Y264" i="3"/>
  <c r="DX264" i="3"/>
  <c r="EV264" i="3"/>
  <c r="BE265" i="3"/>
  <c r="FU269" i="3"/>
  <c r="FK247" i="3"/>
  <c r="V250" i="3"/>
  <c r="EA250" i="3" s="1"/>
  <c r="CE252" i="3"/>
  <c r="EA252" i="3" s="1"/>
  <c r="DV252" i="3"/>
  <c r="GA252" i="3" s="1"/>
  <c r="BE253" i="3"/>
  <c r="BD252" i="3" s="1"/>
  <c r="BE255" i="3"/>
  <c r="BD255" i="3" s="1"/>
  <c r="CC255" i="3"/>
  <c r="CN255" i="3"/>
  <c r="CH260" i="3"/>
  <c r="CG260" i="3" s="1"/>
  <c r="AA262" i="3"/>
  <c r="Y262" i="3" s="1"/>
  <c r="BK262" i="3" s="1"/>
  <c r="BJ262" i="3"/>
  <c r="EM264" i="3"/>
  <c r="EL264" i="3" s="1"/>
  <c r="DX265" i="3"/>
  <c r="FC267" i="3"/>
  <c r="FB267" i="3" s="1"/>
  <c r="CX267" i="3"/>
  <c r="EA271" i="3"/>
  <c r="DT247" i="3"/>
  <c r="FY247" i="3" s="1"/>
  <c r="AL250" i="3"/>
  <c r="BF252" i="3"/>
  <c r="EB253" i="3"/>
  <c r="V255" i="3"/>
  <c r="EA255" i="3" s="1"/>
  <c r="AL255" i="3"/>
  <c r="BJ255" i="3"/>
  <c r="BF255" i="3"/>
  <c r="FX255" i="3"/>
  <c r="AL256" i="3"/>
  <c r="BU262" i="3"/>
  <c r="BT262" i="3" s="1"/>
  <c r="FU262" i="3"/>
  <c r="AV264" i="3"/>
  <c r="EB264" i="3"/>
  <c r="CC265" i="3"/>
  <c r="BF269" i="3"/>
  <c r="BL269" i="3"/>
  <c r="BJ269" i="3"/>
  <c r="DX258" i="3"/>
  <c r="EB260" i="3"/>
  <c r="Y265" i="3"/>
  <c r="AL265" i="3"/>
  <c r="EB267" i="3"/>
  <c r="CN267" i="3"/>
  <c r="CC267" i="3"/>
  <c r="CH267" i="3"/>
  <c r="CG267" i="3" s="1"/>
  <c r="CC250" i="3"/>
  <c r="CN250" i="3"/>
  <c r="CH252" i="3"/>
  <c r="CG252" i="3" s="1"/>
  <c r="Y253" i="3"/>
  <c r="BK253" i="3" s="1"/>
  <c r="BI255" i="3"/>
  <c r="BH255" i="3" s="1"/>
  <c r="EJ255" i="3"/>
  <c r="CC258" i="3"/>
  <c r="AI264" i="3"/>
  <c r="BE264" i="3"/>
  <c r="BD264" i="3" s="1"/>
  <c r="CE264" i="3"/>
  <c r="EA264" i="3" s="1"/>
  <c r="EI265" i="3"/>
  <c r="EH264" i="3" s="1"/>
  <c r="AB264" i="3"/>
  <c r="BO265" i="3"/>
  <c r="FU265" i="3" s="1"/>
  <c r="BN265" i="3"/>
  <c r="FY265" i="3"/>
  <c r="FX267" i="3"/>
  <c r="AL269" i="3"/>
  <c r="CW269" i="3"/>
  <c r="DV269" i="3"/>
  <c r="GA269" i="3" s="1"/>
  <c r="BI252" i="3"/>
  <c r="BH252" i="3" s="1"/>
  <c r="CX253" i="3"/>
  <c r="CH255" i="3"/>
  <c r="CG255" i="3" s="1"/>
  <c r="CC260" i="3"/>
  <c r="CN260" i="3"/>
  <c r="CC262" i="3"/>
  <c r="AL264" i="3"/>
  <c r="AD267" i="3"/>
  <c r="DK269" i="3"/>
  <c r="DG269" i="3"/>
  <c r="DJ269" i="3"/>
  <c r="FO269" i="3"/>
  <c r="FN269" i="3" s="1"/>
  <c r="FH255" i="3"/>
  <c r="BF260" i="3"/>
  <c r="FX260" i="3"/>
  <c r="V262" i="3"/>
  <c r="EA262" i="3" s="1"/>
  <c r="BE262" i="3"/>
  <c r="BD262" i="3" s="1"/>
  <c r="CX262" i="3"/>
  <c r="CN262" i="3" s="1"/>
  <c r="CG264" i="3"/>
  <c r="EB265" i="3"/>
  <c r="T271" i="3"/>
  <c r="DZ271" i="3" s="1"/>
  <c r="BG271" i="3"/>
  <c r="CW271" i="3"/>
  <c r="EB255" i="3"/>
  <c r="EB262" i="3"/>
  <c r="DF269" i="3"/>
  <c r="BJ277" i="3"/>
  <c r="FR277" i="3" s="1"/>
  <c r="BF277" i="3"/>
  <c r="BL277" i="3"/>
  <c r="EM275" i="3"/>
  <c r="EL275" i="3" s="1"/>
  <c r="AD275" i="3"/>
  <c r="FK281" i="3"/>
  <c r="FJ281" i="3" s="1"/>
  <c r="CW281" i="3"/>
  <c r="FT273" i="3"/>
  <c r="GC273" i="3" s="1"/>
  <c r="GB273" i="3" s="1"/>
  <c r="AK279" i="3"/>
  <c r="EB283" i="3"/>
  <c r="CN271" i="3"/>
  <c r="CM271" i="3" s="1"/>
  <c r="EE271" i="3" s="1"/>
  <c r="CC271" i="3"/>
  <c r="EB271" i="3"/>
  <c r="CH271" i="3"/>
  <c r="CG271" i="3" s="1"/>
  <c r="EE277" i="3"/>
  <c r="EE279" i="3"/>
  <c r="AL260" i="3"/>
  <c r="AK260" i="3" s="1"/>
  <c r="BU275" i="3"/>
  <c r="BT275" i="3" s="1"/>
  <c r="FU275" i="3"/>
  <c r="GC275" i="3" s="1"/>
  <c r="GB275" i="3" s="1"/>
  <c r="FT281" i="3"/>
  <c r="GC281" i="3" s="1"/>
  <c r="GB281" i="3" s="1"/>
  <c r="BU281" i="3"/>
  <c r="BK273" i="3"/>
  <c r="FS273" i="3" s="1"/>
  <c r="EM273" i="3"/>
  <c r="EL273" i="3" s="1"/>
  <c r="EM281" i="3"/>
  <c r="EL281" i="3" s="1"/>
  <c r="AL281" i="3"/>
  <c r="AD281" i="3"/>
  <c r="EE275" i="3"/>
  <c r="AK277" i="3"/>
  <c r="FT279" i="3"/>
  <c r="GC279" i="3" s="1"/>
  <c r="GB279" i="3" s="1"/>
  <c r="BU279" i="3"/>
  <c r="BT279" i="3" s="1"/>
  <c r="DF279" i="3"/>
  <c r="DH279" i="3"/>
  <c r="EE281" i="3"/>
  <c r="AL283" i="3"/>
  <c r="AK283" i="3" s="1"/>
  <c r="Y283" i="3"/>
  <c r="X283" i="3" s="1"/>
  <c r="BE283" i="3"/>
  <c r="BD283" i="3" s="1"/>
  <c r="V283" i="3"/>
  <c r="EA283" i="3" s="1"/>
  <c r="DH273" i="3"/>
  <c r="DF273" i="3"/>
  <c r="CW283" i="3"/>
  <c r="FK283" i="3"/>
  <c r="FJ283" i="3" s="1"/>
  <c r="CC275" i="3"/>
  <c r="CC277" i="3"/>
  <c r="BJ281" i="3"/>
  <c r="FR281" i="3" s="1"/>
  <c r="EM283" i="3"/>
  <c r="EL283" i="3" s="1"/>
  <c r="CC281" i="3"/>
  <c r="FE281" i="3"/>
  <c r="FD281" i="3" s="1"/>
  <c r="CD283" i="3"/>
  <c r="CN283" i="3"/>
  <c r="CM283" i="3" s="1"/>
  <c r="EE283" i="3" s="1"/>
  <c r="FT283" i="3"/>
  <c r="GC283" i="3" s="1"/>
  <c r="GB283" i="3" s="1"/>
  <c r="FE283" i="3"/>
  <c r="FD283" i="3" s="1"/>
  <c r="BE277" i="3"/>
  <c r="BD277" i="3" s="1"/>
  <c r="CW252" i="3" l="1"/>
  <c r="CN253" i="3"/>
  <c r="EE264" i="3"/>
  <c r="BK248" i="3"/>
  <c r="EL252" i="3"/>
  <c r="BD242" i="3"/>
  <c r="FM243" i="3"/>
  <c r="BK230" i="3"/>
  <c r="EE230" i="3"/>
  <c r="AK227" i="3"/>
  <c r="GC199" i="3"/>
  <c r="GB199" i="3" s="1"/>
  <c r="EE164" i="3"/>
  <c r="GC190" i="3"/>
  <c r="EA159" i="3"/>
  <c r="CG132" i="3"/>
  <c r="BK142" i="3"/>
  <c r="AK135" i="3"/>
  <c r="BK135" i="3"/>
  <c r="BT83" i="3"/>
  <c r="BK83" i="3"/>
  <c r="GC121" i="3"/>
  <c r="GB121" i="3" s="1"/>
  <c r="CW109" i="3"/>
  <c r="GC107" i="3"/>
  <c r="GB107" i="3" s="1"/>
  <c r="AK126" i="3"/>
  <c r="BD33" i="3"/>
  <c r="FM33" i="3"/>
  <c r="AK42" i="3"/>
  <c r="BD55" i="3"/>
  <c r="BD19" i="3"/>
  <c r="FM19" i="3"/>
  <c r="FL19" i="3" s="1"/>
  <c r="AV17" i="3"/>
  <c r="AL17" i="3"/>
  <c r="AK17" i="3" s="1"/>
  <c r="BD9" i="3"/>
  <c r="AA285" i="3"/>
  <c r="BD24" i="3"/>
  <c r="T285" i="3"/>
  <c r="BS129" i="2"/>
  <c r="GR129" i="2"/>
  <c r="GQ129" i="2" s="1"/>
  <c r="CM125" i="2"/>
  <c r="GM108" i="2"/>
  <c r="DA92" i="2"/>
  <c r="BS92" i="2"/>
  <c r="EE137" i="2"/>
  <c r="CM85" i="2"/>
  <c r="BV85" i="2"/>
  <c r="BU85" i="2" s="1"/>
  <c r="BM68" i="2"/>
  <c r="BU114" i="2"/>
  <c r="EK56" i="2"/>
  <c r="FW45" i="2"/>
  <c r="FV45" i="2"/>
  <c r="GI137" i="2"/>
  <c r="CG137" i="2"/>
  <c r="AE41" i="2"/>
  <c r="FZ41" i="2" s="1"/>
  <c r="AD41" i="2"/>
  <c r="GG137" i="2"/>
  <c r="GR10" i="2"/>
  <c r="EU9" i="2"/>
  <c r="GQ9" i="2"/>
  <c r="BE281" i="3"/>
  <c r="BD281" i="3" s="1"/>
  <c r="EB281" i="3"/>
  <c r="Y281" i="3"/>
  <c r="X281" i="3" s="1"/>
  <c r="X285" i="3" s="1"/>
  <c r="V281" i="3"/>
  <c r="EA281" i="3" s="1"/>
  <c r="W285" i="3"/>
  <c r="DQ269" i="3"/>
  <c r="CM269" i="3"/>
  <c r="EE269" i="3" s="1"/>
  <c r="DF264" i="3"/>
  <c r="DH264" i="3"/>
  <c r="CC247" i="3"/>
  <c r="CN247" i="3"/>
  <c r="DQ247" i="3" s="1"/>
  <c r="BH247" i="3"/>
  <c r="DF244" i="3"/>
  <c r="FM244" i="3" s="1"/>
  <c r="DH244" i="3"/>
  <c r="CD242" i="3"/>
  <c r="DZ242" i="3" s="1"/>
  <c r="DJ242" i="3"/>
  <c r="DK242" i="3"/>
  <c r="FR242" i="3" s="1"/>
  <c r="ES236" i="3"/>
  <c r="AN236" i="3"/>
  <c r="AN285" i="3" s="1"/>
  <c r="AO285" i="3"/>
  <c r="CF236" i="3"/>
  <c r="BO236" i="3"/>
  <c r="AB236" i="3"/>
  <c r="CZ234" i="3"/>
  <c r="AW234" i="3"/>
  <c r="CH234" i="3"/>
  <c r="CG234" i="3" s="1"/>
  <c r="CC234" i="3"/>
  <c r="CC230" i="3"/>
  <c r="CE227" i="3"/>
  <c r="EA227" i="3" s="1"/>
  <c r="CG207" i="3"/>
  <c r="CZ207" i="3"/>
  <c r="AW207" i="3"/>
  <c r="FQ205" i="3"/>
  <c r="FP205" i="3" s="1"/>
  <c r="DP205" i="3"/>
  <c r="DJ201" i="3"/>
  <c r="FO201" i="3"/>
  <c r="FN201" i="3" s="1"/>
  <c r="AE201" i="3"/>
  <c r="O201" i="3"/>
  <c r="BT194" i="3"/>
  <c r="BD194" i="3"/>
  <c r="AB189" i="3"/>
  <c r="BD189" i="3"/>
  <c r="CY187" i="3"/>
  <c r="AW187" i="3"/>
  <c r="CE176" i="3"/>
  <c r="EA176" i="3" s="1"/>
  <c r="EB176" i="3"/>
  <c r="CN176" i="3"/>
  <c r="CH176" i="3"/>
  <c r="CG176" i="3" s="1"/>
  <c r="CC176" i="3"/>
  <c r="AK169" i="3"/>
  <c r="AR159" i="3"/>
  <c r="AL159" i="3"/>
  <c r="DK157" i="3"/>
  <c r="FR157" i="3" s="1"/>
  <c r="FO157" i="3"/>
  <c r="FO151" i="3"/>
  <c r="DK151" i="3"/>
  <c r="FR151" i="3" s="1"/>
  <c r="EI149" i="3"/>
  <c r="EH149" i="3" s="1"/>
  <c r="AB149" i="3"/>
  <c r="FM147" i="3"/>
  <c r="CN146" i="3"/>
  <c r="CG145" i="3"/>
  <c r="BD145" i="3"/>
  <c r="DV142" i="3"/>
  <c r="GA142" i="3" s="1"/>
  <c r="DT142" i="3"/>
  <c r="FY142" i="3" s="1"/>
  <c r="CN142" i="3"/>
  <c r="BD137" i="3"/>
  <c r="EM133" i="3"/>
  <c r="EL132" i="3" s="1"/>
  <c r="AD132" i="3"/>
  <c r="EU133" i="3"/>
  <c r="ET132" i="3" s="1"/>
  <c r="AP132" i="3"/>
  <c r="BD132" i="3"/>
  <c r="EI130" i="3"/>
  <c r="EH129" i="3" s="1"/>
  <c r="CC130" i="3"/>
  <c r="CK129" i="3"/>
  <c r="BD126" i="3"/>
  <c r="CG121" i="3"/>
  <c r="EM118" i="3"/>
  <c r="EL117" i="3" s="1"/>
  <c r="AL118" i="3"/>
  <c r="FY117" i="3"/>
  <c r="BQ285" i="3"/>
  <c r="BD117" i="3"/>
  <c r="EM110" i="3"/>
  <c r="EL109" i="3" s="1"/>
  <c r="AL110" i="3"/>
  <c r="BK110" i="3" s="1"/>
  <c r="AS285" i="3"/>
  <c r="AR107" i="3"/>
  <c r="AR285" i="3" s="1"/>
  <c r="DQ91" i="3"/>
  <c r="CM91" i="3"/>
  <c r="EE91" i="3" s="1"/>
  <c r="DP91" i="3"/>
  <c r="DI91" i="3"/>
  <c r="BD73" i="3"/>
  <c r="EI71" i="3"/>
  <c r="EH71" i="3" s="1"/>
  <c r="AB71" i="3"/>
  <c r="EK69" i="3"/>
  <c r="EJ69" i="3" s="1"/>
  <c r="Z69" i="3"/>
  <c r="AL69" i="3"/>
  <c r="AK69" i="3" s="1"/>
  <c r="CY64" i="3"/>
  <c r="AW64" i="3"/>
  <c r="CY62" i="3"/>
  <c r="AW62" i="3"/>
  <c r="GA47" i="3"/>
  <c r="GC47" i="3" s="1"/>
  <c r="GB47" i="3" s="1"/>
  <c r="DX47" i="3"/>
  <c r="DW47" i="3" s="1"/>
  <c r="CC45" i="3"/>
  <c r="CH45" i="3"/>
  <c r="CG28" i="3"/>
  <c r="BD21" i="3"/>
  <c r="BK12" i="3"/>
  <c r="DF10" i="3"/>
  <c r="FM10" i="3" s="1"/>
  <c r="DH10" i="3"/>
  <c r="BM133" i="2"/>
  <c r="GM133" i="2" s="1"/>
  <c r="W133" i="2"/>
  <c r="GR121" i="2"/>
  <c r="EU121" i="2"/>
  <c r="EL117" i="2"/>
  <c r="EK117" i="2" s="1"/>
  <c r="GM117" i="2" s="1"/>
  <c r="CX117" i="2"/>
  <c r="FT117" i="2" s="1"/>
  <c r="FG110" i="2"/>
  <c r="DG110" i="2"/>
  <c r="GP108" i="2"/>
  <c r="GO108" i="2" s="1"/>
  <c r="EO108" i="2"/>
  <c r="BV108" i="2"/>
  <c r="BU108" i="2" s="1"/>
  <c r="AC108" i="2"/>
  <c r="X106" i="2"/>
  <c r="W104" i="2" s="1"/>
  <c r="U104" i="2"/>
  <c r="V137" i="2"/>
  <c r="CN100" i="2"/>
  <c r="CM100" i="2" s="1"/>
  <c r="CA100" i="2"/>
  <c r="EV98" i="2"/>
  <c r="GR98" i="2" s="1"/>
  <c r="EP98" i="2"/>
  <c r="BV95" i="2"/>
  <c r="BV93" i="2"/>
  <c r="BM92" i="2"/>
  <c r="CN92" i="2"/>
  <c r="CA92" i="2"/>
  <c r="W92" i="2"/>
  <c r="BQ87" i="2"/>
  <c r="BS87" i="2"/>
  <c r="ER85" i="2"/>
  <c r="EQ85" i="2" s="1"/>
  <c r="EM85" i="2"/>
  <c r="GN85" i="2" s="1"/>
  <c r="EN73" i="2"/>
  <c r="EL73" i="2"/>
  <c r="CX72" i="2"/>
  <c r="FT72" i="2" s="1"/>
  <c r="EP72" i="2"/>
  <c r="EV72" i="2"/>
  <c r="EK72" i="2"/>
  <c r="AE72" i="2"/>
  <c r="FZ72" i="2" s="1"/>
  <c r="AD72" i="2"/>
  <c r="BV72" i="2" s="1"/>
  <c r="EP68" i="2"/>
  <c r="EV68" i="2"/>
  <c r="GR68" i="2" s="1"/>
  <c r="GQ68" i="2" s="1"/>
  <c r="GR66" i="2"/>
  <c r="EK65" i="2"/>
  <c r="GM65" i="2" s="1"/>
  <c r="EV65" i="2"/>
  <c r="EP65" i="2"/>
  <c r="BS65" i="2"/>
  <c r="ER63" i="2"/>
  <c r="FA63" i="2"/>
  <c r="EV63" i="2"/>
  <c r="GR63" i="2" s="1"/>
  <c r="DG62" i="2"/>
  <c r="BM62" i="2"/>
  <c r="CA62" i="2"/>
  <c r="ER60" i="2"/>
  <c r="FA60" i="2"/>
  <c r="GU60" i="2" s="1"/>
  <c r="EV60" i="2"/>
  <c r="GR60" i="2" s="1"/>
  <c r="AF60" i="2"/>
  <c r="AH56" i="2"/>
  <c r="Y56" i="2"/>
  <c r="FY56" i="2" s="1"/>
  <c r="AD59" i="2"/>
  <c r="BS56" i="2"/>
  <c r="BQ56" i="2"/>
  <c r="BV57" i="2"/>
  <c r="GR39" i="2"/>
  <c r="BS39" i="2"/>
  <c r="CD31" i="2"/>
  <c r="AD31" i="2"/>
  <c r="AC31" i="2" s="1"/>
  <c r="BM24" i="2"/>
  <c r="BQ24" i="2"/>
  <c r="BS24" i="2"/>
  <c r="BS18" i="2"/>
  <c r="BM15" i="2"/>
  <c r="GM15" i="2" s="1"/>
  <c r="CD13" i="2"/>
  <c r="AD13" i="2"/>
  <c r="CW13" i="2"/>
  <c r="DB13" i="2"/>
  <c r="CY12" i="2"/>
  <c r="FU12" i="2" s="1"/>
  <c r="DA12" i="2"/>
  <c r="Z137" i="2"/>
  <c r="Y12" i="2"/>
  <c r="AD12" i="2"/>
  <c r="AC12" i="2" s="1"/>
  <c r="AB137" i="2"/>
  <c r="BM12" i="2"/>
  <c r="CW7" i="2"/>
  <c r="DH7" i="2"/>
  <c r="DB7" i="2"/>
  <c r="CY6" i="2"/>
  <c r="FU6" i="2" s="1"/>
  <c r="HB6" i="2"/>
  <c r="FP6" i="2"/>
  <c r="BQ6" i="2"/>
  <c r="BS6" i="2"/>
  <c r="BM6" i="2"/>
  <c r="CA6" i="2"/>
  <c r="FS147" i="3"/>
  <c r="FS122" i="3"/>
  <c r="FQ236" i="3"/>
  <c r="FP236" i="3" s="1"/>
  <c r="DP236" i="3"/>
  <c r="DI236" i="3"/>
  <c r="BG285" i="3"/>
  <c r="EE208" i="3"/>
  <c r="DQ208" i="3"/>
  <c r="DQ186" i="3"/>
  <c r="Y285" i="3"/>
  <c r="FG114" i="2"/>
  <c r="DG114" i="2"/>
  <c r="CM221" i="3"/>
  <c r="EE221" i="3" s="1"/>
  <c r="DQ221" i="3"/>
  <c r="CM95" i="3"/>
  <c r="EE95" i="3" s="1"/>
  <c r="DQ95" i="3"/>
  <c r="DQ145" i="3"/>
  <c r="CM145" i="3"/>
  <c r="EE145" i="3" s="1"/>
  <c r="DQ118" i="3"/>
  <c r="EE118" i="3"/>
  <c r="ES119" i="2"/>
  <c r="EX119" i="2"/>
  <c r="BK212" i="3"/>
  <c r="AK212" i="3"/>
  <c r="DK199" i="3"/>
  <c r="FR199" i="3" s="1"/>
  <c r="DJ199" i="3"/>
  <c r="FO199" i="3"/>
  <c r="FN199" i="3" s="1"/>
  <c r="DG199" i="3"/>
  <c r="BK275" i="3"/>
  <c r="FS275" i="3" s="1"/>
  <c r="DP269" i="3"/>
  <c r="DI269" i="3"/>
  <c r="FQ269" i="3"/>
  <c r="FP269" i="3" s="1"/>
  <c r="EE265" i="3"/>
  <c r="FW240" i="3"/>
  <c r="FW245" i="3"/>
  <c r="GC245" i="3" s="1"/>
  <c r="DX245" i="3"/>
  <c r="DL245" i="3" s="1"/>
  <c r="FS245" i="3" s="1"/>
  <c r="DQ225" i="3"/>
  <c r="CM225" i="3"/>
  <c r="EE225" i="3" s="1"/>
  <c r="DH219" i="3"/>
  <c r="DF219" i="3"/>
  <c r="FM219" i="3" s="1"/>
  <c r="FM207" i="3"/>
  <c r="FL207" i="3" s="1"/>
  <c r="DE207" i="3"/>
  <c r="DF218" i="3"/>
  <c r="CD218" i="3"/>
  <c r="DZ218" i="3" s="1"/>
  <c r="DH218" i="3"/>
  <c r="DI207" i="3"/>
  <c r="FQ207" i="3"/>
  <c r="FP207" i="3" s="1"/>
  <c r="DP207" i="3"/>
  <c r="CW189" i="3"/>
  <c r="FK189" i="3"/>
  <c r="FJ189" i="3" s="1"/>
  <c r="DV189" i="3"/>
  <c r="GA189" i="3" s="1"/>
  <c r="DT189" i="3"/>
  <c r="FY189" i="3" s="1"/>
  <c r="DH180" i="3"/>
  <c r="DF180" i="3"/>
  <c r="CM159" i="3"/>
  <c r="EE159" i="3" s="1"/>
  <c r="DQ159" i="3"/>
  <c r="FM273" i="3"/>
  <c r="FL273" i="3" s="1"/>
  <c r="DE273" i="3"/>
  <c r="FM279" i="3"/>
  <c r="FL279" i="3" s="1"/>
  <c r="DE279" i="3"/>
  <c r="AK281" i="3"/>
  <c r="BK281" i="3"/>
  <c r="FS281" i="3" s="1"/>
  <c r="FK253" i="3"/>
  <c r="DV253" i="3"/>
  <c r="GA253" i="3" s="1"/>
  <c r="DT253" i="3"/>
  <c r="FY253" i="3" s="1"/>
  <c r="DH258" i="3"/>
  <c r="DF258" i="3"/>
  <c r="FM258" i="3" s="1"/>
  <c r="DT260" i="3"/>
  <c r="FY260" i="3" s="1"/>
  <c r="DV260" i="3"/>
  <c r="GA260" i="3" s="1"/>
  <c r="CW260" i="3"/>
  <c r="FK260" i="3"/>
  <c r="FJ260" i="3" s="1"/>
  <c r="AW248" i="3"/>
  <c r="DC248" i="3"/>
  <c r="FM264" i="3"/>
  <c r="CD227" i="3"/>
  <c r="DZ227" i="3" s="1"/>
  <c r="DH227" i="3"/>
  <c r="DF227" i="3"/>
  <c r="FM232" i="3"/>
  <c r="FL232" i="3" s="1"/>
  <c r="DE232" i="3"/>
  <c r="DF216" i="3"/>
  <c r="DH216" i="3"/>
  <c r="EB223" i="3"/>
  <c r="CC223" i="3"/>
  <c r="CJ223" i="3"/>
  <c r="CN223" i="3" s="1"/>
  <c r="CE223" i="3"/>
  <c r="EA223" i="3" s="1"/>
  <c r="FK194" i="3"/>
  <c r="DT194" i="3"/>
  <c r="FY194" i="3" s="1"/>
  <c r="DV194" i="3"/>
  <c r="GA194" i="3" s="1"/>
  <c r="CW194" i="3"/>
  <c r="CN194" i="3"/>
  <c r="BK187" i="3"/>
  <c r="DQ180" i="3"/>
  <c r="CM180" i="3"/>
  <c r="EE180" i="3" s="1"/>
  <c r="AK164" i="3"/>
  <c r="BK164" i="3"/>
  <c r="DP151" i="3"/>
  <c r="FQ151" i="3"/>
  <c r="DV149" i="3"/>
  <c r="GA149" i="3" s="1"/>
  <c r="CW149" i="3"/>
  <c r="FK149" i="3"/>
  <c r="FJ149" i="3" s="1"/>
  <c r="DT149" i="3"/>
  <c r="FY149" i="3" s="1"/>
  <c r="CN149" i="3"/>
  <c r="DP153" i="3"/>
  <c r="FQ153" i="3"/>
  <c r="DT159" i="3"/>
  <c r="FY159" i="3" s="1"/>
  <c r="DV159" i="3"/>
  <c r="GA159" i="3" s="1"/>
  <c r="FK159" i="3"/>
  <c r="FJ159" i="3" s="1"/>
  <c r="CW159" i="3"/>
  <c r="DT157" i="3"/>
  <c r="FY157" i="3" s="1"/>
  <c r="CN157" i="3"/>
  <c r="DV157" i="3"/>
  <c r="GA157" i="3" s="1"/>
  <c r="FK157" i="3"/>
  <c r="DJ141" i="3"/>
  <c r="DG141" i="3"/>
  <c r="FO141" i="3"/>
  <c r="DK141" i="3"/>
  <c r="FR141" i="3" s="1"/>
  <c r="CD129" i="3"/>
  <c r="DZ129" i="3" s="1"/>
  <c r="DH129" i="3"/>
  <c r="DF129" i="3"/>
  <c r="DQ154" i="3"/>
  <c r="EE154" i="3"/>
  <c r="AY124" i="3"/>
  <c r="BK124" i="3"/>
  <c r="AK137" i="3"/>
  <c r="DE137" i="3"/>
  <c r="FM137" i="3"/>
  <c r="FL137" i="3" s="1"/>
  <c r="DW121" i="3"/>
  <c r="BD114" i="3"/>
  <c r="CM81" i="3"/>
  <c r="EE81" i="3" s="1"/>
  <c r="DQ81" i="3"/>
  <c r="EA114" i="3"/>
  <c r="CG109" i="3"/>
  <c r="AK81" i="3"/>
  <c r="BK81" i="3"/>
  <c r="BK99" i="3"/>
  <c r="FK117" i="3"/>
  <c r="CW117" i="3"/>
  <c r="CN117" i="3"/>
  <c r="DV117" i="3"/>
  <c r="GA117" i="3" s="1"/>
  <c r="DH105" i="3"/>
  <c r="DF105" i="3"/>
  <c r="AK73" i="3"/>
  <c r="EE44" i="3"/>
  <c r="FM73" i="3"/>
  <c r="EA40" i="3"/>
  <c r="DV60" i="3"/>
  <c r="GA60" i="3" s="1"/>
  <c r="FK60" i="3"/>
  <c r="FJ60" i="3" s="1"/>
  <c r="CW60" i="3"/>
  <c r="CF60" i="3"/>
  <c r="DF107" i="3"/>
  <c r="DH107" i="3"/>
  <c r="DV36" i="3"/>
  <c r="GA36" i="3" s="1"/>
  <c r="FK36" i="3"/>
  <c r="AD47" i="3"/>
  <c r="AL47" i="3"/>
  <c r="EM47" i="3"/>
  <c r="EL47" i="3" s="1"/>
  <c r="CN35" i="3"/>
  <c r="CH35" i="3"/>
  <c r="CG33" i="3" s="1"/>
  <c r="CC35" i="3"/>
  <c r="EB35" i="3"/>
  <c r="EA12" i="3"/>
  <c r="FM17" i="3"/>
  <c r="FL17" i="3" s="1"/>
  <c r="CN33" i="3"/>
  <c r="DV33" i="3"/>
  <c r="GA33" i="3" s="1"/>
  <c r="FK33" i="3"/>
  <c r="FJ33" i="3" s="1"/>
  <c r="CW33" i="3"/>
  <c r="DK15" i="3"/>
  <c r="FR15" i="3" s="1"/>
  <c r="DJ15" i="3"/>
  <c r="FO15" i="3"/>
  <c r="DQ6" i="3"/>
  <c r="DZ28" i="3"/>
  <c r="DP17" i="3"/>
  <c r="DI17" i="3"/>
  <c r="FQ17" i="3"/>
  <c r="FP17" i="3" s="1"/>
  <c r="BK31" i="3"/>
  <c r="AK31" i="3"/>
  <c r="FM13" i="3"/>
  <c r="FQ56" i="3"/>
  <c r="DP56" i="3"/>
  <c r="FM38" i="3"/>
  <c r="FL38" i="3" s="1"/>
  <c r="GR133" i="2"/>
  <c r="GQ133" i="2" s="1"/>
  <c r="EU133" i="2"/>
  <c r="CX125" i="2"/>
  <c r="FT125" i="2" s="1"/>
  <c r="EL125" i="2"/>
  <c r="EK125" i="2" s="1"/>
  <c r="GM125" i="2" s="1"/>
  <c r="AC119" i="2"/>
  <c r="DG12" i="3"/>
  <c r="EN94" i="2"/>
  <c r="EL94" i="2"/>
  <c r="FG117" i="2"/>
  <c r="DG117" i="2"/>
  <c r="DW80" i="2"/>
  <c r="GL80" i="2" s="1"/>
  <c r="DH80" i="2"/>
  <c r="FQ80" i="2"/>
  <c r="ER131" i="2"/>
  <c r="EQ131" i="2" s="1"/>
  <c r="EP131" i="2"/>
  <c r="EV131" i="2"/>
  <c r="EM131" i="2"/>
  <c r="GN131" i="2" s="1"/>
  <c r="FA131" i="2"/>
  <c r="EU119" i="2"/>
  <c r="DZ24" i="3"/>
  <c r="FR13" i="3"/>
  <c r="HB125" i="2"/>
  <c r="FP125" i="2"/>
  <c r="EO80" i="2"/>
  <c r="GP80" i="2"/>
  <c r="GO80" i="2" s="1"/>
  <c r="AD70" i="2"/>
  <c r="BV70" i="2" s="1"/>
  <c r="EN83" i="2"/>
  <c r="EL83" i="2"/>
  <c r="GU93" i="2"/>
  <c r="ET93" i="2"/>
  <c r="EX93" i="2" s="1"/>
  <c r="GT93" i="2" s="1"/>
  <c r="BU97" i="2"/>
  <c r="FG49" i="2"/>
  <c r="DG49" i="2"/>
  <c r="HB65" i="2"/>
  <c r="FP65" i="2"/>
  <c r="CM68" i="2"/>
  <c r="W56" i="2"/>
  <c r="AI22" i="2"/>
  <c r="AJ22" i="2" s="1"/>
  <c r="AG22" i="2"/>
  <c r="W22" i="2"/>
  <c r="FG47" i="2"/>
  <c r="DG47" i="2"/>
  <c r="CA41" i="2"/>
  <c r="CN41" i="2"/>
  <c r="CM41" i="2" s="1"/>
  <c r="CN22" i="2"/>
  <c r="CM22" i="2" s="1"/>
  <c r="CA22" i="2"/>
  <c r="BQ68" i="2"/>
  <c r="FP49" i="2"/>
  <c r="HB49" i="2"/>
  <c r="X137" i="2"/>
  <c r="W4" i="2"/>
  <c r="DG22" i="2"/>
  <c r="FG22" i="2"/>
  <c r="HA137" i="2"/>
  <c r="EV33" i="2"/>
  <c r="EM33" i="2"/>
  <c r="GN33" i="2" s="1"/>
  <c r="EX33" i="2"/>
  <c r="EP33" i="2"/>
  <c r="GP15" i="2"/>
  <c r="GO15" i="2" s="1"/>
  <c r="EO15" i="2"/>
  <c r="GR18" i="2"/>
  <c r="AC6" i="2"/>
  <c r="BV6" i="2"/>
  <c r="BU6" i="2" s="1"/>
  <c r="GU16" i="2"/>
  <c r="DQ250" i="3"/>
  <c r="CM250" i="3"/>
  <c r="EE250" i="3" s="1"/>
  <c r="DX247" i="3"/>
  <c r="FW247" i="3"/>
  <c r="GC247" i="3" s="1"/>
  <c r="DF281" i="3"/>
  <c r="DH281" i="3"/>
  <c r="FO273" i="3"/>
  <c r="FN273" i="3" s="1"/>
  <c r="DG273" i="3"/>
  <c r="BK279" i="3"/>
  <c r="FS279" i="3" s="1"/>
  <c r="FR269" i="3"/>
  <c r="FW265" i="3"/>
  <c r="GC265" i="3" s="1"/>
  <c r="GB264" i="3" s="1"/>
  <c r="BU265" i="3"/>
  <c r="BT264" i="3" s="1"/>
  <c r="CM262" i="3"/>
  <c r="DQ262" i="3"/>
  <c r="AK250" i="3"/>
  <c r="BK250" i="3"/>
  <c r="CM252" i="3"/>
  <c r="EE252" i="3" s="1"/>
  <c r="DQ252" i="3"/>
  <c r="BK247" i="3"/>
  <c r="DQ256" i="3"/>
  <c r="EE256" i="3"/>
  <c r="FL242" i="3"/>
  <c r="EE245" i="3"/>
  <c r="DV227" i="3"/>
  <c r="GA227" i="3" s="1"/>
  <c r="CW227" i="3"/>
  <c r="FK227" i="3"/>
  <c r="FJ227" i="3" s="1"/>
  <c r="DT227" i="3"/>
  <c r="FY227" i="3" s="1"/>
  <c r="EQ230" i="3"/>
  <c r="DQ230" i="3"/>
  <c r="FM229" i="3"/>
  <c r="CM216" i="3"/>
  <c r="EE216" i="3" s="1"/>
  <c r="DQ216" i="3"/>
  <c r="AK223" i="3"/>
  <c r="BK223" i="3"/>
  <c r="BD218" i="3"/>
  <c r="DH203" i="3"/>
  <c r="DF203" i="3"/>
  <c r="DQ214" i="3"/>
  <c r="CM214" i="3"/>
  <c r="EE214" i="3" s="1"/>
  <c r="CW201" i="3"/>
  <c r="DV201" i="3"/>
  <c r="GA201" i="3" s="1"/>
  <c r="FK201" i="3"/>
  <c r="FJ201" i="3" s="1"/>
  <c r="DT201" i="3"/>
  <c r="FY201" i="3" s="1"/>
  <c r="CN201" i="3"/>
  <c r="DV192" i="3"/>
  <c r="GA192" i="3" s="1"/>
  <c r="FK192" i="3"/>
  <c r="FJ192" i="3" s="1"/>
  <c r="CW192" i="3"/>
  <c r="DT192" i="3"/>
  <c r="FY192" i="3" s="1"/>
  <c r="CN192" i="3"/>
  <c r="FN207" i="3"/>
  <c r="EA180" i="3"/>
  <c r="FO169" i="3"/>
  <c r="DK169" i="3"/>
  <c r="FR169" i="3" s="1"/>
  <c r="DJ169" i="3"/>
  <c r="EU160" i="3"/>
  <c r="ET159" i="3" s="1"/>
  <c r="AP159" i="3"/>
  <c r="AL160" i="3"/>
  <c r="AK159" i="3" s="1"/>
  <c r="CW182" i="3"/>
  <c r="DV182" i="3"/>
  <c r="GA182" i="3" s="1"/>
  <c r="DT182" i="3"/>
  <c r="FY182" i="3" s="1"/>
  <c r="CN182" i="3"/>
  <c r="FK182" i="3"/>
  <c r="FJ182" i="3" s="1"/>
  <c r="FQ147" i="3"/>
  <c r="DP147" i="3"/>
  <c r="DT153" i="3"/>
  <c r="FY153" i="3" s="1"/>
  <c r="CN153" i="3"/>
  <c r="FK153" i="3"/>
  <c r="DV153" i="3"/>
  <c r="GA153" i="3" s="1"/>
  <c r="DI166" i="3"/>
  <c r="FQ166" i="3"/>
  <c r="DP166" i="3"/>
  <c r="DQ160" i="3"/>
  <c r="FM141" i="3"/>
  <c r="FL141" i="3" s="1"/>
  <c r="FO143" i="3"/>
  <c r="DK143" i="3"/>
  <c r="FR143" i="3" s="1"/>
  <c r="DJ143" i="3"/>
  <c r="FS139" i="3"/>
  <c r="FW97" i="3"/>
  <c r="GC97" i="3" s="1"/>
  <c r="GB97" i="3" s="1"/>
  <c r="DX97" i="3"/>
  <c r="DW97" i="3" s="1"/>
  <c r="AQ114" i="3"/>
  <c r="AE114" i="3"/>
  <c r="EE76" i="3"/>
  <c r="DQ76" i="3"/>
  <c r="FW89" i="3"/>
  <c r="GC89" i="3" s="1"/>
  <c r="GB89" i="3" s="1"/>
  <c r="DX89" i="3"/>
  <c r="DH81" i="3"/>
  <c r="DF81" i="3"/>
  <c r="DQ115" i="3"/>
  <c r="DK111" i="3"/>
  <c r="FR111" i="3" s="1"/>
  <c r="FO111" i="3"/>
  <c r="DJ111" i="3"/>
  <c r="DQ105" i="3"/>
  <c r="CM105" i="3"/>
  <c r="EE105" i="3" s="1"/>
  <c r="DV69" i="3"/>
  <c r="GA69" i="3" s="1"/>
  <c r="FK69" i="3"/>
  <c r="FJ69" i="3" s="1"/>
  <c r="CW69" i="3"/>
  <c r="DV53" i="3"/>
  <c r="GA53" i="3" s="1"/>
  <c r="FK53" i="3"/>
  <c r="FJ51" i="3" s="1"/>
  <c r="FO73" i="3"/>
  <c r="DK73" i="3"/>
  <c r="FR73" i="3" s="1"/>
  <c r="DJ73" i="3"/>
  <c r="BK33" i="3"/>
  <c r="AK33" i="3"/>
  <c r="DH44" i="3"/>
  <c r="DF44" i="3"/>
  <c r="FM44" i="3" s="1"/>
  <c r="FK75" i="3"/>
  <c r="DV75" i="3"/>
  <c r="GA75" i="3" s="1"/>
  <c r="DC285" i="3"/>
  <c r="AG285" i="3"/>
  <c r="DQ21" i="3"/>
  <c r="DE12" i="3"/>
  <c r="FM12" i="3"/>
  <c r="FL12" i="3" s="1"/>
  <c r="FG285" i="3"/>
  <c r="FF5" i="3"/>
  <c r="FF285" i="3" s="1"/>
  <c r="DQ42" i="3"/>
  <c r="DE28" i="3"/>
  <c r="FM28" i="3"/>
  <c r="FL28" i="3" s="1"/>
  <c r="FK22" i="3"/>
  <c r="DV22" i="3"/>
  <c r="GA22" i="3" s="1"/>
  <c r="CN22" i="3"/>
  <c r="CM21" i="3" s="1"/>
  <c r="EE21" i="3" s="1"/>
  <c r="DV21" i="3"/>
  <c r="GA21" i="3" s="1"/>
  <c r="CW21" i="3"/>
  <c r="FK21" i="3"/>
  <c r="FJ21" i="3" s="1"/>
  <c r="DH5" i="3"/>
  <c r="CD5" i="3"/>
  <c r="DF5" i="3"/>
  <c r="AC133" i="2"/>
  <c r="BV133" i="2"/>
  <c r="BU133" i="2" s="1"/>
  <c r="GP133" i="2"/>
  <c r="GO133" i="2" s="1"/>
  <c r="EO133" i="2"/>
  <c r="DG125" i="2"/>
  <c r="FG125" i="2"/>
  <c r="CX92" i="2"/>
  <c r="FT92" i="2" s="1"/>
  <c r="EN92" i="2"/>
  <c r="EL92" i="2"/>
  <c r="BT117" i="2"/>
  <c r="BO117" i="2"/>
  <c r="GN117" i="2" s="1"/>
  <c r="BX117" i="2"/>
  <c r="FG105" i="2"/>
  <c r="EO119" i="2"/>
  <c r="GP119" i="2"/>
  <c r="GO119" i="2" s="1"/>
  <c r="GL125" i="2"/>
  <c r="FA115" i="2"/>
  <c r="ER115" i="2"/>
  <c r="EV115" i="2"/>
  <c r="GR115" i="2" s="1"/>
  <c r="EP115" i="2"/>
  <c r="GP115" i="2" s="1"/>
  <c r="BM72" i="2"/>
  <c r="GM72" i="2" s="1"/>
  <c r="FQ56" i="2"/>
  <c r="DW56" i="2"/>
  <c r="GL56" i="2" s="1"/>
  <c r="DH56" i="2"/>
  <c r="FM56" i="2"/>
  <c r="FG78" i="2"/>
  <c r="FG69" i="2"/>
  <c r="EN49" i="2"/>
  <c r="CX49" i="2"/>
  <c r="FT49" i="2" s="1"/>
  <c r="EL49" i="2"/>
  <c r="GX98" i="2"/>
  <c r="ET59" i="2"/>
  <c r="EX59" i="2" s="1"/>
  <c r="GU59" i="2"/>
  <c r="BQ49" i="2"/>
  <c r="BQ137" i="2" s="1"/>
  <c r="AR137" i="2"/>
  <c r="AQ4" i="2"/>
  <c r="FG39" i="2"/>
  <c r="DM39" i="2"/>
  <c r="CN24" i="2"/>
  <c r="CM24" i="2" s="1"/>
  <c r="CA24" i="2"/>
  <c r="GR72" i="2"/>
  <c r="AC41" i="2"/>
  <c r="BV41" i="2"/>
  <c r="BU41" i="2" s="1"/>
  <c r="CM4" i="2"/>
  <c r="FU22" i="2"/>
  <c r="AC9" i="2"/>
  <c r="FG60" i="2"/>
  <c r="CN15" i="2"/>
  <c r="CM15" i="2" s="1"/>
  <c r="CA15" i="2"/>
  <c r="GQ4" i="2"/>
  <c r="EQ15" i="2"/>
  <c r="GP18" i="2"/>
  <c r="ER18" i="2"/>
  <c r="GU27" i="2"/>
  <c r="ET27" i="2"/>
  <c r="EX27" i="2" s="1"/>
  <c r="GT27" i="2" s="1"/>
  <c r="GO4" i="2"/>
  <c r="BU277" i="3"/>
  <c r="FT277" i="3"/>
  <c r="GC277" i="3" s="1"/>
  <c r="GB277" i="3" s="1"/>
  <c r="Z262" i="3"/>
  <c r="EK262" i="3"/>
  <c r="EJ262" i="3" s="1"/>
  <c r="DF214" i="3"/>
  <c r="DH214" i="3"/>
  <c r="DQ203" i="3"/>
  <c r="CM203" i="3"/>
  <c r="EE203" i="3" s="1"/>
  <c r="DH178" i="3"/>
  <c r="DF178" i="3"/>
  <c r="DP187" i="3"/>
  <c r="FQ187" i="3"/>
  <c r="DH186" i="3"/>
  <c r="CD186" i="3"/>
  <c r="DZ186" i="3" s="1"/>
  <c r="DF186" i="3"/>
  <c r="FM172" i="3"/>
  <c r="FL172" i="3" s="1"/>
  <c r="DE172" i="3"/>
  <c r="FQ167" i="3"/>
  <c r="DP167" i="3"/>
  <c r="DH162" i="3"/>
  <c r="DF162" i="3"/>
  <c r="FO155" i="3"/>
  <c r="FN151" i="3" s="1"/>
  <c r="DK155" i="3"/>
  <c r="FR155" i="3" s="1"/>
  <c r="DJ155" i="3"/>
  <c r="DG151" i="3"/>
  <c r="FK155" i="3"/>
  <c r="DV155" i="3"/>
  <c r="GA155" i="3" s="1"/>
  <c r="DT155" i="3"/>
  <c r="FY155" i="3" s="1"/>
  <c r="CN155" i="3"/>
  <c r="DP156" i="3"/>
  <c r="FQ156" i="3"/>
  <c r="BT137" i="3"/>
  <c r="DH124" i="3"/>
  <c r="DF124" i="3"/>
  <c r="DT127" i="3"/>
  <c r="FY127" i="3" s="1"/>
  <c r="FK127" i="3"/>
  <c r="DV127" i="3"/>
  <c r="GA127" i="3" s="1"/>
  <c r="EE132" i="3"/>
  <c r="DQ132" i="3"/>
  <c r="EK132" i="3"/>
  <c r="CI132" i="3"/>
  <c r="FM91" i="3"/>
  <c r="FL91" i="3" s="1"/>
  <c r="DE91" i="3"/>
  <c r="DQ109" i="3"/>
  <c r="BK115" i="3"/>
  <c r="DE121" i="3"/>
  <c r="FM121" i="3"/>
  <c r="FL121" i="3" s="1"/>
  <c r="DV114" i="3"/>
  <c r="GA114" i="3" s="1"/>
  <c r="CW114" i="3"/>
  <c r="CN114" i="3"/>
  <c r="FK114" i="3"/>
  <c r="FQ110" i="3"/>
  <c r="DP110" i="3"/>
  <c r="DP52" i="3"/>
  <c r="FQ52" i="3"/>
  <c r="DQ55" i="3"/>
  <c r="CM55" i="3"/>
  <c r="EE55" i="3" s="1"/>
  <c r="DQ85" i="3"/>
  <c r="CM85" i="3"/>
  <c r="EE85" i="3" s="1"/>
  <c r="DQ28" i="3"/>
  <c r="DF21" i="3"/>
  <c r="CD21" i="3"/>
  <c r="DZ21" i="3" s="1"/>
  <c r="DH21" i="3"/>
  <c r="BK10" i="3"/>
  <c r="V285" i="3"/>
  <c r="CM31" i="3"/>
  <c r="EE31" i="3" s="1"/>
  <c r="DQ31" i="3"/>
  <c r="EV285" i="3"/>
  <c r="FO28" i="3"/>
  <c r="FN28" i="3" s="1"/>
  <c r="DJ28" i="3"/>
  <c r="DK28" i="3"/>
  <c r="FR28" i="3" s="1"/>
  <c r="DG28" i="3"/>
  <c r="DK6" i="3"/>
  <c r="FR6" i="3" s="1"/>
  <c r="FO6" i="3"/>
  <c r="DJ6" i="3"/>
  <c r="CW51" i="3"/>
  <c r="FE285" i="3"/>
  <c r="FD5" i="3"/>
  <c r="FD285" i="3" s="1"/>
  <c r="FQ33" i="3"/>
  <c r="DP33" i="3"/>
  <c r="DI19" i="3"/>
  <c r="FQ19" i="3"/>
  <c r="FP19" i="3" s="1"/>
  <c r="DP19" i="3"/>
  <c r="ES129" i="2"/>
  <c r="EX129" i="2"/>
  <c r="GP105" i="2"/>
  <c r="ER105" i="2"/>
  <c r="DW114" i="2"/>
  <c r="GL114" i="2" s="1"/>
  <c r="FQ114" i="2"/>
  <c r="AC104" i="2"/>
  <c r="BV104" i="2"/>
  <c r="W121" i="2"/>
  <c r="BV121" i="2"/>
  <c r="BU121" i="2" s="1"/>
  <c r="GR85" i="2"/>
  <c r="GQ85" i="2" s="1"/>
  <c r="EU85" i="2"/>
  <c r="FG115" i="2"/>
  <c r="GX115" i="2" s="1"/>
  <c r="AY90" i="2"/>
  <c r="GL90" i="2" s="1"/>
  <c r="AD90" i="2"/>
  <c r="BN90" i="2"/>
  <c r="BM90" i="2" s="1"/>
  <c r="DG75" i="2"/>
  <c r="FG75" i="2"/>
  <c r="GM68" i="2"/>
  <c r="FG76" i="2"/>
  <c r="ER102" i="2"/>
  <c r="EQ102" i="2" s="1"/>
  <c r="EP102" i="2"/>
  <c r="EV102" i="2"/>
  <c r="EM102" i="2"/>
  <c r="GN102" i="2" s="1"/>
  <c r="FA102" i="2"/>
  <c r="GM114" i="2"/>
  <c r="AD65" i="2"/>
  <c r="AE65" i="2"/>
  <c r="FZ65" i="2" s="1"/>
  <c r="GU58" i="2"/>
  <c r="FG73" i="2"/>
  <c r="AC68" i="2"/>
  <c r="BV68" i="2"/>
  <c r="BU68" i="2" s="1"/>
  <c r="EN54" i="2"/>
  <c r="EL54" i="2"/>
  <c r="FF45" i="2"/>
  <c r="ET45" i="2"/>
  <c r="GX45" i="2"/>
  <c r="AC4" i="2"/>
  <c r="BV4" i="2"/>
  <c r="CA9" i="2"/>
  <c r="CN9" i="2"/>
  <c r="EL45" i="2"/>
  <c r="EK45" i="2" s="1"/>
  <c r="GM45" i="2" s="1"/>
  <c r="CX45" i="2"/>
  <c r="FT45" i="2" s="1"/>
  <c r="FP68" i="2"/>
  <c r="AC33" i="2"/>
  <c r="BV33" i="2"/>
  <c r="BU33" i="2" s="1"/>
  <c r="CB137" i="2"/>
  <c r="EZ15" i="2"/>
  <c r="EY15" i="2" s="1"/>
  <c r="GU15" i="2"/>
  <c r="BL271" i="3"/>
  <c r="BL285" i="3" s="1"/>
  <c r="BF271" i="3"/>
  <c r="BJ271" i="3"/>
  <c r="FR271" i="3" s="1"/>
  <c r="DW264" i="3"/>
  <c r="DK253" i="3"/>
  <c r="FR253" i="3" s="1"/>
  <c r="DJ253" i="3"/>
  <c r="FO253" i="3"/>
  <c r="DE252" i="3"/>
  <c r="FM252" i="3"/>
  <c r="Z247" i="3"/>
  <c r="EK248" i="3"/>
  <c r="EJ247" i="3" s="1"/>
  <c r="AL262" i="3"/>
  <c r="AK262" i="3" s="1"/>
  <c r="FO238" i="3"/>
  <c r="FN238" i="3" s="1"/>
  <c r="DG238" i="3"/>
  <c r="DJ238" i="3"/>
  <c r="FO229" i="3"/>
  <c r="DK229" i="3"/>
  <c r="FR229" i="3" s="1"/>
  <c r="DJ229" i="3"/>
  <c r="AK264" i="3"/>
  <c r="BK264" i="3"/>
  <c r="FM253" i="3"/>
  <c r="AK225" i="3"/>
  <c r="BK225" i="3"/>
  <c r="EE229" i="3"/>
  <c r="DQ229" i="3"/>
  <c r="DH210" i="3"/>
  <c r="DF210" i="3"/>
  <c r="DQ178" i="3"/>
  <c r="CM178" i="3"/>
  <c r="EE178" i="3" s="1"/>
  <c r="DV174" i="3"/>
  <c r="GA174" i="3" s="1"/>
  <c r="DT174" i="3"/>
  <c r="FY174" i="3" s="1"/>
  <c r="CW174" i="3"/>
  <c r="FK174" i="3"/>
  <c r="FJ174" i="3" s="1"/>
  <c r="DH174" i="3"/>
  <c r="DF174" i="3"/>
  <c r="AK189" i="3"/>
  <c r="FQ190" i="3"/>
  <c r="DP190" i="3"/>
  <c r="CM162" i="3"/>
  <c r="DQ162" i="3"/>
  <c r="FW169" i="3"/>
  <c r="GC169" i="3" s="1"/>
  <c r="GB169" i="3" s="1"/>
  <c r="DX169" i="3"/>
  <c r="DF159" i="3"/>
  <c r="CD159" i="3"/>
  <c r="DZ159" i="3" s="1"/>
  <c r="DH159" i="3"/>
  <c r="CN151" i="3"/>
  <c r="FK151" i="3"/>
  <c r="FJ151" i="3" s="1"/>
  <c r="DV151" i="3"/>
  <c r="GA151" i="3" s="1"/>
  <c r="DT151" i="3"/>
  <c r="FY151" i="3" s="1"/>
  <c r="CW151" i="3"/>
  <c r="EE167" i="3"/>
  <c r="EE166" i="3"/>
  <c r="DT143" i="3"/>
  <c r="FY143" i="3" s="1"/>
  <c r="FK143" i="3"/>
  <c r="DV143" i="3"/>
  <c r="GA143" i="3" s="1"/>
  <c r="CD132" i="3"/>
  <c r="DZ132" i="3" s="1"/>
  <c r="DF132" i="3"/>
  <c r="DH132" i="3"/>
  <c r="FS138" i="3"/>
  <c r="CN127" i="3"/>
  <c r="DH117" i="3"/>
  <c r="DF117" i="3"/>
  <c r="CD117" i="3"/>
  <c r="DZ117" i="3" s="1"/>
  <c r="AK145" i="3"/>
  <c r="AD103" i="3"/>
  <c r="O103" i="3"/>
  <c r="EM103" i="3"/>
  <c r="EL103" i="3" s="1"/>
  <c r="AK89" i="3"/>
  <c r="BK89" i="3"/>
  <c r="AK87" i="3"/>
  <c r="BK87" i="3"/>
  <c r="DG121" i="3"/>
  <c r="FO121" i="3"/>
  <c r="FN121" i="3" s="1"/>
  <c r="DK121" i="3"/>
  <c r="FR121" i="3" s="1"/>
  <c r="DJ121" i="3"/>
  <c r="DH103" i="3"/>
  <c r="DF103" i="3"/>
  <c r="DV112" i="3"/>
  <c r="GA112" i="3" s="1"/>
  <c r="FK112" i="3"/>
  <c r="DJ114" i="3"/>
  <c r="FO114" i="3"/>
  <c r="DK114" i="3"/>
  <c r="FR114" i="3" s="1"/>
  <c r="DJ49" i="3"/>
  <c r="DG49" i="3"/>
  <c r="FO49" i="3"/>
  <c r="FN49" i="3" s="1"/>
  <c r="DK49" i="3"/>
  <c r="FR49" i="3" s="1"/>
  <c r="FO66" i="3"/>
  <c r="DK66" i="3"/>
  <c r="FR66" i="3" s="1"/>
  <c r="DJ66" i="3"/>
  <c r="DG66" i="3"/>
  <c r="AK40" i="3"/>
  <c r="BK40" i="3"/>
  <c r="DV71" i="3"/>
  <c r="GA71" i="3" s="1"/>
  <c r="CW71" i="3"/>
  <c r="CN71" i="3"/>
  <c r="FK71" i="3"/>
  <c r="FJ71" i="3" s="1"/>
  <c r="DH36" i="3"/>
  <c r="DF36" i="3"/>
  <c r="FM36" i="3" s="1"/>
  <c r="DJ71" i="3"/>
  <c r="DK71" i="3"/>
  <c r="FR71" i="3" s="1"/>
  <c r="FO71" i="3"/>
  <c r="FN71" i="3" s="1"/>
  <c r="DG71" i="3"/>
  <c r="AV42" i="3"/>
  <c r="EA51" i="3"/>
  <c r="AK51" i="3"/>
  <c r="BK51" i="3"/>
  <c r="BE285" i="3"/>
  <c r="BD5" i="3"/>
  <c r="EW285" i="3"/>
  <c r="DJ51" i="3"/>
  <c r="FR51" i="3"/>
  <c r="DG51" i="3"/>
  <c r="FO51" i="3"/>
  <c r="FN51" i="3" s="1"/>
  <c r="DK51" i="3"/>
  <c r="FT51" i="3" s="1"/>
  <c r="FQ26" i="3"/>
  <c r="DP26" i="3"/>
  <c r="EK15" i="3"/>
  <c r="CN15" i="3"/>
  <c r="DQ15" i="3" s="1"/>
  <c r="CI12" i="3"/>
  <c r="DQ9" i="3"/>
  <c r="CM9" i="3"/>
  <c r="EE9" i="3" s="1"/>
  <c r="FX285" i="3"/>
  <c r="EH131" i="2"/>
  <c r="DA131" i="2"/>
  <c r="FM67" i="3"/>
  <c r="FM24" i="3"/>
  <c r="FL24" i="3" s="1"/>
  <c r="CN14" i="3"/>
  <c r="DV14" i="3"/>
  <c r="GA14" i="3" s="1"/>
  <c r="FK14" i="3"/>
  <c r="DQ7" i="3"/>
  <c r="FG104" i="2"/>
  <c r="DG104" i="2"/>
  <c r="EZ133" i="2"/>
  <c r="GU133" i="2"/>
  <c r="BV100" i="2"/>
  <c r="BU100" i="2" s="1"/>
  <c r="AC100" i="2"/>
  <c r="ER106" i="2"/>
  <c r="GP106" i="2"/>
  <c r="BV125" i="2"/>
  <c r="BU125" i="2" s="1"/>
  <c r="BV106" i="2"/>
  <c r="EN95" i="2"/>
  <c r="EL95" i="2"/>
  <c r="EV88" i="2"/>
  <c r="GR88" i="2" s="1"/>
  <c r="EP88" i="2"/>
  <c r="FY85" i="2"/>
  <c r="EL75" i="2"/>
  <c r="EN75" i="2"/>
  <c r="CX75" i="2"/>
  <c r="FT75" i="2" s="1"/>
  <c r="GX106" i="2"/>
  <c r="EN76" i="2"/>
  <c r="EL76" i="2"/>
  <c r="ER66" i="2"/>
  <c r="GP66" i="2"/>
  <c r="GP56" i="2"/>
  <c r="FG83" i="2"/>
  <c r="GX83" i="2" s="1"/>
  <c r="BS97" i="2"/>
  <c r="GM56" i="2"/>
  <c r="GX92" i="2"/>
  <c r="FG58" i="2"/>
  <c r="CA68" i="2"/>
  <c r="AG24" i="2"/>
  <c r="W24" i="2"/>
  <c r="FG37" i="2"/>
  <c r="DG37" i="2"/>
  <c r="CA18" i="2"/>
  <c r="CN18" i="2"/>
  <c r="CM18" i="2" s="1"/>
  <c r="DG6" i="2"/>
  <c r="FG6" i="2"/>
  <c r="CW137" i="2"/>
  <c r="CW139" i="2"/>
  <c r="EL6" i="2"/>
  <c r="CX6" i="2"/>
  <c r="EN6" i="2"/>
  <c r="BU62" i="2"/>
  <c r="FG16" i="2"/>
  <c r="GX16" i="2" s="1"/>
  <c r="FG29" i="2"/>
  <c r="DG29" i="2"/>
  <c r="EN31" i="2"/>
  <c r="EL31" i="2"/>
  <c r="EK31" i="2" s="1"/>
  <c r="GM31" i="2" s="1"/>
  <c r="CX31" i="2"/>
  <c r="FT31" i="2" s="1"/>
  <c r="DG24" i="2"/>
  <c r="FG24" i="2"/>
  <c r="AE15" i="2"/>
  <c r="FZ15" i="2" s="1"/>
  <c r="AD15" i="2"/>
  <c r="AI15" i="2"/>
  <c r="GP9" i="2"/>
  <c r="ER9" i="2"/>
  <c r="EO9" i="2"/>
  <c r="BR137" i="2"/>
  <c r="ER10" i="2"/>
  <c r="GP10" i="2"/>
  <c r="ER25" i="2"/>
  <c r="EP25" i="2"/>
  <c r="GP25" i="2" s="1"/>
  <c r="FA25" i="2"/>
  <c r="EV25" i="2"/>
  <c r="GR25" i="2" s="1"/>
  <c r="GP20" i="2"/>
  <c r="ER20" i="2"/>
  <c r="FG9" i="2"/>
  <c r="DG9" i="2"/>
  <c r="DF260" i="3"/>
  <c r="CD260" i="3"/>
  <c r="DZ260" i="3" s="1"/>
  <c r="DH260" i="3"/>
  <c r="DT257" i="3"/>
  <c r="FY257" i="3" s="1"/>
  <c r="FK257" i="3"/>
  <c r="DV257" i="3"/>
  <c r="GA257" i="3" s="1"/>
  <c r="CM227" i="3"/>
  <c r="EE227" i="3" s="1"/>
  <c r="DQ228" i="3"/>
  <c r="EE228" i="3"/>
  <c r="DQ253" i="3"/>
  <c r="EE253" i="3"/>
  <c r="DG252" i="3"/>
  <c r="FO252" i="3"/>
  <c r="FN252" i="3" s="1"/>
  <c r="DK252" i="3"/>
  <c r="FR252" i="3" s="1"/>
  <c r="DJ252" i="3"/>
  <c r="FJ255" i="3"/>
  <c r="AB247" i="3"/>
  <c r="FQ228" i="3"/>
  <c r="DP228" i="3"/>
  <c r="AJ240" i="3"/>
  <c r="BF216" i="3"/>
  <c r="BJ216" i="3"/>
  <c r="BI216" i="3"/>
  <c r="BH216" i="3" s="1"/>
  <c r="BK216" i="3"/>
  <c r="DQ232" i="3"/>
  <c r="CM232" i="3"/>
  <c r="EE232" i="3" s="1"/>
  <c r="BK205" i="3"/>
  <c r="AK205" i="3"/>
  <c r="AK199" i="3"/>
  <c r="BK199" i="3"/>
  <c r="FQ182" i="3"/>
  <c r="FP182" i="3" s="1"/>
  <c r="DI182" i="3"/>
  <c r="DP182" i="3"/>
  <c r="CM212" i="3"/>
  <c r="EE212" i="3" s="1"/>
  <c r="DQ212" i="3"/>
  <c r="DF277" i="3"/>
  <c r="DH277" i="3"/>
  <c r="BT281" i="3"/>
  <c r="BK66" i="3"/>
  <c r="CN257" i="3"/>
  <c r="CM255" i="3" s="1"/>
  <c r="EE255" i="3" s="1"/>
  <c r="DH262" i="3"/>
  <c r="DF262" i="3"/>
  <c r="DH267" i="3"/>
  <c r="DF267" i="3"/>
  <c r="DL264" i="3"/>
  <c r="FS264" i="3" s="1"/>
  <c r="AK255" i="3"/>
  <c r="FK267" i="3"/>
  <c r="FJ267" i="3" s="1"/>
  <c r="CW267" i="3"/>
  <c r="DV267" i="3"/>
  <c r="GA267" i="3" s="1"/>
  <c r="DT267" i="3"/>
  <c r="FY267" i="3" s="1"/>
  <c r="DQ255" i="3"/>
  <c r="BD247" i="3"/>
  <c r="CW255" i="3"/>
  <c r="AK252" i="3"/>
  <c r="DK243" i="3"/>
  <c r="FR243" i="3" s="1"/>
  <c r="DG242" i="3"/>
  <c r="DJ243" i="3"/>
  <c r="FO243" i="3"/>
  <c r="AK232" i="3"/>
  <c r="BK232" i="3"/>
  <c r="FA240" i="3"/>
  <c r="EZ240" i="3" s="1"/>
  <c r="CX240" i="3"/>
  <c r="DE242" i="3"/>
  <c r="DV223" i="3"/>
  <c r="GA223" i="3" s="1"/>
  <c r="DT223" i="3"/>
  <c r="FY223" i="3" s="1"/>
  <c r="CW223" i="3"/>
  <c r="FK223" i="3"/>
  <c r="FJ223" i="3" s="1"/>
  <c r="CG227" i="3"/>
  <c r="AK221" i="3"/>
  <c r="BK221" i="3"/>
  <c r="DH221" i="3"/>
  <c r="DF221" i="3"/>
  <c r="DV195" i="3"/>
  <c r="GA195" i="3" s="1"/>
  <c r="FK195" i="3"/>
  <c r="DT195" i="3"/>
  <c r="FY195" i="3" s="1"/>
  <c r="CN195" i="3"/>
  <c r="DV221" i="3"/>
  <c r="GA221" i="3" s="1"/>
  <c r="DT221" i="3"/>
  <c r="FY221" i="3" s="1"/>
  <c r="CW221" i="3"/>
  <c r="FK221" i="3"/>
  <c r="FJ221" i="3" s="1"/>
  <c r="AK214" i="3"/>
  <c r="BK214" i="3"/>
  <c r="DQ210" i="3"/>
  <c r="CM210" i="3"/>
  <c r="EE210" i="3" s="1"/>
  <c r="BK176" i="3"/>
  <c r="AK176" i="3"/>
  <c r="DX199" i="3"/>
  <c r="DW199" i="3" s="1"/>
  <c r="DF212" i="3"/>
  <c r="DH212" i="3"/>
  <c r="DQ172" i="3"/>
  <c r="CM172" i="3"/>
  <c r="EE172" i="3" s="1"/>
  <c r="DV197" i="3"/>
  <c r="GA197" i="3" s="1"/>
  <c r="CW197" i="3"/>
  <c r="CN197" i="3"/>
  <c r="FK197" i="3"/>
  <c r="FJ197" i="3" s="1"/>
  <c r="DT197" i="3"/>
  <c r="FY197" i="3" s="1"/>
  <c r="DV184" i="3"/>
  <c r="GA184" i="3" s="1"/>
  <c r="DT184" i="3"/>
  <c r="FY184" i="3" s="1"/>
  <c r="CW184" i="3"/>
  <c r="FK184" i="3"/>
  <c r="FJ184" i="3" s="1"/>
  <c r="FW166" i="3"/>
  <c r="GC166" i="3" s="1"/>
  <c r="DX166" i="3"/>
  <c r="DQ170" i="3"/>
  <c r="DX170" i="3" s="1"/>
  <c r="EE170" i="3"/>
  <c r="FO192" i="3"/>
  <c r="FN192" i="3" s="1"/>
  <c r="DJ192" i="3"/>
  <c r="DK192" i="3"/>
  <c r="FR192" i="3" s="1"/>
  <c r="DG192" i="3"/>
  <c r="DP172" i="3"/>
  <c r="FQ172" i="3"/>
  <c r="FP172" i="3" s="1"/>
  <c r="DI172" i="3"/>
  <c r="CM169" i="3"/>
  <c r="EE169" i="3" s="1"/>
  <c r="FW167" i="3"/>
  <c r="GC167" i="3" s="1"/>
  <c r="DX167" i="3"/>
  <c r="DL167" i="3" s="1"/>
  <c r="FS167" i="3" s="1"/>
  <c r="FM153" i="3"/>
  <c r="FL151" i="3" s="1"/>
  <c r="DQ152" i="3"/>
  <c r="EE152" i="3"/>
  <c r="FO139" i="3"/>
  <c r="FN137" i="3" s="1"/>
  <c r="DK139" i="3"/>
  <c r="FR139" i="3" s="1"/>
  <c r="DJ139" i="3"/>
  <c r="FQ146" i="3"/>
  <c r="DP146" i="3"/>
  <c r="EE133" i="3"/>
  <c r="DQ133" i="3"/>
  <c r="EK133" i="3"/>
  <c r="CI137" i="3"/>
  <c r="CN137" i="3"/>
  <c r="DQ137" i="3" s="1"/>
  <c r="CH137" i="3"/>
  <c r="CG137" i="3" s="1"/>
  <c r="EK137" i="3"/>
  <c r="EJ137" i="3" s="1"/>
  <c r="CN143" i="3"/>
  <c r="AK141" i="3"/>
  <c r="DG137" i="3"/>
  <c r="DE126" i="3"/>
  <c r="AD141" i="3"/>
  <c r="EM142" i="3"/>
  <c r="EL141" i="3" s="1"/>
  <c r="FK119" i="3"/>
  <c r="DV119" i="3"/>
  <c r="GA119" i="3" s="1"/>
  <c r="DT119" i="3"/>
  <c r="FM114" i="3"/>
  <c r="BK107" i="3"/>
  <c r="AK107" i="3"/>
  <c r="DV115" i="3"/>
  <c r="GA115" i="3" s="1"/>
  <c r="FK115" i="3"/>
  <c r="CM87" i="3"/>
  <c r="EE87" i="3" s="1"/>
  <c r="DQ87" i="3"/>
  <c r="BK95" i="3"/>
  <c r="AK95" i="3"/>
  <c r="DF109" i="3"/>
  <c r="DH109" i="3"/>
  <c r="CD109" i="3"/>
  <c r="DZ109" i="3" s="1"/>
  <c r="DQ103" i="3"/>
  <c r="CM103" i="3"/>
  <c r="DH97" i="3"/>
  <c r="DF97" i="3"/>
  <c r="DI85" i="3"/>
  <c r="FQ85" i="3"/>
  <c r="FP85" i="3" s="1"/>
  <c r="DP85" i="3"/>
  <c r="DI79" i="3"/>
  <c r="FQ79" i="3"/>
  <c r="FP79" i="3" s="1"/>
  <c r="DP79" i="3"/>
  <c r="FM89" i="3"/>
  <c r="FL89" i="3" s="1"/>
  <c r="AB66" i="3"/>
  <c r="EI67" i="3"/>
  <c r="AL67" i="3"/>
  <c r="DJ47" i="3"/>
  <c r="DG47" i="3"/>
  <c r="FO47" i="3"/>
  <c r="FN47" i="3" s="1"/>
  <c r="DL47" i="3"/>
  <c r="DK47" i="3"/>
  <c r="FR47" i="3" s="1"/>
  <c r="DQ73" i="3"/>
  <c r="CM73" i="3"/>
  <c r="FJ66" i="3"/>
  <c r="FM53" i="3"/>
  <c r="DE47" i="3"/>
  <c r="FM47" i="3"/>
  <c r="FL47" i="3" s="1"/>
  <c r="EE77" i="3"/>
  <c r="DQ77" i="3"/>
  <c r="EE67" i="3"/>
  <c r="DQ67" i="3"/>
  <c r="FO38" i="3"/>
  <c r="FN38" i="3" s="1"/>
  <c r="DK38" i="3"/>
  <c r="FR38" i="3" s="1"/>
  <c r="DJ38" i="3"/>
  <c r="DG38" i="3"/>
  <c r="FQ77" i="3"/>
  <c r="DP77" i="3"/>
  <c r="EH73" i="3"/>
  <c r="DQ34" i="3"/>
  <c r="EE34" i="3"/>
  <c r="CM40" i="3"/>
  <c r="EE40" i="3" s="1"/>
  <c r="DQ40" i="3"/>
  <c r="AK5" i="3"/>
  <c r="DE51" i="3"/>
  <c r="FM51" i="3"/>
  <c r="AC285" i="3"/>
  <c r="FG123" i="2"/>
  <c r="DG123" i="2"/>
  <c r="FQ133" i="2"/>
  <c r="DW133" i="2"/>
  <c r="GL133" i="2" s="1"/>
  <c r="DH133" i="2"/>
  <c r="FM133" i="2"/>
  <c r="FO67" i="3"/>
  <c r="DK67" i="3"/>
  <c r="FR67" i="3" s="1"/>
  <c r="DJ67" i="3"/>
  <c r="DE24" i="3"/>
  <c r="EL104" i="2"/>
  <c r="EK104" i="2" s="1"/>
  <c r="GM104" i="2" s="1"/>
  <c r="EN104" i="2"/>
  <c r="CX104" i="2"/>
  <c r="FT104" i="2" s="1"/>
  <c r="EU123" i="2"/>
  <c r="EA5" i="3"/>
  <c r="DG112" i="2"/>
  <c r="FG112" i="2"/>
  <c r="EL90" i="2"/>
  <c r="EK90" i="2" s="1"/>
  <c r="CY90" i="2"/>
  <c r="FU90" i="2" s="1"/>
  <c r="DH90" i="2"/>
  <c r="FQ14" i="3"/>
  <c r="DP14" i="3"/>
  <c r="ET126" i="2"/>
  <c r="EX126" i="2" s="1"/>
  <c r="GT126" i="2" s="1"/>
  <c r="GX126" i="2"/>
  <c r="EX87" i="2"/>
  <c r="CA104" i="2"/>
  <c r="DG85" i="2"/>
  <c r="FW85" i="2" s="1"/>
  <c r="FG85" i="2"/>
  <c r="CM75" i="2"/>
  <c r="FG72" i="2"/>
  <c r="DG72" i="2"/>
  <c r="BV53" i="2"/>
  <c r="BU53" i="2" s="1"/>
  <c r="W53" i="2"/>
  <c r="EO87" i="2"/>
  <c r="GP87" i="2"/>
  <c r="ER87" i="2"/>
  <c r="GX88" i="2"/>
  <c r="ET88" i="2"/>
  <c r="ES87" i="2" s="1"/>
  <c r="HC87" i="2" s="1"/>
  <c r="GP90" i="2"/>
  <c r="GO90" i="2" s="1"/>
  <c r="FI53" i="2"/>
  <c r="DE53" i="2"/>
  <c r="ER114" i="2"/>
  <c r="EQ114" i="2" s="1"/>
  <c r="EV114" i="2"/>
  <c r="FA114" i="2"/>
  <c r="EP114" i="2"/>
  <c r="EM114" i="2"/>
  <c r="GN114" i="2" s="1"/>
  <c r="CM97" i="2"/>
  <c r="AC53" i="2"/>
  <c r="BV58" i="2"/>
  <c r="AC62" i="2"/>
  <c r="BT45" i="2"/>
  <c r="BO45" i="2"/>
  <c r="GN45" i="2" s="1"/>
  <c r="CN35" i="2"/>
  <c r="GU35" i="2"/>
  <c r="BW35" i="2"/>
  <c r="FU24" i="2"/>
  <c r="EN26" i="2"/>
  <c r="EL26" i="2"/>
  <c r="EN19" i="2"/>
  <c r="EL19" i="2"/>
  <c r="EK18" i="2" s="1"/>
  <c r="GM18" i="2" s="1"/>
  <c r="CX18" i="2"/>
  <c r="FT18" i="2" s="1"/>
  <c r="FJ137" i="2"/>
  <c r="EN24" i="2"/>
  <c r="EL24" i="2"/>
  <c r="CX24" i="2"/>
  <c r="FT24" i="2" s="1"/>
  <c r="GU37" i="2"/>
  <c r="CN37" i="2"/>
  <c r="BW37" i="2"/>
  <c r="GU12" i="2"/>
  <c r="FP43" i="2"/>
  <c r="HB43" i="2"/>
  <c r="DA9" i="2"/>
  <c r="FG10" i="2"/>
  <c r="DH265" i="3"/>
  <c r="DF265" i="3"/>
  <c r="CD264" i="3"/>
  <c r="DZ264" i="3" s="1"/>
  <c r="DH275" i="3"/>
  <c r="DF275" i="3"/>
  <c r="DF271" i="3"/>
  <c r="DH271" i="3"/>
  <c r="DE269" i="3"/>
  <c r="FM269" i="3"/>
  <c r="FL269" i="3" s="1"/>
  <c r="DQ260" i="3"/>
  <c r="CM260" i="3"/>
  <c r="EE260" i="3" s="1"/>
  <c r="AK269" i="3"/>
  <c r="CM267" i="3"/>
  <c r="EE267" i="3" s="1"/>
  <c r="DQ267" i="3"/>
  <c r="DH255" i="3"/>
  <c r="DF255" i="3"/>
  <c r="CD255" i="3"/>
  <c r="DZ255" i="3" s="1"/>
  <c r="FQ256" i="3"/>
  <c r="DP256" i="3"/>
  <c r="DV244" i="3"/>
  <c r="GA244" i="3" s="1"/>
  <c r="DT244" i="3"/>
  <c r="FY244" i="3" s="1"/>
  <c r="CN244" i="3"/>
  <c r="FK244" i="3"/>
  <c r="CQ227" i="3"/>
  <c r="CQ285" i="3" s="1"/>
  <c r="DQ205" i="3"/>
  <c r="CM205" i="3"/>
  <c r="EE205" i="3" s="1"/>
  <c r="DE199" i="3"/>
  <c r="FM199" i="3"/>
  <c r="FL199" i="3" s="1"/>
  <c r="CM218" i="3"/>
  <c r="EE218" i="3" s="1"/>
  <c r="DQ218" i="3"/>
  <c r="DQ184" i="3"/>
  <c r="CM184" i="3"/>
  <c r="EE184" i="3" s="1"/>
  <c r="DE166" i="3"/>
  <c r="FM166" i="3"/>
  <c r="FL166" i="3" s="1"/>
  <c r="FM192" i="3"/>
  <c r="FL192" i="3" s="1"/>
  <c r="DE192" i="3"/>
  <c r="DH189" i="3"/>
  <c r="DF189" i="3"/>
  <c r="CD189" i="3"/>
  <c r="DZ189" i="3" s="1"/>
  <c r="DF170" i="3"/>
  <c r="FM170" i="3" s="1"/>
  <c r="DH170" i="3"/>
  <c r="DG169" i="3" s="1"/>
  <c r="AK166" i="3"/>
  <c r="BK166" i="3"/>
  <c r="BD151" i="3"/>
  <c r="CD169" i="3"/>
  <c r="DZ169" i="3" s="1"/>
  <c r="DL169" i="3"/>
  <c r="FS169" i="3" s="1"/>
  <c r="EM151" i="3"/>
  <c r="EL151" i="3" s="1"/>
  <c r="AD151" i="3"/>
  <c r="DP164" i="3"/>
  <c r="DI164" i="3"/>
  <c r="FQ164" i="3"/>
  <c r="FP164" i="3" s="1"/>
  <c r="DE151" i="3"/>
  <c r="DJ126" i="3"/>
  <c r="DK126" i="3"/>
  <c r="FR126" i="3" s="1"/>
  <c r="DG126" i="3"/>
  <c r="FO126" i="3"/>
  <c r="FN126" i="3" s="1"/>
  <c r="DF119" i="3"/>
  <c r="FM119" i="3" s="1"/>
  <c r="DH119" i="3"/>
  <c r="DJ145" i="3"/>
  <c r="DK145" i="3"/>
  <c r="FR145" i="3" s="1"/>
  <c r="DG145" i="3"/>
  <c r="FO145" i="3"/>
  <c r="FN145" i="3" s="1"/>
  <c r="BU119" i="3"/>
  <c r="BT117" i="3" s="1"/>
  <c r="FT119" i="3"/>
  <c r="DJ135" i="3"/>
  <c r="DG135" i="3"/>
  <c r="FO135" i="3"/>
  <c r="FN135" i="3" s="1"/>
  <c r="DK135" i="3"/>
  <c r="FR135" i="3" s="1"/>
  <c r="AW99" i="3"/>
  <c r="CZ99" i="3"/>
  <c r="FK101" i="3"/>
  <c r="FJ101" i="3" s="1"/>
  <c r="CF101" i="3"/>
  <c r="DV101" i="3"/>
  <c r="GA101" i="3" s="1"/>
  <c r="CW101" i="3"/>
  <c r="EK93" i="3"/>
  <c r="EJ93" i="3" s="1"/>
  <c r="CI93" i="3"/>
  <c r="DH87" i="3"/>
  <c r="DF87" i="3"/>
  <c r="AK66" i="3"/>
  <c r="DV83" i="3"/>
  <c r="GA83" i="3" s="1"/>
  <c r="FK83" i="3"/>
  <c r="FJ83" i="3" s="1"/>
  <c r="CW83" i="3"/>
  <c r="AK117" i="3"/>
  <c r="BF97" i="3"/>
  <c r="BJ97" i="3"/>
  <c r="BJ285" i="3" s="1"/>
  <c r="BK97" i="3"/>
  <c r="BI97" i="3"/>
  <c r="BH97" i="3" s="1"/>
  <c r="BK76" i="3"/>
  <c r="DH93" i="3"/>
  <c r="DF93" i="3"/>
  <c r="DE95" i="3"/>
  <c r="FM95" i="3"/>
  <c r="FL95" i="3" s="1"/>
  <c r="AK85" i="3"/>
  <c r="BK85" i="3"/>
  <c r="AK79" i="3"/>
  <c r="BK79" i="3"/>
  <c r="FA45" i="3"/>
  <c r="CX45" i="3"/>
  <c r="FQ95" i="3"/>
  <c r="FP95" i="3" s="1"/>
  <c r="DP95" i="3"/>
  <c r="DI95" i="3"/>
  <c r="EA66" i="3"/>
  <c r="AK28" i="3"/>
  <c r="BK28" i="3"/>
  <c r="EE53" i="3"/>
  <c r="DQ53" i="3"/>
  <c r="FW75" i="3"/>
  <c r="GC75" i="3" s="1"/>
  <c r="DX75" i="3"/>
  <c r="DL75" i="3" s="1"/>
  <c r="FS75" i="3" s="1"/>
  <c r="DH40" i="3"/>
  <c r="DF40" i="3"/>
  <c r="FQ75" i="3"/>
  <c r="DP75" i="3"/>
  <c r="DH42" i="3"/>
  <c r="DF42" i="3"/>
  <c r="FM9" i="3"/>
  <c r="FL9" i="3" s="1"/>
  <c r="DE9" i="3"/>
  <c r="BB285" i="3"/>
  <c r="DV26" i="3"/>
  <c r="GA26" i="3" s="1"/>
  <c r="FK26" i="3"/>
  <c r="DT26" i="3"/>
  <c r="FY26" i="3" s="1"/>
  <c r="CN26" i="3"/>
  <c r="CG5" i="3"/>
  <c r="FK13" i="3"/>
  <c r="CN13" i="3"/>
  <c r="CM12" i="3" s="1"/>
  <c r="EE12" i="3" s="1"/>
  <c r="DV13" i="3"/>
  <c r="GA13" i="3" s="1"/>
  <c r="EE52" i="3"/>
  <c r="DV24" i="3"/>
  <c r="GA24" i="3" s="1"/>
  <c r="DT24" i="3"/>
  <c r="CW24" i="3"/>
  <c r="FK24" i="3"/>
  <c r="FJ24" i="3" s="1"/>
  <c r="CN24" i="3"/>
  <c r="FK5" i="3"/>
  <c r="DV5" i="3"/>
  <c r="CW5" i="3"/>
  <c r="CE24" i="3"/>
  <c r="EB25" i="3"/>
  <c r="CH25" i="3"/>
  <c r="CG24" i="3" s="1"/>
  <c r="CN25" i="3"/>
  <c r="CJ19" i="3"/>
  <c r="Z19" i="3"/>
  <c r="FO7" i="3"/>
  <c r="DK7" i="3"/>
  <c r="FR7" i="3" s="1"/>
  <c r="DJ7" i="3"/>
  <c r="CG12" i="3"/>
  <c r="DI12" i="3"/>
  <c r="FQ12" i="3"/>
  <c r="DP12" i="3"/>
  <c r="GT106" i="2"/>
  <c r="GX97" i="2"/>
  <c r="FF97" i="2"/>
  <c r="ET97" i="2"/>
  <c r="W87" i="2"/>
  <c r="HB121" i="2"/>
  <c r="FP121" i="2"/>
  <c r="GP110" i="2"/>
  <c r="GO110" i="2" s="1"/>
  <c r="ER110" i="2"/>
  <c r="EQ110" i="2" s="1"/>
  <c r="EO110" i="2"/>
  <c r="BX90" i="2"/>
  <c r="GT98" i="2"/>
  <c r="BX123" i="2"/>
  <c r="BO123" i="2"/>
  <c r="GN123" i="2" s="1"/>
  <c r="BT123" i="2"/>
  <c r="FG94" i="2"/>
  <c r="GX94" i="2" s="1"/>
  <c r="AC87" i="2"/>
  <c r="FV87" i="2" s="1"/>
  <c r="BV87" i="2"/>
  <c r="BU87" i="2" s="1"/>
  <c r="CM104" i="2"/>
  <c r="DG65" i="2"/>
  <c r="FG65" i="2"/>
  <c r="EM87" i="2"/>
  <c r="GN87" i="2" s="1"/>
  <c r="DG82" i="2"/>
  <c r="EL62" i="2"/>
  <c r="EK62" i="2" s="1"/>
  <c r="GM62" i="2" s="1"/>
  <c r="CX62" i="2"/>
  <c r="FT62" i="2" s="1"/>
  <c r="EN62" i="2"/>
  <c r="DG53" i="2"/>
  <c r="FW53" i="2" s="1"/>
  <c r="GR56" i="2"/>
  <c r="BV75" i="2"/>
  <c r="BU75" i="2" s="1"/>
  <c r="AC75" i="2"/>
  <c r="EN53" i="2"/>
  <c r="CX53" i="2"/>
  <c r="FT53" i="2" s="1"/>
  <c r="EL53" i="2"/>
  <c r="EK53" i="2" s="1"/>
  <c r="GM53" i="2" s="1"/>
  <c r="N114" i="2"/>
  <c r="N137" i="2" s="1"/>
  <c r="AE114" i="2"/>
  <c r="FZ114" i="2" s="1"/>
  <c r="AD114" i="2"/>
  <c r="AC114" i="2" s="1"/>
  <c r="GX62" i="2"/>
  <c r="FF62" i="2"/>
  <c r="DG92" i="2"/>
  <c r="CA87" i="2"/>
  <c r="CA72" i="2"/>
  <c r="GN68" i="2"/>
  <c r="FA57" i="2"/>
  <c r="EV57" i="2"/>
  <c r="GR57" i="2" s="1"/>
  <c r="ER57" i="2"/>
  <c r="EQ56" i="2" s="1"/>
  <c r="EP57" i="2"/>
  <c r="GP57" i="2" s="1"/>
  <c r="AC18" i="2"/>
  <c r="BV18" i="2"/>
  <c r="BU18" i="2" s="1"/>
  <c r="FQ4" i="2"/>
  <c r="CZ4" i="2"/>
  <c r="DW4" i="2"/>
  <c r="EN37" i="2"/>
  <c r="EL37" i="2"/>
  <c r="EK37" i="2" s="1"/>
  <c r="GM37" i="2" s="1"/>
  <c r="CX37" i="2"/>
  <c r="FT37" i="2" s="1"/>
  <c r="HB15" i="2"/>
  <c r="FP15" i="2"/>
  <c r="GL31" i="2"/>
  <c r="FG25" i="2"/>
  <c r="GX25" i="2" s="1"/>
  <c r="EN29" i="2"/>
  <c r="EL29" i="2"/>
  <c r="EK29" i="2" s="1"/>
  <c r="GM29" i="2" s="1"/>
  <c r="CX29" i="2"/>
  <c r="FT29" i="2" s="1"/>
  <c r="GR22" i="2"/>
  <c r="GQ22" i="2" s="1"/>
  <c r="EU22" i="2"/>
  <c r="FG43" i="2"/>
  <c r="DG43" i="2"/>
  <c r="GX19" i="2"/>
  <c r="ET19" i="2"/>
  <c r="FY9" i="2"/>
  <c r="DF137" i="2"/>
  <c r="DJ257" i="3"/>
  <c r="FO257" i="3"/>
  <c r="DK257" i="3"/>
  <c r="FR257" i="3" s="1"/>
  <c r="DE238" i="3"/>
  <c r="FM238" i="3"/>
  <c r="FL238" i="3" s="1"/>
  <c r="DH225" i="3"/>
  <c r="DF225" i="3"/>
  <c r="DH184" i="3"/>
  <c r="DF184" i="3"/>
  <c r="FK186" i="3"/>
  <c r="DV186" i="3"/>
  <c r="GA186" i="3" s="1"/>
  <c r="DT186" i="3"/>
  <c r="FY186" i="3" s="1"/>
  <c r="EZ189" i="3"/>
  <c r="DQ189" i="3"/>
  <c r="CM189" i="3"/>
  <c r="EE189" i="3" s="1"/>
  <c r="FW164" i="3"/>
  <c r="GC164" i="3" s="1"/>
  <c r="GB164" i="3" s="1"/>
  <c r="DX164" i="3"/>
  <c r="DV145" i="3"/>
  <c r="GA145" i="3" s="1"/>
  <c r="CW145" i="3"/>
  <c r="FK145" i="3"/>
  <c r="FJ145" i="3" s="1"/>
  <c r="DT145" i="3"/>
  <c r="FY145" i="3" s="1"/>
  <c r="AL162" i="3"/>
  <c r="EM162" i="3"/>
  <c r="EL162" i="3" s="1"/>
  <c r="AD162" i="3"/>
  <c r="BK130" i="3"/>
  <c r="CW126" i="3"/>
  <c r="DV126" i="3"/>
  <c r="GA126" i="3" s="1"/>
  <c r="FK126" i="3"/>
  <c r="FJ126" i="3" s="1"/>
  <c r="DT126" i="3"/>
  <c r="FY126" i="3" s="1"/>
  <c r="CN126" i="3"/>
  <c r="DF118" i="3"/>
  <c r="FM118" i="3" s="1"/>
  <c r="DH118" i="3"/>
  <c r="DP127" i="3"/>
  <c r="FQ127" i="3"/>
  <c r="FM145" i="3"/>
  <c r="FL145" i="3" s="1"/>
  <c r="DE145" i="3"/>
  <c r="DQ129" i="3"/>
  <c r="FK118" i="3"/>
  <c r="DV118" i="3"/>
  <c r="GA118" i="3" s="1"/>
  <c r="DT141" i="3"/>
  <c r="FY141" i="3" s="1"/>
  <c r="CW141" i="3"/>
  <c r="DV141" i="3"/>
  <c r="GA141" i="3" s="1"/>
  <c r="FK141" i="3"/>
  <c r="FJ141" i="3" s="1"/>
  <c r="CN141" i="3"/>
  <c r="CW135" i="3"/>
  <c r="DV135" i="3"/>
  <c r="GA135" i="3" s="1"/>
  <c r="CN135" i="3"/>
  <c r="FK135" i="3"/>
  <c r="FJ135" i="3" s="1"/>
  <c r="O115" i="3"/>
  <c r="EM115" i="3"/>
  <c r="AK109" i="3"/>
  <c r="BK109" i="3"/>
  <c r="EE112" i="3"/>
  <c r="DQ112" i="3"/>
  <c r="CM83" i="3"/>
  <c r="EE83" i="3" s="1"/>
  <c r="DQ83" i="3"/>
  <c r="DH69" i="3"/>
  <c r="DF69" i="3"/>
  <c r="DH34" i="3"/>
  <c r="CD33" i="3"/>
  <c r="DZ33" i="3" s="1"/>
  <c r="DF34" i="3"/>
  <c r="CY285" i="3"/>
  <c r="DQ79" i="3"/>
  <c r="CM79" i="3"/>
  <c r="EE79" i="3" s="1"/>
  <c r="FM55" i="3"/>
  <c r="FL55" i="3" s="1"/>
  <c r="DE55" i="3"/>
  <c r="FS52" i="3"/>
  <c r="DH58" i="3"/>
  <c r="DF58" i="3"/>
  <c r="DQ36" i="3"/>
  <c r="EE36" i="3"/>
  <c r="DK9" i="3"/>
  <c r="FR9" i="3" s="1"/>
  <c r="DJ9" i="3"/>
  <c r="FO9" i="3"/>
  <c r="DG9" i="3"/>
  <c r="DV29" i="3"/>
  <c r="GA29" i="3" s="1"/>
  <c r="CN29" i="3"/>
  <c r="FK29" i="3"/>
  <c r="FJ28" i="3" s="1"/>
  <c r="FK15" i="3"/>
  <c r="DV15" i="3"/>
  <c r="GA15" i="3" s="1"/>
  <c r="EE56" i="3"/>
  <c r="DQ56" i="3"/>
  <c r="DK25" i="3"/>
  <c r="FR25" i="3" s="1"/>
  <c r="DJ25" i="3"/>
  <c r="FO25" i="3"/>
  <c r="FN24" i="3" s="1"/>
  <c r="EX285" i="3"/>
  <c r="DH31" i="3"/>
  <c r="DF31" i="3"/>
  <c r="CD31" i="3"/>
  <c r="DZ31" i="3" s="1"/>
  <c r="DQ49" i="3"/>
  <c r="CM49" i="3"/>
  <c r="EE49" i="3" s="1"/>
  <c r="DQ12" i="3"/>
  <c r="AK24" i="3"/>
  <c r="BK24" i="3"/>
  <c r="DQ5" i="3"/>
  <c r="CM5" i="3"/>
  <c r="FG135" i="2"/>
  <c r="FL66" i="3"/>
  <c r="BN285" i="3"/>
  <c r="EU108" i="2"/>
  <c r="GR108" i="2"/>
  <c r="GQ108" i="2" s="1"/>
  <c r="EU110" i="2"/>
  <c r="GR110" i="2"/>
  <c r="GQ110" i="2" s="1"/>
  <c r="GU129" i="2"/>
  <c r="CN129" i="2"/>
  <c r="BW129" i="2"/>
  <c r="CX17" i="3"/>
  <c r="FP112" i="2"/>
  <c r="HB112" i="2"/>
  <c r="GR90" i="2"/>
  <c r="EU90" i="2"/>
  <c r="EO85" i="2"/>
  <c r="GP85" i="2"/>
  <c r="GO85" i="2" s="1"/>
  <c r="GX119" i="2"/>
  <c r="FF119" i="2"/>
  <c r="BV110" i="2"/>
  <c r="BU110" i="2" s="1"/>
  <c r="AC110" i="2"/>
  <c r="GP123" i="2"/>
  <c r="GO123" i="2" s="1"/>
  <c r="ER123" i="2"/>
  <c r="EQ123" i="2" s="1"/>
  <c r="EO123" i="2"/>
  <c r="GU134" i="2"/>
  <c r="EZ134" i="2"/>
  <c r="DG121" i="2"/>
  <c r="FG121" i="2"/>
  <c r="AZ131" i="2"/>
  <c r="AY131" i="2" s="1"/>
  <c r="AY137" i="2" s="1"/>
  <c r="BI131" i="2"/>
  <c r="BV131" i="2"/>
  <c r="BU131" i="2" s="1"/>
  <c r="BJ137" i="2"/>
  <c r="EU87" i="2"/>
  <c r="GR87" i="2"/>
  <c r="GQ87" i="2" s="1"/>
  <c r="GX82" i="2"/>
  <c r="FF82" i="2"/>
  <c r="GR97" i="2"/>
  <c r="GQ97" i="2" s="1"/>
  <c r="EU97" i="2"/>
  <c r="FG68" i="2"/>
  <c r="DG68" i="2"/>
  <c r="HB53" i="2"/>
  <c r="FP53" i="2"/>
  <c r="ET53" i="2"/>
  <c r="ES53" i="2" s="1"/>
  <c r="HC53" i="2" s="1"/>
  <c r="FW41" i="2"/>
  <c r="DG15" i="2"/>
  <c r="FG15" i="2"/>
  <c r="CI137" i="2"/>
  <c r="BV29" i="2"/>
  <c r="BU29" i="2" s="1"/>
  <c r="AC29" i="2"/>
  <c r="AA137" i="2"/>
  <c r="EL41" i="2"/>
  <c r="EK41" i="2" s="1"/>
  <c r="GM41" i="2" s="1"/>
  <c r="CX41" i="2"/>
  <c r="FT41" i="2" s="1"/>
  <c r="EN41" i="2"/>
  <c r="FG31" i="2"/>
  <c r="DG31" i="2"/>
  <c r="FG18" i="2"/>
  <c r="DG18" i="2"/>
  <c r="CE137" i="2"/>
  <c r="AS137" i="2"/>
  <c r="FF35" i="2"/>
  <c r="ET35" i="2"/>
  <c r="GX35" i="2"/>
  <c r="W18" i="2"/>
  <c r="GH137" i="2"/>
  <c r="ET20" i="2"/>
  <c r="EX20" i="2" s="1"/>
  <c r="GT20" i="2" s="1"/>
  <c r="GX20" i="2"/>
  <c r="GR12" i="2"/>
  <c r="EO22" i="2"/>
  <c r="GP22" i="2"/>
  <c r="GO22" i="2" s="1"/>
  <c r="FP18" i="2"/>
  <c r="FJ252" i="3"/>
  <c r="FK243" i="3"/>
  <c r="DT243" i="3"/>
  <c r="FY243" i="3" s="1"/>
  <c r="CN243" i="3"/>
  <c r="DV243" i="3"/>
  <c r="GA243" i="3" s="1"/>
  <c r="FO232" i="3"/>
  <c r="FN232" i="3" s="1"/>
  <c r="DJ232" i="3"/>
  <c r="DK232" i="3"/>
  <c r="FR232" i="3" s="1"/>
  <c r="DG232" i="3"/>
  <c r="EP227" i="3"/>
  <c r="DH194" i="3"/>
  <c r="CD194" i="3"/>
  <c r="DZ194" i="3" s="1"/>
  <c r="DF194" i="3"/>
  <c r="FQ197" i="3"/>
  <c r="FP197" i="3" s="1"/>
  <c r="DI197" i="3"/>
  <c r="DP197" i="3"/>
  <c r="DZ283" i="3"/>
  <c r="CC283" i="3"/>
  <c r="DG279" i="3"/>
  <c r="FO279" i="3"/>
  <c r="FN279" i="3" s="1"/>
  <c r="DV262" i="3"/>
  <c r="GA262" i="3" s="1"/>
  <c r="DT262" i="3"/>
  <c r="FY262" i="3" s="1"/>
  <c r="CW262" i="3"/>
  <c r="FK262" i="3"/>
  <c r="FJ262" i="3" s="1"/>
  <c r="DF250" i="3"/>
  <c r="DH250" i="3"/>
  <c r="FT269" i="3"/>
  <c r="BU269" i="3"/>
  <c r="BT269" i="3" s="1"/>
  <c r="DJ245" i="3"/>
  <c r="FO245" i="3"/>
  <c r="DK245" i="3"/>
  <c r="FR245" i="3" s="1"/>
  <c r="CW242" i="3"/>
  <c r="DV242" i="3"/>
  <c r="GA242" i="3" s="1"/>
  <c r="FK242" i="3"/>
  <c r="FJ242" i="3" s="1"/>
  <c r="DT242" i="3"/>
  <c r="FY242" i="3" s="1"/>
  <c r="CN242" i="3"/>
  <c r="FK203" i="3"/>
  <c r="FJ203" i="3" s="1"/>
  <c r="DT203" i="3"/>
  <c r="FY203" i="3" s="1"/>
  <c r="CW203" i="3"/>
  <c r="DV203" i="3"/>
  <c r="GA203" i="3" s="1"/>
  <c r="FW227" i="3"/>
  <c r="GC227" i="3" s="1"/>
  <c r="DX227" i="3"/>
  <c r="AK210" i="3"/>
  <c r="BK210" i="3"/>
  <c r="DT208" i="3"/>
  <c r="FY208" i="3" s="1"/>
  <c r="FK208" i="3"/>
  <c r="DV208" i="3"/>
  <c r="GA208" i="3" s="1"/>
  <c r="DX190" i="3"/>
  <c r="DL190" i="3" s="1"/>
  <c r="FS190" i="3" s="1"/>
  <c r="DP195" i="3"/>
  <c r="FQ195" i="3"/>
  <c r="DE169" i="3"/>
  <c r="FM169" i="3"/>
  <c r="FL169" i="3" s="1"/>
  <c r="DE164" i="3"/>
  <c r="FM164" i="3"/>
  <c r="FL164" i="3" s="1"/>
  <c r="BD166" i="3"/>
  <c r="DJ149" i="3"/>
  <c r="DK149" i="3"/>
  <c r="FR149" i="3" s="1"/>
  <c r="DG149" i="3"/>
  <c r="FO149" i="3"/>
  <c r="FN149" i="3" s="1"/>
  <c r="CN174" i="3"/>
  <c r="FQ154" i="3"/>
  <c r="DP154" i="3"/>
  <c r="EL145" i="3"/>
  <c r="CW129" i="3"/>
  <c r="CN130" i="3"/>
  <c r="CM129" i="3" s="1"/>
  <c r="EE129" i="3" s="1"/>
  <c r="DV130" i="3"/>
  <c r="GA130" i="3" s="1"/>
  <c r="FK130" i="3"/>
  <c r="FJ129" i="3" s="1"/>
  <c r="DT130" i="3"/>
  <c r="FY130" i="3" s="1"/>
  <c r="FQ142" i="3"/>
  <c r="DP142" i="3"/>
  <c r="DP137" i="3"/>
  <c r="DI137" i="3"/>
  <c r="FQ137" i="3"/>
  <c r="EE147" i="3"/>
  <c r="BK129" i="3"/>
  <c r="AK129" i="3"/>
  <c r="BO124" i="3"/>
  <c r="BO285" i="3" s="1"/>
  <c r="AB124" i="3"/>
  <c r="EI124" i="3"/>
  <c r="EH124" i="3" s="1"/>
  <c r="FO112" i="3"/>
  <c r="DJ112" i="3"/>
  <c r="DK112" i="3"/>
  <c r="FR112" i="3" s="1"/>
  <c r="CN93" i="3"/>
  <c r="DQ93" i="3" s="1"/>
  <c r="AK91" i="3"/>
  <c r="BK91" i="3"/>
  <c r="DK133" i="3"/>
  <c r="FR133" i="3" s="1"/>
  <c r="FO133" i="3"/>
  <c r="DJ133" i="3"/>
  <c r="FK111" i="3"/>
  <c r="CN111" i="3"/>
  <c r="DV111" i="3"/>
  <c r="GA111" i="3" s="1"/>
  <c r="DH115" i="3"/>
  <c r="DG114" i="3" s="1"/>
  <c r="DF115" i="3"/>
  <c r="FK110" i="3"/>
  <c r="FJ109" i="3" s="1"/>
  <c r="DV110" i="3"/>
  <c r="GA110" i="3" s="1"/>
  <c r="CN110" i="3"/>
  <c r="EK115" i="3"/>
  <c r="EJ114" i="3" s="1"/>
  <c r="Z114" i="3"/>
  <c r="AL115" i="3"/>
  <c r="EE115" i="3" s="1"/>
  <c r="FK95" i="3"/>
  <c r="FJ95" i="3" s="1"/>
  <c r="DV95" i="3"/>
  <c r="GA95" i="3" s="1"/>
  <c r="CW95" i="3"/>
  <c r="BK74" i="3"/>
  <c r="EE89" i="3"/>
  <c r="DH83" i="3"/>
  <c r="DF83" i="3"/>
  <c r="DV74" i="3"/>
  <c r="CC74" i="3"/>
  <c r="FK74" i="3"/>
  <c r="FJ73" i="3" s="1"/>
  <c r="CM69" i="3"/>
  <c r="EE69" i="3" s="1"/>
  <c r="DQ69" i="3"/>
  <c r="CG73" i="3"/>
  <c r="DQ66" i="3"/>
  <c r="CM66" i="3"/>
  <c r="EE66" i="3" s="1"/>
  <c r="CG51" i="3"/>
  <c r="CN51" i="3"/>
  <c r="FK43" i="3"/>
  <c r="DV43" i="3"/>
  <c r="GA43" i="3" s="1"/>
  <c r="CF43" i="3"/>
  <c r="AL103" i="3"/>
  <c r="AK103" i="3" s="1"/>
  <c r="EE73" i="3"/>
  <c r="AK38" i="3"/>
  <c r="BK38" i="3"/>
  <c r="DK55" i="3"/>
  <c r="FR55" i="3" s="1"/>
  <c r="DJ55" i="3"/>
  <c r="FO55" i="3"/>
  <c r="FN55" i="3" s="1"/>
  <c r="DG55" i="3"/>
  <c r="DX107" i="3"/>
  <c r="DW107" i="3" s="1"/>
  <c r="FQ76" i="3"/>
  <c r="DP76" i="3"/>
  <c r="CW38" i="3"/>
  <c r="CN38" i="3"/>
  <c r="DV38" i="3"/>
  <c r="GA38" i="3" s="1"/>
  <c r="FK38" i="3"/>
  <c r="FJ38" i="3" s="1"/>
  <c r="BK71" i="3"/>
  <c r="FK12" i="3"/>
  <c r="FJ12" i="3" s="1"/>
  <c r="DV12" i="3"/>
  <c r="GA12" i="3" s="1"/>
  <c r="CW12" i="3"/>
  <c r="EN285" i="3"/>
  <c r="AK12" i="3"/>
  <c r="AE285" i="3"/>
  <c r="FJ55" i="3"/>
  <c r="CW28" i="3"/>
  <c r="FQ22" i="3"/>
  <c r="DP22" i="3"/>
  <c r="DA125" i="2"/>
  <c r="BP119" i="2"/>
  <c r="BP137" i="2" s="1"/>
  <c r="BN119" i="2"/>
  <c r="BM119" i="2" s="1"/>
  <c r="GM119" i="2" s="1"/>
  <c r="S119" i="2"/>
  <c r="FT119" i="2" s="1"/>
  <c r="FN12" i="3"/>
  <c r="EZ135" i="2"/>
  <c r="GU135" i="2"/>
  <c r="GX134" i="2"/>
  <c r="ET134" i="2"/>
  <c r="EX134" i="2" s="1"/>
  <c r="GT134" i="2" s="1"/>
  <c r="DG108" i="2"/>
  <c r="FG108" i="2"/>
  <c r="DP13" i="3"/>
  <c r="FQ13" i="3"/>
  <c r="GR100" i="2"/>
  <c r="GQ100" i="2" s="1"/>
  <c r="EU100" i="2"/>
  <c r="EM112" i="2"/>
  <c r="GN112" i="2" s="1"/>
  <c r="EV112" i="2"/>
  <c r="EP112" i="2"/>
  <c r="GX100" i="2"/>
  <c r="FF100" i="2"/>
  <c r="ET100" i="2"/>
  <c r="EL82" i="2"/>
  <c r="EK82" i="2" s="1"/>
  <c r="GM82" i="2" s="1"/>
  <c r="EN82" i="2"/>
  <c r="CX82" i="2"/>
  <c r="FT82" i="2" s="1"/>
  <c r="CA97" i="2"/>
  <c r="BV73" i="2"/>
  <c r="BU72" i="2" s="1"/>
  <c r="GR80" i="2"/>
  <c r="GQ80" i="2" s="1"/>
  <c r="EU80" i="2"/>
  <c r="EN51" i="2"/>
  <c r="EL51" i="2"/>
  <c r="GR93" i="2"/>
  <c r="EO97" i="2"/>
  <c r="GP97" i="2"/>
  <c r="ER97" i="2"/>
  <c r="AC72" i="2"/>
  <c r="EL50" i="2"/>
  <c r="EN50" i="2"/>
  <c r="BV49" i="2"/>
  <c r="BU49" i="2" s="1"/>
  <c r="EZ56" i="2"/>
  <c r="EY56" i="2" s="1"/>
  <c r="GU56" i="2"/>
  <c r="GX70" i="2"/>
  <c r="ET70" i="2"/>
  <c r="EX70" i="2" s="1"/>
  <c r="GT70" i="2" s="1"/>
  <c r="GX41" i="2"/>
  <c r="FF41" i="2"/>
  <c r="GY137" i="2"/>
  <c r="FV41" i="2"/>
  <c r="FQ12" i="2"/>
  <c r="DW12" i="2"/>
  <c r="GL12" i="2" s="1"/>
  <c r="DH12" i="2"/>
  <c r="GD137" i="2"/>
  <c r="EV43" i="2"/>
  <c r="ER43" i="2"/>
  <c r="EQ43" i="2" s="1"/>
  <c r="EP43" i="2"/>
  <c r="EM43" i="2"/>
  <c r="GN43" i="2" s="1"/>
  <c r="T137" i="2"/>
  <c r="EL47" i="2"/>
  <c r="EK47" i="2" s="1"/>
  <c r="GM47" i="2" s="1"/>
  <c r="EN47" i="2"/>
  <c r="CX47" i="2"/>
  <c r="FT47" i="2" s="1"/>
  <c r="CM6" i="2"/>
  <c r="EU68" i="2"/>
  <c r="BT31" i="2"/>
  <c r="BS31" i="2" s="1"/>
  <c r="BX31" i="2"/>
  <c r="BO31" i="2"/>
  <c r="DB137" i="2"/>
  <c r="DA6" i="2"/>
  <c r="AE9" i="2"/>
  <c r="GR15" i="2"/>
  <c r="GQ15" i="2" s="1"/>
  <c r="EU15" i="2"/>
  <c r="GP12" i="2"/>
  <c r="CA137" i="2" l="1"/>
  <c r="BS123" i="2"/>
  <c r="GR123" i="2"/>
  <c r="GQ123" i="2" s="1"/>
  <c r="AB285" i="3"/>
  <c r="GX58" i="2"/>
  <c r="ET58" i="2"/>
  <c r="EX58" i="2" s="1"/>
  <c r="GT58" i="2" s="1"/>
  <c r="DW169" i="3"/>
  <c r="FL252" i="3"/>
  <c r="CM9" i="2"/>
  <c r="BV9" i="2"/>
  <c r="BU9" i="2" s="1"/>
  <c r="EE262" i="3"/>
  <c r="EE47" i="3"/>
  <c r="AV247" i="3"/>
  <c r="AL248" i="3"/>
  <c r="AK247" i="3" s="1"/>
  <c r="FG7" i="2"/>
  <c r="EN7" i="2"/>
  <c r="EL7" i="2"/>
  <c r="EK6" i="2" s="1"/>
  <c r="GM6" i="2" s="1"/>
  <c r="FY12" i="2"/>
  <c r="FY137" i="2" s="1"/>
  <c r="Y137" i="2"/>
  <c r="EN13" i="2"/>
  <c r="EL13" i="2"/>
  <c r="EK12" i="2" s="1"/>
  <c r="GM12" i="2" s="1"/>
  <c r="CX12" i="2"/>
  <c r="FT12" i="2" s="1"/>
  <c r="CC12" i="2"/>
  <c r="GV13" i="2"/>
  <c r="CD137" i="2"/>
  <c r="CN13" i="2"/>
  <c r="CC31" i="2"/>
  <c r="GV31" i="2"/>
  <c r="BV59" i="2"/>
  <c r="AE56" i="2"/>
  <c r="FZ56" i="2" s="1"/>
  <c r="AD60" i="2"/>
  <c r="GU63" i="2"/>
  <c r="ET63" i="2"/>
  <c r="EX63" i="2" s="1"/>
  <c r="GT63" i="2" s="1"/>
  <c r="GP65" i="2"/>
  <c r="GO65" i="2" s="1"/>
  <c r="ER65" i="2"/>
  <c r="EQ65" i="2" s="1"/>
  <c r="EO65" i="2"/>
  <c r="GR65" i="2"/>
  <c r="GQ65" i="2" s="1"/>
  <c r="EU65" i="2"/>
  <c r="EO68" i="2"/>
  <c r="ER68" i="2"/>
  <c r="EQ68" i="2" s="1"/>
  <c r="GP68" i="2"/>
  <c r="GO68" i="2" s="1"/>
  <c r="GP72" i="2"/>
  <c r="ER72" i="2"/>
  <c r="EV73" i="2"/>
  <c r="EP73" i="2"/>
  <c r="EM72" i="2"/>
  <c r="GN72" i="2" s="1"/>
  <c r="BV92" i="2"/>
  <c r="BU92" i="2" s="1"/>
  <c r="CM92" i="2"/>
  <c r="GP98" i="2"/>
  <c r="GO97" i="2" s="1"/>
  <c r="ER98" i="2"/>
  <c r="EQ97" i="2" s="1"/>
  <c r="FU104" i="2"/>
  <c r="U137" i="2"/>
  <c r="ET110" i="2"/>
  <c r="FF110" i="2"/>
  <c r="GX110" i="2"/>
  <c r="DK10" i="3"/>
  <c r="FR10" i="3" s="1"/>
  <c r="DJ10" i="3"/>
  <c r="FO10" i="3"/>
  <c r="FN9" i="3" s="1"/>
  <c r="DL10" i="3"/>
  <c r="FS10" i="3" s="1"/>
  <c r="DF45" i="3"/>
  <c r="FM45" i="3" s="1"/>
  <c r="DH45" i="3"/>
  <c r="AV62" i="3"/>
  <c r="AL62" i="3"/>
  <c r="AK62" i="3" s="1"/>
  <c r="FA62" i="3"/>
  <c r="EZ62" i="3" s="1"/>
  <c r="CX62" i="3"/>
  <c r="AV64" i="3"/>
  <c r="AL64" i="3"/>
  <c r="AK64" i="3" s="1"/>
  <c r="FA64" i="3"/>
  <c r="EZ64" i="3" s="1"/>
  <c r="CX64" i="3"/>
  <c r="DX91" i="3"/>
  <c r="FW91" i="3"/>
  <c r="GC91" i="3" s="1"/>
  <c r="GB91" i="3" s="1"/>
  <c r="DH130" i="3"/>
  <c r="DF130" i="3"/>
  <c r="FM130" i="3" s="1"/>
  <c r="DQ142" i="3"/>
  <c r="EE142" i="3"/>
  <c r="EE146" i="3"/>
  <c r="DQ146" i="3"/>
  <c r="DH176" i="3"/>
  <c r="DF176" i="3"/>
  <c r="DQ176" i="3"/>
  <c r="CM176" i="3"/>
  <c r="EE176" i="3" s="1"/>
  <c r="AL187" i="3"/>
  <c r="AK186" i="3" s="1"/>
  <c r="AV186" i="3"/>
  <c r="FA187" i="3"/>
  <c r="EZ186" i="3" s="1"/>
  <c r="CX187" i="3"/>
  <c r="AD201" i="3"/>
  <c r="EM201" i="3"/>
  <c r="EL201" i="3" s="1"/>
  <c r="BK201" i="3"/>
  <c r="AL201" i="3"/>
  <c r="AK201" i="3" s="1"/>
  <c r="FQ201" i="3"/>
  <c r="FP201" i="3" s="1"/>
  <c r="DP201" i="3"/>
  <c r="DI201" i="3"/>
  <c r="AV207" i="3"/>
  <c r="AL207" i="3"/>
  <c r="AK207" i="3" s="1"/>
  <c r="FC207" i="3"/>
  <c r="FB207" i="3" s="1"/>
  <c r="CX207" i="3"/>
  <c r="DF230" i="3"/>
  <c r="FM230" i="3" s="1"/>
  <c r="DH230" i="3"/>
  <c r="DF234" i="3"/>
  <c r="DH234" i="3"/>
  <c r="AV234" i="3"/>
  <c r="AL234" i="3"/>
  <c r="FC234" i="3"/>
  <c r="FB234" i="3" s="1"/>
  <c r="CX234" i="3"/>
  <c r="FU236" i="3"/>
  <c r="BU236" i="3"/>
  <c r="CE236" i="3"/>
  <c r="EA236" i="3" s="1"/>
  <c r="CN236" i="3"/>
  <c r="CH236" i="3"/>
  <c r="CG236" i="3" s="1"/>
  <c r="EB236" i="3"/>
  <c r="DF236" i="3"/>
  <c r="ER236" i="3"/>
  <c r="ER285" i="3" s="1"/>
  <c r="ES285" i="3"/>
  <c r="FQ242" i="3"/>
  <c r="DP242" i="3"/>
  <c r="DJ244" i="3"/>
  <c r="FO244" i="3"/>
  <c r="DK244" i="3"/>
  <c r="FR244" i="3" s="1"/>
  <c r="DF247" i="3"/>
  <c r="FM247" i="3" s="1"/>
  <c r="DH247" i="3"/>
  <c r="FO264" i="3"/>
  <c r="DJ264" i="3"/>
  <c r="DK264" i="3"/>
  <c r="FR264" i="3" s="1"/>
  <c r="FW269" i="3"/>
  <c r="GC269" i="3" s="1"/>
  <c r="GB269" i="3" s="1"/>
  <c r="DX269" i="3"/>
  <c r="DW269" i="3" s="1"/>
  <c r="BF285" i="3"/>
  <c r="DL170" i="3"/>
  <c r="FN242" i="3"/>
  <c r="BH285" i="3"/>
  <c r="CM223" i="3"/>
  <c r="FW137" i="3"/>
  <c r="GC137" i="3" s="1"/>
  <c r="GB137" i="3" s="1"/>
  <c r="DX137" i="3"/>
  <c r="DW137" i="3" s="1"/>
  <c r="DX93" i="3"/>
  <c r="DW93" i="3" s="1"/>
  <c r="FW93" i="3"/>
  <c r="GC93" i="3" s="1"/>
  <c r="GB93" i="3" s="1"/>
  <c r="FW15" i="3"/>
  <c r="GC15" i="3" s="1"/>
  <c r="DX15" i="3"/>
  <c r="FZ9" i="2"/>
  <c r="EU43" i="2"/>
  <c r="GR43" i="2"/>
  <c r="GQ43" i="2" s="1"/>
  <c r="FA50" i="2"/>
  <c r="EV50" i="2"/>
  <c r="GR50" i="2" s="1"/>
  <c r="ER50" i="2"/>
  <c r="EP50" i="2"/>
  <c r="GP50" i="2" s="1"/>
  <c r="ES100" i="2"/>
  <c r="HC100" i="2" s="1"/>
  <c r="EX100" i="2"/>
  <c r="FM83" i="3"/>
  <c r="FL83" i="3" s="1"/>
  <c r="DE83" i="3"/>
  <c r="EE111" i="3"/>
  <c r="DQ111" i="3"/>
  <c r="DP245" i="3"/>
  <c r="FQ245" i="3"/>
  <c r="DE194" i="3"/>
  <c r="FM194" i="3"/>
  <c r="FL194" i="3" s="1"/>
  <c r="ES35" i="2"/>
  <c r="EX35" i="2"/>
  <c r="DX56" i="3"/>
  <c r="DL56" i="3" s="1"/>
  <c r="FS56" i="3" s="1"/>
  <c r="FW56" i="3"/>
  <c r="GC56" i="3" s="1"/>
  <c r="FW112" i="3"/>
  <c r="GC112" i="3" s="1"/>
  <c r="DX112" i="3"/>
  <c r="DL112" i="3" s="1"/>
  <c r="FS112" i="3" s="1"/>
  <c r="DA137" i="2"/>
  <c r="FA47" i="2"/>
  <c r="EV47" i="2"/>
  <c r="EM47" i="2"/>
  <c r="GN47" i="2" s="1"/>
  <c r="EP47" i="2"/>
  <c r="FG12" i="2"/>
  <c r="DG12" i="2"/>
  <c r="EB43" i="3"/>
  <c r="CN43" i="3"/>
  <c r="CH43" i="3"/>
  <c r="CG42" i="3" s="1"/>
  <c r="CE42" i="3"/>
  <c r="EA42" i="3" s="1"/>
  <c r="CC43" i="3"/>
  <c r="FO83" i="3"/>
  <c r="FN83" i="3" s="1"/>
  <c r="DK83" i="3"/>
  <c r="FR83" i="3" s="1"/>
  <c r="DJ83" i="3"/>
  <c r="DG83" i="3"/>
  <c r="DP112" i="3"/>
  <c r="FQ112" i="3"/>
  <c r="DQ130" i="3"/>
  <c r="EE130" i="3"/>
  <c r="DQ242" i="3"/>
  <c r="CM242" i="3"/>
  <c r="EE242" i="3" s="1"/>
  <c r="DQ135" i="3"/>
  <c r="CM135" i="3"/>
  <c r="EE135" i="3" s="1"/>
  <c r="DW164" i="3"/>
  <c r="DL164" i="3"/>
  <c r="FS164" i="3" s="1"/>
  <c r="FW43" i="2"/>
  <c r="FV43" i="2"/>
  <c r="EV37" i="2"/>
  <c r="EM37" i="2"/>
  <c r="GN37" i="2" s="1"/>
  <c r="EP37" i="2"/>
  <c r="FW92" i="2"/>
  <c r="FV92" i="2"/>
  <c r="EP53" i="2"/>
  <c r="EV53" i="2"/>
  <c r="EM53" i="2"/>
  <c r="GN53" i="2" s="1"/>
  <c r="GU90" i="2"/>
  <c r="BW90" i="2"/>
  <c r="CN90" i="2"/>
  <c r="CM90" i="2" s="1"/>
  <c r="GL131" i="2"/>
  <c r="DT285" i="3"/>
  <c r="FY24" i="3"/>
  <c r="FO40" i="3"/>
  <c r="FN40" i="3" s="1"/>
  <c r="DK40" i="3"/>
  <c r="FR40" i="3" s="1"/>
  <c r="DJ40" i="3"/>
  <c r="DG40" i="3"/>
  <c r="FK45" i="3"/>
  <c r="FJ42" i="3" s="1"/>
  <c r="DV45" i="3"/>
  <c r="GA45" i="3" s="1"/>
  <c r="CN45" i="3"/>
  <c r="FM93" i="3"/>
  <c r="FL93" i="3" s="1"/>
  <c r="DE93" i="3"/>
  <c r="FQ126" i="3"/>
  <c r="FP126" i="3" s="1"/>
  <c r="DI126" i="3"/>
  <c r="DP126" i="3"/>
  <c r="DG189" i="3"/>
  <c r="FO189" i="3"/>
  <c r="FN189" i="3" s="1"/>
  <c r="DK189" i="3"/>
  <c r="FR189" i="3" s="1"/>
  <c r="DJ189" i="3"/>
  <c r="BK269" i="3"/>
  <c r="FS269" i="3" s="1"/>
  <c r="FM275" i="3"/>
  <c r="FL275" i="3" s="1"/>
  <c r="DE275" i="3"/>
  <c r="CM37" i="2"/>
  <c r="BV37" i="2"/>
  <c r="BU37" i="2" s="1"/>
  <c r="EV19" i="2"/>
  <c r="EP19" i="2"/>
  <c r="EM18" i="2"/>
  <c r="GN18" i="2" s="1"/>
  <c r="EX19" i="2"/>
  <c r="GT19" i="2" s="1"/>
  <c r="BS45" i="2"/>
  <c r="GR45" i="2"/>
  <c r="GQ45" i="2" s="1"/>
  <c r="EZ114" i="2"/>
  <c r="EY114" i="2" s="1"/>
  <c r="ET114" i="2"/>
  <c r="GU114" i="2"/>
  <c r="FW123" i="2"/>
  <c r="FV123" i="2"/>
  <c r="FY119" i="3"/>
  <c r="DX119" i="3"/>
  <c r="EE143" i="3"/>
  <c r="DQ143" i="3"/>
  <c r="FM212" i="3"/>
  <c r="FL212" i="3" s="1"/>
  <c r="DE212" i="3"/>
  <c r="DG277" i="3"/>
  <c r="FO277" i="3"/>
  <c r="FN277" i="3" s="1"/>
  <c r="DJ277" i="3"/>
  <c r="FQ252" i="3"/>
  <c r="DP252" i="3"/>
  <c r="DI252" i="3"/>
  <c r="FO260" i="3"/>
  <c r="FN260" i="3" s="1"/>
  <c r="DG260" i="3"/>
  <c r="DK260" i="3"/>
  <c r="FR260" i="3" s="1"/>
  <c r="DJ260" i="3"/>
  <c r="GX6" i="2"/>
  <c r="FF6" i="2"/>
  <c r="ET6" i="2"/>
  <c r="GO56" i="2"/>
  <c r="EK75" i="2"/>
  <c r="GM75" i="2" s="1"/>
  <c r="FW104" i="2"/>
  <c r="FV104" i="2"/>
  <c r="FM103" i="3"/>
  <c r="FL103" i="3" s="1"/>
  <c r="DE103" i="3"/>
  <c r="DJ117" i="3"/>
  <c r="DG117" i="3"/>
  <c r="FO117" i="3"/>
  <c r="DK117" i="3"/>
  <c r="FR117" i="3" s="1"/>
  <c r="DK159" i="3"/>
  <c r="FR159" i="3" s="1"/>
  <c r="DG159" i="3"/>
  <c r="FO159" i="3"/>
  <c r="FN159" i="3" s="1"/>
  <c r="DJ159" i="3"/>
  <c r="EO102" i="2"/>
  <c r="GP102" i="2"/>
  <c r="GO102" i="2" s="1"/>
  <c r="FW75" i="2"/>
  <c r="FV75" i="2"/>
  <c r="EJ132" i="3"/>
  <c r="DK124" i="3"/>
  <c r="FR124" i="3" s="1"/>
  <c r="DJ124" i="3"/>
  <c r="FO124" i="3"/>
  <c r="FN124" i="3" s="1"/>
  <c r="DG124" i="3"/>
  <c r="FO178" i="3"/>
  <c r="FN178" i="3" s="1"/>
  <c r="DG178" i="3"/>
  <c r="DK178" i="3"/>
  <c r="FR178" i="3" s="1"/>
  <c r="DJ178" i="3"/>
  <c r="GB39" i="2"/>
  <c r="GB137" i="2" s="1"/>
  <c r="DM137" i="2"/>
  <c r="EK49" i="2"/>
  <c r="GM49" i="2" s="1"/>
  <c r="FG56" i="2"/>
  <c r="DG56" i="2"/>
  <c r="GU115" i="2"/>
  <c r="ET115" i="2"/>
  <c r="EX115" i="2" s="1"/>
  <c r="GT115" i="2" s="1"/>
  <c r="BS117" i="2"/>
  <c r="GR117" i="2"/>
  <c r="GQ117" i="2" s="1"/>
  <c r="FQ143" i="3"/>
  <c r="DP143" i="3"/>
  <c r="FP166" i="3"/>
  <c r="DQ192" i="3"/>
  <c r="CM192" i="3"/>
  <c r="EE192" i="3" s="1"/>
  <c r="GT33" i="2"/>
  <c r="GS33" i="2" s="1"/>
  <c r="EW33" i="2"/>
  <c r="EV94" i="2"/>
  <c r="GR94" i="2" s="1"/>
  <c r="ER94" i="2"/>
  <c r="EP94" i="2"/>
  <c r="GP94" i="2" s="1"/>
  <c r="FA94" i="2"/>
  <c r="DH35" i="3"/>
  <c r="DF35" i="3"/>
  <c r="FM35" i="3" s="1"/>
  <c r="DJ107" i="3"/>
  <c r="DL107" i="3"/>
  <c r="FS107" i="3" s="1"/>
  <c r="DK107" i="3"/>
  <c r="FR107" i="3" s="1"/>
  <c r="FO107" i="3"/>
  <c r="FN107" i="3" s="1"/>
  <c r="DG107" i="3"/>
  <c r="FJ117" i="3"/>
  <c r="DK219" i="3"/>
  <c r="FR219" i="3" s="1"/>
  <c r="FO219" i="3"/>
  <c r="DJ219" i="3"/>
  <c r="DL219" i="3"/>
  <c r="FS219" i="3" s="1"/>
  <c r="FW95" i="3"/>
  <c r="GC95" i="3" s="1"/>
  <c r="GB95" i="3" s="1"/>
  <c r="DX95" i="3"/>
  <c r="GX114" i="2"/>
  <c r="FF114" i="2"/>
  <c r="EO112" i="2"/>
  <c r="GP112" i="2"/>
  <c r="GO112" i="2" s="1"/>
  <c r="ER112" i="2"/>
  <c r="EQ112" i="2" s="1"/>
  <c r="DP133" i="3"/>
  <c r="FQ133" i="3"/>
  <c r="FQ149" i="3"/>
  <c r="FP149" i="3" s="1"/>
  <c r="DI149" i="3"/>
  <c r="DP149" i="3"/>
  <c r="CM129" i="2"/>
  <c r="HC129" i="2" s="1"/>
  <c r="BV129" i="2"/>
  <c r="BU129" i="2" s="1"/>
  <c r="ET135" i="2"/>
  <c r="EX135" i="2" s="1"/>
  <c r="GT135" i="2" s="1"/>
  <c r="GX135" i="2"/>
  <c r="FM31" i="3"/>
  <c r="FL31" i="3" s="1"/>
  <c r="DE31" i="3"/>
  <c r="DP9" i="3"/>
  <c r="FQ9" i="3"/>
  <c r="DI9" i="3"/>
  <c r="DJ34" i="3"/>
  <c r="FO34" i="3"/>
  <c r="DK34" i="3"/>
  <c r="FR34" i="3" s="1"/>
  <c r="DG33" i="3"/>
  <c r="FO118" i="3"/>
  <c r="DK118" i="3"/>
  <c r="FR118" i="3" s="1"/>
  <c r="DJ118" i="3"/>
  <c r="GX43" i="2"/>
  <c r="FF43" i="2"/>
  <c r="ET43" i="2"/>
  <c r="FA285" i="3"/>
  <c r="EZ42" i="3"/>
  <c r="EZ285" i="3" s="1"/>
  <c r="DK93" i="3"/>
  <c r="FR93" i="3" s="1"/>
  <c r="DJ93" i="3"/>
  <c r="FO93" i="3"/>
  <c r="FN93" i="3" s="1"/>
  <c r="DG93" i="3"/>
  <c r="DE255" i="3"/>
  <c r="FM255" i="3"/>
  <c r="FL255" i="3" s="1"/>
  <c r="DG275" i="3"/>
  <c r="FO275" i="3"/>
  <c r="FN275" i="3" s="1"/>
  <c r="DJ275" i="3"/>
  <c r="FV62" i="2"/>
  <c r="FW62" i="2"/>
  <c r="GR114" i="2"/>
  <c r="GQ114" i="2" s="1"/>
  <c r="EU114" i="2"/>
  <c r="GX85" i="2"/>
  <c r="FF85" i="2"/>
  <c r="ET85" i="2"/>
  <c r="GX123" i="2"/>
  <c r="FF123" i="2"/>
  <c r="ET123" i="2"/>
  <c r="FW40" i="3"/>
  <c r="GC40" i="3" s="1"/>
  <c r="GB40" i="3" s="1"/>
  <c r="DX40" i="3"/>
  <c r="FW77" i="3"/>
  <c r="GC77" i="3" s="1"/>
  <c r="DX77" i="3"/>
  <c r="DL77" i="3" s="1"/>
  <c r="FS77" i="3" s="1"/>
  <c r="EH66" i="3"/>
  <c r="FW133" i="3"/>
  <c r="GC133" i="3" s="1"/>
  <c r="DX133" i="3"/>
  <c r="DL133" i="3" s="1"/>
  <c r="FS133" i="3" s="1"/>
  <c r="DW166" i="3"/>
  <c r="DL166" i="3"/>
  <c r="FS166" i="3" s="1"/>
  <c r="DQ197" i="3"/>
  <c r="CM197" i="3"/>
  <c r="EE197" i="3" s="1"/>
  <c r="FM221" i="3"/>
  <c r="FL221" i="3" s="1"/>
  <c r="DE221" i="3"/>
  <c r="DX255" i="3"/>
  <c r="FW255" i="3"/>
  <c r="GC255" i="3" s="1"/>
  <c r="FM267" i="3"/>
  <c r="FL267" i="3" s="1"/>
  <c r="DE267" i="3"/>
  <c r="FM277" i="3"/>
  <c r="FL277" i="3" s="1"/>
  <c r="DE277" i="3"/>
  <c r="ET25" i="2"/>
  <c r="EX25" i="2" s="1"/>
  <c r="GT25" i="2" s="1"/>
  <c r="GU25" i="2"/>
  <c r="ET104" i="2"/>
  <c r="GX104" i="2"/>
  <c r="FF104" i="2"/>
  <c r="FQ71" i="3"/>
  <c r="FP71" i="3" s="1"/>
  <c r="DP71" i="3"/>
  <c r="DI71" i="3"/>
  <c r="FQ49" i="3"/>
  <c r="FP49" i="3" s="1"/>
  <c r="DP49" i="3"/>
  <c r="DI49" i="3"/>
  <c r="DK103" i="3"/>
  <c r="FR103" i="3" s="1"/>
  <c r="DJ103" i="3"/>
  <c r="FO103" i="3"/>
  <c r="FN103" i="3" s="1"/>
  <c r="DG103" i="3"/>
  <c r="EE127" i="3"/>
  <c r="DQ127" i="3"/>
  <c r="EW129" i="2"/>
  <c r="GT129" i="2"/>
  <c r="GS129" i="2" s="1"/>
  <c r="FQ28" i="3"/>
  <c r="FP28" i="3" s="1"/>
  <c r="DP28" i="3"/>
  <c r="DI28" i="3"/>
  <c r="DG21" i="3"/>
  <c r="FO21" i="3"/>
  <c r="FN21" i="3" s="1"/>
  <c r="DK21" i="3"/>
  <c r="FR21" i="3" s="1"/>
  <c r="DJ21" i="3"/>
  <c r="DP155" i="3"/>
  <c r="FQ155" i="3"/>
  <c r="FP151" i="3" s="1"/>
  <c r="GX39" i="2"/>
  <c r="FF39" i="2"/>
  <c r="ET39" i="2"/>
  <c r="EK92" i="2"/>
  <c r="GM92" i="2" s="1"/>
  <c r="FQ73" i="3"/>
  <c r="DP73" i="3"/>
  <c r="DX115" i="3"/>
  <c r="DL115" i="3" s="1"/>
  <c r="FS115" i="3" s="1"/>
  <c r="FW115" i="3"/>
  <c r="GC115" i="3" s="1"/>
  <c r="EM114" i="3"/>
  <c r="O114" i="3"/>
  <c r="AD114" i="3"/>
  <c r="AD285" i="3" s="1"/>
  <c r="AL114" i="3"/>
  <c r="AK114" i="3" s="1"/>
  <c r="BK114" i="3"/>
  <c r="DQ182" i="3"/>
  <c r="CM182" i="3"/>
  <c r="EE182" i="3" s="1"/>
  <c r="DP169" i="3"/>
  <c r="FQ169" i="3"/>
  <c r="FW230" i="3"/>
  <c r="GC230" i="3" s="1"/>
  <c r="DX230" i="3"/>
  <c r="DL230" i="3" s="1"/>
  <c r="FS230" i="3" s="1"/>
  <c r="FW47" i="2"/>
  <c r="FV47" i="2"/>
  <c r="HB80" i="2"/>
  <c r="FP80" i="2"/>
  <c r="FM107" i="3"/>
  <c r="FL107" i="3" s="1"/>
  <c r="DE107" i="3"/>
  <c r="DI141" i="3"/>
  <c r="FQ141" i="3"/>
  <c r="FP141" i="3" s="1"/>
  <c r="DP141" i="3"/>
  <c r="DX180" i="3"/>
  <c r="DW180" i="3" s="1"/>
  <c r="FW180" i="3"/>
  <c r="GC180" i="3" s="1"/>
  <c r="GB180" i="3" s="1"/>
  <c r="DK258" i="3"/>
  <c r="FR258" i="3" s="1"/>
  <c r="FO258" i="3"/>
  <c r="DL258" i="3"/>
  <c r="FS258" i="3" s="1"/>
  <c r="DJ258" i="3"/>
  <c r="DL199" i="3"/>
  <c r="FS199" i="3" s="1"/>
  <c r="S137" i="2"/>
  <c r="FW69" i="3"/>
  <c r="GC69" i="3" s="1"/>
  <c r="GB69" i="3" s="1"/>
  <c r="DX69" i="3"/>
  <c r="BM131" i="2"/>
  <c r="GM131" i="2" s="1"/>
  <c r="BI137" i="2"/>
  <c r="HB12" i="2"/>
  <c r="FP12" i="2"/>
  <c r="GR112" i="2"/>
  <c r="GQ112" i="2" s="1"/>
  <c r="EU112" i="2"/>
  <c r="DQ243" i="3"/>
  <c r="EE243" i="3"/>
  <c r="FW68" i="2"/>
  <c r="FV68" i="2"/>
  <c r="DG31" i="3"/>
  <c r="FO31" i="3"/>
  <c r="FN31" i="3" s="1"/>
  <c r="DK31" i="3"/>
  <c r="FR31" i="3" s="1"/>
  <c r="DJ31" i="3"/>
  <c r="DE69" i="3"/>
  <c r="FM69" i="3"/>
  <c r="FL69" i="3" s="1"/>
  <c r="FM184" i="3"/>
  <c r="FL184" i="3" s="1"/>
  <c r="DE184" i="3"/>
  <c r="DP257" i="3"/>
  <c r="FQ257" i="3"/>
  <c r="DW137" i="2"/>
  <c r="GL4" i="2"/>
  <c r="GL137" i="2" s="1"/>
  <c r="FW82" i="2"/>
  <c r="FV82" i="2"/>
  <c r="Z285" i="3"/>
  <c r="GA5" i="3"/>
  <c r="DQ26" i="3"/>
  <c r="EE26" i="3"/>
  <c r="FM42" i="3"/>
  <c r="FQ145" i="3"/>
  <c r="FP145" i="3" s="1"/>
  <c r="DI145" i="3"/>
  <c r="DP145" i="3"/>
  <c r="FW184" i="3"/>
  <c r="GC184" i="3" s="1"/>
  <c r="GB184" i="3" s="1"/>
  <c r="DX184" i="3"/>
  <c r="FW205" i="3"/>
  <c r="GC205" i="3" s="1"/>
  <c r="GB205" i="3" s="1"/>
  <c r="DX205" i="3"/>
  <c r="DK255" i="3"/>
  <c r="FR255" i="3" s="1"/>
  <c r="DJ255" i="3"/>
  <c r="FO255" i="3"/>
  <c r="DG255" i="3"/>
  <c r="FA26" i="2"/>
  <c r="EV26" i="2"/>
  <c r="GR26" i="2" s="1"/>
  <c r="ER26" i="2"/>
  <c r="EP26" i="2"/>
  <c r="GP26" i="2" s="1"/>
  <c r="DG90" i="2"/>
  <c r="FG90" i="2"/>
  <c r="FW73" i="3"/>
  <c r="GC73" i="3" s="1"/>
  <c r="DX73" i="3"/>
  <c r="FM97" i="3"/>
  <c r="FL97" i="3" s="1"/>
  <c r="DE97" i="3"/>
  <c r="DG109" i="3"/>
  <c r="FO109" i="3"/>
  <c r="FN109" i="3" s="1"/>
  <c r="DK109" i="3"/>
  <c r="FR109" i="3" s="1"/>
  <c r="DJ109" i="3"/>
  <c r="DX152" i="3"/>
  <c r="DL152" i="3" s="1"/>
  <c r="FS152" i="3" s="1"/>
  <c r="FW152" i="3"/>
  <c r="GC152" i="3" s="1"/>
  <c r="GB166" i="3"/>
  <c r="DK221" i="3"/>
  <c r="FR221" i="3" s="1"/>
  <c r="DG221" i="3"/>
  <c r="FO221" i="3"/>
  <c r="FN221" i="3" s="1"/>
  <c r="DJ221" i="3"/>
  <c r="DP243" i="3"/>
  <c r="FQ243" i="3"/>
  <c r="DI242" i="3"/>
  <c r="DL255" i="3"/>
  <c r="FS255" i="3" s="1"/>
  <c r="FO267" i="3"/>
  <c r="FN267" i="3" s="1"/>
  <c r="DG267" i="3"/>
  <c r="DK267" i="3"/>
  <c r="FR267" i="3" s="1"/>
  <c r="DJ267" i="3"/>
  <c r="DX228" i="3"/>
  <c r="DL228" i="3" s="1"/>
  <c r="FS228" i="3" s="1"/>
  <c r="FW228" i="3"/>
  <c r="GC228" i="3" s="1"/>
  <c r="DE260" i="3"/>
  <c r="FM260" i="3"/>
  <c r="FL260" i="3" s="1"/>
  <c r="EQ9" i="2"/>
  <c r="FW6" i="2"/>
  <c r="FV6" i="2"/>
  <c r="AH24" i="2"/>
  <c r="AF24" i="2"/>
  <c r="FV85" i="2"/>
  <c r="DL15" i="3"/>
  <c r="FS15" i="3" s="1"/>
  <c r="FQ121" i="3"/>
  <c r="FP121" i="3" s="1"/>
  <c r="DP121" i="3"/>
  <c r="DI121" i="3"/>
  <c r="DE159" i="3"/>
  <c r="FM159" i="3"/>
  <c r="FL159" i="3" s="1"/>
  <c r="DP229" i="3"/>
  <c r="FQ229" i="3"/>
  <c r="FW33" i="2"/>
  <c r="FV33" i="2"/>
  <c r="BU4" i="2"/>
  <c r="EP54" i="2"/>
  <c r="EV54" i="2"/>
  <c r="GR54" i="2" s="1"/>
  <c r="EX54" i="2"/>
  <c r="GT54" i="2" s="1"/>
  <c r="DX85" i="3"/>
  <c r="FW85" i="3"/>
  <c r="GC85" i="3" s="1"/>
  <c r="GB85" i="3" s="1"/>
  <c r="FW132" i="3"/>
  <c r="GC132" i="3" s="1"/>
  <c r="DX132" i="3"/>
  <c r="DE186" i="3"/>
  <c r="FM186" i="3"/>
  <c r="FL186" i="3" s="1"/>
  <c r="DX203" i="3"/>
  <c r="FW203" i="3"/>
  <c r="GC203" i="3" s="1"/>
  <c r="GB203" i="3" s="1"/>
  <c r="AQ137" i="2"/>
  <c r="GC4" i="2"/>
  <c r="GC137" i="2" s="1"/>
  <c r="EP49" i="2"/>
  <c r="EV49" i="2"/>
  <c r="EM49" i="2"/>
  <c r="GN49" i="2" s="1"/>
  <c r="FA49" i="2"/>
  <c r="ER49" i="2"/>
  <c r="FP56" i="2"/>
  <c r="HB56" i="2"/>
  <c r="FA92" i="2"/>
  <c r="ER92" i="2"/>
  <c r="EP92" i="2"/>
  <c r="EV92" i="2"/>
  <c r="EM92" i="2"/>
  <c r="GN92" i="2" s="1"/>
  <c r="FW105" i="3"/>
  <c r="GC105" i="3" s="1"/>
  <c r="GB105" i="3" s="1"/>
  <c r="DX105" i="3"/>
  <c r="DE81" i="3"/>
  <c r="FM81" i="3"/>
  <c r="FL81" i="3" s="1"/>
  <c r="AP114" i="3"/>
  <c r="AP285" i="3" s="1"/>
  <c r="EU114" i="3"/>
  <c r="AQ285" i="3"/>
  <c r="EU33" i="2"/>
  <c r="GR33" i="2"/>
  <c r="GQ33" i="2" s="1"/>
  <c r="GX47" i="2"/>
  <c r="FF47" i="2"/>
  <c r="EV83" i="2"/>
  <c r="GR83" i="2" s="1"/>
  <c r="ER83" i="2"/>
  <c r="EP83" i="2"/>
  <c r="GP83" i="2" s="1"/>
  <c r="FA83" i="2"/>
  <c r="FG80" i="2"/>
  <c r="DG80" i="2"/>
  <c r="DQ35" i="3"/>
  <c r="EE35" i="3"/>
  <c r="CE60" i="3"/>
  <c r="EA60" i="3" s="1"/>
  <c r="CC60" i="3"/>
  <c r="CN60" i="3"/>
  <c r="EB60" i="3"/>
  <c r="CH60" i="3"/>
  <c r="CG60" i="3" s="1"/>
  <c r="DX154" i="3"/>
  <c r="DL154" i="3" s="1"/>
  <c r="FS154" i="3" s="1"/>
  <c r="FW154" i="3"/>
  <c r="GC154" i="3" s="1"/>
  <c r="CI223" i="3"/>
  <c r="EK223" i="3"/>
  <c r="EJ223" i="3" s="1"/>
  <c r="EE223" i="3"/>
  <c r="DQ223" i="3"/>
  <c r="DK218" i="3"/>
  <c r="FR218" i="3" s="1"/>
  <c r="DJ218" i="3"/>
  <c r="FO218" i="3"/>
  <c r="DG218" i="3"/>
  <c r="FW145" i="3"/>
  <c r="GC145" i="3" s="1"/>
  <c r="DX145" i="3"/>
  <c r="GX108" i="2"/>
  <c r="ET108" i="2"/>
  <c r="FF108" i="2"/>
  <c r="DP55" i="3"/>
  <c r="FS55" i="3"/>
  <c r="FQ55" i="3"/>
  <c r="FP55" i="3" s="1"/>
  <c r="DI55" i="3"/>
  <c r="DQ110" i="3"/>
  <c r="EE110" i="3"/>
  <c r="FO250" i="3"/>
  <c r="FN250" i="3" s="1"/>
  <c r="DJ250" i="3"/>
  <c r="DG250" i="3"/>
  <c r="DK250" i="3"/>
  <c r="FR250" i="3" s="1"/>
  <c r="GU31" i="2"/>
  <c r="CN31" i="2"/>
  <c r="BW31" i="2"/>
  <c r="FW108" i="2"/>
  <c r="FV108" i="2"/>
  <c r="DQ51" i="3"/>
  <c r="CM51" i="3"/>
  <c r="EE51" i="3" s="1"/>
  <c r="DE250" i="3"/>
  <c r="FM250" i="3"/>
  <c r="FL250" i="3" s="1"/>
  <c r="FW18" i="2"/>
  <c r="FV18" i="2"/>
  <c r="GX15" i="2"/>
  <c r="FF15" i="2"/>
  <c r="FW12" i="3"/>
  <c r="GC12" i="3" s="1"/>
  <c r="DX12" i="3"/>
  <c r="FO69" i="3"/>
  <c r="FN69" i="3" s="1"/>
  <c r="DK69" i="3"/>
  <c r="FR69" i="3" s="1"/>
  <c r="DJ69" i="3"/>
  <c r="DG69" i="3"/>
  <c r="DQ141" i="3"/>
  <c r="CM141" i="3"/>
  <c r="EE141" i="3" s="1"/>
  <c r="DQ126" i="3"/>
  <c r="CM126" i="3"/>
  <c r="EE126" i="3" s="1"/>
  <c r="DJ184" i="3"/>
  <c r="FO184" i="3"/>
  <c r="FN184" i="3" s="1"/>
  <c r="DG184" i="3"/>
  <c r="DK184" i="3"/>
  <c r="FR184" i="3" s="1"/>
  <c r="EK19" i="3"/>
  <c r="EJ19" i="3" s="1"/>
  <c r="CN19" i="3"/>
  <c r="DQ19" i="3"/>
  <c r="CI19" i="3"/>
  <c r="CI285" i="3" s="1"/>
  <c r="CH19" i="3"/>
  <c r="FJ5" i="3"/>
  <c r="DJ42" i="3"/>
  <c r="FO42" i="3"/>
  <c r="DK42" i="3"/>
  <c r="FR42" i="3" s="1"/>
  <c r="FW53" i="3"/>
  <c r="GC53" i="3" s="1"/>
  <c r="DX53" i="3"/>
  <c r="DL53" i="3" s="1"/>
  <c r="FS53" i="3" s="1"/>
  <c r="DP135" i="3"/>
  <c r="DI135" i="3"/>
  <c r="FQ135" i="3"/>
  <c r="FP135" i="3" s="1"/>
  <c r="FO119" i="3"/>
  <c r="DK119" i="3"/>
  <c r="FR119" i="3" s="1"/>
  <c r="DJ119" i="3"/>
  <c r="DL119" i="3"/>
  <c r="FS119" i="3" s="1"/>
  <c r="FW218" i="3"/>
  <c r="GC218" i="3" s="1"/>
  <c r="GB218" i="3" s="1"/>
  <c r="DX218" i="3"/>
  <c r="DQ244" i="3"/>
  <c r="EE244" i="3"/>
  <c r="FW260" i="3"/>
  <c r="GC260" i="3" s="1"/>
  <c r="GB260" i="3" s="1"/>
  <c r="DX260" i="3"/>
  <c r="EK24" i="2"/>
  <c r="GM24" i="2" s="1"/>
  <c r="FV53" i="2"/>
  <c r="FX53" i="2"/>
  <c r="FX137" i="2" s="1"/>
  <c r="DE137" i="2"/>
  <c r="FL133" i="2"/>
  <c r="GZ133" i="2"/>
  <c r="FL51" i="3"/>
  <c r="FQ38" i="3"/>
  <c r="FP38" i="3" s="1"/>
  <c r="DP38" i="3"/>
  <c r="DI38" i="3"/>
  <c r="DK97" i="3"/>
  <c r="FR97" i="3" s="1"/>
  <c r="DJ97" i="3"/>
  <c r="FO97" i="3"/>
  <c r="FN97" i="3" s="1"/>
  <c r="DG97" i="3"/>
  <c r="DL97" i="3"/>
  <c r="FS97" i="3" s="1"/>
  <c r="DE109" i="3"/>
  <c r="FM109" i="3"/>
  <c r="FL109" i="3" s="1"/>
  <c r="FM262" i="3"/>
  <c r="FL262" i="3" s="1"/>
  <c r="DE262" i="3"/>
  <c r="FW212" i="3"/>
  <c r="GC212" i="3" s="1"/>
  <c r="GB212" i="3" s="1"/>
  <c r="DX212" i="3"/>
  <c r="DW212" i="3" s="1"/>
  <c r="EQ240" i="3"/>
  <c r="EP240" i="3" s="1"/>
  <c r="EP285" i="3" s="1"/>
  <c r="AI240" i="3"/>
  <c r="AI285" i="3" s="1"/>
  <c r="BK240" i="3"/>
  <c r="AJ285" i="3"/>
  <c r="GO9" i="2"/>
  <c r="EV6" i="2"/>
  <c r="EM6" i="2"/>
  <c r="EP6" i="2"/>
  <c r="EN137" i="2"/>
  <c r="EX88" i="2"/>
  <c r="GT88" i="2" s="1"/>
  <c r="GP88" i="2"/>
  <c r="GO87" i="2" s="1"/>
  <c r="ER88" i="2"/>
  <c r="EQ87" i="2" s="1"/>
  <c r="FW100" i="2"/>
  <c r="FV100" i="2"/>
  <c r="FW7" i="3"/>
  <c r="GC7" i="3" s="1"/>
  <c r="DX7" i="3"/>
  <c r="DL7" i="3" s="1"/>
  <c r="FS7" i="3" s="1"/>
  <c r="GK131" i="2"/>
  <c r="GK137" i="2" s="1"/>
  <c r="EG131" i="2"/>
  <c r="EG137" i="2" s="1"/>
  <c r="DX131" i="2"/>
  <c r="EH137" i="2"/>
  <c r="EJ12" i="3"/>
  <c r="EK285" i="3"/>
  <c r="FO36" i="3"/>
  <c r="DK36" i="3"/>
  <c r="FR36" i="3" s="1"/>
  <c r="DJ36" i="3"/>
  <c r="DI66" i="3"/>
  <c r="FQ66" i="3"/>
  <c r="DP66" i="3"/>
  <c r="DK132" i="3"/>
  <c r="FR132" i="3" s="1"/>
  <c r="DJ132" i="3"/>
  <c r="FO132" i="3"/>
  <c r="FN132" i="3" s="1"/>
  <c r="DG132" i="3"/>
  <c r="DE174" i="3"/>
  <c r="FM174" i="3"/>
  <c r="FL174" i="3" s="1"/>
  <c r="FW178" i="3"/>
  <c r="GC178" i="3" s="1"/>
  <c r="GB178" i="3" s="1"/>
  <c r="DX178" i="3"/>
  <c r="FT271" i="3"/>
  <c r="GC271" i="3" s="1"/>
  <c r="GB271" i="3" s="1"/>
  <c r="BU271" i="3"/>
  <c r="AC65" i="2"/>
  <c r="FV65" i="2" s="1"/>
  <c r="BV65" i="2"/>
  <c r="BU65" i="2" s="1"/>
  <c r="FW87" i="2"/>
  <c r="AC90" i="2"/>
  <c r="BV90" i="2"/>
  <c r="BU90" i="2" s="1"/>
  <c r="BU104" i="2"/>
  <c r="DE21" i="3"/>
  <c r="FM21" i="3"/>
  <c r="FL21" i="3" s="1"/>
  <c r="FJ114" i="3"/>
  <c r="FW109" i="3"/>
  <c r="GC109" i="3" s="1"/>
  <c r="DX109" i="3"/>
  <c r="FM5" i="3"/>
  <c r="DE5" i="3"/>
  <c r="FO81" i="3"/>
  <c r="FN81" i="3" s="1"/>
  <c r="DK81" i="3"/>
  <c r="FR81" i="3" s="1"/>
  <c r="DJ81" i="3"/>
  <c r="DG81" i="3"/>
  <c r="FW216" i="3"/>
  <c r="GC216" i="3" s="1"/>
  <c r="GB216" i="3" s="1"/>
  <c r="DX216" i="3"/>
  <c r="DX256" i="3"/>
  <c r="DL256" i="3" s="1"/>
  <c r="FS256" i="3" s="1"/>
  <c r="FW256" i="3"/>
  <c r="GC256" i="3" s="1"/>
  <c r="FW250" i="3"/>
  <c r="GC250" i="3" s="1"/>
  <c r="GB250" i="3" s="1"/>
  <c r="DX250" i="3"/>
  <c r="DW250" i="3" s="1"/>
  <c r="FV49" i="2"/>
  <c r="FW49" i="2"/>
  <c r="FW119" i="2"/>
  <c r="FV119" i="2"/>
  <c r="FM105" i="3"/>
  <c r="FL105" i="3" s="1"/>
  <c r="DE105" i="3"/>
  <c r="DE129" i="3"/>
  <c r="FM129" i="3"/>
  <c r="FL129" i="3" s="1"/>
  <c r="DI151" i="3"/>
  <c r="CM194" i="3"/>
  <c r="EE194" i="3" s="1"/>
  <c r="DQ194" i="3"/>
  <c r="DH223" i="3"/>
  <c r="DF223" i="3"/>
  <c r="FM227" i="3"/>
  <c r="FL227" i="3" s="1"/>
  <c r="DE227" i="3"/>
  <c r="BK265" i="3"/>
  <c r="DG194" i="3"/>
  <c r="FO194" i="3"/>
  <c r="FN194" i="3" s="1"/>
  <c r="DK194" i="3"/>
  <c r="FR194" i="3" s="1"/>
  <c r="DJ194" i="3"/>
  <c r="EM41" i="2"/>
  <c r="GN41" i="2" s="1"/>
  <c r="FA41" i="2"/>
  <c r="EV41" i="2"/>
  <c r="ER41" i="2"/>
  <c r="EQ41" i="2" s="1"/>
  <c r="EP41" i="2"/>
  <c r="DF283" i="3"/>
  <c r="DH283" i="3"/>
  <c r="AK162" i="3"/>
  <c r="BK162" i="3"/>
  <c r="CZ137" i="2"/>
  <c r="EL4" i="2"/>
  <c r="DH4" i="2"/>
  <c r="CY4" i="2"/>
  <c r="EU56" i="2"/>
  <c r="GP43" i="2"/>
  <c r="GO43" i="2" s="1"/>
  <c r="EO43" i="2"/>
  <c r="FA82" i="2"/>
  <c r="ER82" i="2"/>
  <c r="EP82" i="2"/>
  <c r="EM82" i="2"/>
  <c r="GN82" i="2" s="1"/>
  <c r="EV82" i="2"/>
  <c r="BT119" i="2"/>
  <c r="BO119" i="2"/>
  <c r="BX119" i="2"/>
  <c r="BX137" i="2" s="1"/>
  <c r="FM115" i="3"/>
  <c r="DE114" i="3"/>
  <c r="BU124" i="3"/>
  <c r="BT124" i="3" s="1"/>
  <c r="FU124" i="3"/>
  <c r="GX18" i="2"/>
  <c r="FF18" i="2"/>
  <c r="ET18" i="2"/>
  <c r="GX68" i="2"/>
  <c r="ET68" i="2"/>
  <c r="FF68" i="2"/>
  <c r="EE5" i="3"/>
  <c r="DX129" i="3"/>
  <c r="FW129" i="3"/>
  <c r="GC129" i="3" s="1"/>
  <c r="FW189" i="3"/>
  <c r="GC189" i="3" s="1"/>
  <c r="GB189" i="3" s="1"/>
  <c r="DX189" i="3"/>
  <c r="FM225" i="3"/>
  <c r="FL225" i="3" s="1"/>
  <c r="DE225" i="3"/>
  <c r="FV9" i="2"/>
  <c r="FP4" i="2"/>
  <c r="HB4" i="2"/>
  <c r="GU57" i="2"/>
  <c r="ET57" i="2"/>
  <c r="EX57" i="2" s="1"/>
  <c r="GT57" i="2" s="1"/>
  <c r="GQ56" i="2"/>
  <c r="ET65" i="2"/>
  <c r="GX65" i="2"/>
  <c r="FF65" i="2"/>
  <c r="EE25" i="3"/>
  <c r="DQ25" i="3"/>
  <c r="DE87" i="3"/>
  <c r="FM87" i="3"/>
  <c r="FL87" i="3" s="1"/>
  <c r="CH101" i="3"/>
  <c r="CG101" i="3" s="1"/>
  <c r="CE101" i="3"/>
  <c r="EA101" i="3" s="1"/>
  <c r="CC101" i="3"/>
  <c r="CN101" i="3"/>
  <c r="EB101" i="3"/>
  <c r="GC119" i="3"/>
  <c r="DK170" i="3"/>
  <c r="DJ170" i="3"/>
  <c r="FO170" i="3"/>
  <c r="FN169" i="3" s="1"/>
  <c r="FW267" i="3"/>
  <c r="GC267" i="3" s="1"/>
  <c r="GB267" i="3" s="1"/>
  <c r="DX267" i="3"/>
  <c r="FM265" i="3"/>
  <c r="DE264" i="3"/>
  <c r="ER24" i="2"/>
  <c r="EQ24" i="2" s="1"/>
  <c r="EP24" i="2"/>
  <c r="EV24" i="2"/>
  <c r="EM24" i="2"/>
  <c r="GN24" i="2" s="1"/>
  <c r="FA24" i="2"/>
  <c r="FH53" i="2"/>
  <c r="FH137" i="2" s="1"/>
  <c r="GV53" i="2"/>
  <c r="GV137" i="2" s="1"/>
  <c r="FI137" i="2"/>
  <c r="GM90" i="2"/>
  <c r="EP104" i="2"/>
  <c r="EV104" i="2"/>
  <c r="EM104" i="2"/>
  <c r="GN104" i="2" s="1"/>
  <c r="FG133" i="2"/>
  <c r="DG133" i="2"/>
  <c r="FQ192" i="3"/>
  <c r="FP192" i="3" s="1"/>
  <c r="DP192" i="3"/>
  <c r="DI192" i="3"/>
  <c r="DK262" i="3"/>
  <c r="FR262" i="3" s="1"/>
  <c r="DG262" i="3"/>
  <c r="DJ262" i="3"/>
  <c r="FO262" i="3"/>
  <c r="FN262" i="3" s="1"/>
  <c r="FW9" i="2"/>
  <c r="AJ15" i="2"/>
  <c r="AJ137" i="2" s="1"/>
  <c r="AI137" i="2"/>
  <c r="EP31" i="2"/>
  <c r="EV31" i="2"/>
  <c r="EM31" i="2"/>
  <c r="GN31" i="2" s="1"/>
  <c r="FT6" i="2"/>
  <c r="FT137" i="2" s="1"/>
  <c r="CX137" i="2"/>
  <c r="EV76" i="2"/>
  <c r="GR76" i="2" s="1"/>
  <c r="ER76" i="2"/>
  <c r="EP76" i="2"/>
  <c r="GP76" i="2" s="1"/>
  <c r="EE15" i="3"/>
  <c r="BI285" i="3"/>
  <c r="DE132" i="3"/>
  <c r="FM132" i="3"/>
  <c r="FL132" i="3" s="1"/>
  <c r="DG174" i="3"/>
  <c r="FO174" i="3"/>
  <c r="FN174" i="3" s="1"/>
  <c r="DK174" i="3"/>
  <c r="FR174" i="3" s="1"/>
  <c r="DJ174" i="3"/>
  <c r="BN137" i="2"/>
  <c r="ET76" i="2"/>
  <c r="EX76" i="2" s="1"/>
  <c r="GT76" i="2" s="1"/>
  <c r="GX76" i="2"/>
  <c r="DP6" i="3"/>
  <c r="FQ6" i="3"/>
  <c r="DX55" i="3"/>
  <c r="FW55" i="3"/>
  <c r="GC55" i="3" s="1"/>
  <c r="GB55" i="3" s="1"/>
  <c r="DQ114" i="3"/>
  <c r="CM114" i="3"/>
  <c r="EE114" i="3" s="1"/>
  <c r="CM109" i="3"/>
  <c r="EE109" i="3" s="1"/>
  <c r="DQ155" i="3"/>
  <c r="EE155" i="3"/>
  <c r="FM162" i="3"/>
  <c r="FL162" i="3" s="1"/>
  <c r="DE162" i="3"/>
  <c r="DK186" i="3"/>
  <c r="FR186" i="3" s="1"/>
  <c r="DJ186" i="3"/>
  <c r="FO186" i="3"/>
  <c r="FN186" i="3" s="1"/>
  <c r="DG186" i="3"/>
  <c r="DK214" i="3"/>
  <c r="FR214" i="3" s="1"/>
  <c r="DJ214" i="3"/>
  <c r="FO214" i="3"/>
  <c r="FN214" i="3" s="1"/>
  <c r="DG214" i="3"/>
  <c r="GX60" i="2"/>
  <c r="ET60" i="2"/>
  <c r="EX60" i="2" s="1"/>
  <c r="ET69" i="2"/>
  <c r="EX69" i="2" s="1"/>
  <c r="GT69" i="2" s="1"/>
  <c r="GX69" i="2"/>
  <c r="ET125" i="2"/>
  <c r="GX125" i="2"/>
  <c r="FF125" i="2"/>
  <c r="DZ5" i="3"/>
  <c r="FW21" i="3"/>
  <c r="GC21" i="3" s="1"/>
  <c r="DX21" i="3"/>
  <c r="FQ111" i="3"/>
  <c r="DP111" i="3"/>
  <c r="DW89" i="3"/>
  <c r="DL89" i="3"/>
  <c r="FS89" i="3" s="1"/>
  <c r="EE153" i="3"/>
  <c r="DQ153" i="3"/>
  <c r="FW214" i="3"/>
  <c r="GC214" i="3" s="1"/>
  <c r="GB214" i="3" s="1"/>
  <c r="DX214" i="3"/>
  <c r="DX262" i="3"/>
  <c r="DW262" i="3" s="1"/>
  <c r="FW262" i="3"/>
  <c r="GC262" i="3" s="1"/>
  <c r="GB262" i="3" s="1"/>
  <c r="FO281" i="3"/>
  <c r="FN281" i="3" s="1"/>
  <c r="DG281" i="3"/>
  <c r="ET16" i="2"/>
  <c r="EX16" i="2" s="1"/>
  <c r="GT16" i="2" s="1"/>
  <c r="GX22" i="2"/>
  <c r="HC22" i="2" s="1"/>
  <c r="FF22" i="2"/>
  <c r="ET22" i="2"/>
  <c r="AG137" i="2"/>
  <c r="AH22" i="2"/>
  <c r="AH137" i="2" s="1"/>
  <c r="AF22" i="2"/>
  <c r="GX49" i="2"/>
  <c r="FF49" i="2"/>
  <c r="GU131" i="2"/>
  <c r="EZ131" i="2"/>
  <c r="EY131" i="2" s="1"/>
  <c r="FW6" i="3"/>
  <c r="GC6" i="3" s="1"/>
  <c r="DX6" i="3"/>
  <c r="DL6" i="3" s="1"/>
  <c r="CM33" i="3"/>
  <c r="EE33" i="3" s="1"/>
  <c r="DQ33" i="3"/>
  <c r="AK47" i="3"/>
  <c r="BK47" i="3"/>
  <c r="FS47" i="3" s="1"/>
  <c r="FO105" i="3"/>
  <c r="FN105" i="3" s="1"/>
  <c r="DG105" i="3"/>
  <c r="DK105" i="3"/>
  <c r="FR105" i="3" s="1"/>
  <c r="DJ105" i="3"/>
  <c r="DK129" i="3"/>
  <c r="FR129" i="3" s="1"/>
  <c r="DJ129" i="3"/>
  <c r="FO129" i="3"/>
  <c r="DG129" i="3"/>
  <c r="CH223" i="3"/>
  <c r="CG223" i="3" s="1"/>
  <c r="DG227" i="3"/>
  <c r="DK227" i="3"/>
  <c r="FR227" i="3" s="1"/>
  <c r="FO227" i="3"/>
  <c r="DJ227" i="3"/>
  <c r="DL227" i="3"/>
  <c r="FS227" i="3" s="1"/>
  <c r="DX159" i="3"/>
  <c r="FW159" i="3"/>
  <c r="GC159" i="3" s="1"/>
  <c r="DE218" i="3"/>
  <c r="FM218" i="3"/>
  <c r="FL218" i="3" s="1"/>
  <c r="DP199" i="3"/>
  <c r="DI199" i="3"/>
  <c r="FQ199" i="3"/>
  <c r="FP199" i="3" s="1"/>
  <c r="FW186" i="3"/>
  <c r="GC186" i="3" s="1"/>
  <c r="DX186" i="3"/>
  <c r="DH74" i="3"/>
  <c r="DF74" i="3"/>
  <c r="CD73" i="3"/>
  <c r="DZ73" i="3" s="1"/>
  <c r="FO115" i="3"/>
  <c r="FN114" i="3" s="1"/>
  <c r="DJ115" i="3"/>
  <c r="DI114" i="3" s="1"/>
  <c r="DK115" i="3"/>
  <c r="FR115" i="3" s="1"/>
  <c r="DQ174" i="3"/>
  <c r="CM174" i="3"/>
  <c r="EE174" i="3" s="1"/>
  <c r="DI232" i="3"/>
  <c r="DP232" i="3"/>
  <c r="FQ232" i="3"/>
  <c r="FP232" i="3" s="1"/>
  <c r="FF121" i="2"/>
  <c r="ET121" i="2"/>
  <c r="GX121" i="2"/>
  <c r="FV110" i="2"/>
  <c r="FW110" i="2"/>
  <c r="DX5" i="3"/>
  <c r="FW5" i="3"/>
  <c r="DP25" i="3"/>
  <c r="FQ25" i="3"/>
  <c r="FP24" i="3" s="1"/>
  <c r="DI24" i="3"/>
  <c r="DQ29" i="3"/>
  <c r="EE29" i="3"/>
  <c r="FW36" i="3"/>
  <c r="GC36" i="3" s="1"/>
  <c r="DX36" i="3"/>
  <c r="DL36" i="3" s="1"/>
  <c r="FS36" i="3" s="1"/>
  <c r="DX79" i="3"/>
  <c r="FW79" i="3"/>
  <c r="GC79" i="3" s="1"/>
  <c r="GB79" i="3" s="1"/>
  <c r="DX83" i="3"/>
  <c r="DW83" i="3" s="1"/>
  <c r="FW83" i="3"/>
  <c r="GC83" i="3" s="1"/>
  <c r="GB83" i="3" s="1"/>
  <c r="DK225" i="3"/>
  <c r="FR225" i="3" s="1"/>
  <c r="DJ225" i="3"/>
  <c r="DG225" i="3"/>
  <c r="FO225" i="3"/>
  <c r="FN225" i="3" s="1"/>
  <c r="DQ24" i="3"/>
  <c r="CM24" i="3"/>
  <c r="EE24" i="3" s="1"/>
  <c r="DQ13" i="3"/>
  <c r="EE13" i="3"/>
  <c r="FO87" i="3"/>
  <c r="FN87" i="3" s="1"/>
  <c r="DK87" i="3"/>
  <c r="FR87" i="3" s="1"/>
  <c r="DJ87" i="3"/>
  <c r="DG87" i="3"/>
  <c r="FO265" i="3"/>
  <c r="FN264" i="3" s="1"/>
  <c r="DK265" i="3"/>
  <c r="FR265" i="3" s="1"/>
  <c r="DL265" i="3"/>
  <c r="DJ265" i="3"/>
  <c r="DG264" i="3"/>
  <c r="FW72" i="2"/>
  <c r="FV72" i="2"/>
  <c r="EW87" i="2"/>
  <c r="GT87" i="2"/>
  <c r="GS87" i="2" s="1"/>
  <c r="GX112" i="2"/>
  <c r="ET112" i="2"/>
  <c r="FF112" i="2"/>
  <c r="DL137" i="3"/>
  <c r="FS137" i="3" s="1"/>
  <c r="CM137" i="3"/>
  <c r="EE137" i="3" s="1"/>
  <c r="DP139" i="3"/>
  <c r="FQ139" i="3"/>
  <c r="FP137" i="3" s="1"/>
  <c r="DQ195" i="3"/>
  <c r="EE195" i="3"/>
  <c r="CW240" i="3"/>
  <c r="FK240" i="3"/>
  <c r="FJ240" i="3" s="1"/>
  <c r="DV240" i="3"/>
  <c r="CL240" i="3"/>
  <c r="EE257" i="3"/>
  <c r="DQ257" i="3"/>
  <c r="GX9" i="2"/>
  <c r="FF9" i="2"/>
  <c r="ET9" i="2"/>
  <c r="AC15" i="2"/>
  <c r="BV15" i="2"/>
  <c r="BU15" i="2" s="1"/>
  <c r="FW29" i="2"/>
  <c r="FV29" i="2"/>
  <c r="CJ285" i="3"/>
  <c r="FS51" i="3"/>
  <c r="DI51" i="3"/>
  <c r="FQ51" i="3"/>
  <c r="FP51" i="3" s="1"/>
  <c r="DP51" i="3"/>
  <c r="DQ71" i="3"/>
  <c r="CM71" i="3"/>
  <c r="EE71" i="3" s="1"/>
  <c r="FN66" i="3"/>
  <c r="FQ114" i="3"/>
  <c r="DP114" i="3"/>
  <c r="DE210" i="3"/>
  <c r="FM210" i="3"/>
  <c r="FL210" i="3" s="1"/>
  <c r="DI238" i="3"/>
  <c r="FQ238" i="3"/>
  <c r="FP238" i="3" s="1"/>
  <c r="EZ102" i="2"/>
  <c r="EY102" i="2" s="1"/>
  <c r="GU102" i="2"/>
  <c r="ET102" i="2"/>
  <c r="HB114" i="2"/>
  <c r="FP114" i="2"/>
  <c r="FW31" i="3"/>
  <c r="GC31" i="3" s="1"/>
  <c r="GB31" i="3" s="1"/>
  <c r="DX31" i="3"/>
  <c r="CM28" i="3"/>
  <c r="EE28" i="3" s="1"/>
  <c r="DJ162" i="3"/>
  <c r="DG162" i="3"/>
  <c r="FO162" i="3"/>
  <c r="FN162" i="3" s="1"/>
  <c r="DK162" i="3"/>
  <c r="FR162" i="3" s="1"/>
  <c r="DE214" i="3"/>
  <c r="FM214" i="3"/>
  <c r="FL214" i="3" s="1"/>
  <c r="GX78" i="2"/>
  <c r="ET78" i="2"/>
  <c r="EX78" i="2" s="1"/>
  <c r="GT78" i="2" s="1"/>
  <c r="GX105" i="2"/>
  <c r="ET105" i="2"/>
  <c r="EX105" i="2" s="1"/>
  <c r="GT105" i="2" s="1"/>
  <c r="DK5" i="3"/>
  <c r="DJ5" i="3"/>
  <c r="FO5" i="3"/>
  <c r="DG5" i="3"/>
  <c r="FW42" i="3"/>
  <c r="GC42" i="3" s="1"/>
  <c r="DX42" i="3"/>
  <c r="DL42" i="3" s="1"/>
  <c r="FS42" i="3" s="1"/>
  <c r="DJ44" i="3"/>
  <c r="FO44" i="3"/>
  <c r="DK44" i="3"/>
  <c r="FR44" i="3" s="1"/>
  <c r="DL44" i="3"/>
  <c r="FS44" i="3" s="1"/>
  <c r="FW160" i="3"/>
  <c r="GC160" i="3" s="1"/>
  <c r="DX160" i="3"/>
  <c r="DL160" i="3" s="1"/>
  <c r="FS160" i="3" s="1"/>
  <c r="DQ201" i="3"/>
  <c r="CM201" i="3"/>
  <c r="EE201" i="3" s="1"/>
  <c r="DE203" i="3"/>
  <c r="FM203" i="3"/>
  <c r="FL203" i="3" s="1"/>
  <c r="DE281" i="3"/>
  <c r="FM281" i="3"/>
  <c r="FL281" i="3" s="1"/>
  <c r="FW117" i="2"/>
  <c r="FV117" i="2"/>
  <c r="EE157" i="3"/>
  <c r="DQ157" i="3"/>
  <c r="DQ149" i="3"/>
  <c r="CM149" i="3"/>
  <c r="EE149" i="3" s="1"/>
  <c r="DX225" i="3"/>
  <c r="DW225" i="3" s="1"/>
  <c r="FW225" i="3"/>
  <c r="GC225" i="3" s="1"/>
  <c r="GB225" i="3" s="1"/>
  <c r="CW42" i="3"/>
  <c r="BM137" i="2"/>
  <c r="EV51" i="2"/>
  <c r="GR51" i="2" s="1"/>
  <c r="ER51" i="2"/>
  <c r="EP51" i="2"/>
  <c r="GP51" i="2" s="1"/>
  <c r="FA51" i="2"/>
  <c r="DQ38" i="3"/>
  <c r="CM38" i="3"/>
  <c r="EE38" i="3" s="1"/>
  <c r="FW31" i="2"/>
  <c r="FV31" i="2"/>
  <c r="FW121" i="2"/>
  <c r="FV121" i="2"/>
  <c r="FM58" i="3"/>
  <c r="FL58" i="3" s="1"/>
  <c r="DE58" i="3"/>
  <c r="EX53" i="2"/>
  <c r="FW65" i="2"/>
  <c r="GU123" i="2"/>
  <c r="BW123" i="2"/>
  <c r="CN123" i="2"/>
  <c r="FC99" i="3"/>
  <c r="CX99" i="3"/>
  <c r="DG271" i="3"/>
  <c r="FO271" i="3"/>
  <c r="FN271" i="3" s="1"/>
  <c r="CM35" i="2"/>
  <c r="BV35" i="2"/>
  <c r="BU35" i="2" s="1"/>
  <c r="GX72" i="2"/>
  <c r="ET72" i="2"/>
  <c r="FF72" i="2"/>
  <c r="FW112" i="2"/>
  <c r="FV112" i="2"/>
  <c r="HB133" i="2"/>
  <c r="FP133" i="2"/>
  <c r="DX34" i="3"/>
  <c r="DL34" i="3" s="1"/>
  <c r="FS34" i="3" s="1"/>
  <c r="FW34" i="3"/>
  <c r="GC34" i="3" s="1"/>
  <c r="FW67" i="3"/>
  <c r="GC67" i="3" s="1"/>
  <c r="DX67" i="3"/>
  <c r="DL67" i="3" s="1"/>
  <c r="FS67" i="3" s="1"/>
  <c r="EE103" i="3"/>
  <c r="DX87" i="3"/>
  <c r="DW87" i="3" s="1"/>
  <c r="FW87" i="3"/>
  <c r="GC87" i="3" s="1"/>
  <c r="GB87" i="3" s="1"/>
  <c r="DX172" i="3"/>
  <c r="FW172" i="3"/>
  <c r="GC172" i="3" s="1"/>
  <c r="GB172" i="3" s="1"/>
  <c r="DX210" i="3"/>
  <c r="FW210" i="3"/>
  <c r="GC210" i="3" s="1"/>
  <c r="GB210" i="3" s="1"/>
  <c r="FW232" i="3"/>
  <c r="GC232" i="3" s="1"/>
  <c r="GB232" i="3" s="1"/>
  <c r="DX232" i="3"/>
  <c r="GX29" i="2"/>
  <c r="FF29" i="2"/>
  <c r="ET29" i="2"/>
  <c r="ES29" i="2" s="1"/>
  <c r="HC29" i="2" s="1"/>
  <c r="FW37" i="2"/>
  <c r="FV37" i="2"/>
  <c r="EP95" i="2"/>
  <c r="GP95" i="2" s="1"/>
  <c r="FA95" i="2"/>
  <c r="EV95" i="2"/>
  <c r="GR95" i="2" s="1"/>
  <c r="ER95" i="2"/>
  <c r="FW9" i="3"/>
  <c r="GC9" i="3" s="1"/>
  <c r="GB9" i="3" s="1"/>
  <c r="DX9" i="3"/>
  <c r="FW162" i="3"/>
  <c r="GC162" i="3" s="1"/>
  <c r="GB162" i="3" s="1"/>
  <c r="DX162" i="3"/>
  <c r="DK210" i="3"/>
  <c r="FR210" i="3" s="1"/>
  <c r="DJ210" i="3"/>
  <c r="FO210" i="3"/>
  <c r="FN210" i="3" s="1"/>
  <c r="DG210" i="3"/>
  <c r="DP253" i="3"/>
  <c r="FQ253" i="3"/>
  <c r="ET15" i="2"/>
  <c r="GX73" i="2"/>
  <c r="ET73" i="2"/>
  <c r="EX73" i="2" s="1"/>
  <c r="GT73" i="2" s="1"/>
  <c r="BT277" i="3"/>
  <c r="BK277" i="3"/>
  <c r="FS277" i="3" s="1"/>
  <c r="BK6" i="3"/>
  <c r="BW117" i="2"/>
  <c r="GU117" i="2"/>
  <c r="CN117" i="2"/>
  <c r="FW125" i="2"/>
  <c r="FV125" i="2"/>
  <c r="DQ22" i="3"/>
  <c r="EE22" i="3"/>
  <c r="FW76" i="3"/>
  <c r="GC76" i="3" s="1"/>
  <c r="DX76" i="3"/>
  <c r="DL76" i="3" s="1"/>
  <c r="FS76" i="3" s="1"/>
  <c r="EE160" i="3"/>
  <c r="FO203" i="3"/>
  <c r="FN203" i="3" s="1"/>
  <c r="DG203" i="3"/>
  <c r="DK203" i="3"/>
  <c r="FR203" i="3" s="1"/>
  <c r="DJ203" i="3"/>
  <c r="GR131" i="2"/>
  <c r="GQ131" i="2" s="1"/>
  <c r="EU131" i="2"/>
  <c r="GX117" i="2"/>
  <c r="FF117" i="2"/>
  <c r="ET117" i="2"/>
  <c r="DQ117" i="3"/>
  <c r="CM117" i="3"/>
  <c r="EE117" i="3" s="1"/>
  <c r="DX81" i="3"/>
  <c r="DW81" i="3" s="1"/>
  <c r="FW81" i="3"/>
  <c r="GC81" i="3" s="1"/>
  <c r="GB81" i="3" s="1"/>
  <c r="DK216" i="3"/>
  <c r="FR216" i="3" s="1"/>
  <c r="FO216" i="3"/>
  <c r="FN216" i="3" s="1"/>
  <c r="DJ216" i="3"/>
  <c r="DG216" i="3"/>
  <c r="FL264" i="3"/>
  <c r="FM180" i="3"/>
  <c r="FL180" i="3" s="1"/>
  <c r="DE180" i="3"/>
  <c r="AZ137" i="2"/>
  <c r="V147" i="2" s="1"/>
  <c r="FW208" i="3"/>
  <c r="GC208" i="3" s="1"/>
  <c r="DX208" i="3"/>
  <c r="DL208" i="3" s="1"/>
  <c r="FS208" i="3" s="1"/>
  <c r="FW66" i="3"/>
  <c r="GC66" i="3" s="1"/>
  <c r="DX66" i="3"/>
  <c r="GA74" i="3"/>
  <c r="GC74" i="3" s="1"/>
  <c r="DX74" i="3"/>
  <c r="CM93" i="3"/>
  <c r="EE93" i="3" s="1"/>
  <c r="DL93" i="3"/>
  <c r="FS93" i="3" s="1"/>
  <c r="FF31" i="2"/>
  <c r="ET31" i="2"/>
  <c r="GX31" i="2"/>
  <c r="DV17" i="3"/>
  <c r="GA17" i="3" s="1"/>
  <c r="CN17" i="3"/>
  <c r="FK17" i="3"/>
  <c r="FJ17" i="3" s="1"/>
  <c r="CW17" i="3"/>
  <c r="DX49" i="3"/>
  <c r="FW49" i="3"/>
  <c r="GC49" i="3" s="1"/>
  <c r="GB49" i="3" s="1"/>
  <c r="FO58" i="3"/>
  <c r="FN58" i="3" s="1"/>
  <c r="DL58" i="3"/>
  <c r="FS58" i="3" s="1"/>
  <c r="DM58" i="3"/>
  <c r="DK58" i="3"/>
  <c r="FR58" i="3" s="1"/>
  <c r="DJ58" i="3"/>
  <c r="DG58" i="3"/>
  <c r="FM34" i="3"/>
  <c r="FL33" i="3" s="1"/>
  <c r="DE33" i="3"/>
  <c r="EP29" i="2"/>
  <c r="EV29" i="2"/>
  <c r="EM29" i="2"/>
  <c r="GN29" i="2" s="1"/>
  <c r="ER29" i="2"/>
  <c r="EQ29" i="2" s="1"/>
  <c r="EM62" i="2"/>
  <c r="GN62" i="2" s="1"/>
  <c r="FA62" i="2"/>
  <c r="ER62" i="2"/>
  <c r="EQ62" i="2" s="1"/>
  <c r="EP62" i="2"/>
  <c r="EV62" i="2"/>
  <c r="ES97" i="2"/>
  <c r="HC97" i="2" s="1"/>
  <c r="EX97" i="2"/>
  <c r="FQ7" i="3"/>
  <c r="DP7" i="3"/>
  <c r="EA24" i="3"/>
  <c r="DE40" i="3"/>
  <c r="FM40" i="3"/>
  <c r="FL40" i="3" s="1"/>
  <c r="AV99" i="3"/>
  <c r="AL99" i="3"/>
  <c r="DE189" i="3"/>
  <c r="FM189" i="3"/>
  <c r="FL189" i="3" s="1"/>
  <c r="FM271" i="3"/>
  <c r="FL271" i="3" s="1"/>
  <c r="DE271" i="3"/>
  <c r="ET10" i="2"/>
  <c r="EX10" i="2" s="1"/>
  <c r="GT10" i="2" s="1"/>
  <c r="GX10" i="2"/>
  <c r="GP114" i="2"/>
  <c r="GO114" i="2" s="1"/>
  <c r="EO114" i="2"/>
  <c r="DP67" i="3"/>
  <c r="FQ67" i="3"/>
  <c r="FQ47" i="3"/>
  <c r="FP47" i="3" s="1"/>
  <c r="DP47" i="3"/>
  <c r="DI47" i="3"/>
  <c r="DX103" i="3"/>
  <c r="DW103" i="3" s="1"/>
  <c r="FW103" i="3"/>
  <c r="GC103" i="3" s="1"/>
  <c r="GB103" i="3" s="1"/>
  <c r="FL114" i="3"/>
  <c r="DK212" i="3"/>
  <c r="FR212" i="3" s="1"/>
  <c r="DG212" i="3"/>
  <c r="FO212" i="3"/>
  <c r="FN212" i="3" s="1"/>
  <c r="DJ212" i="3"/>
  <c r="DX253" i="3"/>
  <c r="DL253" i="3" s="1"/>
  <c r="FS253" i="3" s="1"/>
  <c r="FW253" i="3"/>
  <c r="GC253" i="3" s="1"/>
  <c r="GX24" i="2"/>
  <c r="FF24" i="2"/>
  <c r="GX37" i="2"/>
  <c r="FF37" i="2"/>
  <c r="ET37" i="2"/>
  <c r="ES37" i="2" s="1"/>
  <c r="HC37" i="2" s="1"/>
  <c r="FF92" i="2"/>
  <c r="EO56" i="2"/>
  <c r="EP75" i="2"/>
  <c r="EV75" i="2"/>
  <c r="ER75" i="2"/>
  <c r="EQ75" i="2" s="1"/>
  <c r="EM75" i="2"/>
  <c r="GN75" i="2" s="1"/>
  <c r="EY133" i="2"/>
  <c r="DQ14" i="3"/>
  <c r="EE14" i="3"/>
  <c r="BD285" i="3"/>
  <c r="DE117" i="3"/>
  <c r="FM117" i="3"/>
  <c r="FL117" i="3" s="1"/>
  <c r="DQ151" i="3"/>
  <c r="CM151" i="3"/>
  <c r="EE151" i="3" s="1"/>
  <c r="EE162" i="3"/>
  <c r="FW229" i="3"/>
  <c r="GC229" i="3" s="1"/>
  <c r="DX229" i="3"/>
  <c r="DL229" i="3" s="1"/>
  <c r="FS229" i="3" s="1"/>
  <c r="ES45" i="2"/>
  <c r="HC45" i="2" s="1"/>
  <c r="EX45" i="2"/>
  <c r="GR102" i="2"/>
  <c r="GQ102" i="2" s="1"/>
  <c r="EU102" i="2"/>
  <c r="GX75" i="2"/>
  <c r="FF75" i="2"/>
  <c r="ET75" i="2"/>
  <c r="FW28" i="3"/>
  <c r="GC28" i="3" s="1"/>
  <c r="DX28" i="3"/>
  <c r="FM124" i="3"/>
  <c r="FL124" i="3" s="1"/>
  <c r="DE124" i="3"/>
  <c r="FM178" i="3"/>
  <c r="FL178" i="3" s="1"/>
  <c r="DE178" i="3"/>
  <c r="FM137" i="2"/>
  <c r="FM138" i="2" s="1"/>
  <c r="GZ56" i="2"/>
  <c r="GZ137" i="2" s="1"/>
  <c r="FL56" i="2"/>
  <c r="FL137" i="2" s="1"/>
  <c r="FW252" i="3"/>
  <c r="GC252" i="3" s="1"/>
  <c r="GB252" i="3" s="1"/>
  <c r="DX252" i="3"/>
  <c r="DL247" i="3"/>
  <c r="FS247" i="3" s="1"/>
  <c r="GP33" i="2"/>
  <c r="GO33" i="2" s="1"/>
  <c r="ER33" i="2"/>
  <c r="EQ33" i="2" s="1"/>
  <c r="EO33" i="2"/>
  <c r="W137" i="2"/>
  <c r="GP131" i="2"/>
  <c r="GO131" i="2" s="1"/>
  <c r="EO131" i="2"/>
  <c r="DP15" i="3"/>
  <c r="FQ15" i="3"/>
  <c r="FP12" i="3" s="1"/>
  <c r="CZ124" i="3"/>
  <c r="CZ285" i="3" s="1"/>
  <c r="AW124" i="3"/>
  <c r="AY285" i="3"/>
  <c r="FN141" i="3"/>
  <c r="FJ194" i="3"/>
  <c r="DE216" i="3"/>
  <c r="FM216" i="3"/>
  <c r="FL216" i="3" s="1"/>
  <c r="FI248" i="3"/>
  <c r="CX248" i="3"/>
  <c r="DJ180" i="3"/>
  <c r="FO180" i="3"/>
  <c r="FN180" i="3" s="1"/>
  <c r="DK180" i="3"/>
  <c r="FR180" i="3" s="1"/>
  <c r="DG180" i="3"/>
  <c r="EW119" i="2"/>
  <c r="FW118" i="3"/>
  <c r="GC118" i="3" s="1"/>
  <c r="DX118" i="3"/>
  <c r="DL118" i="3" s="1"/>
  <c r="FS118" i="3" s="1"/>
  <c r="FW221" i="3"/>
  <c r="GC221" i="3" s="1"/>
  <c r="GB221" i="3" s="1"/>
  <c r="DX221" i="3"/>
  <c r="DW221" i="3" s="1"/>
  <c r="FW114" i="2"/>
  <c r="FV114" i="2"/>
  <c r="DW31" i="3" l="1"/>
  <c r="DL31" i="3"/>
  <c r="FS31" i="3" s="1"/>
  <c r="DW159" i="3"/>
  <c r="FS6" i="3"/>
  <c r="GN119" i="2"/>
  <c r="BO137" i="2"/>
  <c r="DP264" i="3"/>
  <c r="FQ264" i="3"/>
  <c r="FO247" i="3"/>
  <c r="DJ247" i="3"/>
  <c r="DK247" i="3"/>
  <c r="FR247" i="3" s="1"/>
  <c r="DP244" i="3"/>
  <c r="FQ244" i="3"/>
  <c r="FP242" i="3" s="1"/>
  <c r="FM236" i="3"/>
  <c r="FL236" i="3" s="1"/>
  <c r="DE236" i="3"/>
  <c r="CM236" i="3"/>
  <c r="EE236" i="3" s="1"/>
  <c r="DQ236" i="3"/>
  <c r="BT236" i="3"/>
  <c r="BK236" i="3"/>
  <c r="CW234" i="3"/>
  <c r="FK234" i="3"/>
  <c r="FJ234" i="3" s="1"/>
  <c r="DV234" i="3"/>
  <c r="EE234" i="3"/>
  <c r="BK234" i="3"/>
  <c r="AK234" i="3"/>
  <c r="DJ234" i="3"/>
  <c r="DK234" i="3"/>
  <c r="FR234" i="3" s="1"/>
  <c r="DG234" i="3"/>
  <c r="FO234" i="3"/>
  <c r="FN234" i="3" s="1"/>
  <c r="FM234" i="3"/>
  <c r="FL234" i="3" s="1"/>
  <c r="DE234" i="3"/>
  <c r="DJ230" i="3"/>
  <c r="FO230" i="3"/>
  <c r="FN227" i="3" s="1"/>
  <c r="DK230" i="3"/>
  <c r="FR230" i="3" s="1"/>
  <c r="DV207" i="3"/>
  <c r="GA207" i="3" s="1"/>
  <c r="FK207" i="3"/>
  <c r="FJ207" i="3" s="1"/>
  <c r="CW207" i="3"/>
  <c r="CN207" i="3"/>
  <c r="FK187" i="3"/>
  <c r="FJ186" i="3" s="1"/>
  <c r="CN187" i="3"/>
  <c r="DV187" i="3"/>
  <c r="GA187" i="3" s="1"/>
  <c r="CW186" i="3"/>
  <c r="FW176" i="3"/>
  <c r="GC176" i="3" s="1"/>
  <c r="GB176" i="3" s="1"/>
  <c r="DX176" i="3"/>
  <c r="DW176" i="3" s="1"/>
  <c r="FM176" i="3"/>
  <c r="FL176" i="3" s="1"/>
  <c r="DE176" i="3"/>
  <c r="DG176" i="3"/>
  <c r="DJ176" i="3"/>
  <c r="DK176" i="3"/>
  <c r="FR176" i="3" s="1"/>
  <c r="FO176" i="3"/>
  <c r="FN176" i="3" s="1"/>
  <c r="DL176" i="3"/>
  <c r="FS176" i="3" s="1"/>
  <c r="DX146" i="3"/>
  <c r="DL146" i="3" s="1"/>
  <c r="FS146" i="3" s="1"/>
  <c r="FW146" i="3"/>
  <c r="GC146" i="3" s="1"/>
  <c r="GB145" i="3" s="1"/>
  <c r="DX142" i="3"/>
  <c r="DL142" i="3" s="1"/>
  <c r="FS142" i="3" s="1"/>
  <c r="FW142" i="3"/>
  <c r="GC142" i="3" s="1"/>
  <c r="DJ130" i="3"/>
  <c r="DK130" i="3"/>
  <c r="FR130" i="3" s="1"/>
  <c r="FO130" i="3"/>
  <c r="FN129" i="3" s="1"/>
  <c r="DW91" i="3"/>
  <c r="DL91" i="3"/>
  <c r="FS91" i="3" s="1"/>
  <c r="DV64" i="3"/>
  <c r="GA64" i="3" s="1"/>
  <c r="FK64" i="3"/>
  <c r="FJ64" i="3" s="1"/>
  <c r="CW64" i="3"/>
  <c r="CF64" i="3"/>
  <c r="DV62" i="3"/>
  <c r="GA62" i="3" s="1"/>
  <c r="FK62" i="3"/>
  <c r="FJ62" i="3" s="1"/>
  <c r="CW62" i="3"/>
  <c r="CF62" i="3"/>
  <c r="DJ45" i="3"/>
  <c r="DK45" i="3"/>
  <c r="FR45" i="3" s="1"/>
  <c r="FO45" i="3"/>
  <c r="DP10" i="3"/>
  <c r="FQ10" i="3"/>
  <c r="FP9" i="3" s="1"/>
  <c r="ES110" i="2"/>
  <c r="HC110" i="2" s="1"/>
  <c r="EX110" i="2"/>
  <c r="EO72" i="2"/>
  <c r="ER73" i="2"/>
  <c r="EQ72" i="2" s="1"/>
  <c r="GP73" i="2"/>
  <c r="GO72" i="2" s="1"/>
  <c r="GR73" i="2"/>
  <c r="GQ72" i="2" s="1"/>
  <c r="EU72" i="2"/>
  <c r="BV60" i="2"/>
  <c r="GT60" i="2" s="1"/>
  <c r="AC56" i="2"/>
  <c r="BU56" i="2"/>
  <c r="GT59" i="2"/>
  <c r="BV13" i="2"/>
  <c r="BU12" i="2" s="1"/>
  <c r="CM12" i="2"/>
  <c r="CC137" i="2"/>
  <c r="EM12" i="2"/>
  <c r="GN12" i="2" s="1"/>
  <c r="FA13" i="2"/>
  <c r="EV13" i="2"/>
  <c r="ER13" i="2"/>
  <c r="EQ12" i="2" s="1"/>
  <c r="EP13" i="2"/>
  <c r="EV7" i="2"/>
  <c r="GR7" i="2" s="1"/>
  <c r="EP7" i="2"/>
  <c r="ET7" i="2"/>
  <c r="EX7" i="2" s="1"/>
  <c r="GT7" i="2" s="1"/>
  <c r="GX7" i="2"/>
  <c r="GB66" i="3"/>
  <c r="GB227" i="3"/>
  <c r="ES117" i="2"/>
  <c r="EX117" i="2"/>
  <c r="FW201" i="3"/>
  <c r="GC201" i="3" s="1"/>
  <c r="GB201" i="3" s="1"/>
  <c r="DX201" i="3"/>
  <c r="AV124" i="3"/>
  <c r="AV285" i="3" s="1"/>
  <c r="AL124" i="3"/>
  <c r="AK124" i="3" s="1"/>
  <c r="AW285" i="3"/>
  <c r="GT45" i="2"/>
  <c r="GS45" i="2" s="1"/>
  <c r="EW45" i="2"/>
  <c r="GU62" i="2"/>
  <c r="ET62" i="2"/>
  <c r="EZ62" i="2"/>
  <c r="EY62" i="2" s="1"/>
  <c r="FN5" i="3"/>
  <c r="EX37" i="2"/>
  <c r="FM74" i="3"/>
  <c r="FL73" i="3" s="1"/>
  <c r="DE73" i="3"/>
  <c r="ES22" i="2"/>
  <c r="EX22" i="2"/>
  <c r="DI132" i="3"/>
  <c r="DP132" i="3"/>
  <c r="FQ132" i="3"/>
  <c r="FP132" i="3" s="1"/>
  <c r="DV248" i="3"/>
  <c r="GA248" i="3" s="1"/>
  <c r="FK248" i="3"/>
  <c r="FJ247" i="3" s="1"/>
  <c r="CF248" i="3"/>
  <c r="CW247" i="3"/>
  <c r="FC124" i="3"/>
  <c r="FB124" i="3" s="1"/>
  <c r="CX124" i="3"/>
  <c r="DL28" i="3"/>
  <c r="FS28" i="3" s="1"/>
  <c r="GR75" i="2"/>
  <c r="GQ75" i="2" s="1"/>
  <c r="EU75" i="2"/>
  <c r="AK99" i="3"/>
  <c r="AK285" i="3" s="1"/>
  <c r="AL285" i="3"/>
  <c r="FQ58" i="3"/>
  <c r="FP58" i="3" s="1"/>
  <c r="DI58" i="3"/>
  <c r="DP58" i="3"/>
  <c r="DL225" i="3"/>
  <c r="FS225" i="3" s="1"/>
  <c r="DX22" i="3"/>
  <c r="DL22" i="3" s="1"/>
  <c r="FS22" i="3" s="1"/>
  <c r="FW22" i="3"/>
  <c r="GC22" i="3" s="1"/>
  <c r="DP210" i="3"/>
  <c r="DI210" i="3"/>
  <c r="FQ210" i="3"/>
  <c r="FP210" i="3" s="1"/>
  <c r="DW232" i="3"/>
  <c r="DL232" i="3"/>
  <c r="FS232" i="3" s="1"/>
  <c r="FW149" i="3"/>
  <c r="GC149" i="3" s="1"/>
  <c r="GB149" i="3" s="1"/>
  <c r="DX149" i="3"/>
  <c r="DP5" i="3"/>
  <c r="FQ5" i="3"/>
  <c r="DI5" i="3"/>
  <c r="FW71" i="3"/>
  <c r="GC71" i="3" s="1"/>
  <c r="GB71" i="3" s="1"/>
  <c r="DX71" i="3"/>
  <c r="FW257" i="3"/>
  <c r="GC257" i="3" s="1"/>
  <c r="DX257" i="3"/>
  <c r="DL257" i="3" s="1"/>
  <c r="FS257" i="3" s="1"/>
  <c r="FW195" i="3"/>
  <c r="GC195" i="3" s="1"/>
  <c r="DX195" i="3"/>
  <c r="DL195" i="3" s="1"/>
  <c r="FS195" i="3" s="1"/>
  <c r="FO74" i="3"/>
  <c r="FN73" i="3" s="1"/>
  <c r="DK74" i="3"/>
  <c r="FR74" i="3" s="1"/>
  <c r="DJ74" i="3"/>
  <c r="DL74" i="3"/>
  <c r="FS74" i="3" s="1"/>
  <c r="DG73" i="3"/>
  <c r="GB159" i="3"/>
  <c r="DW214" i="3"/>
  <c r="DL214" i="3"/>
  <c r="FS214" i="3" s="1"/>
  <c r="ES125" i="2"/>
  <c r="HC125" i="2" s="1"/>
  <c r="EX125" i="2"/>
  <c r="DP214" i="3"/>
  <c r="DI214" i="3"/>
  <c r="FQ214" i="3"/>
  <c r="FP214" i="3" s="1"/>
  <c r="DW55" i="3"/>
  <c r="DL55" i="3"/>
  <c r="GR104" i="2"/>
  <c r="GQ104" i="2" s="1"/>
  <c r="EU104" i="2"/>
  <c r="GR24" i="2"/>
  <c r="GQ24" i="2" s="1"/>
  <c r="EU24" i="2"/>
  <c r="FQ170" i="3"/>
  <c r="FP169" i="3" s="1"/>
  <c r="DP170" i="3"/>
  <c r="ES65" i="2"/>
  <c r="HC65" i="2" s="1"/>
  <c r="EX65" i="2"/>
  <c r="FO283" i="3"/>
  <c r="FN283" i="3" s="1"/>
  <c r="DJ283" i="3"/>
  <c r="DG283" i="3"/>
  <c r="GP41" i="2"/>
  <c r="GO41" i="2" s="1"/>
  <c r="EO41" i="2"/>
  <c r="DX194" i="3"/>
  <c r="FW194" i="3"/>
  <c r="GC194" i="3" s="1"/>
  <c r="FL5" i="3"/>
  <c r="EJ285" i="3"/>
  <c r="GR6" i="2"/>
  <c r="EU6" i="2"/>
  <c r="EV137" i="2"/>
  <c r="EV139" i="2"/>
  <c r="FW244" i="3"/>
  <c r="GC244" i="3" s="1"/>
  <c r="DX244" i="3"/>
  <c r="DL244" i="3" s="1"/>
  <c r="FS244" i="3" s="1"/>
  <c r="FN218" i="3"/>
  <c r="GP92" i="2"/>
  <c r="GO92" i="2" s="1"/>
  <c r="EO92" i="2"/>
  <c r="EU49" i="2"/>
  <c r="GR49" i="2"/>
  <c r="GQ49" i="2" s="1"/>
  <c r="FQ267" i="3"/>
  <c r="FP267" i="3" s="1"/>
  <c r="DI267" i="3"/>
  <c r="DP267" i="3"/>
  <c r="DI221" i="3"/>
  <c r="DP221" i="3"/>
  <c r="FQ221" i="3"/>
  <c r="FP221" i="3" s="1"/>
  <c r="FN255" i="3"/>
  <c r="FQ93" i="3"/>
  <c r="FP93" i="3" s="1"/>
  <c r="DI93" i="3"/>
  <c r="DP93" i="3"/>
  <c r="FQ118" i="3"/>
  <c r="DP118" i="3"/>
  <c r="DJ35" i="3"/>
  <c r="FO35" i="3"/>
  <c r="DK35" i="3"/>
  <c r="FR35" i="3" s="1"/>
  <c r="FQ117" i="3"/>
  <c r="DP117" i="3"/>
  <c r="DI117" i="3"/>
  <c r="FP252" i="3"/>
  <c r="GR19" i="2"/>
  <c r="GQ18" i="2" s="1"/>
  <c r="EU18" i="2"/>
  <c r="DQ45" i="3"/>
  <c r="EE45" i="3"/>
  <c r="FW135" i="3"/>
  <c r="GC135" i="3" s="1"/>
  <c r="GB135" i="3" s="1"/>
  <c r="DX135" i="3"/>
  <c r="GT35" i="2"/>
  <c r="GS35" i="2" s="1"/>
  <c r="EW35" i="2"/>
  <c r="DL103" i="3"/>
  <c r="FS103" i="3" s="1"/>
  <c r="DQ17" i="3"/>
  <c r="CM17" i="3"/>
  <c r="GU95" i="2"/>
  <c r="ET95" i="2"/>
  <c r="EX95" i="2" s="1"/>
  <c r="GT95" i="2" s="1"/>
  <c r="FR5" i="3"/>
  <c r="ES121" i="2"/>
  <c r="HC121" i="2" s="1"/>
  <c r="EX121" i="2"/>
  <c r="DW21" i="3"/>
  <c r="FW155" i="3"/>
  <c r="GC155" i="3" s="1"/>
  <c r="DX155" i="3"/>
  <c r="DL155" i="3" s="1"/>
  <c r="FS155" i="3" s="1"/>
  <c r="ER104" i="2"/>
  <c r="EQ104" i="2" s="1"/>
  <c r="EO104" i="2"/>
  <c r="GP104" i="2"/>
  <c r="GO104" i="2" s="1"/>
  <c r="GP24" i="2"/>
  <c r="GO24" i="2" s="1"/>
  <c r="EO24" i="2"/>
  <c r="GR82" i="2"/>
  <c r="GQ82" i="2" s="1"/>
  <c r="EU82" i="2"/>
  <c r="CY137" i="2"/>
  <c r="FU4" i="2"/>
  <c r="FU137" i="2" s="1"/>
  <c r="DE283" i="3"/>
  <c r="FM283" i="3"/>
  <c r="FL283" i="3" s="1"/>
  <c r="DW178" i="3"/>
  <c r="DL178" i="3"/>
  <c r="FS178" i="3" s="1"/>
  <c r="CM19" i="3"/>
  <c r="EE19" i="3" s="1"/>
  <c r="FW126" i="3"/>
  <c r="GC126" i="3" s="1"/>
  <c r="DX126" i="3"/>
  <c r="DL12" i="3"/>
  <c r="FS12" i="3" s="1"/>
  <c r="CM31" i="2"/>
  <c r="BV31" i="2"/>
  <c r="BU31" i="2" s="1"/>
  <c r="DI218" i="3"/>
  <c r="DP218" i="3"/>
  <c r="FQ218" i="3"/>
  <c r="DX35" i="3"/>
  <c r="DL35" i="3" s="1"/>
  <c r="FS35" i="3" s="1"/>
  <c r="FW35" i="3"/>
  <c r="GC35" i="3" s="1"/>
  <c r="EQ92" i="2"/>
  <c r="GP49" i="2"/>
  <c r="GO49" i="2" s="1"/>
  <c r="EO49" i="2"/>
  <c r="DW132" i="3"/>
  <c r="DL132" i="3"/>
  <c r="FS132" i="3" s="1"/>
  <c r="GP54" i="2"/>
  <c r="ER54" i="2"/>
  <c r="FW90" i="2"/>
  <c r="FV90" i="2"/>
  <c r="DP255" i="3"/>
  <c r="DI255" i="3"/>
  <c r="FQ255" i="3"/>
  <c r="FW127" i="3"/>
  <c r="GC127" i="3" s="1"/>
  <c r="DX127" i="3"/>
  <c r="DL127" i="3" s="1"/>
  <c r="FS127" i="3" s="1"/>
  <c r="FW197" i="3"/>
  <c r="GC197" i="3" s="1"/>
  <c r="GB197" i="3" s="1"/>
  <c r="DX197" i="3"/>
  <c r="ET94" i="2"/>
  <c r="EX94" i="2" s="1"/>
  <c r="GT94" i="2" s="1"/>
  <c r="GU94" i="2"/>
  <c r="FQ124" i="3"/>
  <c r="FP124" i="3" s="1"/>
  <c r="DI124" i="3"/>
  <c r="DP124" i="3"/>
  <c r="DI159" i="3"/>
  <c r="DP159" i="3"/>
  <c r="FQ159" i="3"/>
  <c r="FP159" i="3" s="1"/>
  <c r="DI277" i="3"/>
  <c r="FQ277" i="3"/>
  <c r="FP277" i="3" s="1"/>
  <c r="ES114" i="2"/>
  <c r="HC114" i="2" s="1"/>
  <c r="EX114" i="2"/>
  <c r="FQ40" i="3"/>
  <c r="FP40" i="3" s="1"/>
  <c r="DP40" i="3"/>
  <c r="DI40" i="3"/>
  <c r="EU37" i="2"/>
  <c r="GR37" i="2"/>
  <c r="GQ37" i="2" s="1"/>
  <c r="GR47" i="2"/>
  <c r="GQ47" i="2" s="1"/>
  <c r="EU47" i="2"/>
  <c r="HC35" i="2"/>
  <c r="GU50" i="2"/>
  <c r="ET50" i="2"/>
  <c r="EX50" i="2" s="1"/>
  <c r="GT50" i="2" s="1"/>
  <c r="DL250" i="3"/>
  <c r="FS250" i="3" s="1"/>
  <c r="DI216" i="3"/>
  <c r="DP216" i="3"/>
  <c r="FQ216" i="3"/>
  <c r="FP216" i="3" s="1"/>
  <c r="FH247" i="3"/>
  <c r="FH285" i="3" s="1"/>
  <c r="FI285" i="3"/>
  <c r="GP75" i="2"/>
  <c r="GO75" i="2" s="1"/>
  <c r="EO75" i="2"/>
  <c r="EW97" i="2"/>
  <c r="GT97" i="2"/>
  <c r="GS97" i="2" s="1"/>
  <c r="DX174" i="3"/>
  <c r="FW174" i="3"/>
  <c r="GC174" i="3" s="1"/>
  <c r="GB174" i="3" s="1"/>
  <c r="ES75" i="2"/>
  <c r="HC75" i="2" s="1"/>
  <c r="EX75" i="2"/>
  <c r="DM285" i="3"/>
  <c r="FT58" i="3"/>
  <c r="DW66" i="3"/>
  <c r="DL66" i="3"/>
  <c r="FS66" i="3" s="1"/>
  <c r="DW162" i="3"/>
  <c r="DL162" i="3"/>
  <c r="FS162" i="3" s="1"/>
  <c r="CW99" i="3"/>
  <c r="CF99" i="3"/>
  <c r="DV99" i="3"/>
  <c r="GA99" i="3" s="1"/>
  <c r="FK99" i="3"/>
  <c r="FJ99" i="3" s="1"/>
  <c r="GT53" i="2"/>
  <c r="GS53" i="2" s="1"/>
  <c r="EW53" i="2"/>
  <c r="FW157" i="3"/>
  <c r="GC157" i="3" s="1"/>
  <c r="DX157" i="3"/>
  <c r="DL157" i="3" s="1"/>
  <c r="FS157" i="3" s="1"/>
  <c r="ES102" i="2"/>
  <c r="HC102" i="2" s="1"/>
  <c r="EX102" i="2"/>
  <c r="EI240" i="3"/>
  <c r="CK240" i="3"/>
  <c r="CC240" i="3"/>
  <c r="CL285" i="3"/>
  <c r="FQ87" i="3"/>
  <c r="FP87" i="3" s="1"/>
  <c r="DP87" i="3"/>
  <c r="DI87" i="3"/>
  <c r="DX24" i="3"/>
  <c r="FW24" i="3"/>
  <c r="GC24" i="3" s="1"/>
  <c r="DW79" i="3"/>
  <c r="DL79" i="3"/>
  <c r="FS79" i="3" s="1"/>
  <c r="DI129" i="3"/>
  <c r="DP129" i="3"/>
  <c r="FQ129" i="3"/>
  <c r="FW33" i="3"/>
  <c r="GC33" i="3" s="1"/>
  <c r="GB33" i="3" s="1"/>
  <c r="DX33" i="3"/>
  <c r="GB21" i="3"/>
  <c r="FW25" i="3"/>
  <c r="GC25" i="3" s="1"/>
  <c r="DX25" i="3"/>
  <c r="DL25" i="3" s="1"/>
  <c r="FS25" i="3" s="1"/>
  <c r="DW189" i="3"/>
  <c r="DL189" i="3"/>
  <c r="FS189" i="3" s="1"/>
  <c r="DH137" i="2"/>
  <c r="FG4" i="2"/>
  <c r="DG4" i="2"/>
  <c r="EU41" i="2"/>
  <c r="GR41" i="2"/>
  <c r="GQ41" i="2" s="1"/>
  <c r="DL159" i="3"/>
  <c r="FS159" i="3" s="1"/>
  <c r="FP66" i="3"/>
  <c r="FQ131" i="2"/>
  <c r="DX137" i="2"/>
  <c r="CZ144" i="2" s="1"/>
  <c r="FQ42" i="3"/>
  <c r="DP42" i="3"/>
  <c r="ES108" i="2"/>
  <c r="HC108" i="2" s="1"/>
  <c r="EX108" i="2"/>
  <c r="FW80" i="2"/>
  <c r="FV80" i="2"/>
  <c r="DW105" i="3"/>
  <c r="DL105" i="3"/>
  <c r="FS105" i="3" s="1"/>
  <c r="EZ92" i="2"/>
  <c r="EY92" i="2" s="1"/>
  <c r="GU92" i="2"/>
  <c r="ET92" i="2"/>
  <c r="GB132" i="3"/>
  <c r="DX182" i="3"/>
  <c r="FW182" i="3"/>
  <c r="GC182" i="3" s="1"/>
  <c r="GB182" i="3" s="1"/>
  <c r="ES104" i="2"/>
  <c r="HC104" i="2" s="1"/>
  <c r="EX104" i="2"/>
  <c r="DW40" i="3"/>
  <c r="DL40" i="3"/>
  <c r="FS40" i="3" s="1"/>
  <c r="DW95" i="3"/>
  <c r="DL95" i="3"/>
  <c r="FS95" i="3" s="1"/>
  <c r="DI260" i="3"/>
  <c r="DP260" i="3"/>
  <c r="FQ260" i="3"/>
  <c r="FP260" i="3" s="1"/>
  <c r="EE43" i="3"/>
  <c r="DQ43" i="3"/>
  <c r="CM42" i="3"/>
  <c r="EE42" i="3" s="1"/>
  <c r="ET47" i="2"/>
  <c r="EZ47" i="2"/>
  <c r="EY47" i="2" s="1"/>
  <c r="GU47" i="2"/>
  <c r="CM117" i="2"/>
  <c r="BV117" i="2"/>
  <c r="BU117" i="2" s="1"/>
  <c r="ES15" i="2"/>
  <c r="HC15" i="2" s="1"/>
  <c r="EX15" i="2"/>
  <c r="DW210" i="3"/>
  <c r="DL210" i="3"/>
  <c r="FS210" i="3" s="1"/>
  <c r="ES72" i="2"/>
  <c r="HC72" i="2" s="1"/>
  <c r="EX72" i="2"/>
  <c r="FW38" i="3"/>
  <c r="GC38" i="3" s="1"/>
  <c r="GB38" i="3" s="1"/>
  <c r="DX38" i="3"/>
  <c r="GA240" i="3"/>
  <c r="GC240" i="3" s="1"/>
  <c r="GB240" i="3" s="1"/>
  <c r="DX240" i="3"/>
  <c r="DW240" i="3" s="1"/>
  <c r="GC5" i="3"/>
  <c r="FV15" i="2"/>
  <c r="FQ227" i="3"/>
  <c r="DP227" i="3"/>
  <c r="DI227" i="3"/>
  <c r="FW153" i="3"/>
  <c r="GC153" i="3" s="1"/>
  <c r="DX153" i="3"/>
  <c r="DL153" i="3" s="1"/>
  <c r="FS153" i="3" s="1"/>
  <c r="ES68" i="2"/>
  <c r="HC68" i="2" s="1"/>
  <c r="EX68" i="2"/>
  <c r="GP82" i="2"/>
  <c r="GO82" i="2" s="1"/>
  <c r="EO82" i="2"/>
  <c r="EL137" i="2"/>
  <c r="EK4" i="2"/>
  <c r="EZ41" i="2"/>
  <c r="EY41" i="2" s="1"/>
  <c r="ET41" i="2"/>
  <c r="GU41" i="2"/>
  <c r="FQ81" i="3"/>
  <c r="FP81" i="3" s="1"/>
  <c r="DP81" i="3"/>
  <c r="DI81" i="3"/>
  <c r="DX223" i="3"/>
  <c r="DW223" i="3" s="1"/>
  <c r="FW223" i="3"/>
  <c r="GC223" i="3" s="1"/>
  <c r="GB223" i="3" s="1"/>
  <c r="GX80" i="2"/>
  <c r="FF80" i="2"/>
  <c r="ET80" i="2"/>
  <c r="DL109" i="3"/>
  <c r="FS109" i="3" s="1"/>
  <c r="DW205" i="3"/>
  <c r="DL205" i="3"/>
  <c r="FS205" i="3" s="1"/>
  <c r="FW243" i="3"/>
  <c r="GC243" i="3" s="1"/>
  <c r="DX243" i="3"/>
  <c r="DL243" i="3" s="1"/>
  <c r="FS243" i="3" s="1"/>
  <c r="GB255" i="3"/>
  <c r="FQ178" i="3"/>
  <c r="FP178" i="3" s="1"/>
  <c r="DP178" i="3"/>
  <c r="DI178" i="3"/>
  <c r="BU285" i="3"/>
  <c r="GR53" i="2"/>
  <c r="GQ53" i="2" s="1"/>
  <c r="EU53" i="2"/>
  <c r="FW242" i="3"/>
  <c r="GC242" i="3" s="1"/>
  <c r="GB242" i="3" s="1"/>
  <c r="DX242" i="3"/>
  <c r="GT100" i="2"/>
  <c r="GS100" i="2" s="1"/>
  <c r="EW100" i="2"/>
  <c r="DL87" i="3"/>
  <c r="FS87" i="3" s="1"/>
  <c r="DL180" i="3"/>
  <c r="FS180" i="3" s="1"/>
  <c r="FW151" i="3"/>
  <c r="GC151" i="3" s="1"/>
  <c r="GB151" i="3" s="1"/>
  <c r="DX151" i="3"/>
  <c r="GR29" i="2"/>
  <c r="GQ29" i="2" s="1"/>
  <c r="EU29" i="2"/>
  <c r="FQ44" i="3"/>
  <c r="DP44" i="3"/>
  <c r="DW252" i="3"/>
  <c r="DL252" i="3"/>
  <c r="FS252" i="3" s="1"/>
  <c r="DX14" i="3"/>
  <c r="DL14" i="3" s="1"/>
  <c r="FS14" i="3" s="1"/>
  <c r="FW14" i="3"/>
  <c r="GC14" i="3" s="1"/>
  <c r="DI212" i="3"/>
  <c r="FQ212" i="3"/>
  <c r="FP212" i="3" s="1"/>
  <c r="DP212" i="3"/>
  <c r="EU62" i="2"/>
  <c r="GR62" i="2"/>
  <c r="GQ62" i="2" s="1"/>
  <c r="EO29" i="2"/>
  <c r="GP29" i="2"/>
  <c r="GO29" i="2" s="1"/>
  <c r="ES31" i="2"/>
  <c r="HC31" i="2" s="1"/>
  <c r="EX31" i="2"/>
  <c r="FW117" i="3"/>
  <c r="GC117" i="3" s="1"/>
  <c r="GB117" i="3" s="1"/>
  <c r="DX117" i="3"/>
  <c r="DW9" i="3"/>
  <c r="DL9" i="3"/>
  <c r="FS9" i="3" s="1"/>
  <c r="FB99" i="3"/>
  <c r="FB285" i="3" s="1"/>
  <c r="FC285" i="3"/>
  <c r="DI162" i="3"/>
  <c r="FQ162" i="3"/>
  <c r="FP162" i="3" s="1"/>
  <c r="DP162" i="3"/>
  <c r="ES9" i="2"/>
  <c r="HC9" i="2" s="1"/>
  <c r="EX9" i="2"/>
  <c r="DW5" i="3"/>
  <c r="DL5" i="3"/>
  <c r="FW15" i="2"/>
  <c r="FQ115" i="3"/>
  <c r="FP114" i="3" s="1"/>
  <c r="DP115" i="3"/>
  <c r="DP105" i="3"/>
  <c r="FQ105" i="3"/>
  <c r="FP105" i="3" s="1"/>
  <c r="DI105" i="3"/>
  <c r="AE22" i="2"/>
  <c r="AD22" i="2"/>
  <c r="AF137" i="2"/>
  <c r="DP186" i="3"/>
  <c r="DI186" i="3"/>
  <c r="FQ186" i="3"/>
  <c r="FP186" i="3" s="1"/>
  <c r="FQ262" i="3"/>
  <c r="FP262" i="3" s="1"/>
  <c r="DI262" i="3"/>
  <c r="DP262" i="3"/>
  <c r="FW133" i="2"/>
  <c r="FV133" i="2"/>
  <c r="CM101" i="3"/>
  <c r="EE101" i="3" s="1"/>
  <c r="DQ101" i="3"/>
  <c r="EQ82" i="2"/>
  <c r="FQ36" i="3"/>
  <c r="DP36" i="3"/>
  <c r="DW260" i="3"/>
  <c r="DL260" i="3"/>
  <c r="FS260" i="3" s="1"/>
  <c r="DW218" i="3"/>
  <c r="DL218" i="3"/>
  <c r="FS218" i="3" s="1"/>
  <c r="FW141" i="3"/>
  <c r="GC141" i="3" s="1"/>
  <c r="DX141" i="3"/>
  <c r="DX110" i="3"/>
  <c r="DL110" i="3" s="1"/>
  <c r="FS110" i="3" s="1"/>
  <c r="FW110" i="3"/>
  <c r="GC110" i="3" s="1"/>
  <c r="DW145" i="3"/>
  <c r="DL145" i="3"/>
  <c r="FS145" i="3" s="1"/>
  <c r="DQ60" i="3"/>
  <c r="CM60" i="3"/>
  <c r="EE60" i="3" s="1"/>
  <c r="DL21" i="3"/>
  <c r="FS21" i="3" s="1"/>
  <c r="DI31" i="3"/>
  <c r="FQ31" i="3"/>
  <c r="FP31" i="3" s="1"/>
  <c r="DP31" i="3"/>
  <c r="FQ258" i="3"/>
  <c r="DP258" i="3"/>
  <c r="DW255" i="3"/>
  <c r="ES123" i="2"/>
  <c r="EX123" i="2"/>
  <c r="FW192" i="3"/>
  <c r="GC192" i="3" s="1"/>
  <c r="GB192" i="3" s="1"/>
  <c r="DX192" i="3"/>
  <c r="EO53" i="2"/>
  <c r="GP53" i="2"/>
  <c r="GO53" i="2" s="1"/>
  <c r="ER53" i="2"/>
  <c r="EQ53" i="2" s="1"/>
  <c r="DW227" i="3"/>
  <c r="DI83" i="3"/>
  <c r="FQ83" i="3"/>
  <c r="FP83" i="3" s="1"/>
  <c r="DP83" i="3"/>
  <c r="FW12" i="2"/>
  <c r="FV12" i="2"/>
  <c r="DL212" i="3"/>
  <c r="FS212" i="3" s="1"/>
  <c r="ET133" i="2"/>
  <c r="GX133" i="2"/>
  <c r="FF133" i="2"/>
  <c r="DW267" i="3"/>
  <c r="DL267" i="3"/>
  <c r="FS267" i="3" s="1"/>
  <c r="DH101" i="3"/>
  <c r="DF101" i="3"/>
  <c r="DL129" i="3"/>
  <c r="FS129" i="3" s="1"/>
  <c r="ES18" i="2"/>
  <c r="HC18" i="2" s="1"/>
  <c r="EX18" i="2"/>
  <c r="CN119" i="2"/>
  <c r="CN137" i="2" s="1"/>
  <c r="BW119" i="2"/>
  <c r="BW137" i="2" s="1"/>
  <c r="GU119" i="2"/>
  <c r="GU82" i="2"/>
  <c r="ET82" i="2"/>
  <c r="EZ82" i="2"/>
  <c r="EY82" i="2" s="1"/>
  <c r="FQ194" i="3"/>
  <c r="FP194" i="3" s="1"/>
  <c r="DP194" i="3"/>
  <c r="DI194" i="3"/>
  <c r="DE223" i="3"/>
  <c r="FM223" i="3"/>
  <c r="FL223" i="3" s="1"/>
  <c r="CG19" i="3"/>
  <c r="DX51" i="3"/>
  <c r="FY51" i="3"/>
  <c r="FY285" i="3" s="1"/>
  <c r="DF60" i="3"/>
  <c r="DH60" i="3"/>
  <c r="ET83" i="2"/>
  <c r="EX83" i="2" s="1"/>
  <c r="GT83" i="2" s="1"/>
  <c r="GU83" i="2"/>
  <c r="EQ49" i="2"/>
  <c r="DW85" i="3"/>
  <c r="DL85" i="3"/>
  <c r="FS85" i="3" s="1"/>
  <c r="DW73" i="3"/>
  <c r="DL73" i="3"/>
  <c r="FS73" i="3" s="1"/>
  <c r="DW184" i="3"/>
  <c r="DL184" i="3"/>
  <c r="FS184" i="3" s="1"/>
  <c r="DW69" i="3"/>
  <c r="DL69" i="3"/>
  <c r="FS69" i="3" s="1"/>
  <c r="DP103" i="3"/>
  <c r="FQ103" i="3"/>
  <c r="FP103" i="3" s="1"/>
  <c r="DI103" i="3"/>
  <c r="ES43" i="2"/>
  <c r="HC43" i="2" s="1"/>
  <c r="EX43" i="2"/>
  <c r="FN33" i="3"/>
  <c r="FW56" i="2"/>
  <c r="FV56" i="2"/>
  <c r="FF12" i="2"/>
  <c r="GX12" i="2"/>
  <c r="ET12" i="2"/>
  <c r="DL262" i="3"/>
  <c r="FS262" i="3" s="1"/>
  <c r="DL81" i="3"/>
  <c r="FS81" i="3" s="1"/>
  <c r="GP62" i="2"/>
  <c r="GO62" i="2" s="1"/>
  <c r="EO62" i="2"/>
  <c r="CM123" i="2"/>
  <c r="BV123" i="2"/>
  <c r="BU123" i="2" s="1"/>
  <c r="ET51" i="2"/>
  <c r="EX51" i="2" s="1"/>
  <c r="GT51" i="2" s="1"/>
  <c r="GU51" i="2"/>
  <c r="FQ265" i="3"/>
  <c r="FP264" i="3" s="1"/>
  <c r="DP265" i="3"/>
  <c r="DI264" i="3"/>
  <c r="DP225" i="3"/>
  <c r="FQ225" i="3"/>
  <c r="FP225" i="3" s="1"/>
  <c r="DI225" i="3"/>
  <c r="DP180" i="3"/>
  <c r="FQ180" i="3"/>
  <c r="FP180" i="3" s="1"/>
  <c r="DI180" i="3"/>
  <c r="DW49" i="3"/>
  <c r="DL49" i="3"/>
  <c r="FS49" i="3" s="1"/>
  <c r="DL221" i="3"/>
  <c r="FS221" i="3" s="1"/>
  <c r="ES112" i="2"/>
  <c r="HC112" i="2" s="1"/>
  <c r="EX112" i="2"/>
  <c r="FS265" i="3"/>
  <c r="DX114" i="3"/>
  <c r="FW114" i="3"/>
  <c r="GC114" i="3" s="1"/>
  <c r="GB114" i="3" s="1"/>
  <c r="GR31" i="2"/>
  <c r="GQ31" i="2" s="1"/>
  <c r="EU31" i="2"/>
  <c r="EZ24" i="2"/>
  <c r="EY24" i="2" s="1"/>
  <c r="GU24" i="2"/>
  <c r="ET24" i="2"/>
  <c r="DL83" i="3"/>
  <c r="FS83" i="3" s="1"/>
  <c r="DG223" i="3"/>
  <c r="DK223" i="3"/>
  <c r="FR223" i="3" s="1"/>
  <c r="DJ223" i="3"/>
  <c r="FO223" i="3"/>
  <c r="FN223" i="3" s="1"/>
  <c r="ER6" i="2"/>
  <c r="EO6" i="2"/>
  <c r="GP6" i="2"/>
  <c r="EP137" i="2"/>
  <c r="DP184" i="3"/>
  <c r="FQ184" i="3"/>
  <c r="FP184" i="3" s="1"/>
  <c r="DI184" i="3"/>
  <c r="FQ69" i="3"/>
  <c r="FP69" i="3" s="1"/>
  <c r="DP69" i="3"/>
  <c r="DI69" i="3"/>
  <c r="ET114" i="3"/>
  <c r="ET285" i="3" s="1"/>
  <c r="EU285" i="3"/>
  <c r="EZ49" i="2"/>
  <c r="EY49" i="2" s="1"/>
  <c r="GU49" i="2"/>
  <c r="ET49" i="2"/>
  <c r="DW203" i="3"/>
  <c r="DL203" i="3"/>
  <c r="FS203" i="3" s="1"/>
  <c r="GB73" i="3"/>
  <c r="GU26" i="2"/>
  <c r="ET26" i="2"/>
  <c r="EX26" i="2" s="1"/>
  <c r="GT26" i="2" s="1"/>
  <c r="DX26" i="3"/>
  <c r="DL26" i="3" s="1"/>
  <c r="FS26" i="3" s="1"/>
  <c r="FW26" i="3"/>
  <c r="GC26" i="3" s="1"/>
  <c r="DI169" i="3"/>
  <c r="ES39" i="2"/>
  <c r="HC39" i="2" s="1"/>
  <c r="EX39" i="2"/>
  <c r="FQ34" i="3"/>
  <c r="DP34" i="3"/>
  <c r="DI33" i="3"/>
  <c r="FQ219" i="3"/>
  <c r="DP219" i="3"/>
  <c r="DP107" i="3"/>
  <c r="FQ107" i="3"/>
  <c r="FP107" i="3" s="1"/>
  <c r="DI107" i="3"/>
  <c r="GX56" i="2"/>
  <c r="FF56" i="2"/>
  <c r="ET56" i="2"/>
  <c r="FN117" i="3"/>
  <c r="FW143" i="3"/>
  <c r="GC143" i="3" s="1"/>
  <c r="DX143" i="3"/>
  <c r="DL143" i="3" s="1"/>
  <c r="FS143" i="3" s="1"/>
  <c r="FW111" i="3"/>
  <c r="GC111" i="3" s="1"/>
  <c r="DX111" i="3"/>
  <c r="DL111" i="3" s="1"/>
  <c r="FS111" i="3" s="1"/>
  <c r="EQ285" i="3"/>
  <c r="CX285" i="3"/>
  <c r="DW172" i="3"/>
  <c r="DL172" i="3"/>
  <c r="FS172" i="3" s="1"/>
  <c r="EX29" i="2"/>
  <c r="FQ203" i="3"/>
  <c r="FP203" i="3" s="1"/>
  <c r="DP203" i="3"/>
  <c r="DI203" i="3"/>
  <c r="FA137" i="2"/>
  <c r="FW13" i="3"/>
  <c r="GC13" i="3" s="1"/>
  <c r="DX13" i="3"/>
  <c r="DL13" i="3" s="1"/>
  <c r="FS13" i="3" s="1"/>
  <c r="DX29" i="3"/>
  <c r="DL29" i="3" s="1"/>
  <c r="FS29" i="3" s="1"/>
  <c r="FW29" i="3"/>
  <c r="GC29" i="3" s="1"/>
  <c r="GB28" i="3" s="1"/>
  <c r="FQ174" i="3"/>
  <c r="FP174" i="3" s="1"/>
  <c r="DI174" i="3"/>
  <c r="DP174" i="3"/>
  <c r="EO31" i="2"/>
  <c r="GP31" i="2"/>
  <c r="GO31" i="2" s="1"/>
  <c r="ER31" i="2"/>
  <c r="EQ31" i="2" s="1"/>
  <c r="BS119" i="2"/>
  <c r="BS137" i="2" s="1"/>
  <c r="BT137" i="2"/>
  <c r="GR119" i="2"/>
  <c r="GQ119" i="2" s="1"/>
  <c r="DW216" i="3"/>
  <c r="DL216" i="3"/>
  <c r="FS216" i="3" s="1"/>
  <c r="BT271" i="3"/>
  <c r="BT285" i="3" s="1"/>
  <c r="BK271" i="3"/>
  <c r="FS271" i="3" s="1"/>
  <c r="GN6" i="2"/>
  <c r="GN137" i="2" s="1"/>
  <c r="EM137" i="2"/>
  <c r="DI97" i="3"/>
  <c r="FQ97" i="3"/>
  <c r="FP97" i="3" s="1"/>
  <c r="DP97" i="3"/>
  <c r="FQ119" i="3"/>
  <c r="DP119" i="3"/>
  <c r="FW19" i="3"/>
  <c r="GC19" i="3" s="1"/>
  <c r="GB19" i="3" s="1"/>
  <c r="DX19" i="3"/>
  <c r="DW19" i="3" s="1"/>
  <c r="FQ250" i="3"/>
  <c r="FP250" i="3" s="1"/>
  <c r="DP250" i="3"/>
  <c r="DI250" i="3"/>
  <c r="GR92" i="2"/>
  <c r="GQ92" i="2" s="1"/>
  <c r="EU92" i="2"/>
  <c r="AE24" i="2"/>
  <c r="FZ24" i="2" s="1"/>
  <c r="AD24" i="2"/>
  <c r="DP109" i="3"/>
  <c r="FQ109" i="3"/>
  <c r="FP109" i="3" s="1"/>
  <c r="DI109" i="3"/>
  <c r="FF90" i="2"/>
  <c r="ET90" i="2"/>
  <c r="GX90" i="2"/>
  <c r="EL114" i="3"/>
  <c r="EL285" i="3" s="1"/>
  <c r="EM285" i="3"/>
  <c r="FQ21" i="3"/>
  <c r="FP21" i="3" s="1"/>
  <c r="DP21" i="3"/>
  <c r="DI21" i="3"/>
  <c r="ES85" i="2"/>
  <c r="HC85" i="2" s="1"/>
  <c r="EX85" i="2"/>
  <c r="DI275" i="3"/>
  <c r="FQ275" i="3"/>
  <c r="FP275" i="3" s="1"/>
  <c r="ES6" i="2"/>
  <c r="HC6" i="2" s="1"/>
  <c r="EX6" i="2"/>
  <c r="GP19" i="2"/>
  <c r="GO18" i="2" s="1"/>
  <c r="ER19" i="2"/>
  <c r="EQ18" i="2" s="1"/>
  <c r="EO18" i="2"/>
  <c r="DP189" i="3"/>
  <c r="DI189" i="3"/>
  <c r="FQ189" i="3"/>
  <c r="FP189" i="3" s="1"/>
  <c r="GP37" i="2"/>
  <c r="GO37" i="2" s="1"/>
  <c r="ER37" i="2"/>
  <c r="EQ37" i="2" s="1"/>
  <c r="EO37" i="2"/>
  <c r="DX130" i="3"/>
  <c r="DL130" i="3" s="1"/>
  <c r="FS130" i="3" s="1"/>
  <c r="FW130" i="3"/>
  <c r="GC130" i="3" s="1"/>
  <c r="GB129" i="3" s="1"/>
  <c r="DH43" i="3"/>
  <c r="DF43" i="3"/>
  <c r="CD42" i="3"/>
  <c r="GP47" i="2"/>
  <c r="GO47" i="2" s="1"/>
  <c r="ER47" i="2"/>
  <c r="EQ47" i="2" s="1"/>
  <c r="EO47" i="2"/>
  <c r="DL186" i="3"/>
  <c r="FS186" i="3" s="1"/>
  <c r="GB109" i="3" l="1"/>
  <c r="GP7" i="2"/>
  <c r="ER7" i="2"/>
  <c r="GP13" i="2"/>
  <c r="GO12" i="2" s="1"/>
  <c r="EO12" i="2"/>
  <c r="GR13" i="2"/>
  <c r="GQ12" i="2" s="1"/>
  <c r="EU12" i="2"/>
  <c r="GU13" i="2"/>
  <c r="GU137" i="2" s="1"/>
  <c r="ET13" i="2"/>
  <c r="EX13" i="2" s="1"/>
  <c r="GT13" i="2" s="1"/>
  <c r="EZ12" i="2"/>
  <c r="EY12" i="2" s="1"/>
  <c r="EW110" i="2"/>
  <c r="GT110" i="2"/>
  <c r="GS110" i="2" s="1"/>
  <c r="FQ45" i="3"/>
  <c r="DP45" i="3"/>
  <c r="CE62" i="3"/>
  <c r="EA62" i="3" s="1"/>
  <c r="EB62" i="3"/>
  <c r="CH62" i="3"/>
  <c r="CG62" i="3" s="1"/>
  <c r="CC62" i="3"/>
  <c r="CN62" i="3"/>
  <c r="CE64" i="3"/>
  <c r="EA64" i="3" s="1"/>
  <c r="CC64" i="3"/>
  <c r="CN64" i="3"/>
  <c r="EB64" i="3"/>
  <c r="CH64" i="3"/>
  <c r="CG64" i="3" s="1"/>
  <c r="FQ130" i="3"/>
  <c r="FP129" i="3" s="1"/>
  <c r="DP130" i="3"/>
  <c r="DP176" i="3"/>
  <c r="DI176" i="3"/>
  <c r="FQ176" i="3"/>
  <c r="FP176" i="3" s="1"/>
  <c r="CM186" i="3"/>
  <c r="EE186" i="3" s="1"/>
  <c r="EE187" i="3"/>
  <c r="DQ187" i="3"/>
  <c r="CM207" i="3"/>
  <c r="EE207" i="3" s="1"/>
  <c r="DQ207" i="3"/>
  <c r="DP230" i="3"/>
  <c r="FQ230" i="3"/>
  <c r="FP227" i="3" s="1"/>
  <c r="FQ234" i="3"/>
  <c r="FP234" i="3" s="1"/>
  <c r="DI234" i="3"/>
  <c r="DP234" i="3"/>
  <c r="GA234" i="3"/>
  <c r="GC234" i="3" s="1"/>
  <c r="GB234" i="3" s="1"/>
  <c r="DX234" i="3"/>
  <c r="FW236" i="3"/>
  <c r="GC236" i="3" s="1"/>
  <c r="GB236" i="3" s="1"/>
  <c r="DX236" i="3"/>
  <c r="FQ247" i="3"/>
  <c r="DP247" i="3"/>
  <c r="GB194" i="3"/>
  <c r="GB12" i="3"/>
  <c r="GT85" i="2"/>
  <c r="GS85" i="2" s="1"/>
  <c r="EW85" i="2"/>
  <c r="ES90" i="2"/>
  <c r="HC90" i="2" s="1"/>
  <c r="EX90" i="2"/>
  <c r="ER137" i="2"/>
  <c r="EQ6" i="2"/>
  <c r="EQ137" i="2" s="1"/>
  <c r="ES12" i="2"/>
  <c r="HC12" i="2" s="1"/>
  <c r="EX12" i="2"/>
  <c r="DE60" i="3"/>
  <c r="FM60" i="3"/>
  <c r="FL60" i="3" s="1"/>
  <c r="FO101" i="3"/>
  <c r="FN101" i="3" s="1"/>
  <c r="DK101" i="3"/>
  <c r="FR101" i="3" s="1"/>
  <c r="DG101" i="3"/>
  <c r="DJ101" i="3"/>
  <c r="BK285" i="3"/>
  <c r="CM119" i="2"/>
  <c r="HC119" i="2" s="1"/>
  <c r="BV119" i="2"/>
  <c r="GB141" i="3"/>
  <c r="FW101" i="3"/>
  <c r="GC101" i="3" s="1"/>
  <c r="GB101" i="3" s="1"/>
  <c r="DX101" i="3"/>
  <c r="DW101" i="3" s="1"/>
  <c r="GT9" i="2"/>
  <c r="GS9" i="2" s="1"/>
  <c r="EW9" i="2"/>
  <c r="EW72" i="2"/>
  <c r="GT72" i="2"/>
  <c r="GS72" i="2" s="1"/>
  <c r="DW174" i="3"/>
  <c r="DL174" i="3"/>
  <c r="FS174" i="3" s="1"/>
  <c r="CM137" i="2"/>
  <c r="GT121" i="2"/>
  <c r="GS121" i="2" s="1"/>
  <c r="EW121" i="2"/>
  <c r="EE17" i="3"/>
  <c r="GT65" i="2"/>
  <c r="GS65" i="2" s="1"/>
  <c r="EW65" i="2"/>
  <c r="HC117" i="2"/>
  <c r="DK43" i="3"/>
  <c r="FO43" i="3"/>
  <c r="FN42" i="3" s="1"/>
  <c r="DJ43" i="3"/>
  <c r="DG42" i="3"/>
  <c r="ES49" i="2"/>
  <c r="HC49" i="2" s="1"/>
  <c r="EX49" i="2"/>
  <c r="DP223" i="3"/>
  <c r="FQ223" i="3"/>
  <c r="FP223" i="3" s="1"/>
  <c r="DI223" i="3"/>
  <c r="DW51" i="3"/>
  <c r="DL51" i="3"/>
  <c r="FU51" i="3" s="1"/>
  <c r="EW18" i="2"/>
  <c r="GT18" i="2"/>
  <c r="GS18" i="2" s="1"/>
  <c r="DL101" i="3"/>
  <c r="FS101" i="3" s="1"/>
  <c r="DW182" i="3"/>
  <c r="DL182" i="3"/>
  <c r="FS182" i="3" s="1"/>
  <c r="DF240" i="3"/>
  <c r="DH240" i="3"/>
  <c r="FW17" i="3"/>
  <c r="GC17" i="3" s="1"/>
  <c r="GB17" i="3" s="1"/>
  <c r="DX17" i="3"/>
  <c r="DX45" i="3"/>
  <c r="DL45" i="3" s="1"/>
  <c r="FS45" i="3" s="1"/>
  <c r="FW45" i="3"/>
  <c r="GC45" i="3" s="1"/>
  <c r="DW149" i="3"/>
  <c r="DL149" i="3"/>
  <c r="FS149" i="3" s="1"/>
  <c r="GT6" i="2"/>
  <c r="GS6" i="2" s="1"/>
  <c r="EW6" i="2"/>
  <c r="DZ42" i="3"/>
  <c r="GT29" i="2"/>
  <c r="GS29" i="2" s="1"/>
  <c r="EW29" i="2"/>
  <c r="FW60" i="3"/>
  <c r="GC60" i="3" s="1"/>
  <c r="GB60" i="3" s="1"/>
  <c r="DX60" i="3"/>
  <c r="EW68" i="2"/>
  <c r="GT68" i="2"/>
  <c r="GS68" i="2" s="1"/>
  <c r="GB5" i="3"/>
  <c r="ES47" i="2"/>
  <c r="HC47" i="2" s="1"/>
  <c r="EX47" i="2"/>
  <c r="DW197" i="3"/>
  <c r="DL197" i="3"/>
  <c r="FS197" i="3" s="1"/>
  <c r="DW12" i="3"/>
  <c r="FQ35" i="3"/>
  <c r="DP35" i="3"/>
  <c r="DW194" i="3"/>
  <c r="DL194" i="3"/>
  <c r="FS194" i="3" s="1"/>
  <c r="GT37" i="2"/>
  <c r="GS37" i="2" s="1"/>
  <c r="EW37" i="2"/>
  <c r="DW114" i="3"/>
  <c r="DL114" i="3"/>
  <c r="FS114" i="3" s="1"/>
  <c r="DW192" i="3"/>
  <c r="DL192" i="3"/>
  <c r="FS192" i="3" s="1"/>
  <c r="DW117" i="3"/>
  <c r="DL117" i="3"/>
  <c r="FS117" i="3" s="1"/>
  <c r="GB24" i="3"/>
  <c r="EE240" i="3"/>
  <c r="CK285" i="3"/>
  <c r="GC58" i="3"/>
  <c r="GB58" i="3" s="1"/>
  <c r="FT285" i="3"/>
  <c r="DW126" i="3"/>
  <c r="DL126" i="3"/>
  <c r="FS126" i="3" s="1"/>
  <c r="DW71" i="3"/>
  <c r="DL71" i="3"/>
  <c r="FS71" i="3" s="1"/>
  <c r="DW28" i="3"/>
  <c r="DL223" i="3"/>
  <c r="FS223" i="3" s="1"/>
  <c r="FM43" i="3"/>
  <c r="DE42" i="3"/>
  <c r="BV24" i="2"/>
  <c r="BU24" i="2" s="1"/>
  <c r="AC24" i="2"/>
  <c r="ES56" i="2"/>
  <c r="HC56" i="2" s="1"/>
  <c r="EX56" i="2"/>
  <c r="ES82" i="2"/>
  <c r="HC82" i="2" s="1"/>
  <c r="EX82" i="2"/>
  <c r="DW129" i="3"/>
  <c r="ES133" i="2"/>
  <c r="HC133" i="2" s="1"/>
  <c r="EX133" i="2"/>
  <c r="DW242" i="3"/>
  <c r="DL242" i="3"/>
  <c r="FS242" i="3" s="1"/>
  <c r="ES41" i="2"/>
  <c r="HC41" i="2" s="1"/>
  <c r="EX41" i="2"/>
  <c r="GT15" i="2"/>
  <c r="GS15" i="2" s="1"/>
  <c r="EW15" i="2"/>
  <c r="FW43" i="3"/>
  <c r="GC43" i="3" s="1"/>
  <c r="GB42" i="3" s="1"/>
  <c r="DX43" i="3"/>
  <c r="DW42" i="3" s="1"/>
  <c r="DG137" i="2"/>
  <c r="FW4" i="2"/>
  <c r="FV4" i="2"/>
  <c r="DW33" i="3"/>
  <c r="DL33" i="3"/>
  <c r="FS33" i="3" s="1"/>
  <c r="DW24" i="3"/>
  <c r="DL24" i="3"/>
  <c r="FS24" i="3" s="1"/>
  <c r="EH240" i="3"/>
  <c r="EH285" i="3" s="1"/>
  <c r="EI285" i="3"/>
  <c r="FP218" i="3"/>
  <c r="GB126" i="3"/>
  <c r="EU137" i="2"/>
  <c r="FQ74" i="3"/>
  <c r="FP73" i="3" s="1"/>
  <c r="DP74" i="3"/>
  <c r="DI73" i="3"/>
  <c r="DV124" i="3"/>
  <c r="GA124" i="3" s="1"/>
  <c r="GA285" i="3" s="1"/>
  <c r="CW124" i="3"/>
  <c r="CW285" i="3" s="1"/>
  <c r="FK124" i="3"/>
  <c r="CN124" i="3"/>
  <c r="GO6" i="2"/>
  <c r="GO137" i="2" s="1"/>
  <c r="GP137" i="2"/>
  <c r="EW112" i="2"/>
  <c r="GT112" i="2"/>
  <c r="GS112" i="2" s="1"/>
  <c r="EW43" i="2"/>
  <c r="GT43" i="2"/>
  <c r="GS43" i="2" s="1"/>
  <c r="GT123" i="2"/>
  <c r="GS123" i="2" s="1"/>
  <c r="EW123" i="2"/>
  <c r="AC22" i="2"/>
  <c r="BV22" i="2"/>
  <c r="AD137" i="2"/>
  <c r="V146" i="2" s="1"/>
  <c r="FS5" i="3"/>
  <c r="GT31" i="2"/>
  <c r="GS31" i="2" s="1"/>
  <c r="EW31" i="2"/>
  <c r="EZ137" i="2"/>
  <c r="DL43" i="3"/>
  <c r="FS43" i="3" s="1"/>
  <c r="EW108" i="2"/>
  <c r="GT108" i="2"/>
  <c r="GS108" i="2" s="1"/>
  <c r="FG137" i="2"/>
  <c r="GX4" i="2"/>
  <c r="FF4" i="2"/>
  <c r="FF137" i="2" s="1"/>
  <c r="ET4" i="2"/>
  <c r="GT102" i="2"/>
  <c r="GS102" i="2" s="1"/>
  <c r="EW102" i="2"/>
  <c r="EB99" i="3"/>
  <c r="CC99" i="3"/>
  <c r="CN99" i="3"/>
  <c r="CH99" i="3"/>
  <c r="CE99" i="3"/>
  <c r="CF285" i="3"/>
  <c r="GT75" i="2"/>
  <c r="GS75" i="2" s="1"/>
  <c r="EW75" i="2"/>
  <c r="DL19" i="3"/>
  <c r="FS19" i="3" s="1"/>
  <c r="DW135" i="3"/>
  <c r="DL135" i="3"/>
  <c r="FS135" i="3" s="1"/>
  <c r="GQ6" i="2"/>
  <c r="GQ137" i="2" s="1"/>
  <c r="GR137" i="2"/>
  <c r="GT125" i="2"/>
  <c r="GS125" i="2" s="1"/>
  <c r="EW125" i="2"/>
  <c r="DW201" i="3"/>
  <c r="DL201" i="3"/>
  <c r="FS201" i="3" s="1"/>
  <c r="ES24" i="2"/>
  <c r="HC24" i="2" s="1"/>
  <c r="EX24" i="2"/>
  <c r="FP33" i="3"/>
  <c r="EO137" i="2"/>
  <c r="FO60" i="3"/>
  <c r="FN60" i="3" s="1"/>
  <c r="DK60" i="3"/>
  <c r="FR60" i="3" s="1"/>
  <c r="DJ60" i="3"/>
  <c r="DG60" i="3"/>
  <c r="FM101" i="3"/>
  <c r="FL101" i="3" s="1"/>
  <c r="DE101" i="3"/>
  <c r="HC123" i="2"/>
  <c r="FZ22" i="2"/>
  <c r="FZ137" i="2" s="1"/>
  <c r="AE137" i="2"/>
  <c r="DW151" i="3"/>
  <c r="DL151" i="3"/>
  <c r="FS151" i="3" s="1"/>
  <c r="EY137" i="2"/>
  <c r="EK137" i="2"/>
  <c r="GM4" i="2"/>
  <c r="GM137" i="2" s="1"/>
  <c r="DW38" i="3"/>
  <c r="DL38" i="3"/>
  <c r="FS38" i="3" s="1"/>
  <c r="GT104" i="2"/>
  <c r="GS104" i="2" s="1"/>
  <c r="EW104" i="2"/>
  <c r="ES92" i="2"/>
  <c r="HC92" i="2" s="1"/>
  <c r="EX92" i="2"/>
  <c r="HB131" i="2"/>
  <c r="HB137" i="2" s="1"/>
  <c r="FP131" i="2"/>
  <c r="FP137" i="2" s="1"/>
  <c r="FQ137" i="2"/>
  <c r="ET131" i="2"/>
  <c r="DF143" i="2"/>
  <c r="CZ143" i="2"/>
  <c r="GT114" i="2"/>
  <c r="GS114" i="2" s="1"/>
  <c r="EW114" i="2"/>
  <c r="FP255" i="3"/>
  <c r="FQ283" i="3"/>
  <c r="FP283" i="3" s="1"/>
  <c r="DI283" i="3"/>
  <c r="FP5" i="3"/>
  <c r="GT22" i="2"/>
  <c r="GS22" i="2" s="1"/>
  <c r="EW22" i="2"/>
  <c r="ES62" i="2"/>
  <c r="HC62" i="2" s="1"/>
  <c r="EX62" i="2"/>
  <c r="GT39" i="2"/>
  <c r="GS39" i="2" s="1"/>
  <c r="EW39" i="2"/>
  <c r="DW141" i="3"/>
  <c r="DL141" i="3"/>
  <c r="FS141" i="3" s="1"/>
  <c r="ES80" i="2"/>
  <c r="HC80" i="2" s="1"/>
  <c r="EX80" i="2"/>
  <c r="DW109" i="3"/>
  <c r="FP117" i="3"/>
  <c r="CN248" i="3"/>
  <c r="CH248" i="3"/>
  <c r="CG247" i="3" s="1"/>
  <c r="CC248" i="3"/>
  <c r="CE247" i="3"/>
  <c r="EA247" i="3" s="1"/>
  <c r="EB248" i="3"/>
  <c r="EB285" i="3" s="1"/>
  <c r="EW117" i="2"/>
  <c r="GT117" i="2"/>
  <c r="GS117" i="2" s="1"/>
  <c r="DW60" i="3" l="1"/>
  <c r="DL60" i="3"/>
  <c r="FS60" i="3" s="1"/>
  <c r="DW236" i="3"/>
  <c r="DL236" i="3"/>
  <c r="FS236" i="3" s="1"/>
  <c r="DW234" i="3"/>
  <c r="DL234" i="3"/>
  <c r="FS234" i="3" s="1"/>
  <c r="DX207" i="3"/>
  <c r="FW207" i="3"/>
  <c r="GC207" i="3" s="1"/>
  <c r="GB207" i="3" s="1"/>
  <c r="FW187" i="3"/>
  <c r="GC187" i="3" s="1"/>
  <c r="GB186" i="3" s="1"/>
  <c r="DX187" i="3"/>
  <c r="DQ64" i="3"/>
  <c r="CM64" i="3"/>
  <c r="EE64" i="3" s="1"/>
  <c r="DF64" i="3"/>
  <c r="DH64" i="3"/>
  <c r="DQ62" i="3"/>
  <c r="CM62" i="3"/>
  <c r="EE62" i="3" s="1"/>
  <c r="DH62" i="3"/>
  <c r="DF62" i="3"/>
  <c r="DQ248" i="3"/>
  <c r="EE248" i="3"/>
  <c r="CM247" i="3"/>
  <c r="EE247" i="3" s="1"/>
  <c r="EA99" i="3"/>
  <c r="EA285" i="3" s="1"/>
  <c r="CE285" i="3"/>
  <c r="EW56" i="2"/>
  <c r="GT56" i="2"/>
  <c r="GS56" i="2" s="1"/>
  <c r="FO240" i="3"/>
  <c r="FN240" i="3" s="1"/>
  <c r="DJ240" i="3"/>
  <c r="DG240" i="3"/>
  <c r="DK240" i="3"/>
  <c r="FR240" i="3" s="1"/>
  <c r="DL240" i="3"/>
  <c r="FS240" i="3" s="1"/>
  <c r="DV285" i="3"/>
  <c r="EW24" i="2"/>
  <c r="GT24" i="2"/>
  <c r="GS24" i="2" s="1"/>
  <c r="CG99" i="3"/>
  <c r="CG285" i="3" s="1"/>
  <c r="CH285" i="3"/>
  <c r="FU285" i="3"/>
  <c r="GC51" i="3"/>
  <c r="GB51" i="3" s="1"/>
  <c r="BU119" i="2"/>
  <c r="GT119" i="2"/>
  <c r="GS119" i="2" s="1"/>
  <c r="GX137" i="2"/>
  <c r="HC4" i="2"/>
  <c r="DQ99" i="3"/>
  <c r="CM99" i="3"/>
  <c r="CN285" i="3"/>
  <c r="FW24" i="2"/>
  <c r="FV24" i="2"/>
  <c r="DP43" i="3"/>
  <c r="FQ43" i="3"/>
  <c r="DI42" i="3"/>
  <c r="GT12" i="2"/>
  <c r="GS12" i="2" s="1"/>
  <c r="EW12" i="2"/>
  <c r="GT80" i="2"/>
  <c r="GS80" i="2" s="1"/>
  <c r="EW80" i="2"/>
  <c r="DH248" i="3"/>
  <c r="DF248" i="3"/>
  <c r="CD247" i="3"/>
  <c r="DF99" i="3"/>
  <c r="DH99" i="3"/>
  <c r="CC285" i="3"/>
  <c r="GT133" i="2"/>
  <c r="GS133" i="2" s="1"/>
  <c r="EW133" i="2"/>
  <c r="DE240" i="3"/>
  <c r="FM240" i="3"/>
  <c r="FL240" i="3" s="1"/>
  <c r="GT92" i="2"/>
  <c r="GS92" i="2" s="1"/>
  <c r="EW92" i="2"/>
  <c r="FQ60" i="3"/>
  <c r="FP60" i="3" s="1"/>
  <c r="DP60" i="3"/>
  <c r="DI60" i="3"/>
  <c r="BU22" i="2"/>
  <c r="BU137" i="2" s="1"/>
  <c r="BV137" i="2"/>
  <c r="FR43" i="3"/>
  <c r="DI101" i="3"/>
  <c r="FQ101" i="3"/>
  <c r="FP101" i="3" s="1"/>
  <c r="DP101" i="3"/>
  <c r="GT62" i="2"/>
  <c r="GS62" i="2" s="1"/>
  <c r="EW62" i="2"/>
  <c r="ES131" i="2"/>
  <c r="HC131" i="2" s="1"/>
  <c r="EX131" i="2"/>
  <c r="CM124" i="3"/>
  <c r="EE124" i="3" s="1"/>
  <c r="DQ124" i="3"/>
  <c r="GT82" i="2"/>
  <c r="GS82" i="2" s="1"/>
  <c r="EW82" i="2"/>
  <c r="FL42" i="3"/>
  <c r="DW17" i="3"/>
  <c r="DL17" i="3"/>
  <c r="EW49" i="2"/>
  <c r="GT49" i="2"/>
  <c r="GS49" i="2" s="1"/>
  <c r="GT90" i="2"/>
  <c r="GS90" i="2" s="1"/>
  <c r="EW90" i="2"/>
  <c r="FW22" i="2"/>
  <c r="FV22" i="2"/>
  <c r="FV137" i="2" s="1"/>
  <c r="AC137" i="2"/>
  <c r="ET137" i="2"/>
  <c r="ES4" i="2"/>
  <c r="EX4" i="2"/>
  <c r="FJ124" i="3"/>
  <c r="FJ285" i="3" s="1"/>
  <c r="FK285" i="3"/>
  <c r="FW137" i="2"/>
  <c r="EW41" i="2"/>
  <c r="GT41" i="2"/>
  <c r="GS41" i="2" s="1"/>
  <c r="EW47" i="2"/>
  <c r="GT47" i="2"/>
  <c r="GS47" i="2" s="1"/>
  <c r="FM62" i="3" l="1"/>
  <c r="FL62" i="3" s="1"/>
  <c r="DE62" i="3"/>
  <c r="DK62" i="3"/>
  <c r="FR62" i="3" s="1"/>
  <c r="DJ62" i="3"/>
  <c r="DG62" i="3"/>
  <c r="FO62" i="3"/>
  <c r="FN62" i="3" s="1"/>
  <c r="FW62" i="3"/>
  <c r="GC62" i="3" s="1"/>
  <c r="GB62" i="3" s="1"/>
  <c r="DX62" i="3"/>
  <c r="DK64" i="3"/>
  <c r="FR64" i="3" s="1"/>
  <c r="DJ64" i="3"/>
  <c r="FO64" i="3"/>
  <c r="FN64" i="3" s="1"/>
  <c r="DG64" i="3"/>
  <c r="DE64" i="3"/>
  <c r="FM64" i="3"/>
  <c r="FL64" i="3" s="1"/>
  <c r="FW64" i="3"/>
  <c r="GC64" i="3" s="1"/>
  <c r="GB64" i="3" s="1"/>
  <c r="DX64" i="3"/>
  <c r="DL187" i="3"/>
  <c r="FS187" i="3" s="1"/>
  <c r="DW186" i="3"/>
  <c r="DW207" i="3"/>
  <c r="DL207" i="3"/>
  <c r="FS207" i="3" s="1"/>
  <c r="DJ248" i="3"/>
  <c r="FO248" i="3"/>
  <c r="FN247" i="3" s="1"/>
  <c r="DK248" i="3"/>
  <c r="FR248" i="3" s="1"/>
  <c r="DG247" i="3"/>
  <c r="GT131" i="2"/>
  <c r="GS131" i="2" s="1"/>
  <c r="EW131" i="2"/>
  <c r="EX139" i="2"/>
  <c r="EX137" i="2"/>
  <c r="GT138" i="2" s="1"/>
  <c r="EW4" i="2"/>
  <c r="EW137" i="2" s="1"/>
  <c r="GT4" i="2"/>
  <c r="ES137" i="2"/>
  <c r="DJ99" i="3"/>
  <c r="DG99" i="3"/>
  <c r="DG285" i="3" s="1"/>
  <c r="FO99" i="3"/>
  <c r="DK99" i="3"/>
  <c r="DH285" i="3"/>
  <c r="HC137" i="2"/>
  <c r="FQ240" i="3"/>
  <c r="FP240" i="3" s="1"/>
  <c r="DP240" i="3"/>
  <c r="DI240" i="3"/>
  <c r="DE99" i="3"/>
  <c r="FM99" i="3"/>
  <c r="DF285" i="3"/>
  <c r="DX248" i="3"/>
  <c r="DW247" i="3" s="1"/>
  <c r="FW248" i="3"/>
  <c r="GC248" i="3" s="1"/>
  <c r="GB247" i="3" s="1"/>
  <c r="DZ247" i="3"/>
  <c r="DZ285" i="3" s="1"/>
  <c r="CD285" i="3"/>
  <c r="EE99" i="3"/>
  <c r="EE285" i="3" s="1"/>
  <c r="CM285" i="3"/>
  <c r="FS17" i="3"/>
  <c r="DX124" i="3"/>
  <c r="FW124" i="3"/>
  <c r="GC124" i="3" s="1"/>
  <c r="GB124" i="3" s="1"/>
  <c r="FM248" i="3"/>
  <c r="FL247" i="3" s="1"/>
  <c r="DE247" i="3"/>
  <c r="FP42" i="3"/>
  <c r="FW99" i="3"/>
  <c r="DX99" i="3"/>
  <c r="DQ285" i="3"/>
  <c r="DW64" i="3" l="1"/>
  <c r="DL64" i="3"/>
  <c r="FS64" i="3" s="1"/>
  <c r="FQ64" i="3"/>
  <c r="FP64" i="3" s="1"/>
  <c r="DP64" i="3"/>
  <c r="DI64" i="3"/>
  <c r="DW62" i="3"/>
  <c r="DL62" i="3"/>
  <c r="FS62" i="3" s="1"/>
  <c r="DI62" i="3"/>
  <c r="FQ62" i="3"/>
  <c r="FP62" i="3" s="1"/>
  <c r="DP62" i="3"/>
  <c r="DP99" i="3"/>
  <c r="DI99" i="3"/>
  <c r="FQ99" i="3"/>
  <c r="DJ285" i="3"/>
  <c r="DW124" i="3"/>
  <c r="DL124" i="3"/>
  <c r="FS124" i="3" s="1"/>
  <c r="GT137" i="2"/>
  <c r="GS4" i="2"/>
  <c r="GS137" i="2" s="1"/>
  <c r="GC99" i="3"/>
  <c r="FW285" i="3"/>
  <c r="DW99" i="3"/>
  <c r="DW285" i="3" s="1"/>
  <c r="DL99" i="3"/>
  <c r="DX285" i="3"/>
  <c r="FL99" i="3"/>
  <c r="FL285" i="3" s="1"/>
  <c r="FM285" i="3"/>
  <c r="FR99" i="3"/>
  <c r="FR285" i="3" s="1"/>
  <c r="DK285" i="3"/>
  <c r="FQ248" i="3"/>
  <c r="FP247" i="3" s="1"/>
  <c r="DP248" i="3"/>
  <c r="DP285" i="3" s="1"/>
  <c r="DI247" i="3"/>
  <c r="DE285" i="3"/>
  <c r="FN99" i="3"/>
  <c r="FN285" i="3" s="1"/>
  <c r="FO285" i="3"/>
  <c r="DL248" i="3"/>
  <c r="FS248" i="3" s="1"/>
  <c r="DI285" i="3" l="1"/>
  <c r="FS99" i="3"/>
  <c r="FS285" i="3" s="1"/>
  <c r="DL285" i="3"/>
  <c r="FP99" i="3"/>
  <c r="FP285" i="3" s="1"/>
  <c r="FQ285" i="3"/>
  <c r="GB99" i="3"/>
  <c r="GB285" i="3" s="1"/>
  <c r="GC285"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Norabelle</author>
    <author>phaworkstation</author>
    <author>Lisa Ohmann</author>
    <author>LJ</author>
    <author>Tatiana Martin</author>
  </authors>
  <commentList>
    <comment ref="AG3" authorId="0" shapeId="0" xr:uid="{00000000-0006-0000-0D00-000001000000}">
      <text>
        <r>
          <rPr>
            <b/>
            <sz val="8"/>
            <color indexed="81"/>
            <rFont val="Tahoma"/>
            <family val="2"/>
          </rPr>
          <t>Norabelle:</t>
        </r>
        <r>
          <rPr>
            <sz val="8"/>
            <color indexed="81"/>
            <rFont val="Tahoma"/>
            <family val="2"/>
          </rPr>
          <t xml:space="preserve">
Includes retail, auto-related, office </t>
        </r>
      </text>
    </comment>
    <comment ref="BY3" authorId="1" shapeId="0" xr:uid="{00000000-0006-0000-0D00-000002000000}">
      <text>
        <r>
          <rPr>
            <b/>
            <sz val="8"/>
            <color indexed="81"/>
            <rFont val="Tahoma"/>
            <family val="2"/>
          </rPr>
          <t>phaworkstation:</t>
        </r>
        <r>
          <rPr>
            <sz val="8"/>
            <color indexed="81"/>
            <rFont val="Tahoma"/>
            <family val="2"/>
          </rPr>
          <t xml:space="preserve">
Quick question concerning the parking assumptions for the upland/commercial U area, which would be based on the underlying zoning- typically the accessory parking requirement is reduced based on zoning lot size (i.e., requirement is reduced 30% for lots 10,000 sf) </t>
        </r>
      </text>
    </comment>
    <comment ref="AT4" authorId="1" shapeId="0" xr:uid="{00000000-0006-0000-0D00-000003000000}">
      <text>
        <r>
          <rPr>
            <b/>
            <sz val="8"/>
            <color indexed="81"/>
            <rFont val="Tahoma"/>
            <family val="2"/>
          </rPr>
          <t>phaworkstation:</t>
        </r>
        <r>
          <rPr>
            <sz val="8"/>
            <color indexed="81"/>
            <rFont val="Tahoma"/>
            <family val="2"/>
          </rPr>
          <t xml:space="preserve">
BLDG height from DOB</t>
        </r>
      </text>
    </comment>
    <comment ref="AR6" authorId="1" shapeId="0" xr:uid="{00000000-0006-0000-0D00-000004000000}">
      <text>
        <r>
          <rPr>
            <b/>
            <sz val="8"/>
            <color indexed="81"/>
            <rFont val="Tahoma"/>
            <family val="2"/>
          </rPr>
          <t>phaworkstation:</t>
        </r>
        <r>
          <rPr>
            <sz val="8"/>
            <color indexed="81"/>
            <rFont val="Tahoma"/>
            <family val="2"/>
          </rPr>
          <t xml:space="preserve">
ESTIMATED PARKING SPACES BASED ON COUNT FROM AERIAL PHOTO</t>
        </r>
      </text>
    </comment>
    <comment ref="AT6" authorId="1" shapeId="0" xr:uid="{00000000-0006-0000-0D00-000005000000}">
      <text>
        <r>
          <rPr>
            <b/>
            <sz val="8"/>
            <color indexed="81"/>
            <rFont val="Tahoma"/>
            <family val="2"/>
          </rPr>
          <t>phaworkstation:</t>
        </r>
        <r>
          <rPr>
            <sz val="8"/>
            <color indexed="81"/>
            <rFont val="Tahoma"/>
            <family val="2"/>
          </rPr>
          <t xml:space="preserve">
TAKEN FROM 3D MODEL
</t>
        </r>
      </text>
    </comment>
    <comment ref="CA6" authorId="1" shapeId="0" xr:uid="{00000000-0006-0000-0D00-000006000000}">
      <text>
        <r>
          <rPr>
            <b/>
            <sz val="8"/>
            <color indexed="81"/>
            <rFont val="Tahoma"/>
            <family val="2"/>
          </rPr>
          <t>phaworkstation:</t>
        </r>
        <r>
          <rPr>
            <sz val="8"/>
            <color indexed="81"/>
            <rFont val="Tahoma"/>
            <family val="2"/>
          </rPr>
          <t xml:space="preserve">
accessory parking spaces for the hospital anticipated to remain </t>
        </r>
      </text>
    </comment>
    <comment ref="CB6" authorId="1" shapeId="0" xr:uid="{00000000-0006-0000-0D00-000007000000}">
      <text>
        <r>
          <rPr>
            <b/>
            <sz val="8"/>
            <color indexed="81"/>
            <rFont val="Tahoma"/>
            <family val="2"/>
          </rPr>
          <t>phaworkstation:</t>
        </r>
        <r>
          <rPr>
            <sz val="8"/>
            <color indexed="81"/>
            <rFont val="Tahoma"/>
            <family val="2"/>
          </rPr>
          <t xml:space="preserve">
accessory parking spaces for the hospital anticipated to remain </t>
        </r>
      </text>
    </comment>
    <comment ref="AS12" authorId="1" shapeId="0" xr:uid="{00000000-0006-0000-0D00-000008000000}">
      <text>
        <r>
          <rPr>
            <b/>
            <sz val="8"/>
            <color indexed="81"/>
            <rFont val="Tahoma"/>
            <family val="2"/>
          </rPr>
          <t>phaworkstation:</t>
        </r>
        <r>
          <rPr>
            <sz val="8"/>
            <color indexed="81"/>
            <rFont val="Tahoma"/>
            <family val="2"/>
          </rPr>
          <t xml:space="preserve">
vehicle storage for Time Warner/Spectrum vehicles and employees  personal vehicles </t>
        </r>
      </text>
    </comment>
    <comment ref="AS21" authorId="1" shapeId="0" xr:uid="{00000000-0006-0000-0D00-000009000000}">
      <text>
        <r>
          <rPr>
            <b/>
            <sz val="8"/>
            <color indexed="81"/>
            <rFont val="Tahoma"/>
            <family val="2"/>
          </rPr>
          <t>phaworkstation:</t>
        </r>
        <r>
          <rPr>
            <sz val="8"/>
            <color indexed="81"/>
            <rFont val="Tahoma"/>
            <family val="2"/>
          </rPr>
          <t xml:space="preserve">
Site has an existing public 
lot with
 100 licensed public parking spaces (DCP)</t>
        </r>
      </text>
    </comment>
    <comment ref="AT21" authorId="1" shapeId="0" xr:uid="{00000000-0006-0000-0D00-00000A000000}">
      <text>
        <r>
          <rPr>
            <b/>
            <sz val="8"/>
            <color indexed="81"/>
            <rFont val="Tahoma"/>
            <family val="2"/>
          </rPr>
          <t>phaworkstation:</t>
        </r>
        <r>
          <rPr>
            <sz val="8"/>
            <color indexed="81"/>
            <rFont val="Tahoma"/>
            <family val="2"/>
          </rPr>
          <t xml:space="preserve">
BLDG HEIGHT FROM DOB</t>
        </r>
      </text>
    </comment>
    <comment ref="AS25" authorId="1" shapeId="0" xr:uid="{00000000-0006-0000-0D00-00000B000000}">
      <text>
        <r>
          <rPr>
            <b/>
            <sz val="8"/>
            <color indexed="81"/>
            <rFont val="Tahoma"/>
            <family val="2"/>
          </rPr>
          <t>phaworkstation:</t>
        </r>
        <r>
          <rPr>
            <sz val="8"/>
            <color indexed="81"/>
            <rFont val="Tahoma"/>
            <family val="2"/>
          </rPr>
          <t xml:space="preserve">
ESTIMATED PARKING SPACES TAKEN FROM AERIAL PHOTO</t>
        </r>
      </text>
    </comment>
    <comment ref="AS29" authorId="1" shapeId="0" xr:uid="{00000000-0006-0000-0D00-00000C000000}">
      <text>
        <r>
          <rPr>
            <b/>
            <sz val="8"/>
            <color indexed="81"/>
            <rFont val="Tahoma"/>
            <family val="2"/>
          </rPr>
          <t>phaworkstation:</t>
        </r>
        <r>
          <rPr>
            <sz val="8"/>
            <color indexed="81"/>
            <rFont val="Tahoma"/>
            <family val="2"/>
          </rPr>
          <t xml:space="preserve">
# OF LICENSED PUBLIC PARKING SPACES
</t>
        </r>
      </text>
    </comment>
    <comment ref="AS31" authorId="1" shapeId="0" xr:uid="{00000000-0006-0000-0D00-00000D000000}">
      <text>
        <r>
          <rPr>
            <b/>
            <sz val="8"/>
            <color indexed="81"/>
            <rFont val="Tahoma"/>
            <family val="2"/>
          </rPr>
          <t>phaworkstation:</t>
        </r>
        <r>
          <rPr>
            <sz val="8"/>
            <color indexed="81"/>
            <rFont val="Tahoma"/>
            <family val="2"/>
          </rPr>
          <t xml:space="preserve">
LICENSED PUBLIC PARKING LOT TAKEN FROM FIELD SURVEY
</t>
        </r>
      </text>
    </comment>
    <comment ref="AR36" authorId="2" shapeId="0" xr:uid="{00000000-0006-0000-0D00-00000E000000}">
      <text>
        <r>
          <rPr>
            <b/>
            <sz val="9"/>
            <color indexed="81"/>
            <rFont val="Tahoma"/>
            <family val="2"/>
          </rPr>
          <t>Lisa Oman:</t>
        </r>
        <r>
          <rPr>
            <sz val="9"/>
            <color indexed="81"/>
            <rFont val="Tahoma"/>
            <family val="2"/>
          </rPr>
          <t xml:space="preserve">
former public parking space are assumed to be accessory to the recently opened grocery store</t>
        </r>
      </text>
    </comment>
    <comment ref="AS36" authorId="1" shapeId="0" xr:uid="{00000000-0006-0000-0D00-00000F000000}">
      <text>
        <r>
          <rPr>
            <b/>
            <sz val="8"/>
            <color indexed="81"/>
            <rFont val="Tahoma"/>
            <family val="2"/>
          </rPr>
          <t>phaworkstation:</t>
        </r>
        <r>
          <rPr>
            <sz val="8"/>
            <color indexed="81"/>
            <rFont val="Tahoma"/>
            <family val="2"/>
          </rPr>
          <t xml:space="preserve">
NO LONGER A LICENSED PUBLIC PARKING - DCA DID NOT APPROVE APPLICATION
</t>
        </r>
      </text>
    </comment>
    <comment ref="AT36" authorId="1" shapeId="0" xr:uid="{00000000-0006-0000-0D00-000010000000}">
      <text>
        <r>
          <rPr>
            <b/>
            <sz val="8"/>
            <color indexed="81"/>
            <rFont val="Tahoma"/>
            <family val="2"/>
          </rPr>
          <t>phaworkstation:</t>
        </r>
        <r>
          <rPr>
            <sz val="8"/>
            <color indexed="81"/>
            <rFont val="Tahoma"/>
            <family val="2"/>
          </rPr>
          <t xml:space="preserve">
HEIGHT FROM DOB</t>
        </r>
      </text>
    </comment>
    <comment ref="BS36" authorId="1" shapeId="0" xr:uid="{00000000-0006-0000-0D00-000011000000}">
      <text>
        <r>
          <rPr>
            <b/>
            <sz val="8"/>
            <color indexed="81"/>
            <rFont val="Tahoma"/>
            <family val="2"/>
          </rPr>
          <t>phaworkstation:</t>
        </r>
        <r>
          <rPr>
            <sz val="8"/>
            <color indexed="81"/>
            <rFont val="Tahoma"/>
            <family val="2"/>
          </rPr>
          <t xml:space="preserve">
Mixed-Use Bldg. in C-districts total floor area permitted may be increased by 1 sf for each sf of FRESH- up to 20,000 sf</t>
        </r>
      </text>
    </comment>
    <comment ref="BS40" authorId="2" shapeId="0" xr:uid="{00000000-0006-0000-0D00-000012000000}">
      <text>
        <r>
          <rPr>
            <b/>
            <sz val="9"/>
            <color indexed="81"/>
            <rFont val="Tahoma"/>
            <family val="2"/>
          </rPr>
          <t>Lisa Oman:</t>
        </r>
        <r>
          <rPr>
            <sz val="9"/>
            <color indexed="81"/>
            <rFont val="Tahoma"/>
            <family val="2"/>
          </rPr>
          <t xml:space="preserve">
p/o the site would not be included in MIH area</t>
        </r>
      </text>
    </comment>
    <comment ref="AT45" authorId="1" shapeId="0" xr:uid="{00000000-0006-0000-0D00-000013000000}">
      <text>
        <r>
          <rPr>
            <b/>
            <sz val="8"/>
            <color indexed="81"/>
            <rFont val="Tahoma"/>
            <family val="2"/>
          </rPr>
          <t>phaworkstation:</t>
        </r>
        <r>
          <rPr>
            <sz val="8"/>
            <color indexed="81"/>
            <rFont val="Tahoma"/>
            <family val="2"/>
          </rPr>
          <t xml:space="preserve">
FROM DOB</t>
        </r>
      </text>
    </comment>
    <comment ref="AT47" authorId="1" shapeId="0" xr:uid="{00000000-0006-0000-0D00-000014000000}">
      <text>
        <r>
          <rPr>
            <b/>
            <sz val="8"/>
            <color indexed="81"/>
            <rFont val="Tahoma"/>
            <family val="2"/>
          </rPr>
          <t>phaworkstation:</t>
        </r>
        <r>
          <rPr>
            <sz val="8"/>
            <color indexed="81"/>
            <rFont val="Tahoma"/>
            <family val="2"/>
          </rPr>
          <t xml:space="preserve">
HEIGHT FROM DOB</t>
        </r>
      </text>
    </comment>
    <comment ref="BS47" authorId="1" shapeId="0" xr:uid="{00000000-0006-0000-0D00-000015000000}">
      <text>
        <r>
          <rPr>
            <b/>
            <sz val="8"/>
            <color indexed="81"/>
            <rFont val="Tahoma"/>
            <family val="2"/>
          </rPr>
          <t>phaworkstation:</t>
        </r>
        <r>
          <rPr>
            <sz val="8"/>
            <color indexed="81"/>
            <rFont val="Tahoma"/>
            <family val="2"/>
          </rPr>
          <t xml:space="preserve">
added +1 due to rounding 
</t>
        </r>
      </text>
    </comment>
    <comment ref="AW56" authorId="2" shapeId="0" xr:uid="{00000000-0006-0000-0D00-000016000000}">
      <text>
        <r>
          <rPr>
            <b/>
            <sz val="9"/>
            <color indexed="81"/>
            <rFont val="Tahoma"/>
            <family val="2"/>
          </rPr>
          <t>Lisa Oman:</t>
        </r>
        <r>
          <rPr>
            <sz val="9"/>
            <color indexed="81"/>
            <rFont val="Tahoma"/>
            <family val="2"/>
          </rPr>
          <t xml:space="preserve">
increased from 3.0 to 3.4 to allow Con Edison expansion potential</t>
        </r>
      </text>
    </comment>
    <comment ref="BP56" authorId="1" shapeId="0" xr:uid="{00000000-0006-0000-0D00-000017000000}">
      <text>
        <r>
          <rPr>
            <b/>
            <sz val="8"/>
            <color indexed="81"/>
            <rFont val="Tahoma"/>
            <family val="2"/>
          </rPr>
          <t>phaworkstation:</t>
        </r>
        <r>
          <rPr>
            <sz val="8"/>
            <color indexed="81"/>
            <rFont val="Tahoma"/>
            <family val="2"/>
          </rPr>
          <t xml:space="preserve">
As requested garage sf is based on 550 sf per utility vehicle </t>
        </r>
      </text>
    </comment>
    <comment ref="BS56" authorId="1" shapeId="0" xr:uid="{00000000-0006-0000-0D00-000018000000}">
      <text>
        <r>
          <rPr>
            <b/>
            <sz val="8"/>
            <color indexed="81"/>
            <rFont val="Tahoma"/>
            <family val="2"/>
          </rPr>
          <t>phaworkstation:</t>
        </r>
        <r>
          <rPr>
            <sz val="8"/>
            <color indexed="81"/>
            <rFont val="Tahoma"/>
            <family val="2"/>
          </rPr>
          <t xml:space="preserve">
total sf calculated 
based on max. FAR of 
3.0
</t>
        </r>
      </text>
    </comment>
    <comment ref="CA56" authorId="1" shapeId="0" xr:uid="{00000000-0006-0000-0D00-000019000000}">
      <text>
        <r>
          <rPr>
            <b/>
            <sz val="8"/>
            <color indexed="81"/>
            <rFont val="Tahoma"/>
            <family val="2"/>
          </rPr>
          <t>phaworkstation:</t>
        </r>
        <r>
          <rPr>
            <sz val="8"/>
            <color indexed="81"/>
            <rFont val="Tahoma"/>
            <family val="2"/>
          </rPr>
          <t xml:space="preserve">
Personal vehicles for Con Ed</t>
        </r>
      </text>
    </comment>
    <comment ref="CB56" authorId="1" shapeId="0" xr:uid="{00000000-0006-0000-0D00-00001A000000}">
      <text>
        <r>
          <rPr>
            <b/>
            <sz val="8"/>
            <color indexed="81"/>
            <rFont val="Tahoma"/>
            <family val="2"/>
          </rPr>
          <t>phaworkstation:</t>
        </r>
        <r>
          <rPr>
            <sz val="8"/>
            <color indexed="81"/>
            <rFont val="Tahoma"/>
            <family val="2"/>
          </rPr>
          <t xml:space="preserve">
Includes 86 accessory parking space for personal vehicles of Con Ed employees and 252 utility vehicles </t>
        </r>
      </text>
    </comment>
    <comment ref="CC56" authorId="1" shapeId="0" xr:uid="{00000000-0006-0000-0D00-00001B000000}">
      <text>
        <r>
          <rPr>
            <b/>
            <sz val="8"/>
            <color indexed="81"/>
            <rFont val="Tahoma"/>
            <family val="2"/>
          </rPr>
          <t>phaworkstation:</t>
        </r>
        <r>
          <rPr>
            <sz val="8"/>
            <color indexed="81"/>
            <rFont val="Tahoma"/>
            <family val="2"/>
          </rPr>
          <t xml:space="preserve">
Includes 86 accessory parking space for personal vehicles of Con Ed employees and 252 utility vehicles </t>
        </r>
      </text>
    </comment>
    <comment ref="CD56" authorId="2" shapeId="0" xr:uid="{00000000-0006-0000-0D00-00001C000000}">
      <text>
        <r>
          <rPr>
            <b/>
            <sz val="9"/>
            <color indexed="81"/>
            <rFont val="Tahoma"/>
            <family val="2"/>
          </rPr>
          <t>Lisa Oman:</t>
        </r>
        <r>
          <rPr>
            <sz val="9"/>
            <color indexed="81"/>
            <rFont val="Tahoma"/>
            <family val="2"/>
          </rPr>
          <t xml:space="preserve">
increased from 45 to 60'</t>
        </r>
      </text>
    </comment>
    <comment ref="AS60" authorId="1" shapeId="0" xr:uid="{00000000-0006-0000-0D00-00001D000000}">
      <text>
        <r>
          <rPr>
            <b/>
            <sz val="8"/>
            <color indexed="81"/>
            <rFont val="Tahoma"/>
            <family val="2"/>
          </rPr>
          <t>phaworkstation:</t>
        </r>
        <r>
          <rPr>
            <sz val="8"/>
            <color indexed="81"/>
            <rFont val="Tahoma"/>
            <family val="2"/>
          </rPr>
          <t xml:space="preserve">
LICENSED PUBLIC PARKING SPACES 
</t>
        </r>
      </text>
    </comment>
    <comment ref="AT60" authorId="1" shapeId="0" xr:uid="{00000000-0006-0000-0D00-00001E000000}">
      <text>
        <r>
          <rPr>
            <b/>
            <sz val="8"/>
            <color indexed="81"/>
            <rFont val="Tahoma"/>
            <family val="2"/>
          </rPr>
          <t>phaworkstation:</t>
        </r>
        <r>
          <rPr>
            <sz val="8"/>
            <color indexed="81"/>
            <rFont val="Tahoma"/>
            <family val="2"/>
          </rPr>
          <t xml:space="preserve">
ESTIMATED FROM GOOGLE EARTH
</t>
        </r>
      </text>
    </comment>
    <comment ref="AY62" authorId="1" shapeId="0" xr:uid="{00000000-0006-0000-0D00-00001F000000}">
      <text>
        <r>
          <rPr>
            <b/>
            <sz val="8"/>
            <color indexed="81"/>
            <rFont val="Tahoma"/>
            <family val="2"/>
          </rPr>
          <t>phaworkstation:</t>
        </r>
        <r>
          <rPr>
            <sz val="8"/>
            <color indexed="81"/>
            <rFont val="Tahoma"/>
            <family val="2"/>
          </rPr>
          <t xml:space="preserve">
Previously this lot had 4.6 for residential and 1.0 for CF, which would have exceeded the max allowable FAR which is 4.6 so based on our discussion with Dina to maintain the proposed residential FAR- we have retained the 4.6 proposed FAR for residential uses and assumed no commercial use for this lot. </t>
        </r>
      </text>
    </comment>
    <comment ref="AT65" authorId="1" shapeId="0" xr:uid="{00000000-0006-0000-0D00-000020000000}">
      <text>
        <r>
          <rPr>
            <b/>
            <sz val="8"/>
            <color indexed="81"/>
            <rFont val="Tahoma"/>
            <family val="2"/>
          </rPr>
          <t>phaworkstation:</t>
        </r>
        <r>
          <rPr>
            <sz val="8"/>
            <color indexed="81"/>
            <rFont val="Tahoma"/>
            <family val="2"/>
          </rPr>
          <t xml:space="preserve">
FROM DOB</t>
        </r>
      </text>
    </comment>
    <comment ref="AS69" authorId="1" shapeId="0" xr:uid="{00000000-0006-0000-0D00-000021000000}">
      <text>
        <r>
          <rPr>
            <b/>
            <sz val="8"/>
            <color indexed="81"/>
            <rFont val="Tahoma"/>
            <family val="2"/>
          </rPr>
          <t>phaworkstation:</t>
        </r>
        <r>
          <rPr>
            <sz val="8"/>
            <color indexed="81"/>
            <rFont val="Tahoma"/>
            <family val="2"/>
          </rPr>
          <t xml:space="preserve">
LICENSED # OF PUBLIC 
PARKING SPACES
</t>
        </r>
      </text>
    </comment>
    <comment ref="AT69" authorId="1" shapeId="0" xr:uid="{00000000-0006-0000-0D00-000022000000}">
      <text>
        <r>
          <rPr>
            <b/>
            <sz val="8"/>
            <color indexed="81"/>
            <rFont val="Tahoma"/>
            <family val="2"/>
          </rPr>
          <t>phaworkstation:</t>
        </r>
        <r>
          <rPr>
            <sz val="8"/>
            <color indexed="81"/>
            <rFont val="Tahoma"/>
            <family val="2"/>
          </rPr>
          <t xml:space="preserve">
BLDG HEIGHT FROM DOB</t>
        </r>
      </text>
    </comment>
    <comment ref="BS73" authorId="1" shapeId="0" xr:uid="{00000000-0006-0000-0D00-000023000000}">
      <text>
        <r>
          <rPr>
            <b/>
            <sz val="8"/>
            <color indexed="81"/>
            <rFont val="Tahoma"/>
            <family val="2"/>
          </rPr>
          <t>phaworkstation:</t>
        </r>
        <r>
          <rPr>
            <sz val="8"/>
            <color indexed="81"/>
            <rFont val="Tahoma"/>
            <family val="2"/>
          </rPr>
          <t xml:space="preserve">
Mixed-Use Bldg. in C-districts total floor area permitted may be increased by 1 sf for each sf of FRESH- up to 20,000 sf</t>
        </r>
      </text>
    </comment>
    <comment ref="M77" authorId="3" shapeId="0" xr:uid="{00000000-0006-0000-0D00-000024000000}">
      <text>
        <r>
          <rPr>
            <b/>
            <sz val="9"/>
            <color indexed="81"/>
            <rFont val="Tahoma"/>
            <family val="2"/>
          </rPr>
          <t>LJ:</t>
        </r>
        <r>
          <rPr>
            <sz val="9"/>
            <color indexed="81"/>
            <rFont val="Tahoma"/>
            <family val="2"/>
          </rPr>
          <t xml:space="preserve">
modified PLUTO data to reflect that the library occupies 17,334 sf as confirmed by HPD/EDC</t>
        </r>
      </text>
    </comment>
    <comment ref="AR77" authorId="1" shapeId="0" xr:uid="{00000000-0006-0000-0D00-000025000000}">
      <text>
        <r>
          <rPr>
            <b/>
            <sz val="8"/>
            <color indexed="81"/>
            <rFont val="Tahoma"/>
            <family val="2"/>
          </rPr>
          <t>phaworkstation:</t>
        </r>
        <r>
          <rPr>
            <sz val="8"/>
            <color indexed="81"/>
            <rFont val="Tahoma"/>
            <family val="2"/>
          </rPr>
          <t xml:space="preserve">
accessory parking spaces for adjacent public school 
</t>
        </r>
      </text>
    </comment>
    <comment ref="AS77" authorId="1" shapeId="0" xr:uid="{00000000-0006-0000-0D00-000026000000}">
      <text>
        <r>
          <rPr>
            <b/>
            <sz val="8"/>
            <color indexed="81"/>
            <rFont val="Tahoma"/>
            <family val="2"/>
          </rPr>
          <t>phaworkstation:</t>
        </r>
        <r>
          <rPr>
            <sz val="8"/>
            <color indexed="81"/>
            <rFont val="Tahoma"/>
            <family val="2"/>
          </rPr>
          <t xml:space="preserve">
NEED TO CONFIRM 3 SPACES FOR DOE, ESTIMATED FROM GOOGLE EARTH</t>
        </r>
      </text>
    </comment>
    <comment ref="AX77" authorId="1" shapeId="0" xr:uid="{00000000-0006-0000-0D00-000027000000}">
      <text>
        <r>
          <rPr>
            <b/>
            <sz val="8"/>
            <color indexed="81"/>
            <rFont val="Tahoma"/>
            <family val="2"/>
          </rPr>
          <t>phaworkstation:</t>
        </r>
        <r>
          <rPr>
            <sz val="8"/>
            <color indexed="81"/>
            <rFont val="Tahoma"/>
            <family val="2"/>
          </rPr>
          <t xml:space="preserve">
Corrected the Res and CF FAR based on project program shown in Table</t>
        </r>
      </text>
    </comment>
    <comment ref="AR81" authorId="2" shapeId="0" xr:uid="{00000000-0006-0000-0D00-000028000000}">
      <text>
        <r>
          <rPr>
            <b/>
            <sz val="9"/>
            <color indexed="81"/>
            <rFont val="Tahoma"/>
            <family val="2"/>
          </rPr>
          <t>Lisa Oman:</t>
        </r>
        <r>
          <rPr>
            <sz val="9"/>
            <color indexed="81"/>
            <rFont val="Tahoma"/>
            <family val="2"/>
          </rPr>
          <t xml:space="preserve">
AERIAL IMAGE OF SITE SHOWS LARGELY PASSENGER CARS</t>
        </r>
      </text>
    </comment>
    <comment ref="AS81" authorId="1" shapeId="0" xr:uid="{00000000-0006-0000-0D00-000029000000}">
      <text>
        <r>
          <rPr>
            <b/>
            <sz val="8"/>
            <color indexed="81"/>
            <rFont val="Tahoma"/>
            <family val="2"/>
          </rPr>
          <t>phaworkstation:</t>
        </r>
        <r>
          <rPr>
            <sz val="8"/>
            <color indexed="81"/>
            <rFont val="Tahoma"/>
            <family val="2"/>
          </rPr>
          <t xml:space="preserve">
Estimated from Aerial Photo of site 
vehicle storage for Time Warner/Spectrum vehicles and employees  personal vehicles </t>
        </r>
      </text>
    </comment>
    <comment ref="AU81" authorId="4" shapeId="0" xr:uid="{00000000-0006-0000-0D00-00002A000000}">
      <text>
        <r>
          <rPr>
            <b/>
            <sz val="9"/>
            <color indexed="81"/>
            <rFont val="Tahoma"/>
            <family val="2"/>
          </rPr>
          <t xml:space="preserve">Tatiana Martin:
Formerly site A
This site is still underbuilt in the proposed C6-2 district given that the district permits commercial uses up to a 6.0 FAR. The development program does not represent the reasonable worst case development scenario- Likely will raise concerns if there is no mechanism within the special district to limit development on this site. In addition will UG 16 be permitted? </t>
        </r>
      </text>
    </comment>
    <comment ref="CB81" authorId="1" shapeId="0" xr:uid="{00000000-0006-0000-0D00-00002B000000}">
      <text>
        <r>
          <rPr>
            <b/>
            <sz val="8"/>
            <color indexed="81"/>
            <rFont val="Tahoma"/>
            <family val="2"/>
          </rPr>
          <t>phaworkstation:</t>
        </r>
        <r>
          <rPr>
            <sz val="8"/>
            <color indexed="81"/>
            <rFont val="Tahoma"/>
            <family val="2"/>
          </rPr>
          <t xml:space="preserve">
vehicle storage for Spectrum utility vehicles- incl. 250 personal vehicles and 300 spectrum vans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Norabelle</author>
    <author>phaworkstation</author>
    <author>Lisa Ohmann</author>
  </authors>
  <commentList>
    <comment ref="AE3" authorId="0" shapeId="0" xr:uid="{00000000-0006-0000-0E00-000001000000}">
      <text>
        <r>
          <rPr>
            <b/>
            <sz val="8"/>
            <color indexed="81"/>
            <rFont val="Tahoma"/>
            <family val="2"/>
          </rPr>
          <t>Norabelle:</t>
        </r>
        <r>
          <rPr>
            <sz val="8"/>
            <color indexed="81"/>
            <rFont val="Tahoma"/>
            <family val="2"/>
          </rPr>
          <t xml:space="preserve">
Includes retail, auto-related, office, supermarket, garage, storage, </t>
        </r>
      </text>
    </comment>
    <comment ref="A4" authorId="1" shapeId="0" xr:uid="{00000000-0006-0000-0E00-000002000000}">
      <text>
        <r>
          <rPr>
            <b/>
            <sz val="8"/>
            <color indexed="81"/>
            <rFont val="Tahoma"/>
            <family val="2"/>
          </rPr>
          <t>phaworkstation:</t>
        </r>
        <r>
          <rPr>
            <sz val="8"/>
            <color indexed="81"/>
            <rFont val="Tahoma"/>
            <family val="2"/>
          </rPr>
          <t xml:space="preserve">
relabeled Site A (former Site AO)</t>
        </r>
      </text>
    </comment>
    <comment ref="AV44" authorId="2" shapeId="0" xr:uid="{00000000-0006-0000-0E00-000003000000}">
      <text>
        <r>
          <rPr>
            <b/>
            <sz val="9"/>
            <color indexed="81"/>
            <rFont val="Tahoma"/>
            <family val="2"/>
          </rPr>
          <t>Lisa Ohmann:</t>
        </r>
        <r>
          <rPr>
            <sz val="9"/>
            <color indexed="81"/>
            <rFont val="Tahoma"/>
            <family val="2"/>
          </rPr>
          <t xml:space="preserve">
added an additional 0.25 FAR to max. allowable FAR</t>
        </r>
      </text>
    </comment>
    <comment ref="BN48" authorId="1" shapeId="0" xr:uid="{00000000-0006-0000-0E00-000004000000}">
      <text>
        <r>
          <rPr>
            <b/>
            <sz val="8"/>
            <color indexed="81"/>
            <rFont val="Tahoma"/>
            <family val="2"/>
          </rPr>
          <t>phaworkstation:</t>
        </r>
        <r>
          <rPr>
            <sz val="8"/>
            <color indexed="81"/>
            <rFont val="Tahoma"/>
            <family val="2"/>
          </rPr>
          <t xml:space="preserve">
added +1 for rounding </t>
        </r>
      </text>
    </comment>
    <comment ref="BN52" authorId="1" shapeId="0" xr:uid="{00000000-0006-0000-0E00-000005000000}">
      <text>
        <r>
          <rPr>
            <b/>
            <sz val="8"/>
            <color indexed="81"/>
            <rFont val="Tahoma"/>
            <family val="2"/>
          </rPr>
          <t>phaworkstation:</t>
        </r>
        <r>
          <rPr>
            <sz val="8"/>
            <color indexed="81"/>
            <rFont val="Tahoma"/>
            <family val="2"/>
          </rPr>
          <t xml:space="preserve">
added +1 for rounding 
</t>
        </r>
      </text>
    </comment>
  </commentList>
</comments>
</file>

<file path=xl/sharedStrings.xml><?xml version="1.0" encoding="utf-8"?>
<sst xmlns="http://schemas.openxmlformats.org/spreadsheetml/2006/main" count="9408" uniqueCount="1834">
  <si>
    <t>Site</t>
  </si>
  <si>
    <t>BBL</t>
  </si>
  <si>
    <t>Neighborhood</t>
  </si>
  <si>
    <t>Source</t>
  </si>
  <si>
    <t>Jerome</t>
  </si>
  <si>
    <t>A-App Projected Sites</t>
  </si>
  <si>
    <t>A-App Potential Sites</t>
  </si>
  <si>
    <t>4156610001</t>
  </si>
  <si>
    <t>Downtown Far Rockaway</t>
  </si>
  <si>
    <t>DTFR RWCDS A-Text</t>
  </si>
  <si>
    <t>4157090101</t>
  </si>
  <si>
    <t>4157090109</t>
  </si>
  <si>
    <t>4155280005</t>
  </si>
  <si>
    <t>4155640045</t>
  </si>
  <si>
    <t>4155610034</t>
  </si>
  <si>
    <t>4155440040</t>
  </si>
  <si>
    <t>4155350001</t>
  </si>
  <si>
    <t>4155590012</t>
  </si>
  <si>
    <t>4155590054</t>
  </si>
  <si>
    <t>4156610080</t>
  </si>
  <si>
    <t>4155280009</t>
  </si>
  <si>
    <t>4157050140</t>
  </si>
  <si>
    <t>4157050006</t>
  </si>
  <si>
    <t>4157050078</t>
  </si>
  <si>
    <t>4157050081</t>
  </si>
  <si>
    <t>4157050084</t>
  </si>
  <si>
    <t>4157050001</t>
  </si>
  <si>
    <t>4157050088</t>
  </si>
  <si>
    <t>4155610008</t>
  </si>
  <si>
    <t>4155610010</t>
  </si>
  <si>
    <t>4155610058</t>
  </si>
  <si>
    <t>4155600008</t>
  </si>
  <si>
    <t>4155640040</t>
  </si>
  <si>
    <t>4155640042</t>
  </si>
  <si>
    <t>4155630031</t>
  </si>
  <si>
    <t>4155630040</t>
  </si>
  <si>
    <t>4155630043</t>
  </si>
  <si>
    <t>4155590008</t>
  </si>
  <si>
    <t>4155590058</t>
  </si>
  <si>
    <t>4155590062</t>
  </si>
  <si>
    <t>4155440034</t>
  </si>
  <si>
    <t>4155430043</t>
  </si>
  <si>
    <t>4155360012</t>
  </si>
  <si>
    <t>4155360015</t>
  </si>
  <si>
    <t>4155360018</t>
  </si>
  <si>
    <t>4155360022</t>
  </si>
  <si>
    <t>4155360028</t>
  </si>
  <si>
    <t>4155360006</t>
  </si>
  <si>
    <t>4155360031</t>
  </si>
  <si>
    <t>4155290161</t>
  </si>
  <si>
    <t>4155740036</t>
  </si>
  <si>
    <t>4155350011</t>
  </si>
  <si>
    <t>4155350058</t>
  </si>
  <si>
    <t>4155350059</t>
  </si>
  <si>
    <t>4155350060</t>
  </si>
  <si>
    <t>4155350061</t>
  </si>
  <si>
    <t>4155290009</t>
  </si>
  <si>
    <t>4155290010</t>
  </si>
  <si>
    <t>4155370001</t>
  </si>
  <si>
    <t>4155370005</t>
  </si>
  <si>
    <t>4155370040</t>
  </si>
  <si>
    <t>4155370046</t>
  </si>
  <si>
    <t>4155370050</t>
  </si>
  <si>
    <t>4155370051</t>
  </si>
  <si>
    <t>4155370053</t>
  </si>
  <si>
    <t>4155370054</t>
  </si>
  <si>
    <t>4155370055</t>
  </si>
  <si>
    <t>4155370056</t>
  </si>
  <si>
    <t>4155370057</t>
  </si>
  <si>
    <t>4155370058</t>
  </si>
  <si>
    <t>4155370059</t>
  </si>
  <si>
    <t>4155370060</t>
  </si>
  <si>
    <t>4155370063</t>
  </si>
  <si>
    <t>4155370065</t>
  </si>
  <si>
    <t>4155370071</t>
  </si>
  <si>
    <t>4155370079</t>
  </si>
  <si>
    <t>4155370089</t>
  </si>
  <si>
    <t>4155370092</t>
  </si>
  <si>
    <t>4155370094</t>
  </si>
  <si>
    <t>4155370099</t>
  </si>
  <si>
    <t>4155370100</t>
  </si>
  <si>
    <t>4155370112</t>
  </si>
  <si>
    <t>4155370128</t>
  </si>
  <si>
    <t>4155370130</t>
  </si>
  <si>
    <t>4157050059</t>
  </si>
  <si>
    <t>4157050069</t>
  </si>
  <si>
    <t>4155340070</t>
  </si>
  <si>
    <t>Bay Street</t>
  </si>
  <si>
    <t>RWCDS</t>
  </si>
  <si>
    <t>Potential_Sites</t>
  </si>
  <si>
    <t>East Harlem</t>
  </si>
  <si>
    <t>blocks lots w city priorities</t>
  </si>
  <si>
    <t>1022140024</t>
  </si>
  <si>
    <t>Inwood</t>
  </si>
  <si>
    <t>Projected_CCMod</t>
  </si>
  <si>
    <t>1022150842</t>
  </si>
  <si>
    <t>1022150852</t>
  </si>
  <si>
    <t>1022150857</t>
  </si>
  <si>
    <t>1022150863</t>
  </si>
  <si>
    <t>1022150866</t>
  </si>
  <si>
    <t>1022150877</t>
  </si>
  <si>
    <t>1021970067</t>
  </si>
  <si>
    <t>1021970071</t>
  </si>
  <si>
    <t>1021970074</t>
  </si>
  <si>
    <t>1021970174</t>
  </si>
  <si>
    <t>1022150885</t>
  </si>
  <si>
    <t>1022430255</t>
  </si>
  <si>
    <t>1022430250</t>
  </si>
  <si>
    <t>1021970075</t>
  </si>
  <si>
    <t>1021970047</t>
  </si>
  <si>
    <t>1022300021</t>
  </si>
  <si>
    <t>1021880010</t>
  </si>
  <si>
    <t>1021880001</t>
  </si>
  <si>
    <t>1022030009</t>
  </si>
  <si>
    <t>1022030021</t>
  </si>
  <si>
    <t>1022000015</t>
  </si>
  <si>
    <t>1022000021</t>
  </si>
  <si>
    <t>1022000029</t>
  </si>
  <si>
    <t>1022010021</t>
  </si>
  <si>
    <t>1021850025</t>
  </si>
  <si>
    <t>1021850051</t>
  </si>
  <si>
    <t>1022020001</t>
  </si>
  <si>
    <t>1022020005</t>
  </si>
  <si>
    <t>1021850001</t>
  </si>
  <si>
    <t>1021840020</t>
  </si>
  <si>
    <t>1021990001</t>
  </si>
  <si>
    <t>1021990011</t>
  </si>
  <si>
    <t>1021990034</t>
  </si>
  <si>
    <t>1021980001</t>
  </si>
  <si>
    <t>1021980005</t>
  </si>
  <si>
    <t>1022320018</t>
  </si>
  <si>
    <t>1022330001</t>
  </si>
  <si>
    <t>1022330005</t>
  </si>
  <si>
    <t>1022330010</t>
  </si>
  <si>
    <t>1022330013</t>
  </si>
  <si>
    <t>1022330020</t>
  </si>
  <si>
    <t>1022190019</t>
  </si>
  <si>
    <t>Potential_CCMod</t>
  </si>
  <si>
    <t>1022190017</t>
  </si>
  <si>
    <t>1022150801</t>
  </si>
  <si>
    <t>1022150806</t>
  </si>
  <si>
    <t>1022150807</t>
  </si>
  <si>
    <t>1022140041</t>
  </si>
  <si>
    <t>1022140035</t>
  </si>
  <si>
    <t>1022140039</t>
  </si>
  <si>
    <t>1022430266</t>
  </si>
  <si>
    <t>1022430261</t>
  </si>
  <si>
    <t>1022430264</t>
  </si>
  <si>
    <t>1022290025</t>
  </si>
  <si>
    <t>1022290032</t>
  </si>
  <si>
    <t>1022430247</t>
  </si>
  <si>
    <t>1022320001</t>
  </si>
  <si>
    <t>1022320004</t>
  </si>
  <si>
    <t>1022320005</t>
  </si>
  <si>
    <t>1022320013</t>
  </si>
  <si>
    <t>1022320014</t>
  </si>
  <si>
    <t>1022430273</t>
  </si>
  <si>
    <t>1022430270</t>
  </si>
  <si>
    <t>1021870007</t>
  </si>
  <si>
    <t>1021870005</t>
  </si>
  <si>
    <t>1021870001</t>
  </si>
  <si>
    <t>1022280032</t>
  </si>
  <si>
    <t>1022230034</t>
  </si>
  <si>
    <t>1022140001</t>
  </si>
  <si>
    <t>1021890060</t>
  </si>
  <si>
    <t>1022030003</t>
  </si>
  <si>
    <t>1022030005</t>
  </si>
  <si>
    <t>1022030007</t>
  </si>
  <si>
    <t>1022020025</t>
  </si>
  <si>
    <t>1022020021</t>
  </si>
  <si>
    <t>1022020017</t>
  </si>
  <si>
    <t>1021860001</t>
  </si>
  <si>
    <t>1022000005</t>
  </si>
  <si>
    <t>1022000001</t>
  </si>
  <si>
    <t>1022000035</t>
  </si>
  <si>
    <t>3014370046</t>
  </si>
  <si>
    <t>East New York</t>
  </si>
  <si>
    <t>projected sites_raw</t>
  </si>
  <si>
    <t>3014370058</t>
  </si>
  <si>
    <t>3015440021</t>
  </si>
  <si>
    <t>3015440042</t>
  </si>
  <si>
    <t>3036600001</t>
  </si>
  <si>
    <t>3036600002</t>
  </si>
  <si>
    <t>3036600029</t>
  </si>
  <si>
    <t>3036610001</t>
  </si>
  <si>
    <t>3036620048</t>
  </si>
  <si>
    <t>3036620049</t>
  </si>
  <si>
    <t>3036690013</t>
  </si>
  <si>
    <t>3036690017</t>
  </si>
  <si>
    <t>3036690020</t>
  </si>
  <si>
    <t>3036690022</t>
  </si>
  <si>
    <t>3036690026</t>
  </si>
  <si>
    <t>3036700009</t>
  </si>
  <si>
    <t>3036700031</t>
  </si>
  <si>
    <t>3036700033</t>
  </si>
  <si>
    <t>3036700013</t>
  </si>
  <si>
    <t>3036700014</t>
  </si>
  <si>
    <t>3036700015</t>
  </si>
  <si>
    <t>3036700029</t>
  </si>
  <si>
    <t>3036700030</t>
  </si>
  <si>
    <t>3036700016</t>
  </si>
  <si>
    <t>3036700017</t>
  </si>
  <si>
    <t>3036700018</t>
  </si>
  <si>
    <t>3036730014</t>
  </si>
  <si>
    <t>3036730015</t>
  </si>
  <si>
    <t>3036730016</t>
  </si>
  <si>
    <t>3036750010</t>
  </si>
  <si>
    <t>3036750011</t>
  </si>
  <si>
    <t>3036870012</t>
  </si>
  <si>
    <t>3036880011</t>
  </si>
  <si>
    <t>3036880018</t>
  </si>
  <si>
    <t>3036880033</t>
  </si>
  <si>
    <t>3036910011</t>
  </si>
  <si>
    <t>3036910013</t>
  </si>
  <si>
    <t>3037030015</t>
  </si>
  <si>
    <t>3037030016</t>
  </si>
  <si>
    <t>3037030017</t>
  </si>
  <si>
    <t>3037030018</t>
  </si>
  <si>
    <t>3039330055</t>
  </si>
  <si>
    <t>3039390026</t>
  </si>
  <si>
    <t>3039390027</t>
  </si>
  <si>
    <t>3039420001</t>
  </si>
  <si>
    <t>3039420016</t>
  </si>
  <si>
    <t>3039420019</t>
  </si>
  <si>
    <t>3039420021</t>
  </si>
  <si>
    <t>3039460014</t>
  </si>
  <si>
    <t>3039460017</t>
  </si>
  <si>
    <t>3039460018</t>
  </si>
  <si>
    <t>3039470001</t>
  </si>
  <si>
    <t>3039470005</t>
  </si>
  <si>
    <t>3039470009</t>
  </si>
  <si>
    <t>3039520042</t>
  </si>
  <si>
    <t>3039540045</t>
  </si>
  <si>
    <t>3039540055</t>
  </si>
  <si>
    <t>3039550045</t>
  </si>
  <si>
    <t>3039550046</t>
  </si>
  <si>
    <t>3039550047</t>
  </si>
  <si>
    <t>3039550048</t>
  </si>
  <si>
    <t>3039550049</t>
  </si>
  <si>
    <t>3039550052</t>
  </si>
  <si>
    <t>3039550053</t>
  </si>
  <si>
    <t>3039570049</t>
  </si>
  <si>
    <t>3039570053</t>
  </si>
  <si>
    <t>3039580020</t>
  </si>
  <si>
    <t>3039590018</t>
  </si>
  <si>
    <t>3039610001</t>
  </si>
  <si>
    <t>3039610003</t>
  </si>
  <si>
    <t>3039610005</t>
  </si>
  <si>
    <t>3039610007</t>
  </si>
  <si>
    <t>3039610015</t>
  </si>
  <si>
    <t>3039610016</t>
  </si>
  <si>
    <t>3039610113</t>
  </si>
  <si>
    <t>3039610031</t>
  </si>
  <si>
    <t>3039610032</t>
  </si>
  <si>
    <t>3039610033</t>
  </si>
  <si>
    <t>3039620030</t>
  </si>
  <si>
    <t>3039620031</t>
  </si>
  <si>
    <t>3039620032</t>
  </si>
  <si>
    <t>3039630014</t>
  </si>
  <si>
    <t>3039630015</t>
  </si>
  <si>
    <t>3039630016</t>
  </si>
  <si>
    <t>3039640002</t>
  </si>
  <si>
    <t>3039640003</t>
  </si>
  <si>
    <t>3039640004</t>
  </si>
  <si>
    <t>3039640008</t>
  </si>
  <si>
    <t>3039640023</t>
  </si>
  <si>
    <t>3039640024</t>
  </si>
  <si>
    <t>3039640025</t>
  </si>
  <si>
    <t>3039640026</t>
  </si>
  <si>
    <t>3039640027</t>
  </si>
  <si>
    <t>3039660012</t>
  </si>
  <si>
    <t>3039660013</t>
  </si>
  <si>
    <t>3039660014</t>
  </si>
  <si>
    <t>3039660015</t>
  </si>
  <si>
    <t>3039660016</t>
  </si>
  <si>
    <t>3015540016</t>
  </si>
  <si>
    <t>3039710017</t>
  </si>
  <si>
    <t>3039710019</t>
  </si>
  <si>
    <t>3039710021</t>
  </si>
  <si>
    <t>3039720056</t>
  </si>
  <si>
    <t>3039720057</t>
  </si>
  <si>
    <t>3039730022</t>
  </si>
  <si>
    <t>3039730024</t>
  </si>
  <si>
    <t>3039730050</t>
  </si>
  <si>
    <t>3039730052</t>
  </si>
  <si>
    <t>3039730053</t>
  </si>
  <si>
    <t>3039730055</t>
  </si>
  <si>
    <t>3039770017</t>
  </si>
  <si>
    <t>3039770018</t>
  </si>
  <si>
    <t>3039770019</t>
  </si>
  <si>
    <t>3039770020</t>
  </si>
  <si>
    <t>3039770021</t>
  </si>
  <si>
    <t>3039780014</t>
  </si>
  <si>
    <t>3039780015</t>
  </si>
  <si>
    <t>3039820011</t>
  </si>
  <si>
    <t>3039820013</t>
  </si>
  <si>
    <t>3039830013</t>
  </si>
  <si>
    <t>3039830015</t>
  </si>
  <si>
    <t>3039840015</t>
  </si>
  <si>
    <t>3039850015</t>
  </si>
  <si>
    <t>3039850016</t>
  </si>
  <si>
    <t>3039850017</t>
  </si>
  <si>
    <t>3039850018</t>
  </si>
  <si>
    <t>3039860011</t>
  </si>
  <si>
    <t>3039860013</t>
  </si>
  <si>
    <t>3039860014</t>
  </si>
  <si>
    <t>3039890009</t>
  </si>
  <si>
    <t>3039890010</t>
  </si>
  <si>
    <t>3039890012</t>
  </si>
  <si>
    <t>3039890014</t>
  </si>
  <si>
    <t>3039890016</t>
  </si>
  <si>
    <t>3039910008</t>
  </si>
  <si>
    <t>3039920015</t>
  </si>
  <si>
    <t>3039920017</t>
  </si>
  <si>
    <t>3039920018</t>
  </si>
  <si>
    <t>3039920020</t>
  </si>
  <si>
    <t>3039940028</t>
  </si>
  <si>
    <t>3039960034</t>
  </si>
  <si>
    <t>3039960035</t>
  </si>
  <si>
    <t>3039960036</t>
  </si>
  <si>
    <t>3039960037</t>
  </si>
  <si>
    <t>3039960039</t>
  </si>
  <si>
    <t>3039980030</t>
  </si>
  <si>
    <t>3039980032</t>
  </si>
  <si>
    <t>3039980033</t>
  </si>
  <si>
    <t>3039980037</t>
  </si>
  <si>
    <t>3040030035</t>
  </si>
  <si>
    <t>3040050016</t>
  </si>
  <si>
    <t>3040050017</t>
  </si>
  <si>
    <t>3040060011</t>
  </si>
  <si>
    <t>3040060013</t>
  </si>
  <si>
    <t>3040060019</t>
  </si>
  <si>
    <t>3040100017</t>
  </si>
  <si>
    <t>3040100019</t>
  </si>
  <si>
    <t>3040170015</t>
  </si>
  <si>
    <t>3040170019</t>
  </si>
  <si>
    <t>3041390025</t>
  </si>
  <si>
    <t>3041390029</t>
  </si>
  <si>
    <t>3041420001</t>
  </si>
  <si>
    <t>3041420032</t>
  </si>
  <si>
    <t>3041430001</t>
  </si>
  <si>
    <t>3041490050</t>
  </si>
  <si>
    <t>3041530034</t>
  </si>
  <si>
    <t>3041530040</t>
  </si>
  <si>
    <t>3041530076</t>
  </si>
  <si>
    <t>3041530078</t>
  </si>
  <si>
    <t>3041530079</t>
  </si>
  <si>
    <t>3041530082</t>
  </si>
  <si>
    <t>3041540028</t>
  </si>
  <si>
    <t>3041540035</t>
  </si>
  <si>
    <t>3041540045</t>
  </si>
  <si>
    <t>3041540099</t>
  </si>
  <si>
    <t>3041540100</t>
  </si>
  <si>
    <t>3041940017</t>
  </si>
  <si>
    <t>3041950006</t>
  </si>
  <si>
    <t>3041950021</t>
  </si>
  <si>
    <t>3041950030</t>
  </si>
  <si>
    <t>3042140012</t>
  </si>
  <si>
    <t>3042140020</t>
  </si>
  <si>
    <t>3042280013</t>
  </si>
  <si>
    <t>3042280017</t>
  </si>
  <si>
    <t>3042320018</t>
  </si>
  <si>
    <t>3042320017</t>
  </si>
  <si>
    <t>3039890001</t>
  </si>
  <si>
    <t>3039890034</t>
  </si>
  <si>
    <t>3039890036</t>
  </si>
  <si>
    <t>3042100001</t>
  </si>
  <si>
    <t>3042100035</t>
  </si>
  <si>
    <t>3042100034</t>
  </si>
  <si>
    <t>3042100043</t>
  </si>
  <si>
    <t>3014370021</t>
  </si>
  <si>
    <t>potential sites_raw</t>
  </si>
  <si>
    <t>3014370023</t>
  </si>
  <si>
    <t>3014500001</t>
  </si>
  <si>
    <t>3014500002</t>
  </si>
  <si>
    <t>3014500003</t>
  </si>
  <si>
    <t>3014500050</t>
  </si>
  <si>
    <t>3014500051</t>
  </si>
  <si>
    <t>3014500053</t>
  </si>
  <si>
    <t>3014370001</t>
  </si>
  <si>
    <t>3015400070</t>
  </si>
  <si>
    <t>3015400072</t>
  </si>
  <si>
    <t>3015400082</t>
  </si>
  <si>
    <t>3015440014</t>
  </si>
  <si>
    <t>3015440015</t>
  </si>
  <si>
    <t>3015440016</t>
  </si>
  <si>
    <t>3015430001</t>
  </si>
  <si>
    <t>3015530013</t>
  </si>
  <si>
    <t>3015530018</t>
  </si>
  <si>
    <t>3015540001</t>
  </si>
  <si>
    <t>3015740023</t>
  </si>
  <si>
    <t>3015740032</t>
  </si>
  <si>
    <t>3036710041</t>
  </si>
  <si>
    <t>3036710042</t>
  </si>
  <si>
    <t>3036710043</t>
  </si>
  <si>
    <t>3036720043</t>
  </si>
  <si>
    <t>3036720046</t>
  </si>
  <si>
    <t>3036730020</t>
  </si>
  <si>
    <t>3036730021</t>
  </si>
  <si>
    <t>3036730036</t>
  </si>
  <si>
    <t>3036730037</t>
  </si>
  <si>
    <t>3036730038</t>
  </si>
  <si>
    <t>3036730039</t>
  </si>
  <si>
    <t>3036740038</t>
  </si>
  <si>
    <t>3036740039</t>
  </si>
  <si>
    <t>3036740040</t>
  </si>
  <si>
    <t>3036750001</t>
  </si>
  <si>
    <t>3036750025</t>
  </si>
  <si>
    <t>3036870005</t>
  </si>
  <si>
    <t>3036870006</t>
  </si>
  <si>
    <t>3036870007</t>
  </si>
  <si>
    <t>3039730046</t>
  </si>
  <si>
    <t>3036880009</t>
  </si>
  <si>
    <t>3036890025</t>
  </si>
  <si>
    <t>3036890026</t>
  </si>
  <si>
    <t>3036890012</t>
  </si>
  <si>
    <t>3036890019</t>
  </si>
  <si>
    <t>3036890020</t>
  </si>
  <si>
    <t>3036890021</t>
  </si>
  <si>
    <t>3036890022</t>
  </si>
  <si>
    <t>3036890023</t>
  </si>
  <si>
    <t>3036890024</t>
  </si>
  <si>
    <t>3036900011</t>
  </si>
  <si>
    <t>3036900012</t>
  </si>
  <si>
    <t>3036900013</t>
  </si>
  <si>
    <t>3036900014</t>
  </si>
  <si>
    <t>3036900015</t>
  </si>
  <si>
    <t>3037030035</t>
  </si>
  <si>
    <t>3037030036</t>
  </si>
  <si>
    <t>3037200021</t>
  </si>
  <si>
    <t>3037220028</t>
  </si>
  <si>
    <t>3037420016</t>
  </si>
  <si>
    <t>3037420018</t>
  </si>
  <si>
    <t>3037420020</t>
  </si>
  <si>
    <t>3039350044</t>
  </si>
  <si>
    <t>3039500017</t>
  </si>
  <si>
    <t>3039500018</t>
  </si>
  <si>
    <t>3039500019</t>
  </si>
  <si>
    <t>3039500020</t>
  </si>
  <si>
    <t>3039510042</t>
  </si>
  <si>
    <t>3039530045</t>
  </si>
  <si>
    <t>3039550020</t>
  </si>
  <si>
    <t>3039550021</t>
  </si>
  <si>
    <t>3039550022</t>
  </si>
  <si>
    <t>3039550023</t>
  </si>
  <si>
    <t>3039560023</t>
  </si>
  <si>
    <t>3039560024</t>
  </si>
  <si>
    <t>3039610026</t>
  </si>
  <si>
    <t>3039610027</t>
  </si>
  <si>
    <t>3039610029</t>
  </si>
  <si>
    <t>3039610030</t>
  </si>
  <si>
    <t>3039630003</t>
  </si>
  <si>
    <t>3039650003</t>
  </si>
  <si>
    <t>3039650004</t>
  </si>
  <si>
    <t>3039650006</t>
  </si>
  <si>
    <t>3039650007</t>
  </si>
  <si>
    <t>3039650032</t>
  </si>
  <si>
    <t>3039650033</t>
  </si>
  <si>
    <t>3039670019</t>
  </si>
  <si>
    <t>3039670020</t>
  </si>
  <si>
    <t>3039670021</t>
  </si>
  <si>
    <t>3039670022</t>
  </si>
  <si>
    <t>3039670024</t>
  </si>
  <si>
    <t>3039670025</t>
  </si>
  <si>
    <t>3039710039</t>
  </si>
  <si>
    <t>3039710040</t>
  </si>
  <si>
    <t>3039710041</t>
  </si>
  <si>
    <t>3039710044</t>
  </si>
  <si>
    <t>3039710045</t>
  </si>
  <si>
    <t>3039710053</t>
  </si>
  <si>
    <t>3039710054</t>
  </si>
  <si>
    <t>3039720020</t>
  </si>
  <si>
    <t>3039720022</t>
  </si>
  <si>
    <t>3039760031</t>
  </si>
  <si>
    <t>3039760035</t>
  </si>
  <si>
    <t>3039800014</t>
  </si>
  <si>
    <t>3039800015</t>
  </si>
  <si>
    <t>3039800017</t>
  </si>
  <si>
    <t>3039800019</t>
  </si>
  <si>
    <t>3039820017</t>
  </si>
  <si>
    <t>3039820018</t>
  </si>
  <si>
    <t>3039890020</t>
  </si>
  <si>
    <t>3039890024</t>
  </si>
  <si>
    <t>3039890025</t>
  </si>
  <si>
    <t>3039950029</t>
  </si>
  <si>
    <t>3039950031</t>
  </si>
  <si>
    <t>3039950032</t>
  </si>
  <si>
    <t>3039950129</t>
  </si>
  <si>
    <t>3040040019</t>
  </si>
  <si>
    <t>3040040020</t>
  </si>
  <si>
    <t>3040180015</t>
  </si>
  <si>
    <t>3040180016</t>
  </si>
  <si>
    <t>3040180017</t>
  </si>
  <si>
    <t>3040180018</t>
  </si>
  <si>
    <t>3040180019</t>
  </si>
  <si>
    <t>3040180118</t>
  </si>
  <si>
    <t>3040240018</t>
  </si>
  <si>
    <t>3041260001</t>
  </si>
  <si>
    <t>3041540092</t>
  </si>
  <si>
    <t>3041540093</t>
  </si>
  <si>
    <t>3041540094</t>
  </si>
  <si>
    <t>3041540095</t>
  </si>
  <si>
    <t>3041620002</t>
  </si>
  <si>
    <t>3041620010</t>
  </si>
  <si>
    <t>3042110043</t>
  </si>
  <si>
    <t>3042110045</t>
  </si>
  <si>
    <t>3039620009</t>
  </si>
  <si>
    <t>3039580049</t>
  </si>
  <si>
    <t>3041370044</t>
  </si>
  <si>
    <t>3037050016</t>
  </si>
  <si>
    <t>3036700025</t>
  </si>
  <si>
    <t>3036700027</t>
  </si>
  <si>
    <t>3036720048</t>
  </si>
  <si>
    <t>3036720049</t>
  </si>
  <si>
    <t>3036720050</t>
  </si>
  <si>
    <t>3036720051</t>
  </si>
  <si>
    <t>3036860015</t>
  </si>
  <si>
    <t>3036860016</t>
  </si>
  <si>
    <t>3036860017</t>
  </si>
  <si>
    <t>3036860019</t>
  </si>
  <si>
    <t>3036860021</t>
  </si>
  <si>
    <t>3036870112</t>
  </si>
  <si>
    <t>3036890011</t>
  </si>
  <si>
    <t>3036910014</t>
  </si>
  <si>
    <t>3036910015</t>
  </si>
  <si>
    <t>3036910016</t>
  </si>
  <si>
    <t>3036910018</t>
  </si>
  <si>
    <t>3037210001</t>
  </si>
  <si>
    <t>3039360042</t>
  </si>
  <si>
    <t>3039490001</t>
  </si>
  <si>
    <t>3039590052</t>
  </si>
  <si>
    <t>3039590054</t>
  </si>
  <si>
    <t>3039600021</t>
  </si>
  <si>
    <t>3039600058</t>
  </si>
  <si>
    <t>3039620001</t>
  </si>
  <si>
    <t>3039620002</t>
  </si>
  <si>
    <t>3039630008</t>
  </si>
  <si>
    <t>3039630018</t>
  </si>
  <si>
    <t>3039630026</t>
  </si>
  <si>
    <t>3039640001</t>
  </si>
  <si>
    <t>3039640033</t>
  </si>
  <si>
    <t>3039640034</t>
  </si>
  <si>
    <t>3039640035</t>
  </si>
  <si>
    <t>3039650001</t>
  </si>
  <si>
    <t>3039650011</t>
  </si>
  <si>
    <t>3039670013</t>
  </si>
  <si>
    <t>3039670015</t>
  </si>
  <si>
    <t>3039710010</t>
  </si>
  <si>
    <t>3039710011</t>
  </si>
  <si>
    <t>3039710024</t>
  </si>
  <si>
    <t>3039710025</t>
  </si>
  <si>
    <t>3039710026</t>
  </si>
  <si>
    <t>3039730057</t>
  </si>
  <si>
    <t>3039730058</t>
  </si>
  <si>
    <t>3039790011</t>
  </si>
  <si>
    <t>3039790012</t>
  </si>
  <si>
    <t>3039790013</t>
  </si>
  <si>
    <t>3039870017</t>
  </si>
  <si>
    <t>3040050019</t>
  </si>
  <si>
    <t>3040050020</t>
  </si>
  <si>
    <t>3040050021</t>
  </si>
  <si>
    <t>3040170022</t>
  </si>
  <si>
    <t>3040170025</t>
  </si>
  <si>
    <t>3041280066</t>
  </si>
  <si>
    <t>3041370039</t>
  </si>
  <si>
    <t>3041370043</t>
  </si>
  <si>
    <t>3041370056</t>
  </si>
  <si>
    <t>3041370063</t>
  </si>
  <si>
    <t>3041400027</t>
  </si>
  <si>
    <t>3041400028</t>
  </si>
  <si>
    <t>3041410001</t>
  </si>
  <si>
    <t>3041410004</t>
  </si>
  <si>
    <t>3041410027</t>
  </si>
  <si>
    <t>3041410030</t>
  </si>
  <si>
    <t>3041410033</t>
  </si>
  <si>
    <t>3041410035</t>
  </si>
  <si>
    <t>3041410039</t>
  </si>
  <si>
    <t>3041560001</t>
  </si>
  <si>
    <t>3041560045</t>
  </si>
  <si>
    <t>3041560050</t>
  </si>
  <si>
    <t>3041620018</t>
  </si>
  <si>
    <t>3041620022</t>
  </si>
  <si>
    <t>3041620029</t>
  </si>
  <si>
    <t>3041670022</t>
  </si>
  <si>
    <t>3041670024</t>
  </si>
  <si>
    <t>3041670025</t>
  </si>
  <si>
    <t>3042140001</t>
  </si>
  <si>
    <t>3042140006</t>
  </si>
  <si>
    <t>3039880028</t>
  </si>
  <si>
    <t>3039880034</t>
  </si>
  <si>
    <t>3039880035</t>
  </si>
  <si>
    <t>Files:</t>
  </si>
  <si>
    <t>Source:</t>
  </si>
  <si>
    <t>Notes:</t>
  </si>
  <si>
    <t>Jerome:</t>
  </si>
  <si>
    <t>G:\02. Capital Planning Initiatives\01. By Agency\DEP\Neighborhoods &amp; NDF Allocation\By Neighborhood\Jerome\Projected Potential\Copy of RWCDS_final_published_A_Application_FEIS_appendix edited.xlsx</t>
  </si>
  <si>
    <t>Bay Street:</t>
  </si>
  <si>
    <t>G:\02. Capital Planning Initiatives\01. By Agency\DEP\Neighborhoods &amp; NDF Allocation\By Neighborhood\Bay Street Corridor\Projected Potential\Copy of Bay Street RWCDS_Revised_8.3.18.xlsx</t>
  </si>
  <si>
    <t>Concatenated BBLs in red</t>
  </si>
  <si>
    <t>Downtown Far Rockaway:</t>
  </si>
  <si>
    <t>G:\02. Capital Planning Initiatives\01. By Agency\DEP\Neighborhoods &amp; NDF Allocation\By Neighborhood\Downtown Far Rockaway\Projected Potential\Copy of A-Text RWCDS Tables_4_7_17.xlsx</t>
  </si>
  <si>
    <t>East Harlem:</t>
  </si>
  <si>
    <t>G:\02. Capital Planning Initiatives\01. By Agency\DEP\Neighborhoods &amp; NDF Allocation\By Neighborhood\East Harlem\Projected Potential\updated_softsites_permodmassings.xlsx</t>
  </si>
  <si>
    <t xml:space="preserve">Inwood: </t>
  </si>
  <si>
    <t>G:\02. Capital Planning Initiatives\01. By Agency\DEP\Neighborhoods &amp; NDF Allocation\By Neighborhood\Inwood\Projected Potential\Copy of Copy of draftmod_woU_ccmodv2 (002).xlsx</t>
  </si>
  <si>
    <t>East New York:</t>
  </si>
  <si>
    <t>G:\02. Capital Planning Initiatives\01. By Agency\DEP\Neighborhoods &amp; NDF Allocation\By Neighborhood\East New York\Projected Potential\181109 RWCDS Projected Potenital Sites.xls</t>
  </si>
  <si>
    <t>BBL from 'Consolidated Sites and BBLs' sheet selected from RWCDS sheets available in Raw Data.</t>
  </si>
  <si>
    <t>TABLE 1: PROJECTED DEVELOPMENT SITE SUMMARY</t>
  </si>
  <si>
    <t>Site Info</t>
  </si>
  <si>
    <t>Existing Conditions</t>
  </si>
  <si>
    <t>Future Without-Action Conditions</t>
  </si>
  <si>
    <t>Future With-Action Conditions</t>
  </si>
  <si>
    <t>Increment</t>
  </si>
  <si>
    <t>Site #</t>
  </si>
  <si>
    <t>Tax Block</t>
  </si>
  <si>
    <t>Tax Lot</t>
  </si>
  <si>
    <t>Lot Area (SF)</t>
  </si>
  <si>
    <t>Existing 
Zoning</t>
  </si>
  <si>
    <t>Existing 
Overlay</t>
  </si>
  <si>
    <t>Built FAR</t>
  </si>
  <si>
    <t>Maximum Res 
FAR</t>
  </si>
  <si>
    <t>Maximum Comm FAR</t>
  </si>
  <si>
    <t>Maximum Facility FAR</t>
  </si>
  <si>
    <t>Comml 
SF+</t>
  </si>
  <si>
    <t>Auto Rel.</t>
  </si>
  <si>
    <t>Office (SF)</t>
  </si>
  <si>
    <t>Total 
SF</t>
  </si>
  <si>
    <t>Total 
DU's</t>
  </si>
  <si>
    <t>Residential 
SF</t>
  </si>
  <si>
    <t>Total commercial SF</t>
  </si>
  <si>
    <t>TOTAL commercial SF</t>
  </si>
  <si>
    <t>Commercial (minus restaurant)</t>
  </si>
  <si>
    <t>Total Restaurant 
SF</t>
  </si>
  <si>
    <t>Restaurant 
SF</t>
  </si>
  <si>
    <t>Supermarket (FRESH)</t>
  </si>
  <si>
    <t>Retail SF</t>
  </si>
  <si>
    <t>Retail</t>
  </si>
  <si>
    <t>Auto-Related
SF</t>
  </si>
  <si>
    <t>Auto Sales TOT</t>
  </si>
  <si>
    <t>Auto Sales</t>
  </si>
  <si>
    <t>Auto Repair</t>
  </si>
  <si>
    <t>Auto Repair tot</t>
  </si>
  <si>
    <t>Hotel
SF</t>
  </si>
  <si>
    <t>Office 
SF</t>
  </si>
  <si>
    <t>Office Total (with other comm)</t>
  </si>
  <si>
    <t>Storage
SF</t>
  </si>
  <si>
    <t>Garage
SF</t>
  </si>
  <si>
    <t>Other Comm
SF</t>
  </si>
  <si>
    <t>Industrial
SF</t>
  </si>
  <si>
    <t>TOTAL C Fac 
SF</t>
  </si>
  <si>
    <t>Medical Office</t>
  </si>
  <si>
    <t>House of Worship</t>
  </si>
  <si>
    <t>Day Care Center</t>
  </si>
  <si>
    <t>Pre-K School</t>
  </si>
  <si>
    <t>Community Center</t>
  </si>
  <si>
    <t>Other C Fac SF</t>
  </si>
  <si>
    <r>
      <rPr>
        <b/>
        <i/>
        <sz val="8"/>
        <rFont val="Calibri"/>
        <family val="2"/>
        <scheme val="minor"/>
      </rPr>
      <t xml:space="preserve">NO ACTION </t>
    </r>
    <r>
      <rPr>
        <i/>
        <sz val="8"/>
        <rFont val="Calibri"/>
        <family val="2"/>
        <scheme val="minor"/>
      </rPr>
      <t>Total DU's</t>
    </r>
  </si>
  <si>
    <t>Affordable DU's</t>
  </si>
  <si>
    <t>Total Residents</t>
  </si>
  <si>
    <t>Total Workers</t>
  </si>
  <si>
    <t>Mkt Rate 
Hsg Pkg</t>
  </si>
  <si>
    <t>Affordable Hsg Parking</t>
  </si>
  <si>
    <t>Comm Pkg
Parking</t>
  </si>
  <si>
    <t>GroceryStore</t>
  </si>
  <si>
    <t>Hotel 
Parking</t>
  </si>
  <si>
    <t>Parking 
Garage/SurfaceLot</t>
  </si>
  <si>
    <t>Manuf 
Parking</t>
  </si>
  <si>
    <t>C Fac 
Parking</t>
  </si>
  <si>
    <t>Total 
Parking</t>
  </si>
  <si>
    <t>Bldg Height</t>
  </si>
  <si>
    <t>Prop. 
Zoning</t>
  </si>
  <si>
    <t>Prop. Max. Residential FAR</t>
  </si>
  <si>
    <t>Proposed Max Commercial FAR</t>
  </si>
  <si>
    <t>Proposed Max C. Facility FAR</t>
  </si>
  <si>
    <t>Prop.
Overlay</t>
  </si>
  <si>
    <t>Total Residential SF</t>
  </si>
  <si>
    <t>Total Commercial SF+</t>
  </si>
  <si>
    <t>Total Comml
SF (minus restaurant)</t>
  </si>
  <si>
    <t>Total Supermarket (FRESH)</t>
  </si>
  <si>
    <t>Total Retail</t>
  </si>
  <si>
    <t>Total Office SF</t>
  </si>
  <si>
    <t>Office SF</t>
  </si>
  <si>
    <r>
      <rPr>
        <b/>
        <i/>
        <sz val="8"/>
        <color theme="1"/>
        <rFont val="Calibri"/>
        <family val="2"/>
        <scheme val="minor"/>
      </rPr>
      <t xml:space="preserve">WITH ACTION </t>
    </r>
    <r>
      <rPr>
        <i/>
        <sz val="8"/>
        <color theme="1"/>
        <rFont val="Calibri"/>
        <family val="2"/>
        <scheme val="minor"/>
      </rPr>
      <t>Total DU's</t>
    </r>
  </si>
  <si>
    <t>Units &lt;80% AMI (Child care analysis)</t>
  </si>
  <si>
    <t>Income restricted Housing Units (parking analysis)</t>
  </si>
  <si>
    <t>Total parking  (income restricted + commercial for parking analysis)</t>
  </si>
  <si>
    <t>Mkt Rate Pkg for CALCULATION</t>
  </si>
  <si>
    <t>Affordable 
Hsg Pkg</t>
  </si>
  <si>
    <t>Aff. Hsg Pkg NO zqa***</t>
  </si>
  <si>
    <t>Grocery
Parking</t>
  </si>
  <si>
    <t>Parking 
Garag/Surface Lot</t>
  </si>
  <si>
    <t>Max Bldg Height</t>
  </si>
  <si>
    <t>Total Commercial SF (includes CF)</t>
  </si>
  <si>
    <t>Comm (retail, restaurant, grocery, auto)</t>
  </si>
  <si>
    <t xml:space="preserve">Retail </t>
  </si>
  <si>
    <t>Supermarket FRESH SF
SF</t>
  </si>
  <si>
    <t>C Fac 
SF</t>
  </si>
  <si>
    <r>
      <t>Aff
DU's</t>
    </r>
    <r>
      <rPr>
        <sz val="8"/>
        <rFont val="Calibri"/>
        <family val="2"/>
      </rPr>
      <t>†</t>
    </r>
  </si>
  <si>
    <t>FRESH Parking</t>
  </si>
  <si>
    <t>Affordable Parking</t>
  </si>
  <si>
    <t>Parking 
Garage</t>
  </si>
  <si>
    <t>Total Prking</t>
  </si>
  <si>
    <t>a</t>
  </si>
  <si>
    <t>C8-3</t>
  </si>
  <si>
    <t>R7A</t>
  </si>
  <si>
    <t>C2-4</t>
  </si>
  <si>
    <t>House of Worship, Community Center</t>
  </si>
  <si>
    <t>Transportation and Utility</t>
  </si>
  <si>
    <t>Ground Floor Retail (1), Residential</t>
  </si>
  <si>
    <t>b</t>
  </si>
  <si>
    <t>Auto-Related Commercial</t>
  </si>
  <si>
    <t>GF Restaurant, Fresh(1), Residential</t>
  </si>
  <si>
    <t>waived</t>
  </si>
  <si>
    <t>Retail, Entertainment</t>
  </si>
  <si>
    <t xml:space="preserve">Retail, DayCare (1), Residential </t>
  </si>
  <si>
    <t>Retail (1), Residential</t>
  </si>
  <si>
    <t>Storage</t>
  </si>
  <si>
    <t>Vacant</t>
  </si>
  <si>
    <t>Retail (2), Residential</t>
  </si>
  <si>
    <t>Parking Facilities</t>
  </si>
  <si>
    <t>c</t>
  </si>
  <si>
    <t xml:space="preserve">Commercial </t>
  </si>
  <si>
    <t>Surface Parking</t>
  </si>
  <si>
    <t>d</t>
  </si>
  <si>
    <t>Industrial and Manufacturing Building</t>
  </si>
  <si>
    <t>R7-1</t>
  </si>
  <si>
    <t>C1-4</t>
  </si>
  <si>
    <t>Supermarket, residential</t>
  </si>
  <si>
    <t>C4 4D</t>
  </si>
  <si>
    <t>Anchor Retail (2), residential</t>
  </si>
  <si>
    <t>Community Facility</t>
  </si>
  <si>
    <t>Medical Office (1), Residential</t>
  </si>
  <si>
    <t>R8</t>
  </si>
  <si>
    <t>Retail (1), Office</t>
  </si>
  <si>
    <t>Retail, Residential</t>
  </si>
  <si>
    <t>Anchor Retail (2), Residential</t>
  </si>
  <si>
    <t>Auto-Related Commercial, Parking Facilities</t>
  </si>
  <si>
    <t>Day Care (1), Residential</t>
  </si>
  <si>
    <t>Retail, Industrial and Manufacturing Building</t>
  </si>
  <si>
    <t>GF Fresh (2), residential</t>
  </si>
  <si>
    <t>R8A</t>
  </si>
  <si>
    <t xml:space="preserve">C2-4 </t>
  </si>
  <si>
    <t>Multi-Family Walk-up Residential</t>
  </si>
  <si>
    <t>Residential</t>
  </si>
  <si>
    <t>Retail, Restaurant</t>
  </si>
  <si>
    <t>e</t>
  </si>
  <si>
    <t>Commercial</t>
  </si>
  <si>
    <t>FRESH (1), residential</t>
  </si>
  <si>
    <t>Auto-Related Commercial, Commercial Service</t>
  </si>
  <si>
    <t>n/a</t>
  </si>
  <si>
    <t>Lot Area included in 2844-5</t>
  </si>
  <si>
    <t xml:space="preserve">n/a </t>
  </si>
  <si>
    <t>C4-4</t>
  </si>
  <si>
    <t>Restaurant (1), Residential</t>
  </si>
  <si>
    <t>House of Worship / Community Center</t>
  </si>
  <si>
    <t>M1-2</t>
  </si>
  <si>
    <t>Auto-Related Commercial, Surface Parking</t>
  </si>
  <si>
    <t>R9A</t>
  </si>
  <si>
    <t xml:space="preserve"> Residential</t>
  </si>
  <si>
    <t>Warehouse, Self-storage</t>
  </si>
  <si>
    <t>Auto-Related Commercial, Retail</t>
  </si>
  <si>
    <t>School, Residential</t>
  </si>
  <si>
    <t>Day Care, Retail (1), Residential</t>
  </si>
  <si>
    <t>vacant</t>
  </si>
  <si>
    <t>Parking Facilities, Community Facility</t>
  </si>
  <si>
    <t>R8/C2-2</t>
  </si>
  <si>
    <t>Retail (1), Small Residential</t>
  </si>
  <si>
    <t>Parking Facility</t>
  </si>
  <si>
    <t>Retail, Office</t>
  </si>
  <si>
    <t>Pre K School (1)</t>
  </si>
  <si>
    <t>CF (Supportive Hsg, res treatment facility)</t>
  </si>
  <si>
    <r>
      <t>Community Facility, Residential</t>
    </r>
    <r>
      <rPr>
        <b/>
        <sz val="10"/>
        <rFont val="Calibri"/>
        <family val="2"/>
        <scheme val="minor"/>
      </rPr>
      <t/>
    </r>
  </si>
  <si>
    <t>Community Center (2)</t>
  </si>
  <si>
    <t>R7D</t>
  </si>
  <si>
    <t>Community Center (2), Residential</t>
  </si>
  <si>
    <t>Parking Garage / Industrial</t>
  </si>
  <si>
    <t>1/2 C2-4</t>
  </si>
  <si>
    <t>1/2 Retail (1), Residential</t>
  </si>
  <si>
    <t>Private Parking Garage</t>
  </si>
  <si>
    <t>Furniture Fixtures / Retail / Warehouse</t>
  </si>
  <si>
    <t>TOTAL</t>
  </si>
  <si>
    <t>*** All parking calcs pre-waiver, final lot sizes to be considered when development scenario accepted</t>
  </si>
  <si>
    <r>
      <t>observed, best guess.</t>
    </r>
    <r>
      <rPr>
        <sz val="11"/>
        <color rgb="FFFF0000"/>
        <rFont val="Calibri"/>
        <family val="2"/>
        <scheme val="minor"/>
      </rPr>
      <t xml:space="preserve"> Red</t>
    </r>
    <r>
      <rPr>
        <sz val="11"/>
        <color theme="1"/>
        <rFont val="Calibri"/>
        <family val="2"/>
        <scheme val="minor"/>
      </rPr>
      <t xml:space="preserve"> where multiple uses on site</t>
    </r>
  </si>
  <si>
    <t>*From pluto</t>
  </si>
  <si>
    <t>*pluto</t>
  </si>
  <si>
    <t>*ZQA</t>
  </si>
  <si>
    <t>*36-21 in ZR</t>
  </si>
  <si>
    <t>Residential assumes all FAR minus 1 FAR for commercial, plus the 15% of the ground floor that was removed for mechanical (to Max out allowable FAR)</t>
  </si>
  <si>
    <t>*GroundFloorRetailAssumes 1 FAR minus 15% reduction</t>
  </si>
  <si>
    <t>*1/12 rooms - room factor assumes 400sf</t>
  </si>
  <si>
    <t>*PLUTO, "FACTORY"</t>
  </si>
  <si>
    <t>No Action Affordability Factor</t>
  </si>
  <si>
    <t>`</t>
  </si>
  <si>
    <t>*based on number of stories, from PLUTO "NumFloors" assumes 10' per floor</t>
  </si>
  <si>
    <t>*Blue= assumes full office (4.0) and rest residential (3.2)</t>
  </si>
  <si>
    <t>*sum of CF types</t>
  </si>
  <si>
    <t>DU=</t>
  </si>
  <si>
    <t>*Total Commercial minus restaurant</t>
  </si>
  <si>
    <t>*Based on ZD's and Lot Area, but no total space waivers included. Assumes 80/20 split of affordable and mkt</t>
  </si>
  <si>
    <t>TOTAL COMMERCIAL</t>
  </si>
  <si>
    <t>With Action Affordability Factor</t>
  </si>
  <si>
    <t>*Exlucde auto-related, storage, office, FRESH, other</t>
  </si>
  <si>
    <t>**auto-related, storage, other</t>
  </si>
  <si>
    <t>*assumes 300sf per space for surface lots</t>
  </si>
  <si>
    <t>12 sites at 100% income restricted: All units as income restricted to be at/below 80% AMI</t>
  </si>
  <si>
    <t>*Select projected sites by location search w/parking layer. If parking lot, divide lot area by 300</t>
  </si>
  <si>
    <t>14 sites  at 50% income restricted at/above 80% AMI (No parking requirements) and 50% at above 80% AMI (require parking according to ZR percentages)</t>
  </si>
  <si>
    <t>**When lots were significantly larger than parking area, estimated parking area was substituted for lot area.</t>
  </si>
  <si>
    <t>14 MIH Sites</t>
  </si>
  <si>
    <t>Column "Units &lt;80% AMI for the purpose of Child Care Analysis":</t>
  </si>
  <si>
    <t>20% of units below 80% AMI, 80% of the units as market rate</t>
  </si>
  <si>
    <t>Column "income restricted units for the purpose Parking"</t>
  </si>
  <si>
    <t>25% of units below 80% AMI, 75% of the units as market rate</t>
  </si>
  <si>
    <t xml:space="preserve">  </t>
  </si>
  <si>
    <t>TABLE 2: POTENTIAL DEVELOPMENT SITE SUMMARY</t>
  </si>
  <si>
    <t>Alt Site #</t>
  </si>
  <si>
    <t>Total Comml 
SF+</t>
  </si>
  <si>
    <t>Total Commercial SF (minus restaurant)</t>
  </si>
  <si>
    <t>Retail ONLY</t>
  </si>
  <si>
    <t>Total Community Facility</t>
  </si>
  <si>
    <r>
      <rPr>
        <b/>
        <i/>
        <sz val="8"/>
        <color theme="1"/>
        <rFont val="Calibri"/>
        <family val="2"/>
        <scheme val="minor"/>
      </rPr>
      <t xml:space="preserve">NO ACTION </t>
    </r>
    <r>
      <rPr>
        <i/>
        <sz val="8"/>
        <color theme="1"/>
        <rFont val="Calibri"/>
        <family val="2"/>
        <scheme val="minor"/>
      </rPr>
      <t>Total DU's</t>
    </r>
  </si>
  <si>
    <t>Affordable DUs</t>
  </si>
  <si>
    <t>Affordable Dus</t>
  </si>
  <si>
    <t>Parking 
Garag/Lot</t>
  </si>
  <si>
    <t>Proposed Max Res. FAR</t>
  </si>
  <si>
    <t>TOT Residential SF</t>
  </si>
  <si>
    <t>Total Comml 
SF (minus restaurant)</t>
  </si>
  <si>
    <t>Retail (ONLY</t>
  </si>
  <si>
    <t>Other CF</t>
  </si>
  <si>
    <r>
      <t>Aff
DU's</t>
    </r>
    <r>
      <rPr>
        <sz val="8"/>
        <color theme="0" tint="-0.249977111117893"/>
        <rFont val="Calibri"/>
        <family val="2"/>
      </rPr>
      <t>†</t>
    </r>
  </si>
  <si>
    <t>Commercial SF+</t>
  </si>
  <si>
    <t>Retail (with other commercial)</t>
  </si>
  <si>
    <r>
      <rPr>
        <b/>
        <i/>
        <sz val="8"/>
        <color theme="1"/>
        <rFont val="Calibri"/>
        <family val="2"/>
        <scheme val="minor"/>
      </rPr>
      <t xml:space="preserve">INCREMENT </t>
    </r>
    <r>
      <rPr>
        <i/>
        <sz val="8"/>
        <color theme="1"/>
        <rFont val="Calibri"/>
        <family val="2"/>
        <scheme val="minor"/>
      </rPr>
      <t>Total 
DU's</t>
    </r>
  </si>
  <si>
    <r>
      <t>Aff
DU's</t>
    </r>
    <r>
      <rPr>
        <sz val="8"/>
        <color theme="1"/>
        <rFont val="Calibri"/>
        <family val="2"/>
      </rPr>
      <t>†</t>
    </r>
  </si>
  <si>
    <t>Tot Parking</t>
  </si>
  <si>
    <t>One and Two Family Residential</t>
  </si>
  <si>
    <t>Gas Station</t>
  </si>
  <si>
    <t>Retail, Restaurant (1), Residential Conversion (6), Residential</t>
  </si>
  <si>
    <t>Storage/Warehouse</t>
  </si>
  <si>
    <t xml:space="preserve">Retail, Restaurant </t>
  </si>
  <si>
    <t>Commercial, Retail</t>
  </si>
  <si>
    <t>FRESH (1) Community Center (1), Residential</t>
  </si>
  <si>
    <t>Restaurant, Retail (1), Residential</t>
  </si>
  <si>
    <t>Retail, FRESH (1), Residential</t>
  </si>
  <si>
    <t>Retail, House of Worship (1), Residential</t>
  </si>
  <si>
    <t>retail</t>
  </si>
  <si>
    <t>Commercial (wholesale)</t>
  </si>
  <si>
    <t>B</t>
  </si>
  <si>
    <t>Retail, grocery</t>
  </si>
  <si>
    <t>C</t>
  </si>
  <si>
    <t>D</t>
  </si>
  <si>
    <t>Parking Garage</t>
  </si>
  <si>
    <t>Retail, House of Worship, Medical Office (1), Residential</t>
  </si>
  <si>
    <t>House of Worship, Retail</t>
  </si>
  <si>
    <t>Retail, Day Care Center (1), Residential</t>
  </si>
  <si>
    <t>Retail, Community Facility</t>
  </si>
  <si>
    <t>Community Center (1), Residential</t>
  </si>
  <si>
    <t>Medical Office (2), Residential</t>
  </si>
  <si>
    <t>Retail, Grocery</t>
  </si>
  <si>
    <t>Retail, Restaurant, Grocery, (1), Community Center, House of Worship (2), Residential</t>
  </si>
  <si>
    <t>Retail (2), residential</t>
  </si>
  <si>
    <t>Retail, Storage</t>
  </si>
  <si>
    <t xml:space="preserve">Commercial  </t>
  </si>
  <si>
    <t>Restaurant (2), residential</t>
  </si>
  <si>
    <t xml:space="preserve">House of Worship, Retail </t>
  </si>
  <si>
    <t>House of Worship (1), Residential</t>
  </si>
  <si>
    <t>Auto-Related Commercial, Parking</t>
  </si>
  <si>
    <t>Institutional (commercial) (1), Residential</t>
  </si>
  <si>
    <t>Retail, Restaurant (1), Residential</t>
  </si>
  <si>
    <t>Auto-Related Commercial, Parking Facilities, Restaurant</t>
  </si>
  <si>
    <t>Auto-Related Commercial, Parking, Retail</t>
  </si>
  <si>
    <t>Retail (2), HOW, Residential</t>
  </si>
  <si>
    <t xml:space="preserve">Restaurant </t>
  </si>
  <si>
    <t>Retail (1), Medical Office, HOW,  Residential</t>
  </si>
  <si>
    <t>Auto-Related Commercial, Commercial</t>
  </si>
  <si>
    <t>Retail, Surface Parking</t>
  </si>
  <si>
    <t>Restaurant, Retail</t>
  </si>
  <si>
    <t>Retail, Entertainment, Parking Facilities</t>
  </si>
  <si>
    <t>f</t>
  </si>
  <si>
    <t>g</t>
  </si>
  <si>
    <t>Retail (1), residential</t>
  </si>
  <si>
    <t>Auto-Related Commercial, Retail, Parking Facilities</t>
  </si>
  <si>
    <t>Entertainment, Retail</t>
  </si>
  <si>
    <t>Restaurant</t>
  </si>
  <si>
    <t>Restaurant, Residential</t>
  </si>
  <si>
    <t>FRESH (1), Residential</t>
  </si>
  <si>
    <t>FRESH (1), Retail (1), Residential</t>
  </si>
  <si>
    <t>Commercial Service</t>
  </si>
  <si>
    <t>Retail, Commercial Service</t>
  </si>
  <si>
    <t>Retail (1), medical office, Residential</t>
  </si>
  <si>
    <t>Retail , Community Facility</t>
  </si>
  <si>
    <t>Retail, Grocery Store (1), Residential</t>
  </si>
  <si>
    <t>Parking Facilities, Auto-Related Commercial</t>
  </si>
  <si>
    <t>Warehouse</t>
  </si>
  <si>
    <t>C8-3/R7-1</t>
  </si>
  <si>
    <t>House of worship</t>
  </si>
  <si>
    <t xml:space="preserve">Vacant </t>
  </si>
  <si>
    <t xml:space="preserve">Mixed Residential and Commercial Building </t>
  </si>
  <si>
    <t>Community Center/School (1), Residential</t>
  </si>
  <si>
    <t>Light Industrial</t>
  </si>
  <si>
    <t>Office, Retail, Residential</t>
  </si>
  <si>
    <t>R8/M1-2</t>
  </si>
  <si>
    <t>Office</t>
  </si>
  <si>
    <t>C2-4 (Jerome Frontage)</t>
  </si>
  <si>
    <t>C2-4 (Jerome frontage)</t>
  </si>
  <si>
    <t>FRESH  (1), Residential</t>
  </si>
  <si>
    <t xml:space="preserve">Manufacturing </t>
  </si>
  <si>
    <t>Office, Community Facility, Commercial Service</t>
  </si>
  <si>
    <t>FRESH (1), medical office, residential</t>
  </si>
  <si>
    <t>FRESH, Community Center (1), Residential</t>
  </si>
  <si>
    <t>Day Care/Community Center (3)</t>
  </si>
  <si>
    <t>Day Care/Community Center (3), Residential</t>
  </si>
  <si>
    <t>School</t>
  </si>
  <si>
    <t>School (2) residential</t>
  </si>
  <si>
    <t>Salt Shed / Temporary Use</t>
  </si>
  <si>
    <r>
      <t>Retail (1), Residential</t>
    </r>
    <r>
      <rPr>
        <sz val="10"/>
        <color theme="4"/>
        <rFont val="Calibri"/>
        <family val="2"/>
        <scheme val="minor"/>
      </rPr>
      <t/>
    </r>
  </si>
  <si>
    <t>Totals</t>
  </si>
  <si>
    <t>based on number of stories, from PLUTO "NumFloors" assumes 10' per floor</t>
  </si>
  <si>
    <t>*from PLUTO</t>
  </si>
  <si>
    <t>*From PLUTO, "Othery"</t>
  </si>
  <si>
    <t>*From PLUTO, "Factory"</t>
  </si>
  <si>
    <t>RWCDS SUMMARY TABLE</t>
  </si>
  <si>
    <t>Site Information</t>
  </si>
  <si>
    <t>No-Action Condition</t>
  </si>
  <si>
    <t>With-Action Condition</t>
  </si>
  <si>
    <t>COMMENTS</t>
  </si>
  <si>
    <t>Building Area</t>
  </si>
  <si>
    <t>Garage</t>
  </si>
  <si>
    <t>Factory</t>
  </si>
  <si>
    <t>Other</t>
  </si>
  <si>
    <t>Industrial</t>
  </si>
  <si>
    <t>DUS</t>
  </si>
  <si>
    <t>Affordable</t>
  </si>
  <si>
    <t>Market Rate</t>
  </si>
  <si>
    <t>Parking (spaces)</t>
  </si>
  <si>
    <t>Block</t>
  </si>
  <si>
    <t>Lot</t>
  </si>
  <si>
    <t>Lot Area</t>
  </si>
  <si>
    <t>Existing Zoning</t>
  </si>
  <si>
    <t>affordable</t>
  </si>
  <si>
    <t>market rate</t>
  </si>
  <si>
    <t>Other Commercial</t>
  </si>
  <si>
    <t>DUs</t>
  </si>
  <si>
    <t>Building Height</t>
  </si>
  <si>
    <t>GRAND TOTAL</t>
  </si>
  <si>
    <t>BAY STREET</t>
  </si>
  <si>
    <t>M1-1</t>
  </si>
  <si>
    <t>Increment: Existing to No-Action</t>
  </si>
  <si>
    <t>Increment: No-Action to With-Action</t>
  </si>
  <si>
    <t>BAY STREET SUBTOTAL</t>
  </si>
  <si>
    <t>Technical analysis: With-Action: 35,000 sf industrial (brewery UG 18)</t>
  </si>
  <si>
    <t>-</t>
  </si>
  <si>
    <t>CANAL STREET SUBTOTAL</t>
  </si>
  <si>
    <t>AQ Analysis incorrectly assumed 75' building height and 10,294 sf industrial motorcycle repair/showroom UG 16). The provision allowing expansion of this use is being removed, so the analysis should all assume horizontal expansion of commercial (UG6) building at 35' building height.</t>
  </si>
  <si>
    <t>R3X</t>
  </si>
  <si>
    <t>Technical analysis: With-Action: 14,000 sf physical culture/health establishment-- as per SS email 3/2/7, "Transportation will still assume retail"</t>
  </si>
  <si>
    <t>CANAL STREET</t>
  </si>
  <si>
    <t>C2-2/R4</t>
  </si>
  <si>
    <t>CITY DISPOSITION SITES SUBTOTAL</t>
  </si>
  <si>
    <t>C2-2/R3-2</t>
  </si>
  <si>
    <t>CITY DISPOSITION SITES</t>
  </si>
  <si>
    <t>STAPLETON PHASE III SUBTOTAL</t>
  </si>
  <si>
    <t>C4-2/SG</t>
  </si>
  <si>
    <t>C2-2/R5-HS</t>
  </si>
  <si>
    <t>0=Sum</t>
  </si>
  <si>
    <t>STAPLETON PHASE III</t>
  </si>
  <si>
    <t>A</t>
  </si>
  <si>
    <t>C4-2A/SW</t>
  </si>
  <si>
    <t>Total Lot Area (square feet)</t>
  </si>
  <si>
    <t>B1</t>
  </si>
  <si>
    <t>Potential Development Sites</t>
  </si>
  <si>
    <t>Projected Development Sites</t>
  </si>
  <si>
    <t>Total Lot Area (sf)</t>
  </si>
  <si>
    <t>POTENTIAL SITES SUMMARY TABLE</t>
  </si>
  <si>
    <t>No Action Condition</t>
  </si>
  <si>
    <t xml:space="preserve">Site </t>
  </si>
  <si>
    <t>Residential Area  (SF)</t>
  </si>
  <si>
    <t>Commercial Area (SF)</t>
  </si>
  <si>
    <t>Office Area (SF)</t>
  </si>
  <si>
    <t>Retail Area (SF)</t>
  </si>
  <si>
    <t>Garage Area (SF)</t>
  </si>
  <si>
    <t>Storage Area (SF)</t>
  </si>
  <si>
    <t>Factory Area (SF)</t>
  </si>
  <si>
    <t>Other Commercial Area  (SF)</t>
  </si>
  <si>
    <t>Total DUs</t>
  </si>
  <si>
    <t>Use</t>
  </si>
  <si>
    <t>Retail Area  (SF)</t>
  </si>
  <si>
    <t>Community Facility Area (SF)</t>
  </si>
  <si>
    <t>Total Parking (spaces)</t>
  </si>
  <si>
    <t>Proposed Zoning</t>
  </si>
  <si>
    <t>Local Retail Area  (SF)</t>
  </si>
  <si>
    <t>Restaurants (SF)</t>
  </si>
  <si>
    <t>Market DUs</t>
  </si>
  <si>
    <t>Bay Street Corridor Project Area</t>
  </si>
  <si>
    <t>CAR RENTAL</t>
  </si>
  <si>
    <t>R6/C2-4</t>
  </si>
  <si>
    <t>FAST FOOD</t>
  </si>
  <si>
    <t>R6/C2-3</t>
  </si>
  <si>
    <t>AUTO REPAIR</t>
  </si>
  <si>
    <t>LAUNDRY AND RES</t>
  </si>
  <si>
    <t>E</t>
  </si>
  <si>
    <t>ELECTRICAL SUPPLY WAREHOUSE</t>
  </si>
  <si>
    <t>Bay Street Subtotal</t>
  </si>
  <si>
    <t>F</t>
  </si>
  <si>
    <t>WAREHOUSE</t>
  </si>
  <si>
    <t>G</t>
  </si>
  <si>
    <t>VEHICLE INSPECTION</t>
  </si>
  <si>
    <t>R6B/C2-3</t>
  </si>
  <si>
    <t>H</t>
  </si>
  <si>
    <t>FURNITURE/APPLIANCE RENTAL</t>
  </si>
  <si>
    <t>I</t>
  </si>
  <si>
    <t>AUTO PARTS STORE</t>
  </si>
  <si>
    <t>J</t>
  </si>
  <si>
    <t>VACANT LAND/STORAGE</t>
  </si>
  <si>
    <t>K</t>
  </si>
  <si>
    <t>RETAIL STRIP, MOTORCYCLE DEALER, GYM</t>
  </si>
  <si>
    <t>R6/R6B/C2-3</t>
  </si>
  <si>
    <t>L</t>
  </si>
  <si>
    <t>CITY LEASED SPACE PROBATION</t>
  </si>
  <si>
    <t>Canal Street Subtotal</t>
  </si>
  <si>
    <t>M</t>
  </si>
  <si>
    <t>AUTO SHOP AND HOUSE OF WORSHIP</t>
  </si>
  <si>
    <t>N</t>
  </si>
  <si>
    <t>HVAC WAREHOUSE AND RESTAURANT</t>
  </si>
  <si>
    <t>O</t>
  </si>
  <si>
    <t>AUTO SHOP AND RES USE</t>
  </si>
  <si>
    <t>P</t>
  </si>
  <si>
    <t>RESTAURANT DRIVE THRU</t>
  </si>
  <si>
    <t>Q</t>
  </si>
  <si>
    <t>RETAIL AND WAREHOUSE</t>
  </si>
  <si>
    <t>R</t>
  </si>
  <si>
    <t>M1-1/R3X</t>
  </si>
  <si>
    <t>S</t>
  </si>
  <si>
    <t>POOL HALL</t>
  </si>
  <si>
    <t>Canal Street Corridor Project Area</t>
  </si>
  <si>
    <t>T</t>
  </si>
  <si>
    <t>UNKNOWN</t>
  </si>
  <si>
    <t>U</t>
  </si>
  <si>
    <t>SINGLE FAMILY HOME</t>
  </si>
  <si>
    <t xml:space="preserve">V </t>
  </si>
  <si>
    <t>CONSTRUCTION OFFICE</t>
  </si>
  <si>
    <t>W</t>
  </si>
  <si>
    <t>2 STORY DAY CARE</t>
  </si>
  <si>
    <t>Amended Reasonable Worst-Case Development Scenario (RWCDS) Detailed Tables</t>
  </si>
  <si>
    <t>PROJECTED DEVELOPMENT SITES</t>
  </si>
  <si>
    <t>Existing and No Action Conditions</t>
  </si>
  <si>
    <t>Future With Action Conditioins</t>
  </si>
  <si>
    <t>Proposed Actions Increment (difference between No Action and With Action Conditions)</t>
  </si>
  <si>
    <t>Site ID (see Figure 3)</t>
  </si>
  <si>
    <t>Address</t>
  </si>
  <si>
    <t>Street Type</t>
  </si>
  <si>
    <t>Lot Area (sf) within Rezoning Area</t>
  </si>
  <si>
    <t>Zoning</t>
  </si>
  <si>
    <t>FAR</t>
  </si>
  <si>
    <t>Area</t>
  </si>
  <si>
    <t>Residential (Dus)</t>
  </si>
  <si>
    <t>Off-Street Parking (Spaces)</t>
  </si>
  <si>
    <t>Development Scenario</t>
  </si>
  <si>
    <t>Existing Overlay</t>
  </si>
  <si>
    <r>
      <t xml:space="preserve">Residential </t>
    </r>
    <r>
      <rPr>
        <b/>
        <sz val="10"/>
        <color rgb="FF000000"/>
        <rFont val="Tahoma"/>
        <family val="2"/>
      </rPr>
      <t>FAR</t>
    </r>
  </si>
  <si>
    <t>Commercial FAR</t>
  </si>
  <si>
    <t>Community Facility FAR</t>
  </si>
  <si>
    <r>
      <t xml:space="preserve">Built </t>
    </r>
    <r>
      <rPr>
        <b/>
        <sz val="10"/>
        <color rgb="FF000000"/>
        <rFont val="Verdana"/>
        <family val="2"/>
      </rPr>
      <t>FAR</t>
    </r>
  </si>
  <si>
    <r>
      <t xml:space="preserve">Total Built </t>
    </r>
    <r>
      <rPr>
        <b/>
        <sz val="10"/>
        <color rgb="FF000000"/>
        <rFont val="Verdana"/>
        <family val="2"/>
      </rPr>
      <t>Area</t>
    </r>
  </si>
  <si>
    <r>
      <t xml:space="preserve">Commercial </t>
    </r>
    <r>
      <rPr>
        <b/>
        <sz val="10"/>
        <color rgb="FF000000"/>
        <rFont val="Verdana"/>
        <family val="2"/>
      </rPr>
      <t>Area</t>
    </r>
  </si>
  <si>
    <t>Community Facility Area</t>
  </si>
  <si>
    <t>Industrial Area</t>
  </si>
  <si>
    <t>Residential Area</t>
  </si>
  <si>
    <t>Proposed Overlay</t>
  </si>
  <si>
    <t>Residential FAR</t>
  </si>
  <si>
    <t>Com Fac FAR</t>
  </si>
  <si>
    <t>Commercial (SF)</t>
  </si>
  <si>
    <t>Community Facility (SF)</t>
  </si>
  <si>
    <t>Residential (SF)</t>
  </si>
  <si>
    <t>Residential (DUs)</t>
  </si>
  <si>
    <t>Total (SF)</t>
  </si>
  <si>
    <t>13-15 BEACH CHANNEL DRIVE</t>
  </si>
  <si>
    <t>Wide</t>
  </si>
  <si>
    <t>R5</t>
  </si>
  <si>
    <t>C1-2</t>
  </si>
  <si>
    <t>Laundromat</t>
  </si>
  <si>
    <t>R6</t>
  </si>
  <si>
    <t>13-24 BEACH CHANNEL DRIVE</t>
  </si>
  <si>
    <t>C8-1</t>
  </si>
  <si>
    <t>Car Wash</t>
  </si>
  <si>
    <t>C4-4A</t>
  </si>
  <si>
    <t>10-74 BEACH 22 STREET</t>
  </si>
  <si>
    <t>Narrow</t>
  </si>
  <si>
    <t xml:space="preserve"> </t>
  </si>
  <si>
    <t>21-12 CORNAGA AVENUE</t>
  </si>
  <si>
    <t>10-27 BEACH 21 STREET</t>
  </si>
  <si>
    <t>10-17 BEACH 21 STREET</t>
  </si>
  <si>
    <t>BEACH 21 STREET</t>
  </si>
  <si>
    <t>10-09 CORNAGA AVENUE</t>
  </si>
  <si>
    <t>10-18 BEACH 20 STREET</t>
  </si>
  <si>
    <t>C4-2</t>
  </si>
  <si>
    <t>R5/C4-2</t>
  </si>
  <si>
    <t>RSA</t>
  </si>
  <si>
    <t>10-25 BEACH 20 STREET</t>
  </si>
  <si>
    <t>C2-2</t>
  </si>
  <si>
    <t>CORNAGA AVENUE</t>
  </si>
  <si>
    <t>10-16 BEACH 19 STREET</t>
  </si>
  <si>
    <t>Vacant Building</t>
  </si>
  <si>
    <t>19-19 CORNAGA AVENUE</t>
  </si>
  <si>
    <t>Vacant/ Residential</t>
  </si>
  <si>
    <t>R5/R6</t>
  </si>
  <si>
    <t>C4-3A</t>
  </si>
  <si>
    <t>1.25/3.6</t>
  </si>
  <si>
    <t>4.8</t>
  </si>
  <si>
    <t>19-15 CORNAGA AVENUE</t>
  </si>
  <si>
    <t>GATEWAY BOULEVARD</t>
  </si>
  <si>
    <t>2</t>
  </si>
  <si>
    <t>MOTT AVENUE</t>
  </si>
  <si>
    <t>Parking</t>
  </si>
  <si>
    <t>11-19 FOAM PLACE</t>
  </si>
  <si>
    <t>FOAM PLACE</t>
  </si>
  <si>
    <t>14-19 CENTRAL AVENUE</t>
  </si>
  <si>
    <t>CENTRAL AVENUE</t>
  </si>
  <si>
    <t>AUGUSTINA AVENUE</t>
  </si>
  <si>
    <t>Church/ Vacant</t>
  </si>
  <si>
    <t>19-15 NAMEOKE AVENUE</t>
  </si>
  <si>
    <t>14-14 CENTRAL AVENUE</t>
  </si>
  <si>
    <t>13-12 BAYPORT PLACE</t>
  </si>
  <si>
    <t>14-14 BRUNSWICK AVENUE</t>
  </si>
  <si>
    <t>Vacant*</t>
  </si>
  <si>
    <t>M1-1/R6</t>
  </si>
  <si>
    <t>1/3.6</t>
  </si>
  <si>
    <t>R-5</t>
  </si>
  <si>
    <t>13-25 AUGUSTINA AVENUE</t>
  </si>
  <si>
    <t>13-20 CENTRAL AVENUE</t>
  </si>
  <si>
    <t>13-22 CENTRAL AVENUE</t>
  </si>
  <si>
    <t>Supermarket</t>
  </si>
  <si>
    <t>13-24 CENTRAL AVENUE</t>
  </si>
  <si>
    <t>13-26 CENTRAL AVENUE</t>
  </si>
  <si>
    <t>TOTALS FOR PROJECTED SITES</t>
  </si>
  <si>
    <t>Reasonable Worst-Case Development Scenario (RWCDS) Detailed Tables (cont.)</t>
  </si>
  <si>
    <t xml:space="preserve">RELATED (9 and 18 Combined): </t>
  </si>
  <si>
    <t>JCAL SITE (19):</t>
  </si>
  <si>
    <t>Amended Reasonable Worst-Case Development Scenario (RWCDS) Detailed Tables (cont.)</t>
  </si>
  <si>
    <t>PROPOSED DOWNTOWN FAR ROCKAWAY URBAN RENEWAL AREA (DFRURA)</t>
  </si>
  <si>
    <t>Future With Action Conditioin</t>
  </si>
  <si>
    <t>Lot Area (sf) within Development Site</t>
  </si>
  <si>
    <t>Existing Off-Street Parking (Spaces)</t>
  </si>
  <si>
    <t>DFRURA</t>
  </si>
  <si>
    <t>NAMEOKE AVENUE</t>
  </si>
  <si>
    <t>20-50 NAMEOKE AVENUE</t>
  </si>
  <si>
    <t>20-02 MOTT AVENUE</t>
  </si>
  <si>
    <t>C4-2/C8-1</t>
  </si>
  <si>
    <t>Shopping Center</t>
  </si>
  <si>
    <t>20-10 MOTT AVENUE</t>
  </si>
  <si>
    <t>Bank</t>
  </si>
  <si>
    <t>18-01 REDFERN AVENUE</t>
  </si>
  <si>
    <t>Church</t>
  </si>
  <si>
    <t>REDFERN AVENUE</t>
  </si>
  <si>
    <t>17-27 REDFERN AVENUE</t>
  </si>
  <si>
    <t>17-25 REDFERN AVENUE</t>
  </si>
  <si>
    <t>17-21 REDFERN AVENUE</t>
  </si>
  <si>
    <t>17-19 REDFERN AVENUE</t>
  </si>
  <si>
    <t>17-15 REDFERN AVENUE</t>
  </si>
  <si>
    <t>17-11 REDFERN AVENUE</t>
  </si>
  <si>
    <t>17-09 REDFERN AVENUE</t>
  </si>
  <si>
    <t>17-01 REDFERN AVENUE</t>
  </si>
  <si>
    <t>Recylcing Center</t>
  </si>
  <si>
    <t>16-29 REDFERN AVENUE</t>
  </si>
  <si>
    <t>16-25 REDFERN AVENUE</t>
  </si>
  <si>
    <t>20-47 NAMEOKE AVENUE</t>
  </si>
  <si>
    <t>industrial</t>
  </si>
  <si>
    <t>20-09 NAMEOKE AVENUE</t>
  </si>
  <si>
    <t>14-02 AUGUSTINA AVENUE</t>
  </si>
  <si>
    <t>14-06 AUGUSTINA AVENUE</t>
  </si>
  <si>
    <t>BAYPORT PLACE</t>
  </si>
  <si>
    <t>TOTALS FOR PROPOSED DFRURA</t>
  </si>
  <si>
    <t>DISPOSITION SITES</t>
  </si>
  <si>
    <t>Future With Action Condition</t>
  </si>
  <si>
    <t>Site ID (See Figure 3)</t>
  </si>
  <si>
    <t>Lot Area (sf)</t>
  </si>
  <si>
    <t>DOT/MTA Disposition Site</t>
  </si>
  <si>
    <t>C8-1/R5</t>
  </si>
  <si>
    <t>Bus Depot</t>
  </si>
  <si>
    <t>DSNY Disposition Site</t>
  </si>
  <si>
    <t>NA</t>
  </si>
  <si>
    <t>TOTAL FOR DISPOSITION SITES</t>
  </si>
  <si>
    <r>
      <t xml:space="preserve">COMBINED TOTALS FOR PROJECTED SITES, </t>
    </r>
    <r>
      <rPr>
        <b/>
        <sz val="14"/>
        <color rgb="FFFF0000"/>
        <rFont val="Calibri"/>
        <family val="2"/>
        <scheme val="minor"/>
      </rPr>
      <t>PROPOSED</t>
    </r>
    <r>
      <rPr>
        <b/>
        <sz val="14"/>
        <color theme="1"/>
        <rFont val="Calibri"/>
        <family val="2"/>
        <scheme val="minor"/>
      </rPr>
      <t xml:space="preserve"> DFRURA, AND DISPOSITION SITES </t>
    </r>
  </si>
  <si>
    <t>POTENTIAL DEVELOPMENT SITES</t>
  </si>
  <si>
    <t xml:space="preserve">Existing and No Action Conditions </t>
  </si>
  <si>
    <t>Future With-Action Conditioins</t>
  </si>
  <si>
    <t xml:space="preserve">A </t>
  </si>
  <si>
    <t>22-02 MOTT AVENUE</t>
  </si>
  <si>
    <t>21-41 MOTT AVENUE</t>
  </si>
  <si>
    <t>21-23 MOTT AVENUE</t>
  </si>
  <si>
    <t>Retail/Restaurant</t>
  </si>
  <si>
    <t>1.0/2.0</t>
  </si>
  <si>
    <t>13-12 BEACH CHANNEL DRIVE</t>
  </si>
  <si>
    <t>19-03 CORNAGA AVENUE</t>
  </si>
  <si>
    <t>19-01 MOTT AVENUE</t>
  </si>
  <si>
    <t>14-01 CENTRAL AVENUE</t>
  </si>
  <si>
    <t>13-38 CENTRAL AVENUE</t>
  </si>
  <si>
    <t>19-30 MOTT AVENUE</t>
  </si>
  <si>
    <t>Retail/Parking</t>
  </si>
  <si>
    <t>TOTAL FOR POTENTIAL SITES</t>
  </si>
  <si>
    <t>TOTAL PROJECTED + DEVELOPMENT SITE + DISPOSITION SITE (BY 2032)</t>
  </si>
  <si>
    <t>TOTAL (INCLUDING POTENTIAL DEVELOPMENT SITES)</t>
  </si>
  <si>
    <t>Potential Development Site Number</t>
  </si>
  <si>
    <t>Lots</t>
  </si>
  <si>
    <t>bbl</t>
  </si>
  <si>
    <t>With Action Residential DU</t>
  </si>
  <si>
    <t>Potential</t>
  </si>
  <si>
    <t>4</t>
  </si>
  <si>
    <t>V</t>
  </si>
  <si>
    <t>AH</t>
  </si>
  <si>
    <t>AI</t>
  </si>
  <si>
    <t>Projected</t>
  </si>
  <si>
    <t>City Priority</t>
  </si>
  <si>
    <t xml:space="preserve">TABLE 1: CITY COUNCIL MODIFICATIONS PROJECTED SITE RWCDS </t>
  </si>
  <si>
    <t>SITE INFO</t>
  </si>
  <si>
    <t>EXISTING CONDITIONS</t>
  </si>
  <si>
    <t>FUTURE WITHOUT-ACTIONS CONDITIONS</t>
  </si>
  <si>
    <t>FUTURE-WITH ACTION CONDITIONS</t>
  </si>
  <si>
    <t>INCREMENT</t>
  </si>
  <si>
    <t>Property Owner</t>
  </si>
  <si>
    <t xml:space="preserve">Lot Area (SF) </t>
  </si>
  <si>
    <t xml:space="preserve">Existing Zoning </t>
  </si>
  <si>
    <t>Zoning Overlay</t>
  </si>
  <si>
    <t>Land Use</t>
  </si>
  <si>
    <t>TOTAL Com. Fac. (SF)</t>
  </si>
  <si>
    <t xml:space="preserve">TOTAL Commercial (SF) </t>
  </si>
  <si>
    <t>Retail (SF)</t>
  </si>
  <si>
    <t xml:space="preserve">Office (SF) </t>
  </si>
  <si>
    <t xml:space="preserve">Auto-Related (incl. auto storage) (SF) </t>
  </si>
  <si>
    <t>Garage (SF)</t>
  </si>
  <si>
    <t>Vacant Commercial Space (SF)</t>
  </si>
  <si>
    <t xml:space="preserve">Storage/ Wholesale/ Warehousing (SF) </t>
  </si>
  <si>
    <t>Industrial (SF)</t>
  </si>
  <si>
    <t xml:space="preserve">TOTAL (SF) </t>
  </si>
  <si>
    <t>Total DU's</t>
  </si>
  <si>
    <t>Redev. Y or N</t>
  </si>
  <si>
    <t>TOTAL Comm. Fac. (SF)</t>
  </si>
  <si>
    <t>School  (SF)</t>
  </si>
  <si>
    <t>House of Worship (SF)</t>
  </si>
  <si>
    <t>Medical Office (SF)</t>
  </si>
  <si>
    <t>Nonprofit Office (SF)</t>
  </si>
  <si>
    <t>Library (SF)</t>
  </si>
  <si>
    <t>TOTAL Commercial (SF)</t>
  </si>
  <si>
    <t xml:space="preserve">Retail (SF) </t>
  </si>
  <si>
    <t>Supermarket (SF)</t>
  </si>
  <si>
    <t xml:space="preserve">Auto-Related (SF) </t>
  </si>
  <si>
    <t xml:space="preserve">Garage (SF) </t>
  </si>
  <si>
    <t>TOTAL  DU's</t>
  </si>
  <si>
    <t xml:space="preserve">Access. Parking </t>
  </si>
  <si>
    <t xml:space="preserve">TOTAL Parking </t>
  </si>
  <si>
    <t xml:space="preserve">Bldg. Ht. </t>
  </si>
  <si>
    <t>Prop. Zoning</t>
  </si>
  <si>
    <t>Prop. Overlay</t>
  </si>
  <si>
    <t>TOTAL Permitted FAR</t>
  </si>
  <si>
    <t>Res FAR</t>
  </si>
  <si>
    <t>Com FAR</t>
  </si>
  <si>
    <t>CF FAR</t>
  </si>
  <si>
    <t>Dev't Description</t>
  </si>
  <si>
    <t>Community Ctr (SF)</t>
  </si>
  <si>
    <t>Universal Pre-K (SF)</t>
  </si>
  <si>
    <t>Non-Profit Office (SF)</t>
  </si>
  <si>
    <t xml:space="preserve"> Retail (SF) </t>
  </si>
  <si>
    <t xml:space="preserve">FRESH Supermarket (SF) </t>
  </si>
  <si>
    <t xml:space="preserve"> Office (SF) </t>
  </si>
  <si>
    <t>TOTAL (SF)</t>
  </si>
  <si>
    <t>TOTAL DU's</t>
  </si>
  <si>
    <t>Afford. DU's @ 25%</t>
  </si>
  <si>
    <t>Market DU's @ 25%</t>
  </si>
  <si>
    <t>Afford. DU's @ 30%</t>
  </si>
  <si>
    <t>Market DU's @ 30%</t>
  </si>
  <si>
    <t>Res Pkg Prvd @ 25%</t>
  </si>
  <si>
    <t>Res Pkg Prvd @ 30%</t>
  </si>
  <si>
    <t>Non-Res Access Pkg</t>
  </si>
  <si>
    <t>Total Pkg Prvd @ 25%</t>
  </si>
  <si>
    <t>Total Pkg Prvd @ 30%</t>
  </si>
  <si>
    <t>Max Bldg. Ht.</t>
  </si>
  <si>
    <t xml:space="preserve">Universal Pre-K (SF) </t>
  </si>
  <si>
    <t>FRESH Supermarket (SF)</t>
  </si>
  <si>
    <t>Auto-Related (SF)</t>
  </si>
  <si>
    <t xml:space="preserve">Industrial (SF) </t>
  </si>
  <si>
    <t xml:space="preserve">TOTAL  (SF) </t>
  </si>
  <si>
    <t>Access parking @ 25%</t>
  </si>
  <si>
    <t>Access parking @ 30%</t>
  </si>
  <si>
    <t xml:space="preserve">Tot  Pkg @ 25% </t>
  </si>
  <si>
    <t xml:space="preserve">Tot Pkg @ 30% </t>
  </si>
  <si>
    <t>400 WEST 219 ST.</t>
  </si>
  <si>
    <t>VAN JOHN REALTY, LLC</t>
  </si>
  <si>
    <t>AUTO SERVICE</t>
  </si>
  <si>
    <t>EXISTING TO REMAIN</t>
  </si>
  <si>
    <t>C6-2</t>
  </si>
  <si>
    <t>New mixed-use development with residential &amp; retail uses</t>
  </si>
  <si>
    <t>5140 BROADWAY</t>
  </si>
  <si>
    <t>PRESBYTERIAN HOSP./NY</t>
  </si>
  <si>
    <t>PARKING LOT</t>
  </si>
  <si>
    <t>EXISTING TO REMAIN ON BOTH SITE 2</t>
  </si>
  <si>
    <t>M1-5</t>
  </si>
  <si>
    <t>New mixed-use development with medical research center, medical office, &amp; retail</t>
  </si>
  <si>
    <t>4168 9 AVENUE</t>
  </si>
  <si>
    <t>9 AVENUE</t>
  </si>
  <si>
    <t>4116 WEST 220 ST.</t>
  </si>
  <si>
    <t>409 WEST 220 ST.</t>
  </si>
  <si>
    <t xml:space="preserve">SITE 2a TOTAL </t>
  </si>
  <si>
    <t>BROADWAY</t>
  </si>
  <si>
    <t>M2-1</t>
  </si>
  <si>
    <t>M1-4</t>
  </si>
  <si>
    <t>4135 9 AVENUE</t>
  </si>
  <si>
    <t xml:space="preserve">9 AVE. (waterfront) </t>
  </si>
  <si>
    <t>SITE 2b TOTAL *</t>
  </si>
  <si>
    <t xml:space="preserve"> 2 TOTAL</t>
  </si>
  <si>
    <t xml:space="preserve">SITE 2 TOTAL </t>
  </si>
  <si>
    <t>SPLIT</t>
  </si>
  <si>
    <t xml:space="preserve">2 TOTAL </t>
  </si>
  <si>
    <t>M1-5/M1-4</t>
  </si>
  <si>
    <t>215 BROADWAY REALTY C</t>
  </si>
  <si>
    <t>PARKING</t>
  </si>
  <si>
    <t>5045 BROADWAY</t>
  </si>
  <si>
    <t>M &amp; N MANAGEMENT REAL</t>
  </si>
  <si>
    <t>OFFICE</t>
  </si>
  <si>
    <t xml:space="preserve">SITE 3 TOTAL </t>
  </si>
  <si>
    <t>p/o 75</t>
  </si>
  <si>
    <t>HARLEM RIVER DR.</t>
  </si>
  <si>
    <t xml:space="preserve">DCAS  (CITY-OWNED) </t>
  </si>
  <si>
    <t>M3-1</t>
  </si>
  <si>
    <t>p/o 47</t>
  </si>
  <si>
    <t>4095 9 AVENUE</t>
  </si>
  <si>
    <t>TIME WARNER NY CABLE</t>
  </si>
  <si>
    <t>SITE 4 TOTAL*</t>
  </si>
  <si>
    <t>3976 10 AVE.</t>
  </si>
  <si>
    <t>3976 10TH AVENUE LLC</t>
  </si>
  <si>
    <t>STACKER PUBLIC PRKG</t>
  </si>
  <si>
    <t>C4-4D</t>
  </si>
  <si>
    <t>WEST 207 ST.</t>
  </si>
  <si>
    <t>J.207 ST LLC</t>
  </si>
  <si>
    <t>PUBLIC PARKING</t>
  </si>
  <si>
    <t>R9A/ R8</t>
  </si>
  <si>
    <t>8.5/7.2</t>
  </si>
  <si>
    <t>7.5/6.2</t>
  </si>
  <si>
    <t>3875 9 AVE.</t>
  </si>
  <si>
    <t>EXTERIOR ST BETWEEN W 207 &amp; W 208 STS.*</t>
  </si>
  <si>
    <t>CITY-OWNED UNBUILT STREET</t>
  </si>
  <si>
    <t xml:space="preserve">SITE 6 TOTAL </t>
  </si>
  <si>
    <t>430 WEST 207 ST.</t>
  </si>
  <si>
    <t>WEST 207 GROCERY (FORMER PATHMARK)</t>
  </si>
  <si>
    <t>R7-2</t>
  </si>
  <si>
    <t>C1-3</t>
  </si>
  <si>
    <t>RETAIL-VACANT??</t>
  </si>
  <si>
    <t>REOC</t>
  </si>
  <si>
    <t>408 WEST 207 ST.</t>
  </si>
  <si>
    <t>ALTSCHULER, MORRIS</t>
  </si>
  <si>
    <t xml:space="preserve">R9A </t>
  </si>
  <si>
    <t xml:space="preserve">SITE 7 TOTAL </t>
  </si>
  <si>
    <t>R9A / R8A</t>
  </si>
  <si>
    <t>8.5 / 7.2</t>
  </si>
  <si>
    <t>7.0 /5.7</t>
  </si>
  <si>
    <t>416 WEST 204 ST.</t>
  </si>
  <si>
    <t>CON EDISON</t>
  </si>
  <si>
    <t>LOT 15 REDEVELOPED WITH RESIDENTIAL USES</t>
  </si>
  <si>
    <t>PARTIAL</t>
  </si>
  <si>
    <t>3814 9 AVE.</t>
  </si>
  <si>
    <t>417 W. 203RD ST.</t>
  </si>
  <si>
    <t xml:space="preserve">CON  EDISON (Pluto incorrectly has HJ Butler &amp; Bros.) </t>
  </si>
  <si>
    <t xml:space="preserve">SITE 8 TOTAL </t>
  </si>
  <si>
    <t>R8A / R7A</t>
  </si>
  <si>
    <t>4.0 / 7.20</t>
  </si>
  <si>
    <t>4.0 /6.45</t>
  </si>
  <si>
    <t>3816 9 AVE.</t>
  </si>
  <si>
    <t>MN BIBLE CHURCH</t>
  </si>
  <si>
    <t>3815 9 AVE.</t>
  </si>
  <si>
    <t>3815-9TH AVENUE INC</t>
  </si>
  <si>
    <t>RETAIL</t>
  </si>
  <si>
    <t>36*</t>
  </si>
  <si>
    <t>WEST 205 ST.</t>
  </si>
  <si>
    <t xml:space="preserve">NYC DSBS (DISPO SITE) </t>
  </si>
  <si>
    <t>PARTIAL SUBMERGED</t>
  </si>
  <si>
    <t>WEST 204 ST.</t>
  </si>
  <si>
    <t>STORAGE/PARKING</t>
  </si>
  <si>
    <t xml:space="preserve">SITE 10 TOTAL </t>
  </si>
  <si>
    <t>3835 10 AVE.</t>
  </si>
  <si>
    <t>3839 REALTY MGNT</t>
  </si>
  <si>
    <t>REDEVELOPED WITH RESIDENTIAL BLDG W/ GR FL RETAIL</t>
  </si>
  <si>
    <t>Y</t>
  </si>
  <si>
    <t>3843 10 AVE.</t>
  </si>
  <si>
    <t xml:space="preserve">SITE 11 TOTAL </t>
  </si>
  <si>
    <t>9 AVE.</t>
  </si>
  <si>
    <t>M2-4</t>
  </si>
  <si>
    <t>3775 9 AVENUE</t>
  </si>
  <si>
    <t xml:space="preserve">SITE 12 TOTAL </t>
  </si>
  <si>
    <t>3775 10 AVE.</t>
  </si>
  <si>
    <t>SHERMAN CREEK REALTY</t>
  </si>
  <si>
    <t xml:space="preserve">REOCCUPATIN OF COMMERIAL </t>
  </si>
  <si>
    <t>M1-4/R9A</t>
  </si>
  <si>
    <t>499 WEST 202 ST.</t>
  </si>
  <si>
    <t>SABINA RLTY/NY INC</t>
  </si>
  <si>
    <t>PARKING/AUTO</t>
  </si>
  <si>
    <t>M1-4/R7A</t>
  </si>
  <si>
    <t>417 WEST 202 ST.</t>
  </si>
  <si>
    <t>INWOOD PARTNERS 2, LLC</t>
  </si>
  <si>
    <t>SITE 13 TOTAL</t>
  </si>
  <si>
    <t>M1-4/R9A and R8A</t>
  </si>
  <si>
    <t>3761 10 AVE.</t>
  </si>
  <si>
    <t>3769 10TH AVE. REAL</t>
  </si>
  <si>
    <t>AUTO/RETAIL/PARKING</t>
  </si>
  <si>
    <t>3769 10 AVE.</t>
  </si>
  <si>
    <t xml:space="preserve">SITE 14 TOTAL </t>
  </si>
  <si>
    <t>5060 BROADWAY</t>
  </si>
  <si>
    <t>5060 BROADWAY REALTYC</t>
  </si>
  <si>
    <t>COMMERCIAL</t>
  </si>
  <si>
    <t>REOCC</t>
  </si>
  <si>
    <t>4762-4764 BROADWAY/ 211 DYCKMAN ST</t>
  </si>
  <si>
    <t xml:space="preserve">DYCHMAN STREET L </t>
  </si>
  <si>
    <t>4768-4776 BROADWAY</t>
  </si>
  <si>
    <t>4768 BROADWAY LLC</t>
  </si>
  <si>
    <t>REDEVELOPED WITH RESIDENTIAL BLDG W/ SUPERMARKET</t>
  </si>
  <si>
    <t>4778 BROADWAY</t>
  </si>
  <si>
    <t>VASQUEZ ANDRES</t>
  </si>
  <si>
    <t xml:space="preserve">SITE 24 TOTAL </t>
  </si>
  <si>
    <t>4780 BROADWAY</t>
  </si>
  <si>
    <t xml:space="preserve">NY PUBLIC LIBRARY </t>
  </si>
  <si>
    <t>P/O 20</t>
  </si>
  <si>
    <t>DCAS / DEPT. OF EDU</t>
  </si>
  <si>
    <t>P/O 75</t>
  </si>
  <si>
    <t>P/O 47</t>
  </si>
  <si>
    <t xml:space="preserve">SITE 33 TOTAL* </t>
  </si>
  <si>
    <t xml:space="preserve">TOTAL </t>
  </si>
  <si>
    <t xml:space="preserve">* Lot areas of waterfront sites adjusted to only account for property located landward of the Mean High Water Line (MHWL). </t>
  </si>
  <si>
    <t>Workers:</t>
  </si>
  <si>
    <t>TABLE 2: CITY COUNCIL MODIFICATIONS POTENTIAL SITE RWCDS</t>
  </si>
  <si>
    <t>SITE</t>
  </si>
  <si>
    <t>Other (SF)</t>
  </si>
  <si>
    <t xml:space="preserve">Total (SF) </t>
  </si>
  <si>
    <t xml:space="preserve">Total Parking </t>
  </si>
  <si>
    <t>TOTAL FAR</t>
  </si>
  <si>
    <t>Community Center (SF)</t>
  </si>
  <si>
    <t>Affordable DU's @ 25%</t>
  </si>
  <si>
    <t>Affordable DU's @ 30%</t>
  </si>
  <si>
    <t>504 WEST 207 STREET</t>
  </si>
  <si>
    <t>BENEVENTO ONE, LLC</t>
  </si>
  <si>
    <t>129 POST AVENUE</t>
  </si>
  <si>
    <t>BENVENTO ONE, LLC</t>
  </si>
  <si>
    <t xml:space="preserve">SITE A TOTAL </t>
  </si>
  <si>
    <t xml:space="preserve">SITE AO TOTAL </t>
  </si>
  <si>
    <t>5122 BROADWAY</t>
  </si>
  <si>
    <t>COLUMBIA</t>
  </si>
  <si>
    <t>VACANT</t>
  </si>
  <si>
    <t>New mixed-use development with commercial and community facility uses</t>
  </si>
  <si>
    <t>5124 BROADWAY</t>
  </si>
  <si>
    <t>COUMBIA</t>
  </si>
  <si>
    <t>5134 BROADWAY</t>
  </si>
  <si>
    <t xml:space="preserve">AUTO-RELATED </t>
  </si>
  <si>
    <t xml:space="preserve">SITE B TOTAL </t>
  </si>
  <si>
    <t>425 WEST 218 ST.</t>
  </si>
  <si>
    <t>425 WEST 218 LLC</t>
  </si>
  <si>
    <t>CAR WASH</t>
  </si>
  <si>
    <t>409 WEST 218 ST.</t>
  </si>
  <si>
    <t>AUTOMOBILE CLUB/N.Y.</t>
  </si>
  <si>
    <t>423 WEST 218 ST.</t>
  </si>
  <si>
    <t>HANS J ALEXANDER</t>
  </si>
  <si>
    <t xml:space="preserve">SITE C TOTAL </t>
  </si>
  <si>
    <t>5073 BROADWAY</t>
  </si>
  <si>
    <t>5073 BROADWAY REAL ES</t>
  </si>
  <si>
    <t>5063 BROADWAY</t>
  </si>
  <si>
    <t>ARCHWAY PROPERTIES IN</t>
  </si>
  <si>
    <t>5069 BROADWAY</t>
  </si>
  <si>
    <t xml:space="preserve">SITE D TOTAL </t>
  </si>
  <si>
    <t>3966 10 AVE.</t>
  </si>
  <si>
    <t>3966 PARKING, INC.</t>
  </si>
  <si>
    <t>New mixed-use development with residential, retail, and community facility uses</t>
  </si>
  <si>
    <t>3950 10 AVE.</t>
  </si>
  <si>
    <t>3950 REALTY CORP.</t>
  </si>
  <si>
    <t xml:space="preserve">SITE E TOTAL </t>
  </si>
  <si>
    <t>5037 BROADWAY</t>
  </si>
  <si>
    <t>BROADWAY 5037, LLC</t>
  </si>
  <si>
    <t>5044 BROADWAY</t>
  </si>
  <si>
    <t>APOSTLE BROS REALTYIN</t>
  </si>
  <si>
    <t>FUNERAL HOME</t>
  </si>
  <si>
    <t>C4-5D</t>
  </si>
  <si>
    <t>New mixed-use development with residential, retail, &amp;  community center uses</t>
  </si>
  <si>
    <t>5048 BROADWAY</t>
  </si>
  <si>
    <t>5048-5050 BROADWAY LL</t>
  </si>
  <si>
    <t>5050 BROADWAY</t>
  </si>
  <si>
    <t>10 AVE.</t>
  </si>
  <si>
    <t>4020 10 AVE.</t>
  </si>
  <si>
    <t>SEAMAN RADIO DISPATCH</t>
  </si>
  <si>
    <t xml:space="preserve">SITE G TOTAL </t>
  </si>
  <si>
    <t>SITE G TOTAL</t>
  </si>
  <si>
    <t>5099 BROADWAY</t>
  </si>
  <si>
    <t>RAINFORD DEVELOPMENT</t>
  </si>
  <si>
    <t>RESTAURANT</t>
  </si>
  <si>
    <t>5089 BROADWAY</t>
  </si>
  <si>
    <t>FOUAD MATRAGI</t>
  </si>
  <si>
    <t xml:space="preserve">SITE H TOTAL </t>
  </si>
  <si>
    <t>20*</t>
  </si>
  <si>
    <t xml:space="preserve">NYC DSBS (partially submerged- DISPO SITE) </t>
  </si>
  <si>
    <t>PARTIALLY SUBMERGED</t>
  </si>
  <si>
    <t>3859 9 AVE.</t>
  </si>
  <si>
    <t>FLAIR BEVERAGE CORP</t>
  </si>
  <si>
    <t>R9A / R8</t>
  </si>
  <si>
    <t>7.5/ 6.20</t>
  </si>
  <si>
    <t>3851 9 AVE.</t>
  </si>
  <si>
    <t>3849 9 AVE.</t>
  </si>
  <si>
    <t xml:space="preserve">SITE I TOTAL </t>
  </si>
  <si>
    <t>7.50/ 6.20</t>
  </si>
  <si>
    <t>500 WEST 211 ST.</t>
  </si>
  <si>
    <t>ALEJANDRO A BEATO</t>
  </si>
  <si>
    <t>3936 10 AVE.</t>
  </si>
  <si>
    <t>AMG SHERMAN REALTY  L</t>
  </si>
  <si>
    <t xml:space="preserve">GAS STATION </t>
  </si>
  <si>
    <t>5094 BROADWAY</t>
  </si>
  <si>
    <t>5094 BROADWAY LLC</t>
  </si>
  <si>
    <t>.</t>
  </si>
  <si>
    <t>401 WEST 207 ST.</t>
  </si>
  <si>
    <t>HESS RETAIL STORES LLC</t>
  </si>
  <si>
    <t>GAS STATION</t>
  </si>
  <si>
    <t xml:space="preserve">R9A / R8A </t>
  </si>
  <si>
    <t>New mixed-use development with residential, community center, &amp; retail uses</t>
  </si>
  <si>
    <t>7/5.7</t>
  </si>
  <si>
    <t>3859 10 AVE.</t>
  </si>
  <si>
    <t>3859 TENTH AVE CORP</t>
  </si>
  <si>
    <t>3863 10 AVE.</t>
  </si>
  <si>
    <t>3867 10 AVE.</t>
  </si>
  <si>
    <t>TENTH AVE. REALTY C</t>
  </si>
  <si>
    <t xml:space="preserve">SITE N TOTAL </t>
  </si>
  <si>
    <t>401 WEST 205 ST.</t>
  </si>
  <si>
    <t>SCHOOL/CHURCH</t>
  </si>
  <si>
    <t>New mixed-use development with residential, retail, non-profit office, &amp; community center</t>
  </si>
  <si>
    <t>3842 9 AVE.</t>
  </si>
  <si>
    <t>3842 9TH AVE RLTY</t>
  </si>
  <si>
    <t>AUTO SALES</t>
  </si>
  <si>
    <t>414 WEST 206 ST.</t>
  </si>
  <si>
    <t>3815 9TH AVE INC</t>
  </si>
  <si>
    <t>STACKED PARKING</t>
  </si>
  <si>
    <t xml:space="preserve">SITE Q TOTAL </t>
  </si>
  <si>
    <t xml:space="preserve">PARTIAL </t>
  </si>
  <si>
    <t>R8A/ R7A</t>
  </si>
  <si>
    <t>7.2 / 4.6</t>
  </si>
  <si>
    <t>6.45 / 4.6</t>
  </si>
  <si>
    <t>0.75 /0</t>
  </si>
  <si>
    <t>3835 9 AVE.</t>
  </si>
  <si>
    <t>3835 9TH AVE.</t>
  </si>
  <si>
    <t>3801 10 AVE.</t>
  </si>
  <si>
    <t>3801 EQUITY COMPANY</t>
  </si>
  <si>
    <t>AUTO-RELATED</t>
  </si>
  <si>
    <t>3795 10 AVE.</t>
  </si>
  <si>
    <t>TENTH AVE. LLC</t>
  </si>
  <si>
    <t>425 WEST 203 ST.</t>
  </si>
  <si>
    <t>423-39 REALTY LLC</t>
  </si>
  <si>
    <t>New  residential development</t>
  </si>
  <si>
    <t>Check</t>
  </si>
  <si>
    <t>Site removed based on CC mod</t>
  </si>
  <si>
    <t>Scenario altered based on CC mod</t>
  </si>
  <si>
    <t>Maximum 
FAR</t>
  </si>
  <si>
    <t>Auto Rel., Storage &amp; Other SF++</t>
  </si>
  <si>
    <t>Total 
GSF</t>
  </si>
  <si>
    <t>FRESH 
Parking</t>
  </si>
  <si>
    <t>Comml 
SF</t>
  </si>
  <si>
    <t>Afford-
able 
DU's</t>
  </si>
  <si>
    <t>Comml 
SF+++</t>
  </si>
  <si>
    <t>FRESH  (Supermarket)
SF</t>
  </si>
  <si>
    <t>Total Commercial SF</t>
  </si>
  <si>
    <t/>
  </si>
  <si>
    <t>Retail (1)/ House of Worship (2)</t>
  </si>
  <si>
    <t>Retail (1) / House of Worship (1) / Residential (10)</t>
  </si>
  <si>
    <t>Hotel (3)</t>
  </si>
  <si>
    <t>C4-4L</t>
  </si>
  <si>
    <t>Retail/Restaurant(1)/Residential (8)</t>
  </si>
  <si>
    <t>C8-2</t>
  </si>
  <si>
    <t>Existing Auto Repair (1) and Office (1)</t>
  </si>
  <si>
    <t>Used Care Sales</t>
  </si>
  <si>
    <t>Retail (1)/Residential (6)</t>
  </si>
  <si>
    <t>Industrial (1)</t>
  </si>
  <si>
    <t>Retail (1) / Residential (8)</t>
  </si>
  <si>
    <t>Auto Repair (1)</t>
  </si>
  <si>
    <t>Retail (1)</t>
  </si>
  <si>
    <t>C.F. Medical Facility (1)</t>
  </si>
  <si>
    <t>Retail (1) / C.F. Medical (1) / Residential (7)</t>
  </si>
  <si>
    <t>Surface Parking Lot</t>
  </si>
  <si>
    <t xml:space="preserve">Auto Repair (1) / Office (1) </t>
  </si>
  <si>
    <t>Residential (2)</t>
  </si>
  <si>
    <t>Retail (1) / Office (1)</t>
  </si>
  <si>
    <t>Residential (1)</t>
  </si>
  <si>
    <t>Retail (2) / Residential (7)</t>
  </si>
  <si>
    <t xml:space="preserve">Auto Repair (1) </t>
  </si>
  <si>
    <t>Gas Station / Used Car Sales</t>
  </si>
  <si>
    <t>C2-3</t>
  </si>
  <si>
    <t>R6A</t>
  </si>
  <si>
    <t>Retail (1) / Residential (7)</t>
  </si>
  <si>
    <t>Auto Shop</t>
  </si>
  <si>
    <t>Retail (1) / Residential (9)</t>
  </si>
  <si>
    <t>Commercial Office (1)</t>
  </si>
  <si>
    <t>Commercial Office and Retail (4) (2 BLDGS)</t>
  </si>
  <si>
    <t>Retail (1) / C.F. Medical (1) /Residential (12)</t>
  </si>
  <si>
    <t>Auto Shop (1) / Office (1)</t>
  </si>
  <si>
    <t>Light Industrial (1) /Residential (7)</t>
  </si>
  <si>
    <t>C.F. Medical (5)</t>
  </si>
  <si>
    <t>Retail (1)/Residential (13)</t>
  </si>
  <si>
    <t>Open Air Storage</t>
  </si>
  <si>
    <t>Residential (10)</t>
  </si>
  <si>
    <t>Commercial &amp; Office</t>
  </si>
  <si>
    <t>Retail (1)/Residential (7)</t>
  </si>
  <si>
    <t>Retail (1)/Residential (1)</t>
  </si>
  <si>
    <t>Commercial (1)</t>
  </si>
  <si>
    <t>Retail (1)/Residential (2)</t>
  </si>
  <si>
    <t>Vacant Land</t>
  </si>
  <si>
    <t>Retail (1) / School Pre-K/House of Worship (2) /Residential (11)</t>
  </si>
  <si>
    <t>Day Care Center (2)</t>
  </si>
  <si>
    <t>Retail (2)</t>
  </si>
  <si>
    <t>Hotel (2)</t>
  </si>
  <si>
    <t>Retail (1) / Office (1) /Residential (12)</t>
  </si>
  <si>
    <t>Retail (1)/ Office/Storage (1)</t>
  </si>
  <si>
    <t>Community Facility (1)</t>
  </si>
  <si>
    <t>Junk Yard</t>
  </si>
  <si>
    <t>R6B</t>
  </si>
  <si>
    <t>Residential (5)</t>
  </si>
  <si>
    <t>Storage Area</t>
  </si>
  <si>
    <t>M1-4/R6A</t>
  </si>
  <si>
    <t>Residential (8)</t>
  </si>
  <si>
    <t>Warehouse/Storage (1)</t>
  </si>
  <si>
    <t>Commercial (2)</t>
  </si>
  <si>
    <t>Light Industrial (1) / Residential (7)</t>
  </si>
  <si>
    <t>Restaurant (1)</t>
  </si>
  <si>
    <t>M1-4/R8A</t>
  </si>
  <si>
    <t>Building 1: Light Industrial (1) / Office (2); Building 2: Residential (14)</t>
  </si>
  <si>
    <t>Storage (1)/Residential (1)</t>
  </si>
  <si>
    <t xml:space="preserve">Storage (1) </t>
  </si>
  <si>
    <t xml:space="preserve">Vacant Buildong </t>
  </si>
  <si>
    <t>Supermarket/ Restaurant/Banquet Hall/Hotel</t>
  </si>
  <si>
    <t>Retail (1)/ Office (1)/Residential (10)</t>
  </si>
  <si>
    <t>Retail (1)/Residential (11)</t>
  </si>
  <si>
    <t>Retail (1)/ C.F. Medical (2) / Residential (11)</t>
  </si>
  <si>
    <t>Medical Office (1)</t>
  </si>
  <si>
    <t>Residential (3)</t>
  </si>
  <si>
    <t>Auto Repair (1)/ Residential (1)</t>
  </si>
  <si>
    <t>House of Worship (1)</t>
  </si>
  <si>
    <t>Light Industrial/Warehouse (1)</t>
  </si>
  <si>
    <t>Auto Related (Towing)</t>
  </si>
  <si>
    <t>Auto Related (Towing) (1)</t>
  </si>
  <si>
    <t>Retail (1)/Residential (9)</t>
  </si>
  <si>
    <t xml:space="preserve">Garage (1) </t>
  </si>
  <si>
    <t xml:space="preserve">Retail (1) </t>
  </si>
  <si>
    <t>Truck/ Auto Parking</t>
  </si>
  <si>
    <t>Retail/Restaurant (2) / Light Industrial (2) / School or Community Center  (1) /Residential (11)</t>
  </si>
  <si>
    <t>Light Industrial/Distribution (1)</t>
  </si>
  <si>
    <t>School (5) / Residential (14)</t>
  </si>
  <si>
    <t>Supermarket (1) / Retail (1) / Gym (1) / Drive-Thru Retail (3)</t>
  </si>
  <si>
    <t>Fresh (1) / Commercial/Office (1) /  C.F. Medical (1) /Residential (11)</t>
  </si>
  <si>
    <t>Retail/Restaurant (1) / Commercial/Office (1) / Community Center (1) / Residential (11)</t>
  </si>
  <si>
    <t>Community Center (1) /Residential (13)</t>
  </si>
  <si>
    <t>Gas Station (1)</t>
  </si>
  <si>
    <t>Retail/Restaurant (1)/Residential (13)</t>
  </si>
  <si>
    <t>Retail (1) / Office (1) / C.F.  Medical (1) / Residential (11)</t>
  </si>
  <si>
    <t>Commercial Office</t>
  </si>
  <si>
    <t>Truck Storage Yard/ Office (1)</t>
  </si>
  <si>
    <t>Truck Storage Yard</t>
  </si>
  <si>
    <t>Manufacturing (1)</t>
  </si>
  <si>
    <t>House of Worship (2)</t>
  </si>
  <si>
    <t>Commercial &amp; Office (1)</t>
  </si>
  <si>
    <t>Community Center/House of Worship (2) /Residential (8)</t>
  </si>
  <si>
    <t>C.F. House of Worship (1)</t>
  </si>
  <si>
    <t>Totals:</t>
  </si>
  <si>
    <t>Site removed due to CC mod</t>
  </si>
  <si>
    <t>Scenario altered to reflect latest CC mod (4/11/16)</t>
  </si>
  <si>
    <t>Aff Hsg Pkg</t>
  </si>
  <si>
    <t>FRESH 
SF</t>
  </si>
  <si>
    <t>C ex-Special 
Parking</t>
  </si>
  <si>
    <t>A1</t>
  </si>
  <si>
    <t>Storage/Garage (1)</t>
  </si>
  <si>
    <t>Retail (1) / Residential (11)</t>
  </si>
  <si>
    <t xml:space="preserve">Vacant Land </t>
  </si>
  <si>
    <t>A2</t>
  </si>
  <si>
    <t>Retail (1) / Residential (1)</t>
  </si>
  <si>
    <t>Retail (1) / C.F. (1)  /Residential (8)</t>
  </si>
  <si>
    <t>Garage (1)</t>
  </si>
  <si>
    <t>A3</t>
  </si>
  <si>
    <t>C.F. Non-Profit (Services)</t>
  </si>
  <si>
    <t>Retail (1) / C.F. (1)  /Residential (10)</t>
  </si>
  <si>
    <t>A4</t>
  </si>
  <si>
    <t>Retail (1)/Residential (8)</t>
  </si>
  <si>
    <t xml:space="preserve">Auto Sales/Showroom (1) </t>
  </si>
  <si>
    <t>A5</t>
  </si>
  <si>
    <t>A6</t>
  </si>
  <si>
    <t>Supermarket (1)</t>
  </si>
  <si>
    <t>Supermarket (1) / C.F. (1) / Residential (10)</t>
  </si>
  <si>
    <t>A7</t>
  </si>
  <si>
    <t>Warehouse (1)</t>
  </si>
  <si>
    <t>M1-4/R7D</t>
  </si>
  <si>
    <t>Light Industrial (1) / Residential (11)</t>
  </si>
  <si>
    <t>A8</t>
  </si>
  <si>
    <t>Light Industrial (1) / C.F. (1) / Residential (11)</t>
  </si>
  <si>
    <t>A9</t>
  </si>
  <si>
    <t>Storage (1)</t>
  </si>
  <si>
    <t>A10</t>
  </si>
  <si>
    <t>Retail (2) / Residential (12)</t>
  </si>
  <si>
    <t>Commercial&amp; Office (3)</t>
  </si>
  <si>
    <t>A11</t>
  </si>
  <si>
    <t>Funeral Home (1)</t>
  </si>
  <si>
    <t>Retail (1) / Residential (13)</t>
  </si>
  <si>
    <t>A12</t>
  </si>
  <si>
    <t>A13</t>
  </si>
  <si>
    <t>Retail (1) / Residential (2)</t>
  </si>
  <si>
    <t>A14</t>
  </si>
  <si>
    <t>Commercial (1) / Residential (2)</t>
  </si>
  <si>
    <t>A15</t>
  </si>
  <si>
    <t>A16</t>
  </si>
  <si>
    <t>A17</t>
  </si>
  <si>
    <t>A18</t>
  </si>
  <si>
    <t>A19</t>
  </si>
  <si>
    <t>A20</t>
  </si>
  <si>
    <t>A21</t>
  </si>
  <si>
    <t>A22</t>
  </si>
  <si>
    <t>A23</t>
  </si>
  <si>
    <t>Commercial (1) / Residential (1)</t>
  </si>
  <si>
    <t>A24</t>
  </si>
  <si>
    <t>A25</t>
  </si>
  <si>
    <t>Retail &amp; Office (2)</t>
  </si>
  <si>
    <t>A26</t>
  </si>
  <si>
    <t>A27</t>
  </si>
  <si>
    <t>A28</t>
  </si>
  <si>
    <t>Supermarket (1) / Residential (9)</t>
  </si>
  <si>
    <t>A29</t>
  </si>
  <si>
    <t>Commercial &amp; Office (2)</t>
  </si>
  <si>
    <t>A30</t>
  </si>
  <si>
    <t>Retail (1)/Residential (4)</t>
  </si>
  <si>
    <t>A31</t>
  </si>
  <si>
    <t>A32</t>
  </si>
  <si>
    <t>Self-Storage (4)</t>
  </si>
  <si>
    <t>A33</t>
  </si>
  <si>
    <t>A34</t>
  </si>
  <si>
    <t>A35</t>
  </si>
  <si>
    <t>Retail (1)/Residential (3)</t>
  </si>
  <si>
    <t>A36</t>
  </si>
  <si>
    <t>A37</t>
  </si>
  <si>
    <t>A38</t>
  </si>
  <si>
    <t>A39</t>
  </si>
  <si>
    <t>A40</t>
  </si>
  <si>
    <t>A41</t>
  </si>
  <si>
    <t>A42</t>
  </si>
  <si>
    <t>A43</t>
  </si>
  <si>
    <t>Retail (1)/ C.F. (2) / Residential (11)</t>
  </si>
  <si>
    <t>Storage (2)</t>
  </si>
  <si>
    <t>Storage (2)/ C.F. House of Worship (1)</t>
  </si>
  <si>
    <t>A44</t>
  </si>
  <si>
    <t>A45</t>
  </si>
  <si>
    <t>A46</t>
  </si>
  <si>
    <t>A47</t>
  </si>
  <si>
    <t>Residential/Commercial (2)</t>
  </si>
  <si>
    <t>Retail (1) / Office/Gym/Manufacturing (2)</t>
  </si>
  <si>
    <t>A48</t>
  </si>
  <si>
    <t>Furniture Outlet Store (3)</t>
  </si>
  <si>
    <t>Retail/Restaurant (1) / Office (2) /Residential (11)</t>
  </si>
  <si>
    <t>A49</t>
  </si>
  <si>
    <t>A50</t>
  </si>
  <si>
    <t>A51</t>
  </si>
  <si>
    <t xml:space="preserve">Open Air Truck/Construction Storage </t>
  </si>
  <si>
    <t>A52</t>
  </si>
  <si>
    <t>A53</t>
  </si>
  <si>
    <t>A54</t>
  </si>
  <si>
    <t>Laundromat (1) / Residential (1)</t>
  </si>
  <si>
    <t>A55</t>
  </si>
  <si>
    <t>Retail/C.F. Day Care/House of Worship (1)</t>
  </si>
  <si>
    <t>A56</t>
  </si>
  <si>
    <t>Retail/Restaurant (2)</t>
  </si>
  <si>
    <t>A57</t>
  </si>
  <si>
    <t>A58</t>
  </si>
  <si>
    <t>A59</t>
  </si>
  <si>
    <t>A60</t>
  </si>
  <si>
    <t>A61</t>
  </si>
  <si>
    <t>Retail (1) / C.F. (1) / Residential (8)</t>
  </si>
  <si>
    <t>A62</t>
  </si>
  <si>
    <t>Drive-Thru Restaurant (1)</t>
  </si>
  <si>
    <t>Retail/Restaurant (2)  /Residential (12)</t>
  </si>
  <si>
    <t>A63</t>
  </si>
  <si>
    <t>A64</t>
  </si>
  <si>
    <t>A65</t>
  </si>
  <si>
    <t>Office (1) / Gym (1)</t>
  </si>
  <si>
    <t>A66</t>
  </si>
  <si>
    <t>A67</t>
  </si>
  <si>
    <t>Office (1) / Residential (2)</t>
  </si>
  <si>
    <t>A68</t>
  </si>
  <si>
    <t>A69</t>
  </si>
  <si>
    <t>Commercial &amp; Office (3)</t>
  </si>
  <si>
    <t>A70</t>
  </si>
  <si>
    <t>A71</t>
  </si>
  <si>
    <t>A72</t>
  </si>
  <si>
    <t>Storage (1) &amp; Residential (2)</t>
  </si>
  <si>
    <t>Commercial (1) &amp; Residential (2)</t>
  </si>
  <si>
    <t>A73</t>
  </si>
  <si>
    <t>Self-Storage (2)</t>
  </si>
  <si>
    <t>Commercial Retail (4) / C.F. (2) / Residential (8)</t>
  </si>
  <si>
    <t>A74</t>
  </si>
  <si>
    <t>A75</t>
  </si>
  <si>
    <t>Warehouse/Distribution (1)</t>
  </si>
  <si>
    <t>A76</t>
  </si>
  <si>
    <t>A77</t>
  </si>
  <si>
    <t>A78</t>
  </si>
  <si>
    <t>Retail (1) /Residential (4)</t>
  </si>
  <si>
    <t>A79</t>
  </si>
  <si>
    <t>A80</t>
  </si>
  <si>
    <t>A81</t>
  </si>
  <si>
    <t>A82</t>
  </si>
  <si>
    <t>A83</t>
  </si>
  <si>
    <t>A84</t>
  </si>
  <si>
    <t>Manufacturing (2)</t>
  </si>
  <si>
    <t>A85</t>
  </si>
  <si>
    <t>A86</t>
  </si>
  <si>
    <t>A87</t>
  </si>
  <si>
    <t>Office (4)</t>
  </si>
  <si>
    <t>A88</t>
  </si>
  <si>
    <t>House of Worship (1) / Residential (1)</t>
  </si>
  <si>
    <t>A89</t>
  </si>
  <si>
    <t>A90</t>
  </si>
  <si>
    <t>A91</t>
  </si>
  <si>
    <t>Retail/Auto Repair (1) / Residential (1)</t>
  </si>
  <si>
    <t>A92</t>
  </si>
  <si>
    <t>Wholesale/Storage (1) / Residential (1)</t>
  </si>
  <si>
    <t>A93</t>
  </si>
  <si>
    <t>A94</t>
  </si>
  <si>
    <t>A95</t>
  </si>
  <si>
    <t>A96</t>
  </si>
  <si>
    <t>A97</t>
  </si>
  <si>
    <t>A98</t>
  </si>
  <si>
    <t>A99</t>
  </si>
  <si>
    <t>Retail (2)/Residential (8)</t>
  </si>
  <si>
    <t>A100</t>
  </si>
  <si>
    <t>Commercial &amp; Office / Manufcacturing (1)</t>
  </si>
  <si>
    <t>A101</t>
  </si>
  <si>
    <t>Parking Facilities/Storage</t>
  </si>
  <si>
    <t>A102</t>
  </si>
  <si>
    <t>A103</t>
  </si>
  <si>
    <t>A104</t>
  </si>
  <si>
    <t>A105</t>
  </si>
  <si>
    <t>A106</t>
  </si>
  <si>
    <t>Source: DCP, 2014.</t>
  </si>
  <si>
    <t>+ Excludes auto-related, storage, office, and other (non-categorizable) uses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</si>
</sst>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_(* #,##0_);_(* \(#,##0\);_(* &quot;-&quot;??_);_(@_)"/>
    <numFmt numFmtId="165" formatCode="#,##0;[Red]#,##0"/>
    <numFmt numFmtId="166" formatCode="0;\-0;;@"/>
    <numFmt numFmtId="167" formatCode="#,##0.0"/>
    <numFmt numFmtId="168" formatCode="0.0"/>
    <numFmt numFmtId="169" formatCode="#,##0.0_);\(#,##0.0\)"/>
    <numFmt numFmtId="170" formatCode="_(* #,##0.0_);_(* \(#,##0.0\);_(* &quot;-&quot;??_);_(@_)"/>
    <numFmt numFmtId="171" formatCode="00"/>
    <numFmt numFmtId="172" formatCode="0.00_);\(0.00\)"/>
    <numFmt numFmtId="173" formatCode="_(* #,##0_);_(* \(#,##0\);_(* #,##0_);_(@_)"/>
  </numFmts>
  <fonts count="101">
    <font>
      <sz val="11"/>
      <color theme="1"/>
      <name val="Calibri"/>
      <family val="2"/>
      <scheme val="minor"/>
    </font>
    <font>
      <sz val="11"/>
      <color theme="1"/>
      <name val="Calibri"/>
      <family val="2"/>
      <scheme val="minor"/>
    </font>
    <font>
      <sz val="11"/>
      <color rgb="FF3F3F76"/>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0"/>
      <color rgb="FFFF0000"/>
      <name val="Calibri"/>
      <family val="2"/>
      <scheme val="minor"/>
    </font>
    <font>
      <sz val="10"/>
      <name val="Calibri"/>
      <family val="2"/>
      <scheme val="minor"/>
    </font>
    <font>
      <sz val="11"/>
      <name val="Calibri"/>
      <family val="2"/>
      <scheme val="minor"/>
    </font>
    <font>
      <b/>
      <sz val="10"/>
      <name val="Calibri"/>
      <family val="2"/>
      <scheme val="minor"/>
    </font>
    <font>
      <sz val="10"/>
      <color rgb="FFFF0000"/>
      <name val="Calibri"/>
      <family val="2"/>
      <scheme val="minor"/>
    </font>
    <font>
      <sz val="10"/>
      <color theme="1"/>
      <name val="Calibri"/>
      <family val="2"/>
      <scheme val="minor"/>
    </font>
    <font>
      <sz val="10"/>
      <name val="Arial"/>
      <family val="2"/>
    </font>
    <font>
      <b/>
      <i/>
      <sz val="8"/>
      <name val="Calibri"/>
      <family val="2"/>
      <scheme val="minor"/>
    </font>
    <font>
      <i/>
      <sz val="8"/>
      <name val="Calibri"/>
      <family val="2"/>
      <scheme val="minor"/>
    </font>
    <font>
      <i/>
      <sz val="10"/>
      <name val="Calibri"/>
      <family val="2"/>
      <scheme val="minor"/>
    </font>
    <font>
      <i/>
      <sz val="8"/>
      <color theme="1"/>
      <name val="Calibri"/>
      <family val="2"/>
      <scheme val="minor"/>
    </font>
    <font>
      <b/>
      <i/>
      <sz val="8"/>
      <color theme="1"/>
      <name val="Calibri"/>
      <family val="2"/>
      <scheme val="minor"/>
    </font>
    <font>
      <sz val="8"/>
      <name val="Calibri"/>
      <family val="2"/>
    </font>
    <font>
      <b/>
      <i/>
      <sz val="14"/>
      <color theme="1"/>
      <name val="Calibri"/>
      <family val="2"/>
      <scheme val="minor"/>
    </font>
    <font>
      <i/>
      <sz val="11"/>
      <color theme="1"/>
      <name val="Calibri"/>
      <family val="2"/>
      <scheme val="minor"/>
    </font>
    <font>
      <i/>
      <sz val="11"/>
      <name val="Calibri"/>
      <family val="2"/>
      <scheme val="minor"/>
    </font>
    <font>
      <sz val="11"/>
      <color theme="4"/>
      <name val="Calibri"/>
      <family val="2"/>
      <scheme val="minor"/>
    </font>
    <font>
      <sz val="11"/>
      <color rgb="FF00B050"/>
      <name val="Calibri"/>
      <family val="2"/>
      <scheme val="minor"/>
    </font>
    <font>
      <b/>
      <sz val="14"/>
      <color theme="1"/>
      <name val="Calibri"/>
      <family val="2"/>
      <scheme val="minor"/>
    </font>
    <font>
      <sz val="11"/>
      <color theme="7" tint="-0.249977111117893"/>
      <name val="Calibri"/>
      <family val="2"/>
      <scheme val="minor"/>
    </font>
    <font>
      <i/>
      <sz val="11"/>
      <color rgb="FF3F3F76"/>
      <name val="Calibri"/>
      <family val="2"/>
      <scheme val="minor"/>
    </font>
    <font>
      <sz val="11"/>
      <color theme="4" tint="-0.249977111117893"/>
      <name val="Calibri"/>
      <family val="2"/>
      <scheme val="minor"/>
    </font>
    <font>
      <sz val="11"/>
      <color theme="4" tint="-0.499984740745262"/>
      <name val="Calibri"/>
      <family val="2"/>
      <scheme val="minor"/>
    </font>
    <font>
      <b/>
      <sz val="11"/>
      <color rgb="FFFF0000"/>
      <name val="Calibri"/>
      <family val="2"/>
      <scheme val="minor"/>
    </font>
    <font>
      <b/>
      <sz val="11"/>
      <name val="Calibri"/>
      <family val="2"/>
      <scheme val="minor"/>
    </font>
    <font>
      <b/>
      <i/>
      <sz val="14"/>
      <color theme="8"/>
      <name val="Calibri"/>
      <family val="2"/>
      <scheme val="minor"/>
    </font>
    <font>
      <i/>
      <sz val="11"/>
      <color rgb="FF0070C0"/>
      <name val="Calibri"/>
      <family val="2"/>
      <scheme val="minor"/>
    </font>
    <font>
      <sz val="10"/>
      <color rgb="FF0070C0"/>
      <name val="Calibri"/>
      <family val="2"/>
      <scheme val="minor"/>
    </font>
    <font>
      <sz val="11"/>
      <color rgb="FF0070C0"/>
      <name val="Calibri"/>
      <family val="2"/>
      <scheme val="minor"/>
    </font>
    <font>
      <b/>
      <i/>
      <sz val="14"/>
      <color rgb="FF0070C0"/>
      <name val="Calibri"/>
      <family val="2"/>
      <scheme val="minor"/>
    </font>
    <font>
      <b/>
      <i/>
      <sz val="14"/>
      <color rgb="FF00B0F0"/>
      <name val="Calibri"/>
      <family val="2"/>
      <scheme val="minor"/>
    </font>
    <font>
      <b/>
      <i/>
      <sz val="11"/>
      <color theme="1"/>
      <name val="Calibri"/>
      <family val="2"/>
      <scheme val="minor"/>
    </font>
    <font>
      <b/>
      <sz val="10"/>
      <color rgb="FF002060"/>
      <name val="Calibri"/>
      <family val="2"/>
      <scheme val="minor"/>
    </font>
    <font>
      <b/>
      <sz val="10"/>
      <color theme="1"/>
      <name val="Calibri"/>
      <family val="2"/>
      <scheme val="minor"/>
    </font>
    <font>
      <b/>
      <sz val="11"/>
      <color rgb="FF002060"/>
      <name val="Calibri"/>
      <family val="2"/>
      <scheme val="minor"/>
    </font>
    <font>
      <i/>
      <sz val="8"/>
      <color theme="0" tint="-0.249977111117893"/>
      <name val="Calibri"/>
      <family val="2"/>
      <scheme val="minor"/>
    </font>
    <font>
      <i/>
      <sz val="10"/>
      <color theme="1"/>
      <name val="Calibri"/>
      <family val="2"/>
      <scheme val="minor"/>
    </font>
    <font>
      <sz val="8"/>
      <color theme="0" tint="-0.249977111117893"/>
      <name val="Calibri"/>
      <family val="2"/>
    </font>
    <font>
      <sz val="8"/>
      <color theme="1"/>
      <name val="Calibri"/>
      <family val="2"/>
    </font>
    <font>
      <sz val="11"/>
      <color theme="0" tint="-0.249977111117893"/>
      <name val="Calibri"/>
      <family val="2"/>
      <scheme val="minor"/>
    </font>
    <font>
      <sz val="10"/>
      <color theme="0" tint="-0.249977111117893"/>
      <name val="Calibri"/>
      <family val="2"/>
      <scheme val="minor"/>
    </font>
    <font>
      <b/>
      <sz val="11"/>
      <color theme="0" tint="-0.249977111117893"/>
      <name val="Calibri"/>
      <family val="2"/>
      <scheme val="minor"/>
    </font>
    <font>
      <sz val="7"/>
      <color theme="1"/>
      <name val="Calibri"/>
      <family val="2"/>
      <scheme val="minor"/>
    </font>
    <font>
      <sz val="11"/>
      <color theme="2" tint="-9.9978637043366805E-2"/>
      <name val="Calibri"/>
      <family val="2"/>
      <scheme val="minor"/>
    </font>
    <font>
      <b/>
      <i/>
      <sz val="14"/>
      <name val="Calibri"/>
      <family val="2"/>
      <scheme val="minor"/>
    </font>
    <font>
      <b/>
      <i/>
      <sz val="11"/>
      <color rgb="FF00B0F0"/>
      <name val="Calibri"/>
      <family val="2"/>
      <scheme val="minor"/>
    </font>
    <font>
      <sz val="10"/>
      <color theme="4"/>
      <name val="Calibri"/>
      <family val="2"/>
      <scheme val="minor"/>
    </font>
    <font>
      <b/>
      <i/>
      <sz val="10"/>
      <color theme="0" tint="-0.249977111117893"/>
      <name val="Calibri"/>
      <family val="2"/>
      <scheme val="minor"/>
    </font>
    <font>
      <b/>
      <sz val="10"/>
      <color theme="0" tint="-0.249977111117893"/>
      <name val="Calibri"/>
      <family val="2"/>
      <scheme val="minor"/>
    </font>
    <font>
      <b/>
      <sz val="20"/>
      <color theme="1"/>
      <name val="Calibri"/>
      <family val="2"/>
      <scheme val="minor"/>
    </font>
    <font>
      <b/>
      <sz val="18"/>
      <color theme="1"/>
      <name val="Calibri"/>
      <family val="2"/>
      <scheme val="minor"/>
    </font>
    <font>
      <i/>
      <sz val="11"/>
      <color theme="0" tint="-0.499984740745262"/>
      <name val="Calibri"/>
      <family val="2"/>
      <scheme val="minor"/>
    </font>
    <font>
      <i/>
      <sz val="11"/>
      <color theme="1" tint="0.34998626667073579"/>
      <name val="Calibri"/>
      <family val="2"/>
      <scheme val="minor"/>
    </font>
    <font>
      <i/>
      <sz val="11"/>
      <color theme="1" tint="0.499984740745262"/>
      <name val="Calibri"/>
      <family val="2"/>
      <scheme val="minor"/>
    </font>
    <font>
      <i/>
      <sz val="11"/>
      <color theme="0" tint="-0.34998626667073579"/>
      <name val="Calibri"/>
      <family val="2"/>
      <scheme val="minor"/>
    </font>
    <font>
      <b/>
      <sz val="14"/>
      <name val="Calibri"/>
      <family val="2"/>
      <scheme val="minor"/>
    </font>
    <font>
      <i/>
      <sz val="11"/>
      <color theme="0" tint="-0.249977111117893"/>
      <name val="Calibri"/>
      <family val="2"/>
      <scheme val="minor"/>
    </font>
    <font>
      <b/>
      <i/>
      <sz val="11"/>
      <color theme="1" tint="0.34998626667073579"/>
      <name val="Calibri"/>
      <family val="2"/>
      <scheme val="minor"/>
    </font>
    <font>
      <b/>
      <i/>
      <sz val="11"/>
      <color theme="1" tint="0.499984740745262"/>
      <name val="Calibri"/>
      <family val="2"/>
      <scheme val="minor"/>
    </font>
    <font>
      <b/>
      <sz val="36"/>
      <color theme="1"/>
      <name val="Calibri"/>
      <family val="2"/>
      <scheme val="minor"/>
    </font>
    <font>
      <b/>
      <sz val="12"/>
      <color theme="1"/>
      <name val="Calibri"/>
      <family val="2"/>
      <scheme val="minor"/>
    </font>
    <font>
      <b/>
      <sz val="16"/>
      <color theme="1"/>
      <name val="Calibri"/>
      <family val="2"/>
      <scheme val="minor"/>
    </font>
    <font>
      <b/>
      <sz val="10"/>
      <color rgb="FF000000"/>
      <name val="Tahoma"/>
      <family val="2"/>
    </font>
    <font>
      <b/>
      <sz val="10"/>
      <color rgb="FF000000"/>
      <name val="Verdana"/>
      <family val="2"/>
    </font>
    <font>
      <b/>
      <sz val="10"/>
      <color theme="1"/>
      <name val="Verdana"/>
      <family val="2"/>
    </font>
    <font>
      <sz val="10"/>
      <color theme="1"/>
      <name val="Verdana"/>
      <family val="2"/>
    </font>
    <font>
      <b/>
      <sz val="14"/>
      <color rgb="FFFF0000"/>
      <name val="Calibri"/>
      <family val="2"/>
      <scheme val="minor"/>
    </font>
    <font>
      <sz val="8"/>
      <name val="Calibri"/>
      <family val="2"/>
      <scheme val="minor"/>
    </font>
    <font>
      <b/>
      <sz val="10"/>
      <name val="Calibri Light"/>
      <family val="2"/>
      <scheme val="major"/>
    </font>
    <font>
      <b/>
      <sz val="11"/>
      <name val="Calibri Light"/>
      <family val="2"/>
      <scheme val="major"/>
    </font>
    <font>
      <b/>
      <sz val="9"/>
      <name val="Calibri Light"/>
      <family val="2"/>
      <scheme val="major"/>
    </font>
    <font>
      <i/>
      <sz val="9"/>
      <name val="Calibri Light"/>
      <family val="2"/>
      <scheme val="major"/>
    </font>
    <font>
      <sz val="9"/>
      <color theme="1"/>
      <name val="Calibri"/>
      <family val="2"/>
      <scheme val="minor"/>
    </font>
    <font>
      <sz val="10"/>
      <name val="Calibri Light"/>
      <family val="2"/>
      <scheme val="major"/>
    </font>
    <font>
      <i/>
      <sz val="10"/>
      <name val="Calibri Light"/>
      <family val="2"/>
      <scheme val="major"/>
    </font>
    <font>
      <u/>
      <sz val="10"/>
      <name val="Calibri Light"/>
      <family val="2"/>
      <scheme val="major"/>
    </font>
    <font>
      <i/>
      <u/>
      <sz val="10"/>
      <name val="Calibri Light"/>
      <family val="2"/>
      <scheme val="major"/>
    </font>
    <font>
      <b/>
      <i/>
      <sz val="10"/>
      <name val="Calibri Light"/>
      <family val="2"/>
      <scheme val="major"/>
    </font>
    <font>
      <sz val="10"/>
      <color theme="9" tint="-0.249977111117893"/>
      <name val="Calibri Light"/>
      <family val="2"/>
      <scheme val="major"/>
    </font>
    <font>
      <sz val="10"/>
      <color rgb="FFFF0000"/>
      <name val="Calibri Light"/>
      <family val="2"/>
      <scheme val="major"/>
    </font>
    <font>
      <sz val="8.5"/>
      <name val="Calibri"/>
      <family val="2"/>
      <scheme val="minor"/>
    </font>
    <font>
      <sz val="8.5"/>
      <color theme="1"/>
      <name val="Calibri"/>
      <family val="2"/>
      <scheme val="minor"/>
    </font>
    <font>
      <b/>
      <sz val="9"/>
      <name val="Calibri"/>
      <family val="2"/>
      <scheme val="minor"/>
    </font>
    <font>
      <b/>
      <sz val="8"/>
      <color indexed="81"/>
      <name val="Tahoma"/>
      <family val="2"/>
    </font>
    <font>
      <sz val="8"/>
      <color indexed="81"/>
      <name val="Tahoma"/>
      <family val="2"/>
    </font>
    <font>
      <b/>
      <sz val="9"/>
      <color indexed="81"/>
      <name val="Tahoma"/>
      <family val="2"/>
    </font>
    <font>
      <sz val="9"/>
      <color indexed="81"/>
      <name val="Tahoma"/>
      <family val="2"/>
    </font>
    <font>
      <b/>
      <sz val="8"/>
      <name val="Calibri"/>
      <family val="2"/>
      <scheme val="minor"/>
    </font>
    <font>
      <u/>
      <sz val="10"/>
      <name val="Calibri"/>
      <family val="2"/>
      <scheme val="minor"/>
    </font>
    <font>
      <i/>
      <u/>
      <sz val="10"/>
      <name val="Calibri"/>
      <family val="2"/>
      <scheme val="minor"/>
    </font>
    <font>
      <b/>
      <i/>
      <sz val="10"/>
      <name val="Calibri"/>
      <family val="2"/>
      <scheme val="minor"/>
    </font>
    <font>
      <strike/>
      <sz val="10"/>
      <name val="Calibri"/>
      <family val="2"/>
      <scheme val="minor"/>
    </font>
    <font>
      <b/>
      <sz val="10"/>
      <name val="Calibri"/>
      <family val="2"/>
    </font>
    <font>
      <strike/>
      <sz val="10"/>
      <color rgb="FFFF0000"/>
      <name val="Calibri"/>
      <family val="2"/>
      <scheme val="minor"/>
    </font>
    <font>
      <strike/>
      <sz val="10"/>
      <color rgb="FFFF0000"/>
      <name val="Arial"/>
      <family val="2"/>
    </font>
  </fonts>
  <fills count="36">
    <fill>
      <patternFill patternType="none"/>
    </fill>
    <fill>
      <patternFill patternType="gray125"/>
    </fill>
    <fill>
      <patternFill patternType="solid">
        <fgColor rgb="FFFFCC99"/>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59999389629810485"/>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6"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6" tint="0.39997558519241921"/>
        <bgColor indexed="64"/>
      </patternFill>
    </fill>
    <fill>
      <patternFill patternType="solid">
        <fgColor theme="0"/>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7"/>
        <bgColor indexed="64"/>
      </patternFill>
    </fill>
    <fill>
      <patternFill patternType="solid">
        <fgColor rgb="FFFFC000"/>
        <bgColor indexed="64"/>
      </patternFill>
    </fill>
    <fill>
      <patternFill patternType="solid">
        <fgColor theme="7" tint="0.59999389629810485"/>
        <bgColor indexed="64"/>
      </patternFill>
    </fill>
    <fill>
      <patternFill patternType="solid">
        <fgColor rgb="FFFF99FF"/>
        <bgColor indexed="64"/>
      </patternFill>
    </fill>
    <fill>
      <patternFill patternType="solid">
        <fgColor theme="8" tint="0.79998168889431442"/>
        <bgColor indexed="64"/>
      </patternFill>
    </fill>
    <fill>
      <patternFill patternType="solid">
        <fgColor rgb="FFFFCCFF"/>
        <bgColor indexed="64"/>
      </patternFill>
    </fill>
    <fill>
      <patternFill patternType="solid">
        <fgColor rgb="FFFFFFCC"/>
        <bgColor indexed="64"/>
      </patternFill>
    </fill>
    <fill>
      <patternFill patternType="solid">
        <fgColor theme="5" tint="0.39997558519241921"/>
        <bgColor indexed="64"/>
      </patternFill>
    </fill>
    <fill>
      <patternFill patternType="solid">
        <fgColor indexed="22"/>
        <bgColor indexed="64"/>
      </patternFill>
    </fill>
    <fill>
      <patternFill patternType="gray125">
        <fgColor indexed="8"/>
        <bgColor indexed="22"/>
      </patternFill>
    </fill>
    <fill>
      <patternFill patternType="solid">
        <fgColor theme="0" tint="-0.249977111117893"/>
        <bgColor indexed="64"/>
      </patternFill>
    </fill>
    <fill>
      <patternFill patternType="solid">
        <fgColor rgb="FFFF0000"/>
        <bgColor indexed="64"/>
      </patternFill>
    </fill>
  </fills>
  <borders count="150">
    <border>
      <left/>
      <right/>
      <top/>
      <bottom/>
      <diagonal/>
    </border>
    <border>
      <left style="thin">
        <color rgb="FF7F7F7F"/>
      </left>
      <right style="thin">
        <color rgb="FF7F7F7F"/>
      </right>
      <top style="thin">
        <color rgb="FF7F7F7F"/>
      </top>
      <bottom style="thin">
        <color rgb="FF7F7F7F"/>
      </bottom>
      <diagonal/>
    </border>
    <border>
      <left/>
      <right/>
      <top/>
      <bottom style="thin">
        <color auto="1"/>
      </bottom>
      <diagonal/>
    </border>
    <border>
      <left style="thick">
        <color auto="1"/>
      </left>
      <right/>
      <top/>
      <bottom style="thin">
        <color auto="1"/>
      </bottom>
      <diagonal/>
    </border>
    <border>
      <left/>
      <right style="medium">
        <color indexed="64"/>
      </right>
      <top/>
      <bottom style="thin">
        <color auto="1"/>
      </bottom>
      <diagonal/>
    </border>
    <border>
      <left/>
      <right style="thick">
        <color indexed="64"/>
      </right>
      <top/>
      <bottom style="thin">
        <color auto="1"/>
      </bottom>
      <diagonal/>
    </border>
    <border>
      <left/>
      <right/>
      <top style="thin">
        <color auto="1"/>
      </top>
      <bottom/>
      <diagonal/>
    </border>
    <border>
      <left style="thin">
        <color indexed="64"/>
      </left>
      <right/>
      <top style="thin">
        <color auto="1"/>
      </top>
      <bottom style="thin">
        <color auto="1"/>
      </bottom>
      <diagonal/>
    </border>
    <border>
      <left/>
      <right/>
      <top style="thin">
        <color auto="1"/>
      </top>
      <bottom style="thin">
        <color auto="1"/>
      </bottom>
      <diagonal/>
    </border>
    <border>
      <left style="thin">
        <color rgb="FF7F7F7F"/>
      </left>
      <right style="thin">
        <color rgb="FF7F7F7F"/>
      </right>
      <top style="thin">
        <color rgb="FF7F7F7F"/>
      </top>
      <bottom style="thin">
        <color indexed="64"/>
      </bottom>
      <diagonal/>
    </border>
    <border>
      <left/>
      <right style="thick">
        <color indexed="64"/>
      </right>
      <top style="thin">
        <color auto="1"/>
      </top>
      <bottom style="thin">
        <color auto="1"/>
      </bottom>
      <diagonal/>
    </border>
    <border>
      <left style="thick">
        <color auto="1"/>
      </left>
      <right/>
      <top style="thin">
        <color auto="1"/>
      </top>
      <bottom style="thin">
        <color auto="1"/>
      </bottom>
      <diagonal/>
    </border>
    <border>
      <left/>
      <right style="medium">
        <color indexed="64"/>
      </right>
      <top style="thin">
        <color indexed="64"/>
      </top>
      <bottom style="thin">
        <color auto="1"/>
      </bottom>
      <diagonal/>
    </border>
    <border>
      <left/>
      <right style="thick">
        <color auto="1"/>
      </right>
      <top/>
      <bottom/>
      <diagonal/>
    </border>
    <border>
      <left/>
      <right/>
      <top/>
      <bottom style="medium">
        <color indexed="64"/>
      </bottom>
      <diagonal/>
    </border>
    <border>
      <left/>
      <right style="thin">
        <color indexed="64"/>
      </right>
      <top/>
      <bottom style="medium">
        <color indexed="64"/>
      </bottom>
      <diagonal/>
    </border>
    <border>
      <left style="thin">
        <color auto="1"/>
      </left>
      <right style="thin">
        <color indexed="64"/>
      </right>
      <top/>
      <bottom style="medium">
        <color indexed="64"/>
      </bottom>
      <diagonal/>
    </border>
    <border>
      <left style="thin">
        <color rgb="FF7F7F7F"/>
      </left>
      <right/>
      <top/>
      <bottom style="medium">
        <color indexed="64"/>
      </bottom>
      <diagonal/>
    </border>
    <border>
      <left style="thin">
        <color indexed="64"/>
      </left>
      <right style="thick">
        <color auto="1"/>
      </right>
      <top/>
      <bottom style="medium">
        <color indexed="64"/>
      </bottom>
      <diagonal/>
    </border>
    <border>
      <left style="thick">
        <color auto="1"/>
      </left>
      <right/>
      <top/>
      <bottom style="medium">
        <color indexed="64"/>
      </bottom>
      <diagonal/>
    </border>
    <border>
      <left style="thin">
        <color auto="1"/>
      </left>
      <right style="thin">
        <color auto="1"/>
      </right>
      <top style="thin">
        <color auto="1"/>
      </top>
      <bottom style="medium">
        <color indexed="64"/>
      </bottom>
      <diagonal/>
    </border>
    <border>
      <left/>
      <right style="thin">
        <color indexed="63"/>
      </right>
      <top/>
      <bottom style="medium">
        <color indexed="64"/>
      </bottom>
      <diagonal/>
    </border>
    <border>
      <left style="thin">
        <color auto="1"/>
      </left>
      <right style="medium">
        <color indexed="64"/>
      </right>
      <top style="thin">
        <color auto="1"/>
      </top>
      <bottom style="medium">
        <color indexed="64"/>
      </bottom>
      <diagonal/>
    </border>
    <border>
      <left style="medium">
        <color auto="1"/>
      </left>
      <right style="thin">
        <color indexed="64"/>
      </right>
      <top style="thin">
        <color auto="1"/>
      </top>
      <bottom style="medium">
        <color indexed="64"/>
      </bottom>
      <diagonal/>
    </border>
    <border>
      <left/>
      <right style="thin">
        <color indexed="64"/>
      </right>
      <top style="thin">
        <color auto="1"/>
      </top>
      <bottom style="medium">
        <color indexed="64"/>
      </bottom>
      <diagonal/>
    </border>
    <border>
      <left style="thin">
        <color auto="1"/>
      </left>
      <right style="thin">
        <color auto="1"/>
      </right>
      <top style="thin">
        <color auto="1"/>
      </top>
      <bottom/>
      <diagonal/>
    </border>
    <border>
      <left/>
      <right/>
      <top style="thin">
        <color auto="1"/>
      </top>
      <bottom style="medium">
        <color indexed="64"/>
      </bottom>
      <diagonal/>
    </border>
    <border>
      <left style="thin">
        <color auto="1"/>
      </left>
      <right/>
      <top style="thin">
        <color auto="1"/>
      </top>
      <bottom style="medium">
        <color indexed="64"/>
      </bottom>
      <diagonal/>
    </border>
    <border>
      <left style="thick">
        <color auto="1"/>
      </left>
      <right style="thin">
        <color auto="1"/>
      </right>
      <top style="thin">
        <color auto="1"/>
      </top>
      <bottom style="medium">
        <color indexed="64"/>
      </bottom>
      <diagonal/>
    </border>
    <border>
      <left/>
      <right style="thin">
        <color indexed="63"/>
      </right>
      <top style="thin">
        <color auto="1"/>
      </top>
      <bottom style="medium">
        <color indexed="64"/>
      </bottom>
      <diagonal/>
    </border>
    <border>
      <left/>
      <right style="thin">
        <color indexed="64"/>
      </right>
      <top style="medium">
        <color indexed="64"/>
      </top>
      <bottom style="thin">
        <color auto="1"/>
      </bottom>
      <diagonal/>
    </border>
    <border>
      <left style="medium">
        <color indexed="64"/>
      </left>
      <right/>
      <top style="medium">
        <color indexed="64"/>
      </top>
      <bottom style="thin">
        <color auto="1"/>
      </bottom>
      <diagonal/>
    </border>
    <border>
      <left/>
      <right style="thin">
        <color indexed="64"/>
      </right>
      <top/>
      <bottom/>
      <diagonal/>
    </border>
    <border>
      <left style="thick">
        <color auto="1"/>
      </left>
      <right/>
      <top/>
      <bottom/>
      <diagonal/>
    </border>
    <border>
      <left/>
      <right style="medium">
        <color indexed="64"/>
      </right>
      <top/>
      <bottom/>
      <diagonal/>
    </border>
    <border>
      <left style="thick">
        <color auto="1"/>
      </left>
      <right/>
      <top style="thin">
        <color auto="1"/>
      </top>
      <bottom/>
      <diagonal/>
    </border>
    <border>
      <left/>
      <right style="medium">
        <color indexed="64"/>
      </right>
      <top style="thin">
        <color auto="1"/>
      </top>
      <bottom/>
      <diagonal/>
    </border>
    <border>
      <left/>
      <right style="thick">
        <color indexed="64"/>
      </right>
      <top style="thin">
        <color auto="1"/>
      </top>
      <bottom/>
      <diagonal/>
    </border>
    <border>
      <left/>
      <right style="thin">
        <color indexed="64"/>
      </right>
      <top/>
      <bottom style="thin">
        <color auto="1"/>
      </bottom>
      <diagonal/>
    </border>
    <border>
      <left/>
      <right style="thin">
        <color indexed="64"/>
      </right>
      <top style="thin">
        <color indexed="64"/>
      </top>
      <bottom style="thin">
        <color indexed="64"/>
      </bottom>
      <diagonal/>
    </border>
    <border>
      <left style="medium">
        <color auto="1"/>
      </left>
      <right/>
      <top style="thin">
        <color auto="1"/>
      </top>
      <bottom style="thin">
        <color auto="1"/>
      </bottom>
      <diagonal/>
    </border>
    <border>
      <left style="thin">
        <color auto="1"/>
      </left>
      <right/>
      <top style="thin">
        <color auto="1"/>
      </top>
      <bottom/>
      <diagonal/>
    </border>
    <border>
      <left style="thin">
        <color indexed="64"/>
      </left>
      <right/>
      <top/>
      <bottom/>
      <diagonal/>
    </border>
    <border>
      <left style="thin">
        <color auto="1"/>
      </left>
      <right/>
      <top/>
      <bottom style="thin">
        <color auto="1"/>
      </bottom>
      <diagonal/>
    </border>
    <border>
      <left style="medium">
        <color auto="1"/>
      </left>
      <right/>
      <top/>
      <bottom style="thin">
        <color auto="1"/>
      </bottom>
      <diagonal/>
    </border>
    <border>
      <left/>
      <right style="medium">
        <color indexed="64"/>
      </right>
      <top/>
      <bottom style="medium">
        <color indexed="64"/>
      </bottom>
      <diagonal/>
    </border>
    <border>
      <left style="medium">
        <color indexed="64"/>
      </left>
      <right/>
      <top/>
      <bottom style="medium">
        <color indexed="64"/>
      </bottom>
      <diagonal/>
    </border>
    <border>
      <left/>
      <right style="thick">
        <color indexed="64"/>
      </right>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ck">
        <color auto="1"/>
      </left>
      <right/>
      <top style="medium">
        <color indexed="64"/>
      </top>
      <bottom style="medium">
        <color indexed="64"/>
      </bottom>
      <diagonal/>
    </border>
    <border>
      <left style="thin">
        <color auto="1"/>
      </left>
      <right/>
      <top style="medium">
        <color indexed="64"/>
      </top>
      <bottom style="medium">
        <color indexed="64"/>
      </bottom>
      <diagonal/>
    </border>
    <border>
      <left style="medium">
        <color auto="1"/>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ck">
        <color indexed="64"/>
      </right>
      <top style="medium">
        <color indexed="64"/>
      </top>
      <bottom style="medium">
        <color indexed="64"/>
      </bottom>
      <diagonal/>
    </border>
    <border>
      <left style="thick">
        <color auto="1"/>
      </left>
      <right style="thin">
        <color indexed="64"/>
      </right>
      <top style="medium">
        <color indexed="64"/>
      </top>
      <bottom style="medium">
        <color indexed="64"/>
      </bottom>
      <diagonal/>
    </border>
    <border>
      <left style="thin">
        <color rgb="FF7F7F7F"/>
      </left>
      <right style="thin">
        <color rgb="FF7F7F7F"/>
      </right>
      <top/>
      <bottom style="thin">
        <color rgb="FF7F7F7F"/>
      </bottom>
      <diagonal/>
    </border>
    <border>
      <left style="thin">
        <color auto="1"/>
      </left>
      <right/>
      <top/>
      <bottom style="medium">
        <color indexed="64"/>
      </bottom>
      <diagonal/>
    </border>
    <border>
      <left/>
      <right style="medium">
        <color indexed="64"/>
      </right>
      <top style="thin">
        <color auto="1"/>
      </top>
      <bottom style="medium">
        <color indexed="64"/>
      </bottom>
      <diagonal/>
    </border>
    <border>
      <left/>
      <right style="thick">
        <color indexed="64"/>
      </right>
      <top style="thin">
        <color auto="1"/>
      </top>
      <bottom style="medium">
        <color indexed="64"/>
      </bottom>
      <diagonal/>
    </border>
    <border>
      <left style="thin">
        <color rgb="FF7F7F7F"/>
      </left>
      <right style="thin">
        <color rgb="FF7F7F7F"/>
      </right>
      <top/>
      <bottom/>
      <diagonal/>
    </border>
    <border>
      <left style="medium">
        <color auto="1"/>
      </left>
      <right/>
      <top/>
      <bottom/>
      <diagonal/>
    </border>
    <border>
      <left style="medium">
        <color auto="1"/>
      </left>
      <right/>
      <top style="thin">
        <color auto="1"/>
      </top>
      <bottom/>
      <diagonal/>
    </border>
    <border>
      <left style="thin">
        <color auto="1"/>
      </left>
      <right style="thin">
        <color auto="1"/>
      </right>
      <top style="thin">
        <color auto="1"/>
      </top>
      <bottom style="thin">
        <color auto="1"/>
      </bottom>
      <diagonal/>
    </border>
    <border>
      <left/>
      <right style="thick">
        <color auto="1"/>
      </right>
      <top style="medium">
        <color indexed="64"/>
      </top>
      <bottom style="medium">
        <color indexed="64"/>
      </bottom>
      <diagonal/>
    </border>
    <border>
      <left style="medium">
        <color indexed="64"/>
      </left>
      <right/>
      <top style="medium">
        <color indexed="64"/>
      </top>
      <bottom style="medium">
        <color indexed="64"/>
      </bottom>
      <diagonal/>
    </border>
    <border>
      <left/>
      <right style="thick">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ck">
        <color indexed="64"/>
      </left>
      <right/>
      <top style="medium">
        <color indexed="64"/>
      </top>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bottom style="thin">
        <color indexed="64"/>
      </bottom>
      <diagonal/>
    </border>
    <border>
      <left/>
      <right/>
      <top style="medium">
        <color indexed="64"/>
      </top>
      <bottom style="medium">
        <color rgb="FF000000"/>
      </bottom>
      <diagonal/>
    </border>
    <border>
      <left/>
      <right style="medium">
        <color rgb="FF000000"/>
      </right>
      <top style="medium">
        <color indexed="64"/>
      </top>
      <bottom style="medium">
        <color rgb="FF000000"/>
      </bottom>
      <diagonal/>
    </border>
    <border>
      <left style="medium">
        <color rgb="FF000000"/>
      </left>
      <right/>
      <top/>
      <bottom style="medium">
        <color rgb="FF000000"/>
      </bottom>
      <diagonal/>
    </border>
    <border>
      <left/>
      <right/>
      <top/>
      <bottom style="medium">
        <color rgb="FF000000"/>
      </bottom>
      <diagonal/>
    </border>
    <border>
      <left style="medium">
        <color indexed="64"/>
      </left>
      <right style="medium">
        <color indexed="64"/>
      </right>
      <top style="medium">
        <color indexed="64"/>
      </top>
      <bottom/>
      <diagonal/>
    </border>
    <border>
      <left style="medium">
        <color indexed="64"/>
      </left>
      <right/>
      <top/>
      <bottom style="medium">
        <color rgb="FF000000"/>
      </bottom>
      <diagonal/>
    </border>
    <border>
      <left/>
      <right style="medium">
        <color rgb="FF000000"/>
      </right>
      <top/>
      <bottom style="medium">
        <color rgb="FF000000"/>
      </bottom>
      <diagonal/>
    </border>
    <border>
      <left style="medium">
        <color rgb="FF000000"/>
      </left>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indexed="64"/>
      </left>
      <right style="medium">
        <color indexed="64"/>
      </right>
      <top/>
      <bottom/>
      <diagonal/>
    </border>
    <border>
      <left style="medium">
        <color indexed="64"/>
      </left>
      <right/>
      <top style="medium">
        <color rgb="FF000000"/>
      </top>
      <bottom/>
      <diagonal/>
    </border>
    <border>
      <left/>
      <right style="medium">
        <color rgb="FF000000"/>
      </right>
      <top/>
      <bottom/>
      <diagonal/>
    </border>
    <border>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medium">
        <color rgb="FF000000"/>
      </left>
      <right/>
      <top style="medium">
        <color rgb="FF000000"/>
      </top>
      <bottom style="medium">
        <color indexed="64"/>
      </bottom>
      <diagonal/>
    </border>
    <border>
      <left/>
      <right/>
      <top style="medium">
        <color rgb="FF000000"/>
      </top>
      <bottom style="medium">
        <color indexed="64"/>
      </bottom>
      <diagonal/>
    </border>
    <border>
      <left/>
      <right style="medium">
        <color indexed="64"/>
      </right>
      <top style="medium">
        <color rgb="FF000000"/>
      </top>
      <bottom style="medium">
        <color indexed="64"/>
      </bottom>
      <diagonal/>
    </border>
    <border>
      <left style="medium">
        <color indexed="64"/>
      </left>
      <right/>
      <top style="thin">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bottom style="dotted">
        <color indexed="64"/>
      </bottom>
      <diagonal/>
    </border>
    <border>
      <left/>
      <right style="medium">
        <color indexed="64"/>
      </right>
      <top/>
      <bottom style="dotted">
        <color indexed="64"/>
      </bottom>
      <diagonal/>
    </border>
    <border>
      <left/>
      <right/>
      <top/>
      <bottom style="dashed">
        <color indexed="64"/>
      </bottom>
      <diagonal/>
    </border>
    <border>
      <left/>
      <right style="medium">
        <color indexed="64"/>
      </right>
      <top/>
      <bottom style="dashed">
        <color indexed="64"/>
      </bottom>
      <diagonal/>
    </border>
    <border>
      <left style="medium">
        <color indexed="64"/>
      </left>
      <right/>
      <top/>
      <bottom style="dashed">
        <color indexed="64"/>
      </bottom>
      <diagonal/>
    </border>
    <border>
      <left/>
      <right/>
      <top style="dotted">
        <color indexed="64"/>
      </top>
      <bottom/>
      <diagonal/>
    </border>
    <border>
      <left/>
      <right style="medium">
        <color indexed="64"/>
      </right>
      <top style="dotted">
        <color indexed="64"/>
      </top>
      <bottom/>
      <diagonal/>
    </border>
    <border>
      <left/>
      <right/>
      <top style="dashed">
        <color indexed="64"/>
      </top>
      <bottom/>
      <diagonal/>
    </border>
    <border>
      <left/>
      <right style="medium">
        <color indexed="64"/>
      </right>
      <top style="dashed">
        <color indexed="64"/>
      </top>
      <bottom/>
      <diagonal/>
    </border>
    <border>
      <left style="medium">
        <color indexed="64"/>
      </left>
      <right/>
      <top style="dashed">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style="thin">
        <color indexed="63"/>
      </right>
      <top/>
      <bottom/>
      <diagonal/>
    </border>
    <border>
      <left style="thin">
        <color indexed="63"/>
      </left>
      <right style="medium">
        <color indexed="64"/>
      </right>
      <top/>
      <bottom style="medium">
        <color indexed="64"/>
      </bottom>
      <diagonal/>
    </border>
    <border>
      <left style="medium">
        <color indexed="64"/>
      </left>
      <right style="thin">
        <color indexed="63"/>
      </right>
      <top/>
      <bottom/>
      <diagonal/>
    </border>
    <border>
      <left style="thin">
        <color indexed="63"/>
      </left>
      <right style="thin">
        <color indexed="63"/>
      </right>
      <top/>
      <bottom/>
      <diagonal/>
    </border>
    <border>
      <left style="thin">
        <color indexed="64"/>
      </left>
      <right style="thin">
        <color indexed="64"/>
      </right>
      <top/>
      <bottom/>
      <diagonal/>
    </border>
    <border>
      <left style="thin">
        <color indexed="63"/>
      </left>
      <right/>
      <top/>
      <bottom/>
      <diagonal/>
    </border>
    <border>
      <left style="thin">
        <color indexed="64"/>
      </left>
      <right/>
      <top/>
      <bottom/>
      <diagonal/>
    </border>
    <border>
      <left/>
      <right style="thin">
        <color indexed="64"/>
      </right>
      <top style="medium">
        <color indexed="64"/>
      </top>
      <bottom/>
      <diagonal/>
    </border>
    <border>
      <left style="thin">
        <color indexed="64"/>
      </left>
      <right style="medium">
        <color indexed="64"/>
      </right>
      <top style="thin">
        <color indexed="64"/>
      </top>
      <bottom/>
      <diagonal/>
    </border>
    <border>
      <left style="thin">
        <color indexed="63"/>
      </left>
      <right style="medium">
        <color indexed="64"/>
      </right>
      <top/>
      <bottom/>
      <diagonal/>
    </border>
    <border>
      <left/>
      <right style="thin">
        <color indexed="63"/>
      </right>
      <top style="thin">
        <color indexed="64"/>
      </top>
      <bottom/>
      <diagonal/>
    </border>
    <border>
      <left/>
      <right style="thin">
        <color indexed="64"/>
      </right>
      <top style="thin">
        <color indexed="64"/>
      </top>
      <bottom/>
      <diagonal/>
    </border>
    <border>
      <left style="thin">
        <color indexed="63"/>
      </left>
      <right style="thin">
        <color auto="1"/>
      </right>
      <top style="thin">
        <color auto="1"/>
      </top>
      <bottom style="medium">
        <color indexed="64"/>
      </bottom>
      <diagonal/>
    </border>
    <border>
      <left style="thin">
        <color auto="1"/>
      </left>
      <right style="thin">
        <color auto="1"/>
      </right>
      <top/>
      <bottom/>
      <diagonal/>
    </border>
    <border>
      <left style="thin">
        <color indexed="63"/>
      </left>
      <right style="thin">
        <color indexed="63"/>
      </right>
      <top style="thin">
        <color auto="1"/>
      </top>
      <bottom style="medium">
        <color indexed="64"/>
      </bottom>
      <diagonal/>
    </border>
    <border>
      <left style="thin">
        <color indexed="64"/>
      </left>
      <right style="thick">
        <color auto="1"/>
      </right>
      <top style="thin">
        <color auto="1"/>
      </top>
      <bottom style="medium">
        <color indexed="64"/>
      </bottom>
      <diagonal/>
    </border>
  </borders>
  <cellStyleXfs count="12">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2" borderId="1" applyNumberFormat="0" applyAlignment="0" applyProtection="0"/>
    <xf numFmtId="0" fontId="1" fillId="3" borderId="0" applyNumberFormat="0" applyBorder="0" applyAlignment="0" applyProtection="0"/>
    <xf numFmtId="0" fontId="5"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2" fillId="0" borderId="0"/>
    <xf numFmtId="0" fontId="12" fillId="0" borderId="0"/>
    <xf numFmtId="0" fontId="5" fillId="4" borderId="0" applyNumberFormat="0" applyBorder="0" applyAlignment="0" applyProtection="0"/>
  </cellStyleXfs>
  <cellXfs count="3744">
    <xf numFmtId="0" fontId="0" fillId="0" borderId="0" xfId="0"/>
    <xf numFmtId="0" fontId="6" fillId="9" borderId="2" xfId="0" applyFont="1" applyFill="1" applyBorder="1" applyAlignment="1">
      <alignment horizontal="center"/>
    </xf>
    <xf numFmtId="0" fontId="7" fillId="9" borderId="0" xfId="0" applyFont="1" applyFill="1"/>
    <xf numFmtId="0" fontId="8" fillId="9" borderId="1" xfId="3" applyFont="1" applyFill="1"/>
    <xf numFmtId="0" fontId="0" fillId="9" borderId="0" xfId="0" applyFill="1"/>
    <xf numFmtId="0" fontId="9" fillId="9" borderId="3" xfId="0" applyFont="1" applyFill="1" applyBorder="1" applyAlignment="1"/>
    <xf numFmtId="0" fontId="7" fillId="9" borderId="2" xfId="0" applyFont="1" applyFill="1" applyBorder="1" applyAlignment="1">
      <alignment horizontal="center"/>
    </xf>
    <xf numFmtId="0" fontId="7" fillId="9" borderId="2" xfId="0" applyFont="1" applyFill="1" applyBorder="1" applyAlignment="1"/>
    <xf numFmtId="0" fontId="7" fillId="9" borderId="4" xfId="0" applyFont="1" applyFill="1" applyBorder="1" applyAlignment="1"/>
    <xf numFmtId="0" fontId="10" fillId="9" borderId="0" xfId="0" applyFont="1" applyFill="1"/>
    <xf numFmtId="0" fontId="7" fillId="9" borderId="4" xfId="0" applyFont="1" applyFill="1" applyBorder="1"/>
    <xf numFmtId="0" fontId="9" fillId="9" borderId="0" xfId="0" applyFont="1" applyFill="1" applyBorder="1" applyAlignment="1">
      <alignment horizontal="right" vertical="center"/>
    </xf>
    <xf numFmtId="0" fontId="7" fillId="9" borderId="0" xfId="0" applyFont="1" applyFill="1" applyBorder="1" applyAlignment="1"/>
    <xf numFmtId="0" fontId="7" fillId="9" borderId="0" xfId="0" applyFont="1" applyFill="1" applyAlignment="1">
      <alignment horizontal="right" vertical="center"/>
    </xf>
    <xf numFmtId="0" fontId="11" fillId="9" borderId="0" xfId="0" applyFont="1" applyFill="1"/>
    <xf numFmtId="0" fontId="7" fillId="9" borderId="0" xfId="9" applyFont="1" applyFill="1"/>
    <xf numFmtId="0" fontId="7" fillId="9" borderId="5" xfId="9" applyFont="1" applyFill="1" applyBorder="1" applyAlignment="1">
      <alignment horizontal="right" vertical="center"/>
    </xf>
    <xf numFmtId="0" fontId="0" fillId="9" borderId="0" xfId="0" applyFill="1" applyAlignment="1">
      <alignment horizontal="right" vertical="center"/>
    </xf>
    <xf numFmtId="0" fontId="7" fillId="9" borderId="0" xfId="0" applyFont="1" applyFill="1" applyBorder="1" applyAlignment="1">
      <alignment horizontal="right" vertical="center"/>
    </xf>
    <xf numFmtId="0" fontId="10" fillId="9" borderId="0" xfId="0" applyFont="1" applyFill="1" applyAlignment="1">
      <alignment horizontal="right" vertical="center"/>
    </xf>
    <xf numFmtId="37" fontId="7" fillId="9" borderId="0" xfId="0" applyNumberFormat="1" applyFont="1" applyFill="1" applyAlignment="1">
      <alignment horizontal="right" vertical="center"/>
    </xf>
    <xf numFmtId="0" fontId="0" fillId="9" borderId="2" xfId="0" applyFill="1" applyBorder="1"/>
    <xf numFmtId="0" fontId="0" fillId="9" borderId="5" xfId="0" applyFill="1" applyBorder="1" applyAlignment="1">
      <alignment horizontal="right" vertical="center"/>
    </xf>
    <xf numFmtId="0" fontId="0" fillId="0" borderId="0" xfId="0" applyFill="1"/>
    <xf numFmtId="0" fontId="4" fillId="9" borderId="6" xfId="0" applyFont="1" applyFill="1" applyBorder="1" applyAlignment="1">
      <alignment horizontal="center"/>
    </xf>
    <xf numFmtId="0" fontId="7" fillId="9" borderId="7" xfId="0" applyFont="1" applyFill="1" applyBorder="1"/>
    <xf numFmtId="0" fontId="7" fillId="9" borderId="8" xfId="0" applyFont="1" applyFill="1" applyBorder="1"/>
    <xf numFmtId="0" fontId="8" fillId="9" borderId="9" xfId="3" applyFont="1" applyFill="1" applyBorder="1"/>
    <xf numFmtId="0" fontId="7" fillId="9" borderId="10" xfId="0" applyFont="1" applyFill="1" applyBorder="1"/>
    <xf numFmtId="0" fontId="7" fillId="9" borderId="11" xfId="0" applyFont="1" applyFill="1" applyBorder="1"/>
    <xf numFmtId="0" fontId="7" fillId="9" borderId="8" xfId="0" applyFont="1" applyFill="1" applyBorder="1" applyAlignment="1">
      <alignment horizontal="center"/>
    </xf>
    <xf numFmtId="0" fontId="7" fillId="9" borderId="12" xfId="0" applyFont="1" applyFill="1" applyBorder="1"/>
    <xf numFmtId="0" fontId="7" fillId="9" borderId="8" xfId="0" applyFont="1" applyFill="1" applyBorder="1" applyAlignment="1">
      <alignment vertical="center"/>
    </xf>
    <xf numFmtId="0" fontId="7" fillId="9" borderId="8" xfId="0" applyFont="1" applyFill="1" applyBorder="1" applyAlignment="1">
      <alignment horizontal="right"/>
    </xf>
    <xf numFmtId="0" fontId="7" fillId="9" borderId="8" xfId="0" applyFont="1" applyFill="1" applyBorder="1" applyAlignment="1">
      <alignment horizontal="right" vertical="center"/>
    </xf>
    <xf numFmtId="0" fontId="7" fillId="9" borderId="10" xfId="0" applyFont="1" applyFill="1" applyBorder="1" applyAlignment="1">
      <alignment horizontal="right" vertical="center"/>
    </xf>
    <xf numFmtId="0" fontId="0" fillId="9" borderId="13" xfId="0" applyFill="1" applyBorder="1" applyAlignment="1">
      <alignment horizontal="right" vertical="center"/>
    </xf>
    <xf numFmtId="0" fontId="13" fillId="9" borderId="14" xfId="0" applyFont="1" applyFill="1" applyBorder="1" applyAlignment="1">
      <alignment horizontal="center" vertical="center"/>
    </xf>
    <xf numFmtId="0" fontId="14" fillId="9" borderId="15" xfId="0" applyFont="1" applyFill="1" applyBorder="1" applyAlignment="1">
      <alignment horizontal="center" vertical="center"/>
    </xf>
    <xf numFmtId="0" fontId="14" fillId="9" borderId="16" xfId="0" applyFont="1" applyFill="1" applyBorder="1" applyAlignment="1">
      <alignment horizontal="center" vertical="center" wrapText="1"/>
    </xf>
    <xf numFmtId="0" fontId="8" fillId="9" borderId="17" xfId="3" applyFont="1" applyFill="1" applyBorder="1" applyAlignment="1">
      <alignment horizontal="center" vertical="center" wrapText="1"/>
    </xf>
    <xf numFmtId="0" fontId="14" fillId="9" borderId="18" xfId="0" applyFont="1" applyFill="1" applyBorder="1" applyAlignment="1">
      <alignment horizontal="center" vertical="center" wrapText="1"/>
    </xf>
    <xf numFmtId="0" fontId="14" fillId="9" borderId="19" xfId="0" applyFont="1" applyFill="1" applyBorder="1" applyAlignment="1">
      <alignment horizontal="center" vertical="center" wrapText="1"/>
    </xf>
    <xf numFmtId="0" fontId="14" fillId="9" borderId="20" xfId="0" applyFont="1" applyFill="1" applyBorder="1" applyAlignment="1">
      <alignment horizontal="center" vertical="center" wrapText="1"/>
    </xf>
    <xf numFmtId="0" fontId="14" fillId="9" borderId="14" xfId="0" applyFont="1" applyFill="1" applyBorder="1" applyAlignment="1">
      <alignment horizontal="center" vertical="center" wrapText="1"/>
    </xf>
    <xf numFmtId="0" fontId="14" fillId="9" borderId="21" xfId="0" applyFont="1" applyFill="1" applyBorder="1" applyAlignment="1">
      <alignment horizontal="center" vertical="center" wrapText="1"/>
    </xf>
    <xf numFmtId="0" fontId="14" fillId="9" borderId="22" xfId="0" applyFont="1" applyFill="1" applyBorder="1" applyAlignment="1">
      <alignment horizontal="center" vertical="center" wrapText="1"/>
    </xf>
    <xf numFmtId="0" fontId="14" fillId="9" borderId="23" xfId="0" applyFont="1" applyFill="1" applyBorder="1" applyAlignment="1">
      <alignment horizontal="center" vertical="center" wrapText="1"/>
    </xf>
    <xf numFmtId="0" fontId="14" fillId="9" borderId="24" xfId="0" applyFont="1" applyFill="1" applyBorder="1" applyAlignment="1">
      <alignment horizontal="center" vertical="center" wrapText="1"/>
    </xf>
    <xf numFmtId="0" fontId="14" fillId="9" borderId="25" xfId="0" applyFont="1" applyFill="1" applyBorder="1" applyAlignment="1">
      <alignment horizontal="center" vertical="center" wrapText="1"/>
    </xf>
    <xf numFmtId="0" fontId="14" fillId="9" borderId="26" xfId="0" applyFont="1" applyFill="1" applyBorder="1" applyAlignment="1">
      <alignment horizontal="center" vertical="center" wrapText="1"/>
    </xf>
    <xf numFmtId="0" fontId="14" fillId="9" borderId="20" xfId="9" applyFont="1" applyFill="1" applyBorder="1" applyAlignment="1">
      <alignment horizontal="center" vertical="center" wrapText="1"/>
    </xf>
    <xf numFmtId="0" fontId="15" fillId="9" borderId="24" xfId="0" applyFont="1" applyFill="1" applyBorder="1" applyAlignment="1">
      <alignment horizontal="center" vertical="center" wrapText="1"/>
    </xf>
    <xf numFmtId="0" fontId="16" fillId="9" borderId="20" xfId="0" applyFont="1" applyFill="1" applyBorder="1" applyAlignment="1">
      <alignment horizontal="center" vertical="center" wrapText="1"/>
    </xf>
    <xf numFmtId="0" fontId="16" fillId="9" borderId="20" xfId="9" applyFont="1" applyFill="1" applyBorder="1" applyAlignment="1">
      <alignment horizontal="center" vertical="center" wrapText="1"/>
    </xf>
    <xf numFmtId="0" fontId="16" fillId="9" borderId="27" xfId="9" applyFont="1" applyFill="1" applyBorder="1" applyAlignment="1">
      <alignment horizontal="center" vertical="center" wrapText="1"/>
    </xf>
    <xf numFmtId="0" fontId="14" fillId="9" borderId="27" xfId="9" applyFont="1" applyFill="1" applyBorder="1" applyAlignment="1">
      <alignment horizontal="center" vertical="center" wrapText="1"/>
    </xf>
    <xf numFmtId="0" fontId="16" fillId="9" borderId="27" xfId="0" applyFont="1" applyFill="1" applyBorder="1" applyAlignment="1">
      <alignment horizontal="center" vertical="center" wrapText="1"/>
    </xf>
    <xf numFmtId="0" fontId="14" fillId="9" borderId="25" xfId="9" applyFont="1" applyFill="1" applyBorder="1" applyAlignment="1">
      <alignment horizontal="center" vertical="center" wrapText="1"/>
    </xf>
    <xf numFmtId="0" fontId="14" fillId="9" borderId="27" xfId="0" applyFont="1" applyFill="1" applyBorder="1" applyAlignment="1">
      <alignment horizontal="center" vertical="center" wrapText="1"/>
    </xf>
    <xf numFmtId="0" fontId="14" fillId="9" borderId="28" xfId="0" applyFont="1" applyFill="1" applyBorder="1" applyAlignment="1">
      <alignment horizontal="center" vertical="center" wrapText="1"/>
    </xf>
    <xf numFmtId="0" fontId="14" fillId="9" borderId="29" xfId="0" applyFont="1" applyFill="1" applyBorder="1" applyAlignment="1">
      <alignment horizontal="center" vertical="center" wrapText="1"/>
    </xf>
    <xf numFmtId="0" fontId="14" fillId="9" borderId="20" xfId="10" applyFont="1" applyFill="1" applyBorder="1" applyAlignment="1">
      <alignment horizontal="center" vertical="center" wrapText="1"/>
    </xf>
    <xf numFmtId="0" fontId="8" fillId="0" borderId="0" xfId="0" applyFont="1" applyFill="1" applyAlignment="1">
      <alignment horizontal="center" vertical="center"/>
    </xf>
    <xf numFmtId="0" fontId="8" fillId="9" borderId="0" xfId="0" applyFont="1" applyFill="1" applyAlignment="1">
      <alignment horizontal="center" vertical="center"/>
    </xf>
    <xf numFmtId="0" fontId="20" fillId="0" borderId="30" xfId="0" applyNumberFormat="1" applyFont="1" applyFill="1" applyBorder="1"/>
    <xf numFmtId="0" fontId="20" fillId="0" borderId="2" xfId="0" applyFont="1" applyFill="1" applyBorder="1"/>
    <xf numFmtId="0" fontId="21" fillId="0" borderId="2" xfId="3" applyFont="1" applyFill="1" applyBorder="1"/>
    <xf numFmtId="3" fontId="20" fillId="0" borderId="2" xfId="0" applyNumberFormat="1" applyFont="1" applyFill="1" applyBorder="1"/>
    <xf numFmtId="0" fontId="20" fillId="0" borderId="3" xfId="0" applyFont="1" applyFill="1" applyBorder="1"/>
    <xf numFmtId="0" fontId="20" fillId="0" borderId="2" xfId="0" applyFont="1" applyFill="1" applyBorder="1" applyAlignment="1">
      <alignment horizontal="center"/>
    </xf>
    <xf numFmtId="0" fontId="20" fillId="0" borderId="4" xfId="0" applyFont="1" applyFill="1" applyBorder="1"/>
    <xf numFmtId="0" fontId="0" fillId="0" borderId="2" xfId="0" applyFill="1" applyBorder="1"/>
    <xf numFmtId="3" fontId="0" fillId="0" borderId="2" xfId="0" applyNumberFormat="1" applyFill="1" applyBorder="1"/>
    <xf numFmtId="3" fontId="0" fillId="0" borderId="2" xfId="0" applyNumberFormat="1" applyFont="1" applyFill="1" applyBorder="1"/>
    <xf numFmtId="3" fontId="8" fillId="0" borderId="2" xfId="0" applyNumberFormat="1" applyFont="1" applyFill="1" applyBorder="1"/>
    <xf numFmtId="3" fontId="8" fillId="0" borderId="8" xfId="0" applyNumberFormat="1" applyFont="1" applyFill="1" applyBorder="1"/>
    <xf numFmtId="3" fontId="22" fillId="0" borderId="2" xfId="0" applyNumberFormat="1" applyFont="1" applyFill="1" applyBorder="1"/>
    <xf numFmtId="3" fontId="10" fillId="0" borderId="2" xfId="0" applyNumberFormat="1" applyFont="1" applyFill="1" applyBorder="1" applyAlignment="1">
      <alignment vertical="center"/>
    </xf>
    <xf numFmtId="3" fontId="23" fillId="0" borderId="2" xfId="0" applyNumberFormat="1" applyFont="1" applyFill="1" applyBorder="1"/>
    <xf numFmtId="0" fontId="0" fillId="0" borderId="31" xfId="0" applyFont="1" applyFill="1" applyBorder="1"/>
    <xf numFmtId="0" fontId="0" fillId="0" borderId="2" xfId="0" applyFont="1" applyFill="1" applyBorder="1"/>
    <xf numFmtId="0" fontId="8" fillId="0" borderId="2" xfId="3" applyFont="1" applyFill="1" applyBorder="1" applyAlignment="1">
      <alignment horizontal="center"/>
    </xf>
    <xf numFmtId="3" fontId="0" fillId="0" borderId="8" xfId="0" applyNumberFormat="1" applyFill="1" applyBorder="1"/>
    <xf numFmtId="3" fontId="0" fillId="0" borderId="2" xfId="0" applyNumberFormat="1" applyFill="1" applyBorder="1" applyAlignment="1">
      <alignment horizontal="right"/>
    </xf>
    <xf numFmtId="3" fontId="0" fillId="0" borderId="2" xfId="0" applyNumberFormat="1" applyFont="1" applyFill="1" applyBorder="1" applyAlignment="1"/>
    <xf numFmtId="3" fontId="0" fillId="0" borderId="2" xfId="0" applyNumberFormat="1" applyFill="1" applyBorder="1" applyAlignment="1"/>
    <xf numFmtId="3" fontId="0" fillId="0" borderId="2" xfId="0" applyNumberFormat="1" applyFont="1" applyFill="1" applyBorder="1" applyAlignment="1">
      <alignment horizontal="right"/>
    </xf>
    <xf numFmtId="3" fontId="11" fillId="0" borderId="2" xfId="0" applyNumberFormat="1" applyFont="1" applyFill="1" applyBorder="1" applyAlignment="1">
      <alignment vertical="center"/>
    </xf>
    <xf numFmtId="37" fontId="0" fillId="0" borderId="2" xfId="0" applyNumberFormat="1" applyFill="1" applyBorder="1"/>
    <xf numFmtId="0" fontId="0" fillId="0" borderId="6" xfId="0" applyFill="1" applyBorder="1"/>
    <xf numFmtId="0" fontId="0" fillId="0" borderId="8" xfId="0" applyFill="1" applyBorder="1"/>
    <xf numFmtId="0" fontId="24" fillId="0" borderId="0" xfId="0" applyFont="1" applyFill="1" applyBorder="1" applyAlignment="1">
      <alignment horizontal="center"/>
    </xf>
    <xf numFmtId="0" fontId="0" fillId="0" borderId="32" xfId="0" applyFill="1" applyBorder="1"/>
    <xf numFmtId="0" fontId="0" fillId="0" borderId="0" xfId="0" applyFill="1" applyBorder="1" applyAlignment="1">
      <alignment vertical="center"/>
    </xf>
    <xf numFmtId="0" fontId="0" fillId="0" borderId="0" xfId="0" applyFill="1" applyBorder="1"/>
    <xf numFmtId="0" fontId="8" fillId="0" borderId="0" xfId="3" applyFont="1" applyFill="1" applyBorder="1"/>
    <xf numFmtId="3" fontId="0" fillId="0" borderId="0" xfId="0" applyNumberFormat="1" applyFill="1" applyBorder="1"/>
    <xf numFmtId="0" fontId="0" fillId="0" borderId="33" xfId="0" applyFill="1" applyBorder="1"/>
    <xf numFmtId="0" fontId="0" fillId="0" borderId="0" xfId="0" applyFill="1" applyBorder="1" applyAlignment="1">
      <alignment horizontal="center"/>
    </xf>
    <xf numFmtId="0" fontId="0" fillId="0" borderId="34" xfId="0" applyFill="1" applyBorder="1"/>
    <xf numFmtId="0" fontId="0" fillId="0" borderId="0" xfId="0" applyFill="1" applyBorder="1" applyAlignment="1">
      <alignment horizontal="right" vertical="center"/>
    </xf>
    <xf numFmtId="3" fontId="0" fillId="0" borderId="0" xfId="0" applyNumberFormat="1" applyFont="1" applyFill="1" applyBorder="1"/>
    <xf numFmtId="3" fontId="8" fillId="0" borderId="0" xfId="0" applyNumberFormat="1" applyFont="1" applyFill="1" applyBorder="1"/>
    <xf numFmtId="3" fontId="22" fillId="0" borderId="8" xfId="0" applyNumberFormat="1" applyFont="1" applyFill="1" applyBorder="1"/>
    <xf numFmtId="3" fontId="23" fillId="0" borderId="0" xfId="0" applyNumberFormat="1" applyFont="1" applyFill="1" applyBorder="1"/>
    <xf numFmtId="3" fontId="0" fillId="0" borderId="34" xfId="0" applyNumberFormat="1" applyFill="1" applyBorder="1" applyAlignment="1">
      <alignment horizontal="right" vertical="center"/>
    </xf>
    <xf numFmtId="0" fontId="4" fillId="0" borderId="0" xfId="0" applyFont="1" applyFill="1" applyBorder="1"/>
    <xf numFmtId="0" fontId="8" fillId="0" borderId="0" xfId="3" applyFont="1" applyFill="1" applyBorder="1" applyAlignment="1">
      <alignment horizontal="center"/>
    </xf>
    <xf numFmtId="0" fontId="11" fillId="0" borderId="0" xfId="0" applyFont="1" applyFill="1" applyBorder="1" applyAlignment="1">
      <alignment vertical="center"/>
    </xf>
    <xf numFmtId="3" fontId="0" fillId="0" borderId="0" xfId="0" applyNumberFormat="1" applyFont="1" applyFill="1" applyBorder="1" applyAlignment="1">
      <alignment horizontal="right"/>
    </xf>
    <xf numFmtId="3" fontId="0" fillId="0" borderId="8" xfId="0" applyNumberFormat="1" applyFont="1" applyFill="1" applyBorder="1"/>
    <xf numFmtId="37" fontId="0" fillId="0" borderId="8" xfId="0" applyNumberFormat="1" applyFill="1" applyBorder="1"/>
    <xf numFmtId="37" fontId="0" fillId="0" borderId="0" xfId="0" applyNumberFormat="1" applyFill="1" applyBorder="1"/>
    <xf numFmtId="37" fontId="0" fillId="0" borderId="6" xfId="0" applyNumberFormat="1" applyFill="1" applyBorder="1"/>
    <xf numFmtId="0" fontId="20" fillId="0" borderId="6" xfId="0" applyFont="1" applyFill="1" applyBorder="1"/>
    <xf numFmtId="0" fontId="21" fillId="0" borderId="6" xfId="3" applyFont="1" applyFill="1" applyBorder="1"/>
    <xf numFmtId="3" fontId="20" fillId="0" borderId="6" xfId="0" applyNumberFormat="1" applyFont="1" applyFill="1" applyBorder="1"/>
    <xf numFmtId="0" fontId="20" fillId="0" borderId="35" xfId="0" applyFont="1" applyFill="1" applyBorder="1"/>
    <xf numFmtId="0" fontId="20" fillId="0" borderId="6" xfId="0" applyFont="1" applyFill="1" applyBorder="1" applyAlignment="1">
      <alignment horizontal="center"/>
    </xf>
    <xf numFmtId="0" fontId="20" fillId="0" borderId="36" xfId="0" applyFont="1" applyFill="1" applyBorder="1"/>
    <xf numFmtId="3" fontId="0" fillId="0" borderId="6" xfId="0" applyNumberFormat="1" applyFill="1" applyBorder="1"/>
    <xf numFmtId="3" fontId="0" fillId="0" borderId="6" xfId="0" applyNumberFormat="1" applyFont="1" applyFill="1" applyBorder="1"/>
    <xf numFmtId="3" fontId="8" fillId="0" borderId="6" xfId="0" applyNumberFormat="1" applyFont="1" applyFill="1" applyBorder="1"/>
    <xf numFmtId="3" fontId="22" fillId="0" borderId="6" xfId="0" applyNumberFormat="1" applyFont="1" applyFill="1" applyBorder="1"/>
    <xf numFmtId="3" fontId="10" fillId="0" borderId="6" xfId="0" applyNumberFormat="1" applyFont="1" applyFill="1" applyBorder="1" applyAlignment="1">
      <alignment vertical="center"/>
    </xf>
    <xf numFmtId="3" fontId="23" fillId="0" borderId="6" xfId="0" applyNumberFormat="1" applyFont="1" applyFill="1" applyBorder="1"/>
    <xf numFmtId="0" fontId="0" fillId="0" borderId="6" xfId="0" applyFont="1" applyFill="1" applyBorder="1"/>
    <xf numFmtId="0" fontId="8" fillId="0" borderId="6" xfId="3" applyFont="1" applyFill="1" applyBorder="1" applyAlignment="1">
      <alignment horizontal="center"/>
    </xf>
    <xf numFmtId="3" fontId="11" fillId="0" borderId="6" xfId="0" applyNumberFormat="1" applyFont="1" applyFill="1" applyBorder="1" applyAlignment="1">
      <alignment vertical="center"/>
    </xf>
    <xf numFmtId="0" fontId="20" fillId="0" borderId="38" xfId="0" applyNumberFormat="1" applyFont="1" applyFill="1" applyBorder="1"/>
    <xf numFmtId="0" fontId="20" fillId="0" borderId="32" xfId="0" applyNumberFormat="1" applyFont="1" applyFill="1" applyBorder="1"/>
    <xf numFmtId="0" fontId="20" fillId="0" borderId="0" xfId="0" applyFont="1" applyFill="1" applyBorder="1"/>
    <xf numFmtId="0" fontId="21" fillId="0" borderId="0" xfId="3" applyFont="1" applyFill="1" applyBorder="1"/>
    <xf numFmtId="3" fontId="20" fillId="0" borderId="0" xfId="0" applyNumberFormat="1" applyFont="1" applyFill="1" applyBorder="1"/>
    <xf numFmtId="0" fontId="20" fillId="0" borderId="33" xfId="0" applyFont="1" applyFill="1" applyBorder="1"/>
    <xf numFmtId="0" fontId="20" fillId="0" borderId="0" xfId="0" applyFont="1" applyFill="1" applyBorder="1" applyAlignment="1">
      <alignment horizontal="center"/>
    </xf>
    <xf numFmtId="0" fontId="20" fillId="0" borderId="34" xfId="0" applyFont="1" applyFill="1" applyBorder="1"/>
    <xf numFmtId="3" fontId="10" fillId="0" borderId="0" xfId="0" applyNumberFormat="1" applyFont="1" applyFill="1" applyBorder="1" applyAlignment="1">
      <alignment vertical="center"/>
    </xf>
    <xf numFmtId="0" fontId="0" fillId="0" borderId="0" xfId="0" applyFont="1" applyFill="1" applyBorder="1"/>
    <xf numFmtId="0" fontId="20" fillId="10" borderId="6" xfId="0" applyFont="1" applyFill="1" applyBorder="1"/>
    <xf numFmtId="0" fontId="21" fillId="10" borderId="6" xfId="3" applyFont="1" applyFill="1" applyBorder="1"/>
    <xf numFmtId="3" fontId="20" fillId="10" borderId="6" xfId="0" applyNumberFormat="1" applyFont="1" applyFill="1" applyBorder="1"/>
    <xf numFmtId="0" fontId="20" fillId="10" borderId="35" xfId="0" applyFont="1" applyFill="1" applyBorder="1"/>
    <xf numFmtId="0" fontId="20" fillId="10" borderId="6" xfId="0" applyFont="1" applyFill="1" applyBorder="1" applyAlignment="1">
      <alignment horizontal="center"/>
    </xf>
    <xf numFmtId="0" fontId="20" fillId="10" borderId="36" xfId="0" applyFont="1" applyFill="1" applyBorder="1"/>
    <xf numFmtId="0" fontId="0" fillId="10" borderId="6" xfId="0" applyFill="1" applyBorder="1"/>
    <xf numFmtId="3" fontId="0" fillId="10" borderId="6" xfId="0" applyNumberFormat="1" applyFill="1" applyBorder="1"/>
    <xf numFmtId="3" fontId="0" fillId="10" borderId="6" xfId="0" applyNumberFormat="1" applyFont="1" applyFill="1" applyBorder="1"/>
    <xf numFmtId="3" fontId="8" fillId="10" borderId="6" xfId="0" applyNumberFormat="1" applyFont="1" applyFill="1" applyBorder="1"/>
    <xf numFmtId="3" fontId="8" fillId="10" borderId="0" xfId="0" applyNumberFormat="1" applyFont="1" applyFill="1" applyBorder="1"/>
    <xf numFmtId="3" fontId="25" fillId="10" borderId="6" xfId="0" applyNumberFormat="1" applyFont="1" applyFill="1" applyBorder="1"/>
    <xf numFmtId="3" fontId="22" fillId="10" borderId="6" xfId="0" applyNumberFormat="1" applyFont="1" applyFill="1" applyBorder="1"/>
    <xf numFmtId="3" fontId="10" fillId="10" borderId="6" xfId="0" applyNumberFormat="1" applyFont="1" applyFill="1" applyBorder="1" applyAlignment="1">
      <alignment vertical="center"/>
    </xf>
    <xf numFmtId="3" fontId="23" fillId="10" borderId="6" xfId="0" applyNumberFormat="1" applyFont="1" applyFill="1" applyBorder="1"/>
    <xf numFmtId="3" fontId="0" fillId="10" borderId="0" xfId="0" applyNumberFormat="1" applyFill="1" applyBorder="1"/>
    <xf numFmtId="0" fontId="0" fillId="10" borderId="6" xfId="0" applyFont="1" applyFill="1" applyBorder="1"/>
    <xf numFmtId="0" fontId="8" fillId="10" borderId="6" xfId="3" applyFont="1" applyFill="1" applyBorder="1" applyAlignment="1">
      <alignment horizontal="center"/>
    </xf>
    <xf numFmtId="3" fontId="0" fillId="10" borderId="6" xfId="0" applyNumberFormat="1" applyFont="1" applyFill="1" applyBorder="1" applyAlignment="1">
      <alignment horizontal="center"/>
    </xf>
    <xf numFmtId="37" fontId="0" fillId="10" borderId="6" xfId="0" applyNumberFormat="1" applyFill="1" applyBorder="1" applyAlignment="1">
      <alignment vertical="center"/>
    </xf>
    <xf numFmtId="37" fontId="0" fillId="10" borderId="6" xfId="0" applyNumberFormat="1" applyFill="1" applyBorder="1"/>
    <xf numFmtId="0" fontId="20" fillId="10" borderId="38" xfId="0" applyNumberFormat="1" applyFont="1" applyFill="1" applyBorder="1"/>
    <xf numFmtId="0" fontId="20" fillId="10" borderId="2" xfId="0" applyFont="1" applyFill="1" applyBorder="1"/>
    <xf numFmtId="0" fontId="21" fillId="10" borderId="2" xfId="3" applyFont="1" applyFill="1" applyBorder="1"/>
    <xf numFmtId="3" fontId="20" fillId="10" borderId="2" xfId="0" applyNumberFormat="1" applyFont="1" applyFill="1" applyBorder="1"/>
    <xf numFmtId="0" fontId="20" fillId="10" borderId="3" xfId="0" applyFont="1" applyFill="1" applyBorder="1"/>
    <xf numFmtId="0" fontId="20" fillId="10" borderId="2" xfId="0" applyFont="1" applyFill="1" applyBorder="1" applyAlignment="1">
      <alignment horizontal="center"/>
    </xf>
    <xf numFmtId="0" fontId="20" fillId="10" borderId="4" xfId="0" applyFont="1" applyFill="1" applyBorder="1"/>
    <xf numFmtId="0" fontId="0" fillId="10" borderId="2" xfId="0" applyFill="1" applyBorder="1"/>
    <xf numFmtId="3" fontId="0" fillId="10" borderId="2" xfId="0" applyNumberFormat="1" applyFill="1" applyBorder="1"/>
    <xf numFmtId="3" fontId="0" fillId="10" borderId="2" xfId="0" applyNumberFormat="1" applyFont="1" applyFill="1" applyBorder="1"/>
    <xf numFmtId="3" fontId="8" fillId="10" borderId="2" xfId="0" applyNumberFormat="1" applyFont="1" applyFill="1" applyBorder="1"/>
    <xf numFmtId="3" fontId="25" fillId="10" borderId="2" xfId="0" applyNumberFormat="1" applyFont="1" applyFill="1" applyBorder="1"/>
    <xf numFmtId="3" fontId="22" fillId="10" borderId="2" xfId="0" applyNumberFormat="1" applyFont="1" applyFill="1" applyBorder="1"/>
    <xf numFmtId="3" fontId="10" fillId="10" borderId="2" xfId="0" applyNumberFormat="1" applyFont="1" applyFill="1" applyBorder="1" applyAlignment="1">
      <alignment vertical="center"/>
    </xf>
    <xf numFmtId="3" fontId="23" fillId="10" borderId="2" xfId="0" applyNumberFormat="1" applyFont="1" applyFill="1" applyBorder="1"/>
    <xf numFmtId="0" fontId="0" fillId="10" borderId="2" xfId="0" applyFont="1" applyFill="1" applyBorder="1"/>
    <xf numFmtId="0" fontId="8" fillId="10" borderId="2" xfId="3" applyFont="1" applyFill="1" applyBorder="1" applyAlignment="1">
      <alignment horizontal="center"/>
    </xf>
    <xf numFmtId="3" fontId="0" fillId="10" borderId="0" xfId="0" applyNumberFormat="1" applyFont="1" applyFill="1" applyBorder="1"/>
    <xf numFmtId="3" fontId="0" fillId="10" borderId="2" xfId="0" applyNumberFormat="1" applyFont="1" applyFill="1" applyBorder="1" applyAlignment="1">
      <alignment horizontal="center"/>
    </xf>
    <xf numFmtId="37" fontId="0" fillId="10" borderId="2" xfId="0" applyNumberFormat="1" applyFill="1" applyBorder="1" applyAlignment="1">
      <alignment vertical="center"/>
    </xf>
    <xf numFmtId="37" fontId="0" fillId="10" borderId="2" xfId="0" applyNumberFormat="1" applyFill="1" applyBorder="1"/>
    <xf numFmtId="3" fontId="22" fillId="0" borderId="0" xfId="0" applyNumberFormat="1" applyFont="1" applyFill="1" applyBorder="1"/>
    <xf numFmtId="0" fontId="26" fillId="0" borderId="6" xfId="3" applyFont="1" applyFill="1" applyBorder="1"/>
    <xf numFmtId="3" fontId="25" fillId="0" borderId="6" xfId="0" applyNumberFormat="1" applyFont="1" applyFill="1" applyBorder="1"/>
    <xf numFmtId="3" fontId="27" fillId="0" borderId="6" xfId="0" applyNumberFormat="1" applyFont="1" applyFill="1" applyBorder="1"/>
    <xf numFmtId="3" fontId="11" fillId="0" borderId="0" xfId="0" applyNumberFormat="1" applyFont="1" applyFill="1" applyBorder="1" applyAlignment="1">
      <alignment vertical="center"/>
    </xf>
    <xf numFmtId="37" fontId="0" fillId="0" borderId="6" xfId="0" applyNumberFormat="1" applyFont="1" applyFill="1" applyBorder="1"/>
    <xf numFmtId="3" fontId="25" fillId="0" borderId="2" xfId="0" applyNumberFormat="1" applyFont="1" applyFill="1" applyBorder="1"/>
    <xf numFmtId="3" fontId="27" fillId="0" borderId="2" xfId="0" applyNumberFormat="1" applyFont="1" applyFill="1" applyBorder="1"/>
    <xf numFmtId="37" fontId="0" fillId="0" borderId="2" xfId="0" applyNumberFormat="1" applyFont="1" applyFill="1" applyBorder="1"/>
    <xf numFmtId="3" fontId="25" fillId="0" borderId="0" xfId="0" applyNumberFormat="1" applyFont="1" applyFill="1" applyBorder="1"/>
    <xf numFmtId="3" fontId="0" fillId="0" borderId="8" xfId="0" applyNumberFormat="1" applyFont="1" applyFill="1" applyBorder="1" applyAlignment="1">
      <alignment horizontal="right"/>
    </xf>
    <xf numFmtId="3" fontId="0" fillId="0" borderId="8" xfId="0" applyNumberFormat="1" applyFont="1" applyFill="1" applyBorder="1" applyAlignment="1">
      <alignment horizontal="center" vertical="center"/>
    </xf>
    <xf numFmtId="3" fontId="8" fillId="0" borderId="8" xfId="0" applyNumberFormat="1" applyFont="1" applyFill="1" applyBorder="1" applyAlignment="1">
      <alignment horizontal="center" vertical="center"/>
    </xf>
    <xf numFmtId="37" fontId="0" fillId="0" borderId="0" xfId="0" applyNumberFormat="1" applyFont="1" applyFill="1" applyBorder="1"/>
    <xf numFmtId="3" fontId="27" fillId="0" borderId="0" xfId="0" applyNumberFormat="1" applyFont="1" applyFill="1" applyBorder="1"/>
    <xf numFmtId="3" fontId="27" fillId="10" borderId="6" xfId="0" applyNumberFormat="1" applyFont="1" applyFill="1" applyBorder="1"/>
    <xf numFmtId="0" fontId="20" fillId="10" borderId="32" xfId="0" applyNumberFormat="1" applyFont="1" applyFill="1" applyBorder="1"/>
    <xf numFmtId="0" fontId="20" fillId="10" borderId="0" xfId="0" applyFont="1" applyFill="1" applyBorder="1"/>
    <xf numFmtId="0" fontId="21" fillId="10" borderId="0" xfId="3" applyFont="1" applyFill="1" applyBorder="1"/>
    <xf numFmtId="3" fontId="20" fillId="10" borderId="0" xfId="0" applyNumberFormat="1" applyFont="1" applyFill="1" applyBorder="1"/>
    <xf numFmtId="0" fontId="20" fillId="10" borderId="33" xfId="0" applyFont="1" applyFill="1" applyBorder="1"/>
    <xf numFmtId="0" fontId="20" fillId="10" borderId="0" xfId="0" applyFont="1" applyFill="1" applyBorder="1" applyAlignment="1">
      <alignment horizontal="center"/>
    </xf>
    <xf numFmtId="0" fontId="20" fillId="10" borderId="34" xfId="0" applyFont="1" applyFill="1" applyBorder="1"/>
    <xf numFmtId="0" fontId="0" fillId="10" borderId="0" xfId="0" applyFill="1" applyBorder="1"/>
    <xf numFmtId="3" fontId="27" fillId="10" borderId="0" xfId="0" applyNumberFormat="1" applyFont="1" applyFill="1" applyBorder="1"/>
    <xf numFmtId="3" fontId="10" fillId="10" borderId="0" xfId="0" applyNumberFormat="1" applyFont="1" applyFill="1" applyBorder="1" applyAlignment="1">
      <alignment vertical="center"/>
    </xf>
    <xf numFmtId="3" fontId="23" fillId="10" borderId="0" xfId="0" applyNumberFormat="1" applyFont="1" applyFill="1" applyBorder="1"/>
    <xf numFmtId="3" fontId="0" fillId="10" borderId="34" xfId="0" applyNumberFormat="1" applyFill="1" applyBorder="1" applyAlignment="1">
      <alignment horizontal="right" vertical="center"/>
    </xf>
    <xf numFmtId="0" fontId="0" fillId="10" borderId="0" xfId="0" applyFont="1" applyFill="1" applyBorder="1"/>
    <xf numFmtId="0" fontId="8" fillId="10" borderId="0" xfId="3" applyFont="1" applyFill="1" applyBorder="1" applyAlignment="1">
      <alignment horizontal="center"/>
    </xf>
    <xf numFmtId="37" fontId="0" fillId="10" borderId="0" xfId="0" applyNumberFormat="1" applyFill="1" applyBorder="1"/>
    <xf numFmtId="3" fontId="27" fillId="10" borderId="2" xfId="0" applyNumberFormat="1" applyFont="1" applyFill="1" applyBorder="1"/>
    <xf numFmtId="3" fontId="0" fillId="0" borderId="8" xfId="0" applyNumberFormat="1" applyFill="1" applyBorder="1" applyAlignment="1">
      <alignment horizontal="right" vertical="center"/>
    </xf>
    <xf numFmtId="3" fontId="8" fillId="0" borderId="8" xfId="0" applyNumberFormat="1" applyFont="1" applyFill="1" applyBorder="1" applyAlignment="1">
      <alignment horizontal="right" vertical="center"/>
    </xf>
    <xf numFmtId="0" fontId="19" fillId="0" borderId="8" xfId="0" applyFont="1" applyFill="1" applyBorder="1" applyAlignment="1">
      <alignment horizontal="center" vertical="center"/>
    </xf>
    <xf numFmtId="0" fontId="20" fillId="0" borderId="39" xfId="0" applyNumberFormat="1" applyFont="1" applyFill="1" applyBorder="1"/>
    <xf numFmtId="0" fontId="20" fillId="0" borderId="8" xfId="0" applyFont="1" applyFill="1" applyBorder="1"/>
    <xf numFmtId="0" fontId="21" fillId="0" borderId="8" xfId="3" applyFont="1" applyFill="1" applyBorder="1"/>
    <xf numFmtId="3" fontId="20" fillId="0" borderId="8" xfId="0" applyNumberFormat="1" applyFont="1" applyFill="1" applyBorder="1"/>
    <xf numFmtId="0" fontId="20" fillId="0" borderId="11" xfId="0" applyFont="1" applyFill="1" applyBorder="1"/>
    <xf numFmtId="0" fontId="20" fillId="0" borderId="8" xfId="0" applyFont="1" applyFill="1" applyBorder="1" applyAlignment="1">
      <alignment horizontal="center"/>
    </xf>
    <xf numFmtId="0" fontId="20" fillId="0" borderId="12" xfId="0" applyFont="1" applyFill="1" applyBorder="1"/>
    <xf numFmtId="3" fontId="25" fillId="0" borderId="8" xfId="0" applyNumberFormat="1" applyFont="1" applyFill="1" applyBorder="1"/>
    <xf numFmtId="3" fontId="10" fillId="0" borderId="8" xfId="0" applyNumberFormat="1" applyFont="1" applyFill="1" applyBorder="1" applyAlignment="1">
      <alignment vertical="center"/>
    </xf>
    <xf numFmtId="3" fontId="23" fillId="0" borderId="8" xfId="0" applyNumberFormat="1" applyFont="1" applyFill="1" applyBorder="1"/>
    <xf numFmtId="3" fontId="0" fillId="0" borderId="12" xfId="0" applyNumberFormat="1" applyFill="1" applyBorder="1" applyAlignment="1">
      <alignment horizontal="right" vertical="center"/>
    </xf>
    <xf numFmtId="0" fontId="0" fillId="0" borderId="8" xfId="0" applyFont="1" applyFill="1" applyBorder="1"/>
    <xf numFmtId="0" fontId="8" fillId="0" borderId="8" xfId="3" applyFont="1" applyFill="1" applyBorder="1" applyAlignment="1">
      <alignment horizontal="center"/>
    </xf>
    <xf numFmtId="0" fontId="11" fillId="0" borderId="8" xfId="0" applyFont="1" applyFill="1" applyBorder="1" applyAlignment="1">
      <alignment horizontal="center" vertical="center"/>
    </xf>
    <xf numFmtId="3" fontId="0" fillId="0" borderId="8" xfId="0" applyNumberFormat="1" applyFill="1" applyBorder="1" applyAlignment="1">
      <alignment horizontal="right"/>
    </xf>
    <xf numFmtId="3" fontId="0" fillId="0" borderId="8" xfId="0" applyNumberFormat="1" applyFont="1" applyFill="1" applyBorder="1" applyAlignment="1"/>
    <xf numFmtId="3" fontId="0" fillId="0" borderId="8" xfId="0" applyNumberFormat="1" applyFill="1" applyBorder="1" applyAlignment="1"/>
    <xf numFmtId="3" fontId="0" fillId="0" borderId="8" xfId="0" applyNumberFormat="1" applyFont="1" applyFill="1" applyBorder="1" applyAlignment="1">
      <alignment horizontal="right" vertical="center"/>
    </xf>
    <xf numFmtId="37" fontId="0" fillId="0" borderId="8" xfId="0" applyNumberFormat="1" applyFont="1" applyFill="1" applyBorder="1" applyAlignment="1">
      <alignment horizontal="right" vertical="center"/>
    </xf>
    <xf numFmtId="0" fontId="20" fillId="0" borderId="32" xfId="0" applyFont="1" applyFill="1" applyBorder="1"/>
    <xf numFmtId="3" fontId="0" fillId="0" borderId="0" xfId="0" applyNumberFormat="1" applyFont="1" applyFill="1" applyBorder="1" applyAlignment="1"/>
    <xf numFmtId="3" fontId="8" fillId="0" borderId="8" xfId="0" applyNumberFormat="1" applyFont="1" applyFill="1" applyBorder="1" applyAlignment="1"/>
    <xf numFmtId="3" fontId="8" fillId="0" borderId="8" xfId="0" applyNumberFormat="1" applyFont="1" applyFill="1" applyBorder="1" applyAlignment="1">
      <alignment horizontal="right"/>
    </xf>
    <xf numFmtId="3" fontId="28" fillId="0" borderId="2" xfId="0" applyNumberFormat="1" applyFont="1" applyFill="1" applyBorder="1"/>
    <xf numFmtId="3" fontId="8" fillId="0" borderId="0" xfId="0" applyNumberFormat="1" applyFont="1" applyFill="1" applyBorder="1" applyAlignment="1"/>
    <xf numFmtId="3" fontId="8" fillId="0" borderId="0" xfId="0" applyNumberFormat="1" applyFont="1" applyFill="1" applyBorder="1" applyAlignment="1">
      <alignment horizontal="right"/>
    </xf>
    <xf numFmtId="3" fontId="28" fillId="0" borderId="8" xfId="0" applyNumberFormat="1" applyFont="1" applyFill="1" applyBorder="1"/>
    <xf numFmtId="3" fontId="29" fillId="0" borderId="8" xfId="0" applyNumberFormat="1" applyFont="1" applyFill="1" applyBorder="1"/>
    <xf numFmtId="37" fontId="0" fillId="0" borderId="8" xfId="0" applyNumberFormat="1" applyFont="1" applyFill="1" applyBorder="1"/>
    <xf numFmtId="3" fontId="29" fillId="0" borderId="0" xfId="0" applyNumberFormat="1" applyFont="1" applyFill="1" applyBorder="1"/>
    <xf numFmtId="164" fontId="8" fillId="0" borderId="8" xfId="1" applyNumberFormat="1" applyFont="1" applyFill="1" applyBorder="1"/>
    <xf numFmtId="0" fontId="8" fillId="0" borderId="8" xfId="0" applyFont="1" applyFill="1" applyBorder="1"/>
    <xf numFmtId="0" fontId="8" fillId="0" borderId="8" xfId="0" applyFont="1" applyFill="1" applyBorder="1" applyAlignment="1">
      <alignment horizontal="right" vertical="center"/>
    </xf>
    <xf numFmtId="0" fontId="25" fillId="0" borderId="8" xfId="0" applyFont="1" applyFill="1" applyBorder="1"/>
    <xf numFmtId="37" fontId="10" fillId="0" borderId="8" xfId="0" applyNumberFormat="1" applyFont="1" applyFill="1" applyBorder="1" applyAlignment="1">
      <alignment vertical="center"/>
    </xf>
    <xf numFmtId="0" fontId="23" fillId="0" borderId="8" xfId="0" applyFont="1" applyFill="1" applyBorder="1"/>
    <xf numFmtId="0" fontId="0" fillId="0" borderId="12" xfId="0" applyFill="1" applyBorder="1" applyAlignment="1">
      <alignment horizontal="right" vertical="center"/>
    </xf>
    <xf numFmtId="3" fontId="0" fillId="0" borderId="8" xfId="0" applyNumberFormat="1" applyFont="1" applyFill="1" applyBorder="1" applyAlignment="1">
      <alignment horizontal="center"/>
    </xf>
    <xf numFmtId="3" fontId="8" fillId="0" borderId="8" xfId="0" applyNumberFormat="1" applyFont="1" applyFill="1" applyBorder="1" applyAlignment="1">
      <alignment horizontal="center"/>
    </xf>
    <xf numFmtId="3" fontId="3" fillId="0" borderId="8" xfId="0" applyNumberFormat="1" applyFont="1" applyFill="1" applyBorder="1"/>
    <xf numFmtId="3" fontId="30" fillId="0" borderId="0" xfId="0" applyNumberFormat="1" applyFont="1" applyFill="1" applyBorder="1"/>
    <xf numFmtId="3" fontId="0" fillId="0" borderId="6" xfId="0" applyNumberFormat="1" applyFont="1" applyFill="1" applyBorder="1" applyAlignment="1">
      <alignment horizontal="right"/>
    </xf>
    <xf numFmtId="3" fontId="4" fillId="0" borderId="0" xfId="0" applyNumberFormat="1" applyFont="1" applyFill="1" applyBorder="1" applyAlignment="1"/>
    <xf numFmtId="3" fontId="29" fillId="0" borderId="0" xfId="0" applyNumberFormat="1" applyFont="1" applyFill="1" applyBorder="1" applyAlignment="1"/>
    <xf numFmtId="3" fontId="29" fillId="0" borderId="0" xfId="0" applyNumberFormat="1" applyFont="1" applyFill="1" applyBorder="1" applyAlignment="1">
      <alignment horizontal="right"/>
    </xf>
    <xf numFmtId="0" fontId="20" fillId="0" borderId="39" xfId="0" applyFont="1" applyFill="1" applyBorder="1"/>
    <xf numFmtId="0" fontId="26" fillId="0" borderId="8" xfId="3" applyFont="1" applyFill="1" applyBorder="1"/>
    <xf numFmtId="3" fontId="4" fillId="0" borderId="8" xfId="0" applyNumberFormat="1" applyFont="1" applyFill="1" applyBorder="1"/>
    <xf numFmtId="0" fontId="26" fillId="0" borderId="0" xfId="3" applyFont="1" applyFill="1" applyBorder="1"/>
    <xf numFmtId="3" fontId="4" fillId="0" borderId="0" xfId="0" applyNumberFormat="1" applyFont="1" applyFill="1" applyBorder="1"/>
    <xf numFmtId="3" fontId="0" fillId="0" borderId="0" xfId="0" applyNumberFormat="1" applyFill="1" applyBorder="1" applyAlignment="1"/>
    <xf numFmtId="3" fontId="0" fillId="0" borderId="0" xfId="0" applyNumberFormat="1" applyFill="1" applyBorder="1" applyAlignment="1">
      <alignment horizontal="right"/>
    </xf>
    <xf numFmtId="37" fontId="4" fillId="0" borderId="8" xfId="0" applyNumberFormat="1" applyFont="1" applyFill="1" applyBorder="1"/>
    <xf numFmtId="0" fontId="8" fillId="0" borderId="0" xfId="0" applyFont="1" applyFill="1" applyBorder="1"/>
    <xf numFmtId="0" fontId="8" fillId="0" borderId="0" xfId="0" applyFont="1" applyFill="1" applyBorder="1" applyAlignment="1">
      <alignment horizontal="right" vertical="center"/>
    </xf>
    <xf numFmtId="0" fontId="8" fillId="0" borderId="0" xfId="0" applyFont="1" applyFill="1" applyBorder="1" applyAlignment="1">
      <alignment horizontal="center" vertical="center"/>
    </xf>
    <xf numFmtId="0" fontId="25" fillId="0" borderId="0" xfId="0" applyFont="1" applyFill="1" applyBorder="1"/>
    <xf numFmtId="37" fontId="10" fillId="0" borderId="0" xfId="0" applyNumberFormat="1" applyFont="1" applyFill="1" applyBorder="1" applyAlignment="1">
      <alignment vertical="center"/>
    </xf>
    <xf numFmtId="0" fontId="23" fillId="0" borderId="0" xfId="0" applyFont="1" applyFill="1" applyBorder="1"/>
    <xf numFmtId="3" fontId="0" fillId="0" borderId="0" xfId="0" applyNumberFormat="1" applyFont="1" applyFill="1" applyBorder="1" applyAlignment="1">
      <alignment horizontal="center"/>
    </xf>
    <xf numFmtId="3" fontId="8" fillId="0" borderId="0" xfId="0" applyNumberFormat="1" applyFont="1" applyFill="1" applyBorder="1" applyAlignment="1">
      <alignment horizontal="center"/>
    </xf>
    <xf numFmtId="37" fontId="4" fillId="0" borderId="0" xfId="0" applyNumberFormat="1" applyFont="1" applyFill="1" applyBorder="1"/>
    <xf numFmtId="1" fontId="0" fillId="0" borderId="8" xfId="0" applyNumberFormat="1" applyFont="1" applyFill="1" applyBorder="1"/>
    <xf numFmtId="3" fontId="8" fillId="10" borderId="6" xfId="0" applyNumberFormat="1" applyFont="1" applyFill="1" applyBorder="1" applyAlignment="1">
      <alignment horizontal="center"/>
    </xf>
    <xf numFmtId="37" fontId="0" fillId="10" borderId="6" xfId="0" applyNumberFormat="1" applyFont="1" applyFill="1" applyBorder="1"/>
    <xf numFmtId="0" fontId="20" fillId="10" borderId="32" xfId="0" applyFont="1" applyFill="1" applyBorder="1"/>
    <xf numFmtId="3" fontId="8" fillId="10" borderId="0" xfId="0" applyNumberFormat="1" applyFont="1" applyFill="1" applyBorder="1" applyAlignment="1">
      <alignment horizontal="center"/>
    </xf>
    <xf numFmtId="37" fontId="0" fillId="10" borderId="0" xfId="0" applyNumberFormat="1" applyFont="1" applyFill="1" applyBorder="1"/>
    <xf numFmtId="0" fontId="20" fillId="10" borderId="38" xfId="0" applyFont="1" applyFill="1" applyBorder="1"/>
    <xf numFmtId="3" fontId="8" fillId="10" borderId="2" xfId="0" applyNumberFormat="1" applyFont="1" applyFill="1" applyBorder="1" applyAlignment="1">
      <alignment horizontal="center"/>
    </xf>
    <xf numFmtId="37" fontId="0" fillId="10" borderId="2" xfId="0" applyNumberFormat="1" applyFont="1" applyFill="1" applyBorder="1"/>
    <xf numFmtId="3" fontId="4" fillId="0" borderId="6" xfId="0" applyNumberFormat="1" applyFont="1" applyFill="1" applyBorder="1"/>
    <xf numFmtId="3" fontId="0" fillId="0" borderId="6" xfId="0" applyNumberFormat="1" applyFill="1" applyBorder="1" applyAlignment="1">
      <alignment horizontal="right"/>
    </xf>
    <xf numFmtId="0" fontId="20" fillId="0" borderId="37" xfId="0" applyFont="1" applyFill="1" applyBorder="1"/>
    <xf numFmtId="0" fontId="8" fillId="0" borderId="6" xfId="0" applyFont="1" applyFill="1" applyBorder="1"/>
    <xf numFmtId="165" fontId="0" fillId="0" borderId="6" xfId="0" applyNumberFormat="1" applyFill="1" applyBorder="1"/>
    <xf numFmtId="166" fontId="0" fillId="0" borderId="6" xfId="0" applyNumberFormat="1" applyFont="1" applyFill="1" applyBorder="1"/>
    <xf numFmtId="0" fontId="20" fillId="0" borderId="13" xfId="0" applyFont="1" applyFill="1" applyBorder="1"/>
    <xf numFmtId="165" fontId="0" fillId="0" borderId="0" xfId="0" applyNumberFormat="1" applyFill="1" applyBorder="1"/>
    <xf numFmtId="166" fontId="0" fillId="0" borderId="0" xfId="0" applyNumberFormat="1" applyFont="1" applyFill="1" applyBorder="1"/>
    <xf numFmtId="0" fontId="20" fillId="0" borderId="38" xfId="0" applyFont="1" applyFill="1" applyBorder="1"/>
    <xf numFmtId="0" fontId="26" fillId="0" borderId="2" xfId="3" applyFont="1" applyFill="1" applyBorder="1"/>
    <xf numFmtId="0" fontId="20" fillId="0" borderId="5" xfId="0" applyFont="1" applyFill="1" applyBorder="1"/>
    <xf numFmtId="3" fontId="4" fillId="0" borderId="2" xfId="0" applyNumberFormat="1" applyFont="1" applyFill="1" applyBorder="1"/>
    <xf numFmtId="0" fontId="8" fillId="0" borderId="2" xfId="0" applyFont="1" applyFill="1" applyBorder="1"/>
    <xf numFmtId="165" fontId="0" fillId="0" borderId="2" xfId="0" applyNumberFormat="1" applyFill="1" applyBorder="1"/>
    <xf numFmtId="166" fontId="0" fillId="0" borderId="2" xfId="0" applyNumberFormat="1" applyFont="1" applyFill="1" applyBorder="1"/>
    <xf numFmtId="0" fontId="0" fillId="0" borderId="2" xfId="0" applyFill="1" applyBorder="1" applyAlignment="1">
      <alignment horizontal="right" vertical="center"/>
    </xf>
    <xf numFmtId="0" fontId="11" fillId="0" borderId="2" xfId="0" applyFont="1" applyFill="1" applyBorder="1" applyAlignment="1">
      <alignment vertical="center"/>
    </xf>
    <xf numFmtId="3" fontId="11" fillId="0" borderId="8" xfId="0" applyNumberFormat="1" applyFont="1" applyFill="1" applyBorder="1" applyAlignment="1">
      <alignment vertical="center"/>
    </xf>
    <xf numFmtId="3" fontId="0" fillId="0" borderId="36" xfId="0" applyNumberFormat="1" applyFont="1" applyFill="1" applyBorder="1" applyAlignment="1">
      <alignment horizontal="right" vertical="center"/>
    </xf>
    <xf numFmtId="3" fontId="0" fillId="0" borderId="34" xfId="0" applyNumberFormat="1" applyFont="1" applyFill="1" applyBorder="1" applyAlignment="1">
      <alignment horizontal="right" vertical="center"/>
    </xf>
    <xf numFmtId="0" fontId="21" fillId="0" borderId="0" xfId="0" applyFont="1" applyFill="1" applyBorder="1" applyAlignment="1">
      <alignment horizontal="center" vertical="center"/>
    </xf>
    <xf numFmtId="0" fontId="20" fillId="0" borderId="7" xfId="0" applyFont="1" applyFill="1" applyBorder="1"/>
    <xf numFmtId="0" fontId="0" fillId="0" borderId="8" xfId="0" applyFill="1" applyBorder="1" applyAlignment="1">
      <alignment horizontal="right" vertical="center"/>
    </xf>
    <xf numFmtId="0" fontId="19" fillId="0" borderId="7" xfId="0" applyFont="1" applyFill="1" applyBorder="1" applyAlignment="1">
      <alignment horizontal="center" vertical="center"/>
    </xf>
    <xf numFmtId="3" fontId="20" fillId="0" borderId="10" xfId="0" applyNumberFormat="1" applyFont="1" applyFill="1" applyBorder="1"/>
    <xf numFmtId="3" fontId="20" fillId="0" borderId="0" xfId="0" applyNumberFormat="1" applyFont="1" applyFill="1" applyBorder="1" applyAlignment="1">
      <alignment horizontal="right" vertical="center"/>
    </xf>
    <xf numFmtId="3" fontId="0" fillId="0" borderId="10" xfId="0" applyNumberFormat="1" applyFill="1" applyBorder="1" applyAlignment="1">
      <alignment horizontal="right" vertical="center"/>
    </xf>
    <xf numFmtId="37" fontId="8" fillId="0" borderId="8" xfId="0" applyNumberFormat="1" applyFont="1" applyFill="1" applyBorder="1" applyAlignment="1">
      <alignment horizontal="center" vertical="center"/>
    </xf>
    <xf numFmtId="0" fontId="4" fillId="0" borderId="0" xfId="0" applyFont="1" applyFill="1" applyAlignment="1">
      <alignment horizontal="center"/>
    </xf>
    <xf numFmtId="0" fontId="8" fillId="0" borderId="8" xfId="3" applyFont="1" applyFill="1" applyBorder="1"/>
    <xf numFmtId="0" fontId="0" fillId="0" borderId="10" xfId="0" applyFill="1" applyBorder="1"/>
    <xf numFmtId="0" fontId="0" fillId="0" borderId="0" xfId="0" applyFill="1" applyAlignment="1">
      <alignment horizontal="center"/>
    </xf>
    <xf numFmtId="0" fontId="0" fillId="0" borderId="0" xfId="0" applyFill="1" applyAlignment="1">
      <alignment horizontal="right" vertical="center"/>
    </xf>
    <xf numFmtId="0" fontId="0" fillId="0" borderId="0" xfId="0" applyFont="1" applyFill="1"/>
    <xf numFmtId="0" fontId="8" fillId="0" borderId="0" xfId="0" applyFont="1" applyFill="1"/>
    <xf numFmtId="0" fontId="8" fillId="0" borderId="0" xfId="0" applyFont="1" applyFill="1" applyAlignment="1">
      <alignment horizontal="right" vertical="center"/>
    </xf>
    <xf numFmtId="0" fontId="11" fillId="0" borderId="0" xfId="0" applyFont="1" applyFill="1" applyAlignment="1">
      <alignment vertical="center"/>
    </xf>
    <xf numFmtId="0" fontId="0" fillId="0" borderId="0" xfId="0" applyFont="1" applyFill="1" applyAlignment="1">
      <alignment vertical="center"/>
    </xf>
    <xf numFmtId="0" fontId="0" fillId="0" borderId="0" xfId="0" applyFill="1" applyAlignment="1">
      <alignment vertical="center"/>
    </xf>
    <xf numFmtId="0" fontId="8" fillId="0" borderId="2" xfId="0" applyFont="1" applyFill="1" applyBorder="1" applyAlignment="1">
      <alignment horizontal="right" vertical="center"/>
    </xf>
    <xf numFmtId="0" fontId="0" fillId="0" borderId="0" xfId="0" applyFont="1" applyFill="1" applyAlignment="1">
      <alignment horizontal="right" vertical="center"/>
    </xf>
    <xf numFmtId="3" fontId="0" fillId="0" borderId="0" xfId="0" applyNumberFormat="1" applyFont="1" applyFill="1"/>
    <xf numFmtId="0" fontId="0" fillId="0" borderId="0" xfId="0" applyFont="1" applyFill="1" applyAlignment="1">
      <alignment horizontal="right"/>
    </xf>
    <xf numFmtId="37" fontId="0" fillId="0" borderId="0" xfId="0" applyNumberFormat="1" applyFont="1" applyFill="1" applyAlignment="1">
      <alignment horizontal="right" vertical="center"/>
    </xf>
    <xf numFmtId="37" fontId="8" fillId="0" borderId="0" xfId="0" applyNumberFormat="1" applyFont="1" applyFill="1"/>
    <xf numFmtId="37" fontId="0" fillId="0" borderId="0" xfId="0" applyNumberFormat="1" applyFill="1"/>
    <xf numFmtId="0" fontId="31" fillId="0" borderId="8" xfId="0" applyFont="1" applyFill="1" applyBorder="1" applyAlignment="1">
      <alignment horizontal="center" vertical="center"/>
    </xf>
    <xf numFmtId="0" fontId="32" fillId="0" borderId="8" xfId="0" applyNumberFormat="1" applyFont="1" applyFill="1" applyBorder="1"/>
    <xf numFmtId="0" fontId="32" fillId="0" borderId="8" xfId="0" applyFont="1" applyFill="1" applyBorder="1"/>
    <xf numFmtId="0" fontId="32" fillId="0" borderId="11" xfId="0" applyFont="1" applyFill="1" applyBorder="1"/>
    <xf numFmtId="0" fontId="32" fillId="0" borderId="8" xfId="0" applyFont="1" applyFill="1" applyBorder="1" applyAlignment="1">
      <alignment horizontal="center"/>
    </xf>
    <xf numFmtId="3" fontId="32" fillId="0" borderId="8" xfId="0" applyNumberFormat="1" applyFont="1" applyFill="1" applyBorder="1"/>
    <xf numFmtId="0" fontId="32" fillId="0" borderId="12" xfId="0" applyFont="1" applyFill="1" applyBorder="1"/>
    <xf numFmtId="0" fontId="33" fillId="0" borderId="8" xfId="0" applyFont="1" applyFill="1" applyBorder="1"/>
    <xf numFmtId="3" fontId="34" fillId="0" borderId="8" xfId="0" applyNumberFormat="1" applyFont="1" applyFill="1" applyBorder="1" applyAlignment="1">
      <alignment horizontal="right" vertical="center"/>
    </xf>
    <xf numFmtId="3" fontId="34" fillId="0" borderId="8" xfId="0" applyNumberFormat="1" applyFont="1" applyFill="1" applyBorder="1"/>
    <xf numFmtId="3" fontId="34" fillId="0" borderId="8" xfId="0" applyNumberFormat="1" applyFont="1" applyFill="1" applyBorder="1" applyAlignment="1">
      <alignment horizontal="center" vertical="center"/>
    </xf>
    <xf numFmtId="3" fontId="33" fillId="0" borderId="8" xfId="0" applyNumberFormat="1" applyFont="1" applyFill="1" applyBorder="1" applyAlignment="1">
      <alignment vertical="center"/>
    </xf>
    <xf numFmtId="3" fontId="34" fillId="0" borderId="2" xfId="0" applyNumberFormat="1" applyFont="1" applyFill="1" applyBorder="1" applyAlignment="1">
      <alignment horizontal="right" vertical="center"/>
    </xf>
    <xf numFmtId="3" fontId="34" fillId="0" borderId="4" xfId="0" applyNumberFormat="1" applyFont="1" applyFill="1" applyBorder="1" applyAlignment="1">
      <alignment horizontal="right" vertical="center"/>
    </xf>
    <xf numFmtId="0" fontId="34" fillId="0" borderId="40" xfId="0" applyFont="1" applyFill="1" applyBorder="1"/>
    <xf numFmtId="0" fontId="34" fillId="0" borderId="8" xfId="0" applyFont="1" applyFill="1" applyBorder="1"/>
    <xf numFmtId="0" fontId="34" fillId="0" borderId="8" xfId="0" applyFont="1" applyFill="1" applyBorder="1" applyAlignment="1">
      <alignment horizontal="center"/>
    </xf>
    <xf numFmtId="0" fontId="33" fillId="0" borderId="8" xfId="0" applyFont="1" applyFill="1" applyBorder="1" applyAlignment="1">
      <alignment horizontal="center" vertical="center"/>
    </xf>
    <xf numFmtId="3" fontId="34" fillId="0" borderId="2" xfId="0" applyNumberFormat="1" applyFont="1" applyFill="1" applyBorder="1"/>
    <xf numFmtId="3" fontId="34" fillId="0" borderId="6" xfId="0" applyNumberFormat="1" applyFont="1" applyFill="1" applyBorder="1"/>
    <xf numFmtId="3" fontId="34" fillId="0" borderId="6" xfId="0" applyNumberFormat="1" applyFont="1" applyFill="1" applyBorder="1" applyAlignment="1">
      <alignment horizontal="right"/>
    </xf>
    <xf numFmtId="3" fontId="33" fillId="0" borderId="2" xfId="0" applyNumberFormat="1" applyFont="1" applyFill="1" applyBorder="1" applyAlignment="1">
      <alignment vertical="center"/>
    </xf>
    <xf numFmtId="3" fontId="34" fillId="0" borderId="6" xfId="0" applyNumberFormat="1" applyFont="1" applyFill="1" applyBorder="1" applyAlignment="1">
      <alignment horizontal="center" vertical="center"/>
    </xf>
    <xf numFmtId="3" fontId="34" fillId="0" borderId="10" xfId="0" applyNumberFormat="1" applyFont="1" applyFill="1" applyBorder="1" applyAlignment="1">
      <alignment horizontal="right" vertical="center"/>
    </xf>
    <xf numFmtId="37" fontId="34" fillId="0" borderId="3" xfId="0" applyNumberFormat="1" applyFont="1" applyFill="1" applyBorder="1" applyAlignment="1">
      <alignment horizontal="right" vertical="center"/>
    </xf>
    <xf numFmtId="37" fontId="34" fillId="0" borderId="2" xfId="0" applyNumberFormat="1" applyFont="1" applyFill="1" applyBorder="1" applyAlignment="1">
      <alignment horizontal="right" vertical="center"/>
    </xf>
    <xf numFmtId="37" fontId="34" fillId="0" borderId="8" xfId="0" applyNumberFormat="1" applyFont="1" applyFill="1" applyBorder="1" applyAlignment="1">
      <alignment horizontal="right" vertical="center"/>
    </xf>
    <xf numFmtId="37" fontId="34" fillId="0" borderId="8" xfId="0" applyNumberFormat="1" applyFont="1" applyFill="1" applyBorder="1"/>
    <xf numFmtId="37" fontId="34" fillId="0" borderId="8" xfId="0" applyNumberFormat="1" applyFont="1" applyFill="1" applyBorder="1" applyAlignment="1">
      <alignment horizontal="center" vertical="center"/>
    </xf>
    <xf numFmtId="37" fontId="34" fillId="0" borderId="6" xfId="0" applyNumberFormat="1" applyFont="1" applyFill="1" applyBorder="1"/>
    <xf numFmtId="37" fontId="34" fillId="0" borderId="5" xfId="0" applyNumberFormat="1" applyFont="1" applyFill="1" applyBorder="1" applyAlignment="1">
      <alignment horizontal="right" vertical="center"/>
    </xf>
    <xf numFmtId="0" fontId="34" fillId="0" borderId="0" xfId="0" applyFont="1" applyFill="1" applyBorder="1"/>
    <xf numFmtId="0" fontId="35" fillId="0" borderId="0" xfId="0" applyFont="1" applyFill="1" applyBorder="1" applyAlignment="1">
      <alignment horizontal="center" vertical="center"/>
    </xf>
    <xf numFmtId="0" fontId="32" fillId="0" borderId="6" xfId="0" applyNumberFormat="1" applyFont="1" applyFill="1" applyBorder="1"/>
    <xf numFmtId="0" fontId="32" fillId="0" borderId="6" xfId="0" applyFont="1" applyFill="1" applyBorder="1"/>
    <xf numFmtId="0" fontId="32" fillId="0" borderId="35" xfId="0" applyFont="1" applyFill="1" applyBorder="1"/>
    <xf numFmtId="0" fontId="32" fillId="0" borderId="6" xfId="0" applyFont="1" applyFill="1" applyBorder="1" applyAlignment="1">
      <alignment horizontal="center"/>
    </xf>
    <xf numFmtId="3" fontId="32" fillId="0" borderId="6" xfId="0" applyNumberFormat="1" applyFont="1" applyFill="1" applyBorder="1"/>
    <xf numFmtId="0" fontId="32" fillId="0" borderId="36" xfId="0" applyFont="1" applyFill="1" applyBorder="1"/>
    <xf numFmtId="0" fontId="33" fillId="0" borderId="6" xfId="0" applyFont="1" applyFill="1" applyBorder="1"/>
    <xf numFmtId="3" fontId="34" fillId="0" borderId="6" xfId="0" applyNumberFormat="1" applyFont="1" applyFill="1" applyBorder="1" applyAlignment="1">
      <alignment horizontal="right" vertical="center"/>
    </xf>
    <xf numFmtId="3" fontId="34" fillId="0" borderId="0" xfId="0" applyNumberFormat="1" applyFont="1" applyFill="1" applyBorder="1"/>
    <xf numFmtId="3" fontId="34" fillId="0" borderId="0" xfId="0" applyNumberFormat="1" applyFont="1" applyFill="1" applyBorder="1" applyAlignment="1">
      <alignment horizontal="right" vertical="center"/>
    </xf>
    <xf numFmtId="3" fontId="34" fillId="0" borderId="0" xfId="0" applyNumberFormat="1" applyFont="1" applyFill="1" applyBorder="1" applyAlignment="1">
      <alignment horizontal="center" vertical="center"/>
    </xf>
    <xf numFmtId="3" fontId="33" fillId="0" borderId="0" xfId="0" applyNumberFormat="1" applyFont="1" applyFill="1" applyBorder="1" applyAlignment="1">
      <alignment vertical="center"/>
    </xf>
    <xf numFmtId="0" fontId="34" fillId="0" borderId="7" xfId="0" applyFont="1" applyFill="1" applyBorder="1"/>
    <xf numFmtId="0" fontId="34" fillId="0" borderId="6" xfId="0" applyFont="1" applyFill="1" applyBorder="1"/>
    <xf numFmtId="0" fontId="34" fillId="0" borderId="6" xfId="0" applyFont="1" applyFill="1" applyBorder="1" applyAlignment="1">
      <alignment horizontal="center"/>
    </xf>
    <xf numFmtId="0" fontId="33" fillId="0" borderId="6" xfId="0" applyFont="1" applyFill="1" applyBorder="1" applyAlignment="1">
      <alignment horizontal="center" vertical="center"/>
    </xf>
    <xf numFmtId="3" fontId="34" fillId="0" borderId="13" xfId="0" applyNumberFormat="1" applyFont="1" applyFill="1" applyBorder="1" applyAlignment="1">
      <alignment horizontal="right" vertical="center"/>
    </xf>
    <xf numFmtId="37" fontId="34" fillId="0" borderId="33" xfId="0" applyNumberFormat="1" applyFont="1" applyFill="1" applyBorder="1" applyAlignment="1">
      <alignment horizontal="right" vertical="center"/>
    </xf>
    <xf numFmtId="37" fontId="34" fillId="0" borderId="0" xfId="0" applyNumberFormat="1" applyFont="1" applyFill="1" applyBorder="1" applyAlignment="1">
      <alignment horizontal="right" vertical="center"/>
    </xf>
    <xf numFmtId="37" fontId="34" fillId="0" borderId="6" xfId="0" applyNumberFormat="1" applyFont="1" applyFill="1" applyBorder="1" applyAlignment="1">
      <alignment horizontal="right" vertical="center"/>
    </xf>
    <xf numFmtId="37" fontId="34" fillId="0" borderId="6" xfId="0" applyNumberFormat="1" applyFont="1" applyFill="1" applyBorder="1" applyAlignment="1">
      <alignment horizontal="center" vertical="center"/>
    </xf>
    <xf numFmtId="37" fontId="34" fillId="0" borderId="13" xfId="0" applyNumberFormat="1" applyFont="1" applyFill="1" applyBorder="1" applyAlignment="1">
      <alignment horizontal="right" vertical="center"/>
    </xf>
    <xf numFmtId="3" fontId="21" fillId="0" borderId="0" xfId="0" applyNumberFormat="1" applyFont="1" applyFill="1" applyBorder="1"/>
    <xf numFmtId="3" fontId="29" fillId="0" borderId="2" xfId="0" applyNumberFormat="1" applyFont="1" applyFill="1" applyBorder="1"/>
    <xf numFmtId="37" fontId="0" fillId="0" borderId="5" xfId="0" applyNumberFormat="1" applyFont="1" applyFill="1" applyBorder="1" applyAlignment="1">
      <alignment horizontal="right" vertical="center"/>
    </xf>
    <xf numFmtId="167" fontId="8" fillId="0" borderId="6" xfId="0" applyNumberFormat="1" applyFont="1" applyFill="1" applyBorder="1" applyAlignment="1">
      <alignment horizontal="center" vertical="center"/>
    </xf>
    <xf numFmtId="167" fontId="8" fillId="0" borderId="0" xfId="0" applyNumberFormat="1" applyFont="1" applyFill="1" applyBorder="1" applyAlignment="1">
      <alignment horizontal="center" vertical="center"/>
    </xf>
    <xf numFmtId="167" fontId="8" fillId="0" borderId="2" xfId="0" applyNumberFormat="1" applyFont="1" applyFill="1" applyBorder="1" applyAlignment="1">
      <alignment horizontal="center" vertical="center"/>
    </xf>
    <xf numFmtId="164" fontId="20" fillId="0" borderId="8" xfId="1" applyNumberFormat="1" applyFont="1" applyFill="1" applyBorder="1"/>
    <xf numFmtId="37" fontId="0" fillId="0" borderId="8" xfId="0" applyNumberFormat="1" applyFill="1" applyBorder="1" applyAlignment="1">
      <alignment horizontal="right" vertical="center"/>
    </xf>
    <xf numFmtId="37" fontId="8" fillId="0" borderId="8" xfId="0" applyNumberFormat="1" applyFont="1" applyFill="1" applyBorder="1"/>
    <xf numFmtId="164" fontId="0" fillId="0" borderId="8" xfId="1" applyNumberFormat="1" applyFont="1" applyFill="1" applyBorder="1"/>
    <xf numFmtId="0" fontId="19" fillId="10" borderId="8" xfId="0" applyFont="1" applyFill="1" applyBorder="1" applyAlignment="1">
      <alignment horizontal="center" vertical="center"/>
    </xf>
    <xf numFmtId="0" fontId="20" fillId="10" borderId="39" xfId="0" applyNumberFormat="1" applyFont="1" applyFill="1" applyBorder="1"/>
    <xf numFmtId="0" fontId="20" fillId="10" borderId="8" xfId="0" applyFont="1" applyFill="1" applyBorder="1"/>
    <xf numFmtId="0" fontId="21" fillId="10" borderId="8" xfId="3" applyFont="1" applyFill="1" applyBorder="1"/>
    <xf numFmtId="3" fontId="20" fillId="10" borderId="8" xfId="0" applyNumberFormat="1" applyFont="1" applyFill="1" applyBorder="1"/>
    <xf numFmtId="0" fontId="20" fillId="10" borderId="11" xfId="0" applyFont="1" applyFill="1" applyBorder="1"/>
    <xf numFmtId="0" fontId="20" fillId="10" borderId="8" xfId="0" applyFont="1" applyFill="1" applyBorder="1" applyAlignment="1">
      <alignment horizontal="center"/>
    </xf>
    <xf numFmtId="0" fontId="20" fillId="10" borderId="12" xfId="0" applyFont="1" applyFill="1" applyBorder="1"/>
    <xf numFmtId="0" fontId="0" fillId="10" borderId="8" xfId="0" applyFill="1" applyBorder="1"/>
    <xf numFmtId="3" fontId="0" fillId="10" borderId="8" xfId="0" applyNumberFormat="1" applyFill="1" applyBorder="1" applyAlignment="1">
      <alignment horizontal="right" vertical="center"/>
    </xf>
    <xf numFmtId="3" fontId="0" fillId="10" borderId="8" xfId="0" applyNumberFormat="1" applyFill="1" applyBorder="1"/>
    <xf numFmtId="3" fontId="0" fillId="10" borderId="8" xfId="0" applyNumberFormat="1" applyFont="1" applyFill="1" applyBorder="1"/>
    <xf numFmtId="3" fontId="8" fillId="10" borderId="8" xfId="0" applyNumberFormat="1" applyFont="1" applyFill="1" applyBorder="1"/>
    <xf numFmtId="3" fontId="8" fillId="10" borderId="8" xfId="0" applyNumberFormat="1" applyFont="1" applyFill="1" applyBorder="1" applyAlignment="1">
      <alignment horizontal="right" vertical="center"/>
    </xf>
    <xf numFmtId="3" fontId="8" fillId="10" borderId="8" xfId="0" applyNumberFormat="1" applyFont="1" applyFill="1" applyBorder="1" applyAlignment="1">
      <alignment horizontal="center" vertical="center"/>
    </xf>
    <xf numFmtId="3" fontId="10" fillId="10" borderId="8" xfId="0" applyNumberFormat="1" applyFont="1" applyFill="1" applyBorder="1" applyAlignment="1">
      <alignment vertical="center"/>
    </xf>
    <xf numFmtId="3" fontId="23" fillId="10" borderId="8" xfId="0" applyNumberFormat="1" applyFont="1" applyFill="1" applyBorder="1"/>
    <xf numFmtId="3" fontId="0" fillId="10" borderId="12" xfId="0" applyNumberFormat="1" applyFill="1" applyBorder="1" applyAlignment="1">
      <alignment horizontal="right" vertical="center"/>
    </xf>
    <xf numFmtId="0" fontId="0" fillId="10" borderId="8" xfId="0" applyFont="1" applyFill="1" applyBorder="1"/>
    <xf numFmtId="0" fontId="8" fillId="10" borderId="8" xfId="3" applyFont="1" applyFill="1" applyBorder="1" applyAlignment="1">
      <alignment horizontal="center"/>
    </xf>
    <xf numFmtId="0" fontId="11" fillId="10" borderId="8" xfId="0" applyFont="1" applyFill="1" applyBorder="1" applyAlignment="1">
      <alignment horizontal="center" vertical="center"/>
    </xf>
    <xf numFmtId="3" fontId="0" fillId="10" borderId="8" xfId="0" applyNumberFormat="1" applyFill="1" applyBorder="1" applyAlignment="1"/>
    <xf numFmtId="3" fontId="0" fillId="10" borderId="8" xfId="0" applyNumberFormat="1" applyFont="1" applyFill="1" applyBorder="1" applyAlignment="1"/>
    <xf numFmtId="3" fontId="0" fillId="10" borderId="2" xfId="0" applyNumberFormat="1" applyFill="1" applyBorder="1" applyAlignment="1">
      <alignment horizontal="right"/>
    </xf>
    <xf numFmtId="3" fontId="0" fillId="10" borderId="8" xfId="0" applyNumberFormat="1" applyFont="1" applyFill="1" applyBorder="1" applyAlignment="1">
      <alignment horizontal="right" vertical="center"/>
    </xf>
    <xf numFmtId="3" fontId="0" fillId="10" borderId="8" xfId="0" applyNumberFormat="1" applyFont="1" applyFill="1" applyBorder="1" applyAlignment="1">
      <alignment horizontal="center" vertical="center"/>
    </xf>
    <xf numFmtId="37" fontId="8" fillId="10" borderId="8" xfId="0" applyNumberFormat="1" applyFont="1" applyFill="1" applyBorder="1" applyAlignment="1">
      <alignment horizontal="center" vertical="center"/>
    </xf>
    <xf numFmtId="37" fontId="0" fillId="10" borderId="8" xfId="0" applyNumberFormat="1" applyFont="1" applyFill="1" applyBorder="1" applyAlignment="1">
      <alignment horizontal="right" vertical="center"/>
    </xf>
    <xf numFmtId="37" fontId="0" fillId="10" borderId="8" xfId="0" applyNumberFormat="1" applyFill="1" applyBorder="1"/>
    <xf numFmtId="164" fontId="8" fillId="0" borderId="6" xfId="1" applyNumberFormat="1" applyFont="1" applyFill="1" applyBorder="1" applyAlignment="1">
      <alignment horizontal="right"/>
    </xf>
    <xf numFmtId="37" fontId="10" fillId="0" borderId="6" xfId="0" applyNumberFormat="1" applyFont="1" applyFill="1" applyBorder="1" applyAlignment="1">
      <alignment vertical="center"/>
    </xf>
    <xf numFmtId="0" fontId="23" fillId="0" borderId="6" xfId="0" applyFont="1" applyFill="1" applyBorder="1"/>
    <xf numFmtId="37" fontId="4" fillId="0" borderId="6" xfId="0" applyNumberFormat="1" applyFont="1" applyFill="1" applyBorder="1"/>
    <xf numFmtId="164" fontId="8" fillId="0" borderId="0" xfId="1" applyNumberFormat="1" applyFont="1" applyFill="1" applyBorder="1" applyAlignment="1">
      <alignment horizontal="right"/>
    </xf>
    <xf numFmtId="3" fontId="20" fillId="0" borderId="5" xfId="0" applyNumberFormat="1" applyFont="1" applyFill="1" applyBorder="1"/>
    <xf numFmtId="164" fontId="8" fillId="0" borderId="2" xfId="1" applyNumberFormat="1" applyFont="1" applyFill="1" applyBorder="1" applyAlignment="1">
      <alignment horizontal="right"/>
    </xf>
    <xf numFmtId="37" fontId="10" fillId="0" borderId="2" xfId="0" applyNumberFormat="1" applyFont="1" applyFill="1" applyBorder="1" applyAlignment="1">
      <alignment vertical="center"/>
    </xf>
    <xf numFmtId="0" fontId="23" fillId="0" borderId="2" xfId="0" applyFont="1" applyFill="1" applyBorder="1"/>
    <xf numFmtId="37" fontId="4" fillId="0" borderId="2" xfId="0" applyNumberFormat="1" applyFont="1" applyFill="1" applyBorder="1"/>
    <xf numFmtId="0" fontId="36" fillId="0" borderId="8" xfId="0" applyFont="1" applyFill="1" applyBorder="1" applyAlignment="1">
      <alignment horizontal="center" vertical="center"/>
    </xf>
    <xf numFmtId="0" fontId="21" fillId="0" borderId="8" xfId="0" applyFont="1" applyFill="1" applyBorder="1" applyAlignment="1">
      <alignment horizontal="left"/>
    </xf>
    <xf numFmtId="0" fontId="20" fillId="0" borderId="8" xfId="0" applyFont="1" applyFill="1" applyBorder="1" applyAlignment="1"/>
    <xf numFmtId="0" fontId="21" fillId="0" borderId="8" xfId="0" applyFont="1" applyFill="1" applyBorder="1" applyAlignment="1"/>
    <xf numFmtId="164" fontId="21" fillId="0" borderId="10" xfId="1" applyNumberFormat="1" applyFont="1" applyFill="1" applyBorder="1" applyAlignment="1"/>
    <xf numFmtId="164" fontId="21" fillId="0" borderId="8" xfId="1" applyNumberFormat="1" applyFont="1" applyFill="1" applyBorder="1" applyAlignment="1"/>
    <xf numFmtId="3" fontId="20" fillId="0" borderId="8" xfId="0" applyNumberFormat="1" applyFont="1" applyFill="1" applyBorder="1" applyAlignment="1"/>
    <xf numFmtId="0" fontId="20" fillId="0" borderId="12" xfId="0" applyFont="1" applyFill="1" applyBorder="1" applyAlignment="1">
      <alignment horizontal="right"/>
    </xf>
    <xf numFmtId="0" fontId="8" fillId="0" borderId="8" xfId="0" applyFont="1" applyFill="1" applyBorder="1" applyAlignment="1"/>
    <xf numFmtId="3" fontId="0" fillId="0" borderId="8" xfId="0" applyNumberFormat="1" applyFill="1" applyBorder="1" applyAlignment="1">
      <alignment horizontal="center" vertical="center"/>
    </xf>
    <xf numFmtId="0" fontId="0" fillId="0" borderId="2" xfId="0" applyFill="1" applyBorder="1" applyAlignment="1">
      <alignment horizontal="center" vertical="center"/>
    </xf>
    <xf numFmtId="0" fontId="0" fillId="0" borderId="2" xfId="0" applyFill="1" applyBorder="1" applyAlignment="1">
      <alignment horizontal="center"/>
    </xf>
    <xf numFmtId="0" fontId="8" fillId="0" borderId="2" xfId="0" applyFont="1" applyFill="1" applyBorder="1" applyAlignment="1">
      <alignment horizontal="center" vertical="center"/>
    </xf>
    <xf numFmtId="164" fontId="8" fillId="0" borderId="2" xfId="0" applyNumberFormat="1" applyFont="1" applyFill="1" applyBorder="1" applyAlignment="1">
      <alignment horizontal="center" vertical="center"/>
    </xf>
    <xf numFmtId="3" fontId="0" fillId="0" borderId="2" xfId="0" applyNumberFormat="1" applyFill="1" applyBorder="1" applyAlignment="1">
      <alignment horizontal="center" vertical="center"/>
    </xf>
    <xf numFmtId="1" fontId="0" fillId="0" borderId="2" xfId="0" applyNumberFormat="1" applyFill="1" applyBorder="1" applyAlignment="1">
      <alignment horizontal="right" vertical="center"/>
    </xf>
    <xf numFmtId="3" fontId="7" fillId="0" borderId="2" xfId="0" applyNumberFormat="1" applyFont="1" applyFill="1" applyBorder="1" applyAlignment="1">
      <alignment horizontal="right" vertical="center"/>
    </xf>
    <xf numFmtId="1" fontId="8" fillId="0" borderId="2" xfId="0" applyNumberFormat="1" applyFont="1" applyFill="1" applyBorder="1" applyAlignment="1">
      <alignment horizontal="right" vertical="center"/>
    </xf>
    <xf numFmtId="0" fontId="0" fillId="0" borderId="4" xfId="0" applyFill="1" applyBorder="1" applyAlignment="1">
      <alignment horizontal="center" vertical="center"/>
    </xf>
    <xf numFmtId="0" fontId="8" fillId="0" borderId="40" xfId="0" applyFont="1" applyFill="1" applyBorder="1" applyAlignment="1">
      <alignment horizontal="left"/>
    </xf>
    <xf numFmtId="0" fontId="8" fillId="0" borderId="8" xfId="0" applyFont="1" applyFill="1" applyBorder="1" applyAlignment="1">
      <alignment horizontal="right"/>
    </xf>
    <xf numFmtId="0" fontId="0" fillId="0" borderId="8" xfId="0" applyFill="1" applyBorder="1" applyAlignment="1">
      <alignment horizontal="center"/>
    </xf>
    <xf numFmtId="0" fontId="7" fillId="0" borderId="8" xfId="0" applyFont="1" applyFill="1" applyBorder="1" applyAlignment="1">
      <alignment horizontal="left"/>
    </xf>
    <xf numFmtId="0" fontId="0" fillId="0" borderId="8" xfId="0" applyFill="1" applyBorder="1" applyAlignment="1">
      <alignment horizontal="center" vertical="center"/>
    </xf>
    <xf numFmtId="0" fontId="0" fillId="0" borderId="6" xfId="0" applyFill="1" applyBorder="1" applyAlignment="1">
      <alignment horizontal="right" vertical="center"/>
    </xf>
    <xf numFmtId="164" fontId="0" fillId="0" borderId="8" xfId="1" applyNumberFormat="1" applyFont="1" applyFill="1" applyBorder="1" applyAlignment="1">
      <alignment horizontal="right" vertical="center"/>
    </xf>
    <xf numFmtId="164" fontId="8" fillId="0" borderId="8" xfId="1" applyNumberFormat="1" applyFont="1" applyFill="1" applyBorder="1" applyAlignment="1">
      <alignment horizontal="right" vertical="center"/>
    </xf>
    <xf numFmtId="166" fontId="8" fillId="0" borderId="8" xfId="0" applyNumberFormat="1" applyFont="1" applyFill="1" applyBorder="1" applyAlignment="1">
      <alignment horizontal="right" vertical="center"/>
    </xf>
    <xf numFmtId="1" fontId="8" fillId="0" borderId="8" xfId="0" applyNumberFormat="1" applyFont="1" applyFill="1" applyBorder="1" applyAlignment="1">
      <alignment horizontal="center" vertical="center"/>
    </xf>
    <xf numFmtId="1" fontId="8" fillId="0" borderId="8" xfId="0" applyNumberFormat="1" applyFont="1" applyFill="1" applyBorder="1" applyAlignment="1">
      <alignment horizontal="right" vertical="center"/>
    </xf>
    <xf numFmtId="37" fontId="8" fillId="0" borderId="8" xfId="1" applyNumberFormat="1" applyFont="1" applyFill="1" applyBorder="1" applyAlignment="1">
      <alignment horizontal="right" vertical="center"/>
    </xf>
    <xf numFmtId="37" fontId="7" fillId="0" borderId="8" xfId="0" applyNumberFormat="1" applyFont="1" applyFill="1" applyBorder="1" applyAlignment="1">
      <alignment horizontal="right" vertical="center"/>
    </xf>
    <xf numFmtId="37" fontId="8" fillId="0" borderId="8" xfId="0" applyNumberFormat="1" applyFont="1" applyFill="1" applyBorder="1" applyAlignment="1">
      <alignment horizontal="right" vertical="center"/>
    </xf>
    <xf numFmtId="37" fontId="8" fillId="0" borderId="33" xfId="0" applyNumberFormat="1" applyFont="1" applyFill="1" applyBorder="1" applyAlignment="1">
      <alignment horizontal="center" vertical="center"/>
    </xf>
    <xf numFmtId="37" fontId="8" fillId="0" borderId="10" xfId="0" applyNumberFormat="1" applyFont="1" applyFill="1" applyBorder="1" applyAlignment="1">
      <alignment horizontal="center" vertical="center"/>
    </xf>
    <xf numFmtId="0" fontId="0" fillId="0" borderId="0" xfId="0" applyAlignment="1"/>
    <xf numFmtId="0" fontId="36" fillId="0" borderId="0" xfId="0" applyFont="1" applyFill="1" applyBorder="1" applyAlignment="1">
      <alignment horizontal="center" vertical="center"/>
    </xf>
    <xf numFmtId="0" fontId="8" fillId="0" borderId="8" xfId="0" applyFont="1" applyFill="1" applyBorder="1" applyAlignment="1">
      <alignment horizontal="left"/>
    </xf>
    <xf numFmtId="166" fontId="8" fillId="0" borderId="6" xfId="0" applyNumberFormat="1" applyFont="1" applyFill="1" applyBorder="1" applyAlignment="1">
      <alignment horizontal="right" vertical="center"/>
    </xf>
    <xf numFmtId="0" fontId="36" fillId="0" borderId="8" xfId="0" applyFont="1" applyFill="1" applyBorder="1" applyAlignment="1">
      <alignment horizontal="center" wrapText="1"/>
    </xf>
    <xf numFmtId="164" fontId="20" fillId="0" borderId="10" xfId="1" applyNumberFormat="1" applyFont="1" applyFill="1" applyBorder="1" applyAlignment="1"/>
    <xf numFmtId="164" fontId="8" fillId="0" borderId="8" xfId="1" applyNumberFormat="1" applyFont="1" applyFill="1" applyBorder="1" applyAlignment="1">
      <alignment horizontal="center" vertical="center"/>
    </xf>
    <xf numFmtId="164" fontId="0" fillId="0" borderId="8" xfId="0" applyNumberFormat="1" applyFill="1" applyBorder="1" applyAlignment="1">
      <alignment horizontal="center" vertical="center"/>
    </xf>
    <xf numFmtId="0" fontId="8" fillId="0" borderId="8" xfId="0" applyFont="1" applyFill="1" applyBorder="1" applyAlignment="1">
      <alignment horizontal="center" vertical="center"/>
    </xf>
    <xf numFmtId="164" fontId="8" fillId="0" borderId="8" xfId="0" applyNumberFormat="1" applyFont="1" applyFill="1" applyBorder="1" applyAlignment="1">
      <alignment horizontal="center" vertical="center"/>
    </xf>
    <xf numFmtId="3" fontId="7" fillId="0" borderId="8" xfId="0" applyNumberFormat="1" applyFont="1" applyFill="1" applyBorder="1" applyAlignment="1">
      <alignment horizontal="right" vertical="center"/>
    </xf>
    <xf numFmtId="0" fontId="0" fillId="0" borderId="8" xfId="0" applyFont="1" applyFill="1" applyBorder="1" applyAlignment="1">
      <alignment horizontal="right"/>
    </xf>
    <xf numFmtId="0" fontId="7" fillId="0" borderId="8" xfId="0" applyFont="1" applyFill="1" applyBorder="1" applyAlignment="1"/>
    <xf numFmtId="37" fontId="8" fillId="0" borderId="8" xfId="1" applyNumberFormat="1" applyFont="1" applyFill="1" applyBorder="1" applyAlignment="1">
      <alignment horizontal="center" vertical="center"/>
    </xf>
    <xf numFmtId="37" fontId="0" fillId="0" borderId="8" xfId="0" applyNumberFormat="1" applyFill="1" applyBorder="1" applyAlignment="1">
      <alignment horizontal="center" vertical="center"/>
    </xf>
    <xf numFmtId="37" fontId="0" fillId="0" borderId="11" xfId="0" applyNumberFormat="1" applyFill="1" applyBorder="1" applyAlignment="1">
      <alignment horizontal="right" vertical="center"/>
    </xf>
    <xf numFmtId="37" fontId="0" fillId="0" borderId="10" xfId="0" applyNumberFormat="1" applyFill="1" applyBorder="1" applyAlignment="1">
      <alignment horizontal="right" vertical="center"/>
    </xf>
    <xf numFmtId="0" fontId="0" fillId="0" borderId="0" xfId="0" applyBorder="1"/>
    <xf numFmtId="0" fontId="20" fillId="0" borderId="32" xfId="0" applyFont="1" applyFill="1" applyBorder="1" applyAlignment="1">
      <alignment horizontal="left"/>
    </xf>
    <xf numFmtId="3" fontId="20" fillId="0" borderId="13" xfId="0" applyNumberFormat="1" applyFont="1" applyFill="1" applyBorder="1"/>
    <xf numFmtId="3" fontId="22" fillId="0" borderId="0" xfId="0" applyNumberFormat="1" applyFont="1" applyFill="1" applyBorder="1" applyAlignment="1">
      <alignment horizontal="right"/>
    </xf>
    <xf numFmtId="37" fontId="10" fillId="0" borderId="0" xfId="0" applyNumberFormat="1" applyFont="1" applyFill="1" applyBorder="1" applyAlignment="1">
      <alignment horizontal="right" vertical="center"/>
    </xf>
    <xf numFmtId="0" fontId="0" fillId="0" borderId="0" xfId="0" applyFill="1" applyBorder="1" applyAlignment="1">
      <alignment horizontal="right"/>
    </xf>
    <xf numFmtId="0" fontId="23" fillId="0" borderId="0" xfId="0" applyFont="1" applyFill="1" applyBorder="1" applyAlignment="1">
      <alignment horizontal="right"/>
    </xf>
    <xf numFmtId="3" fontId="11" fillId="0" borderId="0" xfId="0" applyNumberFormat="1" applyFont="1" applyFill="1" applyBorder="1" applyAlignment="1">
      <alignment horizontal="right" vertical="center"/>
    </xf>
    <xf numFmtId="0" fontId="21" fillId="0" borderId="6" xfId="0" applyFont="1" applyFill="1" applyBorder="1" applyAlignment="1">
      <alignment horizontal="left"/>
    </xf>
    <xf numFmtId="0" fontId="21" fillId="0" borderId="6" xfId="0" applyFont="1" applyFill="1" applyBorder="1" applyAlignment="1">
      <alignment horizontal="right"/>
    </xf>
    <xf numFmtId="37" fontId="21" fillId="0" borderId="37" xfId="0" applyNumberFormat="1" applyFont="1" applyFill="1" applyBorder="1" applyAlignment="1">
      <alignment horizontal="right"/>
    </xf>
    <xf numFmtId="0" fontId="21" fillId="0" borderId="6" xfId="0" applyFont="1" applyFill="1" applyBorder="1"/>
    <xf numFmtId="0" fontId="21" fillId="0" borderId="6" xfId="0" applyFont="1" applyFill="1" applyBorder="1" applyAlignment="1">
      <alignment horizontal="center"/>
    </xf>
    <xf numFmtId="37" fontId="21" fillId="0" borderId="6" xfId="0" applyNumberFormat="1" applyFont="1" applyFill="1" applyBorder="1" applyAlignment="1"/>
    <xf numFmtId="37" fontId="21" fillId="0" borderId="6" xfId="0" applyNumberFormat="1" applyFont="1" applyFill="1" applyBorder="1" applyAlignment="1">
      <alignment horizontal="right"/>
    </xf>
    <xf numFmtId="37" fontId="21" fillId="0" borderId="36" xfId="0" applyNumberFormat="1" applyFont="1" applyFill="1" applyBorder="1" applyAlignment="1">
      <alignment horizontal="right"/>
    </xf>
    <xf numFmtId="0" fontId="8" fillId="0" borderId="6" xfId="0" applyFont="1" applyFill="1" applyBorder="1" applyAlignment="1">
      <alignment horizontal="left"/>
    </xf>
    <xf numFmtId="0" fontId="8" fillId="0" borderId="6" xfId="0" applyFont="1" applyFill="1" applyBorder="1" applyAlignment="1">
      <alignment horizontal="center" vertical="center"/>
    </xf>
    <xf numFmtId="0" fontId="0" fillId="0" borderId="6" xfId="0" applyFill="1" applyBorder="1" applyAlignment="1">
      <alignment horizontal="center" vertical="center"/>
    </xf>
    <xf numFmtId="37" fontId="8" fillId="0" borderId="36" xfId="0" applyNumberFormat="1" applyFont="1" applyFill="1" applyBorder="1" applyAlignment="1">
      <alignment horizontal="center" vertical="center"/>
    </xf>
    <xf numFmtId="0" fontId="8" fillId="0" borderId="6" xfId="0" applyFont="1" applyFill="1" applyBorder="1" applyAlignment="1">
      <alignment horizontal="right"/>
    </xf>
    <xf numFmtId="168" fontId="8" fillId="0" borderId="6" xfId="0" applyNumberFormat="1" applyFont="1" applyFill="1" applyBorder="1" applyAlignment="1">
      <alignment horizontal="right"/>
    </xf>
    <xf numFmtId="0" fontId="8" fillId="0" borderId="6" xfId="0" applyNumberFormat="1" applyFont="1" applyFill="1" applyBorder="1" applyAlignment="1">
      <alignment horizontal="center"/>
    </xf>
    <xf numFmtId="1" fontId="8" fillId="0" borderId="6" xfId="0" applyNumberFormat="1" applyFont="1" applyFill="1" applyBorder="1" applyAlignment="1">
      <alignment horizontal="right" vertical="center"/>
    </xf>
    <xf numFmtId="37" fontId="8" fillId="0" borderId="36" xfId="0" applyNumberFormat="1" applyFont="1" applyFill="1" applyBorder="1" applyAlignment="1">
      <alignment horizontal="right" vertical="center"/>
    </xf>
    <xf numFmtId="37" fontId="0" fillId="0" borderId="0" xfId="0" applyNumberFormat="1" applyFill="1" applyBorder="1" applyAlignment="1">
      <alignment horizontal="center" vertical="center"/>
    </xf>
    <xf numFmtId="37" fontId="0" fillId="0" borderId="6" xfId="0" applyNumberFormat="1" applyFill="1" applyBorder="1" applyAlignment="1">
      <alignment horizontal="center" vertical="center"/>
    </xf>
    <xf numFmtId="37" fontId="8" fillId="0" borderId="37" xfId="0" applyNumberFormat="1" applyFont="1" applyFill="1" applyBorder="1" applyAlignment="1">
      <alignment horizontal="center" vertical="center"/>
    </xf>
    <xf numFmtId="0" fontId="21" fillId="0" borderId="0" xfId="0" applyFont="1" applyFill="1" applyBorder="1" applyAlignment="1">
      <alignment horizontal="left"/>
    </xf>
    <xf numFmtId="0" fontId="21" fillId="0" borderId="0" xfId="0" applyFont="1" applyFill="1" applyBorder="1" applyAlignment="1">
      <alignment horizontal="right"/>
    </xf>
    <xf numFmtId="37" fontId="21" fillId="0" borderId="13" xfId="0" applyNumberFormat="1" applyFont="1" applyFill="1" applyBorder="1" applyAlignment="1">
      <alignment horizontal="right"/>
    </xf>
    <xf numFmtId="0" fontId="21" fillId="0" borderId="0" xfId="0" applyFont="1" applyFill="1" applyBorder="1"/>
    <xf numFmtId="0" fontId="21" fillId="0" borderId="0" xfId="0" applyFont="1" applyFill="1" applyBorder="1" applyAlignment="1">
      <alignment horizontal="center"/>
    </xf>
    <xf numFmtId="37" fontId="21" fillId="0" borderId="0" xfId="0" applyNumberFormat="1" applyFont="1" applyFill="1" applyBorder="1" applyAlignment="1"/>
    <xf numFmtId="37" fontId="21" fillId="0" borderId="0" xfId="0" applyNumberFormat="1" applyFont="1" applyFill="1" applyBorder="1" applyAlignment="1">
      <alignment horizontal="right"/>
    </xf>
    <xf numFmtId="37" fontId="21" fillId="0" borderId="34" xfId="0" applyNumberFormat="1" applyFont="1" applyFill="1" applyBorder="1" applyAlignment="1">
      <alignment horizontal="right"/>
    </xf>
    <xf numFmtId="0" fontId="8" fillId="0" borderId="0" xfId="0" applyFont="1" applyFill="1" applyBorder="1" applyAlignment="1">
      <alignment horizontal="left"/>
    </xf>
    <xf numFmtId="0" fontId="0" fillId="0" borderId="0" xfId="0" applyFill="1" applyBorder="1" applyAlignment="1">
      <alignment horizontal="center" vertical="center"/>
    </xf>
    <xf numFmtId="37" fontId="8" fillId="0" borderId="34" xfId="0" applyNumberFormat="1" applyFont="1" applyFill="1" applyBorder="1" applyAlignment="1">
      <alignment horizontal="center" vertical="center"/>
    </xf>
    <xf numFmtId="0" fontId="8" fillId="0" borderId="0" xfId="0" applyFont="1" applyFill="1" applyBorder="1" applyAlignment="1">
      <alignment horizontal="right"/>
    </xf>
    <xf numFmtId="168" fontId="8" fillId="0" borderId="0" xfId="0" applyNumberFormat="1" applyFont="1" applyFill="1" applyBorder="1" applyAlignment="1">
      <alignment horizontal="right"/>
    </xf>
    <xf numFmtId="0" fontId="8" fillId="0" borderId="0" xfId="0" applyNumberFormat="1" applyFont="1" applyFill="1" applyBorder="1" applyAlignment="1">
      <alignment horizontal="center"/>
    </xf>
    <xf numFmtId="166" fontId="8" fillId="0" borderId="0" xfId="0" applyNumberFormat="1" applyFont="1" applyFill="1" applyBorder="1" applyAlignment="1">
      <alignment horizontal="right" vertical="center"/>
    </xf>
    <xf numFmtId="1" fontId="8" fillId="0" borderId="0" xfId="0" applyNumberFormat="1" applyFont="1" applyFill="1" applyBorder="1" applyAlignment="1">
      <alignment horizontal="right" vertical="center"/>
    </xf>
    <xf numFmtId="37" fontId="8" fillId="0" borderId="34" xfId="0" applyNumberFormat="1" applyFont="1" applyFill="1" applyBorder="1" applyAlignment="1">
      <alignment horizontal="right" vertical="center"/>
    </xf>
    <xf numFmtId="37" fontId="8" fillId="0" borderId="13" xfId="0" applyNumberFormat="1" applyFont="1" applyFill="1" applyBorder="1" applyAlignment="1">
      <alignment horizontal="center" vertical="center"/>
    </xf>
    <xf numFmtId="0" fontId="21" fillId="0" borderId="2" xfId="0" applyFont="1" applyFill="1" applyBorder="1" applyAlignment="1">
      <alignment horizontal="left"/>
    </xf>
    <xf numFmtId="0" fontId="21" fillId="0" borderId="2" xfId="0" applyFont="1" applyFill="1" applyBorder="1"/>
    <xf numFmtId="164" fontId="21" fillId="0" borderId="5" xfId="1" applyNumberFormat="1" applyFont="1" applyFill="1" applyBorder="1"/>
    <xf numFmtId="0" fontId="21" fillId="0" borderId="2" xfId="0" applyNumberFormat="1" applyFont="1" applyFill="1" applyBorder="1"/>
    <xf numFmtId="0" fontId="21" fillId="0" borderId="2" xfId="0" applyFont="1" applyFill="1" applyBorder="1" applyAlignment="1">
      <alignment horizontal="center"/>
    </xf>
    <xf numFmtId="37" fontId="21" fillId="0" borderId="2" xfId="0" applyNumberFormat="1" applyFont="1" applyFill="1" applyBorder="1" applyAlignment="1">
      <alignment horizontal="center"/>
    </xf>
    <xf numFmtId="169" fontId="21" fillId="0" borderId="2" xfId="0" applyNumberFormat="1" applyFont="1" applyFill="1" applyBorder="1" applyAlignment="1">
      <alignment horizontal="center"/>
    </xf>
    <xf numFmtId="37" fontId="21" fillId="0" borderId="2" xfId="0" applyNumberFormat="1" applyFont="1" applyFill="1" applyBorder="1" applyAlignment="1"/>
    <xf numFmtId="0" fontId="21" fillId="0" borderId="4" xfId="0" applyFont="1" applyFill="1" applyBorder="1" applyAlignment="1">
      <alignment horizontal="right"/>
    </xf>
    <xf numFmtId="0" fontId="8" fillId="0" borderId="44" xfId="0" applyFont="1" applyFill="1" applyBorder="1"/>
    <xf numFmtId="37" fontId="8" fillId="0" borderId="2" xfId="1" applyNumberFormat="1" applyFont="1" applyFill="1" applyBorder="1" applyAlignment="1">
      <alignment horizontal="center" vertical="center"/>
    </xf>
    <xf numFmtId="0" fontId="8" fillId="0" borderId="44" xfId="0" applyFont="1" applyFill="1" applyBorder="1" applyAlignment="1">
      <alignment horizontal="left"/>
    </xf>
    <xf numFmtId="0" fontId="8" fillId="0" borderId="2" xfId="0" applyFont="1" applyFill="1" applyBorder="1" applyAlignment="1">
      <alignment horizontal="right"/>
    </xf>
    <xf numFmtId="0" fontId="8" fillId="0" borderId="2" xfId="0" applyFont="1" applyFill="1" applyBorder="1" applyAlignment="1">
      <alignment horizontal="center"/>
    </xf>
    <xf numFmtId="0" fontId="7" fillId="0" borderId="2" xfId="0" applyFont="1" applyFill="1" applyBorder="1" applyAlignment="1">
      <alignment horizontal="left"/>
    </xf>
    <xf numFmtId="37" fontId="8" fillId="0" borderId="2" xfId="1" applyNumberFormat="1" applyFont="1" applyFill="1" applyBorder="1" applyAlignment="1">
      <alignment horizontal="right" vertical="center"/>
    </xf>
    <xf numFmtId="0" fontId="0" fillId="0" borderId="2" xfId="0" applyFill="1" applyBorder="1" applyAlignment="1">
      <alignment horizontal="right"/>
    </xf>
    <xf numFmtId="166" fontId="8" fillId="0" borderId="2" xfId="0" applyNumberFormat="1" applyFont="1" applyFill="1" applyBorder="1" applyAlignment="1">
      <alignment horizontal="right" vertical="center"/>
    </xf>
    <xf numFmtId="37" fontId="8" fillId="0" borderId="0" xfId="1" applyNumberFormat="1" applyFont="1" applyFill="1" applyBorder="1" applyAlignment="1">
      <alignment horizontal="right" vertical="center"/>
    </xf>
    <xf numFmtId="37" fontId="8" fillId="0" borderId="4" xfId="0" applyNumberFormat="1" applyFont="1" applyFill="1" applyBorder="1" applyAlignment="1">
      <alignment horizontal="right" vertical="center"/>
    </xf>
    <xf numFmtId="37" fontId="8" fillId="0" borderId="5" xfId="0" applyNumberFormat="1" applyFont="1" applyFill="1" applyBorder="1" applyAlignment="1">
      <alignment horizontal="center" vertical="center"/>
    </xf>
    <xf numFmtId="0" fontId="0" fillId="0" borderId="8" xfId="0" applyBorder="1"/>
    <xf numFmtId="0" fontId="37" fillId="0" borderId="14" xfId="0" applyFont="1" applyFill="1" applyBorder="1" applyAlignment="1">
      <alignment horizontal="center" vertical="center"/>
    </xf>
    <xf numFmtId="0" fontId="20" fillId="0" borderId="15" xfId="0" applyNumberFormat="1" applyFont="1" applyFill="1" applyBorder="1"/>
    <xf numFmtId="0" fontId="20" fillId="0" borderId="14" xfId="0" applyFont="1" applyFill="1" applyBorder="1"/>
    <xf numFmtId="0" fontId="21" fillId="0" borderId="14" xfId="3" applyFont="1" applyFill="1" applyBorder="1"/>
    <xf numFmtId="3" fontId="20" fillId="0" borderId="14" xfId="0" applyNumberFormat="1" applyFont="1" applyFill="1" applyBorder="1"/>
    <xf numFmtId="0" fontId="20" fillId="0" borderId="19" xfId="0" applyFont="1" applyFill="1" applyBorder="1"/>
    <xf numFmtId="0" fontId="20" fillId="0" borderId="14" xfId="0" applyFont="1" applyFill="1" applyBorder="1" applyAlignment="1">
      <alignment horizontal="center"/>
    </xf>
    <xf numFmtId="0" fontId="20" fillId="0" borderId="45" xfId="0" applyFont="1" applyFill="1" applyBorder="1"/>
    <xf numFmtId="0" fontId="0" fillId="0" borderId="46" xfId="0" applyFill="1" applyBorder="1"/>
    <xf numFmtId="0" fontId="0" fillId="0" borderId="14" xfId="0" applyFill="1" applyBorder="1" applyAlignment="1">
      <alignment horizontal="right" vertical="center"/>
    </xf>
    <xf numFmtId="0" fontId="0" fillId="0" borderId="14" xfId="0" applyFill="1" applyBorder="1"/>
    <xf numFmtId="0" fontId="0" fillId="0" borderId="14" xfId="0" applyFont="1" applyFill="1" applyBorder="1"/>
    <xf numFmtId="0" fontId="8" fillId="0" borderId="14" xfId="0" applyFont="1" applyFill="1" applyBorder="1"/>
    <xf numFmtId="0" fontId="8" fillId="0" borderId="14" xfId="0" applyFont="1" applyFill="1" applyBorder="1" applyAlignment="1">
      <alignment horizontal="right" vertical="center"/>
    </xf>
    <xf numFmtId="0" fontId="0" fillId="0" borderId="14" xfId="0" applyFill="1" applyBorder="1" applyAlignment="1">
      <alignment horizontal="right"/>
    </xf>
    <xf numFmtId="0" fontId="22" fillId="0" borderId="14" xfId="0" applyFont="1" applyFill="1" applyBorder="1"/>
    <xf numFmtId="37" fontId="10" fillId="0" borderId="14" xfId="0" applyNumberFormat="1" applyFont="1" applyFill="1" applyBorder="1" applyAlignment="1">
      <alignment vertical="center"/>
    </xf>
    <xf numFmtId="0" fontId="0" fillId="0" borderId="26" xfId="0" applyFill="1" applyBorder="1"/>
    <xf numFmtId="0" fontId="23" fillId="0" borderId="14" xfId="0" applyFont="1" applyFill="1" applyBorder="1"/>
    <xf numFmtId="0" fontId="0" fillId="0" borderId="45" xfId="0" applyFill="1" applyBorder="1"/>
    <xf numFmtId="0" fontId="8" fillId="0" borderId="14" xfId="3" applyFont="1" applyFill="1" applyBorder="1" applyAlignment="1">
      <alignment horizontal="center"/>
    </xf>
    <xf numFmtId="0" fontId="11" fillId="0" borderId="14" xfId="0" applyFont="1" applyFill="1" applyBorder="1" applyAlignment="1">
      <alignment horizontal="center" vertical="center"/>
    </xf>
    <xf numFmtId="3" fontId="0" fillId="0" borderId="14" xfId="0" applyNumberFormat="1" applyFill="1" applyBorder="1"/>
    <xf numFmtId="0" fontId="0" fillId="0" borderId="14" xfId="0" applyFont="1" applyFill="1" applyBorder="1" applyAlignment="1"/>
    <xf numFmtId="3" fontId="0" fillId="0" borderId="14" xfId="0" applyNumberFormat="1" applyFill="1" applyBorder="1" applyAlignment="1">
      <alignment horizontal="right"/>
    </xf>
    <xf numFmtId="3" fontId="0" fillId="0" borderId="14" xfId="0" applyNumberFormat="1" applyFill="1" applyBorder="1" applyAlignment="1">
      <alignment horizontal="right" vertical="center"/>
    </xf>
    <xf numFmtId="3" fontId="29" fillId="0" borderId="14" xfId="0" applyNumberFormat="1" applyFont="1" applyFill="1" applyBorder="1"/>
    <xf numFmtId="3" fontId="8" fillId="0" borderId="14" xfId="0" applyNumberFormat="1" applyFont="1" applyFill="1" applyBorder="1"/>
    <xf numFmtId="3" fontId="8" fillId="0" borderId="14" xfId="0" applyNumberFormat="1" applyFont="1" applyFill="1" applyBorder="1" applyAlignment="1">
      <alignment horizontal="right" vertical="center"/>
    </xf>
    <xf numFmtId="3" fontId="0" fillId="0" borderId="14" xfId="0" applyNumberFormat="1" applyFont="1" applyFill="1" applyBorder="1" applyAlignment="1">
      <alignment horizontal="right" vertical="center"/>
    </xf>
    <xf numFmtId="3" fontId="0" fillId="0" borderId="14" xfId="0" applyNumberFormat="1" applyFont="1" applyFill="1" applyBorder="1"/>
    <xf numFmtId="3" fontId="0" fillId="0" borderId="26" xfId="0" applyNumberFormat="1" applyFont="1" applyFill="1" applyBorder="1"/>
    <xf numFmtId="3" fontId="11" fillId="0" borderId="14" xfId="0" applyNumberFormat="1" applyFont="1" applyFill="1" applyBorder="1" applyAlignment="1">
      <alignment vertical="center"/>
    </xf>
    <xf numFmtId="3" fontId="8" fillId="0" borderId="14" xfId="0" applyNumberFormat="1" applyFont="1" applyFill="1" applyBorder="1" applyAlignment="1">
      <alignment horizontal="center" vertical="center"/>
    </xf>
    <xf numFmtId="37" fontId="4" fillId="0" borderId="19" xfId="0" applyNumberFormat="1" applyFont="1" applyFill="1" applyBorder="1"/>
    <xf numFmtId="37" fontId="0" fillId="0" borderId="14" xfId="0" applyNumberFormat="1" applyFont="1" applyFill="1" applyBorder="1" applyAlignment="1">
      <alignment horizontal="right" vertical="center"/>
    </xf>
    <xf numFmtId="37" fontId="0" fillId="0" borderId="14" xfId="0" applyNumberFormat="1" applyFill="1" applyBorder="1" applyAlignment="1">
      <alignment horizontal="right" vertical="center"/>
    </xf>
    <xf numFmtId="37" fontId="4" fillId="0" borderId="14" xfId="0" applyNumberFormat="1" applyFont="1" applyFill="1" applyBorder="1" applyAlignment="1">
      <alignment horizontal="right" vertical="center"/>
    </xf>
    <xf numFmtId="37" fontId="4" fillId="0" borderId="14" xfId="0" applyNumberFormat="1" applyFont="1" applyFill="1" applyBorder="1"/>
    <xf numFmtId="37" fontId="4" fillId="0" borderId="26" xfId="0" applyNumberFormat="1" applyFont="1" applyFill="1" applyBorder="1"/>
    <xf numFmtId="37" fontId="0" fillId="0" borderId="47" xfId="0" applyNumberFormat="1" applyFill="1" applyBorder="1" applyAlignment="1">
      <alignment horizontal="right" vertical="center"/>
    </xf>
    <xf numFmtId="0" fontId="38" fillId="0" borderId="48" xfId="0" applyFont="1" applyFill="1" applyBorder="1" applyAlignment="1">
      <alignment horizontal="center"/>
    </xf>
    <xf numFmtId="0" fontId="39" fillId="0" borderId="49" xfId="0" applyFont="1" applyFill="1" applyBorder="1"/>
    <xf numFmtId="0" fontId="39" fillId="0" borderId="48" xfId="0" applyFont="1" applyFill="1" applyBorder="1"/>
    <xf numFmtId="0" fontId="9" fillId="0" borderId="48" xfId="3" applyFont="1" applyFill="1" applyBorder="1"/>
    <xf numFmtId="0" fontId="39" fillId="0" borderId="50" xfId="0" applyFont="1" applyFill="1" applyBorder="1"/>
    <xf numFmtId="0" fontId="39" fillId="0" borderId="48" xfId="0" applyFont="1" applyFill="1" applyBorder="1" applyAlignment="1">
      <alignment horizontal="center"/>
    </xf>
    <xf numFmtId="3" fontId="39" fillId="0" borderId="51" xfId="0" applyNumberFormat="1" applyFont="1" applyFill="1" applyBorder="1"/>
    <xf numFmtId="0" fontId="39" fillId="0" borderId="52" xfId="0" applyFont="1" applyFill="1" applyBorder="1"/>
    <xf numFmtId="3" fontId="39" fillId="0" borderId="48" xfId="0" applyNumberFormat="1" applyFont="1" applyFill="1" applyBorder="1" applyAlignment="1">
      <alignment horizontal="right" vertical="center"/>
    </xf>
    <xf numFmtId="3" fontId="39" fillId="0" borderId="48" xfId="0" applyNumberFormat="1" applyFont="1" applyFill="1" applyBorder="1"/>
    <xf numFmtId="3" fontId="39" fillId="0" borderId="51" xfId="0" applyNumberFormat="1" applyFont="1" applyFill="1" applyBorder="1" applyAlignment="1">
      <alignment horizontal="right" vertical="center"/>
    </xf>
    <xf numFmtId="3" fontId="39" fillId="0" borderId="53" xfId="0" applyNumberFormat="1" applyFont="1" applyFill="1" applyBorder="1" applyAlignment="1">
      <alignment horizontal="right" vertical="center"/>
    </xf>
    <xf numFmtId="3" fontId="9" fillId="0" borderId="48" xfId="0" applyNumberFormat="1" applyFont="1" applyFill="1" applyBorder="1"/>
    <xf numFmtId="3" fontId="9" fillId="0" borderId="51" xfId="0" applyNumberFormat="1" applyFont="1" applyFill="1" applyBorder="1" applyAlignment="1">
      <alignment horizontal="right" vertical="center"/>
    </xf>
    <xf numFmtId="3" fontId="9" fillId="0" borderId="51" xfId="0" applyNumberFormat="1" applyFont="1" applyFill="1" applyBorder="1"/>
    <xf numFmtId="3" fontId="9" fillId="0" borderId="53" xfId="0" applyNumberFormat="1" applyFont="1" applyFill="1" applyBorder="1"/>
    <xf numFmtId="0" fontId="39" fillId="0" borderId="54" xfId="0" applyFont="1" applyFill="1" applyBorder="1"/>
    <xf numFmtId="0" fontId="9" fillId="0" borderId="48" xfId="3" applyFont="1" applyFill="1" applyBorder="1" applyAlignment="1">
      <alignment horizontal="center"/>
    </xf>
    <xf numFmtId="0" fontId="39" fillId="0" borderId="49" xfId="0" applyFont="1" applyFill="1" applyBorder="1" applyAlignment="1">
      <alignment vertical="center"/>
    </xf>
    <xf numFmtId="3" fontId="9" fillId="0" borderId="48" xfId="0" applyNumberFormat="1" applyFont="1" applyFill="1" applyBorder="1" applyAlignment="1">
      <alignment horizontal="right" vertical="center"/>
    </xf>
    <xf numFmtId="3" fontId="39" fillId="0" borderId="55" xfId="0" applyNumberFormat="1" applyFont="1" applyFill="1" applyBorder="1" applyAlignment="1">
      <alignment horizontal="right" vertical="center"/>
    </xf>
    <xf numFmtId="37" fontId="39" fillId="0" borderId="56" xfId="0" applyNumberFormat="1" applyFont="1" applyFill="1" applyBorder="1"/>
    <xf numFmtId="0" fontId="39" fillId="0" borderId="33" xfId="0" applyFont="1" applyFill="1" applyBorder="1"/>
    <xf numFmtId="0" fontId="39" fillId="0" borderId="0" xfId="0" applyFont="1" applyFill="1" applyBorder="1"/>
    <xf numFmtId="0" fontId="39" fillId="0" borderId="6" xfId="0" applyFont="1" applyFill="1" applyBorder="1"/>
    <xf numFmtId="0" fontId="39" fillId="0" borderId="8" xfId="0" applyFont="1" applyFill="1" applyBorder="1"/>
    <xf numFmtId="0" fontId="40" fillId="0" borderId="0" xfId="0" applyFont="1" applyFill="1" applyAlignment="1">
      <alignment horizontal="center"/>
    </xf>
    <xf numFmtId="0" fontId="0" fillId="0" borderId="0" xfId="0" applyFont="1" applyFill="1" applyBorder="1" applyAlignment="1">
      <alignment horizontal="center"/>
    </xf>
    <xf numFmtId="0" fontId="0" fillId="0" borderId="0" xfId="0" applyFill="1" applyAlignment="1">
      <alignment horizontal="right"/>
    </xf>
    <xf numFmtId="0" fontId="0" fillId="0" borderId="0" xfId="0" applyFont="1" applyFill="1" applyAlignment="1"/>
    <xf numFmtId="3" fontId="4" fillId="0" borderId="0" xfId="0" applyNumberFormat="1" applyFont="1" applyFill="1" applyBorder="1" applyAlignment="1">
      <alignment horizontal="right" vertical="center"/>
    </xf>
    <xf numFmtId="0" fontId="4" fillId="0" borderId="0" xfId="0" applyFont="1" applyBorder="1" applyAlignment="1">
      <alignment horizontal="center"/>
    </xf>
    <xf numFmtId="0" fontId="0" fillId="0" borderId="0" xfId="0" applyNumberFormat="1" applyFill="1"/>
    <xf numFmtId="3" fontId="0" fillId="0" borderId="0" xfId="0" applyNumberFormat="1" applyFill="1"/>
    <xf numFmtId="0" fontId="0" fillId="0" borderId="0" xfId="0" applyFont="1" applyFill="1" applyBorder="1" applyAlignment="1">
      <alignment horizontal="right" vertical="center"/>
    </xf>
    <xf numFmtId="0" fontId="28" fillId="0" borderId="0" xfId="0" applyFont="1" applyFill="1"/>
    <xf numFmtId="3" fontId="0" fillId="0" borderId="0" xfId="0" applyNumberFormat="1" applyFill="1" applyAlignment="1">
      <alignment horizontal="right" vertical="center"/>
    </xf>
    <xf numFmtId="0" fontId="0" fillId="0" borderId="0" xfId="0" applyFont="1" applyFill="1" applyBorder="1" applyAlignment="1"/>
    <xf numFmtId="0" fontId="4" fillId="0" borderId="0" xfId="0" applyFont="1" applyFill="1" applyBorder="1" applyAlignment="1">
      <alignment horizontal="center"/>
    </xf>
    <xf numFmtId="0" fontId="0" fillId="0" borderId="0" xfId="0" applyFill="1" applyBorder="1" applyAlignment="1"/>
    <xf numFmtId="0" fontId="0" fillId="0" borderId="0" xfId="0" applyFont="1" applyFill="1" applyBorder="1" applyAlignment="1">
      <alignment horizontal="left" vertical="center"/>
    </xf>
    <xf numFmtId="0" fontId="20" fillId="0" borderId="0" xfId="0" applyFont="1" applyFill="1"/>
    <xf numFmtId="0" fontId="0" fillId="0" borderId="0" xfId="0" applyAlignment="1">
      <alignment horizontal="right" vertical="center"/>
    </xf>
    <xf numFmtId="0" fontId="0" fillId="11" borderId="0" xfId="0" applyFill="1" applyBorder="1" applyAlignment="1">
      <alignment horizontal="right" vertical="center"/>
    </xf>
    <xf numFmtId="0" fontId="0" fillId="11" borderId="0" xfId="0" applyFill="1" applyBorder="1"/>
    <xf numFmtId="0" fontId="0" fillId="11" borderId="0" xfId="0" applyFill="1"/>
    <xf numFmtId="0" fontId="8" fillId="11" borderId="0" xfId="0" applyFont="1" applyFill="1" applyBorder="1"/>
    <xf numFmtId="0" fontId="0" fillId="11" borderId="0" xfId="0" applyFont="1" applyFill="1" applyBorder="1"/>
    <xf numFmtId="0" fontId="0" fillId="11" borderId="0" xfId="0" applyFont="1" applyFill="1" applyBorder="1" applyAlignment="1">
      <alignment horizontal="right" vertical="center"/>
    </xf>
    <xf numFmtId="0" fontId="0" fillId="11" borderId="0" xfId="0" applyFont="1" applyFill="1"/>
    <xf numFmtId="0" fontId="8" fillId="11" borderId="0" xfId="3" applyFont="1" applyFill="1" applyBorder="1"/>
    <xf numFmtId="0" fontId="0" fillId="0" borderId="33" xfId="0" applyFont="1" applyFill="1" applyBorder="1" applyAlignment="1">
      <alignment horizontal="right" vertical="center"/>
    </xf>
    <xf numFmtId="0" fontId="0" fillId="10" borderId="33" xfId="0" applyFont="1" applyFill="1" applyBorder="1" applyAlignment="1">
      <alignment horizontal="right" vertical="center"/>
    </xf>
    <xf numFmtId="0" fontId="0" fillId="10" borderId="0" xfId="0" applyFill="1" applyBorder="1" applyAlignment="1">
      <alignment horizontal="right" vertical="center"/>
    </xf>
    <xf numFmtId="0" fontId="0" fillId="10" borderId="0" xfId="0" applyFont="1" applyFill="1" applyBorder="1" applyAlignment="1">
      <alignment horizontal="right" vertical="center"/>
    </xf>
    <xf numFmtId="0" fontId="0" fillId="0" borderId="0" xfId="0" applyAlignment="1">
      <alignment horizontal="right"/>
    </xf>
    <xf numFmtId="0" fontId="4" fillId="0" borderId="0" xfId="0" applyFont="1" applyAlignment="1">
      <alignment horizontal="center"/>
    </xf>
    <xf numFmtId="0" fontId="8" fillId="11" borderId="57" xfId="3" applyFont="1" applyFill="1" applyBorder="1"/>
    <xf numFmtId="0" fontId="0" fillId="0" borderId="33" xfId="0" applyBorder="1"/>
    <xf numFmtId="0" fontId="0" fillId="0" borderId="0" xfId="0" applyAlignment="1">
      <alignment horizontal="center"/>
    </xf>
    <xf numFmtId="0" fontId="0" fillId="0" borderId="0" xfId="0" applyBorder="1" applyAlignment="1">
      <alignment horizontal="right" vertical="center"/>
    </xf>
    <xf numFmtId="0" fontId="0" fillId="11" borderId="0" xfId="0" applyFill="1" applyAlignment="1">
      <alignment horizontal="right" vertical="center"/>
    </xf>
    <xf numFmtId="0" fontId="8" fillId="11" borderId="0" xfId="0" applyFont="1" applyFill="1"/>
    <xf numFmtId="0" fontId="8" fillId="0" borderId="0" xfId="0" applyFont="1" applyAlignment="1">
      <alignment horizontal="right" vertical="center"/>
    </xf>
    <xf numFmtId="0" fontId="8" fillId="0" borderId="0" xfId="0" applyFont="1"/>
    <xf numFmtId="0" fontId="8" fillId="2" borderId="57" xfId="3" applyFont="1" applyBorder="1" applyAlignment="1">
      <alignment horizontal="center"/>
    </xf>
    <xf numFmtId="0" fontId="11" fillId="0" borderId="0" xfId="0" applyFont="1" applyAlignment="1">
      <alignment vertical="center"/>
    </xf>
    <xf numFmtId="0" fontId="0" fillId="11" borderId="0" xfId="0" applyFont="1" applyFill="1" applyAlignment="1">
      <alignment horizontal="right" vertical="center"/>
    </xf>
    <xf numFmtId="0" fontId="0" fillId="10" borderId="0" xfId="0" applyFill="1" applyAlignment="1">
      <alignment horizontal="right" vertical="center"/>
    </xf>
    <xf numFmtId="0" fontId="0" fillId="10" borderId="0" xfId="0" applyFont="1" applyFill="1" applyAlignment="1">
      <alignment horizontal="right" vertical="center"/>
    </xf>
    <xf numFmtId="0" fontId="8" fillId="11" borderId="1" xfId="3" applyFont="1" applyFill="1"/>
    <xf numFmtId="0" fontId="8" fillId="2" borderId="1" xfId="3" applyFont="1" applyAlignment="1">
      <alignment horizontal="center"/>
    </xf>
    <xf numFmtId="0" fontId="37" fillId="12" borderId="0" xfId="0" applyFont="1" applyFill="1" applyAlignment="1">
      <alignment horizontal="center" vertical="center"/>
    </xf>
    <xf numFmtId="0" fontId="0" fillId="9" borderId="2" xfId="0" applyFont="1" applyFill="1" applyBorder="1"/>
    <xf numFmtId="0" fontId="11" fillId="9" borderId="2" xfId="0" applyFont="1" applyFill="1" applyBorder="1" applyAlignment="1"/>
    <xf numFmtId="0" fontId="11" fillId="9" borderId="2" xfId="0" applyFont="1" applyFill="1" applyBorder="1"/>
    <xf numFmtId="0" fontId="11" fillId="9" borderId="0" xfId="0" applyFont="1" applyFill="1" applyBorder="1"/>
    <xf numFmtId="0" fontId="0" fillId="9" borderId="0" xfId="3" applyFont="1" applyFill="1" applyBorder="1"/>
    <xf numFmtId="0" fontId="0" fillId="9" borderId="0" xfId="0" applyFont="1" applyFill="1"/>
    <xf numFmtId="0" fontId="39" fillId="9" borderId="3" xfId="0" applyFont="1" applyFill="1" applyBorder="1" applyAlignment="1"/>
    <xf numFmtId="0" fontId="11" fillId="9" borderId="2" xfId="0" applyFont="1" applyFill="1" applyBorder="1" applyAlignment="1">
      <alignment horizontal="center"/>
    </xf>
    <xf numFmtId="0" fontId="11" fillId="9" borderId="4" xfId="0" applyFont="1" applyFill="1" applyBorder="1" applyAlignment="1"/>
    <xf numFmtId="0" fontId="39" fillId="9" borderId="0" xfId="0" applyFont="1" applyFill="1" applyBorder="1" applyAlignment="1"/>
    <xf numFmtId="0" fontId="11" fillId="9" borderId="4" xfId="0" applyFont="1" applyFill="1" applyBorder="1"/>
    <xf numFmtId="167" fontId="11" fillId="9" borderId="0" xfId="0" applyNumberFormat="1" applyFont="1" applyFill="1" applyBorder="1" applyAlignment="1"/>
    <xf numFmtId="167" fontId="11" fillId="9" borderId="0" xfId="0" applyNumberFormat="1" applyFont="1" applyFill="1" applyBorder="1"/>
    <xf numFmtId="0" fontId="11" fillId="9" borderId="0" xfId="9" applyFont="1" applyFill="1" applyBorder="1"/>
    <xf numFmtId="0" fontId="11" fillId="9" borderId="0" xfId="0" applyFont="1" applyFill="1" applyBorder="1" applyAlignment="1">
      <alignment horizontal="right" vertical="center"/>
    </xf>
    <xf numFmtId="0" fontId="39" fillId="9" borderId="33" xfId="0" applyFont="1" applyFill="1" applyBorder="1" applyAlignment="1">
      <alignment horizontal="left" vertical="center"/>
    </xf>
    <xf numFmtId="0" fontId="11" fillId="9" borderId="0" xfId="0" applyFont="1" applyFill="1" applyBorder="1" applyAlignment="1"/>
    <xf numFmtId="37" fontId="11" fillId="9" borderId="0" xfId="0" applyNumberFormat="1" applyFont="1" applyFill="1" applyBorder="1"/>
    <xf numFmtId="0" fontId="0" fillId="9" borderId="0" xfId="0" applyFont="1" applyFill="1" applyBorder="1"/>
    <xf numFmtId="0" fontId="0" fillId="9" borderId="13" xfId="0" applyFont="1" applyFill="1" applyBorder="1"/>
    <xf numFmtId="0" fontId="0" fillId="12" borderId="0" xfId="0" applyFont="1" applyFill="1"/>
    <xf numFmtId="0" fontId="11" fillId="9" borderId="32" xfId="0" applyFont="1" applyFill="1" applyBorder="1" applyAlignment="1"/>
    <xf numFmtId="0" fontId="11" fillId="9" borderId="43" xfId="0" applyFont="1" applyFill="1" applyBorder="1"/>
    <xf numFmtId="0" fontId="11" fillId="9" borderId="8" xfId="0" applyFont="1" applyFill="1" applyBorder="1"/>
    <xf numFmtId="0" fontId="0" fillId="9" borderId="8" xfId="3" applyFont="1" applyFill="1" applyBorder="1"/>
    <xf numFmtId="0" fontId="11" fillId="9" borderId="12" xfId="0" applyFont="1" applyFill="1" applyBorder="1"/>
    <xf numFmtId="0" fontId="11" fillId="9" borderId="6" xfId="0" applyFont="1" applyFill="1" applyBorder="1"/>
    <xf numFmtId="0" fontId="11" fillId="9" borderId="6" xfId="0" applyFont="1" applyFill="1" applyBorder="1" applyAlignment="1">
      <alignment horizontal="center"/>
    </xf>
    <xf numFmtId="0" fontId="11" fillId="9" borderId="34" xfId="0" applyFont="1" applyFill="1" applyBorder="1"/>
    <xf numFmtId="164" fontId="11" fillId="9" borderId="8" xfId="1" applyNumberFormat="1" applyFont="1" applyFill="1" applyBorder="1" applyAlignment="1"/>
    <xf numFmtId="0" fontId="11" fillId="9" borderId="8" xfId="0" applyFont="1" applyFill="1" applyBorder="1" applyAlignment="1">
      <alignment horizontal="left"/>
    </xf>
    <xf numFmtId="0" fontId="11" fillId="9" borderId="8" xfId="0" applyFont="1" applyFill="1" applyBorder="1" applyAlignment="1">
      <alignment horizontal="right" vertical="center"/>
    </xf>
    <xf numFmtId="0" fontId="11" fillId="9" borderId="11" xfId="0" applyFont="1" applyFill="1" applyBorder="1" applyAlignment="1">
      <alignment horizontal="left" vertical="center"/>
    </xf>
    <xf numFmtId="0" fontId="0" fillId="9" borderId="10" xfId="0" applyFont="1" applyFill="1" applyBorder="1"/>
    <xf numFmtId="0" fontId="17" fillId="9" borderId="0" xfId="0" applyFont="1" applyFill="1" applyAlignment="1">
      <alignment horizontal="center" vertical="center"/>
    </xf>
    <xf numFmtId="0" fontId="11" fillId="9" borderId="16" xfId="0" applyFont="1" applyFill="1" applyBorder="1" applyAlignment="1">
      <alignment horizontal="center"/>
    </xf>
    <xf numFmtId="0" fontId="16" fillId="9" borderId="58" xfId="0" applyFont="1" applyFill="1" applyBorder="1" applyAlignment="1">
      <alignment horizontal="center" vertical="center" wrapText="1"/>
    </xf>
    <xf numFmtId="0" fontId="16" fillId="9" borderId="26" xfId="0" applyFont="1" applyFill="1" applyBorder="1" applyAlignment="1">
      <alignment horizontal="center" vertical="center" wrapText="1"/>
    </xf>
    <xf numFmtId="0" fontId="0" fillId="9" borderId="26" xfId="3" applyFont="1" applyFill="1" applyBorder="1" applyAlignment="1">
      <alignment horizontal="center" vertical="center" wrapText="1"/>
    </xf>
    <xf numFmtId="0" fontId="16" fillId="9" borderId="59" xfId="0" applyFont="1" applyFill="1" applyBorder="1" applyAlignment="1">
      <alignment horizontal="center" vertical="center" wrapText="1"/>
    </xf>
    <xf numFmtId="0" fontId="16" fillId="9" borderId="24" xfId="0" applyFont="1" applyFill="1" applyBorder="1" applyAlignment="1">
      <alignment horizontal="center" vertical="center" wrapText="1"/>
    </xf>
    <xf numFmtId="0" fontId="41" fillId="9" borderId="20" xfId="0" applyFont="1" applyFill="1" applyBorder="1" applyAlignment="1">
      <alignment horizontal="center" vertical="center" wrapText="1"/>
    </xf>
    <xf numFmtId="0" fontId="16" fillId="9" borderId="22" xfId="0" applyFont="1" applyFill="1" applyBorder="1" applyAlignment="1">
      <alignment horizontal="center" vertical="center" wrapText="1"/>
    </xf>
    <xf numFmtId="0" fontId="16" fillId="9" borderId="23" xfId="0" applyFont="1" applyFill="1" applyBorder="1" applyAlignment="1">
      <alignment horizontal="center" vertical="center" wrapText="1"/>
    </xf>
    <xf numFmtId="0" fontId="16" fillId="9" borderId="26" xfId="9" applyFont="1" applyFill="1" applyBorder="1" applyAlignment="1">
      <alignment horizontal="center" vertical="center" wrapText="1"/>
    </xf>
    <xf numFmtId="0" fontId="42" fillId="9" borderId="27" xfId="0" applyFont="1" applyFill="1" applyBorder="1" applyAlignment="1">
      <alignment horizontal="center" vertical="center" wrapText="1"/>
    </xf>
    <xf numFmtId="164" fontId="16" fillId="9" borderId="26" xfId="1" applyNumberFormat="1" applyFont="1" applyFill="1" applyBorder="1" applyAlignment="1">
      <alignment horizontal="center" vertical="center" wrapText="1"/>
    </xf>
    <xf numFmtId="164" fontId="16" fillId="9" borderId="20" xfId="1" applyNumberFormat="1" applyFont="1" applyFill="1" applyBorder="1" applyAlignment="1">
      <alignment horizontal="center" vertical="center" wrapText="1"/>
    </xf>
    <xf numFmtId="167" fontId="16" fillId="9" borderId="20" xfId="0" applyNumberFormat="1" applyFont="1" applyFill="1" applyBorder="1" applyAlignment="1">
      <alignment horizontal="center" vertical="center" wrapText="1"/>
    </xf>
    <xf numFmtId="167" fontId="16" fillId="9" borderId="26" xfId="0" applyNumberFormat="1" applyFont="1" applyFill="1" applyBorder="1" applyAlignment="1">
      <alignment horizontal="center" vertical="center" wrapText="1"/>
    </xf>
    <xf numFmtId="167" fontId="16" fillId="9" borderId="24" xfId="0" applyNumberFormat="1" applyFont="1" applyFill="1" applyBorder="1" applyAlignment="1">
      <alignment horizontal="center" vertical="center" wrapText="1"/>
    </xf>
    <xf numFmtId="0" fontId="41" fillId="9" borderId="27" xfId="9" applyFont="1" applyFill="1" applyBorder="1" applyAlignment="1">
      <alignment horizontal="center" vertical="center" wrapText="1"/>
    </xf>
    <xf numFmtId="0" fontId="41" fillId="9" borderId="20" xfId="9" applyFont="1" applyFill="1" applyBorder="1" applyAlignment="1">
      <alignment horizontal="center" vertical="center" wrapText="1"/>
    </xf>
    <xf numFmtId="0" fontId="41" fillId="9" borderId="26" xfId="0" applyFont="1" applyFill="1" applyBorder="1" applyAlignment="1">
      <alignment horizontal="center" vertical="center" wrapText="1"/>
    </xf>
    <xf numFmtId="0" fontId="41" fillId="9" borderId="24" xfId="9" applyFont="1" applyFill="1" applyBorder="1" applyAlignment="1">
      <alignment horizontal="center" vertical="center" wrapText="1"/>
    </xf>
    <xf numFmtId="0" fontId="41" fillId="9" borderId="26" xfId="9" applyFont="1" applyFill="1" applyBorder="1" applyAlignment="1">
      <alignment horizontal="center" vertical="center" wrapText="1"/>
    </xf>
    <xf numFmtId="0" fontId="16" fillId="9" borderId="60" xfId="0" applyFont="1" applyFill="1" applyBorder="1" applyAlignment="1">
      <alignment horizontal="center" vertical="center" wrapText="1"/>
    </xf>
    <xf numFmtId="0" fontId="16" fillId="9" borderId="28" xfId="0" applyFont="1" applyFill="1" applyBorder="1" applyAlignment="1">
      <alignment horizontal="center" vertical="center" wrapText="1"/>
    </xf>
    <xf numFmtId="0" fontId="16" fillId="9" borderId="26" xfId="10" applyFont="1" applyFill="1" applyBorder="1" applyAlignment="1">
      <alignment horizontal="center" vertical="center" wrapText="1"/>
    </xf>
    <xf numFmtId="0" fontId="16" fillId="9" borderId="20" xfId="10" applyFont="1" applyFill="1" applyBorder="1" applyAlignment="1">
      <alignment horizontal="center" vertical="center" wrapText="1"/>
    </xf>
    <xf numFmtId="0" fontId="41" fillId="9" borderId="60" xfId="9" applyFont="1" applyFill="1" applyBorder="1" applyAlignment="1">
      <alignment horizontal="center" vertical="center" wrapText="1"/>
    </xf>
    <xf numFmtId="0" fontId="16" fillId="0" borderId="0" xfId="9" applyFont="1" applyFill="1" applyBorder="1" applyAlignment="1">
      <alignment horizontal="center" vertical="center" wrapText="1"/>
    </xf>
    <xf numFmtId="0" fontId="0" fillId="0" borderId="0" xfId="0" applyFont="1" applyFill="1" applyBorder="1" applyAlignment="1">
      <alignment horizontal="center" vertical="center"/>
    </xf>
    <xf numFmtId="0" fontId="0" fillId="0" borderId="0" xfId="0" applyFont="1" applyFill="1" applyAlignment="1">
      <alignment horizontal="center" vertical="center"/>
    </xf>
    <xf numFmtId="0" fontId="0" fillId="12" borderId="0" xfId="0" applyFont="1" applyFill="1" applyAlignment="1">
      <alignment horizontal="center" vertical="center"/>
    </xf>
    <xf numFmtId="0" fontId="37" fillId="0" borderId="0" xfId="0" applyFont="1" applyFill="1" applyAlignment="1">
      <alignment horizontal="center" vertical="center"/>
    </xf>
    <xf numFmtId="0" fontId="17" fillId="0" borderId="0" xfId="0" applyFont="1" applyFill="1" applyBorder="1" applyAlignment="1">
      <alignment horizontal="center"/>
    </xf>
    <xf numFmtId="0" fontId="16" fillId="0" borderId="0" xfId="0" applyFont="1" applyFill="1" applyBorder="1" applyAlignment="1">
      <alignment horizontal="center"/>
    </xf>
    <xf numFmtId="0" fontId="16" fillId="0" borderId="0" xfId="0" applyFont="1" applyFill="1" applyBorder="1" applyAlignment="1">
      <alignment horizontal="center" wrapText="1"/>
    </xf>
    <xf numFmtId="0" fontId="0" fillId="0" borderId="61" xfId="3" applyFont="1" applyFill="1" applyBorder="1" applyAlignment="1">
      <alignment horizontal="center" wrapText="1"/>
    </xf>
    <xf numFmtId="0" fontId="16" fillId="0" borderId="34" xfId="0" applyFont="1" applyFill="1" applyBorder="1" applyAlignment="1">
      <alignment horizontal="center" vertical="center" wrapText="1"/>
    </xf>
    <xf numFmtId="0" fontId="16" fillId="0" borderId="34" xfId="0" applyFont="1" applyFill="1" applyBorder="1" applyAlignment="1">
      <alignment horizontal="center" wrapText="1"/>
    </xf>
    <xf numFmtId="0" fontId="16" fillId="0" borderId="0" xfId="0" applyFont="1" applyFill="1" applyBorder="1" applyAlignment="1">
      <alignment horizontal="right" vertical="center" wrapText="1"/>
    </xf>
    <xf numFmtId="0" fontId="41" fillId="0" borderId="0" xfId="0" applyFont="1" applyFill="1" applyBorder="1" applyAlignment="1">
      <alignment horizontal="center" wrapText="1"/>
    </xf>
    <xf numFmtId="0" fontId="16" fillId="0" borderId="0" xfId="9" applyFont="1" applyFill="1" applyBorder="1" applyAlignment="1">
      <alignment wrapText="1"/>
    </xf>
    <xf numFmtId="0" fontId="16" fillId="0" borderId="62" xfId="0" applyFont="1" applyFill="1" applyBorder="1" applyAlignment="1">
      <alignment horizontal="center" wrapText="1"/>
    </xf>
    <xf numFmtId="0" fontId="0" fillId="0" borderId="0" xfId="3" applyFont="1" applyFill="1" applyBorder="1" applyAlignment="1">
      <alignment horizontal="center" wrapText="1"/>
    </xf>
    <xf numFmtId="0" fontId="42" fillId="0" borderId="0" xfId="0" applyFont="1" applyFill="1" applyBorder="1" applyAlignment="1">
      <alignment horizontal="center" vertical="center" wrapText="1"/>
    </xf>
    <xf numFmtId="164" fontId="16" fillId="0" borderId="0" xfId="1" applyNumberFormat="1" applyFont="1" applyFill="1" applyBorder="1" applyAlignment="1">
      <alignment horizontal="center" wrapText="1"/>
    </xf>
    <xf numFmtId="167" fontId="16" fillId="0" borderId="0" xfId="0" applyNumberFormat="1" applyFont="1" applyFill="1" applyBorder="1" applyAlignment="1">
      <alignment horizontal="center" wrapText="1"/>
    </xf>
    <xf numFmtId="0" fontId="16" fillId="0" borderId="0" xfId="9" applyFont="1" applyFill="1" applyBorder="1" applyAlignment="1">
      <alignment horizontal="center" wrapText="1"/>
    </xf>
    <xf numFmtId="0" fontId="41" fillId="0" borderId="0" xfId="9" applyFont="1" applyFill="1" applyBorder="1" applyAlignment="1">
      <alignment horizontal="center" wrapText="1"/>
    </xf>
    <xf numFmtId="0" fontId="16" fillId="0" borderId="5" xfId="0" applyFont="1" applyFill="1" applyBorder="1" applyAlignment="1">
      <alignment horizontal="right" vertical="center" wrapText="1"/>
    </xf>
    <xf numFmtId="37" fontId="16" fillId="0" borderId="0" xfId="0" applyNumberFormat="1" applyFont="1" applyFill="1" applyBorder="1" applyAlignment="1">
      <alignment horizontal="right" vertical="center" wrapText="1"/>
    </xf>
    <xf numFmtId="37" fontId="16" fillId="0" borderId="0" xfId="0" applyNumberFormat="1" applyFont="1" applyFill="1" applyBorder="1" applyAlignment="1">
      <alignment horizontal="center" wrapText="1"/>
    </xf>
    <xf numFmtId="37" fontId="16" fillId="0" borderId="0" xfId="10" applyNumberFormat="1" applyFont="1" applyFill="1" applyBorder="1" applyAlignment="1">
      <alignment horizontal="center" wrapText="1"/>
    </xf>
    <xf numFmtId="37" fontId="16" fillId="0" borderId="0" xfId="9" applyNumberFormat="1" applyFont="1" applyFill="1" applyBorder="1" applyAlignment="1">
      <alignment wrapText="1"/>
    </xf>
    <xf numFmtId="37" fontId="16" fillId="0" borderId="2" xfId="9" applyNumberFormat="1" applyFont="1" applyFill="1" applyBorder="1" applyAlignment="1">
      <alignment wrapText="1"/>
    </xf>
    <xf numFmtId="0" fontId="16" fillId="0" borderId="2" xfId="0" applyFont="1" applyFill="1" applyBorder="1" applyAlignment="1">
      <alignment horizontal="center" wrapText="1"/>
    </xf>
    <xf numFmtId="37" fontId="0" fillId="0" borderId="13" xfId="0" applyNumberFormat="1" applyFont="1" applyFill="1" applyBorder="1"/>
    <xf numFmtId="0" fontId="20" fillId="0" borderId="6" xfId="3" applyFont="1" applyFill="1" applyBorder="1"/>
    <xf numFmtId="0" fontId="11" fillId="0" borderId="6" xfId="0" applyFont="1" applyFill="1" applyBorder="1"/>
    <xf numFmtId="3" fontId="45" fillId="0" borderId="6" xfId="0" applyNumberFormat="1" applyFont="1" applyFill="1" applyBorder="1"/>
    <xf numFmtId="0" fontId="0" fillId="0" borderId="63" xfId="0" applyFont="1" applyFill="1" applyBorder="1"/>
    <xf numFmtId="0" fontId="0" fillId="0" borderId="6" xfId="3" applyFont="1" applyFill="1" applyBorder="1" applyAlignment="1">
      <alignment horizontal="center"/>
    </xf>
    <xf numFmtId="164" fontId="0" fillId="0" borderId="6" xfId="1" applyNumberFormat="1" applyFont="1" applyFill="1" applyBorder="1"/>
    <xf numFmtId="169" fontId="0" fillId="0" borderId="6" xfId="1" applyNumberFormat="1" applyFont="1" applyFill="1" applyBorder="1"/>
    <xf numFmtId="167" fontId="0" fillId="0" borderId="6" xfId="0" applyNumberFormat="1" applyFont="1" applyFill="1" applyBorder="1"/>
    <xf numFmtId="166" fontId="45" fillId="0" borderId="6" xfId="0" applyNumberFormat="1" applyFont="1" applyFill="1" applyBorder="1"/>
    <xf numFmtId="37" fontId="46" fillId="0" borderId="6" xfId="0" applyNumberFormat="1" applyFont="1" applyFill="1" applyBorder="1" applyAlignment="1">
      <alignment vertical="center"/>
    </xf>
    <xf numFmtId="0" fontId="45" fillId="0" borderId="6" xfId="0" applyFont="1" applyFill="1" applyBorder="1"/>
    <xf numFmtId="168" fontId="45" fillId="0" borderId="6" xfId="0" applyNumberFormat="1" applyFont="1" applyFill="1" applyBorder="1"/>
    <xf numFmtId="37" fontId="45" fillId="0" borderId="6" xfId="0" applyNumberFormat="1" applyFont="1" applyFill="1" applyBorder="1"/>
    <xf numFmtId="37" fontId="45" fillId="0" borderId="37" xfId="0" applyNumberFormat="1" applyFont="1" applyFill="1" applyBorder="1"/>
    <xf numFmtId="0" fontId="20" fillId="0" borderId="0" xfId="3" applyFont="1" applyFill="1" applyBorder="1"/>
    <xf numFmtId="0" fontId="11" fillId="0" borderId="0" xfId="0" applyFont="1" applyFill="1" applyBorder="1"/>
    <xf numFmtId="3" fontId="45" fillId="0" borderId="0" xfId="0" applyNumberFormat="1" applyFont="1" applyFill="1" applyBorder="1"/>
    <xf numFmtId="0" fontId="0" fillId="0" borderId="62" xfId="0" applyFont="1" applyFill="1" applyBorder="1"/>
    <xf numFmtId="0" fontId="0" fillId="0" borderId="0" xfId="3" applyFont="1" applyFill="1" applyBorder="1" applyAlignment="1">
      <alignment horizontal="center"/>
    </xf>
    <xf numFmtId="164" fontId="0" fillId="0" borderId="0" xfId="1" applyNumberFormat="1" applyFont="1" applyFill="1" applyBorder="1"/>
    <xf numFmtId="169" fontId="0" fillId="0" borderId="0" xfId="1" applyNumberFormat="1" applyFont="1" applyFill="1" applyBorder="1"/>
    <xf numFmtId="167" fontId="0" fillId="0" borderId="0" xfId="0" applyNumberFormat="1" applyFont="1" applyFill="1" applyBorder="1"/>
    <xf numFmtId="166" fontId="45" fillId="0" borderId="0" xfId="0" applyNumberFormat="1" applyFont="1" applyFill="1" applyBorder="1"/>
    <xf numFmtId="37" fontId="46" fillId="0" borderId="0" xfId="0" applyNumberFormat="1" applyFont="1" applyFill="1" applyBorder="1" applyAlignment="1">
      <alignment vertical="center"/>
    </xf>
    <xf numFmtId="0" fontId="45" fillId="0" borderId="0" xfId="0" applyFont="1" applyFill="1" applyBorder="1"/>
    <xf numFmtId="168" fontId="45" fillId="0" borderId="0" xfId="0" applyNumberFormat="1" applyFont="1" applyFill="1" applyBorder="1"/>
    <xf numFmtId="37" fontId="45" fillId="0" borderId="0" xfId="0" applyNumberFormat="1" applyFont="1" applyFill="1" applyBorder="1"/>
    <xf numFmtId="37" fontId="45" fillId="0" borderId="13" xfId="0" applyNumberFormat="1" applyFont="1" applyFill="1" applyBorder="1"/>
    <xf numFmtId="0" fontId="11" fillId="0" borderId="2" xfId="0" applyFont="1" applyFill="1" applyBorder="1"/>
    <xf numFmtId="3" fontId="45" fillId="0" borderId="2" xfId="0" applyNumberFormat="1" applyFont="1" applyFill="1" applyBorder="1"/>
    <xf numFmtId="0" fontId="0" fillId="0" borderId="44" xfId="0" applyFont="1" applyFill="1" applyBorder="1"/>
    <xf numFmtId="0" fontId="0" fillId="0" borderId="2" xfId="3" applyFont="1" applyFill="1" applyBorder="1" applyAlignment="1">
      <alignment horizontal="center"/>
    </xf>
    <xf numFmtId="164" fontId="0" fillId="0" borderId="2" xfId="1" applyNumberFormat="1" applyFont="1" applyFill="1" applyBorder="1"/>
    <xf numFmtId="169" fontId="0" fillId="0" borderId="2" xfId="1" applyNumberFormat="1" applyFont="1" applyFill="1" applyBorder="1"/>
    <xf numFmtId="167" fontId="0" fillId="0" borderId="2" xfId="0" applyNumberFormat="1" applyFont="1" applyFill="1" applyBorder="1"/>
    <xf numFmtId="166" fontId="45" fillId="0" borderId="2" xfId="0" applyNumberFormat="1" applyFont="1" applyFill="1" applyBorder="1"/>
    <xf numFmtId="0" fontId="45" fillId="0" borderId="2" xfId="0" applyFont="1" applyFill="1" applyBorder="1"/>
    <xf numFmtId="168" fontId="45" fillId="0" borderId="2" xfId="0" applyNumberFormat="1" applyFont="1" applyFill="1" applyBorder="1"/>
    <xf numFmtId="37" fontId="45" fillId="0" borderId="2" xfId="0" applyNumberFormat="1" applyFont="1" applyFill="1" applyBorder="1"/>
    <xf numFmtId="0" fontId="45" fillId="0" borderId="0" xfId="0" applyFont="1" applyFill="1" applyBorder="1" applyAlignment="1">
      <alignment horizontal="right" vertical="center"/>
    </xf>
    <xf numFmtId="166" fontId="45" fillId="0" borderId="8" xfId="0" applyNumberFormat="1" applyFont="1" applyFill="1" applyBorder="1"/>
    <xf numFmtId="0" fontId="20" fillId="10" borderId="6" xfId="3" applyFont="1" applyFill="1" applyBorder="1"/>
    <xf numFmtId="0" fontId="11" fillId="10" borderId="6" xfId="0" applyFont="1" applyFill="1" applyBorder="1"/>
    <xf numFmtId="3" fontId="45" fillId="10" borderId="6" xfId="0" applyNumberFormat="1" applyFont="1" applyFill="1" applyBorder="1"/>
    <xf numFmtId="3" fontId="11" fillId="10" borderId="0" xfId="0" applyNumberFormat="1" applyFont="1" applyFill="1" applyBorder="1" applyAlignment="1">
      <alignment vertical="center"/>
    </xf>
    <xf numFmtId="0" fontId="0" fillId="10" borderId="63" xfId="0" applyFont="1" applyFill="1" applyBorder="1"/>
    <xf numFmtId="0" fontId="0" fillId="10" borderId="6" xfId="3" applyFont="1" applyFill="1" applyBorder="1" applyAlignment="1">
      <alignment horizontal="center"/>
    </xf>
    <xf numFmtId="164" fontId="0" fillId="10" borderId="6" xfId="1" applyNumberFormat="1" applyFont="1" applyFill="1" applyBorder="1"/>
    <xf numFmtId="37" fontId="0" fillId="10" borderId="6" xfId="1" applyNumberFormat="1" applyFont="1" applyFill="1" applyBorder="1"/>
    <xf numFmtId="167" fontId="0" fillId="10" borderId="6" xfId="0" applyNumberFormat="1" applyFont="1" applyFill="1" applyBorder="1"/>
    <xf numFmtId="166" fontId="0" fillId="10" borderId="6" xfId="0" applyNumberFormat="1" applyFont="1" applyFill="1" applyBorder="1"/>
    <xf numFmtId="166" fontId="45" fillId="10" borderId="6" xfId="0" applyNumberFormat="1" applyFont="1" applyFill="1" applyBorder="1"/>
    <xf numFmtId="37" fontId="46" fillId="10" borderId="6" xfId="0" applyNumberFormat="1" applyFont="1" applyFill="1" applyBorder="1" applyAlignment="1">
      <alignment vertical="center"/>
    </xf>
    <xf numFmtId="0" fontId="45" fillId="10" borderId="6" xfId="0" applyFont="1" applyFill="1" applyBorder="1"/>
    <xf numFmtId="168" fontId="45" fillId="10" borderId="6" xfId="0" applyNumberFormat="1" applyFont="1" applyFill="1" applyBorder="1"/>
    <xf numFmtId="37" fontId="45" fillId="10" borderId="6" xfId="0" applyNumberFormat="1" applyFont="1" applyFill="1" applyBorder="1"/>
    <xf numFmtId="37" fontId="45" fillId="10" borderId="37" xfId="0" applyNumberFormat="1" applyFont="1" applyFill="1" applyBorder="1"/>
    <xf numFmtId="0" fontId="11" fillId="10" borderId="2" xfId="0" applyFont="1" applyFill="1" applyBorder="1"/>
    <xf numFmtId="3" fontId="45" fillId="10" borderId="2" xfId="0" applyNumberFormat="1" applyFont="1" applyFill="1" applyBorder="1"/>
    <xf numFmtId="3" fontId="11" fillId="10" borderId="2" xfId="0" applyNumberFormat="1" applyFont="1" applyFill="1" applyBorder="1" applyAlignment="1">
      <alignment vertical="center"/>
    </xf>
    <xf numFmtId="0" fontId="0" fillId="10" borderId="44" xfId="0" applyFont="1" applyFill="1" applyBorder="1"/>
    <xf numFmtId="0" fontId="0" fillId="10" borderId="2" xfId="3" applyFont="1" applyFill="1" applyBorder="1" applyAlignment="1">
      <alignment horizontal="center"/>
    </xf>
    <xf numFmtId="164" fontId="0" fillId="10" borderId="2" xfId="1" applyNumberFormat="1" applyFont="1" applyFill="1" applyBorder="1"/>
    <xf numFmtId="37" fontId="0" fillId="10" borderId="0" xfId="1" applyNumberFormat="1" applyFont="1" applyFill="1" applyBorder="1"/>
    <xf numFmtId="37" fontId="0" fillId="10" borderId="2" xfId="1" applyNumberFormat="1" applyFont="1" applyFill="1" applyBorder="1"/>
    <xf numFmtId="167" fontId="0" fillId="10" borderId="2" xfId="0" applyNumberFormat="1" applyFont="1" applyFill="1" applyBorder="1"/>
    <xf numFmtId="166" fontId="0" fillId="10" borderId="2" xfId="0" applyNumberFormat="1" applyFont="1" applyFill="1" applyBorder="1"/>
    <xf numFmtId="166" fontId="45" fillId="10" borderId="2" xfId="0" applyNumberFormat="1" applyFont="1" applyFill="1" applyBorder="1"/>
    <xf numFmtId="37" fontId="46" fillId="10" borderId="2" xfId="0" applyNumberFormat="1" applyFont="1" applyFill="1" applyBorder="1" applyAlignment="1">
      <alignment vertical="center"/>
    </xf>
    <xf numFmtId="0" fontId="45" fillId="10" borderId="2" xfId="0" applyFont="1" applyFill="1" applyBorder="1"/>
    <xf numFmtId="1" fontId="45" fillId="10" borderId="2" xfId="0" applyNumberFormat="1" applyFont="1" applyFill="1" applyBorder="1"/>
    <xf numFmtId="37" fontId="45" fillId="10" borderId="2" xfId="0" applyNumberFormat="1" applyFont="1" applyFill="1" applyBorder="1"/>
    <xf numFmtId="37" fontId="45" fillId="10" borderId="5" xfId="0" applyNumberFormat="1" applyFont="1" applyFill="1" applyBorder="1"/>
    <xf numFmtId="169" fontId="0" fillId="0" borderId="8" xfId="1" applyNumberFormat="1" applyFont="1" applyFill="1" applyBorder="1"/>
    <xf numFmtId="0" fontId="0" fillId="0" borderId="8" xfId="0" applyFont="1" applyFill="1" applyBorder="1" applyAlignment="1">
      <alignment horizontal="right" vertical="center"/>
    </xf>
    <xf numFmtId="37" fontId="0" fillId="0" borderId="6" xfId="1" applyNumberFormat="1" applyFont="1" applyFill="1" applyBorder="1"/>
    <xf numFmtId="0" fontId="11" fillId="0" borderId="62" xfId="0" applyFont="1" applyFill="1" applyBorder="1"/>
    <xf numFmtId="37" fontId="0" fillId="0" borderId="0" xfId="1" applyNumberFormat="1" applyFont="1" applyFill="1" applyBorder="1"/>
    <xf numFmtId="0" fontId="20" fillId="0" borderId="2" xfId="3" applyFont="1" applyFill="1" applyBorder="1"/>
    <xf numFmtId="0" fontId="11" fillId="0" borderId="44" xfId="0" applyFont="1" applyFill="1" applyBorder="1"/>
    <xf numFmtId="37" fontId="0" fillId="0" borderId="2" xfId="1" applyNumberFormat="1" applyFont="1" applyFill="1" applyBorder="1"/>
    <xf numFmtId="170" fontId="0" fillId="0" borderId="2" xfId="1" applyNumberFormat="1" applyFont="1" applyFill="1" applyBorder="1"/>
    <xf numFmtId="37" fontId="45" fillId="0" borderId="5" xfId="0" applyNumberFormat="1" applyFont="1" applyFill="1" applyBorder="1"/>
    <xf numFmtId="171" fontId="24" fillId="0" borderId="0" xfId="0" applyNumberFormat="1" applyFont="1" applyFill="1" applyBorder="1" applyAlignment="1">
      <alignment horizontal="center" vertical="center"/>
    </xf>
    <xf numFmtId="0" fontId="0" fillId="0" borderId="0" xfId="3" applyFont="1" applyFill="1" applyBorder="1" applyAlignment="1">
      <alignment horizontal="center" vertical="center"/>
    </xf>
    <xf numFmtId="37" fontId="11" fillId="0" borderId="0" xfId="0" applyNumberFormat="1" applyFont="1" applyFill="1" applyBorder="1" applyAlignment="1">
      <alignment vertical="center"/>
    </xf>
    <xf numFmtId="0" fontId="11" fillId="0" borderId="33" xfId="0" applyFont="1" applyFill="1" applyBorder="1" applyAlignment="1">
      <alignment horizontal="center" vertical="center"/>
    </xf>
    <xf numFmtId="172" fontId="11" fillId="0" borderId="0" xfId="0" applyNumberFormat="1" applyFont="1" applyFill="1" applyBorder="1" applyAlignment="1">
      <alignment horizontal="center" vertical="center"/>
    </xf>
    <xf numFmtId="37" fontId="11" fillId="0" borderId="34" xfId="0" applyNumberFormat="1" applyFont="1" applyFill="1" applyBorder="1" applyAlignment="1">
      <alignment horizontal="center" vertical="center"/>
    </xf>
    <xf numFmtId="173" fontId="11" fillId="0" borderId="0" xfId="0" applyNumberFormat="1" applyFont="1" applyFill="1" applyBorder="1" applyAlignment="1">
      <alignment vertical="center"/>
    </xf>
    <xf numFmtId="173" fontId="11" fillId="0" borderId="0" xfId="0" applyNumberFormat="1" applyFont="1" applyFill="1" applyBorder="1" applyAlignment="1">
      <alignment horizontal="right" vertical="center"/>
    </xf>
    <xf numFmtId="3" fontId="46" fillId="0" borderId="0" xfId="0" applyNumberFormat="1" applyFont="1" applyFill="1" applyBorder="1" applyAlignment="1">
      <alignment vertical="center"/>
    </xf>
    <xf numFmtId="3" fontId="11" fillId="0" borderId="0" xfId="9" applyNumberFormat="1" applyFont="1" applyFill="1" applyBorder="1" applyAlignment="1">
      <alignment vertical="center"/>
    </xf>
    <xf numFmtId="0" fontId="11" fillId="0" borderId="62" xfId="0" applyFont="1" applyFill="1" applyBorder="1" applyAlignment="1">
      <alignment horizontal="center" vertical="center"/>
    </xf>
    <xf numFmtId="37" fontId="11" fillId="0" borderId="0" xfId="0" applyNumberFormat="1" applyFont="1" applyFill="1" applyBorder="1" applyAlignment="1">
      <alignment horizontal="center" vertical="center"/>
    </xf>
    <xf numFmtId="164" fontId="11" fillId="0" borderId="0" xfId="1" applyNumberFormat="1" applyFont="1" applyFill="1" applyBorder="1" applyAlignment="1">
      <alignment vertical="center"/>
    </xf>
    <xf numFmtId="169" fontId="11" fillId="0" borderId="0" xfId="1" applyNumberFormat="1" applyFont="1" applyFill="1" applyBorder="1" applyAlignment="1">
      <alignment vertical="center"/>
    </xf>
    <xf numFmtId="167" fontId="11" fillId="0" borderId="0" xfId="0" applyNumberFormat="1" applyFont="1" applyFill="1" applyBorder="1" applyAlignment="1">
      <alignment vertical="center"/>
    </xf>
    <xf numFmtId="37" fontId="11" fillId="0" borderId="0" xfId="9" applyNumberFormat="1" applyFont="1" applyFill="1" applyBorder="1" applyAlignment="1">
      <alignment vertical="center"/>
    </xf>
    <xf numFmtId="173" fontId="46" fillId="0" borderId="0" xfId="0" applyNumberFormat="1" applyFont="1" applyFill="1" applyBorder="1" applyAlignment="1">
      <alignment horizontal="right" vertical="center"/>
    </xf>
    <xf numFmtId="37" fontId="46" fillId="0" borderId="0" xfId="9" applyNumberFormat="1" applyFont="1" applyFill="1" applyBorder="1" applyAlignment="1">
      <alignment vertical="center"/>
    </xf>
    <xf numFmtId="37" fontId="46" fillId="0" borderId="8" xfId="0" applyNumberFormat="1" applyFont="1" applyFill="1" applyBorder="1" applyAlignment="1">
      <alignment vertical="center"/>
    </xf>
    <xf numFmtId="37" fontId="11" fillId="0" borderId="0" xfId="0" applyNumberFormat="1" applyFont="1" applyFill="1" applyBorder="1" applyAlignment="1">
      <alignment horizontal="right" vertical="center"/>
    </xf>
    <xf numFmtId="37" fontId="46" fillId="0" borderId="0" xfId="9" applyNumberFormat="1" applyFont="1" applyFill="1" applyBorder="1" applyAlignment="1">
      <alignment horizontal="center" vertical="center"/>
    </xf>
    <xf numFmtId="37" fontId="46" fillId="0" borderId="0" xfId="0" applyNumberFormat="1" applyFont="1" applyFill="1" applyBorder="1" applyAlignment="1">
      <alignment horizontal="right" vertical="center"/>
    </xf>
    <xf numFmtId="0" fontId="37" fillId="0" borderId="0" xfId="0" applyFont="1" applyFill="1" applyBorder="1" applyAlignment="1"/>
    <xf numFmtId="0" fontId="20" fillId="0" borderId="8" xfId="0" applyFont="1" applyFill="1" applyBorder="1" applyAlignment="1">
      <alignment vertical="center"/>
    </xf>
    <xf numFmtId="0" fontId="20" fillId="0" borderId="8" xfId="3" applyFont="1" applyFill="1" applyBorder="1" applyAlignment="1">
      <alignment vertical="center"/>
    </xf>
    <xf numFmtId="0" fontId="20" fillId="0" borderId="11" xfId="0" applyFont="1" applyFill="1" applyBorder="1" applyAlignment="1">
      <alignment vertical="center"/>
    </xf>
    <xf numFmtId="0" fontId="20" fillId="0" borderId="8" xfId="0" applyFont="1" applyFill="1" applyBorder="1" applyAlignment="1">
      <alignment horizontal="center" vertical="center"/>
    </xf>
    <xf numFmtId="3" fontId="20" fillId="0" borderId="8" xfId="0" applyNumberFormat="1" applyFont="1" applyFill="1" applyBorder="1" applyAlignment="1">
      <alignment vertical="center"/>
    </xf>
    <xf numFmtId="0" fontId="20" fillId="0" borderId="12" xfId="0" applyFont="1" applyFill="1" applyBorder="1" applyAlignment="1">
      <alignment vertical="center"/>
    </xf>
    <xf numFmtId="0" fontId="11" fillId="0" borderId="8" xfId="0" applyFont="1" applyFill="1" applyBorder="1" applyAlignment="1">
      <alignment vertical="center"/>
    </xf>
    <xf numFmtId="3" fontId="0" fillId="0" borderId="8" xfId="0" applyNumberFormat="1" applyFont="1" applyFill="1" applyBorder="1" applyAlignment="1">
      <alignment vertical="center"/>
    </xf>
    <xf numFmtId="3" fontId="45" fillId="0" borderId="8" xfId="0" applyNumberFormat="1" applyFont="1" applyFill="1" applyBorder="1" applyAlignment="1">
      <alignment vertical="center"/>
    </xf>
    <xf numFmtId="0" fontId="0" fillId="0" borderId="8" xfId="0" applyFont="1" applyFill="1" applyBorder="1" applyAlignment="1">
      <alignment vertical="center"/>
    </xf>
    <xf numFmtId="0" fontId="0" fillId="0" borderId="40" xfId="0" applyFont="1" applyFill="1" applyBorder="1" applyAlignment="1">
      <alignment vertical="center"/>
    </xf>
    <xf numFmtId="0" fontId="0" fillId="0" borderId="8" xfId="3" applyFont="1" applyFill="1" applyBorder="1" applyAlignment="1">
      <alignment horizontal="center" vertical="center"/>
    </xf>
    <xf numFmtId="0" fontId="11" fillId="0" borderId="8" xfId="0" applyFont="1" applyFill="1" applyBorder="1" applyAlignment="1">
      <alignment horizontal="center" vertical="center" wrapText="1"/>
    </xf>
    <xf numFmtId="164" fontId="0" fillId="0" borderId="8" xfId="1" applyNumberFormat="1" applyFont="1" applyFill="1" applyBorder="1" applyAlignment="1">
      <alignment vertical="center"/>
    </xf>
    <xf numFmtId="37" fontId="0" fillId="0" borderId="8" xfId="1" applyNumberFormat="1" applyFont="1" applyFill="1" applyBorder="1" applyAlignment="1">
      <alignment vertical="center"/>
    </xf>
    <xf numFmtId="167" fontId="0" fillId="0" borderId="8" xfId="0" applyNumberFormat="1" applyFont="1" applyFill="1" applyBorder="1" applyAlignment="1">
      <alignment vertical="center"/>
    </xf>
    <xf numFmtId="166" fontId="0" fillId="0" borderId="8" xfId="0" applyNumberFormat="1" applyFont="1" applyFill="1" applyBorder="1" applyAlignment="1">
      <alignment vertical="center"/>
    </xf>
    <xf numFmtId="3" fontId="45" fillId="0" borderId="8" xfId="0" applyNumberFormat="1" applyFont="1" applyFill="1" applyBorder="1" applyAlignment="1">
      <alignment horizontal="right" vertical="center"/>
    </xf>
    <xf numFmtId="166" fontId="45" fillId="0" borderId="8" xfId="0" applyNumberFormat="1" applyFont="1" applyFill="1" applyBorder="1" applyAlignment="1">
      <alignment vertical="center"/>
    </xf>
    <xf numFmtId="0" fontId="45" fillId="0" borderId="8" xfId="0" applyFont="1" applyFill="1" applyBorder="1" applyAlignment="1">
      <alignment vertical="center"/>
    </xf>
    <xf numFmtId="168" fontId="45" fillId="0" borderId="8" xfId="0" applyNumberFormat="1" applyFont="1" applyFill="1" applyBorder="1" applyAlignment="1">
      <alignment vertical="center"/>
    </xf>
    <xf numFmtId="37" fontId="0" fillId="0" borderId="6" xfId="0" applyNumberFormat="1" applyFont="1" applyFill="1" applyBorder="1" applyAlignment="1">
      <alignment vertical="center"/>
    </xf>
    <xf numFmtId="37" fontId="0" fillId="0" borderId="2" xfId="0" applyNumberFormat="1" applyFont="1" applyFill="1" applyBorder="1" applyAlignment="1">
      <alignment vertical="center"/>
    </xf>
    <xf numFmtId="37" fontId="0" fillId="0" borderId="8" xfId="0" applyNumberFormat="1" applyFont="1" applyFill="1" applyBorder="1" applyAlignment="1">
      <alignment vertical="center"/>
    </xf>
    <xf numFmtId="37" fontId="45" fillId="0" borderId="8" xfId="0" applyNumberFormat="1" applyFont="1" applyFill="1" applyBorder="1" applyAlignment="1">
      <alignment vertical="center"/>
    </xf>
    <xf numFmtId="37" fontId="45" fillId="0" borderId="8" xfId="0" applyNumberFormat="1" applyFont="1" applyFill="1" applyBorder="1" applyAlignment="1">
      <alignment horizontal="right" vertical="center"/>
    </xf>
    <xf numFmtId="37" fontId="45" fillId="0" borderId="37" xfId="0" applyNumberFormat="1" applyFont="1" applyFill="1" applyBorder="1" applyAlignment="1">
      <alignment vertical="center"/>
    </xf>
    <xf numFmtId="0" fontId="0" fillId="0" borderId="0" xfId="0" applyFont="1" applyFill="1" applyBorder="1" applyAlignment="1">
      <alignment vertical="center"/>
    </xf>
    <xf numFmtId="0" fontId="20" fillId="0" borderId="8" xfId="3" applyFont="1" applyFill="1" applyBorder="1"/>
    <xf numFmtId="0" fontId="11" fillId="0" borderId="8" xfId="0" applyFont="1" applyFill="1" applyBorder="1"/>
    <xf numFmtId="3" fontId="45" fillId="0" borderId="8" xfId="0" applyNumberFormat="1" applyFont="1" applyFill="1" applyBorder="1"/>
    <xf numFmtId="0" fontId="0" fillId="0" borderId="40" xfId="0" applyFont="1" applyFill="1" applyBorder="1"/>
    <xf numFmtId="0" fontId="0" fillId="0" borderId="8" xfId="3" applyFont="1" applyFill="1" applyBorder="1" applyAlignment="1">
      <alignment horizontal="center"/>
    </xf>
    <xf numFmtId="37" fontId="0" fillId="0" borderId="8" xfId="1" applyNumberFormat="1" applyFont="1" applyFill="1" applyBorder="1"/>
    <xf numFmtId="167" fontId="0" fillId="0" borderId="8" xfId="0" applyNumberFormat="1" applyFont="1" applyFill="1" applyBorder="1"/>
    <xf numFmtId="166" fontId="0" fillId="0" borderId="8" xfId="0" applyNumberFormat="1" applyFont="1" applyFill="1" applyBorder="1"/>
    <xf numFmtId="0" fontId="45" fillId="0" borderId="8" xfId="0" applyFont="1" applyFill="1" applyBorder="1"/>
    <xf numFmtId="168" fontId="45" fillId="0" borderId="8" xfId="0" applyNumberFormat="1" applyFont="1" applyFill="1" applyBorder="1"/>
    <xf numFmtId="37" fontId="45" fillId="0" borderId="8" xfId="0" applyNumberFormat="1" applyFont="1" applyFill="1" applyBorder="1"/>
    <xf numFmtId="3" fontId="11" fillId="10" borderId="6" xfId="0" applyNumberFormat="1" applyFont="1" applyFill="1" applyBorder="1" applyAlignment="1">
      <alignment vertical="center"/>
    </xf>
    <xf numFmtId="0" fontId="20" fillId="10" borderId="2" xfId="3" applyFont="1" applyFill="1" applyBorder="1"/>
    <xf numFmtId="168" fontId="45" fillId="10" borderId="2" xfId="0" applyNumberFormat="1" applyFont="1" applyFill="1" applyBorder="1"/>
    <xf numFmtId="0" fontId="20" fillId="0" borderId="6" xfId="0" applyNumberFormat="1" applyFont="1" applyFill="1" applyBorder="1"/>
    <xf numFmtId="0" fontId="0" fillId="0" borderId="6" xfId="0" applyFont="1" applyFill="1" applyBorder="1" applyAlignment="1">
      <alignment horizontal="center"/>
    </xf>
    <xf numFmtId="0" fontId="20" fillId="0" borderId="0" xfId="0" applyNumberFormat="1" applyFont="1" applyFill="1" applyBorder="1"/>
    <xf numFmtId="1" fontId="45" fillId="0" borderId="0" xfId="0" applyNumberFormat="1" applyFont="1" applyFill="1" applyBorder="1"/>
    <xf numFmtId="0" fontId="20" fillId="0" borderId="2" xfId="0" applyNumberFormat="1" applyFont="1" applyFill="1" applyBorder="1"/>
    <xf numFmtId="0" fontId="0" fillId="0" borderId="2" xfId="0" applyFont="1" applyFill="1" applyBorder="1" applyAlignment="1">
      <alignment horizontal="center"/>
    </xf>
    <xf numFmtId="37" fontId="46" fillId="0" borderId="2" xfId="0" applyNumberFormat="1" applyFont="1" applyFill="1" applyBorder="1" applyAlignment="1">
      <alignment vertical="center"/>
    </xf>
    <xf numFmtId="0" fontId="20" fillId="0" borderId="8" xfId="0" applyNumberFormat="1" applyFont="1" applyFill="1" applyBorder="1"/>
    <xf numFmtId="1" fontId="45" fillId="0" borderId="8" xfId="0" applyNumberFormat="1" applyFont="1" applyFill="1" applyBorder="1"/>
    <xf numFmtId="0" fontId="0" fillId="0" borderId="6" xfId="0" applyFont="1" applyFill="1" applyBorder="1" applyAlignment="1">
      <alignment horizontal="right" vertical="center"/>
    </xf>
    <xf numFmtId="0" fontId="0" fillId="0" borderId="0" xfId="3" applyFont="1" applyFill="1" applyBorder="1"/>
    <xf numFmtId="3" fontId="20" fillId="0" borderId="12" xfId="0" applyNumberFormat="1" applyFont="1" applyFill="1" applyBorder="1"/>
    <xf numFmtId="0" fontId="0" fillId="0" borderId="8" xfId="0" applyFont="1" applyFill="1" applyBorder="1" applyAlignment="1">
      <alignment horizontal="center"/>
    </xf>
    <xf numFmtId="3" fontId="46" fillId="0" borderId="8" xfId="0" applyNumberFormat="1" applyFont="1" applyFill="1" applyBorder="1" applyAlignment="1">
      <alignment vertical="center"/>
    </xf>
    <xf numFmtId="3" fontId="45" fillId="0" borderId="8" xfId="0" applyNumberFormat="1" applyFont="1" applyFill="1" applyBorder="1" applyAlignment="1">
      <alignment horizontal="center" vertical="center"/>
    </xf>
    <xf numFmtId="0" fontId="45" fillId="0" borderId="8" xfId="0" applyFont="1" applyFill="1" applyBorder="1" applyAlignment="1">
      <alignment horizontal="right" vertical="center"/>
    </xf>
    <xf numFmtId="170" fontId="0" fillId="0" borderId="0" xfId="1" applyNumberFormat="1" applyFont="1" applyFill="1" applyBorder="1"/>
    <xf numFmtId="37" fontId="11" fillId="0" borderId="8" xfId="0" applyNumberFormat="1" applyFont="1" applyFill="1" applyBorder="1" applyAlignment="1">
      <alignment vertical="center"/>
    </xf>
    <xf numFmtId="0" fontId="0" fillId="0" borderId="12" xfId="0" applyFont="1" applyFill="1" applyBorder="1"/>
    <xf numFmtId="37" fontId="47" fillId="0" borderId="8" xfId="0" applyNumberFormat="1" applyFont="1" applyFill="1" applyBorder="1"/>
    <xf numFmtId="3" fontId="20" fillId="0" borderId="34" xfId="0" applyNumberFormat="1" applyFont="1" applyFill="1" applyBorder="1"/>
    <xf numFmtId="0" fontId="0" fillId="0" borderId="34" xfId="0" applyFont="1" applyFill="1" applyBorder="1"/>
    <xf numFmtId="3" fontId="45" fillId="0" borderId="0" xfId="0" applyNumberFormat="1" applyFont="1" applyFill="1" applyBorder="1" applyAlignment="1">
      <alignment horizontal="center" vertical="center"/>
    </xf>
    <xf numFmtId="167" fontId="4" fillId="0" borderId="0" xfId="0" applyNumberFormat="1" applyFont="1" applyFill="1" applyBorder="1"/>
    <xf numFmtId="0" fontId="0" fillId="0" borderId="36" xfId="0" applyFont="1" applyFill="1" applyBorder="1"/>
    <xf numFmtId="168" fontId="0" fillId="0" borderId="8" xfId="0" applyNumberFormat="1" applyFont="1" applyFill="1" applyBorder="1"/>
    <xf numFmtId="0" fontId="20" fillId="0" borderId="8" xfId="0" applyNumberFormat="1" applyFont="1" applyFill="1" applyBorder="1" applyAlignment="1">
      <alignment vertical="center"/>
    </xf>
    <xf numFmtId="0" fontId="0" fillId="0" borderId="8" xfId="0" applyFont="1" applyFill="1" applyBorder="1" applyAlignment="1">
      <alignment horizontal="center" vertical="center"/>
    </xf>
    <xf numFmtId="166" fontId="45" fillId="0" borderId="6" xfId="0" applyNumberFormat="1" applyFont="1" applyFill="1" applyBorder="1" applyAlignment="1">
      <alignment vertical="center"/>
    </xf>
    <xf numFmtId="169" fontId="0" fillId="10" borderId="6" xfId="1" applyNumberFormat="1" applyFont="1" applyFill="1" applyBorder="1"/>
    <xf numFmtId="0" fontId="20" fillId="10" borderId="0" xfId="3" applyFont="1" applyFill="1" applyBorder="1"/>
    <xf numFmtId="0" fontId="11" fillId="10" borderId="0" xfId="0" applyFont="1" applyFill="1" applyBorder="1"/>
    <xf numFmtId="3" fontId="45" fillId="10" borderId="0" xfId="0" applyNumberFormat="1" applyFont="1" applyFill="1" applyBorder="1"/>
    <xf numFmtId="0" fontId="0" fillId="10" borderId="62" xfId="0" applyFont="1" applyFill="1" applyBorder="1"/>
    <xf numFmtId="0" fontId="0" fillId="10" borderId="0" xfId="3" applyFont="1" applyFill="1" applyBorder="1" applyAlignment="1">
      <alignment horizontal="center"/>
    </xf>
    <xf numFmtId="164" fontId="0" fillId="10" borderId="0" xfId="1" applyNumberFormat="1" applyFont="1" applyFill="1" applyBorder="1"/>
    <xf numFmtId="167" fontId="0" fillId="10" borderId="0" xfId="0" applyNumberFormat="1" applyFont="1" applyFill="1" applyBorder="1"/>
    <xf numFmtId="166" fontId="0" fillId="10" borderId="0" xfId="0" applyNumberFormat="1" applyFont="1" applyFill="1" applyBorder="1"/>
    <xf numFmtId="166" fontId="45" fillId="10" borderId="0" xfId="0" applyNumberFormat="1" applyFont="1" applyFill="1" applyBorder="1"/>
    <xf numFmtId="37" fontId="46" fillId="10" borderId="0" xfId="0" applyNumberFormat="1" applyFont="1" applyFill="1" applyBorder="1" applyAlignment="1">
      <alignment vertical="center"/>
    </xf>
    <xf numFmtId="0" fontId="45" fillId="10" borderId="0" xfId="0" applyFont="1" applyFill="1" applyBorder="1"/>
    <xf numFmtId="168" fontId="45" fillId="10" borderId="0" xfId="0" applyNumberFormat="1" applyFont="1" applyFill="1" applyBorder="1"/>
    <xf numFmtId="37" fontId="45" fillId="10" borderId="0" xfId="0" applyNumberFormat="1" applyFont="1" applyFill="1" applyBorder="1"/>
    <xf numFmtId="37" fontId="45" fillId="10" borderId="13" xfId="0" applyNumberFormat="1" applyFont="1" applyFill="1" applyBorder="1"/>
    <xf numFmtId="3" fontId="20" fillId="0" borderId="36" xfId="0" applyNumberFormat="1" applyFont="1" applyFill="1" applyBorder="1"/>
    <xf numFmtId="0" fontId="0" fillId="0" borderId="35" xfId="0" applyFont="1" applyFill="1" applyBorder="1"/>
    <xf numFmtId="3" fontId="46" fillId="0" borderId="6" xfId="0" applyNumberFormat="1" applyFont="1" applyFill="1" applyBorder="1" applyAlignment="1">
      <alignment vertical="center"/>
    </xf>
    <xf numFmtId="3" fontId="20" fillId="0" borderId="4" xfId="0" applyNumberFormat="1" applyFont="1" applyFill="1" applyBorder="1"/>
    <xf numFmtId="0" fontId="0" fillId="0" borderId="3" xfId="0" applyFont="1" applyFill="1" applyBorder="1"/>
    <xf numFmtId="3" fontId="46" fillId="0" borderId="2" xfId="0" applyNumberFormat="1" applyFont="1" applyFill="1" applyBorder="1" applyAlignment="1">
      <alignment vertical="center"/>
    </xf>
    <xf numFmtId="169" fontId="0" fillId="0" borderId="8" xfId="1" applyNumberFormat="1" applyFont="1" applyFill="1" applyBorder="1" applyAlignment="1">
      <alignment vertical="center"/>
    </xf>
    <xf numFmtId="3" fontId="0" fillId="0" borderId="12" xfId="0" applyNumberFormat="1" applyFont="1" applyFill="1" applyBorder="1"/>
    <xf numFmtId="3" fontId="0" fillId="0" borderId="4" xfId="0" applyNumberFormat="1" applyFont="1" applyFill="1" applyBorder="1"/>
    <xf numFmtId="3" fontId="0" fillId="10" borderId="6" xfId="0" applyNumberFormat="1" applyFont="1" applyFill="1" applyBorder="1" applyAlignment="1">
      <alignment horizontal="right"/>
    </xf>
    <xf numFmtId="3" fontId="45" fillId="10" borderId="6" xfId="0" applyNumberFormat="1" applyFont="1" applyFill="1" applyBorder="1" applyAlignment="1">
      <alignment horizontal="right"/>
    </xf>
    <xf numFmtId="3" fontId="11" fillId="10" borderId="6" xfId="0" applyNumberFormat="1" applyFont="1" applyFill="1" applyBorder="1" applyAlignment="1">
      <alignment horizontal="right" vertical="center"/>
    </xf>
    <xf numFmtId="3" fontId="0" fillId="10" borderId="0" xfId="0" applyNumberFormat="1" applyFont="1" applyFill="1" applyBorder="1" applyAlignment="1">
      <alignment horizontal="right"/>
    </xf>
    <xf numFmtId="3" fontId="45" fillId="10" borderId="0" xfId="0" applyNumberFormat="1" applyFont="1" applyFill="1" applyBorder="1" applyAlignment="1">
      <alignment horizontal="right"/>
    </xf>
    <xf numFmtId="3" fontId="11" fillId="10" borderId="0" xfId="0" applyNumberFormat="1" applyFont="1" applyFill="1" applyBorder="1" applyAlignment="1">
      <alignment horizontal="right" vertical="center"/>
    </xf>
    <xf numFmtId="3" fontId="0" fillId="10" borderId="2" xfId="0" applyNumberFormat="1" applyFont="1" applyFill="1" applyBorder="1" applyAlignment="1">
      <alignment horizontal="right"/>
    </xf>
    <xf numFmtId="3" fontId="45" fillId="10" borderId="2" xfId="0" applyNumberFormat="1" applyFont="1" applyFill="1" applyBorder="1" applyAlignment="1">
      <alignment horizontal="right"/>
    </xf>
    <xf numFmtId="3" fontId="11" fillId="10" borderId="2" xfId="0" applyNumberFormat="1" applyFont="1" applyFill="1" applyBorder="1" applyAlignment="1">
      <alignment horizontal="right" vertical="center"/>
    </xf>
    <xf numFmtId="169" fontId="0" fillId="10" borderId="2" xfId="1" applyNumberFormat="1" applyFont="1" applyFill="1" applyBorder="1"/>
    <xf numFmtId="0" fontId="24" fillId="0" borderId="0" xfId="0" applyFont="1" applyFill="1" applyBorder="1" applyAlignment="1">
      <alignment horizontal="center" vertical="center"/>
    </xf>
    <xf numFmtId="0" fontId="0" fillId="0" borderId="33" xfId="0" applyFont="1" applyFill="1" applyBorder="1"/>
    <xf numFmtId="0" fontId="0" fillId="0" borderId="4" xfId="0" applyFont="1" applyFill="1" applyBorder="1"/>
    <xf numFmtId="0" fontId="0" fillId="0" borderId="2" xfId="0" applyFont="1" applyFill="1" applyBorder="1" applyAlignment="1">
      <alignment horizontal="right" vertical="center"/>
    </xf>
    <xf numFmtId="0" fontId="45" fillId="0" borderId="2" xfId="0" applyFont="1" applyFill="1" applyBorder="1" applyAlignment="1">
      <alignment horizontal="right" vertical="center"/>
    </xf>
    <xf numFmtId="3" fontId="4" fillId="0" borderId="8" xfId="0" applyNumberFormat="1" applyFont="1" applyFill="1" applyBorder="1" applyAlignment="1">
      <alignment vertical="center"/>
    </xf>
    <xf numFmtId="37" fontId="45" fillId="0" borderId="2" xfId="0" applyNumberFormat="1" applyFont="1" applyFill="1" applyBorder="1" applyAlignment="1">
      <alignment vertical="center"/>
    </xf>
    <xf numFmtId="0" fontId="0" fillId="0" borderId="10" xfId="0" applyFont="1" applyFill="1" applyBorder="1" applyAlignment="1">
      <alignment horizontal="right" vertical="center"/>
    </xf>
    <xf numFmtId="0" fontId="0" fillId="0" borderId="2" xfId="0" applyFont="1" applyFill="1" applyBorder="1" applyAlignment="1">
      <alignment vertical="center"/>
    </xf>
    <xf numFmtId="0" fontId="48" fillId="0" borderId="2" xfId="3" applyFont="1" applyFill="1" applyBorder="1" applyAlignment="1">
      <alignment horizontal="center" wrapText="1"/>
    </xf>
    <xf numFmtId="0" fontId="37" fillId="0" borderId="0" xfId="0" applyFont="1" applyFill="1" applyBorder="1" applyAlignment="1">
      <alignment horizontal="center"/>
    </xf>
    <xf numFmtId="0" fontId="48" fillId="0" borderId="8" xfId="3" applyFont="1" applyFill="1" applyBorder="1" applyAlignment="1">
      <alignment horizontal="center" wrapText="1"/>
    </xf>
    <xf numFmtId="0" fontId="20" fillId="0" borderId="10" xfId="0" applyFont="1" applyFill="1" applyBorder="1"/>
    <xf numFmtId="0" fontId="35" fillId="0" borderId="7" xfId="0" applyFont="1" applyFill="1" applyBorder="1" applyAlignment="1">
      <alignment horizontal="center" vertical="center"/>
    </xf>
    <xf numFmtId="0" fontId="35" fillId="0" borderId="39" xfId="0" applyFont="1" applyFill="1" applyBorder="1" applyAlignment="1">
      <alignment horizontal="center" vertical="center"/>
    </xf>
    <xf numFmtId="0" fontId="32" fillId="0" borderId="7" xfId="0" applyNumberFormat="1" applyFont="1" applyFill="1" applyBorder="1"/>
    <xf numFmtId="0" fontId="32" fillId="0" borderId="2" xfId="0" applyFont="1" applyFill="1" applyBorder="1"/>
    <xf numFmtId="0" fontId="32" fillId="0" borderId="2" xfId="3" applyFont="1" applyFill="1" applyBorder="1"/>
    <xf numFmtId="3" fontId="32" fillId="0" borderId="2" xfId="0" applyNumberFormat="1" applyFont="1" applyFill="1" applyBorder="1"/>
    <xf numFmtId="0" fontId="34" fillId="0" borderId="8" xfId="0" applyFont="1" applyFill="1" applyBorder="1" applyAlignment="1">
      <alignment horizontal="right" vertical="center"/>
    </xf>
    <xf numFmtId="0" fontId="34" fillId="0" borderId="39" xfId="0" applyFont="1" applyFill="1" applyBorder="1"/>
    <xf numFmtId="167" fontId="34" fillId="0" borderId="2" xfId="0" applyNumberFormat="1" applyFont="1" applyFill="1" applyBorder="1"/>
    <xf numFmtId="167" fontId="34" fillId="0" borderId="8" xfId="0" applyNumberFormat="1" applyFont="1" applyFill="1" applyBorder="1"/>
    <xf numFmtId="3" fontId="34" fillId="0" borderId="8" xfId="0" applyNumberFormat="1" applyFont="1" applyFill="1" applyBorder="1" applyAlignment="1">
      <alignment horizontal="center"/>
    </xf>
    <xf numFmtId="167" fontId="34" fillId="0" borderId="8" xfId="0" applyNumberFormat="1" applyFont="1" applyFill="1" applyBorder="1" applyAlignment="1">
      <alignment vertical="center"/>
    </xf>
    <xf numFmtId="0" fontId="34" fillId="0" borderId="8" xfId="0" applyFont="1" applyFill="1" applyBorder="1" applyAlignment="1">
      <alignment vertical="center"/>
    </xf>
    <xf numFmtId="37" fontId="33" fillId="0" borderId="0" xfId="0" applyNumberFormat="1" applyFont="1" applyFill="1" applyBorder="1" applyAlignment="1">
      <alignment vertical="center"/>
    </xf>
    <xf numFmtId="0" fontId="34" fillId="0" borderId="0" xfId="0" applyFont="1" applyFill="1" applyBorder="1" applyAlignment="1">
      <alignment horizontal="right" vertical="center"/>
    </xf>
    <xf numFmtId="168" fontId="34" fillId="0" borderId="0" xfId="0" applyNumberFormat="1" applyFont="1" applyFill="1" applyBorder="1"/>
    <xf numFmtId="0" fontId="34" fillId="0" borderId="10" xfId="0" applyFont="1" applyFill="1" applyBorder="1" applyAlignment="1">
      <alignment horizontal="right" vertical="center"/>
    </xf>
    <xf numFmtId="37" fontId="34" fillId="0" borderId="35" xfId="0" applyNumberFormat="1" applyFont="1" applyFill="1" applyBorder="1" applyAlignment="1">
      <alignment horizontal="right" vertical="center"/>
    </xf>
    <xf numFmtId="37" fontId="49" fillId="0" borderId="8" xfId="0" applyNumberFormat="1" applyFont="1" applyFill="1" applyBorder="1"/>
    <xf numFmtId="37" fontId="49" fillId="0" borderId="2" xfId="0" applyNumberFormat="1" applyFont="1" applyFill="1" applyBorder="1"/>
    <xf numFmtId="37" fontId="49" fillId="0" borderId="8" xfId="0" applyNumberFormat="1" applyFont="1" applyFill="1" applyBorder="1" applyAlignment="1">
      <alignment horizontal="right" vertical="center"/>
    </xf>
    <xf numFmtId="37" fontId="49" fillId="0" borderId="37" xfId="0" applyNumberFormat="1" applyFont="1" applyFill="1" applyBorder="1"/>
    <xf numFmtId="0" fontId="34" fillId="0" borderId="33" xfId="0" applyFont="1" applyFill="1" applyBorder="1"/>
    <xf numFmtId="0" fontId="34" fillId="0" borderId="2" xfId="0" applyFont="1" applyFill="1" applyBorder="1"/>
    <xf numFmtId="0" fontId="35" fillId="0" borderId="8" xfId="0" applyFont="1" applyFill="1" applyBorder="1" applyAlignment="1">
      <alignment horizontal="center" vertical="center"/>
    </xf>
    <xf numFmtId="0" fontId="34" fillId="0" borderId="38" xfId="0" applyFont="1" applyFill="1" applyBorder="1"/>
    <xf numFmtId="167" fontId="34" fillId="0" borderId="0" xfId="0" applyNumberFormat="1" applyFont="1" applyFill="1" applyBorder="1"/>
    <xf numFmtId="3" fontId="34" fillId="0" borderId="0" xfId="0" applyNumberFormat="1" applyFont="1" applyFill="1" applyBorder="1" applyAlignment="1">
      <alignment horizontal="center"/>
    </xf>
    <xf numFmtId="170" fontId="0" fillId="0" borderId="6" xfId="1" applyNumberFormat="1" applyFont="1" applyFill="1" applyBorder="1"/>
    <xf numFmtId="1" fontId="45" fillId="0" borderId="6" xfId="0" applyNumberFormat="1" applyFont="1" applyFill="1" applyBorder="1"/>
    <xf numFmtId="0" fontId="20" fillId="10" borderId="8" xfId="3" applyFont="1" applyFill="1" applyBorder="1"/>
    <xf numFmtId="0" fontId="11" fillId="10" borderId="8" xfId="0" applyFont="1" applyFill="1" applyBorder="1"/>
    <xf numFmtId="3" fontId="45" fillId="10" borderId="8" xfId="0" applyNumberFormat="1" applyFont="1" applyFill="1" applyBorder="1"/>
    <xf numFmtId="3" fontId="11" fillId="10" borderId="8" xfId="0" applyNumberFormat="1" applyFont="1" applyFill="1" applyBorder="1" applyAlignment="1">
      <alignment vertical="center"/>
    </xf>
    <xf numFmtId="0" fontId="0" fillId="10" borderId="40" xfId="0" applyFont="1" applyFill="1" applyBorder="1"/>
    <xf numFmtId="0" fontId="0" fillId="10" borderId="8" xfId="3" applyFont="1" applyFill="1" applyBorder="1" applyAlignment="1">
      <alignment horizontal="center"/>
    </xf>
    <xf numFmtId="164" fontId="0" fillId="10" borderId="8" xfId="1" applyNumberFormat="1" applyFont="1" applyFill="1" applyBorder="1"/>
    <xf numFmtId="37" fontId="0" fillId="10" borderId="8" xfId="1" applyNumberFormat="1" applyFont="1" applyFill="1" applyBorder="1"/>
    <xf numFmtId="167" fontId="0" fillId="10" borderId="8" xfId="0" applyNumberFormat="1" applyFont="1" applyFill="1" applyBorder="1"/>
    <xf numFmtId="166" fontId="0" fillId="10" borderId="8" xfId="0" applyNumberFormat="1" applyFont="1" applyFill="1" applyBorder="1"/>
    <xf numFmtId="3" fontId="45" fillId="10" borderId="8" xfId="0" applyNumberFormat="1" applyFont="1" applyFill="1" applyBorder="1" applyAlignment="1">
      <alignment horizontal="right" vertical="center"/>
    </xf>
    <xf numFmtId="166" fontId="45" fillId="10" borderId="8" xfId="0" applyNumberFormat="1" applyFont="1" applyFill="1" applyBorder="1"/>
    <xf numFmtId="0" fontId="45" fillId="10" borderId="8" xfId="0" applyFont="1" applyFill="1" applyBorder="1"/>
    <xf numFmtId="168" fontId="45" fillId="10" borderId="8" xfId="0" applyNumberFormat="1" applyFont="1" applyFill="1" applyBorder="1"/>
    <xf numFmtId="0" fontId="0" fillId="10" borderId="8" xfId="0" applyFont="1" applyFill="1" applyBorder="1" applyAlignment="1">
      <alignment horizontal="right" vertical="center"/>
    </xf>
    <xf numFmtId="37" fontId="0" fillId="10" borderId="8" xfId="0" applyNumberFormat="1" applyFont="1" applyFill="1" applyBorder="1"/>
    <xf numFmtId="37" fontId="45" fillId="10" borderId="8" xfId="0" applyNumberFormat="1" applyFont="1" applyFill="1" applyBorder="1"/>
    <xf numFmtId="37" fontId="45" fillId="10" borderId="8" xfId="0" applyNumberFormat="1" applyFont="1" applyFill="1" applyBorder="1" applyAlignment="1">
      <alignment horizontal="right" vertical="center"/>
    </xf>
    <xf numFmtId="1" fontId="45" fillId="0" borderId="2" xfId="0" applyNumberFormat="1" applyFont="1" applyFill="1" applyBorder="1"/>
    <xf numFmtId="0" fontId="19" fillId="0" borderId="0" xfId="0" applyFont="1" applyFill="1" applyAlignment="1">
      <alignment horizontal="center" vertical="center"/>
    </xf>
    <xf numFmtId="0" fontId="0" fillId="0" borderId="0" xfId="0" applyFont="1" applyFill="1" applyAlignment="1">
      <alignment horizontal="center"/>
    </xf>
    <xf numFmtId="0" fontId="45" fillId="0" borderId="0" xfId="0" applyFont="1" applyFill="1"/>
    <xf numFmtId="164" fontId="0" fillId="0" borderId="0" xfId="1" applyNumberFormat="1" applyFont="1" applyFill="1"/>
    <xf numFmtId="167" fontId="0" fillId="0" borderId="0" xfId="0" applyNumberFormat="1" applyFont="1" applyFill="1"/>
    <xf numFmtId="37" fontId="0" fillId="0" borderId="0" xfId="0" applyNumberFormat="1" applyFont="1" applyFill="1"/>
    <xf numFmtId="37" fontId="45" fillId="0" borderId="0" xfId="0" applyNumberFormat="1" applyFont="1" applyFill="1"/>
    <xf numFmtId="3" fontId="20" fillId="10" borderId="10" xfId="0" applyNumberFormat="1" applyFont="1" applyFill="1" applyBorder="1"/>
    <xf numFmtId="37" fontId="11" fillId="10" borderId="8" xfId="0" applyNumberFormat="1" applyFont="1" applyFill="1" applyBorder="1" applyAlignment="1">
      <alignment vertical="center"/>
    </xf>
    <xf numFmtId="1" fontId="0" fillId="10" borderId="8" xfId="0" applyNumberFormat="1" applyFont="1" applyFill="1" applyBorder="1"/>
    <xf numFmtId="0" fontId="0" fillId="10" borderId="12" xfId="0" applyFont="1" applyFill="1" applyBorder="1"/>
    <xf numFmtId="3" fontId="46" fillId="10" borderId="8" xfId="0" applyNumberFormat="1" applyFont="1" applyFill="1" applyBorder="1" applyAlignment="1">
      <alignment vertical="center"/>
    </xf>
    <xf numFmtId="3" fontId="45" fillId="10" borderId="8" xfId="0" applyNumberFormat="1" applyFont="1" applyFill="1" applyBorder="1" applyAlignment="1">
      <alignment horizontal="center" vertical="center"/>
    </xf>
    <xf numFmtId="1" fontId="45" fillId="10" borderId="8" xfId="0" applyNumberFormat="1" applyFont="1" applyFill="1" applyBorder="1"/>
    <xf numFmtId="37" fontId="47" fillId="10" borderId="2" xfId="0" applyNumberFormat="1" applyFont="1" applyFill="1" applyBorder="1"/>
    <xf numFmtId="1" fontId="0" fillId="0" borderId="0" xfId="0" applyNumberFormat="1" applyFont="1" applyFill="1" applyBorder="1"/>
    <xf numFmtId="37" fontId="47" fillId="0" borderId="0" xfId="0" applyNumberFormat="1" applyFont="1" applyFill="1" applyBorder="1"/>
    <xf numFmtId="0" fontId="20" fillId="0" borderId="8" xfId="0" applyFont="1" applyFill="1" applyBorder="1" applyAlignment="1">
      <alignment horizontal="left"/>
    </xf>
    <xf numFmtId="37" fontId="0" fillId="0" borderId="11" xfId="0" applyNumberFormat="1" applyFont="1" applyFill="1" applyBorder="1" applyAlignment="1">
      <alignment horizontal="right" vertical="center"/>
    </xf>
    <xf numFmtId="37" fontId="45" fillId="0" borderId="10" xfId="0" applyNumberFormat="1" applyFont="1" applyFill="1" applyBorder="1"/>
    <xf numFmtId="0" fontId="37" fillId="0" borderId="0" xfId="0" applyFont="1" applyFill="1" applyBorder="1" applyAlignment="1">
      <alignment horizontal="center" vertical="center"/>
    </xf>
    <xf numFmtId="0" fontId="20" fillId="0" borderId="0" xfId="0" applyFont="1" applyFill="1" applyBorder="1" applyAlignment="1">
      <alignment horizontal="left"/>
    </xf>
    <xf numFmtId="0" fontId="50" fillId="0" borderId="8" xfId="0" applyFont="1" applyFill="1" applyBorder="1" applyAlignment="1">
      <alignment horizontal="center" vertical="center" wrapText="1"/>
    </xf>
    <xf numFmtId="0" fontId="36" fillId="0" borderId="8" xfId="0" applyFont="1" applyFill="1" applyBorder="1" applyAlignment="1">
      <alignment horizontal="center" vertical="center" wrapText="1"/>
    </xf>
    <xf numFmtId="0" fontId="21" fillId="0" borderId="8" xfId="0" applyFont="1" applyFill="1" applyBorder="1" applyAlignment="1">
      <alignment horizontal="right"/>
    </xf>
    <xf numFmtId="0" fontId="21" fillId="0" borderId="8" xfId="3" applyFont="1" applyFill="1" applyBorder="1" applyAlignment="1">
      <alignment horizontal="right"/>
    </xf>
    <xf numFmtId="37" fontId="21" fillId="0" borderId="10" xfId="0" applyNumberFormat="1" applyFont="1" applyFill="1" applyBorder="1" applyAlignment="1">
      <alignment horizontal="right"/>
    </xf>
    <xf numFmtId="0" fontId="21" fillId="0" borderId="8" xfId="0" applyFont="1" applyFill="1" applyBorder="1"/>
    <xf numFmtId="0" fontId="21" fillId="0" borderId="8" xfId="0" applyFont="1" applyFill="1" applyBorder="1" applyAlignment="1">
      <alignment horizontal="center"/>
    </xf>
    <xf numFmtId="164" fontId="20" fillId="0" borderId="8" xfId="1" applyNumberFormat="1" applyFont="1" applyFill="1" applyBorder="1" applyAlignment="1">
      <alignment horizontal="right"/>
    </xf>
    <xf numFmtId="0" fontId="20" fillId="0" borderId="12" xfId="0" applyFont="1" applyFill="1" applyBorder="1" applyAlignment="1">
      <alignment horizontal="center"/>
    </xf>
    <xf numFmtId="37" fontId="7" fillId="0" borderId="8" xfId="0" applyNumberFormat="1" applyFont="1" applyFill="1" applyBorder="1" applyAlignment="1">
      <alignment horizontal="center" vertical="center"/>
    </xf>
    <xf numFmtId="0" fontId="51" fillId="0" borderId="0" xfId="0" applyFont="1" applyFill="1" applyAlignment="1">
      <alignment horizontal="center" vertical="center"/>
    </xf>
    <xf numFmtId="0" fontId="0" fillId="0" borderId="0" xfId="0" applyFont="1" applyFill="1" applyAlignment="1">
      <alignment horizontal="left"/>
    </xf>
    <xf numFmtId="0" fontId="0" fillId="0" borderId="8" xfId="3" applyFont="1" applyFill="1" applyBorder="1"/>
    <xf numFmtId="0" fontId="0" fillId="0" borderId="10" xfId="0" applyFont="1" applyFill="1" applyBorder="1"/>
    <xf numFmtId="0" fontId="50" fillId="0" borderId="7" xfId="0" applyFont="1" applyFill="1" applyBorder="1" applyAlignment="1">
      <alignment horizontal="center" vertical="center" wrapText="1"/>
    </xf>
    <xf numFmtId="0" fontId="36" fillId="0" borderId="39" xfId="0" applyFont="1" applyFill="1" applyBorder="1" applyAlignment="1">
      <alignment horizontal="center" vertical="center" wrapText="1"/>
    </xf>
    <xf numFmtId="3" fontId="21" fillId="0" borderId="5" xfId="0" applyNumberFormat="1" applyFont="1" applyFill="1" applyBorder="1"/>
    <xf numFmtId="0" fontId="21" fillId="0" borderId="12" xfId="0" applyFont="1" applyFill="1" applyBorder="1" applyAlignment="1">
      <alignment horizontal="center"/>
    </xf>
    <xf numFmtId="0" fontId="7" fillId="0" borderId="8" xfId="0" applyFont="1" applyFill="1" applyBorder="1"/>
    <xf numFmtId="3" fontId="8" fillId="0" borderId="6" xfId="0" applyNumberFormat="1" applyFont="1" applyFill="1" applyBorder="1" applyAlignment="1">
      <alignment horizontal="center"/>
    </xf>
    <xf numFmtId="0" fontId="0" fillId="0" borderId="7" xfId="0" applyFont="1" applyFill="1" applyBorder="1"/>
    <xf numFmtId="0" fontId="0" fillId="0" borderId="13" xfId="0" applyFont="1" applyFill="1" applyBorder="1"/>
    <xf numFmtId="0" fontId="50" fillId="0" borderId="8" xfId="0" applyFont="1" applyFill="1" applyBorder="1" applyAlignment="1">
      <alignment horizontal="center" vertical="center"/>
    </xf>
    <xf numFmtId="0" fontId="36" fillId="0" borderId="39" xfId="0" applyFont="1" applyFill="1" applyBorder="1" applyAlignment="1">
      <alignment horizontal="center" vertical="center"/>
    </xf>
    <xf numFmtId="37" fontId="21" fillId="0" borderId="8" xfId="0" applyNumberFormat="1" applyFont="1" applyFill="1" applyBorder="1" applyAlignment="1"/>
    <xf numFmtId="37" fontId="21" fillId="0" borderId="12" xfId="0" applyNumberFormat="1" applyFont="1" applyFill="1" applyBorder="1" applyAlignment="1">
      <alignment horizontal="center"/>
    </xf>
    <xf numFmtId="1" fontId="8" fillId="0" borderId="8" xfId="0" applyNumberFormat="1" applyFont="1" applyFill="1" applyBorder="1" applyAlignment="1">
      <alignment horizontal="right"/>
    </xf>
    <xf numFmtId="0" fontId="8" fillId="0" borderId="8" xfId="0" applyNumberFormat="1" applyFont="1" applyFill="1" applyBorder="1" applyAlignment="1"/>
    <xf numFmtId="0" fontId="21" fillId="0" borderId="10" xfId="0" applyFont="1" applyFill="1" applyBorder="1"/>
    <xf numFmtId="0" fontId="21" fillId="0" borderId="8" xfId="0" applyNumberFormat="1" applyFont="1" applyFill="1" applyBorder="1"/>
    <xf numFmtId="37" fontId="21" fillId="0" borderId="8" xfId="0" applyNumberFormat="1" applyFont="1" applyFill="1" applyBorder="1" applyAlignment="1">
      <alignment horizontal="center"/>
    </xf>
    <xf numFmtId="169" fontId="21" fillId="0" borderId="8" xfId="0" applyNumberFormat="1" applyFont="1" applyFill="1" applyBorder="1" applyAlignment="1">
      <alignment horizontal="center"/>
    </xf>
    <xf numFmtId="0" fontId="11" fillId="0" borderId="0" xfId="0" applyFont="1" applyFill="1" applyAlignment="1">
      <alignment horizontal="center" vertical="center"/>
    </xf>
    <xf numFmtId="0" fontId="8" fillId="0" borderId="8" xfId="0" applyNumberFormat="1" applyFont="1" applyFill="1" applyBorder="1" applyAlignment="1">
      <alignment horizontal="left"/>
    </xf>
    <xf numFmtId="37" fontId="21" fillId="0" borderId="34" xfId="0" applyNumberFormat="1" applyFont="1" applyFill="1" applyBorder="1" applyAlignment="1">
      <alignment horizontal="center"/>
    </xf>
    <xf numFmtId="0" fontId="7" fillId="0" borderId="0" xfId="0" applyFont="1" applyFill="1" applyBorder="1" applyAlignment="1">
      <alignment horizontal="left"/>
    </xf>
    <xf numFmtId="0" fontId="7" fillId="0" borderId="0" xfId="0" applyFont="1" applyFill="1" applyBorder="1" applyAlignment="1">
      <alignment horizontal="center" vertical="center"/>
    </xf>
    <xf numFmtId="0" fontId="8" fillId="0" borderId="0" xfId="0" applyNumberFormat="1" applyFont="1" applyFill="1" applyBorder="1" applyAlignment="1">
      <alignment horizontal="left"/>
    </xf>
    <xf numFmtId="0" fontId="7" fillId="0" borderId="0" xfId="0" applyFont="1" applyFill="1" applyBorder="1" applyAlignment="1"/>
    <xf numFmtId="168" fontId="8" fillId="0" borderId="8" xfId="0" applyNumberFormat="1" applyFont="1" applyFill="1" applyBorder="1" applyAlignment="1">
      <alignment horizontal="right"/>
    </xf>
    <xf numFmtId="0" fontId="53" fillId="0" borderId="7" xfId="0" applyFont="1" applyFill="1" applyBorder="1" applyAlignment="1">
      <alignment horizontal="center" vertical="center"/>
    </xf>
    <xf numFmtId="0" fontId="54" fillId="0" borderId="8" xfId="0" applyFont="1" applyFill="1" applyBorder="1" applyAlignment="1">
      <alignment horizontal="center"/>
    </xf>
    <xf numFmtId="0" fontId="46" fillId="0" borderId="8" xfId="0" applyFont="1" applyFill="1" applyBorder="1"/>
    <xf numFmtId="0" fontId="46" fillId="0" borderId="8" xfId="3" applyFont="1" applyFill="1" applyBorder="1"/>
    <xf numFmtId="0" fontId="46" fillId="0" borderId="10" xfId="0" applyFont="1" applyFill="1" applyBorder="1"/>
    <xf numFmtId="0" fontId="46" fillId="0" borderId="8" xfId="0" applyFont="1" applyFill="1" applyBorder="1" applyAlignment="1">
      <alignment horizontal="center"/>
    </xf>
    <xf numFmtId="0" fontId="46" fillId="0" borderId="12" xfId="0" applyFont="1" applyFill="1" applyBorder="1"/>
    <xf numFmtId="3" fontId="54" fillId="0" borderId="7" xfId="0" applyNumberFormat="1" applyFont="1" applyFill="1" applyBorder="1" applyAlignment="1">
      <alignment horizontal="right" vertical="center"/>
    </xf>
    <xf numFmtId="0" fontId="46" fillId="0" borderId="40" xfId="0" applyFont="1" applyFill="1" applyBorder="1"/>
    <xf numFmtId="0" fontId="46" fillId="0" borderId="8" xfId="3" applyFont="1" applyFill="1" applyBorder="1" applyAlignment="1">
      <alignment horizontal="center"/>
    </xf>
    <xf numFmtId="0" fontId="46" fillId="0" borderId="8" xfId="0" applyFont="1" applyFill="1" applyBorder="1" applyAlignment="1">
      <alignment horizontal="center" vertical="center"/>
    </xf>
    <xf numFmtId="164" fontId="54" fillId="0" borderId="64" xfId="1" applyNumberFormat="1" applyFont="1" applyFill="1" applyBorder="1"/>
    <xf numFmtId="0" fontId="46" fillId="0" borderId="33" xfId="0" applyFont="1" applyFill="1" applyBorder="1"/>
    <xf numFmtId="0" fontId="46" fillId="0" borderId="0" xfId="0" applyFont="1" applyFill="1" applyBorder="1"/>
    <xf numFmtId="0" fontId="0" fillId="0" borderId="6" xfId="3" applyFont="1" applyFill="1" applyBorder="1"/>
    <xf numFmtId="0" fontId="0" fillId="11" borderId="0" xfId="3" applyFont="1" applyFill="1" applyBorder="1"/>
    <xf numFmtId="0" fontId="45" fillId="11" borderId="0" xfId="0" applyFont="1" applyFill="1"/>
    <xf numFmtId="164" fontId="0" fillId="11" borderId="0" xfId="1" applyNumberFormat="1" applyFont="1" applyFill="1"/>
    <xf numFmtId="167" fontId="0" fillId="11" borderId="0" xfId="0" applyNumberFormat="1" applyFont="1" applyFill="1"/>
    <xf numFmtId="0" fontId="0" fillId="0" borderId="0" xfId="0" applyFont="1"/>
    <xf numFmtId="0" fontId="0" fillId="0" borderId="0" xfId="0" applyFont="1" applyBorder="1"/>
    <xf numFmtId="0" fontId="0" fillId="0" borderId="0" xfId="0" applyFont="1" applyBorder="1" applyAlignment="1">
      <alignment horizontal="center"/>
    </xf>
    <xf numFmtId="0" fontId="0" fillId="0" borderId="0" xfId="0" applyFont="1" applyBorder="1" applyAlignment="1">
      <alignment horizontal="right" vertical="center"/>
    </xf>
    <xf numFmtId="164" fontId="0" fillId="11" borderId="0" xfId="1" applyNumberFormat="1" applyFont="1" applyFill="1" applyBorder="1"/>
    <xf numFmtId="167" fontId="0" fillId="11" borderId="0" xfId="0" applyNumberFormat="1" applyFont="1" applyFill="1" applyBorder="1"/>
    <xf numFmtId="3" fontId="4" fillId="11" borderId="0" xfId="0" applyNumberFormat="1" applyFont="1" applyFill="1" applyBorder="1"/>
    <xf numFmtId="0" fontId="45" fillId="11" borderId="0" xfId="0" applyFont="1" applyFill="1" applyBorder="1"/>
    <xf numFmtId="0" fontId="0" fillId="0" borderId="57" xfId="3" applyFont="1" applyFill="1" applyBorder="1" applyAlignment="1">
      <alignment horizontal="center"/>
    </xf>
    <xf numFmtId="0" fontId="0" fillId="0" borderId="1" xfId="3" applyFont="1" applyFill="1" applyAlignment="1">
      <alignment horizontal="center"/>
    </xf>
    <xf numFmtId="0" fontId="0" fillId="0" borderId="42" xfId="0" applyFont="1" applyFill="1" applyBorder="1"/>
    <xf numFmtId="0" fontId="0" fillId="11" borderId="1" xfId="3" applyFont="1" applyFill="1"/>
    <xf numFmtId="0" fontId="0" fillId="11" borderId="13" xfId="0" applyFont="1" applyFill="1" applyBorder="1"/>
    <xf numFmtId="0" fontId="4" fillId="17" borderId="0" xfId="0" applyFont="1" applyFill="1" applyBorder="1" applyAlignment="1">
      <alignment horizontal="center" vertical="center"/>
    </xf>
    <xf numFmtId="0" fontId="57" fillId="0" borderId="48" xfId="0" applyFont="1" applyBorder="1" applyAlignment="1">
      <alignment horizontal="center" vertical="center" wrapText="1"/>
    </xf>
    <xf numFmtId="0" fontId="0" fillId="0" borderId="65" xfId="0" applyBorder="1" applyAlignment="1">
      <alignment horizontal="center" vertical="center" wrapText="1"/>
    </xf>
    <xf numFmtId="0" fontId="0" fillId="0" borderId="50" xfId="0" applyBorder="1" applyAlignment="1">
      <alignment horizontal="center" vertical="center" wrapText="1"/>
    </xf>
    <xf numFmtId="0" fontId="30" fillId="0" borderId="48" xfId="0" applyFont="1" applyBorder="1" applyAlignment="1">
      <alignment horizontal="center" vertical="center" wrapText="1"/>
    </xf>
    <xf numFmtId="0" fontId="4" fillId="0" borderId="50" xfId="0" applyFont="1" applyBorder="1" applyAlignment="1">
      <alignment horizontal="center" vertical="center" wrapText="1"/>
    </xf>
    <xf numFmtId="0" fontId="0" fillId="0" borderId="0" xfId="0" applyAlignment="1">
      <alignment horizontal="center" vertical="center" wrapText="1"/>
    </xf>
    <xf numFmtId="0" fontId="4" fillId="0" borderId="0" xfId="0" applyFont="1" applyAlignment="1">
      <alignment horizontal="right" vertical="center"/>
    </xf>
    <xf numFmtId="3" fontId="57" fillId="0" borderId="0" xfId="0" applyNumberFormat="1" applyFont="1" applyAlignment="1">
      <alignment horizontal="center"/>
    </xf>
    <xf numFmtId="0" fontId="8" fillId="0" borderId="0" xfId="8" applyNumberFormat="1" applyFont="1" applyFill="1" applyBorder="1" applyAlignment="1" applyProtection="1">
      <alignment horizontal="center"/>
    </xf>
    <xf numFmtId="3" fontId="8" fillId="0" borderId="0" xfId="8" applyNumberFormat="1" applyFont="1" applyFill="1" applyBorder="1" applyAlignment="1" applyProtection="1">
      <alignment horizontal="center"/>
      <protection locked="0"/>
    </xf>
    <xf numFmtId="0" fontId="8" fillId="0" borderId="13" xfId="0" applyFont="1" applyFill="1" applyBorder="1" applyAlignment="1">
      <alignment horizontal="center"/>
    </xf>
    <xf numFmtId="3" fontId="0" fillId="0" borderId="0" xfId="0" applyNumberFormat="1" applyFont="1" applyAlignment="1">
      <alignment horizontal="center"/>
    </xf>
    <xf numFmtId="3" fontId="58" fillId="0" borderId="0" xfId="0" applyNumberFormat="1" applyFont="1" applyFill="1" applyBorder="1" applyAlignment="1">
      <alignment horizontal="center"/>
    </xf>
    <xf numFmtId="3" fontId="57" fillId="0" borderId="0" xfId="0" applyNumberFormat="1" applyFont="1" applyFill="1" applyBorder="1" applyAlignment="1">
      <alignment horizontal="center"/>
    </xf>
    <xf numFmtId="3" fontId="0" fillId="0" borderId="0" xfId="0" applyNumberFormat="1" applyAlignment="1">
      <alignment horizontal="center"/>
    </xf>
    <xf numFmtId="3" fontId="0" fillId="0" borderId="13" xfId="0" applyNumberFormat="1" applyBorder="1" applyAlignment="1">
      <alignment horizontal="center"/>
    </xf>
    <xf numFmtId="3" fontId="59" fillId="0" borderId="0" xfId="0" applyNumberFormat="1" applyFont="1" applyFill="1" applyBorder="1" applyAlignment="1">
      <alignment horizontal="center"/>
    </xf>
    <xf numFmtId="3" fontId="0" fillId="0" borderId="67" xfId="0" applyNumberFormat="1" applyFont="1" applyFill="1" applyBorder="1" applyAlignment="1">
      <alignment horizontal="center"/>
    </xf>
    <xf numFmtId="0" fontId="0" fillId="0" borderId="67" xfId="0" applyFont="1" applyFill="1" applyBorder="1" applyAlignment="1">
      <alignment horizontal="center"/>
    </xf>
    <xf numFmtId="0" fontId="4" fillId="11" borderId="0" xfId="0" applyFont="1" applyFill="1" applyAlignment="1">
      <alignment horizontal="right"/>
    </xf>
    <xf numFmtId="3" fontId="8" fillId="11" borderId="0" xfId="0" applyNumberFormat="1" applyFont="1" applyFill="1" applyAlignment="1">
      <alignment horizontal="center"/>
    </xf>
    <xf numFmtId="3" fontId="0" fillId="0" borderId="13" xfId="0" applyNumberFormat="1" applyFont="1" applyFill="1" applyBorder="1" applyAlignment="1">
      <alignment horizontal="center"/>
    </xf>
    <xf numFmtId="0" fontId="0" fillId="0" borderId="13" xfId="0" applyFont="1" applyFill="1" applyBorder="1" applyAlignment="1">
      <alignment horizontal="center"/>
    </xf>
    <xf numFmtId="0" fontId="57" fillId="0" borderId="14" xfId="0" applyFont="1" applyBorder="1" applyAlignment="1">
      <alignment horizontal="right"/>
    </xf>
    <xf numFmtId="3" fontId="57" fillId="0" borderId="14" xfId="0" applyNumberFormat="1" applyFont="1" applyBorder="1" applyAlignment="1">
      <alignment horizontal="center"/>
    </xf>
    <xf numFmtId="0" fontId="4" fillId="11" borderId="14" xfId="0" applyFont="1" applyFill="1" applyBorder="1" applyAlignment="1">
      <alignment horizontal="right"/>
    </xf>
    <xf numFmtId="3" fontId="57" fillId="11" borderId="14" xfId="0" applyNumberFormat="1" applyFont="1" applyFill="1" applyBorder="1" applyAlignment="1">
      <alignment horizontal="center"/>
    </xf>
    <xf numFmtId="3" fontId="30" fillId="11" borderId="14" xfId="0" applyNumberFormat="1" applyFont="1" applyFill="1" applyBorder="1" applyAlignment="1">
      <alignment horizontal="center"/>
    </xf>
    <xf numFmtId="0" fontId="1" fillId="0" borderId="0" xfId="8" applyNumberFormat="1" applyFont="1" applyFill="1" applyBorder="1" applyAlignment="1" applyProtection="1">
      <alignment horizontal="center"/>
    </xf>
    <xf numFmtId="3" fontId="1" fillId="0" borderId="0" xfId="8" applyNumberFormat="1" applyFont="1" applyFill="1" applyBorder="1" applyAlignment="1" applyProtection="1">
      <alignment horizontal="center"/>
      <protection locked="0"/>
    </xf>
    <xf numFmtId="0" fontId="1" fillId="0" borderId="13" xfId="0" applyFont="1" applyFill="1" applyBorder="1" applyAlignment="1">
      <alignment horizontal="center"/>
    </xf>
    <xf numFmtId="0" fontId="8" fillId="0" borderId="0" xfId="0" applyFont="1" applyFill="1" applyBorder="1" applyAlignment="1">
      <alignment horizontal="center"/>
    </xf>
    <xf numFmtId="0" fontId="4" fillId="15" borderId="0" xfId="0" applyFont="1" applyFill="1" applyAlignment="1">
      <alignment horizontal="right"/>
    </xf>
    <xf numFmtId="3" fontId="57" fillId="15" borderId="0" xfId="0" applyNumberFormat="1" applyFont="1" applyFill="1" applyAlignment="1">
      <alignment horizontal="center"/>
    </xf>
    <xf numFmtId="3" fontId="0" fillId="15" borderId="0" xfId="0" applyNumberFormat="1" applyFill="1" applyAlignment="1">
      <alignment horizontal="center"/>
    </xf>
    <xf numFmtId="0" fontId="0" fillId="15" borderId="0" xfId="0" applyFill="1" applyAlignment="1">
      <alignment horizontal="center"/>
    </xf>
    <xf numFmtId="0" fontId="57" fillId="0" borderId="0" xfId="0" applyFont="1" applyBorder="1" applyAlignment="1">
      <alignment horizontal="right"/>
    </xf>
    <xf numFmtId="0" fontId="4" fillId="0" borderId="66" xfId="0" applyFont="1" applyBorder="1" applyAlignment="1">
      <alignment horizontal="right"/>
    </xf>
    <xf numFmtId="3" fontId="57" fillId="0" borderId="48" xfId="0" applyNumberFormat="1" applyFont="1" applyBorder="1" applyAlignment="1">
      <alignment horizontal="center"/>
    </xf>
    <xf numFmtId="3" fontId="0" fillId="0" borderId="48" xfId="0" applyNumberFormat="1" applyBorder="1" applyAlignment="1">
      <alignment horizontal="center"/>
    </xf>
    <xf numFmtId="0" fontId="3" fillId="0" borderId="0" xfId="0" applyFont="1" applyFill="1" applyBorder="1" applyAlignment="1">
      <alignment horizontal="center"/>
    </xf>
    <xf numFmtId="0" fontId="3" fillId="0" borderId="0" xfId="0" applyFont="1" applyAlignment="1">
      <alignment wrapText="1"/>
    </xf>
    <xf numFmtId="3" fontId="0" fillId="0" borderId="0" xfId="0" applyNumberFormat="1" applyFont="1" applyBorder="1" applyAlignment="1">
      <alignment horizontal="center"/>
    </xf>
    <xf numFmtId="3" fontId="57" fillId="0" borderId="0" xfId="0" applyNumberFormat="1" applyFont="1" applyBorder="1" applyAlignment="1">
      <alignment horizontal="center"/>
    </xf>
    <xf numFmtId="3" fontId="0" fillId="15" borderId="0" xfId="0" applyNumberFormat="1" applyFill="1" applyBorder="1" applyAlignment="1">
      <alignment horizontal="center"/>
    </xf>
    <xf numFmtId="3" fontId="8" fillId="0" borderId="48" xfId="0" applyNumberFormat="1" applyFont="1" applyBorder="1" applyAlignment="1">
      <alignment horizontal="center"/>
    </xf>
    <xf numFmtId="3" fontId="1" fillId="0" borderId="69" xfId="0" applyNumberFormat="1" applyFont="1" applyFill="1" applyBorder="1" applyAlignment="1">
      <alignment horizontal="center"/>
    </xf>
    <xf numFmtId="3" fontId="1" fillId="0" borderId="67" xfId="0" applyNumberFormat="1" applyFont="1" applyFill="1" applyBorder="1" applyAlignment="1">
      <alignment horizontal="center"/>
    </xf>
    <xf numFmtId="3" fontId="0" fillId="0" borderId="0" xfId="0" applyNumberFormat="1" applyFill="1" applyBorder="1" applyAlignment="1">
      <alignment horizontal="center"/>
    </xf>
    <xf numFmtId="3" fontId="8" fillId="0" borderId="0" xfId="0" applyNumberFormat="1" applyFont="1" applyAlignment="1">
      <alignment horizontal="center"/>
    </xf>
    <xf numFmtId="0" fontId="57" fillId="0" borderId="0" xfId="0" applyFont="1" applyAlignment="1">
      <alignment horizontal="center"/>
    </xf>
    <xf numFmtId="3" fontId="1" fillId="0" borderId="0" xfId="0" applyNumberFormat="1" applyFont="1" applyFill="1" applyBorder="1" applyAlignment="1">
      <alignment horizontal="center"/>
    </xf>
    <xf numFmtId="3" fontId="1" fillId="0" borderId="13" xfId="0" applyNumberFormat="1" applyFont="1" applyFill="1" applyBorder="1" applyAlignment="1">
      <alignment horizontal="center"/>
    </xf>
    <xf numFmtId="0" fontId="4" fillId="0" borderId="68" xfId="0" applyFont="1" applyBorder="1" applyAlignment="1">
      <alignment horizontal="right" vertical="center"/>
    </xf>
    <xf numFmtId="3" fontId="57" fillId="0" borderId="69" xfId="0" applyNumberFormat="1" applyFont="1" applyBorder="1" applyAlignment="1">
      <alignment horizontal="center"/>
    </xf>
    <xf numFmtId="3" fontId="0" fillId="0" borderId="69" xfId="0" applyNumberFormat="1" applyBorder="1" applyAlignment="1">
      <alignment horizontal="center"/>
    </xf>
    <xf numFmtId="0" fontId="0" fillId="0" borderId="70" xfId="0" applyBorder="1" applyAlignment="1">
      <alignment horizontal="center"/>
    </xf>
    <xf numFmtId="0" fontId="4" fillId="15" borderId="62" xfId="0" applyFont="1" applyFill="1" applyBorder="1" applyAlignment="1">
      <alignment horizontal="right"/>
    </xf>
    <xf numFmtId="3" fontId="57" fillId="15" borderId="0" xfId="0" applyNumberFormat="1" applyFont="1" applyFill="1" applyBorder="1" applyAlignment="1">
      <alignment horizontal="center"/>
    </xf>
    <xf numFmtId="0" fontId="1" fillId="0" borderId="0" xfId="0" applyFont="1" applyFill="1" applyBorder="1" applyAlignment="1">
      <alignment horizontal="center"/>
    </xf>
    <xf numFmtId="0" fontId="0" fillId="15" borderId="0" xfId="0" applyFill="1" applyBorder="1" applyAlignment="1">
      <alignment horizontal="center"/>
    </xf>
    <xf numFmtId="0" fontId="57" fillId="0" borderId="46" xfId="0" applyFont="1" applyBorder="1" applyAlignment="1">
      <alignment horizontal="right"/>
    </xf>
    <xf numFmtId="3" fontId="0" fillId="0" borderId="47" xfId="0" applyNumberFormat="1" applyFont="1" applyFill="1" applyBorder="1" applyAlignment="1">
      <alignment horizontal="center"/>
    </xf>
    <xf numFmtId="0" fontId="0" fillId="0" borderId="13" xfId="0" applyBorder="1" applyAlignment="1">
      <alignment horizontal="center"/>
    </xf>
    <xf numFmtId="0" fontId="8" fillId="0" borderId="0" xfId="0" applyFont="1" applyAlignment="1">
      <alignment horizontal="center"/>
    </xf>
    <xf numFmtId="0" fontId="60" fillId="0" borderId="69" xfId="0" applyFont="1" applyFill="1" applyBorder="1" applyAlignment="1">
      <alignment vertical="top" wrapText="1"/>
    </xf>
    <xf numFmtId="0" fontId="0" fillId="0" borderId="69" xfId="0" applyFont="1" applyFill="1" applyBorder="1" applyAlignment="1">
      <alignment horizontal="center"/>
    </xf>
    <xf numFmtId="0" fontId="0" fillId="0" borderId="69" xfId="0" applyFill="1" applyBorder="1" applyAlignment="1">
      <alignment horizontal="center"/>
    </xf>
    <xf numFmtId="3" fontId="0" fillId="0" borderId="69" xfId="0" applyNumberFormat="1" applyFont="1" applyFill="1" applyBorder="1" applyAlignment="1">
      <alignment horizontal="center"/>
    </xf>
    <xf numFmtId="0" fontId="0" fillId="0" borderId="69" xfId="0" applyBorder="1" applyAlignment="1">
      <alignment horizontal="center"/>
    </xf>
    <xf numFmtId="0" fontId="0" fillId="0" borderId="68" xfId="0" applyBorder="1" applyAlignment="1">
      <alignment horizontal="center"/>
    </xf>
    <xf numFmtId="3" fontId="57" fillId="0" borderId="69" xfId="0" applyNumberFormat="1" applyFont="1" applyFill="1" applyBorder="1" applyAlignment="1">
      <alignment horizontal="center"/>
    </xf>
    <xf numFmtId="3" fontId="0" fillId="0" borderId="69" xfId="0" applyNumberFormat="1" applyFill="1" applyBorder="1" applyAlignment="1">
      <alignment horizontal="center"/>
    </xf>
    <xf numFmtId="0" fontId="8" fillId="0" borderId="69" xfId="0" applyFont="1" applyFill="1" applyBorder="1" applyAlignment="1">
      <alignment horizontal="center"/>
    </xf>
    <xf numFmtId="0" fontId="57" fillId="0" borderId="69" xfId="0" applyFont="1" applyFill="1" applyBorder="1" applyAlignment="1">
      <alignment horizontal="center"/>
    </xf>
    <xf numFmtId="3" fontId="58" fillId="0" borderId="69" xfId="0" applyNumberFormat="1" applyFont="1" applyFill="1" applyBorder="1" applyAlignment="1">
      <alignment horizontal="center"/>
    </xf>
    <xf numFmtId="0" fontId="60" fillId="0" borderId="0" xfId="0" applyFont="1" applyFill="1" applyBorder="1" applyAlignment="1">
      <alignment vertical="top" wrapText="1"/>
    </xf>
    <xf numFmtId="0" fontId="0" fillId="0" borderId="0" xfId="0" applyBorder="1" applyAlignment="1"/>
    <xf numFmtId="0" fontId="0" fillId="0" borderId="14" xfId="0" applyFont="1" applyFill="1" applyBorder="1" applyAlignment="1">
      <alignment horizontal="center"/>
    </xf>
    <xf numFmtId="0" fontId="0" fillId="0" borderId="14" xfId="0" applyFill="1" applyBorder="1" applyAlignment="1">
      <alignment horizontal="center"/>
    </xf>
    <xf numFmtId="3" fontId="0" fillId="0" borderId="14" xfId="0" applyNumberFormat="1" applyFont="1" applyFill="1" applyBorder="1" applyAlignment="1">
      <alignment horizontal="center"/>
    </xf>
    <xf numFmtId="0" fontId="0" fillId="0" borderId="14" xfId="0" applyBorder="1" applyAlignment="1">
      <alignment horizontal="center"/>
    </xf>
    <xf numFmtId="0" fontId="0" fillId="0" borderId="46" xfId="0" applyBorder="1" applyAlignment="1">
      <alignment horizontal="center"/>
    </xf>
    <xf numFmtId="3" fontId="0" fillId="0" borderId="14" xfId="0" applyNumberFormat="1" applyBorder="1" applyAlignment="1">
      <alignment horizontal="center"/>
    </xf>
    <xf numFmtId="0" fontId="0" fillId="0" borderId="45" xfId="0" applyBorder="1" applyAlignment="1">
      <alignment horizontal="center"/>
    </xf>
    <xf numFmtId="3" fontId="57" fillId="0" borderId="14" xfId="0" applyNumberFormat="1" applyFont="1" applyFill="1" applyBorder="1" applyAlignment="1">
      <alignment horizontal="center"/>
    </xf>
    <xf numFmtId="0" fontId="8" fillId="0" borderId="14" xfId="0" applyFont="1" applyBorder="1" applyAlignment="1">
      <alignment horizontal="center"/>
    </xf>
    <xf numFmtId="0" fontId="57" fillId="0" borderId="14" xfId="0" applyFont="1" applyBorder="1" applyAlignment="1">
      <alignment horizontal="center"/>
    </xf>
    <xf numFmtId="0" fontId="60" fillId="0" borderId="14" xfId="0" applyFont="1" applyBorder="1" applyAlignment="1">
      <alignment horizontal="center"/>
    </xf>
    <xf numFmtId="3" fontId="58" fillId="0" borderId="14" xfId="0" applyNumberFormat="1" applyFont="1" applyFill="1" applyBorder="1" applyAlignment="1">
      <alignment horizontal="center"/>
    </xf>
    <xf numFmtId="3" fontId="0" fillId="0" borderId="62" xfId="0" applyNumberFormat="1" applyFont="1" applyBorder="1" applyAlignment="1">
      <alignment horizontal="center"/>
    </xf>
    <xf numFmtId="0" fontId="0" fillId="0" borderId="0" xfId="0" applyBorder="1" applyAlignment="1">
      <alignment horizontal="center"/>
    </xf>
    <xf numFmtId="0" fontId="57" fillId="0" borderId="0" xfId="0" applyFont="1" applyBorder="1" applyAlignment="1"/>
    <xf numFmtId="0" fontId="57" fillId="0" borderId="0" xfId="0" applyFont="1" applyBorder="1"/>
    <xf numFmtId="0" fontId="57" fillId="0" borderId="0" xfId="0" applyFont="1" applyBorder="1" applyAlignment="1">
      <alignment horizontal="center"/>
    </xf>
    <xf numFmtId="3" fontId="0" fillId="0" borderId="62" xfId="0" applyNumberFormat="1" applyBorder="1" applyAlignment="1">
      <alignment horizontal="center"/>
    </xf>
    <xf numFmtId="3" fontId="4" fillId="14" borderId="66" xfId="0" applyNumberFormat="1" applyFont="1" applyFill="1" applyBorder="1" applyAlignment="1">
      <alignment horizontal="center"/>
    </xf>
    <xf numFmtId="0" fontId="0" fillId="0" borderId="13" xfId="0" applyBorder="1"/>
    <xf numFmtId="0" fontId="57" fillId="0" borderId="0" xfId="0" applyFont="1" applyAlignment="1"/>
    <xf numFmtId="0" fontId="0" fillId="0" borderId="13" xfId="0" applyBorder="1" applyAlignment="1"/>
    <xf numFmtId="0" fontId="57" fillId="0" borderId="0" xfId="0" applyFont="1"/>
    <xf numFmtId="0" fontId="61" fillId="18" borderId="0" xfId="5" applyNumberFormat="1" applyFont="1" applyFill="1" applyBorder="1" applyAlignment="1">
      <alignment horizontal="center" vertical="center"/>
    </xf>
    <xf numFmtId="0" fontId="0" fillId="0" borderId="0" xfId="0" applyFont="1" applyBorder="1" applyAlignment="1">
      <alignment vertical="center"/>
    </xf>
    <xf numFmtId="0" fontId="57" fillId="0" borderId="66" xfId="0" applyFont="1" applyBorder="1" applyAlignment="1">
      <alignment horizontal="center" vertical="center" wrapText="1"/>
    </xf>
    <xf numFmtId="0" fontId="0" fillId="18" borderId="66" xfId="0" applyNumberFormat="1" applyFont="1" applyFill="1" applyBorder="1" applyAlignment="1" applyProtection="1">
      <alignment horizontal="center" vertical="center" wrapText="1"/>
    </xf>
    <xf numFmtId="0" fontId="0" fillId="18" borderId="48" xfId="0" applyNumberFormat="1" applyFont="1" applyFill="1" applyBorder="1" applyAlignment="1" applyProtection="1">
      <alignment horizontal="center" vertical="center" wrapText="1"/>
    </xf>
    <xf numFmtId="3" fontId="0" fillId="18" borderId="54" xfId="0" applyNumberFormat="1" applyFont="1" applyFill="1" applyBorder="1" applyAlignment="1" applyProtection="1">
      <alignment horizontal="center" vertical="center" wrapText="1"/>
      <protection locked="0"/>
    </xf>
    <xf numFmtId="0" fontId="0" fillId="18" borderId="48" xfId="0" applyNumberFormat="1" applyFont="1" applyFill="1" applyBorder="1" applyAlignment="1" applyProtection="1">
      <alignment horizontal="center" vertical="center" wrapText="1"/>
      <protection locked="0"/>
    </xf>
    <xf numFmtId="0" fontId="58" fillId="18" borderId="48" xfId="0" applyNumberFormat="1" applyFont="1" applyFill="1" applyBorder="1" applyAlignment="1" applyProtection="1">
      <alignment horizontal="center" vertical="center" wrapText="1"/>
      <protection locked="0"/>
    </xf>
    <xf numFmtId="0" fontId="0" fillId="0" borderId="54" xfId="0" applyNumberFormat="1" applyFont="1" applyBorder="1" applyAlignment="1" applyProtection="1">
      <alignment horizontal="center" vertical="center" wrapText="1"/>
    </xf>
    <xf numFmtId="0" fontId="0" fillId="18" borderId="66" xfId="0" applyNumberFormat="1" applyFont="1" applyFill="1" applyBorder="1" applyAlignment="1" applyProtection="1">
      <alignment horizontal="center" vertical="center" wrapText="1"/>
      <protection locked="0"/>
    </xf>
    <xf numFmtId="0" fontId="8" fillId="18" borderId="48" xfId="11" applyNumberFormat="1" applyFont="1" applyFill="1" applyBorder="1" applyAlignment="1">
      <alignment horizontal="center" vertical="center" wrapText="1"/>
    </xf>
    <xf numFmtId="0" fontId="0" fillId="18" borderId="54" xfId="0" applyNumberFormat="1" applyFont="1" applyFill="1" applyBorder="1" applyAlignment="1" applyProtection="1">
      <alignment horizontal="center" vertical="center" wrapText="1"/>
      <protection locked="0"/>
    </xf>
    <xf numFmtId="0" fontId="0" fillId="0" borderId="66" xfId="0" applyFont="1" applyBorder="1" applyAlignment="1">
      <alignment horizontal="center" vertical="center" wrapText="1"/>
    </xf>
    <xf numFmtId="0" fontId="58" fillId="0" borderId="48" xfId="0" applyFont="1" applyBorder="1" applyAlignment="1">
      <alignment horizontal="center" vertical="center" wrapText="1"/>
    </xf>
    <xf numFmtId="0" fontId="0" fillId="0" borderId="48" xfId="0" applyFont="1" applyBorder="1" applyAlignment="1">
      <alignment horizontal="center" vertical="center" wrapText="1"/>
    </xf>
    <xf numFmtId="0" fontId="0" fillId="18" borderId="0" xfId="0" applyNumberFormat="1" applyFont="1" applyFill="1" applyBorder="1" applyAlignment="1" applyProtection="1">
      <alignment horizontal="center" vertical="center" wrapText="1"/>
      <protection locked="0"/>
    </xf>
    <xf numFmtId="0" fontId="37" fillId="12" borderId="0" xfId="0" applyFont="1" applyFill="1" applyBorder="1" applyAlignment="1">
      <alignment horizontal="center" vertical="center" wrapText="1"/>
    </xf>
    <xf numFmtId="0" fontId="4" fillId="0" borderId="0" xfId="0" applyFont="1" applyFill="1" applyBorder="1" applyAlignment="1">
      <alignment horizontal="right" vertical="center"/>
    </xf>
    <xf numFmtId="0" fontId="0" fillId="0" borderId="68" xfId="0" applyFont="1" applyBorder="1" applyAlignment="1">
      <alignment horizontal="center"/>
    </xf>
    <xf numFmtId="0" fontId="0" fillId="0" borderId="69" xfId="0" applyFont="1" applyBorder="1" applyAlignment="1">
      <alignment horizontal="center"/>
    </xf>
    <xf numFmtId="3" fontId="0" fillId="0" borderId="70" xfId="0" applyNumberFormat="1" applyFont="1" applyBorder="1" applyAlignment="1">
      <alignment horizontal="center"/>
    </xf>
    <xf numFmtId="3" fontId="58" fillId="0" borderId="0" xfId="0" applyNumberFormat="1" applyFont="1" applyBorder="1" applyAlignment="1">
      <alignment horizontal="center"/>
    </xf>
    <xf numFmtId="3" fontId="0" fillId="0" borderId="68" xfId="0" applyNumberFormat="1" applyFont="1" applyBorder="1" applyAlignment="1">
      <alignment horizontal="center"/>
    </xf>
    <xf numFmtId="3" fontId="0" fillId="0" borderId="69" xfId="0" applyNumberFormat="1" applyFont="1" applyBorder="1" applyAlignment="1">
      <alignment horizontal="center"/>
    </xf>
    <xf numFmtId="3" fontId="58" fillId="0" borderId="69" xfId="0" applyNumberFormat="1" applyFont="1" applyBorder="1" applyAlignment="1">
      <alignment horizontal="center"/>
    </xf>
    <xf numFmtId="1" fontId="0" fillId="0" borderId="69" xfId="0" applyNumberFormat="1" applyFont="1" applyFill="1" applyBorder="1" applyAlignment="1">
      <alignment horizontal="center"/>
    </xf>
    <xf numFmtId="1" fontId="0" fillId="0" borderId="70" xfId="7" applyNumberFormat="1" applyFont="1" applyFill="1" applyBorder="1" applyAlignment="1">
      <alignment horizontal="center"/>
    </xf>
    <xf numFmtId="1" fontId="0" fillId="0" borderId="0" xfId="7" applyNumberFormat="1" applyFont="1" applyFill="1" applyBorder="1" applyAlignment="1">
      <alignment horizontal="center"/>
    </xf>
    <xf numFmtId="0" fontId="4" fillId="11" borderId="0" xfId="0" applyFont="1" applyFill="1" applyBorder="1" applyAlignment="1">
      <alignment horizontal="right"/>
    </xf>
    <xf numFmtId="3" fontId="0" fillId="11" borderId="0" xfId="0" applyNumberFormat="1" applyFont="1" applyFill="1" applyBorder="1" applyAlignment="1">
      <alignment horizontal="center" vertical="center"/>
    </xf>
    <xf numFmtId="0" fontId="0" fillId="0" borderId="62" xfId="0" applyFont="1" applyBorder="1" applyAlignment="1">
      <alignment horizontal="center"/>
    </xf>
    <xf numFmtId="3" fontId="0" fillId="0" borderId="34" xfId="0" applyNumberFormat="1" applyFont="1" applyBorder="1" applyAlignment="1">
      <alignment horizontal="center"/>
    </xf>
    <xf numFmtId="1" fontId="0" fillId="0" borderId="0" xfId="0" applyNumberFormat="1" applyFont="1" applyFill="1" applyBorder="1" applyAlignment="1">
      <alignment horizontal="center"/>
    </xf>
    <xf numFmtId="1" fontId="0" fillId="0" borderId="34" xfId="7" applyNumberFormat="1" applyFont="1" applyFill="1" applyBorder="1" applyAlignment="1">
      <alignment horizontal="center"/>
    </xf>
    <xf numFmtId="1" fontId="0" fillId="0" borderId="0" xfId="0" applyNumberFormat="1" applyFont="1" applyBorder="1" applyAlignment="1">
      <alignment horizontal="center"/>
    </xf>
    <xf numFmtId="0" fontId="57" fillId="0" borderId="0" xfId="0" applyFont="1" applyFill="1" applyBorder="1" applyAlignment="1">
      <alignment horizontal="right"/>
    </xf>
    <xf numFmtId="3" fontId="62" fillId="0" borderId="0" xfId="0" applyNumberFormat="1" applyFont="1" applyFill="1" applyBorder="1" applyAlignment="1">
      <alignment horizontal="center" vertical="center"/>
    </xf>
    <xf numFmtId="0" fontId="4" fillId="11" borderId="66" xfId="0" applyFont="1" applyFill="1" applyBorder="1" applyAlignment="1">
      <alignment horizontal="right"/>
    </xf>
    <xf numFmtId="3" fontId="0" fillId="11" borderId="48" xfId="0" applyNumberFormat="1" applyFont="1" applyFill="1" applyBorder="1" applyAlignment="1">
      <alignment horizontal="center" vertical="center"/>
    </xf>
    <xf numFmtId="0" fontId="4" fillId="19" borderId="0" xfId="0" applyFont="1" applyFill="1" applyBorder="1" applyAlignment="1">
      <alignment horizontal="right"/>
    </xf>
    <xf numFmtId="3" fontId="0" fillId="19" borderId="0" xfId="0" applyNumberFormat="1" applyFont="1" applyFill="1" applyBorder="1" applyAlignment="1">
      <alignment horizontal="center" vertical="center"/>
    </xf>
    <xf numFmtId="0" fontId="0" fillId="19" borderId="0" xfId="0" applyFont="1" applyFill="1" applyBorder="1" applyAlignment="1">
      <alignment horizontal="center" vertical="center"/>
    </xf>
    <xf numFmtId="0" fontId="4" fillId="0" borderId="66" xfId="0" applyFont="1" applyFill="1" applyBorder="1" applyAlignment="1">
      <alignment horizontal="right"/>
    </xf>
    <xf numFmtId="3" fontId="0" fillId="0" borderId="48" xfId="0" applyNumberFormat="1" applyFont="1" applyFill="1" applyBorder="1" applyAlignment="1">
      <alignment horizontal="center" vertical="center"/>
    </xf>
    <xf numFmtId="0" fontId="4" fillId="0" borderId="68" xfId="0" applyFont="1" applyFill="1" applyBorder="1" applyAlignment="1">
      <alignment horizontal="right" vertical="center"/>
    </xf>
    <xf numFmtId="3" fontId="0" fillId="0" borderId="69" xfId="0" applyNumberFormat="1" applyFont="1" applyFill="1" applyBorder="1" applyAlignment="1">
      <alignment horizontal="center" vertical="center"/>
    </xf>
    <xf numFmtId="0" fontId="0" fillId="0" borderId="69" xfId="0" applyFont="1" applyFill="1" applyBorder="1" applyAlignment="1">
      <alignment horizontal="center" vertical="center"/>
    </xf>
    <xf numFmtId="0" fontId="4" fillId="19" borderId="62" xfId="0" applyFont="1" applyFill="1" applyBorder="1" applyAlignment="1">
      <alignment horizontal="right"/>
    </xf>
    <xf numFmtId="0" fontId="57" fillId="0" borderId="62" xfId="0" applyFont="1" applyFill="1" applyBorder="1" applyAlignment="1">
      <alignment horizontal="right"/>
    </xf>
    <xf numFmtId="0" fontId="0" fillId="0" borderId="46" xfId="0" applyFont="1" applyBorder="1" applyAlignment="1">
      <alignment horizontal="center"/>
    </xf>
    <xf numFmtId="0" fontId="0" fillId="0" borderId="14" xfId="0" applyFont="1" applyBorder="1" applyAlignment="1">
      <alignment horizontal="center"/>
    </xf>
    <xf numFmtId="3" fontId="0" fillId="0" borderId="45" xfId="0" applyNumberFormat="1" applyFont="1" applyBorder="1" applyAlignment="1">
      <alignment horizontal="center"/>
    </xf>
    <xf numFmtId="3" fontId="0" fillId="0" borderId="46" xfId="0" applyNumberFormat="1" applyFont="1" applyBorder="1" applyAlignment="1">
      <alignment horizontal="center"/>
    </xf>
    <xf numFmtId="3" fontId="0" fillId="0" borderId="14" xfId="0" applyNumberFormat="1" applyFont="1" applyBorder="1" applyAlignment="1">
      <alignment horizontal="center"/>
    </xf>
    <xf numFmtId="3" fontId="58" fillId="0" borderId="14" xfId="0" applyNumberFormat="1" applyFont="1" applyBorder="1" applyAlignment="1">
      <alignment horizontal="center"/>
    </xf>
    <xf numFmtId="1" fontId="0" fillId="0" borderId="14" xfId="0" applyNumberFormat="1" applyFont="1" applyBorder="1" applyAlignment="1">
      <alignment horizontal="center"/>
    </xf>
    <xf numFmtId="1" fontId="0" fillId="0" borderId="45" xfId="7" applyNumberFormat="1" applyFont="1" applyFill="1" applyBorder="1" applyAlignment="1">
      <alignment horizontal="center"/>
    </xf>
    <xf numFmtId="0" fontId="4" fillId="0" borderId="0" xfId="0" applyFont="1" applyFill="1" applyBorder="1" applyAlignment="1">
      <alignment horizontal="right"/>
    </xf>
    <xf numFmtId="3" fontId="0" fillId="0" borderId="0" xfId="0" applyNumberFormat="1" applyFont="1" applyBorder="1"/>
    <xf numFmtId="4" fontId="0" fillId="0" borderId="0" xfId="0" applyNumberFormat="1" applyFont="1" applyBorder="1"/>
    <xf numFmtId="0" fontId="65" fillId="0" borderId="0" xfId="0" applyFont="1"/>
    <xf numFmtId="0" fontId="66" fillId="0" borderId="0" xfId="0" applyFont="1"/>
    <xf numFmtId="0" fontId="0" fillId="0" borderId="0" xfId="0" applyAlignment="1">
      <alignment horizontal="left"/>
    </xf>
    <xf numFmtId="164" fontId="0" fillId="0" borderId="0" xfId="0" applyNumberFormat="1"/>
    <xf numFmtId="0" fontId="67" fillId="12" borderId="66" xfId="0" applyFont="1" applyFill="1" applyBorder="1" applyAlignment="1">
      <alignment vertical="center"/>
    </xf>
    <xf numFmtId="0" fontId="67" fillId="12" borderId="48" xfId="0" applyFont="1" applyFill="1" applyBorder="1" applyAlignment="1">
      <alignment vertical="center"/>
    </xf>
    <xf numFmtId="0" fontId="67" fillId="12" borderId="54" xfId="0" applyFont="1" applyFill="1" applyBorder="1" applyAlignment="1">
      <alignment vertical="center"/>
    </xf>
    <xf numFmtId="0" fontId="4" fillId="20" borderId="52" xfId="4" applyFont="1" applyFill="1" applyBorder="1" applyAlignment="1">
      <alignment horizontal="center" vertical="center" wrapText="1"/>
    </xf>
    <xf numFmtId="0" fontId="1" fillId="3" borderId="53" xfId="4" applyBorder="1" applyAlignment="1">
      <alignment horizontal="center" vertical="center" wrapText="1"/>
    </xf>
    <xf numFmtId="3" fontId="1" fillId="3" borderId="53" xfId="4" applyNumberFormat="1" applyBorder="1" applyAlignment="1">
      <alignment horizontal="center" vertical="center" wrapText="1"/>
    </xf>
    <xf numFmtId="3" fontId="1" fillId="20" borderId="53" xfId="4" applyNumberFormat="1" applyFill="1" applyBorder="1" applyAlignment="1">
      <alignment horizontal="center" vertical="center" wrapText="1"/>
    </xf>
    <xf numFmtId="0" fontId="1" fillId="3" borderId="51" xfId="4" applyBorder="1" applyAlignment="1">
      <alignment horizontal="center" vertical="center" wrapText="1"/>
    </xf>
    <xf numFmtId="164" fontId="1" fillId="3" borderId="53" xfId="4" applyNumberFormat="1" applyBorder="1" applyAlignment="1">
      <alignment vertical="center"/>
    </xf>
    <xf numFmtId="164" fontId="1" fillId="3" borderId="72" xfId="4" applyNumberFormat="1" applyBorder="1" applyAlignment="1">
      <alignment vertical="center"/>
    </xf>
    <xf numFmtId="164" fontId="1" fillId="3" borderId="54" xfId="4" applyNumberFormat="1" applyBorder="1" applyAlignment="1">
      <alignment vertical="center"/>
    </xf>
    <xf numFmtId="0" fontId="4" fillId="21" borderId="52" xfId="4" applyFont="1" applyFill="1" applyBorder="1" applyAlignment="1">
      <alignment horizontal="center" vertical="center" wrapText="1"/>
    </xf>
    <xf numFmtId="3" fontId="1" fillId="21" borderId="53" xfId="4" applyNumberFormat="1" applyFill="1" applyBorder="1" applyAlignment="1">
      <alignment horizontal="center" vertical="center" wrapText="1"/>
    </xf>
    <xf numFmtId="0" fontId="1" fillId="21" borderId="51" xfId="4" applyFill="1" applyBorder="1" applyAlignment="1">
      <alignment horizontal="center" vertical="center" wrapText="1"/>
    </xf>
    <xf numFmtId="164" fontId="1" fillId="21" borderId="53" xfId="4" applyNumberFormat="1" applyFill="1" applyBorder="1" applyAlignment="1">
      <alignment vertical="center"/>
    </xf>
    <xf numFmtId="164" fontId="1" fillId="21" borderId="72" xfId="4" applyNumberFormat="1" applyFill="1" applyBorder="1" applyAlignment="1">
      <alignment vertical="center"/>
    </xf>
    <xf numFmtId="164" fontId="1" fillId="21" borderId="54" xfId="4" applyNumberFormat="1" applyFill="1" applyBorder="1" applyAlignment="1">
      <alignment vertical="center"/>
    </xf>
    <xf numFmtId="3" fontId="1" fillId="21" borderId="98" xfId="4" applyNumberFormat="1" applyFill="1" applyBorder="1" applyAlignment="1">
      <alignment horizontal="center" vertical="center" wrapText="1"/>
    </xf>
    <xf numFmtId="164" fontId="1" fillId="21" borderId="75" xfId="4" applyNumberFormat="1" applyFill="1" applyBorder="1" applyAlignment="1"/>
    <xf numFmtId="164" fontId="1" fillId="21" borderId="101" xfId="4" applyNumberFormat="1" applyFill="1" applyBorder="1" applyAlignment="1"/>
    <xf numFmtId="164" fontId="1" fillId="21" borderId="70" xfId="4" applyNumberFormat="1" applyFill="1" applyBorder="1" applyAlignment="1"/>
    <xf numFmtId="3" fontId="1" fillId="21" borderId="64" xfId="4" applyNumberFormat="1" applyFill="1" applyBorder="1" applyAlignment="1">
      <alignment horizontal="center" vertical="center" wrapText="1"/>
    </xf>
    <xf numFmtId="164" fontId="1" fillId="21" borderId="103" xfId="4" applyNumberFormat="1" applyFill="1" applyBorder="1" applyAlignment="1">
      <alignment vertical="center"/>
    </xf>
    <xf numFmtId="164" fontId="1" fillId="21" borderId="34" xfId="4" applyNumberFormat="1" applyFill="1" applyBorder="1" applyAlignment="1">
      <alignment vertical="center"/>
    </xf>
    <xf numFmtId="3" fontId="1" fillId="21" borderId="20" xfId="4" applyNumberFormat="1" applyFill="1" applyBorder="1" applyAlignment="1">
      <alignment horizontal="center" vertical="center" wrapText="1"/>
    </xf>
    <xf numFmtId="164" fontId="1" fillId="21" borderId="16" xfId="4" applyNumberFormat="1" applyFill="1" applyBorder="1" applyAlignment="1">
      <alignment vertical="center"/>
    </xf>
    <xf numFmtId="164" fontId="1" fillId="21" borderId="105" xfId="4" applyNumberFormat="1" applyFill="1" applyBorder="1" applyAlignment="1">
      <alignment vertical="center"/>
    </xf>
    <xf numFmtId="164" fontId="1" fillId="21" borderId="45" xfId="4" applyNumberFormat="1" applyFill="1" applyBorder="1" applyAlignment="1">
      <alignment vertical="center"/>
    </xf>
    <xf numFmtId="0" fontId="1" fillId="20" borderId="98" xfId="4" applyFill="1" applyBorder="1" applyAlignment="1">
      <alignment horizontal="center" vertical="center" wrapText="1"/>
    </xf>
    <xf numFmtId="3" fontId="1" fillId="20" borderId="98" xfId="4" applyNumberFormat="1" applyFill="1" applyBorder="1" applyAlignment="1">
      <alignment horizontal="center" vertical="center" wrapText="1"/>
    </xf>
    <xf numFmtId="164" fontId="1" fillId="20" borderId="75" xfId="4" applyNumberFormat="1" applyFill="1" applyBorder="1" applyAlignment="1"/>
    <xf numFmtId="164" fontId="1" fillId="20" borderId="101" xfId="4" applyNumberFormat="1" applyFill="1" applyBorder="1" applyAlignment="1"/>
    <xf numFmtId="164" fontId="1" fillId="20" borderId="70" xfId="4" applyNumberFormat="1" applyFill="1" applyBorder="1" applyAlignment="1"/>
    <xf numFmtId="0" fontId="1" fillId="20" borderId="20" xfId="4" applyFill="1" applyBorder="1" applyAlignment="1">
      <alignment horizontal="center" vertical="center" wrapText="1"/>
    </xf>
    <xf numFmtId="3" fontId="1" fillId="20" borderId="20" xfId="4" applyNumberFormat="1" applyFill="1" applyBorder="1" applyAlignment="1">
      <alignment horizontal="center" vertical="center" wrapText="1"/>
    </xf>
    <xf numFmtId="0" fontId="8" fillId="20" borderId="16" xfId="4" applyFont="1" applyFill="1" applyBorder="1" applyAlignment="1">
      <alignment horizontal="center" vertical="center" wrapText="1"/>
    </xf>
    <xf numFmtId="164" fontId="1" fillId="20" borderId="16" xfId="4" applyNumberFormat="1" applyFill="1" applyBorder="1" applyAlignment="1">
      <alignment vertical="center"/>
    </xf>
    <xf numFmtId="164" fontId="1" fillId="20" borderId="16" xfId="4" applyNumberFormat="1" applyFill="1" applyBorder="1" applyAlignment="1"/>
    <xf numFmtId="164" fontId="1" fillId="20" borderId="105" xfId="4" applyNumberFormat="1" applyFill="1" applyBorder="1" applyAlignment="1"/>
    <xf numFmtId="164" fontId="1" fillId="20" borderId="45" xfId="4" applyNumberFormat="1" applyFill="1" applyBorder="1" applyAlignment="1"/>
    <xf numFmtId="0" fontId="1" fillId="20" borderId="51" xfId="4" applyFill="1" applyBorder="1" applyAlignment="1">
      <alignment horizontal="center" vertical="center" wrapText="1"/>
    </xf>
    <xf numFmtId="164" fontId="1" fillId="20" borderId="53" xfId="4" applyNumberFormat="1" applyFill="1" applyBorder="1" applyAlignment="1">
      <alignment vertical="center"/>
    </xf>
    <xf numFmtId="164" fontId="1" fillId="20" borderId="72" xfId="4" applyNumberFormat="1" applyFill="1" applyBorder="1" applyAlignment="1">
      <alignment vertical="center"/>
    </xf>
    <xf numFmtId="164" fontId="1" fillId="20" borderId="54" xfId="4" applyNumberFormat="1" applyFill="1" applyBorder="1" applyAlignment="1">
      <alignment vertical="center"/>
    </xf>
    <xf numFmtId="43" fontId="1" fillId="20" borderId="72" xfId="4" applyNumberFormat="1" applyFill="1" applyBorder="1" applyAlignment="1">
      <alignment vertical="center"/>
    </xf>
    <xf numFmtId="0" fontId="1" fillId="21" borderId="74" xfId="4" applyFill="1" applyBorder="1" applyAlignment="1">
      <alignment horizontal="center" vertical="center" wrapText="1"/>
    </xf>
    <xf numFmtId="3" fontId="1" fillId="21" borderId="74" xfId="4" applyNumberFormat="1" applyFill="1" applyBorder="1" applyAlignment="1">
      <alignment horizontal="center" vertical="center" wrapText="1"/>
    </xf>
    <xf numFmtId="0" fontId="8" fillId="21" borderId="98" xfId="4" quotePrefix="1" applyFont="1" applyFill="1" applyBorder="1" applyAlignment="1">
      <alignment horizontal="center" vertical="center" wrapText="1"/>
    </xf>
    <xf numFmtId="0" fontId="8" fillId="20" borderId="74" xfId="4" applyFont="1" applyFill="1" applyBorder="1" applyAlignment="1">
      <alignment horizontal="center" vertical="center" wrapText="1"/>
    </xf>
    <xf numFmtId="49" fontId="0" fillId="3" borderId="98" xfId="4" applyNumberFormat="1" applyFont="1" applyBorder="1" applyAlignment="1">
      <alignment horizontal="center" vertical="center" wrapText="1"/>
    </xf>
    <xf numFmtId="164" fontId="1" fillId="21" borderId="103" xfId="4" applyNumberFormat="1" applyFill="1" applyBorder="1" applyAlignment="1"/>
    <xf numFmtId="164" fontId="1" fillId="21" borderId="70" xfId="4" applyNumberFormat="1" applyFill="1" applyBorder="1"/>
    <xf numFmtId="164" fontId="1" fillId="21" borderId="32" xfId="4" applyNumberFormat="1" applyFill="1" applyBorder="1" applyAlignment="1"/>
    <xf numFmtId="164" fontId="1" fillId="21" borderId="34" xfId="4" applyNumberFormat="1" applyFill="1" applyBorder="1"/>
    <xf numFmtId="0" fontId="1" fillId="21" borderId="25" xfId="4" applyFill="1" applyBorder="1" applyAlignment="1">
      <alignment horizontal="center" vertical="center" wrapText="1"/>
    </xf>
    <xf numFmtId="3" fontId="1" fillId="21" borderId="25" xfId="4" applyNumberFormat="1" applyFill="1" applyBorder="1" applyAlignment="1">
      <alignment horizontal="center" vertical="center" wrapText="1"/>
    </xf>
    <xf numFmtId="0" fontId="8" fillId="21" borderId="16" xfId="4" quotePrefix="1" applyFont="1" applyFill="1" applyBorder="1" applyAlignment="1">
      <alignment horizontal="center" vertical="center" wrapText="1"/>
    </xf>
    <xf numFmtId="0" fontId="8" fillId="20" borderId="25" xfId="4" applyFont="1" applyFill="1" applyBorder="1" applyAlignment="1">
      <alignment horizontal="center" vertical="center" wrapText="1"/>
    </xf>
    <xf numFmtId="164" fontId="1" fillId="21" borderId="45" xfId="4" applyNumberFormat="1" applyFill="1" applyBorder="1"/>
    <xf numFmtId="3" fontId="1" fillId="3" borderId="98" xfId="4" applyNumberFormat="1" applyBorder="1" applyAlignment="1">
      <alignment horizontal="center" vertical="center" wrapText="1"/>
    </xf>
    <xf numFmtId="0" fontId="8" fillId="20" borderId="98" xfId="4" quotePrefix="1" applyFont="1" applyFill="1" applyBorder="1" applyAlignment="1">
      <alignment horizontal="center" vertical="center" wrapText="1"/>
    </xf>
    <xf numFmtId="49" fontId="8" fillId="20" borderId="98" xfId="4" applyNumberFormat="1" applyFont="1" applyFill="1" applyBorder="1" applyAlignment="1">
      <alignment horizontal="center" vertical="center" wrapText="1"/>
    </xf>
    <xf numFmtId="164" fontId="1" fillId="20" borderId="70" xfId="4" applyNumberFormat="1" applyFill="1" applyBorder="1"/>
    <xf numFmtId="164" fontId="1" fillId="20" borderId="99" xfId="4" applyNumberFormat="1" applyFill="1" applyBorder="1" applyAlignment="1"/>
    <xf numFmtId="164" fontId="1" fillId="3" borderId="70" xfId="4" applyNumberFormat="1" applyBorder="1"/>
    <xf numFmtId="3" fontId="1" fillId="3" borderId="64" xfId="4" applyNumberFormat="1" applyBorder="1" applyAlignment="1">
      <alignment horizontal="center" vertical="center" wrapText="1"/>
    </xf>
    <xf numFmtId="0" fontId="8" fillId="20" borderId="64" xfId="4" quotePrefix="1" applyFont="1" applyFill="1" applyBorder="1" applyAlignment="1">
      <alignment horizontal="center" vertical="center" wrapText="1"/>
    </xf>
    <xf numFmtId="49" fontId="8" fillId="20" borderId="64" xfId="4" applyNumberFormat="1" applyFont="1" applyFill="1" applyBorder="1" applyAlignment="1">
      <alignment horizontal="center" vertical="center" wrapText="1"/>
    </xf>
    <xf numFmtId="164" fontId="1" fillId="20" borderId="103" xfId="4" applyNumberFormat="1" applyFill="1" applyBorder="1" applyAlignment="1">
      <alignment horizontal="right"/>
    </xf>
    <xf numFmtId="164" fontId="1" fillId="20" borderId="34" xfId="4" applyNumberFormat="1" applyFill="1" applyBorder="1" applyAlignment="1">
      <alignment horizontal="right"/>
    </xf>
    <xf numFmtId="164" fontId="1" fillId="3" borderId="34" xfId="4" applyNumberFormat="1" applyBorder="1" applyAlignment="1">
      <alignment horizontal="right"/>
    </xf>
    <xf numFmtId="3" fontId="1" fillId="3" borderId="20" xfId="4" applyNumberFormat="1" applyBorder="1" applyAlignment="1">
      <alignment horizontal="center" vertical="center" wrapText="1"/>
    </xf>
    <xf numFmtId="0" fontId="8" fillId="20" borderId="20" xfId="4" quotePrefix="1" applyFont="1" applyFill="1" applyBorder="1" applyAlignment="1">
      <alignment horizontal="center" vertical="center" wrapText="1"/>
    </xf>
    <xf numFmtId="164" fontId="1" fillId="3" borderId="16" xfId="4" applyNumberFormat="1" applyBorder="1" applyAlignment="1">
      <alignment horizontal="right"/>
    </xf>
    <xf numFmtId="164" fontId="1" fillId="3" borderId="16" xfId="4" applyNumberFormat="1" applyBorder="1" applyAlignment="1"/>
    <xf numFmtId="164" fontId="1" fillId="3" borderId="105" xfId="4" applyNumberFormat="1" applyBorder="1" applyAlignment="1">
      <alignment horizontal="right"/>
    </xf>
    <xf numFmtId="164" fontId="1" fillId="3" borderId="45" xfId="4" applyNumberFormat="1" applyBorder="1" applyAlignment="1">
      <alignment horizontal="right"/>
    </xf>
    <xf numFmtId="164" fontId="1" fillId="3" borderId="58" xfId="4" applyNumberFormat="1" applyBorder="1" applyAlignment="1">
      <alignment horizontal="right"/>
    </xf>
    <xf numFmtId="3" fontId="1" fillId="21" borderId="16" xfId="4" applyNumberFormat="1" applyFill="1" applyBorder="1" applyAlignment="1">
      <alignment horizontal="center" vertical="center" wrapText="1"/>
    </xf>
    <xf numFmtId="0" fontId="0" fillId="21" borderId="16" xfId="4" applyFont="1" applyFill="1" applyBorder="1" applyAlignment="1">
      <alignment horizontal="center" vertical="center" wrapText="1"/>
    </xf>
    <xf numFmtId="0" fontId="1" fillId="21" borderId="58" xfId="4" applyFill="1" applyBorder="1" applyAlignment="1">
      <alignment horizontal="center" vertical="center" wrapText="1"/>
    </xf>
    <xf numFmtId="164" fontId="1" fillId="3" borderId="75" xfId="4" applyNumberFormat="1" applyBorder="1" applyAlignment="1"/>
    <xf numFmtId="164" fontId="1" fillId="3" borderId="101" xfId="4" applyNumberFormat="1" applyBorder="1" applyAlignment="1"/>
    <xf numFmtId="164" fontId="1" fillId="3" borderId="103" xfId="4" applyNumberFormat="1" applyBorder="1" applyAlignment="1"/>
    <xf numFmtId="164" fontId="1" fillId="3" borderId="34" xfId="4" applyNumberFormat="1" applyBorder="1"/>
    <xf numFmtId="164" fontId="1" fillId="3" borderId="105" xfId="4" applyNumberFormat="1" applyBorder="1" applyAlignment="1"/>
    <xf numFmtId="164" fontId="1" fillId="3" borderId="45" xfId="4" applyNumberFormat="1" applyBorder="1"/>
    <xf numFmtId="164" fontId="1" fillId="21" borderId="16" xfId="4" applyNumberFormat="1" applyFill="1" applyBorder="1" applyAlignment="1"/>
    <xf numFmtId="164" fontId="1" fillId="21" borderId="105" xfId="4" applyNumberFormat="1" applyFill="1" applyBorder="1" applyAlignment="1"/>
    <xf numFmtId="0" fontId="8" fillId="21" borderId="53" xfId="4" quotePrefix="1" applyFont="1" applyFill="1" applyBorder="1" applyAlignment="1">
      <alignment horizontal="center" vertical="center" wrapText="1"/>
    </xf>
    <xf numFmtId="49" fontId="8" fillId="21" borderId="98" xfId="4" applyNumberFormat="1" applyFont="1" applyFill="1" applyBorder="1" applyAlignment="1">
      <alignment horizontal="center" vertical="center" wrapText="1"/>
    </xf>
    <xf numFmtId="164" fontId="1" fillId="21" borderId="75" xfId="4" applyNumberFormat="1" applyFill="1" applyBorder="1" applyAlignment="1">
      <alignment vertical="center"/>
    </xf>
    <xf numFmtId="164" fontId="1" fillId="21" borderId="53" xfId="4" applyNumberFormat="1" applyFill="1" applyBorder="1" applyAlignment="1">
      <alignment horizontal="left" vertical="center" indent="2"/>
    </xf>
    <xf numFmtId="2" fontId="1" fillId="20" borderId="98" xfId="4" applyNumberFormat="1" applyFill="1" applyBorder="1" applyAlignment="1">
      <alignment horizontal="center" vertical="center" wrapText="1"/>
    </xf>
    <xf numFmtId="0" fontId="1" fillId="20" borderId="108" xfId="4" applyFill="1" applyBorder="1" applyAlignment="1">
      <alignment horizontal="center" vertical="center" wrapText="1"/>
    </xf>
    <xf numFmtId="164" fontId="1" fillId="20" borderId="75" xfId="4" applyNumberFormat="1" applyFill="1" applyBorder="1" applyAlignment="1">
      <alignment vertical="center"/>
    </xf>
    <xf numFmtId="164" fontId="1" fillId="20" borderId="101" xfId="4" applyNumberFormat="1" applyFill="1" applyBorder="1" applyAlignment="1">
      <alignment vertical="center"/>
    </xf>
    <xf numFmtId="164" fontId="1" fillId="20" borderId="70" xfId="4" applyNumberFormat="1" applyFill="1" applyBorder="1" applyAlignment="1">
      <alignment vertical="center"/>
    </xf>
    <xf numFmtId="0" fontId="1" fillId="20" borderId="40" xfId="4" applyFill="1" applyBorder="1" applyAlignment="1">
      <alignment horizontal="center" vertical="center" wrapText="1"/>
    </xf>
    <xf numFmtId="0" fontId="1" fillId="20" borderId="64" xfId="4" applyFill="1" applyBorder="1" applyAlignment="1">
      <alignment horizontal="center" vertical="center" wrapText="1"/>
    </xf>
    <xf numFmtId="0" fontId="0" fillId="20" borderId="74" xfId="4" applyFont="1" applyFill="1" applyBorder="1" applyAlignment="1">
      <alignment horizontal="center" vertical="center" wrapText="1"/>
    </xf>
    <xf numFmtId="3" fontId="1" fillId="20" borderId="64" xfId="4" applyNumberFormat="1" applyFill="1" applyBorder="1" applyAlignment="1">
      <alignment horizontal="center" vertical="center" wrapText="1"/>
    </xf>
    <xf numFmtId="0" fontId="0" fillId="20" borderId="64" xfId="4" applyFont="1" applyFill="1" applyBorder="1" applyAlignment="1">
      <alignment horizontal="center" vertical="center" wrapText="1"/>
    </xf>
    <xf numFmtId="2" fontId="1" fillId="20" borderId="64" xfId="4" applyNumberFormat="1" applyFill="1" applyBorder="1" applyAlignment="1">
      <alignment horizontal="center" vertical="center" wrapText="1"/>
    </xf>
    <xf numFmtId="0" fontId="1" fillId="20" borderId="86" xfId="4" applyFill="1" applyBorder="1" applyAlignment="1">
      <alignment horizontal="center" vertical="center" wrapText="1"/>
    </xf>
    <xf numFmtId="164" fontId="1" fillId="20" borderId="103" xfId="4" applyNumberFormat="1" applyFill="1" applyBorder="1" applyAlignment="1">
      <alignment vertical="center"/>
    </xf>
    <xf numFmtId="0" fontId="29" fillId="20" borderId="102" xfId="4" applyFont="1" applyFill="1" applyBorder="1" applyAlignment="1">
      <alignment horizontal="center" vertical="center" wrapText="1"/>
    </xf>
    <xf numFmtId="164" fontId="1" fillId="20" borderId="48" xfId="4" applyNumberFormat="1" applyFill="1" applyBorder="1" applyAlignment="1">
      <alignment vertical="center"/>
    </xf>
    <xf numFmtId="164" fontId="1" fillId="20" borderId="34" xfId="4" applyNumberFormat="1" applyFill="1" applyBorder="1" applyAlignment="1">
      <alignment vertical="center"/>
    </xf>
    <xf numFmtId="0" fontId="1" fillId="20" borderId="74" xfId="4" applyFill="1" applyBorder="1" applyAlignment="1">
      <alignment horizontal="center" vertical="center" wrapText="1"/>
    </xf>
    <xf numFmtId="3" fontId="1" fillId="20" borderId="74" xfId="4" applyNumberFormat="1" applyFill="1" applyBorder="1" applyAlignment="1">
      <alignment horizontal="center" vertical="center" wrapText="1"/>
    </xf>
    <xf numFmtId="0" fontId="0" fillId="20" borderId="14" xfId="4" applyFont="1" applyFill="1" applyBorder="1" applyAlignment="1">
      <alignment horizontal="center" vertical="center" wrapText="1"/>
    </xf>
    <xf numFmtId="2" fontId="1" fillId="20" borderId="20" xfId="4" applyNumberFormat="1" applyFill="1" applyBorder="1" applyAlignment="1">
      <alignment horizontal="center" vertical="center" wrapText="1"/>
    </xf>
    <xf numFmtId="3" fontId="1" fillId="20" borderId="25" xfId="4" applyNumberFormat="1" applyFill="1" applyBorder="1" applyAlignment="1">
      <alignment horizontal="center" vertical="center" wrapText="1"/>
    </xf>
    <xf numFmtId="0" fontId="1" fillId="20" borderId="25" xfId="4" applyFill="1" applyBorder="1" applyAlignment="1">
      <alignment horizontal="center" vertical="center" wrapText="1"/>
    </xf>
    <xf numFmtId="0" fontId="1" fillId="20" borderId="14" xfId="4" applyFill="1" applyBorder="1" applyAlignment="1">
      <alignment horizontal="center" vertical="center" wrapText="1"/>
    </xf>
    <xf numFmtId="164" fontId="1" fillId="20" borderId="45" xfId="4" applyNumberFormat="1" applyFill="1" applyBorder="1" applyAlignment="1">
      <alignment vertical="center"/>
    </xf>
    <xf numFmtId="0" fontId="29" fillId="20" borderId="104" xfId="4" applyFont="1" applyFill="1" applyBorder="1" applyAlignment="1">
      <alignment horizontal="center" vertical="center" wrapText="1"/>
    </xf>
    <xf numFmtId="0" fontId="66" fillId="0" borderId="0" xfId="0" applyFont="1" applyAlignment="1">
      <alignment vertical="center"/>
    </xf>
    <xf numFmtId="0" fontId="24" fillId="21" borderId="66" xfId="4" applyFont="1" applyFill="1" applyBorder="1" applyAlignment="1">
      <alignment vertical="center"/>
    </xf>
    <xf numFmtId="0" fontId="66" fillId="21" borderId="48" xfId="4" applyFont="1" applyFill="1" applyBorder="1" applyAlignment="1">
      <alignment vertical="center"/>
    </xf>
    <xf numFmtId="0" fontId="66" fillId="21" borderId="48" xfId="4" applyFont="1" applyFill="1" applyBorder="1" applyAlignment="1">
      <alignment horizontal="center" vertical="center"/>
    </xf>
    <xf numFmtId="0" fontId="66" fillId="21" borderId="48" xfId="4" applyFont="1" applyFill="1" applyBorder="1" applyAlignment="1">
      <alignment horizontal="left" vertical="center"/>
    </xf>
    <xf numFmtId="3" fontId="66" fillId="21" borderId="48" xfId="4" applyNumberFormat="1" applyFont="1" applyFill="1" applyBorder="1" applyAlignment="1">
      <alignment horizontal="center" vertical="center"/>
    </xf>
    <xf numFmtId="3" fontId="66" fillId="21" borderId="48" xfId="4" applyNumberFormat="1" applyFont="1" applyFill="1" applyBorder="1" applyAlignment="1">
      <alignment horizontal="right" vertical="center"/>
    </xf>
    <xf numFmtId="3" fontId="66" fillId="21" borderId="66" xfId="4" applyNumberFormat="1" applyFont="1" applyFill="1" applyBorder="1" applyAlignment="1">
      <alignment horizontal="right" vertical="center"/>
    </xf>
    <xf numFmtId="3" fontId="66" fillId="21" borderId="54" xfId="4" applyNumberFormat="1" applyFont="1" applyFill="1" applyBorder="1" applyAlignment="1">
      <alignment horizontal="right" vertical="center"/>
    </xf>
    <xf numFmtId="164" fontId="66" fillId="0" borderId="0" xfId="0" applyNumberFormat="1" applyFont="1" applyAlignment="1">
      <alignment vertical="center"/>
    </xf>
    <xf numFmtId="0" fontId="66" fillId="0" borderId="0" xfId="0" applyFont="1" applyFill="1" applyAlignment="1">
      <alignment vertical="top"/>
    </xf>
    <xf numFmtId="0" fontId="67" fillId="0" borderId="0" xfId="4" applyFont="1" applyFill="1" applyBorder="1" applyAlignment="1">
      <alignment vertical="center"/>
    </xf>
    <xf numFmtId="0" fontId="66" fillId="0" borderId="0" xfId="4" applyFont="1" applyFill="1" applyBorder="1" applyAlignment="1">
      <alignment vertical="top"/>
    </xf>
    <xf numFmtId="0" fontId="66" fillId="0" borderId="0" xfId="4" applyFont="1" applyFill="1" applyBorder="1" applyAlignment="1">
      <alignment horizontal="center" vertical="top"/>
    </xf>
    <xf numFmtId="0" fontId="66" fillId="0" borderId="0" xfId="4" applyFont="1" applyFill="1" applyBorder="1" applyAlignment="1">
      <alignment horizontal="left" vertical="top"/>
    </xf>
    <xf numFmtId="3" fontId="66" fillId="0" borderId="0" xfId="4" applyNumberFormat="1" applyFont="1" applyFill="1" applyBorder="1" applyAlignment="1">
      <alignment horizontal="center" vertical="top"/>
    </xf>
    <xf numFmtId="3" fontId="66" fillId="0" borderId="0" xfId="4" applyNumberFormat="1" applyFont="1" applyFill="1" applyBorder="1" applyAlignment="1">
      <alignment horizontal="right" vertical="top"/>
    </xf>
    <xf numFmtId="3" fontId="66" fillId="0" borderId="0" xfId="0" applyNumberFormat="1" applyFont="1" applyFill="1" applyAlignment="1">
      <alignment vertical="top"/>
    </xf>
    <xf numFmtId="0" fontId="56" fillId="11" borderId="0" xfId="4" applyFont="1" applyFill="1" applyBorder="1" applyAlignment="1">
      <alignment vertical="top"/>
    </xf>
    <xf numFmtId="0" fontId="66" fillId="11" borderId="0" xfId="4" applyFont="1" applyFill="1" applyBorder="1" applyAlignment="1">
      <alignment vertical="top"/>
    </xf>
    <xf numFmtId="0" fontId="66" fillId="11" borderId="0" xfId="4" applyFont="1" applyFill="1" applyBorder="1" applyAlignment="1">
      <alignment horizontal="center" vertical="top"/>
    </xf>
    <xf numFmtId="0" fontId="66" fillId="11" borderId="0" xfId="4" applyFont="1" applyFill="1" applyBorder="1" applyAlignment="1">
      <alignment horizontal="left" vertical="top"/>
    </xf>
    <xf numFmtId="3" fontId="66" fillId="11" borderId="0" xfId="4" applyNumberFormat="1" applyFont="1" applyFill="1" applyBorder="1" applyAlignment="1">
      <alignment horizontal="center" vertical="top"/>
    </xf>
    <xf numFmtId="3" fontId="66" fillId="11" borderId="0" xfId="4" applyNumberFormat="1" applyFont="1" applyFill="1" applyBorder="1" applyAlignment="1">
      <alignment horizontal="right" vertical="top"/>
    </xf>
    <xf numFmtId="0" fontId="66" fillId="11" borderId="0" xfId="0" applyFont="1" applyFill="1" applyAlignment="1">
      <alignment vertical="top"/>
    </xf>
    <xf numFmtId="164" fontId="66" fillId="11" borderId="0" xfId="0" applyNumberFormat="1" applyFont="1" applyFill="1" applyAlignment="1">
      <alignment vertical="top"/>
    </xf>
    <xf numFmtId="0" fontId="65" fillId="0" borderId="0" xfId="0" applyFont="1" applyAlignment="1">
      <alignment vertical="center"/>
    </xf>
    <xf numFmtId="0" fontId="4" fillId="12" borderId="70" xfId="0" applyFont="1" applyFill="1" applyBorder="1" applyAlignment="1">
      <alignment vertical="center" wrapText="1"/>
    </xf>
    <xf numFmtId="0" fontId="4" fillId="12" borderId="45" xfId="0" applyFont="1" applyFill="1" applyBorder="1" applyAlignment="1">
      <alignment vertical="center" wrapText="1"/>
    </xf>
    <xf numFmtId="1" fontId="0" fillId="22" borderId="98" xfId="0" applyNumberFormat="1" applyFill="1" applyBorder="1"/>
    <xf numFmtId="0" fontId="0" fillId="22" borderId="98" xfId="0" applyFill="1" applyBorder="1" applyAlignment="1">
      <alignment horizontal="left"/>
    </xf>
    <xf numFmtId="3" fontId="0" fillId="22" borderId="98" xfId="0" applyNumberFormat="1" applyFill="1" applyBorder="1" applyAlignment="1">
      <alignment horizontal="center"/>
    </xf>
    <xf numFmtId="0" fontId="0" fillId="22" borderId="98" xfId="0" applyFill="1" applyBorder="1" applyAlignment="1">
      <alignment horizontal="center"/>
    </xf>
    <xf numFmtId="2" fontId="0" fillId="22" borderId="98" xfId="0" applyNumberFormat="1" applyFill="1" applyBorder="1"/>
    <xf numFmtId="3" fontId="0" fillId="22" borderId="98" xfId="0" applyNumberFormat="1" applyFill="1" applyBorder="1"/>
    <xf numFmtId="1" fontId="0" fillId="22" borderId="108" xfId="0" applyNumberFormat="1" applyFill="1" applyBorder="1" applyAlignment="1">
      <alignment horizontal="center"/>
    </xf>
    <xf numFmtId="1" fontId="0" fillId="22" borderId="30" xfId="0" applyNumberFormat="1" applyFill="1" applyBorder="1" applyAlignment="1">
      <alignment horizontal="center"/>
    </xf>
    <xf numFmtId="1" fontId="8" fillId="22" borderId="98" xfId="0" applyNumberFormat="1" applyFont="1" applyFill="1" applyBorder="1"/>
    <xf numFmtId="0" fontId="0" fillId="22" borderId="98" xfId="0" applyFill="1" applyBorder="1"/>
    <xf numFmtId="164" fontId="0" fillId="22" borderId="69" xfId="1" applyNumberFormat="1" applyFont="1" applyFill="1" applyBorder="1"/>
    <xf numFmtId="164" fontId="0" fillId="22" borderId="70" xfId="0" applyNumberFormat="1" applyFill="1" applyBorder="1"/>
    <xf numFmtId="164" fontId="0" fillId="22" borderId="68" xfId="1" applyNumberFormat="1" applyFont="1" applyFill="1" applyBorder="1"/>
    <xf numFmtId="164" fontId="0" fillId="22" borderId="70" xfId="1" applyNumberFormat="1" applyFont="1" applyFill="1" applyBorder="1"/>
    <xf numFmtId="1" fontId="0" fillId="22" borderId="64" xfId="0" applyNumberFormat="1" applyFill="1" applyBorder="1"/>
    <xf numFmtId="0" fontId="0" fillId="22" borderId="64" xfId="0" applyFill="1" applyBorder="1" applyAlignment="1">
      <alignment horizontal="left"/>
    </xf>
    <xf numFmtId="3" fontId="0" fillId="22" borderId="64" xfId="0" applyNumberFormat="1" applyFill="1" applyBorder="1" applyAlignment="1">
      <alignment horizontal="center"/>
    </xf>
    <xf numFmtId="0" fontId="0" fillId="22" borderId="64" xfId="0" applyFill="1" applyBorder="1" applyAlignment="1">
      <alignment horizontal="center"/>
    </xf>
    <xf numFmtId="2" fontId="0" fillId="22" borderId="64" xfId="0" applyNumberFormat="1" applyFill="1" applyBorder="1"/>
    <xf numFmtId="3" fontId="0" fillId="22" borderId="64" xfId="0" applyNumberFormat="1" applyFill="1" applyBorder="1"/>
    <xf numFmtId="1" fontId="0" fillId="22" borderId="86" xfId="0" applyNumberFormat="1" applyFill="1" applyBorder="1" applyAlignment="1">
      <alignment horizontal="center"/>
    </xf>
    <xf numFmtId="1" fontId="0" fillId="22" borderId="39" xfId="0" applyNumberFormat="1" applyFill="1" applyBorder="1" applyAlignment="1">
      <alignment horizontal="center"/>
    </xf>
    <xf numFmtId="1" fontId="8" fillId="22" borderId="64" xfId="0" applyNumberFormat="1" applyFont="1" applyFill="1" applyBorder="1"/>
    <xf numFmtId="0" fontId="0" fillId="22" borderId="64" xfId="0" applyFill="1" applyBorder="1"/>
    <xf numFmtId="0" fontId="0" fillId="22" borderId="0" xfId="0" applyFill="1" applyBorder="1"/>
    <xf numFmtId="0" fontId="0" fillId="22" borderId="34" xfId="0" applyFill="1" applyBorder="1"/>
    <xf numFmtId="0" fontId="0" fillId="22" borderId="62" xfId="0" applyFill="1" applyBorder="1"/>
    <xf numFmtId="1" fontId="0" fillId="22" borderId="22" xfId="0" applyNumberFormat="1" applyFill="1" applyBorder="1" applyAlignment="1">
      <alignment horizontal="center"/>
    </xf>
    <xf numFmtId="0" fontId="0" fillId="22" borderId="46" xfId="0" applyFill="1" applyBorder="1"/>
    <xf numFmtId="0" fontId="0" fillId="22" borderId="14" xfId="0" applyFill="1" applyBorder="1"/>
    <xf numFmtId="0" fontId="0" fillId="22" borderId="45" xfId="0" applyFill="1" applyBorder="1"/>
    <xf numFmtId="0" fontId="61" fillId="22" borderId="66" xfId="6" applyFont="1" applyFill="1" applyBorder="1" applyAlignment="1">
      <alignment vertical="center"/>
    </xf>
    <xf numFmtId="0" fontId="66" fillId="22" borderId="48" xfId="6" applyFont="1" applyFill="1" applyBorder="1" applyAlignment="1">
      <alignment vertical="center"/>
    </xf>
    <xf numFmtId="0" fontId="1" fillId="22" borderId="48" xfId="6" applyFill="1" applyBorder="1" applyAlignment="1">
      <alignment horizontal="center" vertical="center" wrapText="1"/>
    </xf>
    <xf numFmtId="0" fontId="1" fillId="22" borderId="48" xfId="6" applyFill="1" applyBorder="1" applyAlignment="1">
      <alignment horizontal="left" vertical="center" wrapText="1"/>
    </xf>
    <xf numFmtId="3" fontId="66" fillId="22" borderId="48" xfId="6" applyNumberFormat="1" applyFont="1" applyFill="1" applyBorder="1" applyAlignment="1">
      <alignment horizontal="center" vertical="center" wrapText="1"/>
    </xf>
    <xf numFmtId="0" fontId="1" fillId="22" borderId="48" xfId="6" applyFill="1" applyBorder="1" applyAlignment="1">
      <alignment horizontal="center" vertical="center"/>
    </xf>
    <xf numFmtId="0" fontId="1" fillId="22" borderId="48" xfId="6" applyFill="1" applyBorder="1" applyAlignment="1">
      <alignment horizontal="right" vertical="center" wrapText="1"/>
    </xf>
    <xf numFmtId="0" fontId="1" fillId="22" borderId="48" xfId="6" applyFill="1" applyBorder="1" applyAlignment="1">
      <alignment vertical="center" wrapText="1"/>
    </xf>
    <xf numFmtId="3" fontId="66" fillId="22" borderId="48" xfId="6" applyNumberFormat="1" applyFont="1" applyFill="1" applyBorder="1" applyAlignment="1">
      <alignment horizontal="right" vertical="center" wrapText="1"/>
    </xf>
    <xf numFmtId="3" fontId="66" fillId="22" borderId="54" xfId="6" applyNumberFormat="1" applyFont="1" applyFill="1" applyBorder="1" applyAlignment="1">
      <alignment horizontal="right" vertical="center" wrapText="1"/>
    </xf>
    <xf numFmtId="3" fontId="66" fillId="22" borderId="66" xfId="6" applyNumberFormat="1" applyFont="1" applyFill="1" applyBorder="1" applyAlignment="1">
      <alignment horizontal="right" vertical="center" wrapText="1"/>
    </xf>
    <xf numFmtId="0" fontId="0" fillId="0" borderId="0" xfId="0" applyAlignment="1">
      <alignment vertical="center"/>
    </xf>
    <xf numFmtId="0" fontId="66" fillId="0" borderId="0" xfId="6" applyFont="1" applyFill="1" applyBorder="1" applyAlignment="1">
      <alignment vertical="center"/>
    </xf>
    <xf numFmtId="0" fontId="1" fillId="0" borderId="0" xfId="6" applyFill="1" applyBorder="1" applyAlignment="1">
      <alignment horizontal="center" vertical="center" wrapText="1"/>
    </xf>
    <xf numFmtId="0" fontId="1" fillId="0" borderId="0" xfId="6" applyFill="1" applyBorder="1" applyAlignment="1">
      <alignment horizontal="left" vertical="center" wrapText="1"/>
    </xf>
    <xf numFmtId="3" fontId="66" fillId="0" borderId="0" xfId="6" applyNumberFormat="1" applyFont="1" applyFill="1" applyBorder="1" applyAlignment="1">
      <alignment horizontal="center" vertical="center" wrapText="1"/>
    </xf>
    <xf numFmtId="0" fontId="1" fillId="0" borderId="0" xfId="6" applyFill="1" applyBorder="1" applyAlignment="1">
      <alignment horizontal="center" vertical="center"/>
    </xf>
    <xf numFmtId="0" fontId="1" fillId="0" borderId="0" xfId="6" applyFill="1" applyBorder="1" applyAlignment="1">
      <alignment horizontal="right" vertical="center" wrapText="1"/>
    </xf>
    <xf numFmtId="0" fontId="1" fillId="0" borderId="0" xfId="6" applyFill="1" applyBorder="1" applyAlignment="1">
      <alignment vertical="center" wrapText="1"/>
    </xf>
    <xf numFmtId="3" fontId="66" fillId="0" borderId="0" xfId="6" applyNumberFormat="1" applyFont="1" applyFill="1" applyBorder="1" applyAlignment="1">
      <alignment horizontal="right" vertical="center" wrapText="1"/>
    </xf>
    <xf numFmtId="1" fontId="0" fillId="0" borderId="0" xfId="0" applyNumberFormat="1"/>
    <xf numFmtId="2" fontId="0" fillId="0" borderId="0" xfId="0" applyNumberFormat="1" applyAlignment="1">
      <alignment horizontal="center"/>
    </xf>
    <xf numFmtId="2" fontId="0" fillId="0" borderId="0" xfId="0" applyNumberFormat="1"/>
    <xf numFmtId="1" fontId="0" fillId="23" borderId="98" xfId="0" applyNumberFormat="1" applyFill="1" applyBorder="1"/>
    <xf numFmtId="0" fontId="0" fillId="23" borderId="98" xfId="0" applyFill="1" applyBorder="1" applyAlignment="1">
      <alignment horizontal="left"/>
    </xf>
    <xf numFmtId="1" fontId="0" fillId="23" borderId="98" xfId="0" applyNumberFormat="1" applyFill="1" applyBorder="1" applyAlignment="1">
      <alignment horizontal="center"/>
    </xf>
    <xf numFmtId="0" fontId="0" fillId="23" borderId="98" xfId="0" applyFill="1" applyBorder="1" applyAlignment="1">
      <alignment horizontal="center"/>
    </xf>
    <xf numFmtId="2" fontId="0" fillId="23" borderId="98" xfId="0" applyNumberFormat="1" applyFill="1" applyBorder="1"/>
    <xf numFmtId="1" fontId="0" fillId="23" borderId="108" xfId="0" applyNumberFormat="1" applyFill="1" applyBorder="1" applyAlignment="1">
      <alignment horizontal="center"/>
    </xf>
    <xf numFmtId="1" fontId="0" fillId="23" borderId="30" xfId="0" applyNumberFormat="1" applyFill="1" applyBorder="1" applyAlignment="1">
      <alignment horizontal="center"/>
    </xf>
    <xf numFmtId="0" fontId="8" fillId="23" borderId="98" xfId="0" applyFont="1" applyFill="1" applyBorder="1"/>
    <xf numFmtId="0" fontId="0" fillId="23" borderId="98" xfId="0" applyFill="1" applyBorder="1"/>
    <xf numFmtId="164" fontId="0" fillId="23" borderId="69" xfId="1" applyNumberFormat="1" applyFont="1" applyFill="1" applyBorder="1"/>
    <xf numFmtId="164" fontId="0" fillId="23" borderId="70" xfId="1" applyNumberFormat="1" applyFont="1" applyFill="1" applyBorder="1"/>
    <xf numFmtId="1" fontId="0" fillId="23" borderId="20" xfId="0" applyNumberFormat="1" applyFill="1" applyBorder="1"/>
    <xf numFmtId="0" fontId="0" fillId="23" borderId="20" xfId="0" applyFill="1" applyBorder="1" applyAlignment="1">
      <alignment horizontal="left"/>
    </xf>
    <xf numFmtId="1" fontId="0" fillId="23" borderId="20" xfId="0" applyNumberFormat="1" applyFill="1" applyBorder="1" applyAlignment="1">
      <alignment horizontal="center"/>
    </xf>
    <xf numFmtId="0" fontId="0" fillId="23" borderId="20" xfId="0" applyFill="1" applyBorder="1" applyAlignment="1">
      <alignment horizontal="center"/>
    </xf>
    <xf numFmtId="2" fontId="0" fillId="23" borderId="20" xfId="0" applyNumberFormat="1" applyFill="1" applyBorder="1"/>
    <xf numFmtId="1" fontId="0" fillId="23" borderId="76" xfId="0" applyNumberFormat="1" applyFill="1" applyBorder="1" applyAlignment="1">
      <alignment horizontal="center"/>
    </xf>
    <xf numFmtId="1" fontId="0" fillId="23" borderId="24" xfId="0" applyNumberFormat="1" applyFill="1" applyBorder="1" applyAlignment="1">
      <alignment horizontal="center"/>
    </xf>
    <xf numFmtId="0" fontId="8" fillId="23" borderId="20" xfId="0" applyFont="1" applyFill="1" applyBorder="1"/>
    <xf numFmtId="0" fontId="0" fillId="23" borderId="20" xfId="0" applyFill="1" applyBorder="1"/>
    <xf numFmtId="0" fontId="0" fillId="23" borderId="14" xfId="0" applyFill="1" applyBorder="1"/>
    <xf numFmtId="0" fontId="0" fillId="23" borderId="45" xfId="0" applyFill="1" applyBorder="1"/>
    <xf numFmtId="1" fontId="0" fillId="23" borderId="72" xfId="0" applyNumberFormat="1" applyFill="1" applyBorder="1" applyAlignment="1">
      <alignment horizontal="center"/>
    </xf>
    <xf numFmtId="0" fontId="66" fillId="23" borderId="66" xfId="6" applyFont="1" applyFill="1" applyBorder="1" applyAlignment="1">
      <alignment vertical="center"/>
    </xf>
    <xf numFmtId="0" fontId="66" fillId="23" borderId="48" xfId="6" applyFont="1" applyFill="1" applyBorder="1" applyAlignment="1">
      <alignment vertical="center"/>
    </xf>
    <xf numFmtId="0" fontId="1" fillId="23" borderId="48" xfId="6" applyFill="1" applyBorder="1" applyAlignment="1">
      <alignment horizontal="center" vertical="center" wrapText="1"/>
    </xf>
    <xf numFmtId="0" fontId="1" fillId="23" borderId="48" xfId="6" applyFill="1" applyBorder="1" applyAlignment="1">
      <alignment horizontal="left" vertical="center" wrapText="1"/>
    </xf>
    <xf numFmtId="3" fontId="66" fillId="23" borderId="48" xfId="6" applyNumberFormat="1" applyFont="1" applyFill="1" applyBorder="1" applyAlignment="1">
      <alignment horizontal="center" vertical="center" wrapText="1"/>
    </xf>
    <xf numFmtId="0" fontId="1" fillId="23" borderId="48" xfId="6" applyFill="1" applyBorder="1" applyAlignment="1">
      <alignment horizontal="center" vertical="center"/>
    </xf>
    <xf numFmtId="0" fontId="1" fillId="23" borderId="48" xfId="6" applyFill="1" applyBorder="1" applyAlignment="1">
      <alignment horizontal="right" vertical="center" wrapText="1"/>
    </xf>
    <xf numFmtId="0" fontId="1" fillId="23" borderId="48" xfId="6" applyFill="1" applyBorder="1" applyAlignment="1">
      <alignment vertical="center" wrapText="1"/>
    </xf>
    <xf numFmtId="3" fontId="66" fillId="23" borderId="48" xfId="6" applyNumberFormat="1" applyFont="1" applyFill="1" applyBorder="1" applyAlignment="1">
      <alignment horizontal="right" vertical="center" wrapText="1"/>
    </xf>
    <xf numFmtId="3" fontId="66" fillId="23" borderId="54" xfId="6" applyNumberFormat="1" applyFont="1" applyFill="1" applyBorder="1" applyAlignment="1">
      <alignment horizontal="right" vertical="center" wrapText="1"/>
    </xf>
    <xf numFmtId="3" fontId="0" fillId="0" borderId="0" xfId="0" applyNumberFormat="1"/>
    <xf numFmtId="0" fontId="66" fillId="0" borderId="0" xfId="0" applyFont="1" applyFill="1" applyAlignment="1">
      <alignment vertical="center"/>
    </xf>
    <xf numFmtId="0" fontId="24" fillId="24" borderId="66" xfId="4" applyFont="1" applyFill="1" applyBorder="1" applyAlignment="1">
      <alignment vertical="center"/>
    </xf>
    <xf numFmtId="0" fontId="66" fillId="24" borderId="48" xfId="4" applyFont="1" applyFill="1" applyBorder="1" applyAlignment="1">
      <alignment vertical="center"/>
    </xf>
    <xf numFmtId="0" fontId="66" fillId="24" borderId="48" xfId="4" applyFont="1" applyFill="1" applyBorder="1" applyAlignment="1">
      <alignment horizontal="center" vertical="center"/>
    </xf>
    <xf numFmtId="0" fontId="66" fillId="24" borderId="48" xfId="4" applyFont="1" applyFill="1" applyBorder="1" applyAlignment="1">
      <alignment horizontal="left" vertical="center"/>
    </xf>
    <xf numFmtId="3" fontId="66" fillId="24" borderId="48" xfId="4" applyNumberFormat="1" applyFont="1" applyFill="1" applyBorder="1" applyAlignment="1">
      <alignment horizontal="center" vertical="center"/>
    </xf>
    <xf numFmtId="3" fontId="66" fillId="24" borderId="48" xfId="0" applyNumberFormat="1" applyFont="1" applyFill="1" applyBorder="1" applyAlignment="1">
      <alignment vertical="center"/>
    </xf>
    <xf numFmtId="3" fontId="66" fillId="24" borderId="54" xfId="0" applyNumberFormat="1" applyFont="1" applyFill="1" applyBorder="1" applyAlignment="1">
      <alignment vertical="center"/>
    </xf>
    <xf numFmtId="0" fontId="66" fillId="24" borderId="0" xfId="0" applyFont="1" applyFill="1" applyAlignment="1">
      <alignment vertical="center"/>
    </xf>
    <xf numFmtId="0" fontId="4" fillId="25" borderId="52" xfId="6" applyFont="1" applyFill="1" applyBorder="1" applyAlignment="1">
      <alignment horizontal="center" vertical="center" wrapText="1"/>
    </xf>
    <xf numFmtId="0" fontId="1" fillId="25" borderId="53" xfId="6" applyFill="1" applyBorder="1" applyAlignment="1">
      <alignment horizontal="left" vertical="center" wrapText="1"/>
    </xf>
    <xf numFmtId="3" fontId="1" fillId="25" borderId="53" xfId="6" applyNumberFormat="1" applyFill="1" applyBorder="1" applyAlignment="1">
      <alignment horizontal="center" vertical="center" wrapText="1"/>
    </xf>
    <xf numFmtId="0" fontId="1" fillId="25" borderId="53" xfId="6" applyFill="1" applyBorder="1" applyAlignment="1">
      <alignment horizontal="right" vertical="center" wrapText="1"/>
    </xf>
    <xf numFmtId="0" fontId="0" fillId="25" borderId="53" xfId="6" applyFont="1" applyFill="1" applyBorder="1" applyAlignment="1">
      <alignment horizontal="center" vertical="center" wrapText="1"/>
    </xf>
    <xf numFmtId="164" fontId="1" fillId="25" borderId="53" xfId="6" applyNumberFormat="1" applyFill="1" applyBorder="1" applyAlignment="1">
      <alignment horizontal="right" vertical="center"/>
    </xf>
    <xf numFmtId="164" fontId="1" fillId="25" borderId="72" xfId="6" applyNumberFormat="1" applyFill="1" applyBorder="1" applyAlignment="1">
      <alignment horizontal="right" vertical="center"/>
    </xf>
    <xf numFmtId="164" fontId="1" fillId="25" borderId="54" xfId="6" applyNumberFormat="1" applyFill="1" applyBorder="1" applyAlignment="1">
      <alignment horizontal="right" vertical="center"/>
    </xf>
    <xf numFmtId="0" fontId="66" fillId="0" borderId="0" xfId="0" applyFont="1" applyAlignment="1">
      <alignment vertical="top"/>
    </xf>
    <xf numFmtId="0" fontId="4" fillId="11" borderId="52" xfId="6" applyFont="1" applyFill="1" applyBorder="1" applyAlignment="1">
      <alignment horizontal="center" vertical="center" wrapText="1"/>
    </xf>
    <xf numFmtId="0" fontId="1" fillId="11" borderId="53" xfId="6" applyFill="1" applyBorder="1" applyAlignment="1">
      <alignment horizontal="left" vertical="center" wrapText="1"/>
    </xf>
    <xf numFmtId="3" fontId="1" fillId="11" borderId="53" xfId="6" applyNumberFormat="1" applyFill="1" applyBorder="1" applyAlignment="1">
      <alignment horizontal="center" vertical="center" wrapText="1"/>
    </xf>
    <xf numFmtId="0" fontId="1" fillId="11" borderId="53" xfId="6" applyFill="1" applyBorder="1" applyAlignment="1">
      <alignment horizontal="right" vertical="center" wrapText="1"/>
    </xf>
    <xf numFmtId="0" fontId="0" fillId="11" borderId="53" xfId="6" applyFont="1" applyFill="1" applyBorder="1" applyAlignment="1">
      <alignment horizontal="center" vertical="center" wrapText="1"/>
    </xf>
    <xf numFmtId="164" fontId="1" fillId="11" borderId="53" xfId="6" applyNumberFormat="1" applyFill="1" applyBorder="1" applyAlignment="1">
      <alignment horizontal="right" vertical="center"/>
    </xf>
    <xf numFmtId="164" fontId="1" fillId="11" borderId="72" xfId="6" applyNumberFormat="1" applyFill="1" applyBorder="1" applyAlignment="1">
      <alignment horizontal="right" vertical="center"/>
    </xf>
    <xf numFmtId="164" fontId="1" fillId="11" borderId="54" xfId="6" applyNumberFormat="1" applyFill="1" applyBorder="1" applyAlignment="1">
      <alignment horizontal="right" vertical="center"/>
    </xf>
    <xf numFmtId="16" fontId="0" fillId="25" borderId="53" xfId="6" applyNumberFormat="1" applyFont="1" applyFill="1" applyBorder="1" applyAlignment="1">
      <alignment horizontal="center" vertical="center" wrapText="1"/>
    </xf>
    <xf numFmtId="0" fontId="4" fillId="11" borderId="97" xfId="6" applyFont="1" applyFill="1" applyBorder="1" applyAlignment="1">
      <alignment horizontal="center" vertical="center" wrapText="1"/>
    </xf>
    <xf numFmtId="0" fontId="1" fillId="25" borderId="98" xfId="6" applyFill="1" applyBorder="1" applyAlignment="1">
      <alignment horizontal="left" vertical="center" wrapText="1"/>
    </xf>
    <xf numFmtId="3" fontId="1" fillId="25" borderId="98" xfId="6" applyNumberFormat="1" applyFill="1" applyBorder="1" applyAlignment="1">
      <alignment horizontal="center" vertical="center" wrapText="1"/>
    </xf>
    <xf numFmtId="0" fontId="1" fillId="25" borderId="98" xfId="6" applyFill="1" applyBorder="1" applyAlignment="1">
      <alignment horizontal="right" vertical="center" wrapText="1"/>
    </xf>
    <xf numFmtId="0" fontId="8" fillId="25" borderId="75" xfId="6" applyFont="1" applyFill="1" applyBorder="1" applyAlignment="1">
      <alignment horizontal="center" vertical="center" wrapText="1"/>
    </xf>
    <xf numFmtId="164" fontId="1" fillId="25" borderId="75" xfId="6" applyNumberFormat="1" applyFill="1" applyBorder="1" applyAlignment="1">
      <alignment horizontal="right"/>
    </xf>
    <xf numFmtId="164" fontId="1" fillId="25" borderId="101" xfId="6" applyNumberFormat="1" applyFill="1" applyBorder="1" applyAlignment="1">
      <alignment horizontal="right"/>
    </xf>
    <xf numFmtId="164" fontId="1" fillId="25" borderId="70" xfId="6" applyNumberFormat="1" applyFill="1" applyBorder="1" applyAlignment="1">
      <alignment horizontal="right"/>
    </xf>
    <xf numFmtId="0" fontId="1" fillId="25" borderId="16" xfId="6" applyFill="1" applyBorder="1" applyAlignment="1">
      <alignment horizontal="left" vertical="center" wrapText="1"/>
    </xf>
    <xf numFmtId="3" fontId="1" fillId="25" borderId="16" xfId="6" applyNumberFormat="1" applyFill="1" applyBorder="1" applyAlignment="1">
      <alignment horizontal="center" vertical="center" wrapText="1"/>
    </xf>
    <xf numFmtId="0" fontId="1" fillId="25" borderId="16" xfId="6" applyFill="1" applyBorder="1" applyAlignment="1">
      <alignment horizontal="right" vertical="center" wrapText="1"/>
    </xf>
    <xf numFmtId="0" fontId="8" fillId="25" borderId="20" xfId="6" applyFont="1" applyFill="1" applyBorder="1" applyAlignment="1">
      <alignment horizontal="center" vertical="center" wrapText="1"/>
    </xf>
    <xf numFmtId="164" fontId="1" fillId="25" borderId="16" xfId="6" applyNumberFormat="1" applyFill="1" applyBorder="1" applyAlignment="1">
      <alignment horizontal="right"/>
    </xf>
    <xf numFmtId="164" fontId="1" fillId="25" borderId="16" xfId="6" applyNumberFormat="1" applyFill="1" applyBorder="1" applyAlignment="1">
      <alignment horizontal="right" vertical="center"/>
    </xf>
    <xf numFmtId="164" fontId="1" fillId="25" borderId="105" xfId="6" applyNumberFormat="1" applyFill="1" applyBorder="1" applyAlignment="1">
      <alignment horizontal="right"/>
    </xf>
    <xf numFmtId="164" fontId="1" fillId="25" borderId="45" xfId="6" applyNumberFormat="1" applyFill="1" applyBorder="1" applyAlignment="1">
      <alignment horizontal="right"/>
    </xf>
    <xf numFmtId="0" fontId="24" fillId="11" borderId="66" xfId="6" applyFont="1" applyFill="1" applyBorder="1" applyAlignment="1">
      <alignment vertical="center"/>
    </xf>
    <xf numFmtId="0" fontId="66" fillId="11" borderId="48" xfId="6" applyFont="1" applyFill="1" applyBorder="1" applyAlignment="1">
      <alignment vertical="center"/>
    </xf>
    <xf numFmtId="0" fontId="1" fillId="11" borderId="48" xfId="6" applyFill="1" applyBorder="1" applyAlignment="1">
      <alignment horizontal="center" vertical="center" wrapText="1"/>
    </xf>
    <xf numFmtId="0" fontId="1" fillId="11" borderId="48" xfId="6" applyFill="1" applyBorder="1" applyAlignment="1">
      <alignment horizontal="left" vertical="center" wrapText="1"/>
    </xf>
    <xf numFmtId="3" fontId="66" fillId="11" borderId="48" xfId="6" applyNumberFormat="1" applyFont="1" applyFill="1" applyBorder="1" applyAlignment="1">
      <alignment horizontal="center" vertical="center" wrapText="1"/>
    </xf>
    <xf numFmtId="0" fontId="1" fillId="11" borderId="48" xfId="6" applyFill="1" applyBorder="1" applyAlignment="1">
      <alignment horizontal="center" vertical="center"/>
    </xf>
    <xf numFmtId="0" fontId="1" fillId="11" borderId="48" xfId="6" applyFill="1" applyBorder="1" applyAlignment="1">
      <alignment horizontal="right" vertical="center" wrapText="1"/>
    </xf>
    <xf numFmtId="0" fontId="1" fillId="11" borderId="48" xfId="6" applyFill="1" applyBorder="1" applyAlignment="1">
      <alignment vertical="center" wrapText="1"/>
    </xf>
    <xf numFmtId="3" fontId="66" fillId="11" borderId="48" xfId="6" applyNumberFormat="1" applyFont="1" applyFill="1" applyBorder="1" applyAlignment="1">
      <alignment horizontal="right" vertical="center" wrapText="1"/>
    </xf>
    <xf numFmtId="3" fontId="66" fillId="11" borderId="54" xfId="6" applyNumberFormat="1" applyFont="1" applyFill="1" applyBorder="1" applyAlignment="1">
      <alignment horizontal="right" vertical="center" wrapText="1"/>
    </xf>
    <xf numFmtId="0" fontId="66" fillId="0" borderId="0" xfId="6" applyFont="1" applyFill="1" applyBorder="1"/>
    <xf numFmtId="3" fontId="1" fillId="0" borderId="0" xfId="6" applyNumberFormat="1" applyFill="1" applyBorder="1" applyAlignment="1">
      <alignment horizontal="center" vertical="center" wrapText="1"/>
    </xf>
    <xf numFmtId="0" fontId="1" fillId="0" borderId="0" xfId="6" applyFill="1" applyBorder="1" applyAlignment="1">
      <alignment horizontal="center"/>
    </xf>
    <xf numFmtId="164" fontId="1" fillId="0" borderId="0" xfId="6" applyNumberFormat="1" applyFill="1" applyBorder="1" applyAlignment="1">
      <alignment horizontal="right"/>
    </xf>
    <xf numFmtId="0" fontId="4" fillId="26" borderId="66" xfId="6" applyFont="1" applyFill="1" applyBorder="1" applyAlignment="1">
      <alignment vertical="center"/>
    </xf>
    <xf numFmtId="0" fontId="66" fillId="26" borderId="48" xfId="6" applyFont="1" applyFill="1" applyBorder="1" applyAlignment="1">
      <alignment vertical="center"/>
    </xf>
    <xf numFmtId="0" fontId="66" fillId="26" borderId="48" xfId="6" applyFont="1" applyFill="1" applyBorder="1" applyAlignment="1">
      <alignment horizontal="center" vertical="center"/>
    </xf>
    <xf numFmtId="3" fontId="66" fillId="26" borderId="48" xfId="6" applyNumberFormat="1" applyFont="1" applyFill="1" applyBorder="1" applyAlignment="1">
      <alignment horizontal="right" vertical="center" wrapText="1"/>
    </xf>
    <xf numFmtId="0" fontId="66" fillId="26" borderId="48" xfId="6" applyFont="1" applyFill="1" applyBorder="1" applyAlignment="1">
      <alignment horizontal="left" vertical="center"/>
    </xf>
    <xf numFmtId="3" fontId="66" fillId="26" borderId="48" xfId="6" applyNumberFormat="1" applyFont="1" applyFill="1" applyBorder="1" applyAlignment="1">
      <alignment horizontal="center" vertical="center"/>
    </xf>
    <xf numFmtId="3" fontId="66" fillId="26" borderId="48" xfId="6" applyNumberFormat="1" applyFont="1" applyFill="1" applyBorder="1" applyAlignment="1">
      <alignment horizontal="right" vertical="center"/>
    </xf>
    <xf numFmtId="0" fontId="66" fillId="26" borderId="48" xfId="6" applyFont="1" applyFill="1" applyBorder="1" applyAlignment="1">
      <alignment horizontal="right" vertical="center"/>
    </xf>
    <xf numFmtId="3" fontId="66" fillId="26" borderId="54" xfId="6" applyNumberFormat="1" applyFont="1" applyFill="1" applyBorder="1" applyAlignment="1">
      <alignment horizontal="right" vertical="center" wrapText="1"/>
    </xf>
    <xf numFmtId="10" fontId="0" fillId="0" borderId="0" xfId="2" applyNumberFormat="1" applyFont="1"/>
    <xf numFmtId="0" fontId="0" fillId="11" borderId="0" xfId="0" applyFill="1" applyAlignment="1">
      <alignment horizontal="center"/>
    </xf>
    <xf numFmtId="0" fontId="0" fillId="27" borderId="0" xfId="0" applyFont="1" applyFill="1" applyBorder="1" applyAlignment="1">
      <alignment horizontal="right" vertical="center" wrapText="1"/>
    </xf>
    <xf numFmtId="0" fontId="0" fillId="0" borderId="0" xfId="0" applyFont="1" applyBorder="1" applyAlignment="1">
      <alignment horizontal="right"/>
    </xf>
    <xf numFmtId="0" fontId="0" fillId="0" borderId="0" xfId="0" applyFont="1" applyBorder="1" applyAlignment="1">
      <alignment horizontal="right" vertical="center" wrapText="1"/>
    </xf>
    <xf numFmtId="0" fontId="0" fillId="0" borderId="0" xfId="0" applyNumberFormat="1" applyFont="1" applyBorder="1" applyAlignment="1">
      <alignment horizontal="right" vertical="center" wrapText="1"/>
    </xf>
    <xf numFmtId="1" fontId="0" fillId="0" borderId="0" xfId="0" applyNumberFormat="1" applyFont="1" applyBorder="1" applyAlignment="1">
      <alignment horizontal="right" vertical="center" wrapText="1"/>
    </xf>
    <xf numFmtId="0" fontId="0" fillId="0" borderId="0" xfId="0" applyNumberFormat="1" applyFont="1" applyBorder="1" applyAlignment="1">
      <alignment horizontal="right"/>
    </xf>
    <xf numFmtId="1" fontId="0" fillId="0" borderId="0" xfId="0" applyNumberFormat="1" applyFont="1" applyBorder="1" applyAlignment="1">
      <alignment horizontal="right"/>
    </xf>
    <xf numFmtId="0" fontId="0" fillId="0" borderId="0" xfId="0" applyFont="1" applyFill="1" applyBorder="1" applyAlignment="1">
      <alignment horizontal="right" vertical="center" wrapText="1"/>
    </xf>
    <xf numFmtId="0" fontId="0" fillId="0" borderId="0" xfId="0" applyNumberFormat="1" applyFont="1" applyFill="1" applyBorder="1" applyAlignment="1">
      <alignment horizontal="right" vertical="center" wrapText="1"/>
    </xf>
    <xf numFmtId="1" fontId="0" fillId="0" borderId="0" xfId="0" applyNumberFormat="1" applyFont="1" applyFill="1" applyBorder="1" applyAlignment="1">
      <alignment horizontal="right" vertical="center" wrapText="1"/>
    </xf>
    <xf numFmtId="0" fontId="0" fillId="0" borderId="0" xfId="0" applyFont="1" applyFill="1" applyBorder="1" applyAlignment="1">
      <alignment horizontal="right"/>
    </xf>
    <xf numFmtId="0"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0" fontId="9" fillId="0" borderId="0" xfId="0" applyFont="1" applyFill="1" applyAlignment="1">
      <alignment horizontal="left" vertical="top"/>
    </xf>
    <xf numFmtId="0" fontId="7" fillId="0" borderId="0" xfId="0" applyFont="1" applyFill="1" applyAlignment="1">
      <alignment horizontal="center" vertical="center"/>
    </xf>
    <xf numFmtId="0" fontId="7" fillId="0" borderId="0" xfId="0" applyFont="1" applyFill="1" applyAlignment="1">
      <alignment vertical="center" wrapText="1"/>
    </xf>
    <xf numFmtId="0" fontId="7" fillId="0" borderId="0" xfId="0" applyFont="1" applyFill="1" applyAlignment="1">
      <alignment vertical="center"/>
    </xf>
    <xf numFmtId="3" fontId="7" fillId="0" borderId="0" xfId="0" applyNumberFormat="1" applyFont="1" applyFill="1" applyBorder="1" applyAlignment="1">
      <alignment vertical="center"/>
    </xf>
    <xf numFmtId="0" fontId="7" fillId="0" borderId="0" xfId="0" applyFont="1" applyFill="1" applyBorder="1" applyAlignment="1">
      <alignment vertical="center"/>
    </xf>
    <xf numFmtId="2" fontId="7" fillId="0" borderId="0" xfId="0" applyNumberFormat="1" applyFont="1" applyFill="1" applyBorder="1" applyAlignment="1">
      <alignment horizontal="center" vertical="center"/>
    </xf>
    <xf numFmtId="3" fontId="15" fillId="0" borderId="0" xfId="0" applyNumberFormat="1" applyFont="1" applyFill="1" applyBorder="1" applyAlignment="1">
      <alignment vertical="center"/>
    </xf>
    <xf numFmtId="3" fontId="7" fillId="0" borderId="14" xfId="0" applyNumberFormat="1" applyFont="1" applyFill="1" applyBorder="1" applyAlignment="1">
      <alignment vertical="center"/>
    </xf>
    <xf numFmtId="3" fontId="7" fillId="0" borderId="6" xfId="0" applyNumberFormat="1" applyFont="1" applyFill="1" applyBorder="1" applyAlignment="1">
      <alignment vertical="center"/>
    </xf>
    <xf numFmtId="3" fontId="73" fillId="0" borderId="14" xfId="0" applyNumberFormat="1" applyFont="1" applyFill="1" applyBorder="1" applyAlignment="1">
      <alignment vertical="center" wrapText="1"/>
    </xf>
    <xf numFmtId="0" fontId="9" fillId="0" borderId="0" xfId="0" applyFont="1" applyFill="1" applyAlignment="1">
      <alignment horizontal="center" vertical="center"/>
    </xf>
    <xf numFmtId="3" fontId="7" fillId="0" borderId="0" xfId="0" applyNumberFormat="1" applyFont="1" applyFill="1" applyAlignment="1">
      <alignment vertical="center"/>
    </xf>
    <xf numFmtId="3" fontId="15" fillId="0" borderId="0" xfId="0" applyNumberFormat="1" applyFont="1" applyFill="1" applyAlignment="1">
      <alignment vertical="center"/>
    </xf>
    <xf numFmtId="2" fontId="7" fillId="0" borderId="0" xfId="0" applyNumberFormat="1" applyFont="1" applyFill="1" applyAlignment="1">
      <alignment vertical="center"/>
    </xf>
    <xf numFmtId="2" fontId="7" fillId="0" borderId="0" xfId="0" applyNumberFormat="1" applyFont="1" applyFill="1" applyAlignment="1">
      <alignment horizontal="center" vertical="center"/>
    </xf>
    <xf numFmtId="0" fontId="11" fillId="0" borderId="0" xfId="0" applyFont="1" applyFill="1"/>
    <xf numFmtId="0" fontId="8" fillId="0" borderId="48" xfId="0" applyFont="1" applyFill="1" applyBorder="1" applyAlignment="1"/>
    <xf numFmtId="0" fontId="11" fillId="0" borderId="0" xfId="0" applyFont="1" applyBorder="1"/>
    <xf numFmtId="0" fontId="11" fillId="0" borderId="0" xfId="0" applyFont="1"/>
    <xf numFmtId="0" fontId="76" fillId="0" borderId="23" xfId="0" applyFont="1" applyFill="1" applyBorder="1" applyAlignment="1">
      <alignment horizontal="center" vertical="center" wrapText="1"/>
    </xf>
    <xf numFmtId="0" fontId="76" fillId="0" borderId="20" xfId="0" applyFont="1" applyFill="1" applyBorder="1" applyAlignment="1">
      <alignment horizontal="center" vertical="center" wrapText="1"/>
    </xf>
    <xf numFmtId="3" fontId="76" fillId="0" borderId="22" xfId="0" applyNumberFormat="1" applyFont="1" applyFill="1" applyBorder="1" applyAlignment="1">
      <alignment horizontal="center" vertical="center" wrapText="1"/>
    </xf>
    <xf numFmtId="0" fontId="76" fillId="0" borderId="24" xfId="0" applyFont="1" applyFill="1" applyBorder="1" applyAlignment="1">
      <alignment horizontal="center" vertical="center" wrapText="1"/>
    </xf>
    <xf numFmtId="2" fontId="76" fillId="0" borderId="20" xfId="0" applyNumberFormat="1" applyFont="1" applyFill="1" applyBorder="1" applyAlignment="1">
      <alignment horizontal="center" vertical="center" wrapText="1"/>
    </xf>
    <xf numFmtId="3" fontId="76" fillId="0" borderId="20" xfId="0" applyNumberFormat="1" applyFont="1" applyFill="1" applyBorder="1" applyAlignment="1">
      <alignment horizontal="center" vertical="center" wrapText="1"/>
    </xf>
    <xf numFmtId="3" fontId="77" fillId="0" borderId="20" xfId="0" applyNumberFormat="1" applyFont="1" applyFill="1" applyBorder="1" applyAlignment="1">
      <alignment horizontal="center" vertical="center" wrapText="1"/>
    </xf>
    <xf numFmtId="3" fontId="76" fillId="0" borderId="14" xfId="0" applyNumberFormat="1" applyFont="1" applyFill="1" applyBorder="1" applyAlignment="1">
      <alignment horizontal="center" vertical="center" wrapText="1"/>
    </xf>
    <xf numFmtId="3" fontId="76" fillId="0" borderId="23" xfId="0" applyNumberFormat="1" applyFont="1" applyFill="1" applyBorder="1" applyAlignment="1">
      <alignment horizontal="center" vertical="center" wrapText="1"/>
    </xf>
    <xf numFmtId="0" fontId="77" fillId="0" borderId="20" xfId="0" applyFont="1" applyFill="1" applyBorder="1" applyAlignment="1">
      <alignment horizontal="center" vertical="center" wrapText="1"/>
    </xf>
    <xf numFmtId="0" fontId="76" fillId="0" borderId="22" xfId="0" applyFont="1" applyFill="1" applyBorder="1" applyAlignment="1">
      <alignment horizontal="center" vertical="center" wrapText="1"/>
    </xf>
    <xf numFmtId="0" fontId="77" fillId="0" borderId="22" xfId="0" applyFont="1" applyFill="1" applyBorder="1" applyAlignment="1">
      <alignment horizontal="center" vertical="center" wrapText="1"/>
    </xf>
    <xf numFmtId="0" fontId="78" fillId="0" borderId="0" xfId="0" applyFont="1" applyBorder="1" applyAlignment="1">
      <alignment wrapText="1"/>
    </xf>
    <xf numFmtId="0" fontId="78" fillId="0" borderId="0" xfId="0" applyFont="1" applyAlignment="1">
      <alignment wrapText="1"/>
    </xf>
    <xf numFmtId="0" fontId="78" fillId="0" borderId="0" xfId="0" applyFont="1"/>
    <xf numFmtId="0" fontId="74" fillId="0" borderId="31" xfId="0" applyFont="1" applyFill="1" applyBorder="1" applyAlignment="1">
      <alignment horizontal="center" vertical="center"/>
    </xf>
    <xf numFmtId="1" fontId="79" fillId="0" borderId="117" xfId="0" applyNumberFormat="1" applyFont="1" applyFill="1" applyBorder="1" applyAlignment="1">
      <alignment horizontal="center" vertical="center"/>
    </xf>
    <xf numFmtId="1" fontId="79" fillId="0" borderId="117" xfId="0" applyNumberFormat="1" applyFont="1" applyFill="1" applyBorder="1" applyAlignment="1">
      <alignment vertical="center" wrapText="1"/>
    </xf>
    <xf numFmtId="1" fontId="79" fillId="0" borderId="117" xfId="0" applyNumberFormat="1" applyFont="1" applyFill="1" applyBorder="1" applyAlignment="1">
      <alignment vertical="center"/>
    </xf>
    <xf numFmtId="3" fontId="79" fillId="0" borderId="118" xfId="0" applyNumberFormat="1" applyFont="1" applyFill="1" applyBorder="1" applyAlignment="1">
      <alignment vertical="center"/>
    </xf>
    <xf numFmtId="1" fontId="79" fillId="14" borderId="117" xfId="0" applyNumberFormat="1" applyFont="1" applyFill="1" applyBorder="1" applyAlignment="1">
      <alignment horizontal="center" vertical="center"/>
    </xf>
    <xf numFmtId="0" fontId="79" fillId="14" borderId="117" xfId="0" applyFont="1" applyFill="1" applyBorder="1" applyAlignment="1">
      <alignment horizontal="center" vertical="center"/>
    </xf>
    <xf numFmtId="0" fontId="79" fillId="14" borderId="117" xfId="0" applyFont="1" applyFill="1" applyBorder="1" applyAlignment="1">
      <alignment vertical="center"/>
    </xf>
    <xf numFmtId="2" fontId="79" fillId="14" borderId="117" xfId="0" applyNumberFormat="1" applyFont="1" applyFill="1" applyBorder="1" applyAlignment="1">
      <alignment horizontal="center" vertical="center"/>
    </xf>
    <xf numFmtId="3" fontId="79" fillId="14" borderId="117" xfId="0" applyNumberFormat="1" applyFont="1" applyFill="1" applyBorder="1" applyAlignment="1">
      <alignment vertical="center"/>
    </xf>
    <xf numFmtId="3" fontId="80" fillId="14" borderId="117" xfId="0" applyNumberFormat="1" applyFont="1" applyFill="1" applyBorder="1" applyAlignment="1">
      <alignment vertical="center"/>
    </xf>
    <xf numFmtId="3" fontId="79" fillId="14" borderId="118" xfId="0" applyNumberFormat="1" applyFont="1" applyFill="1" applyBorder="1" applyAlignment="1">
      <alignment vertical="center"/>
    </xf>
    <xf numFmtId="3" fontId="79" fillId="14" borderId="31" xfId="0" applyNumberFormat="1" applyFont="1" applyFill="1" applyBorder="1" applyAlignment="1">
      <alignment vertical="center" wrapText="1"/>
    </xf>
    <xf numFmtId="0" fontId="74" fillId="14" borderId="117" xfId="0" applyFont="1" applyFill="1" applyBorder="1" applyAlignment="1">
      <alignment horizontal="center" vertical="center"/>
    </xf>
    <xf numFmtId="2" fontId="79" fillId="14" borderId="117" xfId="0" applyNumberFormat="1" applyFont="1" applyFill="1" applyBorder="1" applyAlignment="1">
      <alignment vertical="center"/>
    </xf>
    <xf numFmtId="0" fontId="79" fillId="14" borderId="118" xfId="0" applyFont="1" applyFill="1" applyBorder="1" applyAlignment="1">
      <alignment vertical="center"/>
    </xf>
    <xf numFmtId="0" fontId="79" fillId="14" borderId="31" xfId="0" applyFont="1" applyFill="1" applyBorder="1" applyAlignment="1">
      <alignment horizontal="center" vertical="center"/>
    </xf>
    <xf numFmtId="0" fontId="79" fillId="14" borderId="117" xfId="0" applyFont="1" applyFill="1" applyBorder="1" applyAlignment="1">
      <alignment vertical="center" wrapText="1"/>
    </xf>
    <xf numFmtId="3" fontId="79" fillId="14" borderId="31" xfId="0" applyNumberFormat="1" applyFont="1" applyFill="1" applyBorder="1" applyAlignment="1">
      <alignment vertical="center"/>
    </xf>
    <xf numFmtId="3" fontId="80" fillId="0" borderId="117" xfId="0" applyNumberFormat="1" applyFont="1" applyFill="1" applyBorder="1" applyAlignment="1">
      <alignment vertical="center"/>
    </xf>
    <xf numFmtId="0" fontId="79" fillId="0" borderId="117" xfId="0" applyFont="1" applyFill="1" applyBorder="1" applyAlignment="1">
      <alignment vertical="center"/>
    </xf>
    <xf numFmtId="0" fontId="79" fillId="0" borderId="118" xfId="0" applyFont="1" applyFill="1" applyBorder="1" applyAlignment="1">
      <alignment vertical="center"/>
    </xf>
    <xf numFmtId="0" fontId="79" fillId="0" borderId="0" xfId="0" applyFont="1" applyFill="1" applyBorder="1" applyAlignment="1">
      <alignment horizontal="center" vertical="center"/>
    </xf>
    <xf numFmtId="0" fontId="79" fillId="0" borderId="0" xfId="0" applyFont="1" applyFill="1" applyBorder="1" applyAlignment="1">
      <alignment vertical="center" wrapText="1"/>
    </xf>
    <xf numFmtId="2" fontId="79" fillId="14" borderId="0" xfId="0" applyNumberFormat="1" applyFont="1" applyFill="1" applyBorder="1" applyAlignment="1">
      <alignment horizontal="center" vertical="center"/>
    </xf>
    <xf numFmtId="3" fontId="79" fillId="14" borderId="62" xfId="0" applyNumberFormat="1" applyFont="1" applyFill="1" applyBorder="1" applyAlignment="1">
      <alignment vertical="center" wrapText="1"/>
    </xf>
    <xf numFmtId="0" fontId="79" fillId="14" borderId="62" xfId="0" applyFont="1" applyFill="1" applyBorder="1" applyAlignment="1">
      <alignment horizontal="center" vertical="center"/>
    </xf>
    <xf numFmtId="1" fontId="79" fillId="0" borderId="6" xfId="0" applyNumberFormat="1" applyFont="1" applyFill="1" applyBorder="1" applyAlignment="1">
      <alignment horizontal="center" vertical="center"/>
    </xf>
    <xf numFmtId="1" fontId="79" fillId="0" borderId="6" xfId="0" applyNumberFormat="1" applyFont="1" applyFill="1" applyBorder="1" applyAlignment="1">
      <alignment vertical="center" wrapText="1"/>
    </xf>
    <xf numFmtId="1" fontId="79" fillId="0" borderId="6" xfId="0" applyNumberFormat="1" applyFont="1" applyFill="1" applyBorder="1" applyAlignment="1">
      <alignment vertical="center"/>
    </xf>
    <xf numFmtId="3" fontId="79" fillId="0" borderId="36" xfId="0" applyNumberFormat="1" applyFont="1" applyFill="1" applyBorder="1" applyAlignment="1">
      <alignment vertical="center"/>
    </xf>
    <xf numFmtId="1" fontId="79" fillId="14" borderId="6" xfId="0" applyNumberFormat="1" applyFont="1" applyFill="1" applyBorder="1" applyAlignment="1">
      <alignment horizontal="center" vertical="center"/>
    </xf>
    <xf numFmtId="2" fontId="79" fillId="14" borderId="6" xfId="0" applyNumberFormat="1" applyFont="1" applyFill="1" applyBorder="1" applyAlignment="1">
      <alignment horizontal="center" vertical="center"/>
    </xf>
    <xf numFmtId="0" fontId="79" fillId="14" borderId="63" xfId="0" applyFont="1" applyFill="1" applyBorder="1" applyAlignment="1">
      <alignment horizontal="center" vertical="center"/>
    </xf>
    <xf numFmtId="0" fontId="79" fillId="14" borderId="6" xfId="0" applyFont="1" applyFill="1" applyBorder="1" applyAlignment="1">
      <alignment vertical="center" wrapText="1"/>
    </xf>
    <xf numFmtId="1" fontId="79" fillId="0" borderId="0" xfId="0" applyNumberFormat="1" applyFont="1" applyFill="1" applyBorder="1" applyAlignment="1">
      <alignment horizontal="center" vertical="center"/>
    </xf>
    <xf numFmtId="1" fontId="79" fillId="0" borderId="0" xfId="0" applyNumberFormat="1" applyFont="1" applyFill="1" applyBorder="1" applyAlignment="1">
      <alignment vertical="center" wrapText="1"/>
    </xf>
    <xf numFmtId="1" fontId="79" fillId="0" borderId="0" xfId="0" applyNumberFormat="1" applyFont="1" applyFill="1" applyBorder="1" applyAlignment="1">
      <alignment vertical="center"/>
    </xf>
    <xf numFmtId="1" fontId="79" fillId="14" borderId="0" xfId="0" applyNumberFormat="1" applyFont="1" applyFill="1" applyBorder="1" applyAlignment="1">
      <alignment horizontal="center" vertical="center"/>
    </xf>
    <xf numFmtId="3" fontId="81" fillId="0" borderId="34" xfId="0" applyNumberFormat="1" applyFont="1" applyFill="1" applyBorder="1" applyAlignment="1">
      <alignment vertical="center"/>
    </xf>
    <xf numFmtId="3" fontId="81" fillId="14" borderId="0" xfId="0" applyNumberFormat="1" applyFont="1" applyFill="1" applyBorder="1" applyAlignment="1">
      <alignment vertical="center"/>
    </xf>
    <xf numFmtId="3" fontId="82" fillId="14" borderId="0" xfId="0" applyNumberFormat="1" applyFont="1" applyFill="1" applyBorder="1" applyAlignment="1">
      <alignment vertical="center"/>
    </xf>
    <xf numFmtId="3" fontId="81" fillId="14" borderId="34" xfId="0" applyNumberFormat="1" applyFont="1" applyFill="1" applyBorder="1" applyAlignment="1">
      <alignment vertical="center"/>
    </xf>
    <xf numFmtId="0" fontId="79" fillId="0" borderId="119" xfId="0" applyFont="1" applyFill="1" applyBorder="1" applyAlignment="1">
      <alignment horizontal="center" vertical="center"/>
    </xf>
    <xf numFmtId="0" fontId="79" fillId="0" borderId="119" xfId="0" applyFont="1" applyFill="1" applyBorder="1" applyAlignment="1">
      <alignment vertical="center" wrapText="1"/>
    </xf>
    <xf numFmtId="1" fontId="80" fillId="0" borderId="119" xfId="0" applyNumberFormat="1" applyFont="1" applyFill="1" applyBorder="1" applyAlignment="1">
      <alignment horizontal="right" vertical="center"/>
    </xf>
    <xf numFmtId="3" fontId="79" fillId="0" borderId="120" xfId="0" applyNumberFormat="1" applyFont="1" applyFill="1" applyBorder="1" applyAlignment="1">
      <alignment vertical="center"/>
    </xf>
    <xf numFmtId="0" fontId="79" fillId="14" borderId="119" xfId="0" applyFont="1" applyFill="1" applyBorder="1" applyAlignment="1">
      <alignment horizontal="center" vertical="center"/>
    </xf>
    <xf numFmtId="0" fontId="79" fillId="14" borderId="119" xfId="0" applyFont="1" applyFill="1" applyBorder="1" applyAlignment="1">
      <alignment vertical="center"/>
    </xf>
    <xf numFmtId="2" fontId="79" fillId="14" borderId="119" xfId="0" applyNumberFormat="1" applyFont="1" applyFill="1" applyBorder="1" applyAlignment="1">
      <alignment horizontal="center" vertical="center"/>
    </xf>
    <xf numFmtId="3" fontId="79" fillId="14" borderId="119" xfId="0" applyNumberFormat="1" applyFont="1" applyFill="1" applyBorder="1" applyAlignment="1">
      <alignment vertical="center"/>
    </xf>
    <xf numFmtId="3" fontId="80" fillId="14" borderId="119" xfId="0" applyNumberFormat="1" applyFont="1" applyFill="1" applyBorder="1" applyAlignment="1">
      <alignment vertical="center"/>
    </xf>
    <xf numFmtId="3" fontId="79" fillId="14" borderId="120" xfId="0" applyNumberFormat="1" applyFont="1" applyFill="1" applyBorder="1" applyAlignment="1">
      <alignment vertical="center"/>
    </xf>
    <xf numFmtId="0" fontId="79" fillId="14" borderId="123" xfId="0" applyFont="1" applyFill="1" applyBorder="1" applyAlignment="1">
      <alignment horizontal="center" vertical="center"/>
    </xf>
    <xf numFmtId="0" fontId="79" fillId="14" borderId="121" xfId="0" applyFont="1" applyFill="1" applyBorder="1" applyAlignment="1">
      <alignment horizontal="center" vertical="center"/>
    </xf>
    <xf numFmtId="1" fontId="79" fillId="0" borderId="124" xfId="0" applyNumberFormat="1" applyFont="1" applyFill="1" applyBorder="1" applyAlignment="1">
      <alignment horizontal="center" vertical="center"/>
    </xf>
    <xf numFmtId="1" fontId="79" fillId="0" borderId="124" xfId="0" applyNumberFormat="1" applyFont="1" applyFill="1" applyBorder="1" applyAlignment="1">
      <alignment vertical="center" wrapText="1"/>
    </xf>
    <xf numFmtId="1" fontId="79" fillId="0" borderId="124" xfId="0" applyNumberFormat="1" applyFont="1" applyFill="1" applyBorder="1" applyAlignment="1">
      <alignment vertical="center"/>
    </xf>
    <xf numFmtId="3" fontId="79" fillId="0" borderId="125" xfId="0" applyNumberFormat="1" applyFont="1" applyFill="1" applyBorder="1" applyAlignment="1">
      <alignment vertical="center"/>
    </xf>
    <xf numFmtId="1" fontId="79" fillId="14" borderId="124" xfId="0" applyNumberFormat="1" applyFont="1" applyFill="1" applyBorder="1" applyAlignment="1">
      <alignment horizontal="center" vertical="center"/>
    </xf>
    <xf numFmtId="0" fontId="79" fillId="14" borderId="124" xfId="0" applyFont="1" applyFill="1" applyBorder="1" applyAlignment="1">
      <alignment horizontal="center" vertical="center"/>
    </xf>
    <xf numFmtId="3" fontId="79" fillId="14" borderId="124" xfId="0" applyNumberFormat="1" applyFont="1" applyFill="1" applyBorder="1" applyAlignment="1">
      <alignment vertical="center"/>
    </xf>
    <xf numFmtId="2" fontId="79" fillId="14" borderId="124" xfId="0" applyNumberFormat="1" applyFont="1" applyFill="1" applyBorder="1" applyAlignment="1">
      <alignment horizontal="center" vertical="center"/>
    </xf>
    <xf numFmtId="3" fontId="80" fillId="14" borderId="124" xfId="0" applyNumberFormat="1" applyFont="1" applyFill="1" applyBorder="1" applyAlignment="1">
      <alignment vertical="center"/>
    </xf>
    <xf numFmtId="0" fontId="79" fillId="14" borderId="128" xfId="0" applyFont="1" applyFill="1" applyBorder="1" applyAlignment="1">
      <alignment horizontal="center" vertical="center"/>
    </xf>
    <xf numFmtId="0" fontId="79" fillId="14" borderId="126" xfId="0" applyFont="1" applyFill="1" applyBorder="1" applyAlignment="1">
      <alignment horizontal="center" vertical="center"/>
    </xf>
    <xf numFmtId="2" fontId="79" fillId="14" borderId="126" xfId="0" applyNumberFormat="1" applyFont="1" applyFill="1" applyBorder="1" applyAlignment="1">
      <alignment vertical="center"/>
    </xf>
    <xf numFmtId="2" fontId="79" fillId="14" borderId="126" xfId="0" applyNumberFormat="1" applyFont="1" applyFill="1" applyBorder="1" applyAlignment="1">
      <alignment horizontal="center" vertical="center"/>
    </xf>
    <xf numFmtId="0" fontId="74" fillId="0" borderId="123" xfId="0" applyFont="1" applyFill="1" applyBorder="1" applyAlignment="1">
      <alignment horizontal="center" vertical="center"/>
    </xf>
    <xf numFmtId="0" fontId="79" fillId="0" borderId="121" xfId="0" applyFont="1" applyFill="1" applyBorder="1" applyAlignment="1">
      <alignment horizontal="center" vertical="center"/>
    </xf>
    <xf numFmtId="0" fontId="79" fillId="0" borderId="121" xfId="0" applyFont="1" applyFill="1" applyBorder="1" applyAlignment="1">
      <alignment vertical="center" wrapText="1"/>
    </xf>
    <xf numFmtId="1" fontId="80" fillId="0" borderId="121" xfId="0" applyNumberFormat="1" applyFont="1" applyFill="1" applyBorder="1" applyAlignment="1">
      <alignment horizontal="right" vertical="center"/>
    </xf>
    <xf numFmtId="3" fontId="79" fillId="0" borderId="122" xfId="0" applyNumberFormat="1" applyFont="1" applyFill="1" applyBorder="1" applyAlignment="1">
      <alignment vertical="center"/>
    </xf>
    <xf numFmtId="2" fontId="79" fillId="14" borderId="121" xfId="0" applyNumberFormat="1" applyFont="1" applyFill="1" applyBorder="1" applyAlignment="1">
      <alignment horizontal="center" vertical="center"/>
    </xf>
    <xf numFmtId="3" fontId="79" fillId="14" borderId="122" xfId="0" applyNumberFormat="1" applyFont="1" applyFill="1" applyBorder="1" applyAlignment="1">
      <alignment vertical="center"/>
    </xf>
    <xf numFmtId="0" fontId="83" fillId="0" borderId="44" xfId="0" applyFont="1" applyFill="1" applyBorder="1" applyAlignment="1">
      <alignment horizontal="left" vertical="center"/>
    </xf>
    <xf numFmtId="0" fontId="80" fillId="0" borderId="2" xfId="0" applyFont="1" applyFill="1" applyBorder="1" applyAlignment="1">
      <alignment horizontal="center" vertical="center"/>
    </xf>
    <xf numFmtId="0" fontId="80" fillId="0" borderId="2" xfId="0" applyFont="1" applyFill="1" applyBorder="1" applyAlignment="1">
      <alignment vertical="center" wrapText="1"/>
    </xf>
    <xf numFmtId="1" fontId="83" fillId="0" borderId="2" xfId="0" applyNumberFormat="1" applyFont="1" applyFill="1" applyBorder="1" applyAlignment="1">
      <alignment horizontal="right" vertical="center"/>
    </xf>
    <xf numFmtId="2" fontId="79" fillId="14" borderId="2" xfId="0" applyNumberFormat="1" applyFont="1" applyFill="1" applyBorder="1" applyAlignment="1">
      <alignment horizontal="center" vertical="center"/>
    </xf>
    <xf numFmtId="3" fontId="83" fillId="14" borderId="2" xfId="0" applyNumberFormat="1" applyFont="1" applyFill="1" applyBorder="1" applyAlignment="1">
      <alignment vertical="center"/>
    </xf>
    <xf numFmtId="0" fontId="80" fillId="14" borderId="44" xfId="0" applyFont="1" applyFill="1" applyBorder="1" applyAlignment="1">
      <alignment horizontal="right" vertical="center" wrapText="1"/>
    </xf>
    <xf numFmtId="0" fontId="80" fillId="14" borderId="4" xfId="0" applyFont="1" applyFill="1" applyBorder="1" applyAlignment="1">
      <alignment vertical="center"/>
    </xf>
    <xf numFmtId="0" fontId="79" fillId="14" borderId="44" xfId="0" applyFont="1" applyFill="1" applyBorder="1" applyAlignment="1">
      <alignment horizontal="center" vertical="center"/>
    </xf>
    <xf numFmtId="0" fontId="79" fillId="0" borderId="2" xfId="0" applyFont="1" applyFill="1" applyBorder="1" applyAlignment="1">
      <alignment horizontal="center" vertical="center"/>
    </xf>
    <xf numFmtId="0" fontId="79" fillId="0" borderId="2" xfId="0" applyFont="1" applyFill="1" applyBorder="1" applyAlignment="1">
      <alignment vertical="center" wrapText="1"/>
    </xf>
    <xf numFmtId="0" fontId="74" fillId="0" borderId="40" xfId="0" applyFont="1" applyFill="1" applyBorder="1" applyAlignment="1">
      <alignment horizontal="center" vertical="center"/>
    </xf>
    <xf numFmtId="1" fontId="79" fillId="0" borderId="8" xfId="0" applyNumberFormat="1" applyFont="1" applyFill="1" applyBorder="1" applyAlignment="1">
      <alignment horizontal="center" vertical="center"/>
    </xf>
    <xf numFmtId="1" fontId="79" fillId="0" borderId="8" xfId="0" applyNumberFormat="1" applyFont="1" applyFill="1" applyBorder="1" applyAlignment="1">
      <alignment vertical="center" wrapText="1"/>
    </xf>
    <xf numFmtId="1" fontId="79" fillId="0" borderId="8" xfId="0" applyNumberFormat="1" applyFont="1" applyFill="1" applyBorder="1" applyAlignment="1">
      <alignment vertical="center"/>
    </xf>
    <xf numFmtId="3" fontId="79" fillId="0" borderId="12" xfId="0" applyNumberFormat="1" applyFont="1" applyFill="1" applyBorder="1" applyAlignment="1">
      <alignment vertical="center"/>
    </xf>
    <xf numFmtId="1" fontId="79" fillId="14" borderId="8" xfId="0" applyNumberFormat="1" applyFont="1" applyFill="1" applyBorder="1" applyAlignment="1">
      <alignment horizontal="center" vertical="center"/>
    </xf>
    <xf numFmtId="0" fontId="79" fillId="14" borderId="8" xfId="0" applyFont="1" applyFill="1" applyBorder="1" applyAlignment="1">
      <alignment horizontal="center" vertical="center"/>
    </xf>
    <xf numFmtId="3" fontId="79" fillId="14" borderId="40" xfId="0" applyNumberFormat="1" applyFont="1" applyFill="1" applyBorder="1" applyAlignment="1">
      <alignment vertical="center"/>
    </xf>
    <xf numFmtId="2" fontId="79" fillId="14" borderId="8" xfId="0" applyNumberFormat="1" applyFont="1" applyFill="1" applyBorder="1" applyAlignment="1">
      <alignment horizontal="center" vertical="center"/>
    </xf>
    <xf numFmtId="3" fontId="79" fillId="14" borderId="8" xfId="0" applyNumberFormat="1" applyFont="1" applyFill="1" applyBorder="1" applyAlignment="1">
      <alignment vertical="center"/>
    </xf>
    <xf numFmtId="3" fontId="80" fillId="14" borderId="8" xfId="0" applyNumberFormat="1" applyFont="1" applyFill="1" applyBorder="1" applyAlignment="1">
      <alignment vertical="center"/>
    </xf>
    <xf numFmtId="3" fontId="79" fillId="14" borderId="12" xfId="0" applyNumberFormat="1" applyFont="1" applyFill="1" applyBorder="1" applyAlignment="1">
      <alignment vertical="center"/>
    </xf>
    <xf numFmtId="3" fontId="79" fillId="14" borderId="40" xfId="0" applyNumberFormat="1" applyFont="1" applyFill="1" applyBorder="1" applyAlignment="1">
      <alignment vertical="center" wrapText="1"/>
    </xf>
    <xf numFmtId="0" fontId="74" fillId="14" borderId="8" xfId="0" applyFont="1" applyFill="1" applyBorder="1" applyAlignment="1">
      <alignment horizontal="center" vertical="center"/>
    </xf>
    <xf numFmtId="2" fontId="79" fillId="14" borderId="8" xfId="0" applyNumberFormat="1" applyFont="1" applyFill="1" applyBorder="1" applyAlignment="1">
      <alignment vertical="center"/>
    </xf>
    <xf numFmtId="0" fontId="79" fillId="14" borderId="8" xfId="0" applyFont="1" applyFill="1" applyBorder="1" applyAlignment="1">
      <alignment vertical="center"/>
    </xf>
    <xf numFmtId="0" fontId="79" fillId="14" borderId="12" xfId="0" applyFont="1" applyFill="1" applyBorder="1" applyAlignment="1">
      <alignment vertical="center"/>
    </xf>
    <xf numFmtId="0" fontId="79" fillId="14" borderId="40" xfId="0" applyFont="1" applyFill="1" applyBorder="1" applyAlignment="1">
      <alignment horizontal="center" vertical="center"/>
    </xf>
    <xf numFmtId="3" fontId="80" fillId="0" borderId="8" xfId="0" applyNumberFormat="1" applyFont="1" applyFill="1" applyBorder="1" applyAlignment="1">
      <alignment vertical="center"/>
    </xf>
    <xf numFmtId="0" fontId="79" fillId="0" borderId="8" xfId="0" applyFont="1" applyFill="1" applyBorder="1" applyAlignment="1">
      <alignment vertical="center"/>
    </xf>
    <xf numFmtId="0" fontId="79" fillId="0" borderId="12" xfId="0" applyFont="1" applyFill="1" applyBorder="1" applyAlignment="1">
      <alignment vertical="center"/>
    </xf>
    <xf numFmtId="1" fontId="79" fillId="0" borderId="0" xfId="0" applyNumberFormat="1" applyFont="1" applyFill="1" applyBorder="1" applyAlignment="1">
      <alignment horizontal="left" vertical="center"/>
    </xf>
    <xf numFmtId="0" fontId="79" fillId="0" borderId="0" xfId="0" applyNumberFormat="1" applyFont="1" applyFill="1" applyBorder="1" applyAlignment="1">
      <alignment horizontal="center" vertical="center"/>
    </xf>
    <xf numFmtId="0" fontId="79" fillId="0" borderId="0" xfId="0" applyNumberFormat="1" applyFont="1" applyFill="1" applyBorder="1" applyAlignment="1">
      <alignment vertical="center" wrapText="1"/>
    </xf>
    <xf numFmtId="0" fontId="79" fillId="0" borderId="0" xfId="0" applyNumberFormat="1" applyFont="1" applyFill="1" applyBorder="1" applyAlignment="1">
      <alignment vertical="center"/>
    </xf>
    <xf numFmtId="0" fontId="79" fillId="14" borderId="62" xfId="0" applyNumberFormat="1" applyFont="1" applyFill="1" applyBorder="1" applyAlignment="1">
      <alignment vertical="center"/>
    </xf>
    <xf numFmtId="0" fontId="7" fillId="0" borderId="0" xfId="0" applyFont="1" applyBorder="1"/>
    <xf numFmtId="0" fontId="7" fillId="0" borderId="0" xfId="0" applyFont="1"/>
    <xf numFmtId="1" fontId="80" fillId="0" borderId="2" xfId="0" applyNumberFormat="1" applyFont="1" applyFill="1" applyBorder="1" applyAlignment="1">
      <alignment horizontal="right" vertical="center"/>
    </xf>
    <xf numFmtId="0" fontId="7" fillId="0" borderId="0" xfId="0" applyFont="1" applyFill="1" applyBorder="1"/>
    <xf numFmtId="1" fontId="79" fillId="0" borderId="0" xfId="0" applyNumberFormat="1" applyFont="1" applyFill="1" applyBorder="1" applyAlignment="1">
      <alignment horizontal="left" vertical="center" wrapText="1"/>
    </xf>
    <xf numFmtId="0" fontId="79" fillId="14" borderId="44" xfId="0" applyFont="1" applyFill="1" applyBorder="1" applyAlignment="1">
      <alignment horizontal="left" vertical="center"/>
    </xf>
    <xf numFmtId="0" fontId="79" fillId="0" borderId="63" xfId="0" applyFont="1" applyFill="1" applyBorder="1" applyAlignment="1">
      <alignment horizontal="center" vertical="center"/>
    </xf>
    <xf numFmtId="1" fontId="79" fillId="0" borderId="0" xfId="0" applyNumberFormat="1" applyFont="1" applyFill="1" applyBorder="1" applyAlignment="1">
      <alignment horizontal="right" vertical="center"/>
    </xf>
    <xf numFmtId="0" fontId="79" fillId="0" borderId="8" xfId="0" applyFont="1" applyFill="1" applyBorder="1" applyAlignment="1">
      <alignment horizontal="center" vertical="center"/>
    </xf>
    <xf numFmtId="0" fontId="79" fillId="0" borderId="8" xfId="0" applyFont="1" applyFill="1" applyBorder="1" applyAlignment="1">
      <alignment vertical="center" wrapText="1"/>
    </xf>
    <xf numFmtId="3" fontId="79" fillId="14" borderId="44" xfId="0" applyNumberFormat="1" applyFont="1" applyFill="1" applyBorder="1" applyAlignment="1">
      <alignment vertical="center" wrapText="1"/>
    </xf>
    <xf numFmtId="0" fontId="79" fillId="0" borderId="6" xfId="0" applyFont="1" applyFill="1" applyBorder="1" applyAlignment="1">
      <alignment horizontal="center" vertical="center"/>
    </xf>
    <xf numFmtId="0" fontId="79" fillId="0" borderId="6" xfId="0" applyFont="1" applyFill="1" applyBorder="1" applyAlignment="1">
      <alignment vertical="center" wrapText="1"/>
    </xf>
    <xf numFmtId="0" fontId="79" fillId="0" borderId="6" xfId="0" applyFont="1" applyFill="1" applyBorder="1" applyAlignment="1">
      <alignment vertical="center"/>
    </xf>
    <xf numFmtId="3" fontId="79" fillId="14" borderId="6" xfId="0" applyNumberFormat="1" applyFont="1" applyFill="1" applyBorder="1" applyAlignment="1">
      <alignment vertical="center" shrinkToFit="1"/>
    </xf>
    <xf numFmtId="0" fontId="83" fillId="0" borderId="2" xfId="0" applyFont="1" applyFill="1" applyBorder="1" applyAlignment="1">
      <alignment horizontal="right" vertical="center"/>
    </xf>
    <xf numFmtId="0" fontId="79" fillId="0" borderId="2" xfId="0" applyFont="1" applyFill="1" applyBorder="1" applyAlignment="1">
      <alignment horizontal="center" vertical="center" wrapText="1"/>
    </xf>
    <xf numFmtId="3" fontId="79" fillId="0" borderId="36" xfId="0" applyNumberFormat="1" applyFont="1" applyFill="1" applyBorder="1" applyAlignment="1">
      <alignment horizontal="right" vertical="center"/>
    </xf>
    <xf numFmtId="3" fontId="79" fillId="14" borderId="6" xfId="0" applyNumberFormat="1" applyFont="1" applyFill="1" applyBorder="1" applyAlignment="1">
      <alignment horizontal="center" vertical="center"/>
    </xf>
    <xf numFmtId="3" fontId="80" fillId="14" borderId="6" xfId="0" applyNumberFormat="1" applyFont="1" applyFill="1" applyBorder="1" applyAlignment="1">
      <alignment horizontal="center" vertical="center"/>
    </xf>
    <xf numFmtId="0" fontId="80" fillId="14" borderId="6" xfId="0" applyFont="1" applyFill="1" applyBorder="1" applyAlignment="1">
      <alignment horizontal="right" vertical="center"/>
    </xf>
    <xf numFmtId="0" fontId="79" fillId="14" borderId="6" xfId="0" applyFont="1" applyFill="1" applyBorder="1" applyAlignment="1">
      <alignment horizontal="right" vertical="center"/>
    </xf>
    <xf numFmtId="0" fontId="85" fillId="14" borderId="6" xfId="0" applyFont="1" applyFill="1" applyBorder="1" applyAlignment="1">
      <alignment horizontal="right" vertical="center"/>
    </xf>
    <xf numFmtId="0" fontId="79" fillId="14" borderId="36" xfId="0" applyFont="1" applyFill="1" applyBorder="1" applyAlignment="1">
      <alignment horizontal="right" vertical="center"/>
    </xf>
    <xf numFmtId="3" fontId="81" fillId="0" borderId="34" xfId="0" applyNumberFormat="1" applyFont="1" applyFill="1" applyBorder="1" applyAlignment="1">
      <alignment horizontal="right" vertical="center"/>
    </xf>
    <xf numFmtId="3" fontId="79" fillId="14" borderId="0" xfId="0" applyNumberFormat="1" applyFont="1" applyFill="1" applyBorder="1" applyAlignment="1">
      <alignment horizontal="center" vertical="center"/>
    </xf>
    <xf numFmtId="3" fontId="80" fillId="14" borderId="0" xfId="0" applyNumberFormat="1" applyFont="1" applyFill="1" applyBorder="1" applyAlignment="1">
      <alignment horizontal="center" vertical="center"/>
    </xf>
    <xf numFmtId="0" fontId="80" fillId="14" borderId="0" xfId="0" applyFont="1" applyFill="1" applyBorder="1" applyAlignment="1">
      <alignment horizontal="right" vertical="center"/>
    </xf>
    <xf numFmtId="0" fontId="79" fillId="14" borderId="0" xfId="0" applyFont="1" applyFill="1" applyBorder="1" applyAlignment="1">
      <alignment horizontal="right" vertical="center"/>
    </xf>
    <xf numFmtId="0" fontId="85" fillId="14" borderId="0" xfId="0" applyFont="1" applyFill="1" applyBorder="1" applyAlignment="1">
      <alignment horizontal="right" vertical="center"/>
    </xf>
    <xf numFmtId="0" fontId="79" fillId="14" borderId="34" xfId="0" applyFont="1" applyFill="1" applyBorder="1" applyAlignment="1">
      <alignment horizontal="right" vertical="center"/>
    </xf>
    <xf numFmtId="3" fontId="79" fillId="0" borderId="4" xfId="0" applyNumberFormat="1" applyFont="1" applyFill="1" applyBorder="1" applyAlignment="1">
      <alignment horizontal="right" vertical="center"/>
    </xf>
    <xf numFmtId="3" fontId="79" fillId="14" borderId="2" xfId="0" applyNumberFormat="1" applyFont="1" applyFill="1" applyBorder="1" applyAlignment="1">
      <alignment horizontal="center" vertical="center"/>
    </xf>
    <xf numFmtId="3" fontId="80" fillId="14" borderId="2" xfId="0" applyNumberFormat="1" applyFont="1" applyFill="1" applyBorder="1" applyAlignment="1">
      <alignment horizontal="center" vertical="center"/>
    </xf>
    <xf numFmtId="0" fontId="80" fillId="14" borderId="2" xfId="0" applyFont="1" applyFill="1" applyBorder="1" applyAlignment="1">
      <alignment horizontal="right" vertical="center"/>
    </xf>
    <xf numFmtId="0" fontId="79" fillId="14" borderId="2" xfId="0" applyFont="1" applyFill="1" applyBorder="1" applyAlignment="1">
      <alignment horizontal="right" vertical="center"/>
    </xf>
    <xf numFmtId="0" fontId="85" fillId="14" borderId="2" xfId="0" applyFont="1" applyFill="1" applyBorder="1" applyAlignment="1">
      <alignment horizontal="right" vertical="center"/>
    </xf>
    <xf numFmtId="0" fontId="79" fillId="14" borderId="4" xfId="0" applyFont="1" applyFill="1" applyBorder="1" applyAlignment="1">
      <alignment horizontal="right" vertical="center"/>
    </xf>
    <xf numFmtId="0" fontId="79" fillId="14" borderId="46" xfId="0" applyFont="1" applyFill="1" applyBorder="1" applyAlignment="1">
      <alignment horizontal="center" vertical="center"/>
    </xf>
    <xf numFmtId="0" fontId="79" fillId="14" borderId="14" xfId="0" applyFont="1" applyFill="1" applyBorder="1" applyAlignment="1">
      <alignment horizontal="center" vertical="center"/>
    </xf>
    <xf numFmtId="2" fontId="79" fillId="14" borderId="14" xfId="0" applyNumberFormat="1" applyFont="1" applyFill="1" applyBorder="1" applyAlignment="1">
      <alignment horizontal="center" vertical="center"/>
    </xf>
    <xf numFmtId="0" fontId="79" fillId="14" borderId="14" xfId="0" applyFont="1" applyFill="1" applyBorder="1" applyAlignment="1">
      <alignment vertical="center"/>
    </xf>
    <xf numFmtId="3" fontId="79" fillId="14" borderId="14" xfId="0" applyNumberFormat="1" applyFont="1" applyFill="1" applyBorder="1" applyAlignment="1">
      <alignment vertical="center"/>
    </xf>
    <xf numFmtId="3" fontId="80" fillId="14" borderId="14" xfId="0" applyNumberFormat="1" applyFont="1" applyFill="1" applyBorder="1" applyAlignment="1">
      <alignment vertical="center"/>
    </xf>
    <xf numFmtId="0" fontId="79" fillId="14" borderId="45" xfId="0" applyFont="1" applyFill="1" applyBorder="1" applyAlignment="1">
      <alignment vertical="center"/>
    </xf>
    <xf numFmtId="0" fontId="74" fillId="0" borderId="66" xfId="0" applyFont="1" applyFill="1" applyBorder="1" applyAlignment="1">
      <alignment horizontal="center" vertical="center"/>
    </xf>
    <xf numFmtId="0" fontId="74" fillId="0" borderId="48" xfId="0" applyFont="1" applyFill="1" applyBorder="1" applyAlignment="1">
      <alignment horizontal="center" vertical="center"/>
    </xf>
    <xf numFmtId="0" fontId="74" fillId="0" borderId="48" xfId="0" applyFont="1" applyFill="1" applyBorder="1" applyAlignment="1">
      <alignment vertical="center" wrapText="1"/>
    </xf>
    <xf numFmtId="0" fontId="74" fillId="0" borderId="48" xfId="0" applyFont="1" applyFill="1" applyBorder="1" applyAlignment="1">
      <alignment vertical="center"/>
    </xf>
    <xf numFmtId="3" fontId="74" fillId="0" borderId="54" xfId="0" applyNumberFormat="1" applyFont="1" applyFill="1" applyBorder="1" applyAlignment="1">
      <alignment vertical="center"/>
    </xf>
    <xf numFmtId="0" fontId="74" fillId="14" borderId="48" xfId="0" applyFont="1" applyFill="1" applyBorder="1" applyAlignment="1">
      <alignment horizontal="center" vertical="center"/>
    </xf>
    <xf numFmtId="0" fontId="74" fillId="14" borderId="48" xfId="0" applyFont="1" applyFill="1" applyBorder="1" applyAlignment="1">
      <alignment vertical="center"/>
    </xf>
    <xf numFmtId="2" fontId="74" fillId="14" borderId="48" xfId="0" applyNumberFormat="1" applyFont="1" applyFill="1" applyBorder="1" applyAlignment="1">
      <alignment horizontal="center" vertical="center"/>
    </xf>
    <xf numFmtId="3" fontId="74" fillId="14" borderId="48" xfId="0" applyNumberFormat="1" applyFont="1" applyFill="1" applyBorder="1" applyAlignment="1">
      <alignment vertical="center"/>
    </xf>
    <xf numFmtId="3" fontId="83" fillId="14" borderId="54" xfId="0" applyNumberFormat="1" applyFont="1" applyFill="1" applyBorder="1" applyAlignment="1">
      <alignment vertical="center"/>
    </xf>
    <xf numFmtId="3" fontId="74" fillId="14" borderId="66" xfId="0" applyNumberFormat="1" applyFont="1" applyFill="1" applyBorder="1" applyAlignment="1">
      <alignment vertical="center" wrapText="1"/>
    </xf>
    <xf numFmtId="0" fontId="74" fillId="14" borderId="54" xfId="0" applyFont="1" applyFill="1" applyBorder="1" applyAlignment="1">
      <alignment vertical="center"/>
    </xf>
    <xf numFmtId="0" fontId="74" fillId="14" borderId="66" xfId="0" applyFont="1" applyFill="1" applyBorder="1" applyAlignment="1">
      <alignment horizontal="center" vertical="center"/>
    </xf>
    <xf numFmtId="3" fontId="74" fillId="14" borderId="49" xfId="0" applyNumberFormat="1" applyFont="1" applyFill="1" applyBorder="1" applyAlignment="1">
      <alignment vertical="center"/>
    </xf>
    <xf numFmtId="3" fontId="74" fillId="0" borderId="48" xfId="0" applyNumberFormat="1" applyFont="1" applyFill="1" applyBorder="1" applyAlignment="1">
      <alignment vertical="center"/>
    </xf>
    <xf numFmtId="0" fontId="39" fillId="0" borderId="0" xfId="0" applyFont="1" applyBorder="1"/>
    <xf numFmtId="0" fontId="39" fillId="0" borderId="48" xfId="0" applyFont="1" applyBorder="1"/>
    <xf numFmtId="3" fontId="73" fillId="0" borderId="0" xfId="0" applyNumberFormat="1" applyFont="1" applyFill="1" applyAlignment="1">
      <alignment vertical="center" wrapText="1"/>
    </xf>
    <xf numFmtId="0" fontId="7" fillId="0" borderId="0" xfId="0" applyFont="1" applyFill="1" applyAlignment="1">
      <alignment horizontal="centerContinuous" vertical="center" wrapText="1"/>
    </xf>
    <xf numFmtId="3" fontId="7" fillId="0" borderId="0" xfId="0" applyNumberFormat="1" applyFont="1" applyFill="1" applyAlignment="1">
      <alignment horizontal="centerContinuous" vertical="center" wrapText="1"/>
    </xf>
    <xf numFmtId="0" fontId="0" fillId="0" borderId="0" xfId="0" applyAlignment="1">
      <alignment wrapText="1"/>
    </xf>
    <xf numFmtId="0" fontId="9" fillId="0" borderId="0" xfId="0" applyFont="1" applyFill="1" applyBorder="1" applyAlignment="1">
      <alignment horizontal="left" vertical="center"/>
    </xf>
    <xf numFmtId="3" fontId="7" fillId="0" borderId="0" xfId="0" applyNumberFormat="1" applyFont="1" applyFill="1" applyBorder="1" applyAlignment="1">
      <alignment horizontal="right" vertical="center"/>
    </xf>
    <xf numFmtId="0" fontId="9" fillId="0" borderId="0" xfId="0" applyFont="1" applyFill="1" applyBorder="1" applyAlignment="1">
      <alignment horizontal="center" vertical="center"/>
    </xf>
    <xf numFmtId="0" fontId="73" fillId="0" borderId="0" xfId="0" applyFont="1" applyFill="1" applyBorder="1" applyAlignment="1">
      <alignment horizontal="left" vertical="center" wrapText="1"/>
    </xf>
    <xf numFmtId="2" fontId="7" fillId="0" borderId="0" xfId="0" applyNumberFormat="1" applyFont="1" applyFill="1" applyBorder="1" applyAlignment="1">
      <alignment vertical="center"/>
    </xf>
    <xf numFmtId="0" fontId="15" fillId="0" borderId="0" xfId="0" applyFont="1" applyFill="1" applyBorder="1" applyAlignment="1">
      <alignment vertical="center"/>
    </xf>
    <xf numFmtId="0" fontId="9" fillId="0" borderId="52" xfId="0" applyFont="1" applyFill="1" applyBorder="1" applyAlignment="1">
      <alignment horizontal="center" vertical="center" wrapText="1"/>
    </xf>
    <xf numFmtId="0" fontId="9" fillId="0" borderId="53" xfId="0" applyFont="1" applyFill="1" applyBorder="1" applyAlignment="1">
      <alignment horizontal="center" vertical="center" wrapText="1"/>
    </xf>
    <xf numFmtId="0" fontId="9" fillId="0" borderId="51" xfId="0" applyFont="1" applyFill="1" applyBorder="1" applyAlignment="1">
      <alignment horizontal="center" vertical="center" wrapText="1"/>
    </xf>
    <xf numFmtId="3" fontId="9" fillId="0" borderId="72" xfId="0" applyNumberFormat="1" applyFont="1" applyFill="1" applyBorder="1" applyAlignment="1">
      <alignment horizontal="center" vertical="center" wrapText="1"/>
    </xf>
    <xf numFmtId="2" fontId="9" fillId="0" borderId="53" xfId="0" applyNumberFormat="1" applyFont="1" applyFill="1" applyBorder="1" applyAlignment="1">
      <alignment horizontal="center" vertical="center" wrapText="1"/>
    </xf>
    <xf numFmtId="3" fontId="9" fillId="0" borderId="53" xfId="0" applyNumberFormat="1" applyFont="1" applyFill="1" applyBorder="1" applyAlignment="1">
      <alignment horizontal="center" vertical="center" wrapText="1"/>
    </xf>
    <xf numFmtId="3" fontId="15" fillId="0" borderId="53" xfId="0" applyNumberFormat="1" applyFont="1" applyFill="1" applyBorder="1" applyAlignment="1">
      <alignment horizontal="center" vertical="center" wrapText="1"/>
    </xf>
    <xf numFmtId="0" fontId="15" fillId="0" borderId="53" xfId="0" applyFont="1" applyFill="1" applyBorder="1" applyAlignment="1">
      <alignment horizontal="center" vertical="center" wrapText="1"/>
    </xf>
    <xf numFmtId="0" fontId="9" fillId="0" borderId="72" xfId="0" applyFont="1" applyFill="1" applyBorder="1" applyAlignment="1">
      <alignment horizontal="center" vertical="center" wrapText="1"/>
    </xf>
    <xf numFmtId="0" fontId="9" fillId="0" borderId="104" xfId="0" applyFont="1" applyFill="1" applyBorder="1" applyAlignment="1">
      <alignment horizontal="center" vertical="center" wrapText="1"/>
    </xf>
    <xf numFmtId="0" fontId="9" fillId="0" borderId="16" xfId="0" applyFont="1" applyFill="1" applyBorder="1" applyAlignment="1">
      <alignment horizontal="center" vertical="center" wrapText="1"/>
    </xf>
    <xf numFmtId="0" fontId="93" fillId="0" borderId="16" xfId="0" applyFont="1" applyFill="1" applyBorder="1" applyAlignment="1">
      <alignment horizontal="left" vertical="center" wrapText="1"/>
    </xf>
    <xf numFmtId="2" fontId="9" fillId="0" borderId="15" xfId="0" applyNumberFormat="1" applyFont="1" applyFill="1" applyBorder="1" applyAlignment="1">
      <alignment horizontal="center" vertical="center" wrapText="1"/>
    </xf>
    <xf numFmtId="3" fontId="9" fillId="0" borderId="16" xfId="0" applyNumberFormat="1" applyFont="1" applyFill="1" applyBorder="1" applyAlignment="1">
      <alignment horizontal="center" vertical="center" wrapText="1"/>
    </xf>
    <xf numFmtId="3" fontId="15" fillId="0" borderId="16" xfId="0" applyNumberFormat="1" applyFont="1" applyFill="1" applyBorder="1" applyAlignment="1">
      <alignment horizontal="center" vertical="center" wrapText="1"/>
    </xf>
    <xf numFmtId="0" fontId="15" fillId="0" borderId="16" xfId="0" applyFont="1" applyFill="1" applyBorder="1" applyAlignment="1">
      <alignment horizontal="center" vertical="center" wrapText="1"/>
    </xf>
    <xf numFmtId="0" fontId="9" fillId="0" borderId="105" xfId="0" applyFont="1" applyFill="1" applyBorder="1" applyAlignment="1">
      <alignment horizontal="center" vertical="center" wrapText="1"/>
    </xf>
    <xf numFmtId="1" fontId="7" fillId="0" borderId="6" xfId="0" applyNumberFormat="1" applyFont="1" applyFill="1" applyBorder="1" applyAlignment="1">
      <alignment horizontal="center"/>
    </xf>
    <xf numFmtId="1" fontId="7" fillId="0" borderId="6" xfId="0" applyNumberFormat="1" applyFont="1" applyFill="1" applyBorder="1"/>
    <xf numFmtId="3" fontId="7" fillId="0" borderId="36" xfId="0" applyNumberFormat="1" applyFont="1" applyFill="1" applyBorder="1" applyAlignment="1">
      <alignment horizontal="right" vertical="center"/>
    </xf>
    <xf numFmtId="2" fontId="7" fillId="12" borderId="6" xfId="0" applyNumberFormat="1" applyFont="1" applyFill="1" applyBorder="1" applyAlignment="1">
      <alignment horizontal="center" vertical="center"/>
    </xf>
    <xf numFmtId="1" fontId="7" fillId="0" borderId="0" xfId="0" applyNumberFormat="1" applyFont="1" applyFill="1" applyBorder="1" applyAlignment="1">
      <alignment horizontal="center"/>
    </xf>
    <xf numFmtId="1" fontId="7" fillId="0" borderId="0" xfId="0" applyNumberFormat="1" applyFont="1" applyFill="1" applyBorder="1"/>
    <xf numFmtId="3" fontId="94" fillId="0" borderId="34" xfId="0" applyNumberFormat="1" applyFont="1" applyFill="1" applyBorder="1" applyAlignment="1">
      <alignment horizontal="right" vertical="center"/>
    </xf>
    <xf numFmtId="2" fontId="7" fillId="12" borderId="0" xfId="0" applyNumberFormat="1" applyFont="1" applyFill="1" applyBorder="1" applyAlignment="1">
      <alignment horizontal="center" vertical="center"/>
    </xf>
    <xf numFmtId="3" fontId="94" fillId="12" borderId="0" xfId="0" applyNumberFormat="1" applyFont="1" applyFill="1" applyBorder="1" applyAlignment="1">
      <alignment vertical="center"/>
    </xf>
    <xf numFmtId="3" fontId="95" fillId="12" borderId="0" xfId="0" applyNumberFormat="1" applyFont="1" applyFill="1" applyBorder="1" applyAlignment="1">
      <alignment vertical="center"/>
    </xf>
    <xf numFmtId="3" fontId="94" fillId="12" borderId="34" xfId="0" applyNumberFormat="1" applyFont="1" applyFill="1" applyBorder="1" applyAlignment="1">
      <alignment vertical="center"/>
    </xf>
    <xf numFmtId="3" fontId="15" fillId="12" borderId="0" xfId="0" applyNumberFormat="1" applyFont="1" applyFill="1" applyBorder="1" applyAlignment="1">
      <alignment vertical="center"/>
    </xf>
    <xf numFmtId="0" fontId="7" fillId="0" borderId="2" xfId="0" applyFont="1" applyFill="1" applyBorder="1" applyAlignment="1">
      <alignment horizontal="center" vertical="center"/>
    </xf>
    <xf numFmtId="0" fontId="7" fillId="0" borderId="2" xfId="0" applyFont="1" applyFill="1" applyBorder="1" applyAlignment="1">
      <alignment horizontal="right" vertical="center"/>
    </xf>
    <xf numFmtId="0" fontId="7" fillId="0" borderId="2" xfId="0" applyFont="1" applyFill="1" applyBorder="1" applyAlignment="1">
      <alignment vertical="center"/>
    </xf>
    <xf numFmtId="1" fontId="96" fillId="0" borderId="2" xfId="0" applyNumberFormat="1" applyFont="1" applyFill="1" applyBorder="1" applyAlignment="1">
      <alignment horizontal="right" vertical="center"/>
    </xf>
    <xf numFmtId="3" fontId="7" fillId="0" borderId="4" xfId="0" applyNumberFormat="1" applyFont="1" applyFill="1" applyBorder="1" applyAlignment="1">
      <alignment horizontal="right" vertical="center"/>
    </xf>
    <xf numFmtId="2" fontId="7" fillId="12" borderId="2" xfId="0" applyNumberFormat="1" applyFont="1" applyFill="1" applyBorder="1" applyAlignment="1">
      <alignment horizontal="center" vertical="center"/>
    </xf>
    <xf numFmtId="0" fontId="15" fillId="12" borderId="2" xfId="0" applyFont="1" applyFill="1" applyBorder="1" applyAlignment="1">
      <alignment vertical="center"/>
    </xf>
    <xf numFmtId="3" fontId="15" fillId="12" borderId="2" xfId="0" applyNumberFormat="1" applyFont="1" applyFill="1" applyBorder="1" applyAlignment="1">
      <alignment vertical="center"/>
    </xf>
    <xf numFmtId="0" fontId="7" fillId="12" borderId="4" xfId="0" applyFont="1" applyFill="1" applyBorder="1" applyAlignment="1">
      <alignment vertical="center"/>
    </xf>
    <xf numFmtId="0" fontId="9" fillId="0" borderId="91" xfId="0" applyFont="1" applyFill="1" applyBorder="1" applyAlignment="1">
      <alignment horizontal="center" vertical="center" wrapText="1"/>
    </xf>
    <xf numFmtId="0" fontId="9" fillId="0" borderId="0" xfId="0" applyFont="1" applyFill="1" applyBorder="1" applyAlignment="1">
      <alignment horizontal="center" vertical="center" wrapText="1"/>
    </xf>
    <xf numFmtId="3" fontId="9" fillId="0" borderId="34" xfId="0" applyNumberFormat="1" applyFont="1" applyFill="1" applyBorder="1" applyAlignment="1">
      <alignment horizontal="center" vertical="center" wrapText="1"/>
    </xf>
    <xf numFmtId="0" fontId="9" fillId="12" borderId="62" xfId="0" applyFont="1" applyFill="1" applyBorder="1" applyAlignment="1">
      <alignment horizontal="center" vertical="center" wrapText="1"/>
    </xf>
    <xf numFmtId="0" fontId="9" fillId="12" borderId="0" xfId="0" applyFont="1" applyFill="1" applyBorder="1" applyAlignment="1">
      <alignment horizontal="center" vertical="center" wrapText="1"/>
    </xf>
    <xf numFmtId="2" fontId="9" fillId="12" borderId="0" xfId="0" applyNumberFormat="1" applyFont="1" applyFill="1" applyBorder="1" applyAlignment="1">
      <alignment horizontal="center" vertical="center" wrapText="1"/>
    </xf>
    <xf numFmtId="3" fontId="9" fillId="12" borderId="0" xfId="0" applyNumberFormat="1" applyFont="1" applyFill="1" applyBorder="1" applyAlignment="1">
      <alignment horizontal="center" vertical="center" wrapText="1"/>
    </xf>
    <xf numFmtId="3" fontId="15" fillId="12" borderId="0" xfId="0" applyNumberFormat="1" applyFont="1" applyFill="1" applyBorder="1" applyAlignment="1">
      <alignment horizontal="center" vertical="center" wrapText="1"/>
    </xf>
    <xf numFmtId="3" fontId="7" fillId="12" borderId="0" xfId="0" applyNumberFormat="1" applyFont="1" applyFill="1" applyBorder="1" applyAlignment="1">
      <alignment horizontal="center" vertical="center" wrapText="1"/>
    </xf>
    <xf numFmtId="3" fontId="9" fillId="12" borderId="34" xfId="0" applyNumberFormat="1" applyFont="1" applyFill="1" applyBorder="1" applyAlignment="1">
      <alignment horizontal="center" vertical="center" wrapText="1"/>
    </xf>
    <xf numFmtId="0" fontId="15" fillId="12" borderId="0" xfId="0" applyFont="1" applyFill="1" applyBorder="1" applyAlignment="1">
      <alignment horizontal="center" vertical="center" wrapText="1"/>
    </xf>
    <xf numFmtId="0" fontId="9" fillId="12" borderId="34" xfId="0" applyFont="1" applyFill="1" applyBorder="1" applyAlignment="1">
      <alignment horizontal="center" vertical="center" wrapText="1"/>
    </xf>
    <xf numFmtId="0" fontId="93" fillId="12" borderId="0" xfId="0" applyFont="1" applyFill="1" applyBorder="1" applyAlignment="1">
      <alignment horizontal="left" vertical="center" wrapText="1"/>
    </xf>
    <xf numFmtId="0" fontId="7" fillId="12" borderId="0" xfId="0" applyFont="1" applyFill="1" applyBorder="1" applyAlignment="1">
      <alignment horizontal="center" vertical="center" wrapText="1"/>
    </xf>
    <xf numFmtId="1" fontId="7" fillId="0" borderId="6" xfId="0" applyNumberFormat="1" applyFont="1" applyFill="1" applyBorder="1" applyAlignment="1">
      <alignment horizontal="center" vertical="center"/>
    </xf>
    <xf numFmtId="1" fontId="7" fillId="0" borderId="6" xfId="0" applyNumberFormat="1" applyFont="1" applyFill="1" applyBorder="1" applyAlignment="1">
      <alignment vertical="center"/>
    </xf>
    <xf numFmtId="1" fontId="7" fillId="12" borderId="63" xfId="0" applyNumberFormat="1" applyFont="1" applyFill="1" applyBorder="1" applyAlignment="1">
      <alignment horizontal="center" vertical="center"/>
    </xf>
    <xf numFmtId="1" fontId="7" fillId="0" borderId="0" xfId="0" applyNumberFormat="1" applyFont="1" applyFill="1" applyBorder="1" applyAlignment="1">
      <alignment horizontal="center" vertical="center"/>
    </xf>
    <xf numFmtId="1" fontId="7" fillId="0" borderId="0" xfId="0" applyNumberFormat="1" applyFont="1" applyFill="1" applyBorder="1" applyAlignment="1">
      <alignment vertical="center"/>
    </xf>
    <xf numFmtId="3" fontId="7" fillId="0" borderId="34" xfId="0" applyNumberFormat="1" applyFont="1" applyFill="1" applyBorder="1" applyAlignment="1">
      <alignment horizontal="right" vertical="center"/>
    </xf>
    <xf numFmtId="1" fontId="7" fillId="12" borderId="62" xfId="0" applyNumberFormat="1" applyFont="1" applyFill="1" applyBorder="1" applyAlignment="1">
      <alignment horizontal="center" vertical="center"/>
    </xf>
    <xf numFmtId="0" fontId="9" fillId="0" borderId="132" xfId="0" applyFont="1" applyFill="1" applyBorder="1" applyAlignment="1">
      <alignment horizontal="center" vertical="center"/>
    </xf>
    <xf numFmtId="2" fontId="7" fillId="12" borderId="0" xfId="0" applyNumberFormat="1" applyFont="1" applyFill="1" applyBorder="1" applyAlignment="1">
      <alignment vertical="center"/>
    </xf>
    <xf numFmtId="0" fontId="15" fillId="12" borderId="0" xfId="0" applyFont="1" applyFill="1" applyBorder="1" applyAlignment="1">
      <alignment vertical="center"/>
    </xf>
    <xf numFmtId="0" fontId="7" fillId="12" borderId="62" xfId="0" applyFont="1" applyFill="1" applyBorder="1" applyAlignment="1">
      <alignment vertical="center"/>
    </xf>
    <xf numFmtId="0" fontId="9" fillId="0" borderId="133" xfId="0" applyFont="1" applyFill="1" applyBorder="1" applyAlignment="1">
      <alignment horizontal="center" vertical="center"/>
    </xf>
    <xf numFmtId="1" fontId="7" fillId="0" borderId="63" xfId="0" applyNumberFormat="1" applyFont="1" applyFill="1" applyBorder="1" applyAlignment="1">
      <alignment horizontal="center" vertical="center"/>
    </xf>
    <xf numFmtId="1" fontId="7" fillId="0" borderId="62" xfId="0" applyNumberFormat="1" applyFont="1" applyFill="1" applyBorder="1" applyAlignment="1">
      <alignment horizontal="center" vertical="center"/>
    </xf>
    <xf numFmtId="1" fontId="7" fillId="0" borderId="8" xfId="0" applyNumberFormat="1" applyFont="1" applyFill="1" applyBorder="1" applyAlignment="1">
      <alignment horizontal="center" vertical="center"/>
    </xf>
    <xf numFmtId="1" fontId="7" fillId="0" borderId="8" xfId="0" applyNumberFormat="1" applyFont="1" applyFill="1" applyBorder="1" applyAlignment="1">
      <alignment vertical="center"/>
    </xf>
    <xf numFmtId="3" fontId="7" fillId="0" borderId="12" xfId="0" applyNumberFormat="1" applyFont="1" applyFill="1" applyBorder="1" applyAlignment="1">
      <alignment horizontal="right" vertical="center"/>
    </xf>
    <xf numFmtId="1" fontId="7" fillId="12" borderId="40" xfId="0" applyNumberFormat="1" applyFont="1" applyFill="1" applyBorder="1" applyAlignment="1">
      <alignment horizontal="center" vertical="center"/>
    </xf>
    <xf numFmtId="0" fontId="7" fillId="12" borderId="8" xfId="0" applyFont="1" applyFill="1" applyBorder="1" applyAlignment="1">
      <alignment horizontal="center" vertical="center"/>
    </xf>
    <xf numFmtId="3" fontId="7" fillId="12" borderId="8" xfId="0" applyNumberFormat="1" applyFont="1" applyFill="1" applyBorder="1" applyAlignment="1">
      <alignment vertical="center"/>
    </xf>
    <xf numFmtId="2" fontId="7" fillId="12" borderId="8" xfId="0" applyNumberFormat="1" applyFont="1" applyFill="1" applyBorder="1" applyAlignment="1">
      <alignment horizontal="center" vertical="center"/>
    </xf>
    <xf numFmtId="3" fontId="15" fillId="12" borderId="8" xfId="0" applyNumberFormat="1" applyFont="1" applyFill="1" applyBorder="1" applyAlignment="1">
      <alignment vertical="center"/>
    </xf>
    <xf numFmtId="3" fontId="7" fillId="12" borderId="12" xfId="0" applyNumberFormat="1" applyFont="1" applyFill="1" applyBorder="1" applyAlignment="1">
      <alignment vertical="center"/>
    </xf>
    <xf numFmtId="0" fontId="9" fillId="12" borderId="40" xfId="0" applyFont="1" applyFill="1" applyBorder="1" applyAlignment="1">
      <alignment horizontal="center" vertical="center"/>
    </xf>
    <xf numFmtId="0" fontId="7" fillId="12" borderId="8" xfId="0" applyFont="1" applyFill="1" applyBorder="1" applyAlignment="1">
      <alignment vertical="center"/>
    </xf>
    <xf numFmtId="0" fontId="7" fillId="12" borderId="12" xfId="0" applyFont="1" applyFill="1" applyBorder="1" applyAlignment="1">
      <alignment vertical="center"/>
    </xf>
    <xf numFmtId="0" fontId="7" fillId="12" borderId="40" xfId="0" applyFont="1" applyFill="1" applyBorder="1" applyAlignment="1">
      <alignment horizontal="center" vertical="center"/>
    </xf>
    <xf numFmtId="0" fontId="73" fillId="12" borderId="8" xfId="0" applyFont="1" applyFill="1" applyBorder="1" applyAlignment="1">
      <alignment horizontal="left" vertical="center" wrapText="1"/>
    </xf>
    <xf numFmtId="2" fontId="7" fillId="12" borderId="8" xfId="0" applyNumberFormat="1" applyFont="1" applyFill="1" applyBorder="1" applyAlignment="1">
      <alignment vertical="center"/>
    </xf>
    <xf numFmtId="0" fontId="15" fillId="12" borderId="8" xfId="0" applyFont="1" applyFill="1" applyBorder="1" applyAlignment="1">
      <alignment vertical="center"/>
    </xf>
    <xf numFmtId="3" fontId="7" fillId="12" borderId="40" xfId="0" applyNumberFormat="1" applyFont="1" applyFill="1" applyBorder="1" applyAlignment="1">
      <alignment vertical="center"/>
    </xf>
    <xf numFmtId="3" fontId="7" fillId="12" borderId="63" xfId="0" applyNumberFormat="1" applyFont="1" applyFill="1" applyBorder="1" applyAlignment="1">
      <alignment horizontal="center" vertical="center"/>
    </xf>
    <xf numFmtId="3" fontId="7" fillId="12" borderId="6" xfId="0" applyNumberFormat="1" applyFont="1" applyFill="1" applyBorder="1" applyAlignment="1">
      <alignment horizontal="center" vertical="center"/>
    </xf>
    <xf numFmtId="2" fontId="8" fillId="12" borderId="0" xfId="0" applyNumberFormat="1" applyFont="1" applyFill="1" applyBorder="1" applyAlignment="1">
      <alignment vertical="center"/>
    </xf>
    <xf numFmtId="2" fontId="8" fillId="12" borderId="2" xfId="0" applyNumberFormat="1" applyFont="1" applyFill="1" applyBorder="1" applyAlignment="1">
      <alignment vertical="center"/>
    </xf>
    <xf numFmtId="0" fontId="9" fillId="0" borderId="91" xfId="0" applyFont="1" applyFill="1" applyBorder="1" applyAlignment="1">
      <alignment horizontal="center" vertical="center"/>
    </xf>
    <xf numFmtId="1" fontId="7" fillId="12" borderId="0" xfId="0" applyNumberFormat="1" applyFont="1" applyFill="1" applyBorder="1" applyAlignment="1">
      <alignment vertical="center"/>
    </xf>
    <xf numFmtId="1" fontId="7" fillId="0" borderId="2" xfId="0" applyNumberFormat="1" applyFont="1" applyFill="1" applyBorder="1" applyAlignment="1">
      <alignment horizontal="center" vertical="center"/>
    </xf>
    <xf numFmtId="1" fontId="7" fillId="0" borderId="2" xfId="0" applyNumberFormat="1" applyFont="1" applyFill="1" applyBorder="1" applyAlignment="1">
      <alignment vertical="center"/>
    </xf>
    <xf numFmtId="1" fontId="7" fillId="12" borderId="44" xfId="0" applyNumberFormat="1" applyFont="1" applyFill="1" applyBorder="1" applyAlignment="1">
      <alignment horizontal="center" vertical="center"/>
    </xf>
    <xf numFmtId="1" fontId="7" fillId="0" borderId="0" xfId="0" applyNumberFormat="1" applyFont="1" applyFill="1" applyBorder="1" applyAlignment="1">
      <alignment horizontal="right" vertical="center"/>
    </xf>
    <xf numFmtId="2" fontId="7" fillId="12" borderId="2" xfId="0" applyNumberFormat="1" applyFont="1" applyFill="1" applyBorder="1" applyAlignment="1">
      <alignment vertical="center"/>
    </xf>
    <xf numFmtId="0" fontId="73" fillId="12" borderId="8" xfId="0" applyFont="1" applyFill="1" applyBorder="1" applyAlignment="1">
      <alignment horizontal="center" vertical="center"/>
    </xf>
    <xf numFmtId="2" fontId="7" fillId="12" borderId="8" xfId="0" applyNumberFormat="1" applyFont="1" applyFill="1" applyBorder="1" applyAlignment="1">
      <alignment horizontal="right" vertical="center"/>
    </xf>
    <xf numFmtId="3" fontId="7" fillId="12" borderId="8" xfId="0" applyNumberFormat="1" applyFont="1" applyFill="1" applyBorder="1" applyAlignment="1">
      <alignment horizontal="right" vertical="center"/>
    </xf>
    <xf numFmtId="0" fontId="7" fillId="12" borderId="8" xfId="0" applyFont="1" applyFill="1" applyBorder="1" applyAlignment="1">
      <alignment horizontal="right" vertical="center"/>
    </xf>
    <xf numFmtId="0" fontId="7" fillId="12" borderId="12" xfId="0" applyFont="1" applyFill="1" applyBorder="1" applyAlignment="1">
      <alignment horizontal="right" vertical="center"/>
    </xf>
    <xf numFmtId="0" fontId="9" fillId="0" borderId="62" xfId="0" applyFont="1" applyFill="1" applyBorder="1" applyAlignment="1">
      <alignment horizontal="center" vertical="center"/>
    </xf>
    <xf numFmtId="3" fontId="7" fillId="0" borderId="34" xfId="0" applyNumberFormat="1" applyFont="1" applyFill="1" applyBorder="1" applyAlignment="1">
      <alignment vertical="center"/>
    </xf>
    <xf numFmtId="0" fontId="7" fillId="0" borderId="34" xfId="0" applyFont="1" applyFill="1" applyBorder="1" applyAlignment="1">
      <alignment vertical="center"/>
    </xf>
    <xf numFmtId="0" fontId="7" fillId="0" borderId="62" xfId="0" applyFont="1" applyFill="1" applyBorder="1" applyAlignment="1">
      <alignment vertical="center"/>
    </xf>
    <xf numFmtId="0" fontId="9" fillId="0" borderId="46" xfId="0" applyFont="1" applyFill="1" applyBorder="1" applyAlignment="1">
      <alignment horizontal="center" vertical="center"/>
    </xf>
    <xf numFmtId="0" fontId="7" fillId="0" borderId="14" xfId="0" applyFont="1" applyFill="1" applyBorder="1" applyAlignment="1">
      <alignment horizontal="center" vertical="center"/>
    </xf>
    <xf numFmtId="0" fontId="7" fillId="0" borderId="14" xfId="0" applyFont="1" applyFill="1" applyBorder="1" applyAlignment="1">
      <alignment vertical="center"/>
    </xf>
    <xf numFmtId="3" fontId="7" fillId="0" borderId="45" xfId="0" applyNumberFormat="1" applyFont="1" applyFill="1" applyBorder="1" applyAlignment="1">
      <alignment horizontal="right" vertical="center"/>
    </xf>
    <xf numFmtId="0" fontId="7" fillId="0" borderId="46" xfId="0" applyFont="1" applyFill="1" applyBorder="1" applyAlignment="1">
      <alignment horizontal="left" vertical="center"/>
    </xf>
    <xf numFmtId="2" fontId="7" fillId="0" borderId="14" xfId="0" applyNumberFormat="1" applyFont="1" applyFill="1" applyBorder="1" applyAlignment="1">
      <alignment horizontal="center" vertical="center"/>
    </xf>
    <xf numFmtId="3" fontId="15" fillId="0" borderId="14" xfId="0" applyNumberFormat="1" applyFont="1" applyFill="1" applyBorder="1" applyAlignment="1">
      <alignment vertical="center"/>
    </xf>
    <xf numFmtId="3" fontId="7" fillId="0" borderId="45" xfId="0" applyNumberFormat="1" applyFont="1" applyFill="1" applyBorder="1" applyAlignment="1">
      <alignment vertical="center"/>
    </xf>
    <xf numFmtId="0" fontId="7" fillId="0" borderId="45" xfId="0" applyFont="1" applyFill="1" applyBorder="1" applyAlignment="1">
      <alignment vertical="center"/>
    </xf>
    <xf numFmtId="0" fontId="73" fillId="0" borderId="14" xfId="0" applyFont="1" applyFill="1" applyBorder="1" applyAlignment="1">
      <alignment horizontal="left" vertical="center" wrapText="1"/>
    </xf>
    <xf numFmtId="2" fontId="7" fillId="0" borderId="14" xfId="0" applyNumberFormat="1" applyFont="1" applyFill="1" applyBorder="1" applyAlignment="1">
      <alignment vertical="center"/>
    </xf>
    <xf numFmtId="0" fontId="15" fillId="0" borderId="14" xfId="0" applyFont="1" applyFill="1" applyBorder="1" applyAlignment="1">
      <alignment vertical="center"/>
    </xf>
    <xf numFmtId="0" fontId="7" fillId="0" borderId="46" xfId="0" applyFont="1" applyFill="1" applyBorder="1" applyAlignment="1">
      <alignment vertical="center"/>
    </xf>
    <xf numFmtId="0" fontId="9" fillId="0" borderId="69" xfId="0" applyFont="1" applyFill="1" applyBorder="1" applyAlignment="1">
      <alignment horizontal="center" vertical="center"/>
    </xf>
    <xf numFmtId="0" fontId="7" fillId="0" borderId="69" xfId="0" applyFont="1" applyFill="1" applyBorder="1" applyAlignment="1">
      <alignment horizontal="center" vertical="center"/>
    </xf>
    <xf numFmtId="0" fontId="7" fillId="0" borderId="69" xfId="0" applyFont="1" applyFill="1" applyBorder="1" applyAlignment="1">
      <alignment vertical="center"/>
    </xf>
    <xf numFmtId="3" fontId="7" fillId="0" borderId="69" xfId="0" applyNumberFormat="1" applyFont="1" applyFill="1" applyBorder="1" applyAlignment="1">
      <alignment horizontal="right" vertical="center"/>
    </xf>
    <xf numFmtId="0" fontId="9" fillId="0" borderId="69" xfId="0" applyFont="1" applyBorder="1" applyAlignment="1">
      <alignment vertical="center"/>
    </xf>
    <xf numFmtId="2" fontId="7" fillId="0" borderId="69" xfId="0" applyNumberFormat="1" applyFont="1" applyFill="1" applyBorder="1" applyAlignment="1">
      <alignment horizontal="center" vertical="center"/>
    </xf>
    <xf numFmtId="3" fontId="7" fillId="0" borderId="69" xfId="0" applyNumberFormat="1" applyFont="1" applyFill="1" applyBorder="1" applyAlignment="1">
      <alignment vertical="center"/>
    </xf>
    <xf numFmtId="3" fontId="15" fillId="0" borderId="69" xfId="0" applyNumberFormat="1" applyFont="1" applyFill="1" applyBorder="1" applyAlignment="1">
      <alignment vertical="center"/>
    </xf>
    <xf numFmtId="0" fontId="73" fillId="0" borderId="69" xfId="0" applyFont="1" applyFill="1" applyBorder="1" applyAlignment="1">
      <alignment horizontal="left" vertical="center" wrapText="1"/>
    </xf>
    <xf numFmtId="2" fontId="7" fillId="0" borderId="69" xfId="0" applyNumberFormat="1" applyFont="1" applyFill="1" applyBorder="1" applyAlignment="1">
      <alignment vertical="center"/>
    </xf>
    <xf numFmtId="0" fontId="15" fillId="0" borderId="69" xfId="0" applyFont="1" applyFill="1" applyBorder="1" applyAlignment="1">
      <alignment vertical="center"/>
    </xf>
    <xf numFmtId="0" fontId="7" fillId="0" borderId="69" xfId="0" applyFont="1" applyFill="1" applyBorder="1" applyAlignment="1">
      <alignment horizontal="left" vertical="center"/>
    </xf>
    <xf numFmtId="3" fontId="7" fillId="0" borderId="0" xfId="0" applyNumberFormat="1" applyFont="1" applyFill="1" applyAlignment="1">
      <alignment horizontal="right" vertical="center"/>
    </xf>
    <xf numFmtId="0" fontId="8" fillId="0" borderId="0" xfId="0" applyFont="1" applyBorder="1"/>
    <xf numFmtId="0" fontId="7" fillId="0" borderId="0" xfId="0" applyFont="1" applyFill="1" applyAlignment="1">
      <alignment horizontal="left" vertical="center"/>
    </xf>
    <xf numFmtId="0" fontId="73" fillId="0" borderId="0" xfId="0" applyFont="1" applyFill="1" applyAlignment="1">
      <alignment horizontal="left" vertical="center" wrapText="1"/>
    </xf>
    <xf numFmtId="0" fontId="15" fillId="0" borderId="0" xfId="0" applyFont="1" applyFill="1" applyAlignment="1">
      <alignment vertical="center"/>
    </xf>
    <xf numFmtId="0" fontId="9" fillId="10" borderId="0" xfId="0" applyFont="1" applyFill="1" applyAlignment="1">
      <alignment horizontal="center" vertical="center"/>
    </xf>
    <xf numFmtId="0" fontId="7" fillId="10" borderId="0" xfId="0" applyFont="1" applyFill="1" applyAlignment="1">
      <alignment horizontal="center" vertical="center"/>
    </xf>
    <xf numFmtId="0" fontId="7" fillId="10" borderId="0" xfId="0" applyFont="1" applyFill="1" applyAlignment="1">
      <alignment vertical="center"/>
    </xf>
    <xf numFmtId="3" fontId="7" fillId="10" borderId="0" xfId="0" applyNumberFormat="1" applyFont="1" applyFill="1" applyAlignment="1">
      <alignment horizontal="right" vertical="center"/>
    </xf>
    <xf numFmtId="0" fontId="7" fillId="28" borderId="0" xfId="0" applyFont="1" applyFill="1" applyAlignment="1">
      <alignment horizontal="center" vertical="center"/>
    </xf>
    <xf numFmtId="0" fontId="7" fillId="28" borderId="0" xfId="0" applyFont="1" applyFill="1" applyAlignment="1">
      <alignment vertical="center"/>
    </xf>
    <xf numFmtId="2" fontId="7" fillId="28" borderId="0" xfId="0" applyNumberFormat="1" applyFont="1" applyFill="1" applyAlignment="1">
      <alignment horizontal="center" vertical="center"/>
    </xf>
    <xf numFmtId="3" fontId="7" fillId="28" borderId="0" xfId="0" applyNumberFormat="1" applyFont="1" applyFill="1" applyAlignment="1">
      <alignment vertical="center"/>
    </xf>
    <xf numFmtId="0" fontId="9" fillId="15" borderId="0" xfId="0" applyFont="1" applyFill="1" applyAlignment="1">
      <alignment horizontal="center" vertical="center"/>
    </xf>
    <xf numFmtId="3" fontId="7" fillId="15" borderId="0" xfId="0" applyNumberFormat="1" applyFont="1" applyFill="1" applyAlignment="1">
      <alignment vertical="center"/>
    </xf>
    <xf numFmtId="0" fontId="7" fillId="29" borderId="0" xfId="0" applyFont="1" applyFill="1" applyAlignment="1">
      <alignment horizontal="center" vertical="center"/>
    </xf>
    <xf numFmtId="0" fontId="73" fillId="29" borderId="0" xfId="0" applyFont="1" applyFill="1" applyAlignment="1">
      <alignment horizontal="left" vertical="center" wrapText="1"/>
    </xf>
    <xf numFmtId="2" fontId="7" fillId="29" borderId="0" xfId="0" applyNumberFormat="1" applyFont="1" applyFill="1" applyAlignment="1">
      <alignment vertical="center"/>
    </xf>
    <xf numFmtId="3" fontId="7" fillId="29" borderId="0" xfId="0" applyNumberFormat="1" applyFont="1" applyFill="1" applyAlignment="1">
      <alignment vertical="center"/>
    </xf>
    <xf numFmtId="3" fontId="7" fillId="30" borderId="0" xfId="0" applyNumberFormat="1" applyFont="1" applyFill="1" applyAlignment="1">
      <alignment vertical="center"/>
    </xf>
    <xf numFmtId="3" fontId="15" fillId="28" borderId="0" xfId="0" applyNumberFormat="1" applyFont="1" applyFill="1" applyAlignment="1">
      <alignment vertical="center"/>
    </xf>
    <xf numFmtId="3" fontId="15" fillId="15" borderId="0" xfId="0" applyNumberFormat="1" applyFont="1" applyFill="1" applyAlignment="1">
      <alignment vertical="center"/>
    </xf>
    <xf numFmtId="0" fontId="7" fillId="15" borderId="0" xfId="0" applyFont="1" applyFill="1" applyAlignment="1">
      <alignment vertical="center"/>
    </xf>
    <xf numFmtId="3" fontId="15" fillId="29" borderId="0" xfId="0" applyNumberFormat="1" applyFont="1" applyFill="1" applyAlignment="1">
      <alignment vertical="center"/>
    </xf>
    <xf numFmtId="0" fontId="7" fillId="29" borderId="0" xfId="0" applyFont="1" applyFill="1" applyAlignment="1">
      <alignment vertical="center"/>
    </xf>
    <xf numFmtId="0" fontId="15" fillId="29" borderId="0" xfId="0" applyFont="1" applyFill="1" applyAlignment="1">
      <alignment vertical="center"/>
    </xf>
    <xf numFmtId="0" fontId="7" fillId="30" borderId="0" xfId="0" applyFont="1" applyFill="1" applyAlignment="1">
      <alignment vertical="center"/>
    </xf>
    <xf numFmtId="0" fontId="30" fillId="0" borderId="0" xfId="0" applyFont="1" applyAlignment="1"/>
    <xf numFmtId="0" fontId="7" fillId="31" borderId="0" xfId="0" applyFont="1" applyFill="1"/>
    <xf numFmtId="0" fontId="7" fillId="0" borderId="0" xfId="0" applyFont="1" applyAlignment="1"/>
    <xf numFmtId="0" fontId="7" fillId="15" borderId="0" xfId="0" applyFont="1" applyFill="1"/>
    <xf numFmtId="0" fontId="7" fillId="0" borderId="41" xfId="0" applyFont="1" applyFill="1" applyBorder="1" applyAlignment="1"/>
    <xf numFmtId="0" fontId="7" fillId="0" borderId="12" xfId="0" applyFont="1" applyFill="1" applyBorder="1"/>
    <xf numFmtId="0" fontId="14" fillId="0" borderId="32" xfId="0" applyFont="1" applyBorder="1" applyAlignment="1">
      <alignment horizontal="centerContinuous"/>
    </xf>
    <xf numFmtId="0" fontId="14" fillId="0" borderId="134" xfId="0" applyFont="1" applyBorder="1" applyAlignment="1">
      <alignment horizontal="center" wrapText="1"/>
    </xf>
    <xf numFmtId="0" fontId="14" fillId="0" borderId="135" xfId="0" applyFont="1" applyBorder="1" applyAlignment="1">
      <alignment horizontal="center" wrapText="1"/>
    </xf>
    <xf numFmtId="0" fontId="14" fillId="0" borderId="106" xfId="0" applyFont="1" applyBorder="1" applyAlignment="1">
      <alignment horizontal="center" wrapText="1"/>
    </xf>
    <xf numFmtId="0" fontId="14" fillId="0" borderId="25" xfId="0" applyFont="1" applyBorder="1" applyAlignment="1">
      <alignment horizontal="center" wrapText="1"/>
    </xf>
    <xf numFmtId="0" fontId="14" fillId="0" borderId="64" xfId="0" applyFont="1" applyBorder="1" applyAlignment="1">
      <alignment wrapText="1"/>
    </xf>
    <xf numFmtId="0" fontId="14" fillId="0" borderId="20" xfId="0" applyFont="1" applyBorder="1" applyAlignment="1">
      <alignment wrapText="1"/>
    </xf>
    <xf numFmtId="0" fontId="14" fillId="0" borderId="6" xfId="0" applyFont="1" applyBorder="1" applyAlignment="1">
      <alignment horizontal="center" wrapText="1"/>
    </xf>
    <xf numFmtId="0" fontId="14" fillId="0" borderId="136" xfId="0" applyFont="1" applyBorder="1" applyAlignment="1">
      <alignment horizontal="center" wrapText="1"/>
    </xf>
    <xf numFmtId="0" fontId="14" fillId="0" borderId="0" xfId="0" applyFont="1" applyBorder="1" applyAlignment="1">
      <alignment horizontal="center" wrapText="1"/>
    </xf>
    <xf numFmtId="0" fontId="14" fillId="0" borderId="137" xfId="0" applyFont="1" applyBorder="1" applyAlignment="1">
      <alignment horizontal="center" wrapText="1"/>
    </xf>
    <xf numFmtId="0" fontId="14" fillId="0" borderId="138" xfId="0" applyFont="1" applyBorder="1" applyAlignment="1">
      <alignment horizontal="center" wrapText="1"/>
    </xf>
    <xf numFmtId="0" fontId="14" fillId="0" borderId="139" xfId="0" applyFont="1" applyBorder="1" applyAlignment="1">
      <alignment horizontal="center" wrapText="1"/>
    </xf>
    <xf numFmtId="0" fontId="14" fillId="0" borderId="140" xfId="0" applyFont="1" applyBorder="1" applyAlignment="1">
      <alignment horizontal="center" wrapText="1"/>
    </xf>
    <xf numFmtId="0" fontId="14" fillId="0" borderId="64" xfId="0" applyFont="1" applyBorder="1" applyAlignment="1">
      <alignment horizontal="center" wrapText="1"/>
    </xf>
    <xf numFmtId="0" fontId="14" fillId="0" borderId="32" xfId="0" applyFont="1" applyBorder="1" applyAlignment="1">
      <alignment horizontal="center" wrapText="1"/>
    </xf>
    <xf numFmtId="0" fontId="14" fillId="0" borderId="103" xfId="0" applyFont="1" applyBorder="1" applyAlignment="1">
      <alignment horizontal="center" wrapText="1"/>
    </xf>
    <xf numFmtId="0" fontId="14" fillId="0" borderId="138" xfId="0" applyFont="1" applyBorder="1" applyAlignment="1">
      <alignment wrapText="1"/>
    </xf>
    <xf numFmtId="0" fontId="7" fillId="0" borderId="98" xfId="0" applyFont="1" applyBorder="1" applyAlignment="1">
      <alignment vertical="center"/>
    </xf>
    <xf numFmtId="0" fontId="7" fillId="32" borderId="98" xfId="0" applyFont="1" applyFill="1" applyBorder="1" applyAlignment="1">
      <alignment horizontal="center" vertical="center"/>
    </xf>
    <xf numFmtId="172" fontId="7" fillId="32" borderId="98" xfId="0" applyNumberFormat="1" applyFont="1" applyFill="1" applyBorder="1" applyAlignment="1">
      <alignment horizontal="center" vertical="center"/>
    </xf>
    <xf numFmtId="173" fontId="7" fillId="14" borderId="30" xfId="0" applyNumberFormat="1" applyFont="1" applyFill="1" applyBorder="1" applyAlignment="1">
      <alignment vertical="center"/>
    </xf>
    <xf numFmtId="0" fontId="7" fillId="32" borderId="25" xfId="0" applyFont="1" applyFill="1" applyBorder="1" applyAlignment="1">
      <alignment horizontal="center" vertical="center"/>
    </xf>
    <xf numFmtId="37" fontId="7" fillId="32" borderId="41" xfId="0" applyNumberFormat="1" applyFont="1" applyFill="1" applyBorder="1" applyAlignment="1">
      <alignment vertical="center"/>
    </xf>
    <xf numFmtId="172" fontId="7" fillId="32" borderId="25" xfId="0" applyNumberFormat="1" applyFont="1" applyFill="1" applyBorder="1" applyAlignment="1">
      <alignment horizontal="center" vertical="center"/>
    </xf>
    <xf numFmtId="173" fontId="7" fillId="14" borderId="32" xfId="0" applyNumberFormat="1" applyFont="1" applyFill="1" applyBorder="1" applyAlignment="1">
      <alignment vertical="center"/>
    </xf>
    <xf numFmtId="0" fontId="7" fillId="32" borderId="20" xfId="0" applyFont="1" applyFill="1" applyBorder="1" applyAlignment="1">
      <alignment horizontal="center" vertical="center"/>
    </xf>
    <xf numFmtId="37" fontId="7" fillId="32" borderId="22" xfId="0" applyNumberFormat="1" applyFont="1" applyFill="1" applyBorder="1" applyAlignment="1">
      <alignment vertical="center"/>
    </xf>
    <xf numFmtId="172" fontId="7" fillId="32" borderId="20" xfId="0" applyNumberFormat="1" applyFont="1" applyFill="1" applyBorder="1" applyAlignment="1">
      <alignment horizontal="center" vertical="center"/>
    </xf>
    <xf numFmtId="173" fontId="7" fillId="14" borderId="24" xfId="0" applyNumberFormat="1" applyFont="1" applyFill="1" applyBorder="1" applyAlignment="1">
      <alignment vertical="center"/>
    </xf>
    <xf numFmtId="0" fontId="7" fillId="0" borderId="74" xfId="0" applyFont="1" applyBorder="1" applyAlignment="1">
      <alignment vertical="center"/>
    </xf>
    <xf numFmtId="0" fontId="7" fillId="32" borderId="74" xfId="0" applyFont="1" applyFill="1" applyBorder="1" applyAlignment="1">
      <alignment horizontal="center" vertical="center"/>
    </xf>
    <xf numFmtId="172" fontId="7" fillId="32" borderId="74" xfId="0" applyNumberFormat="1" applyFont="1" applyFill="1" applyBorder="1" applyAlignment="1">
      <alignment horizontal="center" vertical="center"/>
    </xf>
    <xf numFmtId="37" fontId="7" fillId="32" borderId="76" xfId="0" applyNumberFormat="1" applyFont="1" applyFill="1" applyBorder="1" applyAlignment="1">
      <alignment horizontal="center" vertical="center"/>
    </xf>
    <xf numFmtId="0" fontId="7" fillId="32" borderId="64" xfId="0" applyFont="1" applyFill="1" applyBorder="1" applyAlignment="1">
      <alignment horizontal="center" vertical="center"/>
    </xf>
    <xf numFmtId="37" fontId="7" fillId="32" borderId="86" xfId="0" applyNumberFormat="1" applyFont="1" applyFill="1" applyBorder="1" applyAlignment="1">
      <alignment vertical="center"/>
    </xf>
    <xf numFmtId="172" fontId="7" fillId="32" borderId="64" xfId="0" applyNumberFormat="1" applyFont="1" applyFill="1" applyBorder="1" applyAlignment="1">
      <alignment horizontal="center" vertical="center"/>
    </xf>
    <xf numFmtId="37" fontId="7" fillId="32" borderId="86" xfId="0" applyNumberFormat="1" applyFont="1" applyFill="1" applyBorder="1" applyAlignment="1">
      <alignment horizontal="center" vertical="center"/>
    </xf>
    <xf numFmtId="37" fontId="7" fillId="14" borderId="39" xfId="0" applyNumberFormat="1" applyFont="1" applyFill="1" applyBorder="1" applyAlignment="1">
      <alignment vertical="center"/>
    </xf>
    <xf numFmtId="37" fontId="7" fillId="14" borderId="15" xfId="0" applyNumberFormat="1" applyFont="1" applyFill="1" applyBorder="1" applyAlignment="1">
      <alignment vertical="center"/>
    </xf>
    <xf numFmtId="37" fontId="7" fillId="32" borderId="72" xfId="0" applyNumberFormat="1" applyFont="1" applyFill="1" applyBorder="1" applyAlignment="1">
      <alignment vertical="center"/>
    </xf>
    <xf numFmtId="0" fontId="7" fillId="32" borderId="52" xfId="0" applyFont="1" applyFill="1" applyBorder="1" applyAlignment="1">
      <alignment horizontal="center" vertical="center"/>
    </xf>
    <xf numFmtId="37" fontId="7" fillId="32" borderId="53" xfId="0" applyNumberFormat="1" applyFont="1" applyFill="1" applyBorder="1" applyAlignment="1">
      <alignment horizontal="center" vertical="center"/>
    </xf>
    <xf numFmtId="37" fontId="7" fillId="32" borderId="72" xfId="0" applyNumberFormat="1" applyFont="1" applyFill="1" applyBorder="1" applyAlignment="1">
      <alignment horizontal="center" vertical="center"/>
    </xf>
    <xf numFmtId="37" fontId="7" fillId="14" borderId="30" xfId="0" applyNumberFormat="1" applyFont="1" applyFill="1" applyBorder="1" applyAlignment="1">
      <alignment vertical="center"/>
    </xf>
    <xf numFmtId="37" fontId="7" fillId="14" borderId="24" xfId="0" applyNumberFormat="1" applyFont="1" applyFill="1" applyBorder="1" applyAlignment="1">
      <alignment vertical="center"/>
    </xf>
    <xf numFmtId="37" fontId="7" fillId="32" borderId="142" xfId="0" applyNumberFormat="1" applyFont="1" applyFill="1" applyBorder="1" applyAlignment="1">
      <alignment vertical="center"/>
    </xf>
    <xf numFmtId="171" fontId="7" fillId="13" borderId="97" xfId="0" applyNumberFormat="1" applyFont="1" applyFill="1" applyBorder="1" applyAlignment="1">
      <alignment horizontal="center" vertical="center"/>
    </xf>
    <xf numFmtId="0" fontId="7" fillId="13" borderId="52" xfId="0" applyFont="1" applyFill="1" applyBorder="1" applyAlignment="1">
      <alignment horizontal="center" vertical="center"/>
    </xf>
    <xf numFmtId="0" fontId="7" fillId="0" borderId="16" xfId="0" applyFont="1" applyBorder="1" applyAlignment="1">
      <alignment vertical="center"/>
    </xf>
    <xf numFmtId="37" fontId="7" fillId="32" borderId="49" xfId="0" applyNumberFormat="1" applyFont="1" applyFill="1" applyBorder="1" applyAlignment="1">
      <alignment horizontal="center" vertical="center"/>
    </xf>
    <xf numFmtId="171" fontId="97" fillId="31" borderId="52" xfId="0" applyNumberFormat="1" applyFont="1" applyFill="1" applyBorder="1" applyAlignment="1">
      <alignment horizontal="center" vertical="center"/>
    </xf>
    <xf numFmtId="0" fontId="7" fillId="0" borderId="53" xfId="0" applyFont="1" applyBorder="1" applyAlignment="1">
      <alignment vertical="center"/>
    </xf>
    <xf numFmtId="0" fontId="7" fillId="32" borderId="53" xfId="0" applyFont="1" applyFill="1" applyBorder="1" applyAlignment="1">
      <alignment horizontal="center" vertical="center"/>
    </xf>
    <xf numFmtId="0" fontId="7" fillId="32" borderId="49" xfId="0" applyFont="1" applyFill="1" applyBorder="1" applyAlignment="1">
      <alignment horizontal="center" vertical="center"/>
    </xf>
    <xf numFmtId="172" fontId="7" fillId="32" borderId="53" xfId="0" applyNumberFormat="1" applyFont="1" applyFill="1" applyBorder="1" applyAlignment="1">
      <alignment horizontal="center" vertical="center"/>
    </xf>
    <xf numFmtId="37" fontId="7" fillId="14" borderId="49" xfId="0" applyNumberFormat="1" applyFont="1" applyFill="1" applyBorder="1" applyAlignment="1">
      <alignment vertical="center"/>
    </xf>
    <xf numFmtId="37" fontId="7" fillId="32" borderId="49" xfId="0" applyNumberFormat="1" applyFont="1" applyFill="1" applyBorder="1" applyAlignment="1">
      <alignment vertical="center"/>
    </xf>
    <xf numFmtId="37" fontId="7" fillId="32" borderId="52" xfId="0" applyNumberFormat="1" applyFont="1" applyFill="1" applyBorder="1" applyAlignment="1">
      <alignment horizontal="center" vertical="center"/>
    </xf>
    <xf numFmtId="171" fontId="7" fillId="0" borderId="52" xfId="0" applyNumberFormat="1" applyFont="1" applyBorder="1" applyAlignment="1">
      <alignment horizontal="center" vertical="center"/>
    </xf>
    <xf numFmtId="0" fontId="7" fillId="14" borderId="23" xfId="0" applyFont="1" applyFill="1" applyBorder="1" applyAlignment="1">
      <alignment vertical="center"/>
    </xf>
    <xf numFmtId="37" fontId="7" fillId="14" borderId="38" xfId="0" applyNumberFormat="1" applyFont="1" applyFill="1" applyBorder="1" applyAlignment="1">
      <alignment vertical="center"/>
    </xf>
    <xf numFmtId="0" fontId="7" fillId="14" borderId="39" xfId="0" applyFont="1" applyFill="1" applyBorder="1" applyAlignment="1">
      <alignment vertical="center"/>
    </xf>
    <xf numFmtId="0" fontId="7" fillId="14" borderId="15" xfId="0" applyFont="1" applyFill="1" applyBorder="1" applyAlignment="1">
      <alignment vertical="center"/>
    </xf>
    <xf numFmtId="0" fontId="7" fillId="14" borderId="24" xfId="0" applyFont="1" applyFill="1" applyBorder="1" applyAlignment="1">
      <alignment vertical="center"/>
    </xf>
    <xf numFmtId="0" fontId="0" fillId="14" borderId="39" xfId="0" applyFill="1" applyBorder="1" applyAlignment="1">
      <alignment vertical="center"/>
    </xf>
    <xf numFmtId="0" fontId="0" fillId="14" borderId="24" xfId="0" applyFill="1" applyBorder="1" applyAlignment="1">
      <alignment vertical="center"/>
    </xf>
    <xf numFmtId="0" fontId="7" fillId="14" borderId="97" xfId="0" applyFont="1" applyFill="1" applyBorder="1" applyAlignment="1">
      <alignment horizontal="center" vertical="center"/>
    </xf>
    <xf numFmtId="37" fontId="7" fillId="14" borderId="75" xfId="0" applyNumberFormat="1" applyFont="1" applyFill="1" applyBorder="1" applyAlignment="1">
      <alignment vertical="center" wrapText="1"/>
    </xf>
    <xf numFmtId="0" fontId="7" fillId="14" borderId="64" xfId="0" applyFont="1" applyFill="1" applyBorder="1" applyAlignment="1">
      <alignment horizontal="center" vertical="center"/>
    </xf>
    <xf numFmtId="37" fontId="7" fillId="14" borderId="64" xfId="0" applyNumberFormat="1" applyFont="1" applyFill="1" applyBorder="1" applyAlignment="1">
      <alignment vertical="center" wrapText="1"/>
    </xf>
    <xf numFmtId="37" fontId="7" fillId="14" borderId="64" xfId="0" applyNumberFormat="1" applyFont="1" applyFill="1" applyBorder="1" applyAlignment="1">
      <alignment vertical="center"/>
    </xf>
    <xf numFmtId="37" fontId="7" fillId="14" borderId="64" xfId="0" applyNumberFormat="1" applyFont="1" applyFill="1" applyBorder="1" applyAlignment="1">
      <alignment horizontal="center" vertical="center"/>
    </xf>
    <xf numFmtId="0" fontId="7" fillId="14" borderId="104" xfId="0" applyFont="1" applyFill="1" applyBorder="1" applyAlignment="1">
      <alignment horizontal="center" vertical="center"/>
    </xf>
    <xf numFmtId="37" fontId="7" fillId="14" borderId="16" xfId="0" applyNumberFormat="1" applyFont="1" applyFill="1" applyBorder="1" applyAlignment="1">
      <alignment vertical="center" wrapText="1"/>
    </xf>
    <xf numFmtId="0" fontId="7" fillId="17" borderId="98" xfId="0" applyFont="1" applyFill="1" applyBorder="1" applyAlignment="1">
      <alignment horizontal="center" vertical="center"/>
    </xf>
    <xf numFmtId="37" fontId="7" fillId="17" borderId="108" xfId="0" applyNumberFormat="1" applyFont="1" applyFill="1" applyBorder="1" applyAlignment="1">
      <alignment vertical="center"/>
    </xf>
    <xf numFmtId="0" fontId="7" fillId="17" borderId="30" xfId="0" applyFont="1" applyFill="1" applyBorder="1" applyAlignment="1">
      <alignment horizontal="center" vertical="center"/>
    </xf>
    <xf numFmtId="172" fontId="7" fillId="17" borderId="98" xfId="0" applyNumberFormat="1" applyFont="1" applyFill="1" applyBorder="1" applyAlignment="1">
      <alignment horizontal="center" vertical="center"/>
    </xf>
    <xf numFmtId="37" fontId="7" fillId="17" borderId="98" xfId="0" applyNumberFormat="1" applyFont="1" applyFill="1" applyBorder="1" applyAlignment="1">
      <alignment vertical="center"/>
    </xf>
    <xf numFmtId="37" fontId="7" fillId="17" borderId="108" xfId="0" applyNumberFormat="1" applyFont="1" applyFill="1" applyBorder="1" applyAlignment="1">
      <alignment horizontal="center" vertical="center"/>
    </xf>
    <xf numFmtId="0" fontId="7" fillId="17" borderId="85" xfId="0" applyFont="1" applyFill="1" applyBorder="1" applyAlignment="1">
      <alignment horizontal="center" vertical="center"/>
    </xf>
    <xf numFmtId="0" fontId="7" fillId="17" borderId="141" xfId="0" applyFont="1" applyFill="1" applyBorder="1" applyAlignment="1">
      <alignment horizontal="center" vertical="center"/>
    </xf>
    <xf numFmtId="173" fontId="7" fillId="17" borderId="75" xfId="0" applyNumberFormat="1" applyFont="1" applyFill="1" applyBorder="1" applyAlignment="1">
      <alignment vertical="center"/>
    </xf>
    <xf numFmtId="37" fontId="7" fillId="17" borderId="99" xfId="0" applyNumberFormat="1" applyFont="1" applyFill="1" applyBorder="1" applyAlignment="1">
      <alignment horizontal="center" vertical="center"/>
    </xf>
    <xf numFmtId="0" fontId="7" fillId="17" borderId="39" xfId="0" applyFont="1" applyFill="1" applyBorder="1" applyAlignment="1">
      <alignment horizontal="center" vertical="center"/>
    </xf>
    <xf numFmtId="173" fontId="7" fillId="17" borderId="64" xfId="0" applyNumberFormat="1" applyFont="1" applyFill="1" applyBorder="1" applyAlignment="1">
      <alignment vertical="center"/>
    </xf>
    <xf numFmtId="37" fontId="7" fillId="17" borderId="64" xfId="0" applyNumberFormat="1" applyFont="1" applyFill="1" applyBorder="1" applyAlignment="1">
      <alignment vertical="center"/>
    </xf>
    <xf numFmtId="37" fontId="7" fillId="17" borderId="64" xfId="0" applyNumberFormat="1" applyFont="1" applyFill="1" applyBorder="1" applyAlignment="1">
      <alignment horizontal="center" vertical="center"/>
    </xf>
    <xf numFmtId="0" fontId="7" fillId="17" borderId="32" xfId="0" applyFont="1" applyFill="1" applyBorder="1" applyAlignment="1">
      <alignment horizontal="center" vertical="center"/>
    </xf>
    <xf numFmtId="37" fontId="7" fillId="14" borderId="104" xfId="0" applyNumberFormat="1" applyFont="1" applyFill="1" applyBorder="1" applyAlignment="1">
      <alignment horizontal="center" vertical="center"/>
    </xf>
    <xf numFmtId="37" fontId="7" fillId="14" borderId="49" xfId="0" applyNumberFormat="1" applyFont="1" applyFill="1" applyBorder="1" applyAlignment="1">
      <alignment horizontal="center" vertical="center"/>
    </xf>
    <xf numFmtId="37" fontId="7" fillId="14" borderId="72" xfId="0" applyNumberFormat="1" applyFont="1" applyFill="1" applyBorder="1" applyAlignment="1">
      <alignment horizontal="center" vertical="center"/>
    </xf>
    <xf numFmtId="173" fontId="7" fillId="14" borderId="138" xfId="0" applyNumberFormat="1" applyFont="1" applyFill="1" applyBorder="1" applyAlignment="1">
      <alignment vertical="center"/>
    </xf>
    <xf numFmtId="37" fontId="7" fillId="14" borderId="20" xfId="0" applyNumberFormat="1" applyFont="1" applyFill="1" applyBorder="1" applyAlignment="1">
      <alignment vertical="center"/>
    </xf>
    <xf numFmtId="37" fontId="7" fillId="14" borderId="20" xfId="0" applyNumberFormat="1" applyFont="1" applyFill="1" applyBorder="1" applyAlignment="1">
      <alignment horizontal="center" vertical="center"/>
    </xf>
    <xf numFmtId="173" fontId="7" fillId="14" borderId="20" xfId="0" applyNumberFormat="1" applyFont="1" applyFill="1" applyBorder="1" applyAlignment="1">
      <alignment vertical="center"/>
    </xf>
    <xf numFmtId="37" fontId="7" fillId="14" borderId="138" xfId="0" applyNumberFormat="1" applyFont="1" applyFill="1" applyBorder="1" applyAlignment="1">
      <alignment vertical="center" wrapText="1"/>
    </xf>
    <xf numFmtId="37" fontId="7" fillId="14" borderId="53" xfId="0" applyNumberFormat="1" applyFont="1" applyFill="1" applyBorder="1" applyAlignment="1">
      <alignment vertical="center"/>
    </xf>
    <xf numFmtId="37" fontId="7" fillId="14" borderId="52" xfId="0" applyNumberFormat="1" applyFont="1" applyFill="1" applyBorder="1" applyAlignment="1">
      <alignment horizontal="center" vertical="center"/>
    </xf>
    <xf numFmtId="37" fontId="7" fillId="14" borderId="53" xfId="0" applyNumberFormat="1" applyFont="1" applyFill="1" applyBorder="1" applyAlignment="1">
      <alignment horizontal="center" vertical="center"/>
    </xf>
    <xf numFmtId="0" fontId="7" fillId="0" borderId="104" xfId="0" applyFont="1" applyBorder="1" applyAlignment="1">
      <alignment horizontal="center"/>
    </xf>
    <xf numFmtId="0" fontId="7" fillId="0" borderId="16" xfId="0" applyFont="1" applyBorder="1" applyAlignment="1">
      <alignment horizontal="center"/>
    </xf>
    <xf numFmtId="0" fontId="9" fillId="0" borderId="16" xfId="0" applyFont="1" applyBorder="1" applyAlignment="1">
      <alignment horizontal="center"/>
    </xf>
    <xf numFmtId="37" fontId="7" fillId="32" borderId="16" xfId="0" applyNumberFormat="1" applyFont="1" applyFill="1" applyBorder="1" applyAlignment="1">
      <alignment horizontal="center"/>
    </xf>
    <xf numFmtId="0" fontId="7" fillId="33" borderId="15" xfId="0" applyFont="1" applyFill="1" applyBorder="1" applyAlignment="1">
      <alignment horizontal="center"/>
    </xf>
    <xf numFmtId="0" fontId="7" fillId="33" borderId="16" xfId="0" applyFont="1" applyFill="1" applyBorder="1" applyAlignment="1">
      <alignment horizontal="center"/>
    </xf>
    <xf numFmtId="0" fontId="7" fillId="33" borderId="58" xfId="0" applyFont="1" applyFill="1" applyBorder="1" applyAlignment="1">
      <alignment horizontal="center"/>
    </xf>
    <xf numFmtId="0" fontId="7" fillId="13" borderId="0" xfId="0" applyFont="1" applyFill="1"/>
    <xf numFmtId="0" fontId="98" fillId="0" borderId="0" xfId="0" quotePrefix="1" applyFont="1" applyFill="1" applyBorder="1" applyAlignment="1"/>
    <xf numFmtId="0" fontId="7" fillId="0" borderId="39" xfId="0" applyFont="1" applyFill="1" applyBorder="1" applyAlignment="1"/>
    <xf numFmtId="0" fontId="7" fillId="0" borderId="64" xfId="0" applyFont="1" applyFill="1" applyBorder="1" applyAlignment="1"/>
    <xf numFmtId="0" fontId="0" fillId="0" borderId="64" xfId="0" applyBorder="1" applyAlignment="1"/>
    <xf numFmtId="0" fontId="0" fillId="0" borderId="86" xfId="0" applyBorder="1" applyAlignment="1"/>
    <xf numFmtId="0" fontId="7" fillId="0" borderId="39" xfId="0" applyFont="1" applyFill="1" applyBorder="1"/>
    <xf numFmtId="0" fontId="14" fillId="0" borderId="140" xfId="0" applyFont="1" applyBorder="1" applyAlignment="1">
      <alignment horizontal="centerContinuous"/>
    </xf>
    <xf numFmtId="0" fontId="14" fillId="0" borderId="143" xfId="0" applyFont="1" applyBorder="1" applyAlignment="1">
      <alignment horizontal="center" vertical="center" wrapText="1"/>
    </xf>
    <xf numFmtId="0" fontId="14" fillId="0" borderId="23" xfId="0" applyFont="1" applyBorder="1" applyAlignment="1">
      <alignment horizontal="center" wrapText="1"/>
    </xf>
    <xf numFmtId="0" fontId="14" fillId="0" borderId="22" xfId="0" applyFont="1" applyBorder="1" applyAlignment="1">
      <alignment horizontal="center" wrapText="1"/>
    </xf>
    <xf numFmtId="0" fontId="14" fillId="0" borderId="144" xfId="0" applyFont="1" applyBorder="1" applyAlignment="1">
      <alignment horizontal="center" wrapText="1"/>
    </xf>
    <xf numFmtId="0" fontId="14" fillId="0" borderId="0" xfId="0" applyFont="1"/>
    <xf numFmtId="0" fontId="14" fillId="0" borderId="142" xfId="0" applyFont="1" applyBorder="1" applyAlignment="1">
      <alignment horizontal="center" wrapText="1"/>
    </xf>
    <xf numFmtId="0" fontId="7" fillId="32" borderId="138" xfId="0" applyFont="1" applyFill="1" applyBorder="1" applyAlignment="1">
      <alignment horizontal="center" vertical="center"/>
    </xf>
    <xf numFmtId="37" fontId="7" fillId="32" borderId="145" xfId="0" applyNumberFormat="1" applyFont="1" applyFill="1" applyBorder="1" applyAlignment="1">
      <alignment horizontal="center" vertical="center"/>
    </xf>
    <xf numFmtId="37" fontId="7" fillId="32" borderId="48" xfId="0" applyNumberFormat="1" applyFont="1" applyFill="1" applyBorder="1" applyAlignment="1">
      <alignment vertical="center"/>
    </xf>
    <xf numFmtId="37" fontId="7" fillId="32" borderId="54" xfId="0" applyNumberFormat="1" applyFont="1" applyFill="1" applyBorder="1" applyAlignment="1">
      <alignment vertical="center"/>
    </xf>
    <xf numFmtId="39" fontId="7" fillId="14" borderId="48" xfId="0" applyNumberFormat="1" applyFont="1" applyFill="1" applyBorder="1" applyAlignment="1">
      <alignment horizontal="center" vertical="center"/>
    </xf>
    <xf numFmtId="39" fontId="7" fillId="14" borderId="53" xfId="0" applyNumberFormat="1" applyFont="1" applyFill="1" applyBorder="1" applyAlignment="1">
      <alignment horizontal="center" vertical="center"/>
    </xf>
    <xf numFmtId="37" fontId="7" fillId="14" borderId="53" xfId="0" applyNumberFormat="1" applyFont="1" applyFill="1" applyBorder="1"/>
    <xf numFmtId="37" fontId="7" fillId="14" borderId="72" xfId="0" applyNumberFormat="1" applyFont="1" applyFill="1" applyBorder="1"/>
    <xf numFmtId="37" fontId="7" fillId="14" borderId="72" xfId="0" applyNumberFormat="1" applyFont="1" applyFill="1" applyBorder="1" applyAlignment="1">
      <alignment vertical="center"/>
    </xf>
    <xf numFmtId="0" fontId="7" fillId="0" borderId="140" xfId="0" applyFont="1" applyBorder="1" applyAlignment="1">
      <alignment vertical="center"/>
    </xf>
    <xf numFmtId="171" fontId="7" fillId="19" borderId="102" xfId="0" applyNumberFormat="1" applyFont="1" applyFill="1" applyBorder="1" applyAlignment="1">
      <alignment horizontal="center" vertical="center"/>
    </xf>
    <xf numFmtId="39" fontId="7" fillId="19" borderId="48" xfId="0" applyNumberFormat="1" applyFont="1" applyFill="1" applyBorder="1" applyAlignment="1">
      <alignment horizontal="center" vertical="center"/>
    </xf>
    <xf numFmtId="39" fontId="7" fillId="19" borderId="53" xfId="0" applyNumberFormat="1" applyFont="1" applyFill="1" applyBorder="1" applyAlignment="1">
      <alignment horizontal="center" vertical="center"/>
    </xf>
    <xf numFmtId="37" fontId="7" fillId="19" borderId="53" xfId="0" applyNumberFormat="1" applyFont="1" applyFill="1" applyBorder="1" applyAlignment="1">
      <alignment horizontal="center" vertical="center"/>
    </xf>
    <xf numFmtId="37" fontId="7" fillId="19" borderId="53" xfId="0" applyNumberFormat="1" applyFont="1" applyFill="1" applyBorder="1"/>
    <xf numFmtId="37" fontId="7" fillId="19" borderId="72" xfId="0" applyNumberFormat="1" applyFont="1" applyFill="1" applyBorder="1"/>
    <xf numFmtId="37" fontId="7" fillId="19" borderId="49" xfId="0" applyNumberFormat="1" applyFont="1" applyFill="1" applyBorder="1" applyAlignment="1">
      <alignment vertical="center"/>
    </xf>
    <xf numFmtId="37" fontId="7" fillId="19" borderId="53" xfId="0" applyNumberFormat="1" applyFont="1" applyFill="1" applyBorder="1" applyAlignment="1">
      <alignment vertical="center"/>
    </xf>
    <xf numFmtId="37" fontId="7" fillId="19" borderId="72" xfId="0" applyNumberFormat="1" applyFont="1" applyFill="1" applyBorder="1" applyAlignment="1">
      <alignment vertical="center"/>
    </xf>
    <xf numFmtId="0" fontId="7" fillId="32" borderId="145" xfId="0" applyFont="1" applyFill="1" applyBorder="1" applyAlignment="1">
      <alignment horizontal="center" vertical="center"/>
    </xf>
    <xf numFmtId="37" fontId="7" fillId="32" borderId="69" xfId="0" applyNumberFormat="1" applyFont="1" applyFill="1" applyBorder="1" applyAlignment="1">
      <alignment horizontal="center" vertical="center"/>
    </xf>
    <xf numFmtId="171" fontId="7" fillId="0" borderId="52" xfId="0" applyNumberFormat="1" applyFont="1" applyFill="1" applyBorder="1" applyAlignment="1">
      <alignment horizontal="center" vertical="center"/>
    </xf>
    <xf numFmtId="171" fontId="7" fillId="31" borderId="52" xfId="0" applyNumberFormat="1" applyFont="1" applyFill="1" applyBorder="1" applyAlignment="1">
      <alignment horizontal="center" vertical="center"/>
    </xf>
    <xf numFmtId="0" fontId="97" fillId="31" borderId="138" xfId="0" applyFont="1" applyFill="1" applyBorder="1" applyAlignment="1">
      <alignment vertical="center"/>
    </xf>
    <xf numFmtId="0" fontId="97" fillId="0" borderId="74" xfId="0" applyFont="1" applyBorder="1" applyAlignment="1">
      <alignment vertical="center"/>
    </xf>
    <xf numFmtId="0" fontId="97" fillId="0" borderId="64" xfId="0" applyFont="1" applyBorder="1" applyAlignment="1">
      <alignment vertical="center"/>
    </xf>
    <xf numFmtId="0" fontId="97" fillId="0" borderId="20" xfId="0" applyFont="1" applyBorder="1" applyAlignment="1">
      <alignment vertical="center"/>
    </xf>
    <xf numFmtId="37" fontId="7" fillId="32" borderId="38" xfId="0" applyNumberFormat="1" applyFont="1" applyFill="1" applyBorder="1" applyAlignment="1">
      <alignment horizontal="center" vertical="center"/>
    </xf>
    <xf numFmtId="37" fontId="7" fillId="32" borderId="2" xfId="0" applyNumberFormat="1" applyFont="1" applyFill="1" applyBorder="1" applyAlignment="1">
      <alignment vertical="center"/>
    </xf>
    <xf numFmtId="0" fontId="97" fillId="0" borderId="75" xfId="0" applyFont="1" applyBorder="1" applyAlignment="1">
      <alignment vertical="center"/>
    </xf>
    <xf numFmtId="0" fontId="7" fillId="34" borderId="75" xfId="0" applyFont="1" applyFill="1" applyBorder="1" applyAlignment="1">
      <alignment horizontal="center" vertical="center"/>
    </xf>
    <xf numFmtId="37" fontId="7" fillId="34" borderId="101" xfId="0" applyNumberFormat="1" applyFont="1" applyFill="1" applyBorder="1" applyAlignment="1">
      <alignment vertical="center"/>
    </xf>
    <xf numFmtId="0" fontId="7" fillId="34" borderId="141" xfId="0" applyFont="1" applyFill="1" applyBorder="1" applyAlignment="1">
      <alignment horizontal="center" vertical="center"/>
    </xf>
    <xf numFmtId="172" fontId="7" fillId="34" borderId="75" xfId="0" applyNumberFormat="1" applyFont="1" applyFill="1" applyBorder="1" applyAlignment="1">
      <alignment horizontal="center" vertical="center"/>
    </xf>
    <xf numFmtId="37" fontId="7" fillId="34" borderId="75" xfId="0" applyNumberFormat="1" applyFont="1" applyFill="1" applyBorder="1" applyAlignment="1">
      <alignment vertical="center"/>
    </xf>
    <xf numFmtId="37" fontId="7" fillId="34" borderId="101" xfId="0" applyNumberFormat="1" applyFont="1" applyFill="1" applyBorder="1" applyAlignment="1">
      <alignment horizontal="center" vertical="center"/>
    </xf>
    <xf numFmtId="37" fontId="7" fillId="34" borderId="141" xfId="0" applyNumberFormat="1" applyFont="1" applyFill="1" applyBorder="1" applyAlignment="1">
      <alignment horizontal="center" vertical="center"/>
    </xf>
    <xf numFmtId="37" fontId="7" fillId="34" borderId="141" xfId="0" applyNumberFormat="1" applyFont="1" applyFill="1" applyBorder="1" applyAlignment="1">
      <alignment vertical="center"/>
    </xf>
    <xf numFmtId="37" fontId="7" fillId="34" borderId="69" xfId="0" applyNumberFormat="1" applyFont="1" applyFill="1" applyBorder="1" applyAlignment="1">
      <alignment vertical="center"/>
    </xf>
    <xf numFmtId="37" fontId="7" fillId="34" borderId="70" xfId="0" applyNumberFormat="1" applyFont="1" applyFill="1" applyBorder="1" applyAlignment="1">
      <alignment vertical="center"/>
    </xf>
    <xf numFmtId="0" fontId="99" fillId="0" borderId="75" xfId="0" applyFont="1" applyBorder="1" applyAlignment="1">
      <alignment vertical="center"/>
    </xf>
    <xf numFmtId="0" fontId="99" fillId="32" borderId="75" xfId="0" applyFont="1" applyFill="1" applyBorder="1" applyAlignment="1">
      <alignment horizontal="center" vertical="center"/>
    </xf>
    <xf numFmtId="37" fontId="99" fillId="32" borderId="101" xfId="0" applyNumberFormat="1" applyFont="1" applyFill="1" applyBorder="1" applyAlignment="1">
      <alignment vertical="center"/>
    </xf>
    <xf numFmtId="0" fontId="99" fillId="32" borderId="141" xfId="0" applyFont="1" applyFill="1" applyBorder="1" applyAlignment="1">
      <alignment horizontal="center" vertical="center"/>
    </xf>
    <xf numFmtId="172" fontId="99" fillId="32" borderId="75" xfId="0" applyNumberFormat="1" applyFont="1" applyFill="1" applyBorder="1" applyAlignment="1">
      <alignment horizontal="center" vertical="center"/>
    </xf>
    <xf numFmtId="37" fontId="99" fillId="32" borderId="101" xfId="0" applyNumberFormat="1" applyFont="1" applyFill="1" applyBorder="1" applyAlignment="1">
      <alignment horizontal="center" vertical="center"/>
    </xf>
    <xf numFmtId="37" fontId="99" fillId="32" borderId="141" xfId="0" applyNumberFormat="1" applyFont="1" applyFill="1" applyBorder="1" applyAlignment="1">
      <alignment horizontal="center" vertical="center"/>
    </xf>
    <xf numFmtId="0" fontId="99" fillId="0" borderId="64" xfId="0" applyFont="1" applyBorder="1" applyAlignment="1">
      <alignment vertical="center"/>
    </xf>
    <xf numFmtId="0" fontId="99" fillId="32" borderId="64" xfId="0" applyFont="1" applyFill="1" applyBorder="1" applyAlignment="1">
      <alignment horizontal="center" vertical="center"/>
    </xf>
    <xf numFmtId="37" fontId="99" fillId="32" borderId="86" xfId="0" applyNumberFormat="1" applyFont="1" applyFill="1" applyBorder="1" applyAlignment="1">
      <alignment vertical="center"/>
    </xf>
    <xf numFmtId="0" fontId="99" fillId="32" borderId="39" xfId="0" applyFont="1" applyFill="1" applyBorder="1" applyAlignment="1">
      <alignment horizontal="center" vertical="center"/>
    </xf>
    <xf numFmtId="172" fontId="99" fillId="32" borderId="64" xfId="0" applyNumberFormat="1" applyFont="1" applyFill="1" applyBorder="1" applyAlignment="1">
      <alignment horizontal="center" vertical="center"/>
    </xf>
    <xf numFmtId="37" fontId="99" fillId="32" borderId="64" xfId="0" applyNumberFormat="1" applyFont="1" applyFill="1" applyBorder="1" applyAlignment="1">
      <alignment vertical="center"/>
    </xf>
    <xf numFmtId="37" fontId="99" fillId="32" borderId="86" xfId="0" applyNumberFormat="1" applyFont="1" applyFill="1" applyBorder="1" applyAlignment="1">
      <alignment horizontal="center" vertical="center"/>
    </xf>
    <xf numFmtId="37" fontId="99" fillId="32" borderId="39" xfId="0" applyNumberFormat="1" applyFont="1" applyFill="1" applyBorder="1" applyAlignment="1">
      <alignment horizontal="center" vertical="center"/>
    </xf>
    <xf numFmtId="37" fontId="99" fillId="32" borderId="105" xfId="0" applyNumberFormat="1" applyFont="1" applyFill="1" applyBorder="1" applyAlignment="1">
      <alignment vertical="center"/>
    </xf>
    <xf numFmtId="0" fontId="99" fillId="32" borderId="15" xfId="0" applyFont="1" applyFill="1" applyBorder="1" applyAlignment="1">
      <alignment horizontal="center" vertical="center"/>
    </xf>
    <xf numFmtId="37" fontId="99" fillId="32" borderId="105" xfId="0" applyNumberFormat="1" applyFont="1" applyFill="1" applyBorder="1" applyAlignment="1">
      <alignment horizontal="center" vertical="center"/>
    </xf>
    <xf numFmtId="37" fontId="99" fillId="32" borderId="15" xfId="0" applyNumberFormat="1" applyFont="1" applyFill="1" applyBorder="1" applyAlignment="1">
      <alignment horizontal="center" vertical="center"/>
    </xf>
    <xf numFmtId="39" fontId="7" fillId="14" borderId="31" xfId="0" applyNumberFormat="1" applyFont="1" applyFill="1" applyBorder="1" applyAlignment="1">
      <alignment horizontal="center" vertical="center"/>
    </xf>
    <xf numFmtId="39" fontId="7" fillId="14" borderId="98" xfId="0" applyNumberFormat="1" applyFont="1" applyFill="1" applyBorder="1" applyAlignment="1">
      <alignment horizontal="center" vertical="center"/>
    </xf>
    <xf numFmtId="37" fontId="7" fillId="14" borderId="98" xfId="0" applyNumberFormat="1" applyFont="1" applyFill="1" applyBorder="1" applyAlignment="1">
      <alignment horizontal="center" vertical="center"/>
    </xf>
    <xf numFmtId="39" fontId="7" fillId="14" borderId="14" xfId="0" applyNumberFormat="1" applyFont="1" applyFill="1" applyBorder="1" applyAlignment="1">
      <alignment horizontal="center" vertical="center"/>
    </xf>
    <xf numFmtId="37" fontId="7" fillId="14" borderId="105" xfId="0" applyNumberFormat="1" applyFont="1" applyFill="1" applyBorder="1"/>
    <xf numFmtId="39" fontId="7" fillId="13" borderId="48" xfId="0" applyNumberFormat="1" applyFont="1" applyFill="1" applyBorder="1" applyAlignment="1">
      <alignment horizontal="center" vertical="center"/>
    </xf>
    <xf numFmtId="39" fontId="7" fillId="13" borderId="53" xfId="0" applyNumberFormat="1" applyFont="1" applyFill="1" applyBorder="1" applyAlignment="1">
      <alignment horizontal="center" vertical="center"/>
    </xf>
    <xf numFmtId="37" fontId="7" fillId="13" borderId="53" xfId="0" applyNumberFormat="1" applyFont="1" applyFill="1" applyBorder="1" applyAlignment="1">
      <alignment horizontal="center" vertical="center"/>
    </xf>
    <xf numFmtId="37" fontId="7" fillId="13" borderId="53" xfId="0" applyNumberFormat="1" applyFont="1" applyFill="1" applyBorder="1"/>
    <xf numFmtId="37" fontId="7" fillId="13" borderId="72" xfId="0" applyNumberFormat="1" applyFont="1" applyFill="1" applyBorder="1"/>
    <xf numFmtId="37" fontId="7" fillId="13" borderId="49" xfId="0" applyNumberFormat="1" applyFont="1" applyFill="1" applyBorder="1" applyAlignment="1">
      <alignment vertical="center"/>
    </xf>
    <xf numFmtId="37" fontId="7" fillId="13" borderId="53" xfId="0" applyNumberFormat="1" applyFont="1" applyFill="1" applyBorder="1" applyAlignment="1">
      <alignment vertical="center"/>
    </xf>
    <xf numFmtId="37" fontId="7" fillId="13" borderId="72" xfId="0" applyNumberFormat="1" applyFont="1" applyFill="1" applyBorder="1" applyAlignment="1">
      <alignment vertical="center"/>
    </xf>
    <xf numFmtId="37" fontId="7" fillId="32" borderId="8" xfId="0" applyNumberFormat="1" applyFont="1" applyFill="1" applyBorder="1" applyAlignment="1">
      <alignment horizontal="center" vertical="center"/>
    </xf>
    <xf numFmtId="39" fontId="7" fillId="14" borderId="85" xfId="0" applyNumberFormat="1" applyFont="1" applyFill="1" applyBorder="1" applyAlignment="1">
      <alignment horizontal="center" vertical="center"/>
    </xf>
    <xf numFmtId="39" fontId="7" fillId="14" borderId="64" xfId="0" applyNumberFormat="1" applyFont="1" applyFill="1" applyBorder="1" applyAlignment="1">
      <alignment horizontal="center" vertical="center"/>
    </xf>
    <xf numFmtId="37" fontId="7" fillId="32" borderId="14" xfId="0" applyNumberFormat="1" applyFont="1" applyFill="1" applyBorder="1" applyAlignment="1">
      <alignment horizontal="center" vertical="center"/>
    </xf>
    <xf numFmtId="171" fontId="7" fillId="19" borderId="100" xfId="0" applyNumberFormat="1" applyFont="1" applyFill="1" applyBorder="1" applyAlignment="1">
      <alignment horizontal="center" vertical="center"/>
    </xf>
    <xf numFmtId="37" fontId="7" fillId="14" borderId="75" xfId="0" applyNumberFormat="1" applyFont="1" applyFill="1" applyBorder="1"/>
    <xf numFmtId="37" fontId="7" fillId="14" borderId="101" xfId="0" applyNumberFormat="1" applyFont="1" applyFill="1" applyBorder="1"/>
    <xf numFmtId="37" fontId="7" fillId="14" borderId="138" xfId="0" applyNumberFormat="1" applyFont="1" applyFill="1" applyBorder="1"/>
    <xf numFmtId="37" fontId="7" fillId="14" borderId="103" xfId="0" applyNumberFormat="1" applyFont="1" applyFill="1" applyBorder="1"/>
    <xf numFmtId="39" fontId="7" fillId="19" borderId="0" xfId="0" applyNumberFormat="1" applyFont="1" applyFill="1" applyBorder="1" applyAlignment="1">
      <alignment horizontal="center" vertical="center"/>
    </xf>
    <xf numFmtId="39" fontId="7" fillId="19" borderId="138" xfId="0" applyNumberFormat="1" applyFont="1" applyFill="1" applyBorder="1" applyAlignment="1">
      <alignment horizontal="center" vertical="center"/>
    </xf>
    <xf numFmtId="37" fontId="7" fillId="19" borderId="138" xfId="0" applyNumberFormat="1" applyFont="1" applyFill="1" applyBorder="1" applyAlignment="1">
      <alignment horizontal="center" vertical="center"/>
    </xf>
    <xf numFmtId="37" fontId="7" fillId="19" borderId="138" xfId="0" applyNumberFormat="1" applyFont="1" applyFill="1" applyBorder="1"/>
    <xf numFmtId="37" fontId="7" fillId="19" borderId="103" xfId="0" applyNumberFormat="1" applyFont="1" applyFill="1" applyBorder="1"/>
    <xf numFmtId="37" fontId="7" fillId="19" borderId="32" xfId="0" applyNumberFormat="1" applyFont="1" applyFill="1" applyBorder="1" applyAlignment="1">
      <alignment vertical="center"/>
    </xf>
    <xf numFmtId="37" fontId="7" fillId="19" borderId="138" xfId="0" applyNumberFormat="1" applyFont="1" applyFill="1" applyBorder="1" applyAlignment="1">
      <alignment vertical="center"/>
    </xf>
    <xf numFmtId="37" fontId="7" fillId="19" borderId="103" xfId="0" applyNumberFormat="1" applyFont="1" applyFill="1" applyBorder="1" applyAlignment="1">
      <alignment vertical="center"/>
    </xf>
    <xf numFmtId="0" fontId="7" fillId="0" borderId="98" xfId="0" applyFont="1" applyFill="1" applyBorder="1" applyAlignment="1">
      <alignment vertical="center"/>
    </xf>
    <xf numFmtId="0" fontId="7" fillId="34" borderId="98" xfId="0" applyFont="1" applyFill="1" applyBorder="1" applyAlignment="1">
      <alignment horizontal="center" vertical="center"/>
    </xf>
    <xf numFmtId="37" fontId="7" fillId="34" borderId="108" xfId="0" applyNumberFormat="1" applyFont="1" applyFill="1" applyBorder="1" applyAlignment="1">
      <alignment vertical="center"/>
    </xf>
    <xf numFmtId="0" fontId="7" fillId="34" borderId="30" xfId="0" applyFont="1" applyFill="1" applyBorder="1" applyAlignment="1">
      <alignment horizontal="center" vertical="center"/>
    </xf>
    <xf numFmtId="172" fontId="7" fillId="34" borderId="98" xfId="0" applyNumberFormat="1" applyFont="1" applyFill="1" applyBorder="1" applyAlignment="1">
      <alignment horizontal="center" vertical="center"/>
    </xf>
    <xf numFmtId="37" fontId="7" fillId="34" borderId="108" xfId="0" applyNumberFormat="1" applyFont="1" applyFill="1" applyBorder="1" applyAlignment="1">
      <alignment horizontal="center" vertical="center"/>
    </xf>
    <xf numFmtId="37" fontId="7" fillId="34" borderId="30" xfId="0" applyNumberFormat="1" applyFont="1" applyFill="1" applyBorder="1" applyAlignment="1">
      <alignment horizontal="center" vertical="center"/>
    </xf>
    <xf numFmtId="0" fontId="7" fillId="0" borderId="20" xfId="0" applyFont="1" applyFill="1" applyBorder="1" applyAlignment="1">
      <alignment vertical="center"/>
    </xf>
    <xf numFmtId="0" fontId="7" fillId="34" borderId="20" xfId="0" applyFont="1" applyFill="1" applyBorder="1" applyAlignment="1">
      <alignment horizontal="center" vertical="center"/>
    </xf>
    <xf numFmtId="37" fontId="7" fillId="34" borderId="22" xfId="0" applyNumberFormat="1" applyFont="1" applyFill="1" applyBorder="1" applyAlignment="1">
      <alignment vertical="center"/>
    </xf>
    <xf numFmtId="0" fontId="7" fillId="34" borderId="24" xfId="0" applyFont="1" applyFill="1" applyBorder="1" applyAlignment="1">
      <alignment horizontal="center" vertical="center"/>
    </xf>
    <xf numFmtId="172" fontId="7" fillId="34" borderId="20" xfId="0" applyNumberFormat="1" applyFont="1" applyFill="1" applyBorder="1" applyAlignment="1">
      <alignment horizontal="center" vertical="center"/>
    </xf>
    <xf numFmtId="37" fontId="7" fillId="34" borderId="20" xfId="0" applyNumberFormat="1" applyFont="1" applyFill="1" applyBorder="1" applyAlignment="1">
      <alignment vertical="center"/>
    </xf>
    <xf numFmtId="37" fontId="7" fillId="34" borderId="22" xfId="0" applyNumberFormat="1" applyFont="1" applyFill="1" applyBorder="1" applyAlignment="1">
      <alignment horizontal="center" vertical="center"/>
    </xf>
    <xf numFmtId="37" fontId="7" fillId="34" borderId="24" xfId="0" applyNumberFormat="1" applyFont="1" applyFill="1" applyBorder="1" applyAlignment="1">
      <alignment horizontal="center" vertical="center"/>
    </xf>
    <xf numFmtId="37" fontId="0" fillId="13" borderId="20" xfId="0" applyNumberFormat="1" applyFill="1" applyBorder="1" applyAlignment="1">
      <alignment horizontal="center" vertical="center"/>
    </xf>
    <xf numFmtId="0" fontId="7" fillId="33" borderId="104" xfId="0" applyFont="1" applyFill="1" applyBorder="1" applyAlignment="1">
      <alignment horizontal="center"/>
    </xf>
    <xf numFmtId="37" fontId="7" fillId="32" borderId="15" xfId="0" applyNumberFormat="1" applyFont="1" applyFill="1" applyBorder="1" applyAlignment="1">
      <alignment horizontal="center"/>
    </xf>
    <xf numFmtId="0" fontId="7" fillId="33" borderId="105" xfId="0" applyFont="1" applyFill="1" applyBorder="1" applyAlignment="1">
      <alignment horizontal="center"/>
    </xf>
    <xf numFmtId="0" fontId="7" fillId="0" borderId="69" xfId="0" applyFont="1" applyBorder="1"/>
    <xf numFmtId="3" fontId="8" fillId="0" borderId="6" xfId="0" applyNumberFormat="1" applyFont="1" applyFill="1" applyBorder="1" applyAlignment="1">
      <alignment horizontal="center" vertical="center"/>
    </xf>
    <xf numFmtId="3" fontId="8" fillId="0" borderId="0" xfId="0" applyNumberFormat="1" applyFont="1" applyFill="1" applyBorder="1" applyAlignment="1">
      <alignment horizontal="center" vertical="center"/>
    </xf>
    <xf numFmtId="3" fontId="8" fillId="0" borderId="2" xfId="0" applyNumberFormat="1" applyFont="1" applyFill="1" applyBorder="1" applyAlignment="1">
      <alignment horizontal="center" vertical="center"/>
    </xf>
    <xf numFmtId="37" fontId="8" fillId="0" borderId="6" xfId="0" applyNumberFormat="1" applyFont="1" applyFill="1" applyBorder="1" applyAlignment="1">
      <alignment horizontal="center" vertical="center"/>
    </xf>
    <xf numFmtId="37" fontId="8" fillId="0" borderId="0" xfId="0" applyNumberFormat="1" applyFont="1" applyFill="1" applyBorder="1" applyAlignment="1">
      <alignment horizontal="center" vertical="center"/>
    </xf>
    <xf numFmtId="37" fontId="8" fillId="0" borderId="2" xfId="0" applyNumberFormat="1" applyFont="1" applyFill="1" applyBorder="1" applyAlignment="1">
      <alignment horizontal="center" vertical="center"/>
    </xf>
    <xf numFmtId="37" fontId="0" fillId="0" borderId="13" xfId="0" applyNumberFormat="1" applyFill="1" applyBorder="1" applyAlignment="1">
      <alignment horizontal="right" vertical="center"/>
    </xf>
    <xf numFmtId="37" fontId="0" fillId="0" borderId="5" xfId="0" applyNumberFormat="1" applyFill="1" applyBorder="1" applyAlignment="1">
      <alignment horizontal="right" vertical="center"/>
    </xf>
    <xf numFmtId="37" fontId="0" fillId="0" borderId="6" xfId="0" applyNumberFormat="1" applyFont="1" applyFill="1" applyBorder="1" applyAlignment="1">
      <alignment horizontal="right" vertical="center"/>
    </xf>
    <xf numFmtId="37" fontId="0" fillId="0" borderId="0" xfId="0" applyNumberFormat="1" applyFont="1" applyFill="1" applyBorder="1" applyAlignment="1">
      <alignment horizontal="right" vertical="center"/>
    </xf>
    <xf numFmtId="37" fontId="0" fillId="0" borderId="2" xfId="0" applyNumberFormat="1" applyFont="1" applyFill="1" applyBorder="1" applyAlignment="1">
      <alignment horizontal="right" vertical="center"/>
    </xf>
    <xf numFmtId="37" fontId="0" fillId="0" borderId="0" xfId="0" applyNumberFormat="1" applyFill="1" applyBorder="1" applyAlignment="1">
      <alignment horizontal="right" vertical="center"/>
    </xf>
    <xf numFmtId="37" fontId="0" fillId="0" borderId="2" xfId="0" applyNumberFormat="1" applyFill="1" applyBorder="1" applyAlignment="1">
      <alignment horizontal="right" vertical="center"/>
    </xf>
    <xf numFmtId="37" fontId="7" fillId="0" borderId="6" xfId="0" applyNumberFormat="1" applyFont="1" applyFill="1" applyBorder="1" applyAlignment="1">
      <alignment horizontal="right" vertical="center"/>
    </xf>
    <xf numFmtId="37" fontId="7" fillId="0" borderId="0" xfId="0" applyNumberFormat="1" applyFont="1" applyFill="1" applyBorder="1" applyAlignment="1">
      <alignment horizontal="right" vertical="center"/>
    </xf>
    <xf numFmtId="37" fontId="7" fillId="0" borderId="2" xfId="0" applyNumberFormat="1" applyFont="1" applyFill="1" applyBorder="1" applyAlignment="1">
      <alignment horizontal="right" vertical="center"/>
    </xf>
    <xf numFmtId="37" fontId="0" fillId="0" borderId="33" xfId="0" applyNumberFormat="1" applyFill="1" applyBorder="1" applyAlignment="1">
      <alignment horizontal="right" vertical="center"/>
    </xf>
    <xf numFmtId="37" fontId="0" fillId="0" borderId="3" xfId="0" applyNumberFormat="1" applyFill="1" applyBorder="1" applyAlignment="1">
      <alignment horizontal="right" vertical="center"/>
    </xf>
    <xf numFmtId="37" fontId="8" fillId="0" borderId="6" xfId="0" applyNumberFormat="1" applyFont="1" applyFill="1" applyBorder="1" applyAlignment="1">
      <alignment horizontal="right" vertical="center"/>
    </xf>
    <xf numFmtId="37" fontId="8" fillId="0" borderId="0" xfId="0" applyNumberFormat="1" applyFont="1" applyFill="1" applyBorder="1" applyAlignment="1">
      <alignment horizontal="right" vertical="center"/>
    </xf>
    <xf numFmtId="37" fontId="8" fillId="0" borderId="2" xfId="0" applyNumberFormat="1" applyFont="1" applyFill="1" applyBorder="1" applyAlignment="1">
      <alignment horizontal="right" vertical="center"/>
    </xf>
    <xf numFmtId="3" fontId="0" fillId="0" borderId="0" xfId="0" applyNumberFormat="1" applyFill="1" applyBorder="1" applyAlignment="1">
      <alignment horizontal="right" vertical="center"/>
    </xf>
    <xf numFmtId="3" fontId="0" fillId="0" borderId="2" xfId="0" applyNumberFormat="1" applyFill="1" applyBorder="1" applyAlignment="1">
      <alignment horizontal="right" vertical="center"/>
    </xf>
    <xf numFmtId="3" fontId="0" fillId="0" borderId="0" xfId="0" applyNumberFormat="1" applyFont="1" applyFill="1" applyBorder="1" applyAlignment="1">
      <alignment horizontal="right" vertical="center"/>
    </xf>
    <xf numFmtId="3" fontId="0" fillId="0" borderId="2" xfId="0" applyNumberFormat="1" applyFont="1" applyFill="1" applyBorder="1" applyAlignment="1">
      <alignment horizontal="right" vertical="center"/>
    </xf>
    <xf numFmtId="3" fontId="0" fillId="0" borderId="0" xfId="0" applyNumberFormat="1" applyFont="1" applyFill="1" applyBorder="1" applyAlignment="1">
      <alignment horizontal="center" vertical="center"/>
    </xf>
    <xf numFmtId="3" fontId="0" fillId="0" borderId="2" xfId="0" applyNumberFormat="1" applyFont="1" applyFill="1" applyBorder="1" applyAlignment="1">
      <alignment horizontal="center" vertical="center"/>
    </xf>
    <xf numFmtId="3" fontId="8" fillId="0" borderId="6" xfId="0" applyNumberFormat="1" applyFont="1" applyFill="1" applyBorder="1" applyAlignment="1">
      <alignment horizontal="right" vertical="center"/>
    </xf>
    <xf numFmtId="3" fontId="8" fillId="0" borderId="0" xfId="0" applyNumberFormat="1" applyFont="1" applyFill="1" applyBorder="1" applyAlignment="1">
      <alignment horizontal="right" vertical="center"/>
    </xf>
    <xf numFmtId="3" fontId="8" fillId="0" borderId="2" xfId="0" applyNumberFormat="1" applyFont="1" applyFill="1" applyBorder="1" applyAlignment="1">
      <alignment horizontal="right" vertical="center"/>
    </xf>
    <xf numFmtId="3" fontId="0" fillId="0" borderId="0" xfId="0" applyNumberFormat="1" applyFill="1" applyBorder="1" applyAlignment="1">
      <alignment vertical="center"/>
    </xf>
    <xf numFmtId="3" fontId="0" fillId="0" borderId="2" xfId="0" applyNumberFormat="1" applyFill="1" applyBorder="1" applyAlignment="1">
      <alignment vertical="center"/>
    </xf>
    <xf numFmtId="0" fontId="0" fillId="0" borderId="36" xfId="0" applyFill="1" applyBorder="1" applyAlignment="1">
      <alignment horizontal="right" vertical="center"/>
    </xf>
    <xf numFmtId="0" fontId="0" fillId="0" borderId="34" xfId="0" applyFill="1" applyBorder="1" applyAlignment="1">
      <alignment horizontal="right" vertical="center"/>
    </xf>
    <xf numFmtId="0" fontId="0" fillId="0" borderId="4" xfId="0" applyFill="1" applyBorder="1" applyAlignment="1">
      <alignment horizontal="right" vertical="center"/>
    </xf>
    <xf numFmtId="0" fontId="11" fillId="0" borderId="0" xfId="0" applyFont="1" applyFill="1" applyBorder="1" applyAlignment="1">
      <alignment horizontal="center" vertical="center"/>
    </xf>
    <xf numFmtId="0" fontId="11" fillId="0" borderId="2" xfId="0" applyFont="1" applyFill="1" applyBorder="1" applyAlignment="1">
      <alignment horizontal="center" vertical="center"/>
    </xf>
    <xf numFmtId="3" fontId="0" fillId="0" borderId="6" xfId="0" applyNumberFormat="1" applyFont="1" applyFill="1" applyBorder="1" applyAlignment="1">
      <alignment vertical="center"/>
    </xf>
    <xf numFmtId="3" fontId="0" fillId="0" borderId="0" xfId="0" applyNumberFormat="1" applyFont="1" applyFill="1" applyBorder="1" applyAlignment="1">
      <alignment vertical="center"/>
    </xf>
    <xf numFmtId="3" fontId="0" fillId="0" borderId="2" xfId="0" applyNumberFormat="1" applyFont="1" applyFill="1" applyBorder="1" applyAlignment="1">
      <alignment vertical="center"/>
    </xf>
    <xf numFmtId="0" fontId="19" fillId="0" borderId="0" xfId="0" applyFont="1" applyFill="1" applyBorder="1" applyAlignment="1">
      <alignment horizontal="center" vertical="center"/>
    </xf>
    <xf numFmtId="0" fontId="19" fillId="0" borderId="2" xfId="0" applyFont="1" applyFill="1" applyBorder="1" applyAlignment="1">
      <alignment horizontal="center" vertical="center"/>
    </xf>
    <xf numFmtId="3" fontId="0" fillId="0" borderId="36" xfId="0" applyNumberFormat="1" applyFill="1" applyBorder="1" applyAlignment="1">
      <alignment horizontal="right" vertical="center"/>
    </xf>
    <xf numFmtId="3" fontId="0" fillId="0" borderId="4" xfId="0" applyNumberFormat="1" applyFill="1" applyBorder="1" applyAlignment="1">
      <alignment horizontal="right" vertical="center"/>
    </xf>
    <xf numFmtId="0" fontId="20" fillId="0" borderId="0" xfId="0" applyFont="1" applyFill="1" applyBorder="1" applyAlignment="1">
      <alignment horizontal="center" vertical="center"/>
    </xf>
    <xf numFmtId="37" fontId="0" fillId="10" borderId="2" xfId="0" applyNumberFormat="1" applyFill="1" applyBorder="1" applyAlignment="1">
      <alignment horizontal="right" vertical="center"/>
    </xf>
    <xf numFmtId="3" fontId="8" fillId="10" borderId="6" xfId="0" applyNumberFormat="1" applyFont="1" applyFill="1" applyBorder="1" applyAlignment="1">
      <alignment horizontal="center" vertical="center"/>
    </xf>
    <xf numFmtId="3" fontId="8" fillId="10" borderId="2" xfId="0" applyNumberFormat="1" applyFont="1" applyFill="1" applyBorder="1" applyAlignment="1">
      <alignment horizontal="center" vertical="center"/>
    </xf>
    <xf numFmtId="37" fontId="0" fillId="10" borderId="5" xfId="0" applyNumberFormat="1" applyFill="1" applyBorder="1" applyAlignment="1">
      <alignment horizontal="right" vertical="center"/>
    </xf>
    <xf numFmtId="37" fontId="0" fillId="10" borderId="6" xfId="0" applyNumberFormat="1" applyFont="1" applyFill="1" applyBorder="1" applyAlignment="1">
      <alignment horizontal="right" vertical="center"/>
    </xf>
    <xf numFmtId="37" fontId="0" fillId="10" borderId="2" xfId="0" applyNumberFormat="1" applyFont="1" applyFill="1" applyBorder="1" applyAlignment="1">
      <alignment horizontal="right" vertical="center"/>
    </xf>
    <xf numFmtId="3" fontId="0" fillId="10" borderId="2" xfId="0" applyNumberFormat="1" applyFill="1" applyBorder="1" applyAlignment="1">
      <alignment horizontal="right" vertical="center"/>
    </xf>
    <xf numFmtId="37" fontId="0" fillId="10" borderId="3" xfId="0" applyNumberFormat="1" applyFill="1" applyBorder="1" applyAlignment="1">
      <alignment horizontal="right" vertical="center"/>
    </xf>
    <xf numFmtId="3" fontId="8" fillId="10" borderId="2" xfId="0" applyNumberFormat="1" applyFont="1" applyFill="1" applyBorder="1" applyAlignment="1">
      <alignment horizontal="right" vertical="center"/>
    </xf>
    <xf numFmtId="3" fontId="0" fillId="10" borderId="36" xfId="0" applyNumberFormat="1" applyFill="1" applyBorder="1" applyAlignment="1">
      <alignment horizontal="right" vertical="center"/>
    </xf>
    <xf numFmtId="3" fontId="0" fillId="10" borderId="4" xfId="0" applyNumberFormat="1" applyFill="1" applyBorder="1" applyAlignment="1">
      <alignment horizontal="right" vertical="center"/>
    </xf>
    <xf numFmtId="1" fontId="8" fillId="0" borderId="6" xfId="0" applyNumberFormat="1" applyFont="1" applyFill="1" applyBorder="1" applyAlignment="1">
      <alignment horizontal="center" vertical="center"/>
    </xf>
    <xf numFmtId="1" fontId="8" fillId="0" borderId="0" xfId="0" applyNumberFormat="1" applyFont="1" applyFill="1" applyBorder="1" applyAlignment="1">
      <alignment horizontal="center" vertical="center"/>
    </xf>
    <xf numFmtId="1" fontId="8" fillId="0" borderId="2" xfId="0" applyNumberFormat="1" applyFont="1" applyFill="1" applyBorder="1" applyAlignment="1">
      <alignment horizontal="center" vertical="center"/>
    </xf>
    <xf numFmtId="0" fontId="0" fillId="0" borderId="13" xfId="0" applyFill="1" applyBorder="1" applyAlignment="1">
      <alignment horizontal="right" vertical="center"/>
    </xf>
    <xf numFmtId="3" fontId="8" fillId="10" borderId="0" xfId="0" applyNumberFormat="1" applyFont="1" applyFill="1" applyBorder="1" applyAlignment="1">
      <alignment horizontal="center" vertical="center"/>
    </xf>
    <xf numFmtId="0" fontId="9" fillId="9" borderId="0" xfId="0" applyFont="1" applyFill="1" applyBorder="1" applyAlignment="1"/>
    <xf numFmtId="0" fontId="7" fillId="9" borderId="8" xfId="0" applyFont="1" applyFill="1" applyBorder="1" applyAlignment="1"/>
    <xf numFmtId="37" fontId="45" fillId="0" borderId="2" xfId="0" applyNumberFormat="1" applyFont="1" applyFill="1" applyBorder="1" applyAlignment="1">
      <alignment horizontal="right" vertical="center"/>
    </xf>
    <xf numFmtId="0" fontId="0" fillId="0" borderId="37" xfId="0" applyFont="1" applyFill="1" applyBorder="1" applyAlignment="1">
      <alignment horizontal="right" vertical="center"/>
    </xf>
    <xf numFmtId="37" fontId="0" fillId="0" borderId="35" xfId="0" applyNumberFormat="1" applyFont="1" applyFill="1" applyBorder="1" applyAlignment="1">
      <alignment horizontal="right" vertical="center"/>
    </xf>
    <xf numFmtId="37" fontId="45" fillId="0" borderId="0" xfId="0" applyNumberFormat="1" applyFont="1" applyFill="1" applyBorder="1" applyAlignment="1">
      <alignment horizontal="right" vertical="center"/>
    </xf>
    <xf numFmtId="3" fontId="45" fillId="0" borderId="6" xfId="0" applyNumberFormat="1" applyFont="1" applyFill="1" applyBorder="1" applyAlignment="1">
      <alignment horizontal="center" vertical="center"/>
    </xf>
    <xf numFmtId="3" fontId="45" fillId="0" borderId="2" xfId="0" applyNumberFormat="1" applyFont="1" applyFill="1" applyBorder="1" applyAlignment="1">
      <alignment horizontal="center" vertical="center"/>
    </xf>
    <xf numFmtId="164" fontId="0" fillId="0" borderId="6" xfId="1" applyNumberFormat="1" applyFont="1" applyFill="1" applyBorder="1" applyAlignment="1">
      <alignment horizontal="center" vertical="center"/>
    </xf>
    <xf numFmtId="164" fontId="0" fillId="0" borderId="2" xfId="1" applyNumberFormat="1" applyFont="1" applyFill="1" applyBorder="1" applyAlignment="1">
      <alignment horizontal="center" vertical="center"/>
    </xf>
    <xf numFmtId="164" fontId="0" fillId="0" borderId="0" xfId="1" applyNumberFormat="1" applyFont="1" applyFill="1" applyBorder="1" applyAlignment="1">
      <alignment horizontal="center" vertical="center"/>
    </xf>
    <xf numFmtId="37" fontId="0" fillId="10" borderId="35" xfId="0" applyNumberFormat="1" applyFont="1" applyFill="1" applyBorder="1" applyAlignment="1">
      <alignment horizontal="right" vertical="center"/>
    </xf>
    <xf numFmtId="0" fontId="11" fillId="9" borderId="8" xfId="0" applyFont="1" applyFill="1" applyBorder="1" applyAlignment="1"/>
    <xf numFmtId="0" fontId="0" fillId="0" borderId="0" xfId="0" applyBorder="1" applyAlignment="1">
      <alignment horizontal="center"/>
    </xf>
    <xf numFmtId="0" fontId="4" fillId="0" borderId="0" xfId="0" applyFont="1" applyBorder="1" applyAlignment="1">
      <alignment horizontal="center" vertical="center"/>
    </xf>
    <xf numFmtId="0" fontId="4" fillId="0" borderId="0" xfId="0" applyFont="1" applyBorder="1" applyAlignment="1">
      <alignment horizontal="center" vertical="center" wrapText="1"/>
    </xf>
    <xf numFmtId="0" fontId="0" fillId="0" borderId="48" xfId="0" applyBorder="1" applyAlignment="1">
      <alignment horizontal="center" vertical="center" wrapText="1"/>
    </xf>
    <xf numFmtId="0" fontId="4" fillId="0" borderId="48" xfId="0" applyFont="1" applyBorder="1" applyAlignment="1">
      <alignment horizontal="center" vertical="center" wrapText="1"/>
    </xf>
    <xf numFmtId="0" fontId="4" fillId="0" borderId="65" xfId="0" applyFont="1" applyBorder="1" applyAlignment="1">
      <alignment horizontal="center" vertical="center" wrapText="1"/>
    </xf>
    <xf numFmtId="3" fontId="4" fillId="18" borderId="0" xfId="0" applyNumberFormat="1" applyFont="1" applyFill="1" applyBorder="1" applyAlignment="1">
      <alignment horizontal="center" vertical="center"/>
    </xf>
    <xf numFmtId="3" fontId="30" fillId="18" borderId="0" xfId="0" applyNumberFormat="1" applyFont="1" applyFill="1" applyBorder="1" applyAlignment="1">
      <alignment horizontal="center" vertical="center"/>
    </xf>
    <xf numFmtId="0" fontId="30" fillId="18" borderId="0" xfId="0" applyFont="1" applyFill="1" applyBorder="1" applyAlignment="1">
      <alignment horizontal="center" vertical="center"/>
    </xf>
    <xf numFmtId="0" fontId="37" fillId="12" borderId="69" xfId="0" applyFont="1" applyFill="1" applyBorder="1" applyAlignment="1">
      <alignment horizontal="center" vertical="center" wrapText="1"/>
    </xf>
    <xf numFmtId="0" fontId="37" fillId="12" borderId="14" xfId="0" applyFont="1" applyFill="1" applyBorder="1" applyAlignment="1">
      <alignment horizontal="center" vertical="center" wrapText="1"/>
    </xf>
    <xf numFmtId="0" fontId="24" fillId="0" borderId="48" xfId="0" applyFont="1" applyBorder="1" applyAlignment="1">
      <alignment horizontal="center" vertical="center"/>
    </xf>
    <xf numFmtId="0" fontId="61" fillId="18" borderId="48" xfId="11" applyNumberFormat="1" applyFont="1" applyFill="1" applyBorder="1" applyAlignment="1">
      <alignment horizontal="center" vertical="center"/>
    </xf>
    <xf numFmtId="0" fontId="1" fillId="25" borderId="98" xfId="6" applyFill="1" applyBorder="1" applyAlignment="1">
      <alignment horizontal="center" vertical="center" wrapText="1"/>
    </xf>
    <xf numFmtId="0" fontId="1" fillId="25" borderId="75" xfId="6" applyFill="1" applyBorder="1" applyAlignment="1">
      <alignment horizontal="center" vertical="center" wrapText="1"/>
    </xf>
    <xf numFmtId="0" fontId="1" fillId="25" borderId="16" xfId="6" applyFill="1" applyBorder="1" applyAlignment="1">
      <alignment horizontal="center" vertical="center" wrapText="1"/>
    </xf>
    <xf numFmtId="0" fontId="1" fillId="11" borderId="53" xfId="6" applyFill="1" applyBorder="1" applyAlignment="1">
      <alignment horizontal="center" vertical="center" wrapText="1"/>
    </xf>
    <xf numFmtId="0" fontId="8" fillId="11" borderId="53" xfId="6" applyFont="1" applyFill="1" applyBorder="1" applyAlignment="1">
      <alignment horizontal="center" vertical="center" wrapText="1"/>
    </xf>
    <xf numFmtId="0" fontId="1" fillId="25" borderId="53" xfId="6" applyFill="1" applyBorder="1" applyAlignment="1">
      <alignment horizontal="center" vertical="center" wrapText="1"/>
    </xf>
    <xf numFmtId="0" fontId="8" fillId="25" borderId="53" xfId="6" applyFont="1" applyFill="1" applyBorder="1" applyAlignment="1">
      <alignment horizontal="center" vertical="center" wrapText="1"/>
    </xf>
    <xf numFmtId="0" fontId="4" fillId="12" borderId="46" xfId="0" applyFont="1" applyFill="1" applyBorder="1" applyAlignment="1">
      <alignment horizontal="center" vertical="center" wrapText="1"/>
    </xf>
    <xf numFmtId="0" fontId="4" fillId="12" borderId="14" xfId="0" applyFont="1" applyFill="1" applyBorder="1" applyAlignment="1">
      <alignment horizontal="center" vertical="center" wrapText="1"/>
    </xf>
    <xf numFmtId="0" fontId="4" fillId="12" borderId="45" xfId="0" applyFont="1" applyFill="1" applyBorder="1" applyAlignment="1">
      <alignment horizontal="center" vertical="center" wrapText="1"/>
    </xf>
    <xf numFmtId="0" fontId="4" fillId="23" borderId="46" xfId="0" applyFont="1" applyFill="1" applyBorder="1" applyAlignment="1">
      <alignment horizontal="center" vertical="center"/>
    </xf>
    <xf numFmtId="0" fontId="8" fillId="20" borderId="64" xfId="4" applyFont="1" applyFill="1" applyBorder="1" applyAlignment="1">
      <alignment horizontal="center" vertical="center" wrapText="1"/>
    </xf>
    <xf numFmtId="0" fontId="8" fillId="20" borderId="20" xfId="4" applyFont="1" applyFill="1" applyBorder="1" applyAlignment="1">
      <alignment horizontal="center" vertical="center" wrapText="1"/>
    </xf>
    <xf numFmtId="0" fontId="1" fillId="20" borderId="53" xfId="4" applyFill="1" applyBorder="1" applyAlignment="1">
      <alignment horizontal="center" vertical="center" wrapText="1"/>
    </xf>
    <xf numFmtId="0" fontId="8" fillId="20" borderId="53" xfId="4" applyFont="1" applyFill="1" applyBorder="1" applyAlignment="1">
      <alignment horizontal="center" vertical="center" wrapText="1"/>
    </xf>
    <xf numFmtId="0" fontId="0" fillId="21" borderId="53" xfId="4" applyFont="1" applyFill="1" applyBorder="1" applyAlignment="1">
      <alignment horizontal="center" vertical="center" wrapText="1"/>
    </xf>
    <xf numFmtId="0" fontId="8" fillId="21" borderId="98" xfId="4" applyFont="1" applyFill="1" applyBorder="1" applyAlignment="1">
      <alignment horizontal="center" vertical="center" wrapText="1"/>
    </xf>
    <xf numFmtId="0" fontId="8" fillId="20" borderId="98" xfId="4" applyFont="1" applyFill="1" applyBorder="1" applyAlignment="1">
      <alignment horizontal="center" vertical="center" wrapText="1"/>
    </xf>
    <xf numFmtId="0" fontId="4" fillId="21" borderId="104" xfId="4" applyFont="1" applyFill="1" applyBorder="1" applyAlignment="1">
      <alignment horizontal="center" vertical="center" wrapText="1"/>
    </xf>
    <xf numFmtId="0" fontId="8" fillId="21" borderId="20" xfId="4" applyFont="1" applyFill="1" applyBorder="1" applyAlignment="1">
      <alignment horizontal="center" vertical="center" wrapText="1"/>
    </xf>
    <xf numFmtId="0" fontId="8" fillId="3" borderId="64" xfId="4" applyFont="1" applyBorder="1" applyAlignment="1">
      <alignment horizontal="center" vertical="center" wrapText="1"/>
    </xf>
    <xf numFmtId="0" fontId="0" fillId="20" borderId="53" xfId="4" applyFont="1" applyFill="1" applyBorder="1" applyAlignment="1">
      <alignment horizontal="center" vertical="center" wrapText="1"/>
    </xf>
    <xf numFmtId="0" fontId="8" fillId="21" borderId="53" xfId="4" applyFont="1" applyFill="1" applyBorder="1" applyAlignment="1">
      <alignment horizontal="center" vertical="center" wrapText="1"/>
    </xf>
    <xf numFmtId="0" fontId="8" fillId="3" borderId="98" xfId="4" applyFont="1" applyBorder="1" applyAlignment="1">
      <alignment horizontal="center" vertical="center" wrapText="1"/>
    </xf>
    <xf numFmtId="0" fontId="1" fillId="21" borderId="16" xfId="4" applyFill="1" applyBorder="1" applyAlignment="1">
      <alignment horizontal="center" vertical="center" wrapText="1"/>
    </xf>
    <xf numFmtId="0" fontId="8" fillId="21" borderId="16" xfId="4" applyFont="1" applyFill="1" applyBorder="1" applyAlignment="1">
      <alignment horizontal="center" vertical="center" wrapText="1"/>
    </xf>
    <xf numFmtId="0" fontId="1" fillId="21" borderId="53" xfId="4" applyFill="1" applyBorder="1" applyAlignment="1">
      <alignment horizontal="center" vertical="center" wrapText="1"/>
    </xf>
    <xf numFmtId="0" fontId="1" fillId="3" borderId="98" xfId="4" applyBorder="1" applyAlignment="1">
      <alignment horizontal="center" vertical="center" wrapText="1"/>
    </xf>
    <xf numFmtId="0" fontId="1" fillId="3" borderId="64" xfId="4" applyBorder="1" applyAlignment="1">
      <alignment horizontal="center" vertical="center" wrapText="1"/>
    </xf>
    <xf numFmtId="0" fontId="1" fillId="3" borderId="20" xfId="4" applyBorder="1" applyAlignment="1">
      <alignment horizontal="center" vertical="center" wrapText="1"/>
    </xf>
    <xf numFmtId="0" fontId="1" fillId="21" borderId="98" xfId="4" applyFill="1" applyBorder="1" applyAlignment="1">
      <alignment horizontal="center" vertical="center" wrapText="1"/>
    </xf>
    <xf numFmtId="0" fontId="1" fillId="21" borderId="64" xfId="4" applyFill="1" applyBorder="1" applyAlignment="1">
      <alignment horizontal="center" vertical="center" wrapText="1"/>
    </xf>
    <xf numFmtId="0" fontId="8" fillId="21" borderId="64" xfId="4" applyFont="1" applyFill="1" applyBorder="1" applyAlignment="1">
      <alignment horizontal="center" vertical="center" wrapText="1"/>
    </xf>
    <xf numFmtId="0" fontId="1" fillId="21" borderId="20" xfId="4" applyFill="1" applyBorder="1" applyAlignment="1">
      <alignment horizontal="center" vertical="center" wrapText="1"/>
    </xf>
    <xf numFmtId="0" fontId="0" fillId="20" borderId="98" xfId="4" applyFont="1" applyFill="1" applyBorder="1" applyAlignment="1">
      <alignment horizontal="center" vertical="center" wrapText="1"/>
    </xf>
    <xf numFmtId="0" fontId="0" fillId="20" borderId="20" xfId="4" applyFont="1" applyFill="1" applyBorder="1" applyAlignment="1">
      <alignment horizontal="center" vertical="center" wrapText="1"/>
    </xf>
    <xf numFmtId="0" fontId="0" fillId="3" borderId="53" xfId="4" applyFont="1" applyBorder="1" applyAlignment="1">
      <alignment horizontal="center" vertical="center" wrapText="1"/>
    </xf>
    <xf numFmtId="0" fontId="8" fillId="3" borderId="53" xfId="4" applyFont="1" applyBorder="1" applyAlignment="1">
      <alignment horizontal="center" vertical="center" wrapText="1"/>
    </xf>
    <xf numFmtId="0" fontId="0" fillId="0" borderId="54" xfId="0" applyBorder="1" applyAlignment="1"/>
    <xf numFmtId="0" fontId="4" fillId="12" borderId="54" xfId="0" applyFont="1" applyFill="1" applyBorder="1" applyAlignment="1">
      <alignment horizontal="center" vertical="center" wrapText="1"/>
    </xf>
    <xf numFmtId="3" fontId="80" fillId="0" borderId="0" xfId="0" applyNumberFormat="1" applyFont="1" applyFill="1" applyBorder="1" applyAlignment="1">
      <alignment vertical="center"/>
    </xf>
    <xf numFmtId="3" fontId="80" fillId="0" borderId="2" xfId="0" applyNumberFormat="1" applyFont="1" applyFill="1" applyBorder="1" applyAlignment="1">
      <alignment vertical="center"/>
    </xf>
    <xf numFmtId="3" fontId="80" fillId="14" borderId="6" xfId="0" applyNumberFormat="1" applyFont="1" applyFill="1" applyBorder="1" applyAlignment="1">
      <alignment vertical="center"/>
    </xf>
    <xf numFmtId="0" fontId="79" fillId="14" borderId="0" xfId="0" applyFont="1" applyFill="1" applyBorder="1" applyAlignment="1">
      <alignment vertical="center"/>
    </xf>
    <xf numFmtId="0" fontId="79" fillId="14" borderId="2" xfId="0" applyFont="1" applyFill="1" applyBorder="1" applyAlignment="1">
      <alignment vertical="center"/>
    </xf>
    <xf numFmtId="3" fontId="79" fillId="14" borderId="6" xfId="0" applyNumberFormat="1" applyFont="1" applyFill="1" applyBorder="1" applyAlignment="1">
      <alignment vertical="center"/>
    </xf>
    <xf numFmtId="3" fontId="79" fillId="14" borderId="36" xfId="0" applyNumberFormat="1" applyFont="1" applyFill="1" applyBorder="1" applyAlignment="1">
      <alignment vertical="center"/>
    </xf>
    <xf numFmtId="0" fontId="79" fillId="14" borderId="34" xfId="0" applyFont="1" applyFill="1" applyBorder="1" applyAlignment="1">
      <alignment vertical="center"/>
    </xf>
    <xf numFmtId="0" fontId="79" fillId="14" borderId="4" xfId="0" applyFont="1" applyFill="1" applyBorder="1" applyAlignment="1">
      <alignment vertical="center"/>
    </xf>
    <xf numFmtId="2" fontId="79" fillId="14" borderId="0" xfId="0" applyNumberFormat="1" applyFont="1" applyFill="1" applyBorder="1" applyAlignment="1">
      <alignment vertical="center"/>
    </xf>
    <xf numFmtId="2" fontId="79" fillId="14" borderId="2" xfId="0" applyNumberFormat="1" applyFont="1" applyFill="1" applyBorder="1" applyAlignment="1">
      <alignment vertical="center"/>
    </xf>
    <xf numFmtId="3" fontId="79" fillId="14" borderId="63" xfId="0" applyNumberFormat="1" applyFont="1" applyFill="1" applyBorder="1" applyAlignment="1">
      <alignment vertical="center"/>
    </xf>
    <xf numFmtId="0" fontId="74" fillId="14" borderId="0" xfId="0" applyFont="1" applyFill="1" applyBorder="1" applyAlignment="1">
      <alignment horizontal="center" vertical="center"/>
    </xf>
    <xf numFmtId="0" fontId="79" fillId="0" borderId="0" xfId="0" applyFont="1" applyFill="1" applyBorder="1" applyAlignment="1">
      <alignment vertical="center"/>
    </xf>
    <xf numFmtId="0" fontId="79" fillId="0" borderId="2" xfId="0" applyFont="1" applyFill="1" applyBorder="1" applyAlignment="1">
      <alignment vertical="center"/>
    </xf>
    <xf numFmtId="0" fontId="79" fillId="0" borderId="34" xfId="0" applyFont="1" applyFill="1" applyBorder="1" applyAlignment="1">
      <alignment vertical="center"/>
    </xf>
    <xf numFmtId="0" fontId="79" fillId="14" borderId="6" xfId="0" applyFont="1" applyFill="1" applyBorder="1" applyAlignment="1">
      <alignment vertical="center"/>
    </xf>
    <xf numFmtId="0" fontId="79" fillId="14" borderId="36" xfId="0" applyFont="1" applyFill="1" applyBorder="1" applyAlignment="1">
      <alignment vertical="center"/>
    </xf>
    <xf numFmtId="3" fontId="79" fillId="14" borderId="63" xfId="0" applyNumberFormat="1" applyFont="1" applyFill="1" applyBorder="1" applyAlignment="1">
      <alignment vertical="center" wrapText="1"/>
    </xf>
    <xf numFmtId="0" fontId="79" fillId="14" borderId="0" xfId="0" applyFont="1" applyFill="1" applyBorder="1" applyAlignment="1">
      <alignment horizontal="center" vertical="center"/>
    </xf>
    <xf numFmtId="0" fontId="79" fillId="14" borderId="2" xfId="0" applyFont="1" applyFill="1" applyBorder="1" applyAlignment="1">
      <alignment horizontal="center" vertical="center"/>
    </xf>
    <xf numFmtId="2" fontId="79" fillId="14" borderId="6" xfId="0" applyNumberFormat="1" applyFont="1" applyFill="1" applyBorder="1" applyAlignment="1">
      <alignment vertical="center"/>
    </xf>
    <xf numFmtId="3" fontId="80" fillId="14" borderId="0" xfId="0" applyNumberFormat="1" applyFont="1" applyFill="1" applyBorder="1" applyAlignment="1">
      <alignment vertical="center"/>
    </xf>
    <xf numFmtId="3" fontId="80" fillId="14" borderId="2" xfId="0" applyNumberFormat="1" applyFont="1" applyFill="1" applyBorder="1" applyAlignment="1">
      <alignment vertical="center"/>
    </xf>
    <xf numFmtId="3" fontId="79" fillId="14" borderId="0" xfId="0" applyNumberFormat="1" applyFont="1" applyFill="1" applyBorder="1" applyAlignment="1">
      <alignment vertical="center"/>
    </xf>
    <xf numFmtId="3" fontId="79" fillId="14" borderId="2" xfId="0" applyNumberFormat="1" applyFont="1" applyFill="1" applyBorder="1" applyAlignment="1">
      <alignment vertical="center"/>
    </xf>
    <xf numFmtId="0" fontId="74" fillId="0" borderId="63" xfId="0" applyFont="1" applyFill="1" applyBorder="1" applyAlignment="1">
      <alignment horizontal="center" vertical="center"/>
    </xf>
    <xf numFmtId="0" fontId="74" fillId="0" borderId="62" xfId="0" applyFont="1" applyFill="1" applyBorder="1" applyAlignment="1">
      <alignment horizontal="center" vertical="center"/>
    </xf>
    <xf numFmtId="0" fontId="74" fillId="0" borderId="44" xfId="0" applyFont="1" applyFill="1" applyBorder="1" applyAlignment="1">
      <alignment horizontal="center" vertical="center"/>
    </xf>
    <xf numFmtId="0" fontId="79" fillId="14" borderId="6" xfId="0" applyFont="1" applyFill="1" applyBorder="1" applyAlignment="1">
      <alignment horizontal="center" vertical="center"/>
    </xf>
    <xf numFmtId="3" fontId="80" fillId="14" borderId="6" xfId="0" applyNumberFormat="1" applyFont="1" applyFill="1" applyBorder="1" applyAlignment="1">
      <alignment vertical="center" shrinkToFit="1"/>
    </xf>
    <xf numFmtId="0" fontId="79" fillId="14" borderId="0" xfId="0" applyFont="1" applyFill="1" applyBorder="1" applyAlignment="1">
      <alignment vertical="center" shrinkToFit="1"/>
    </xf>
    <xf numFmtId="0" fontId="79" fillId="14" borderId="2" xfId="0" applyFont="1" applyFill="1" applyBorder="1" applyAlignment="1">
      <alignment vertical="center" shrinkToFit="1"/>
    </xf>
    <xf numFmtId="3" fontId="79" fillId="0" borderId="2" xfId="0" applyNumberFormat="1" applyFont="1" applyFill="1" applyBorder="1" applyAlignment="1">
      <alignment vertical="center"/>
    </xf>
    <xf numFmtId="3" fontId="79" fillId="0" borderId="34" xfId="0" applyNumberFormat="1" applyFont="1" applyFill="1" applyBorder="1" applyAlignment="1">
      <alignment vertical="center"/>
    </xf>
    <xf numFmtId="3" fontId="79" fillId="0" borderId="4" xfId="0" applyNumberFormat="1" applyFont="1" applyFill="1" applyBorder="1" applyAlignment="1">
      <alignment vertical="center"/>
    </xf>
    <xf numFmtId="3" fontId="79" fillId="14" borderId="34" xfId="0" applyNumberFormat="1" applyFont="1" applyFill="1" applyBorder="1" applyAlignment="1">
      <alignment vertical="center"/>
    </xf>
    <xf numFmtId="3" fontId="79" fillId="14" borderId="4" xfId="0" applyNumberFormat="1" applyFont="1" applyFill="1" applyBorder="1" applyAlignment="1">
      <alignment vertical="center"/>
    </xf>
    <xf numFmtId="3" fontId="79" fillId="14" borderId="62" xfId="0" applyNumberFormat="1" applyFont="1" applyFill="1" applyBorder="1" applyAlignment="1">
      <alignment vertical="center"/>
    </xf>
    <xf numFmtId="3" fontId="79" fillId="14" borderId="44" xfId="0" applyNumberFormat="1" applyFont="1" applyFill="1" applyBorder="1" applyAlignment="1">
      <alignment vertical="center"/>
    </xf>
    <xf numFmtId="3" fontId="80" fillId="14" borderId="126" xfId="0" applyNumberFormat="1" applyFont="1" applyFill="1" applyBorder="1" applyAlignment="1">
      <alignment vertical="center"/>
    </xf>
    <xf numFmtId="0" fontId="79" fillId="14" borderId="121" xfId="0" applyFont="1" applyFill="1" applyBorder="1" applyAlignment="1">
      <alignment vertical="center"/>
    </xf>
    <xf numFmtId="3" fontId="79" fillId="14" borderId="126" xfId="0" applyNumberFormat="1" applyFont="1" applyFill="1" applyBorder="1" applyAlignment="1">
      <alignment vertical="center"/>
    </xf>
    <xf numFmtId="0" fontId="79" fillId="14" borderId="122" xfId="0" applyFont="1" applyFill="1" applyBorder="1" applyAlignment="1">
      <alignment vertical="center"/>
    </xf>
    <xf numFmtId="0" fontId="79" fillId="14" borderId="126" xfId="0" applyFont="1" applyFill="1" applyBorder="1" applyAlignment="1">
      <alignment vertical="center"/>
    </xf>
    <xf numFmtId="0" fontId="79" fillId="14" borderId="127" xfId="0" applyFont="1" applyFill="1" applyBorder="1" applyAlignment="1">
      <alignment vertical="center"/>
    </xf>
    <xf numFmtId="3" fontId="80" fillId="14" borderId="121" xfId="0" applyNumberFormat="1" applyFont="1" applyFill="1" applyBorder="1" applyAlignment="1">
      <alignment vertical="center"/>
    </xf>
    <xf numFmtId="3" fontId="79" fillId="14" borderId="121" xfId="0" applyNumberFormat="1" applyFont="1" applyFill="1" applyBorder="1" applyAlignment="1">
      <alignment vertical="center"/>
    </xf>
    <xf numFmtId="0" fontId="79" fillId="14" borderId="0" xfId="0" applyFont="1" applyFill="1" applyBorder="1" applyAlignment="1">
      <alignment vertical="center" wrapText="1"/>
    </xf>
    <xf numFmtId="0" fontId="75" fillId="0" borderId="100" xfId="0" applyFont="1" applyFill="1" applyBorder="1" applyAlignment="1">
      <alignment horizontal="center" vertical="center"/>
    </xf>
    <xf numFmtId="0" fontId="8" fillId="0" borderId="98" xfId="0" applyFont="1" applyFill="1" applyBorder="1" applyAlignment="1"/>
    <xf numFmtId="0" fontId="8" fillId="0" borderId="108" xfId="0" applyFont="1" applyFill="1" applyBorder="1" applyAlignment="1"/>
    <xf numFmtId="3" fontId="7" fillId="12" borderId="6" xfId="0" applyNumberFormat="1" applyFont="1" applyFill="1" applyBorder="1" applyAlignment="1">
      <alignment vertical="center"/>
    </xf>
    <xf numFmtId="0" fontId="8" fillId="12" borderId="0" xfId="0" applyFont="1" applyFill="1" applyBorder="1" applyAlignment="1">
      <alignment vertical="center"/>
    </xf>
    <xf numFmtId="0" fontId="8" fillId="12" borderId="2" xfId="0" applyFont="1" applyFill="1" applyBorder="1" applyAlignment="1">
      <alignment vertical="center"/>
    </xf>
    <xf numFmtId="3" fontId="7" fillId="12" borderId="36" xfId="0" applyNumberFormat="1" applyFont="1" applyFill="1" applyBorder="1" applyAlignment="1">
      <alignment vertical="center"/>
    </xf>
    <xf numFmtId="0" fontId="7" fillId="12" borderId="6" xfId="0" applyFont="1" applyFill="1" applyBorder="1" applyAlignment="1">
      <alignment vertical="center"/>
    </xf>
    <xf numFmtId="0" fontId="7" fillId="12" borderId="6" xfId="0" applyFont="1" applyFill="1" applyBorder="1" applyAlignment="1">
      <alignment horizontal="center" vertical="center"/>
    </xf>
    <xf numFmtId="0" fontId="7" fillId="12" borderId="0"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36" xfId="0" applyFont="1" applyFill="1" applyBorder="1" applyAlignment="1">
      <alignment vertical="center"/>
    </xf>
    <xf numFmtId="0" fontId="15" fillId="12" borderId="6" xfId="0" applyFont="1" applyFill="1" applyBorder="1" applyAlignment="1">
      <alignment vertical="center"/>
    </xf>
    <xf numFmtId="3" fontId="15" fillId="12" borderId="6" xfId="0" applyNumberFormat="1" applyFont="1" applyFill="1" applyBorder="1" applyAlignment="1">
      <alignment vertical="center"/>
    </xf>
    <xf numFmtId="0" fontId="9" fillId="0" borderId="131" xfId="0" applyFont="1" applyFill="1" applyBorder="1" applyAlignment="1">
      <alignment horizontal="center" vertical="center"/>
    </xf>
    <xf numFmtId="2" fontId="7" fillId="12" borderId="6" xfId="0" applyNumberFormat="1" applyFont="1" applyFill="1" applyBorder="1" applyAlignment="1">
      <alignment vertical="center"/>
    </xf>
    <xf numFmtId="0" fontId="7" fillId="12" borderId="63" xfId="0" applyFont="1" applyFill="1" applyBorder="1" applyAlignment="1">
      <alignment horizontal="center" vertical="center"/>
    </xf>
    <xf numFmtId="0" fontId="8" fillId="12" borderId="62" xfId="0" applyFont="1" applyFill="1" applyBorder="1" applyAlignment="1">
      <alignment horizontal="center" vertical="center"/>
    </xf>
    <xf numFmtId="0" fontId="8" fillId="12" borderId="44" xfId="0" applyFont="1" applyFill="1" applyBorder="1" applyAlignment="1">
      <alignment horizontal="center" vertical="center"/>
    </xf>
    <xf numFmtId="0" fontId="8" fillId="12" borderId="0" xfId="0" applyFont="1" applyFill="1" applyBorder="1" applyAlignment="1">
      <alignment horizontal="center" vertical="center"/>
    </xf>
    <xf numFmtId="0" fontId="8" fillId="12" borderId="2" xfId="0" applyFont="1" applyFill="1" applyBorder="1" applyAlignment="1">
      <alignment horizontal="center" vertical="center"/>
    </xf>
    <xf numFmtId="0" fontId="73" fillId="12" borderId="6" xfId="0" applyFont="1" applyFill="1" applyBorder="1" applyAlignment="1">
      <alignment horizontal="left" vertical="center" wrapText="1"/>
    </xf>
    <xf numFmtId="0" fontId="9" fillId="12" borderId="63" xfId="0" applyFont="1" applyFill="1" applyBorder="1" applyAlignment="1">
      <alignment horizontal="center" vertical="center"/>
    </xf>
    <xf numFmtId="0" fontId="7" fillId="12" borderId="62" xfId="0" applyFont="1" applyFill="1" applyBorder="1" applyAlignment="1">
      <alignment horizontal="center" vertical="center"/>
    </xf>
    <xf numFmtId="0" fontId="7" fillId="12" borderId="44" xfId="0" applyFont="1" applyFill="1" applyBorder="1" applyAlignment="1">
      <alignment horizontal="center" vertical="center"/>
    </xf>
    <xf numFmtId="0" fontId="73" fillId="12" borderId="0" xfId="0" applyFont="1" applyFill="1" applyBorder="1" applyAlignment="1">
      <alignment horizontal="left" vertical="center" wrapText="1"/>
    </xf>
    <xf numFmtId="0" fontId="73" fillId="12" borderId="2" xfId="0" applyFont="1" applyFill="1" applyBorder="1" applyAlignment="1">
      <alignment horizontal="left" vertical="center" wrapText="1"/>
    </xf>
    <xf numFmtId="0" fontId="7" fillId="12" borderId="34" xfId="0" applyFont="1" applyFill="1" applyBorder="1" applyAlignment="1">
      <alignment vertical="center"/>
    </xf>
    <xf numFmtId="0" fontId="7" fillId="0" borderId="62" xfId="0" applyFont="1" applyFill="1" applyBorder="1" applyAlignment="1">
      <alignment horizontal="center" vertical="center"/>
    </xf>
    <xf numFmtId="0" fontId="7" fillId="0" borderId="44" xfId="0" applyFont="1" applyFill="1" applyBorder="1" applyAlignment="1">
      <alignment horizontal="center" vertical="center"/>
    </xf>
    <xf numFmtId="0" fontId="9" fillId="12" borderId="62" xfId="0" applyFont="1" applyFill="1" applyBorder="1" applyAlignment="1">
      <alignment horizontal="center" vertical="center"/>
    </xf>
    <xf numFmtId="0" fontId="9" fillId="12" borderId="44" xfId="0" applyFont="1" applyFill="1" applyBorder="1" applyAlignment="1">
      <alignment horizontal="center" vertical="center"/>
    </xf>
    <xf numFmtId="0" fontId="7" fillId="12" borderId="0" xfId="0" applyFont="1" applyFill="1" applyBorder="1" applyAlignment="1">
      <alignment vertical="center"/>
    </xf>
    <xf numFmtId="0" fontId="7" fillId="12" borderId="2" xfId="0" applyFont="1" applyFill="1" applyBorder="1" applyAlignment="1">
      <alignment vertical="center"/>
    </xf>
    <xf numFmtId="3" fontId="7" fillId="12" borderId="0" xfId="0" applyNumberFormat="1" applyFont="1" applyFill="1" applyBorder="1" applyAlignment="1">
      <alignment vertical="center"/>
    </xf>
    <xf numFmtId="3" fontId="7" fillId="12" borderId="2" xfId="0" applyNumberFormat="1" applyFont="1" applyFill="1" applyBorder="1" applyAlignment="1">
      <alignment vertical="center"/>
    </xf>
    <xf numFmtId="3" fontId="7" fillId="12" borderId="34" xfId="0" applyNumberFormat="1" applyFont="1" applyFill="1" applyBorder="1" applyAlignment="1">
      <alignment vertical="center"/>
    </xf>
    <xf numFmtId="3" fontId="7" fillId="12" borderId="4" xfId="0" applyNumberFormat="1" applyFont="1" applyFill="1" applyBorder="1" applyAlignment="1">
      <alignment vertical="center"/>
    </xf>
    <xf numFmtId="37" fontId="7" fillId="32" borderId="141" xfId="0" applyNumberFormat="1" applyFont="1" applyFill="1" applyBorder="1" applyAlignment="1">
      <alignment horizontal="center" vertical="center"/>
    </xf>
    <xf numFmtId="37" fontId="7" fillId="32" borderId="101" xfId="0" applyNumberFormat="1" applyFont="1" applyFill="1" applyBorder="1" applyAlignment="1">
      <alignment horizontal="center" vertical="center"/>
    </xf>
    <xf numFmtId="37" fontId="7" fillId="32" borderId="75" xfId="0" applyNumberFormat="1" applyFont="1" applyFill="1" applyBorder="1" applyAlignment="1">
      <alignment horizontal="center" vertical="center"/>
    </xf>
    <xf numFmtId="37" fontId="7" fillId="32" borderId="97" xfId="0" applyNumberFormat="1" applyFont="1" applyFill="1" applyBorder="1" applyAlignment="1">
      <alignment horizontal="center" vertical="center"/>
    </xf>
    <xf numFmtId="37" fontId="7" fillId="32" borderId="16" xfId="0" applyNumberFormat="1" applyFont="1" applyFill="1" applyBorder="1" applyAlignment="1">
      <alignment horizontal="center" vertical="center"/>
    </xf>
    <xf numFmtId="37" fontId="7" fillId="32" borderId="103" xfId="0" applyNumberFormat="1" applyFont="1" applyFill="1" applyBorder="1" applyAlignment="1">
      <alignment horizontal="center" vertical="center"/>
    </xf>
    <xf numFmtId="37" fontId="7" fillId="32" borderId="105" xfId="0" applyNumberFormat="1" applyFont="1" applyFill="1" applyBorder="1" applyAlignment="1">
      <alignment horizontal="center" vertical="center"/>
    </xf>
    <xf numFmtId="0" fontId="7" fillId="32" borderId="104" xfId="0" applyFont="1" applyFill="1" applyBorder="1" applyAlignment="1">
      <alignment horizontal="center" vertical="center"/>
    </xf>
    <xf numFmtId="0" fontId="7" fillId="32" borderId="141" xfId="0" applyFont="1" applyFill="1" applyBorder="1" applyAlignment="1">
      <alignment horizontal="center" vertical="center"/>
    </xf>
    <xf numFmtId="0" fontId="7" fillId="32" borderId="32" xfId="0" applyFont="1" applyFill="1" applyBorder="1" applyAlignment="1">
      <alignment horizontal="center" vertical="center"/>
    </xf>
    <xf numFmtId="0" fontId="7" fillId="32" borderId="15" xfId="0" applyFont="1" applyFill="1" applyBorder="1" applyAlignment="1">
      <alignment horizontal="center" vertical="center"/>
    </xf>
    <xf numFmtId="37" fontId="7" fillId="32" borderId="75" xfId="0" applyNumberFormat="1" applyFont="1" applyFill="1" applyBorder="1" applyAlignment="1">
      <alignment vertical="center"/>
    </xf>
    <xf numFmtId="171" fontId="7" fillId="0" borderId="100" xfId="0" applyNumberFormat="1" applyFont="1" applyBorder="1" applyAlignment="1">
      <alignment horizontal="center" vertical="center"/>
    </xf>
    <xf numFmtId="37" fontId="7" fillId="32" borderId="141" xfId="0" applyNumberFormat="1" applyFont="1" applyFill="1" applyBorder="1" applyAlignment="1">
      <alignment vertical="center"/>
    </xf>
    <xf numFmtId="171" fontId="7" fillId="0" borderId="97" xfId="0" applyNumberFormat="1" applyFont="1" applyBorder="1" applyAlignment="1">
      <alignment horizontal="center" vertical="center"/>
    </xf>
    <xf numFmtId="37" fontId="7" fillId="32" borderId="32" xfId="0" applyNumberFormat="1" applyFont="1" applyFill="1" applyBorder="1" applyAlignment="1">
      <alignment horizontal="center" vertical="center"/>
    </xf>
    <xf numFmtId="37" fontId="7" fillId="32" borderId="15" xfId="0" applyNumberFormat="1" applyFont="1" applyFill="1" applyBorder="1" applyAlignment="1">
      <alignment horizontal="center" vertical="center"/>
    </xf>
    <xf numFmtId="37" fontId="7" fillId="13" borderId="75" xfId="0" applyNumberFormat="1" applyFont="1" applyFill="1" applyBorder="1" applyAlignment="1">
      <alignment horizontal="center" vertical="center"/>
    </xf>
    <xf numFmtId="171" fontId="7" fillId="0" borderId="73" xfId="0" applyNumberFormat="1" applyFont="1" applyBorder="1" applyAlignment="1">
      <alignment horizontal="center" vertical="center"/>
    </xf>
    <xf numFmtId="37" fontId="7" fillId="14" borderId="138" xfId="0" applyNumberFormat="1" applyFont="1" applyFill="1" applyBorder="1" applyAlignment="1">
      <alignment horizontal="center" vertical="center"/>
    </xf>
    <xf numFmtId="37" fontId="7" fillId="14" borderId="75" xfId="0" applyNumberFormat="1" applyFont="1" applyFill="1" applyBorder="1" applyAlignment="1">
      <alignment horizontal="center" vertical="center"/>
    </xf>
    <xf numFmtId="37" fontId="7" fillId="14" borderId="16" xfId="0" applyNumberFormat="1" applyFont="1" applyFill="1" applyBorder="1" applyAlignment="1">
      <alignment horizontal="center" vertical="center"/>
    </xf>
    <xf numFmtId="37" fontId="7" fillId="14" borderId="75" xfId="0" applyNumberFormat="1" applyFont="1" applyFill="1" applyBorder="1" applyAlignment="1">
      <alignment vertical="center"/>
    </xf>
    <xf numFmtId="37" fontId="7" fillId="14" borderId="16" xfId="0" applyNumberFormat="1" applyFont="1" applyFill="1" applyBorder="1" applyAlignment="1">
      <alignment vertical="center"/>
    </xf>
    <xf numFmtId="37" fontId="7" fillId="32" borderId="101" xfId="0" applyNumberFormat="1" applyFont="1" applyFill="1" applyBorder="1" applyAlignment="1">
      <alignment vertical="center"/>
    </xf>
    <xf numFmtId="0" fontId="7" fillId="32" borderId="75" xfId="0" applyFont="1" applyFill="1" applyBorder="1" applyAlignment="1">
      <alignment horizontal="center" vertical="center"/>
    </xf>
    <xf numFmtId="172" fontId="7" fillId="32" borderId="75" xfId="0" applyNumberFormat="1" applyFont="1" applyFill="1" applyBorder="1" applyAlignment="1">
      <alignment horizontal="center" vertical="center"/>
    </xf>
    <xf numFmtId="172" fontId="7" fillId="32" borderId="138" xfId="0" applyNumberFormat="1" applyFont="1" applyFill="1" applyBorder="1" applyAlignment="1">
      <alignment horizontal="center" vertical="center"/>
    </xf>
    <xf numFmtId="172" fontId="7" fillId="32" borderId="16" xfId="0" applyNumberFormat="1" applyFont="1" applyFill="1" applyBorder="1" applyAlignment="1">
      <alignment horizontal="center" vertical="center"/>
    </xf>
    <xf numFmtId="0" fontId="7" fillId="0" borderId="75" xfId="0" applyFont="1" applyBorder="1" applyAlignment="1">
      <alignment vertical="center"/>
    </xf>
    <xf numFmtId="37" fontId="7" fillId="17" borderId="16" xfId="0" applyNumberFormat="1" applyFont="1" applyFill="1" applyBorder="1" applyAlignment="1">
      <alignment horizontal="center" vertical="center"/>
    </xf>
    <xf numFmtId="0" fontId="7" fillId="0" borderId="25" xfId="0" applyFont="1" applyBorder="1" applyAlignment="1">
      <alignment vertical="center"/>
    </xf>
    <xf numFmtId="37" fontId="7" fillId="17" borderId="75" xfId="0" applyNumberFormat="1" applyFont="1" applyFill="1" applyBorder="1" applyAlignment="1">
      <alignment vertical="center"/>
    </xf>
    <xf numFmtId="37" fontId="7" fillId="17" borderId="138" xfId="0" applyNumberFormat="1" applyFont="1" applyFill="1" applyBorder="1" applyAlignment="1">
      <alignment vertical="center"/>
    </xf>
    <xf numFmtId="171" fontId="97" fillId="31" borderId="97" xfId="0" applyNumberFormat="1" applyFont="1" applyFill="1" applyBorder="1" applyAlignment="1">
      <alignment horizontal="center" vertical="center"/>
    </xf>
    <xf numFmtId="37" fontId="7" fillId="14" borderId="105" xfId="0" applyNumberFormat="1" applyFont="1" applyFill="1" applyBorder="1" applyAlignment="1">
      <alignment horizontal="center" vertical="center"/>
    </xf>
    <xf numFmtId="37" fontId="7" fillId="14" borderId="15" xfId="0" applyNumberFormat="1" applyFont="1" applyFill="1" applyBorder="1" applyAlignment="1">
      <alignment horizontal="center" vertical="center"/>
    </xf>
    <xf numFmtId="0" fontId="7" fillId="14" borderId="141" xfId="0" applyFont="1" applyFill="1" applyBorder="1" applyAlignment="1">
      <alignment horizontal="center" vertical="center"/>
    </xf>
    <xf numFmtId="0" fontId="7" fillId="14" borderId="15" xfId="0" applyFont="1" applyFill="1" applyBorder="1" applyAlignment="1">
      <alignment horizontal="center" vertical="center"/>
    </xf>
    <xf numFmtId="171" fontId="7" fillId="0" borderId="97" xfId="0" applyNumberFormat="1" applyFont="1" applyFill="1" applyBorder="1" applyAlignment="1">
      <alignment horizontal="center" vertical="center"/>
    </xf>
    <xf numFmtId="171" fontId="7" fillId="0" borderId="102" xfId="0" applyNumberFormat="1" applyFont="1" applyFill="1" applyBorder="1" applyAlignment="1">
      <alignment horizontal="center" vertical="center"/>
    </xf>
    <xf numFmtId="37" fontId="7" fillId="32" borderId="104" xfId="0" applyNumberFormat="1" applyFont="1" applyFill="1" applyBorder="1" applyAlignment="1">
      <alignment horizontal="center" vertical="center"/>
    </xf>
    <xf numFmtId="0" fontId="7" fillId="32" borderId="16" xfId="0" applyFont="1" applyFill="1" applyBorder="1" applyAlignment="1">
      <alignment horizontal="center" vertical="center"/>
    </xf>
    <xf numFmtId="37" fontId="7" fillId="32" borderId="16" xfId="0" applyNumberFormat="1" applyFont="1" applyFill="1" applyBorder="1" applyAlignment="1">
      <alignment vertical="center"/>
    </xf>
    <xf numFmtId="37" fontId="7" fillId="32" borderId="103" xfId="0" applyNumberFormat="1" applyFont="1" applyFill="1" applyBorder="1" applyAlignment="1">
      <alignment vertical="center"/>
    </xf>
    <xf numFmtId="37" fontId="7" fillId="32" borderId="105" xfId="0" applyNumberFormat="1" applyFont="1" applyFill="1" applyBorder="1" applyAlignment="1">
      <alignment vertical="center"/>
    </xf>
    <xf numFmtId="37" fontId="7" fillId="32" borderId="138" xfId="0" applyNumberFormat="1" applyFont="1" applyFill="1" applyBorder="1" applyAlignment="1">
      <alignment vertical="center"/>
    </xf>
    <xf numFmtId="37" fontId="7" fillId="32" borderId="32" xfId="0" applyNumberFormat="1" applyFont="1" applyFill="1" applyBorder="1" applyAlignment="1">
      <alignment vertical="center"/>
    </xf>
    <xf numFmtId="37" fontId="7" fillId="32" borderId="99" xfId="0" applyNumberFormat="1" applyFont="1" applyFill="1" applyBorder="1" applyAlignment="1">
      <alignment horizontal="center" vertical="center"/>
    </xf>
    <xf numFmtId="171" fontId="7" fillId="0" borderId="104" xfId="0" applyNumberFormat="1" applyFont="1" applyBorder="1" applyAlignment="1">
      <alignment horizontal="center" vertical="center"/>
    </xf>
    <xf numFmtId="37" fontId="7" fillId="32" borderId="15" xfId="0" applyNumberFormat="1" applyFont="1" applyFill="1" applyBorder="1" applyAlignment="1">
      <alignment vertical="center"/>
    </xf>
    <xf numFmtId="0" fontId="7" fillId="0" borderId="138" xfId="0" applyFont="1" applyBorder="1" applyAlignment="1">
      <alignment vertical="center"/>
    </xf>
    <xf numFmtId="37" fontId="7" fillId="32" borderId="108" xfId="0" applyNumberFormat="1" applyFont="1" applyFill="1" applyBorder="1" applyAlignment="1">
      <alignment horizontal="center" vertical="center"/>
    </xf>
    <xf numFmtId="37" fontId="7" fillId="32" borderId="30" xfId="0" applyNumberFormat="1" applyFont="1" applyFill="1" applyBorder="1" applyAlignment="1">
      <alignment horizontal="center" vertical="center"/>
    </xf>
    <xf numFmtId="37" fontId="7" fillId="32" borderId="98" xfId="0" applyNumberFormat="1" applyFont="1" applyFill="1" applyBorder="1" applyAlignment="1">
      <alignment vertical="center"/>
    </xf>
    <xf numFmtId="0" fontId="7" fillId="0" borderId="64" xfId="0" applyFont="1" applyBorder="1" applyAlignment="1">
      <alignment vertical="center"/>
    </xf>
    <xf numFmtId="0" fontId="7" fillId="0" borderId="20" xfId="0" applyFont="1" applyBorder="1" applyAlignment="1">
      <alignment vertical="center"/>
    </xf>
    <xf numFmtId="37" fontId="7" fillId="32" borderId="108" xfId="0" applyNumberFormat="1" applyFont="1" applyFill="1" applyBorder="1" applyAlignment="1">
      <alignment vertical="center"/>
    </xf>
    <xf numFmtId="0" fontId="7" fillId="32" borderId="23" xfId="0" applyFont="1" applyFill="1" applyBorder="1" applyAlignment="1">
      <alignment horizontal="center" vertical="center"/>
    </xf>
    <xf numFmtId="0" fontId="7" fillId="32" borderId="30" xfId="0" applyFont="1" applyFill="1" applyBorder="1" applyAlignment="1">
      <alignment horizontal="center" vertical="center"/>
    </xf>
    <xf numFmtId="0" fontId="7" fillId="32" borderId="39" xfId="0" applyFont="1" applyFill="1" applyBorder="1" applyAlignment="1">
      <alignment horizontal="center" vertical="center"/>
    </xf>
    <xf numFmtId="0" fontId="7" fillId="32" borderId="24" xfId="0" applyFont="1" applyFill="1" applyBorder="1" applyAlignment="1">
      <alignment horizontal="center" vertical="center"/>
    </xf>
    <xf numFmtId="37" fontId="7" fillId="32" borderId="30" xfId="0" applyNumberFormat="1" applyFont="1" applyFill="1" applyBorder="1" applyAlignment="1">
      <alignment vertical="center"/>
    </xf>
    <xf numFmtId="37" fontId="7" fillId="32" borderId="64" xfId="0" applyNumberFormat="1" applyFont="1" applyFill="1" applyBorder="1" applyAlignment="1">
      <alignment vertical="center"/>
    </xf>
    <xf numFmtId="37" fontId="7" fillId="32" borderId="20" xfId="0" applyNumberFormat="1" applyFont="1" applyFill="1" applyBorder="1" applyAlignment="1">
      <alignment vertical="center"/>
    </xf>
    <xf numFmtId="37" fontId="7" fillId="32" borderId="39" xfId="0" applyNumberFormat="1" applyFont="1" applyFill="1" applyBorder="1" applyAlignment="1">
      <alignment horizontal="center" vertical="center"/>
    </xf>
    <xf numFmtId="37" fontId="7" fillId="32" borderId="24" xfId="0" applyNumberFormat="1" applyFont="1" applyFill="1" applyBorder="1" applyAlignment="1">
      <alignment horizontal="center" vertical="center"/>
    </xf>
    <xf numFmtId="37" fontId="7" fillId="32" borderId="38" xfId="0" applyNumberFormat="1" applyFont="1" applyFill="1" applyBorder="1" applyAlignment="1">
      <alignment vertical="center"/>
    </xf>
    <xf numFmtId="37" fontId="7" fillId="32" borderId="74" xfId="0" applyNumberFormat="1" applyFont="1" applyFill="1" applyBorder="1" applyAlignment="1">
      <alignment vertical="center"/>
    </xf>
    <xf numFmtId="37" fontId="7" fillId="32" borderId="76" xfId="0" applyNumberFormat="1" applyFont="1" applyFill="1" applyBorder="1" applyAlignment="1">
      <alignment vertical="center"/>
    </xf>
    <xf numFmtId="0" fontId="7" fillId="32" borderId="38" xfId="0" applyFont="1" applyFill="1" applyBorder="1" applyAlignment="1">
      <alignment horizontal="center" vertical="center"/>
    </xf>
    <xf numFmtId="37" fontId="7" fillId="32" borderId="22" xfId="0" applyNumberFormat="1" applyFont="1" applyFill="1" applyBorder="1" applyAlignment="1">
      <alignment horizontal="center" vertical="center"/>
    </xf>
    <xf numFmtId="37" fontId="7" fillId="32" borderId="142" xfId="0" applyNumberFormat="1" applyFont="1" applyFill="1" applyBorder="1" applyAlignment="1">
      <alignment horizontal="center" vertical="center"/>
    </xf>
    <xf numFmtId="0" fontId="0" fillId="0" borderId="8" xfId="0" applyBorder="1" applyAlignment="1"/>
    <xf numFmtId="37" fontId="7" fillId="14" borderId="103" xfId="0" applyNumberFormat="1" applyFont="1" applyFill="1" applyBorder="1" applyAlignment="1">
      <alignment vertical="center"/>
    </xf>
    <xf numFmtId="37" fontId="7" fillId="14" borderId="32" xfId="0" applyNumberFormat="1" applyFont="1" applyFill="1" applyBorder="1" applyAlignment="1">
      <alignment vertical="center"/>
    </xf>
    <xf numFmtId="0" fontId="0" fillId="14" borderId="32" xfId="0" applyFill="1" applyBorder="1" applyAlignment="1">
      <alignment vertical="center"/>
    </xf>
    <xf numFmtId="0" fontId="0" fillId="14" borderId="15" xfId="0" applyFill="1" applyBorder="1" applyAlignment="1">
      <alignment vertical="center"/>
    </xf>
    <xf numFmtId="37" fontId="7" fillId="14" borderId="138" xfId="0" applyNumberFormat="1" applyFont="1" applyFill="1" applyBorder="1" applyAlignment="1">
      <alignment vertical="center"/>
    </xf>
    <xf numFmtId="37" fontId="7" fillId="32" borderId="34" xfId="0" applyNumberFormat="1" applyFont="1" applyFill="1" applyBorder="1" applyAlignment="1">
      <alignment vertical="center"/>
    </xf>
    <xf numFmtId="39" fontId="7" fillId="14" borderId="0" xfId="0" applyNumberFormat="1" applyFont="1" applyFill="1" applyBorder="1" applyAlignment="1">
      <alignment horizontal="center" vertical="center"/>
    </xf>
    <xf numFmtId="39" fontId="7" fillId="14" borderId="138" xfId="0" applyNumberFormat="1" applyFont="1" applyFill="1" applyBorder="1" applyAlignment="1">
      <alignment horizontal="center" vertical="center"/>
    </xf>
    <xf numFmtId="37" fontId="7" fillId="32" borderId="69" xfId="0" applyNumberFormat="1" applyFont="1" applyFill="1" applyBorder="1" applyAlignment="1">
      <alignment vertical="center"/>
    </xf>
    <xf numFmtId="37" fontId="7" fillId="32" borderId="0" xfId="0" applyNumberFormat="1" applyFont="1" applyFill="1" applyBorder="1" applyAlignment="1">
      <alignment vertical="center"/>
    </xf>
    <xf numFmtId="37" fontId="7" fillId="32" borderId="140" xfId="0" applyNumberFormat="1" applyFont="1" applyFill="1" applyBorder="1" applyAlignment="1">
      <alignment vertical="center"/>
    </xf>
    <xf numFmtId="37" fontId="7" fillId="32" borderId="118" xfId="0" applyNumberFormat="1" applyFont="1" applyFill="1" applyBorder="1" applyAlignment="1">
      <alignment vertical="center"/>
    </xf>
    <xf numFmtId="37" fontId="7" fillId="14" borderId="101" xfId="0" applyNumberFormat="1" applyFont="1" applyFill="1" applyBorder="1" applyAlignment="1">
      <alignment vertical="center"/>
    </xf>
    <xf numFmtId="171" fontId="7" fillId="13" borderId="100" xfId="0" applyNumberFormat="1" applyFont="1" applyFill="1" applyBorder="1" applyAlignment="1">
      <alignment horizontal="center" vertical="center"/>
    </xf>
    <xf numFmtId="37" fontId="7" fillId="14" borderId="141" xfId="0" applyNumberFormat="1" applyFont="1" applyFill="1" applyBorder="1" applyAlignment="1">
      <alignment vertical="center"/>
    </xf>
    <xf numFmtId="39" fontId="7" fillId="14" borderId="69" xfId="0" applyNumberFormat="1" applyFont="1" applyFill="1" applyBorder="1" applyAlignment="1">
      <alignment horizontal="center" vertical="center"/>
    </xf>
    <xf numFmtId="39" fontId="7" fillId="14" borderId="75" xfId="0" applyNumberFormat="1" applyFont="1" applyFill="1" applyBorder="1" applyAlignment="1">
      <alignment horizontal="center" vertical="center"/>
    </xf>
    <xf numFmtId="37" fontId="7" fillId="32" borderId="70" xfId="0" applyNumberFormat="1" applyFont="1" applyFill="1" applyBorder="1" applyAlignment="1">
      <alignment vertical="center"/>
    </xf>
    <xf numFmtId="171" fontId="7" fillId="0" borderId="100" xfId="0" applyNumberFormat="1" applyFont="1" applyFill="1" applyBorder="1" applyAlignment="1">
      <alignment horizontal="center" vertical="center"/>
    </xf>
    <xf numFmtId="37" fontId="7" fillId="32" borderId="117" xfId="0" applyNumberFormat="1" applyFont="1" applyFill="1" applyBorder="1" applyAlignment="1">
      <alignment vertical="center"/>
    </xf>
    <xf numFmtId="37" fontId="7" fillId="34" borderId="98" xfId="0" applyNumberFormat="1" applyFont="1" applyFill="1" applyBorder="1" applyAlignment="1">
      <alignment vertical="center"/>
    </xf>
    <xf numFmtId="37" fontId="7" fillId="32" borderId="4" xfId="0" applyNumberFormat="1" applyFont="1" applyFill="1" applyBorder="1" applyAlignment="1">
      <alignment vertical="center"/>
    </xf>
    <xf numFmtId="37" fontId="7" fillId="32" borderId="53" xfId="0" applyNumberFormat="1" applyFont="1" applyFill="1" applyBorder="1" applyAlignment="1">
      <alignment vertical="center"/>
    </xf>
    <xf numFmtId="171" fontId="7" fillId="0" borderId="73" xfId="0" applyNumberFormat="1" applyFont="1" applyFill="1" applyBorder="1" applyAlignment="1">
      <alignment horizontal="center" vertical="center"/>
    </xf>
    <xf numFmtId="37" fontId="7" fillId="14" borderId="105" xfId="0" applyNumberFormat="1" applyFont="1" applyFill="1" applyBorder="1" applyAlignment="1">
      <alignment vertical="center"/>
    </xf>
    <xf numFmtId="37" fontId="99" fillId="32" borderId="75" xfId="0" applyNumberFormat="1" applyFont="1" applyFill="1" applyBorder="1" applyAlignment="1">
      <alignment vertical="center"/>
    </xf>
    <xf numFmtId="37" fontId="7" fillId="32" borderId="70" xfId="0" applyNumberFormat="1" applyFont="1" applyFill="1" applyBorder="1" applyAlignment="1">
      <alignment horizontal="center" vertical="center"/>
    </xf>
    <xf numFmtId="37" fontId="7" fillId="32" borderId="25" xfId="0" applyNumberFormat="1" applyFont="1" applyFill="1" applyBorder="1" applyAlignment="1">
      <alignment vertical="center"/>
    </xf>
    <xf numFmtId="0" fontId="7" fillId="0" borderId="2" xfId="0" applyFont="1" applyBorder="1" applyAlignment="1"/>
    <xf numFmtId="0" fontId="7" fillId="0" borderId="40" xfId="0" applyFont="1" applyFill="1" applyBorder="1" applyAlignment="1"/>
    <xf numFmtId="0" fontId="8" fillId="0" borderId="0" xfId="0" applyFont="1" applyFill="1" applyBorder="1" applyAlignment="1"/>
    <xf numFmtId="0" fontId="8" fillId="0" borderId="0" xfId="3" applyFont="1" applyFill="1" applyBorder="1" applyAlignment="1">
      <alignment horizontal="right"/>
    </xf>
    <xf numFmtId="3" fontId="8" fillId="11" borderId="0" xfId="0" applyNumberFormat="1" applyFont="1" applyFill="1" applyBorder="1" applyAlignment="1">
      <alignment horizontal="center"/>
    </xf>
    <xf numFmtId="0" fontId="0" fillId="0" borderId="69" xfId="0" applyBorder="1"/>
    <xf numFmtId="0" fontId="0" fillId="0" borderId="14" xfId="0" applyBorder="1"/>
    <xf numFmtId="0" fontId="55" fillId="0" borderId="0" xfId="0" applyFont="1" applyFill="1" applyBorder="1" applyAlignment="1">
      <alignment horizontal="center" vertical="center"/>
    </xf>
    <xf numFmtId="0" fontId="4" fillId="0" borderId="0" xfId="0" applyFont="1" applyFill="1" applyBorder="1" applyAlignment="1">
      <alignment horizontal="center" vertical="center" wrapText="1"/>
    </xf>
    <xf numFmtId="0" fontId="0" fillId="35" borderId="0" xfId="0" applyFill="1" applyBorder="1" applyAlignment="1">
      <alignment horizontal="center" vertical="center" wrapText="1"/>
    </xf>
    <xf numFmtId="0" fontId="4" fillId="35" borderId="0" xfId="0" applyFont="1" applyFill="1" applyBorder="1" applyAlignment="1">
      <alignment horizontal="center" vertical="center"/>
    </xf>
    <xf numFmtId="3" fontId="8" fillId="35" borderId="0" xfId="0" applyNumberFormat="1" applyFont="1" applyFill="1" applyBorder="1" applyAlignment="1">
      <alignment horizontal="center"/>
    </xf>
    <xf numFmtId="3" fontId="21" fillId="35" borderId="0" xfId="0" applyNumberFormat="1" applyFont="1" applyFill="1" applyBorder="1" applyAlignment="1">
      <alignment horizontal="center"/>
    </xf>
    <xf numFmtId="0" fontId="30" fillId="35" borderId="0" xfId="0" applyFont="1" applyFill="1" applyBorder="1" applyAlignment="1">
      <alignment horizontal="center" vertical="center"/>
    </xf>
    <xf numFmtId="0" fontId="8" fillId="35" borderId="0" xfId="0" applyFont="1" applyFill="1" applyBorder="1" applyAlignment="1">
      <alignment horizontal="center"/>
    </xf>
    <xf numFmtId="0" fontId="4" fillId="35" borderId="0" xfId="0" applyFont="1" applyFill="1" applyBorder="1" applyAlignment="1">
      <alignment horizontal="center" vertical="center" wrapText="1"/>
    </xf>
    <xf numFmtId="0" fontId="9" fillId="35" borderId="0" xfId="0" applyFont="1" applyFill="1" applyAlignment="1">
      <alignment horizontal="left" vertical="top"/>
    </xf>
    <xf numFmtId="0" fontId="74" fillId="35" borderId="31" xfId="0" applyFont="1" applyFill="1" applyBorder="1" applyAlignment="1">
      <alignment horizontal="center" vertical="center" wrapText="1"/>
    </xf>
    <xf numFmtId="0" fontId="74" fillId="35" borderId="116" xfId="0" applyFont="1" applyFill="1" applyBorder="1" applyAlignment="1">
      <alignment horizontal="center" vertical="center" wrapText="1"/>
    </xf>
    <xf numFmtId="0" fontId="79" fillId="35" borderId="117" xfId="0" applyFont="1" applyFill="1" applyBorder="1" applyAlignment="1">
      <alignment horizontal="center" vertical="center"/>
    </xf>
    <xf numFmtId="0" fontId="74" fillId="35" borderId="0" xfId="0" applyFont="1" applyFill="1" applyBorder="1" applyAlignment="1">
      <alignment horizontal="center" vertical="center"/>
    </xf>
    <xf numFmtId="0" fontId="0" fillId="35" borderId="0" xfId="0" applyFill="1" applyBorder="1" applyAlignment="1">
      <alignment horizontal="center" vertical="center"/>
    </xf>
    <xf numFmtId="0" fontId="74" fillId="35" borderId="121" xfId="0" applyFont="1" applyFill="1" applyBorder="1" applyAlignment="1">
      <alignment horizontal="center" vertical="center"/>
    </xf>
    <xf numFmtId="0" fontId="83" fillId="35" borderId="2" xfId="0" applyFont="1" applyFill="1" applyBorder="1" applyAlignment="1">
      <alignment horizontal="left" vertical="center"/>
    </xf>
    <xf numFmtId="0" fontId="79" fillId="35" borderId="2" xfId="0" applyFont="1" applyFill="1" applyBorder="1" applyAlignment="1">
      <alignment horizontal="center" vertical="center"/>
    </xf>
    <xf numFmtId="0" fontId="79" fillId="35" borderId="0" xfId="0" applyFont="1" applyFill="1" applyBorder="1" applyAlignment="1">
      <alignment horizontal="center" vertical="center"/>
    </xf>
    <xf numFmtId="0" fontId="74" fillId="35" borderId="2" xfId="0" applyFont="1" applyFill="1" applyBorder="1" applyAlignment="1">
      <alignment horizontal="center" vertical="center"/>
    </xf>
    <xf numFmtId="0" fontId="74" fillId="35" borderId="6" xfId="0" applyFont="1" applyFill="1" applyBorder="1" applyAlignment="1">
      <alignment horizontal="center" vertical="center"/>
    </xf>
    <xf numFmtId="0" fontId="74" fillId="35" borderId="48" xfId="0" applyFont="1" applyFill="1" applyBorder="1" applyAlignment="1">
      <alignment horizontal="center" vertical="center"/>
    </xf>
    <xf numFmtId="0" fontId="0" fillId="35" borderId="0" xfId="0" applyFill="1"/>
    <xf numFmtId="0" fontId="9" fillId="0" borderId="68" xfId="0" applyFont="1" applyFill="1" applyBorder="1" applyAlignment="1">
      <alignment horizontal="center" vertical="center" wrapText="1"/>
    </xf>
    <xf numFmtId="0" fontId="9" fillId="0" borderId="46" xfId="0" applyFont="1" applyFill="1" applyBorder="1" applyAlignment="1">
      <alignment horizontal="center" vertical="center" wrapText="1"/>
    </xf>
    <xf numFmtId="0" fontId="9" fillId="0" borderId="14" xfId="0" applyFont="1" applyFill="1" applyBorder="1" applyAlignment="1">
      <alignment horizontal="center" vertical="center"/>
    </xf>
    <xf numFmtId="0" fontId="7" fillId="0" borderId="6" xfId="0" applyFont="1" applyFill="1" applyBorder="1" applyAlignment="1"/>
    <xf numFmtId="0" fontId="14" fillId="0" borderId="0" xfId="0" applyFont="1" applyBorder="1" applyAlignment="1">
      <alignment horizontal="centerContinuous"/>
    </xf>
    <xf numFmtId="0" fontId="7" fillId="0" borderId="15" xfId="0" applyFont="1" applyBorder="1" applyAlignment="1">
      <alignment horizontal="center"/>
    </xf>
    <xf numFmtId="0" fontId="8" fillId="0" borderId="0" xfId="3" applyFont="1" applyFill="1" applyBorder="1" applyAlignment="1">
      <alignment vertical="center"/>
    </xf>
    <xf numFmtId="0" fontId="8" fillId="0" borderId="0" xfId="0" applyFont="1" applyFill="1" applyBorder="1" applyAlignment="1">
      <alignment vertical="center"/>
    </xf>
    <xf numFmtId="0" fontId="8" fillId="0" borderId="0" xfId="0" applyNumberFormat="1" applyFont="1" applyFill="1" applyBorder="1" applyAlignment="1">
      <alignment horizontal="right" vertical="center" wrapText="1"/>
    </xf>
    <xf numFmtId="0" fontId="8" fillId="0" borderId="0" xfId="0" applyNumberFormat="1" applyFont="1" applyFill="1" applyBorder="1" applyAlignment="1">
      <alignment horizontal="right"/>
    </xf>
    <xf numFmtId="0" fontId="8" fillId="0" borderId="0" xfId="0" applyNumberFormat="1" applyFont="1" applyFill="1" applyBorder="1"/>
    <xf numFmtId="3" fontId="8" fillId="0" borderId="6" xfId="0" applyNumberFormat="1" applyFont="1" applyFill="1" applyBorder="1" applyAlignment="1">
      <alignment horizontal="right" vertical="center"/>
    </xf>
    <xf numFmtId="3" fontId="8" fillId="0" borderId="2" xfId="0" applyNumberFormat="1" applyFont="1" applyFill="1" applyBorder="1" applyAlignment="1">
      <alignment horizontal="right" vertical="center"/>
    </xf>
    <xf numFmtId="3" fontId="8" fillId="0" borderId="6" xfId="0" applyNumberFormat="1" applyFont="1" applyFill="1" applyBorder="1" applyAlignment="1">
      <alignment horizontal="center" vertical="center"/>
    </xf>
    <xf numFmtId="3" fontId="8" fillId="0" borderId="2" xfId="0" applyNumberFormat="1" applyFont="1" applyFill="1" applyBorder="1" applyAlignment="1">
      <alignment horizontal="center" vertical="center"/>
    </xf>
    <xf numFmtId="0" fontId="9" fillId="9" borderId="2" xfId="0" applyFont="1" applyFill="1" applyBorder="1" applyAlignment="1"/>
    <xf numFmtId="0" fontId="9" fillId="9" borderId="0" xfId="0" applyFont="1" applyFill="1" applyBorder="1" applyAlignment="1"/>
    <xf numFmtId="0" fontId="7" fillId="9" borderId="8" xfId="0" applyFont="1" applyFill="1" applyBorder="1" applyAlignment="1"/>
    <xf numFmtId="0" fontId="7" fillId="9" borderId="12" xfId="0" applyFont="1" applyFill="1" applyBorder="1" applyAlignment="1"/>
    <xf numFmtId="0" fontId="19" fillId="0" borderId="6" xfId="0" applyFont="1" applyFill="1" applyBorder="1" applyAlignment="1">
      <alignment horizontal="center" vertical="center"/>
    </xf>
    <xf numFmtId="0" fontId="19" fillId="0" borderId="2" xfId="0" applyFont="1" applyFill="1" applyBorder="1" applyAlignment="1">
      <alignment horizontal="center" vertical="center"/>
    </xf>
    <xf numFmtId="3" fontId="0" fillId="0" borderId="6" xfId="0" applyNumberFormat="1" applyFill="1" applyBorder="1" applyAlignment="1">
      <alignment horizontal="right" vertical="center"/>
    </xf>
    <xf numFmtId="3" fontId="0" fillId="0" borderId="2" xfId="0" applyNumberFormat="1" applyFill="1" applyBorder="1" applyAlignment="1">
      <alignment horizontal="right" vertical="center"/>
    </xf>
    <xf numFmtId="3" fontId="0" fillId="0" borderId="6" xfId="0" applyNumberFormat="1" applyFill="1" applyBorder="1" applyAlignment="1">
      <alignment vertical="center"/>
    </xf>
    <xf numFmtId="3" fontId="0" fillId="0" borderId="2" xfId="0" applyNumberFormat="1" applyFill="1" applyBorder="1" applyAlignment="1">
      <alignment vertical="center"/>
    </xf>
    <xf numFmtId="3" fontId="0" fillId="0" borderId="36" xfId="0" applyNumberFormat="1" applyFill="1" applyBorder="1" applyAlignment="1">
      <alignment horizontal="right" vertical="center"/>
    </xf>
    <xf numFmtId="3" fontId="0" fillId="0" borderId="4" xfId="0" applyNumberFormat="1" applyFill="1" applyBorder="1" applyAlignment="1">
      <alignment horizontal="right" vertical="center"/>
    </xf>
    <xf numFmtId="0" fontId="11" fillId="0" borderId="6" xfId="0" applyFont="1" applyFill="1" applyBorder="1" applyAlignment="1">
      <alignment horizontal="center" vertical="center"/>
    </xf>
    <xf numFmtId="0" fontId="11" fillId="0" borderId="2" xfId="0" applyFont="1" applyFill="1" applyBorder="1" applyAlignment="1">
      <alignment horizontal="center" vertical="center"/>
    </xf>
    <xf numFmtId="3" fontId="0" fillId="0" borderId="6" xfId="0" applyNumberFormat="1" applyFont="1" applyFill="1" applyBorder="1" applyAlignment="1">
      <alignment vertical="center"/>
    </xf>
    <xf numFmtId="3" fontId="0" fillId="0" borderId="2" xfId="0" applyNumberFormat="1" applyFont="1" applyFill="1" applyBorder="1" applyAlignment="1">
      <alignment vertical="center"/>
    </xf>
    <xf numFmtId="3" fontId="0" fillId="0" borderId="6" xfId="0" applyNumberFormat="1" applyFont="1" applyFill="1" applyBorder="1" applyAlignment="1">
      <alignment horizontal="right" vertical="center"/>
    </xf>
    <xf numFmtId="3" fontId="0" fillId="0" borderId="2" xfId="0" applyNumberFormat="1" applyFont="1" applyFill="1" applyBorder="1" applyAlignment="1">
      <alignment horizontal="right" vertical="center"/>
    </xf>
    <xf numFmtId="37" fontId="0" fillId="0" borderId="6" xfId="0" applyNumberFormat="1" applyFont="1" applyFill="1" applyBorder="1" applyAlignment="1">
      <alignment horizontal="right" vertical="center"/>
    </xf>
    <xf numFmtId="37" fontId="0" fillId="0" borderId="2" xfId="0" applyNumberFormat="1" applyFont="1" applyFill="1" applyBorder="1" applyAlignment="1">
      <alignment horizontal="right" vertical="center"/>
    </xf>
    <xf numFmtId="3" fontId="0" fillId="0" borderId="37" xfId="0" applyNumberFormat="1" applyFill="1" applyBorder="1" applyAlignment="1">
      <alignment horizontal="right" vertical="center"/>
    </xf>
    <xf numFmtId="3" fontId="0" fillId="0" borderId="5" xfId="0" applyNumberFormat="1" applyFill="1" applyBorder="1" applyAlignment="1">
      <alignment horizontal="right" vertical="center"/>
    </xf>
    <xf numFmtId="37" fontId="0" fillId="0" borderId="35" xfId="0" applyNumberFormat="1" applyFill="1" applyBorder="1" applyAlignment="1">
      <alignment horizontal="right" vertical="center"/>
    </xf>
    <xf numFmtId="37" fontId="0" fillId="0" borderId="3" xfId="0" applyNumberFormat="1" applyFill="1" applyBorder="1" applyAlignment="1">
      <alignment horizontal="right" vertical="center"/>
    </xf>
    <xf numFmtId="37" fontId="0" fillId="0" borderId="6" xfId="0" applyNumberFormat="1" applyFill="1" applyBorder="1" applyAlignment="1">
      <alignment horizontal="right" vertical="center"/>
    </xf>
    <xf numFmtId="37" fontId="0" fillId="0" borderId="2" xfId="0" applyNumberFormat="1" applyFill="1" applyBorder="1" applyAlignment="1">
      <alignment horizontal="right" vertical="center"/>
    </xf>
    <xf numFmtId="3" fontId="0" fillId="0" borderId="6" xfId="0" applyNumberFormat="1" applyFont="1" applyFill="1" applyBorder="1" applyAlignment="1">
      <alignment horizontal="center" vertical="center"/>
    </xf>
    <xf numFmtId="3" fontId="0" fillId="0" borderId="2" xfId="0" applyNumberFormat="1" applyFont="1" applyFill="1" applyBorder="1" applyAlignment="1">
      <alignment horizontal="center" vertical="center"/>
    </xf>
    <xf numFmtId="3" fontId="8" fillId="10" borderId="6" xfId="0" applyNumberFormat="1" applyFont="1" applyFill="1" applyBorder="1" applyAlignment="1">
      <alignment horizontal="right" vertical="center"/>
    </xf>
    <xf numFmtId="3" fontId="8" fillId="10" borderId="2" xfId="0" applyNumberFormat="1" applyFont="1" applyFill="1" applyBorder="1" applyAlignment="1">
      <alignment horizontal="right" vertical="center"/>
    </xf>
    <xf numFmtId="3" fontId="8" fillId="10" borderId="6" xfId="0" applyNumberFormat="1" applyFont="1" applyFill="1" applyBorder="1" applyAlignment="1">
      <alignment horizontal="center" vertical="center"/>
    </xf>
    <xf numFmtId="3" fontId="8" fillId="10" borderId="2" xfId="0" applyNumberFormat="1" applyFont="1" applyFill="1" applyBorder="1" applyAlignment="1">
      <alignment horizontal="center" vertical="center"/>
    </xf>
    <xf numFmtId="37" fontId="0" fillId="0" borderId="37" xfId="0" applyNumberFormat="1" applyFill="1" applyBorder="1" applyAlignment="1">
      <alignment horizontal="right" vertical="center"/>
    </xf>
    <xf numFmtId="37" fontId="0" fillId="0" borderId="5" xfId="0" applyNumberFormat="1" applyFill="1" applyBorder="1" applyAlignment="1">
      <alignment horizontal="right" vertical="center"/>
    </xf>
    <xf numFmtId="0" fontId="19" fillId="10" borderId="6" xfId="0" applyFont="1" applyFill="1" applyBorder="1" applyAlignment="1">
      <alignment horizontal="center" vertical="center"/>
    </xf>
    <xf numFmtId="0" fontId="19" fillId="10" borderId="2" xfId="0" applyFont="1" applyFill="1" applyBorder="1" applyAlignment="1">
      <alignment horizontal="center" vertical="center"/>
    </xf>
    <xf numFmtId="3" fontId="0" fillId="10" borderId="6" xfId="0" applyNumberFormat="1" applyFill="1" applyBorder="1" applyAlignment="1">
      <alignment horizontal="right" vertical="center"/>
    </xf>
    <xf numFmtId="3" fontId="0" fillId="10" borderId="2" xfId="0" applyNumberFormat="1" applyFill="1" applyBorder="1" applyAlignment="1">
      <alignment horizontal="right" vertical="center"/>
    </xf>
    <xf numFmtId="0" fontId="11" fillId="10" borderId="6" xfId="0" applyFont="1" applyFill="1" applyBorder="1" applyAlignment="1">
      <alignment horizontal="center" vertical="center"/>
    </xf>
    <xf numFmtId="0" fontId="11" fillId="10" borderId="2" xfId="0" applyFont="1" applyFill="1" applyBorder="1" applyAlignment="1">
      <alignment horizontal="center" vertical="center"/>
    </xf>
    <xf numFmtId="3" fontId="0" fillId="10" borderId="6" xfId="0" applyNumberFormat="1" applyFont="1" applyFill="1" applyBorder="1" applyAlignment="1">
      <alignment vertical="center"/>
    </xf>
    <xf numFmtId="3" fontId="0" fillId="10" borderId="2" xfId="0" applyNumberFormat="1" applyFont="1" applyFill="1" applyBorder="1" applyAlignment="1">
      <alignment vertical="center"/>
    </xf>
    <xf numFmtId="3" fontId="0" fillId="10" borderId="6" xfId="0" applyNumberFormat="1" applyFill="1" applyBorder="1" applyAlignment="1">
      <alignment vertical="center"/>
    </xf>
    <xf numFmtId="3" fontId="0" fillId="10" borderId="2" xfId="0" applyNumberFormat="1" applyFill="1" applyBorder="1" applyAlignment="1">
      <alignment vertical="center"/>
    </xf>
    <xf numFmtId="3" fontId="0" fillId="10" borderId="6" xfId="0" applyNumberFormat="1" applyFont="1" applyFill="1" applyBorder="1" applyAlignment="1">
      <alignment horizontal="right" vertical="center"/>
    </xf>
    <xf numFmtId="3" fontId="0" fillId="10" borderId="2" xfId="0" applyNumberFormat="1" applyFont="1" applyFill="1" applyBorder="1" applyAlignment="1">
      <alignment horizontal="right" vertical="center"/>
    </xf>
    <xf numFmtId="37" fontId="0" fillId="10" borderId="6" xfId="0" applyNumberFormat="1" applyFont="1" applyFill="1" applyBorder="1" applyAlignment="1">
      <alignment horizontal="right" vertical="center"/>
    </xf>
    <xf numFmtId="37" fontId="0" fillId="10" borderId="2" xfId="0" applyNumberFormat="1" applyFont="1" applyFill="1" applyBorder="1" applyAlignment="1">
      <alignment horizontal="right" vertical="center"/>
    </xf>
    <xf numFmtId="37" fontId="0" fillId="10" borderId="6" xfId="0" applyNumberFormat="1" applyFill="1" applyBorder="1" applyAlignment="1">
      <alignment horizontal="right" vertical="center"/>
    </xf>
    <xf numFmtId="37" fontId="0" fillId="10" borderId="2" xfId="0" applyNumberFormat="1" applyFill="1" applyBorder="1" applyAlignment="1">
      <alignment horizontal="right" vertical="center"/>
    </xf>
    <xf numFmtId="3" fontId="0" fillId="10" borderId="37" xfId="0" applyNumberFormat="1" applyFill="1" applyBorder="1" applyAlignment="1">
      <alignment horizontal="right" vertical="center"/>
    </xf>
    <xf numFmtId="3" fontId="0" fillId="10" borderId="5" xfId="0" applyNumberFormat="1" applyFill="1" applyBorder="1" applyAlignment="1">
      <alignment horizontal="right" vertical="center"/>
    </xf>
    <xf numFmtId="37" fontId="0" fillId="10" borderId="35" xfId="0" applyNumberFormat="1" applyFill="1" applyBorder="1" applyAlignment="1">
      <alignment horizontal="right" vertical="center"/>
    </xf>
    <xf numFmtId="37" fontId="0" fillId="10" borderId="3" xfId="0" applyNumberFormat="1" applyFill="1" applyBorder="1" applyAlignment="1">
      <alignment horizontal="right" vertical="center"/>
    </xf>
    <xf numFmtId="3" fontId="0" fillId="10" borderId="6" xfId="0" applyNumberFormat="1" applyFont="1" applyFill="1" applyBorder="1" applyAlignment="1">
      <alignment horizontal="center" vertical="center"/>
    </xf>
    <xf numFmtId="3" fontId="0" fillId="10" borderId="2" xfId="0" applyNumberFormat="1" applyFont="1" applyFill="1" applyBorder="1" applyAlignment="1">
      <alignment horizontal="center" vertical="center"/>
    </xf>
    <xf numFmtId="37" fontId="0" fillId="10" borderId="37" xfId="0" applyNumberFormat="1" applyFill="1" applyBorder="1" applyAlignment="1">
      <alignment horizontal="right" vertical="center"/>
    </xf>
    <xf numFmtId="37" fontId="0" fillId="10" borderId="5" xfId="0" applyNumberFormat="1" applyFill="1" applyBorder="1" applyAlignment="1">
      <alignment horizontal="right" vertical="center"/>
    </xf>
    <xf numFmtId="3" fontId="0" fillId="0" borderId="0" xfId="0" applyNumberFormat="1" applyFont="1" applyFill="1" applyBorder="1" applyAlignment="1">
      <alignment horizontal="center" vertical="center"/>
    </xf>
    <xf numFmtId="3" fontId="0" fillId="0" borderId="0" xfId="0" applyNumberFormat="1" applyFont="1" applyFill="1" applyBorder="1" applyAlignment="1">
      <alignment horizontal="right" vertical="center"/>
    </xf>
    <xf numFmtId="3" fontId="8" fillId="0" borderId="0" xfId="0" applyNumberFormat="1" applyFont="1" applyFill="1" applyBorder="1" applyAlignment="1">
      <alignment horizontal="center" vertical="center"/>
    </xf>
    <xf numFmtId="0" fontId="19" fillId="10" borderId="0" xfId="0" applyFont="1" applyFill="1" applyBorder="1" applyAlignment="1">
      <alignment horizontal="center" vertical="center"/>
    </xf>
    <xf numFmtId="3" fontId="0" fillId="10" borderId="0" xfId="0" applyNumberFormat="1" applyFill="1" applyBorder="1" applyAlignment="1">
      <alignment horizontal="right" vertical="center"/>
    </xf>
    <xf numFmtId="3" fontId="8" fillId="10" borderId="0" xfId="0" applyNumberFormat="1" applyFont="1" applyFill="1" applyBorder="1" applyAlignment="1">
      <alignment horizontal="right" vertical="center"/>
    </xf>
    <xf numFmtId="3" fontId="8" fillId="10" borderId="0" xfId="0" applyNumberFormat="1" applyFont="1" applyFill="1" applyBorder="1" applyAlignment="1">
      <alignment horizontal="center" vertical="center"/>
    </xf>
    <xf numFmtId="3" fontId="0" fillId="10" borderId="0" xfId="0" applyNumberFormat="1" applyFill="1" applyBorder="1" applyAlignment="1">
      <alignment vertical="center"/>
    </xf>
    <xf numFmtId="0" fontId="11" fillId="10" borderId="0" xfId="0" applyFont="1" applyFill="1" applyBorder="1" applyAlignment="1">
      <alignment horizontal="center" vertical="center"/>
    </xf>
    <xf numFmtId="3" fontId="0" fillId="10" borderId="0" xfId="0" applyNumberFormat="1" applyFont="1" applyFill="1" applyBorder="1" applyAlignment="1">
      <alignment vertical="center"/>
    </xf>
    <xf numFmtId="3" fontId="0" fillId="10" borderId="0" xfId="0" applyNumberFormat="1" applyFont="1" applyFill="1" applyBorder="1" applyAlignment="1">
      <alignment horizontal="center" vertical="center"/>
    </xf>
    <xf numFmtId="3" fontId="0" fillId="10" borderId="0" xfId="0" applyNumberFormat="1" applyFont="1" applyFill="1" applyBorder="1" applyAlignment="1">
      <alignment horizontal="right" vertical="center"/>
    </xf>
    <xf numFmtId="37" fontId="0" fillId="10" borderId="0" xfId="0" applyNumberFormat="1" applyFont="1" applyFill="1" applyBorder="1" applyAlignment="1">
      <alignment horizontal="right" vertical="center"/>
    </xf>
    <xf numFmtId="3" fontId="0" fillId="10" borderId="13" xfId="0" applyNumberFormat="1" applyFill="1" applyBorder="1" applyAlignment="1">
      <alignment horizontal="right" vertical="center"/>
    </xf>
    <xf numFmtId="37" fontId="0" fillId="10" borderId="33" xfId="0" applyNumberFormat="1" applyFill="1" applyBorder="1" applyAlignment="1">
      <alignment horizontal="right" vertical="center"/>
    </xf>
    <xf numFmtId="37" fontId="0" fillId="10" borderId="0" xfId="0" applyNumberFormat="1" applyFill="1" applyBorder="1" applyAlignment="1">
      <alignment horizontal="right" vertical="center"/>
    </xf>
    <xf numFmtId="3" fontId="8" fillId="0" borderId="0" xfId="0" applyNumberFormat="1" applyFont="1" applyFill="1" applyBorder="1" applyAlignment="1">
      <alignment horizontal="right" vertical="center"/>
    </xf>
    <xf numFmtId="37" fontId="0" fillId="10" borderId="13" xfId="0" applyNumberFormat="1" applyFill="1" applyBorder="1" applyAlignment="1">
      <alignment horizontal="right" vertical="center"/>
    </xf>
    <xf numFmtId="0" fontId="19" fillId="0" borderId="0" xfId="0" applyFont="1" applyFill="1" applyBorder="1" applyAlignment="1">
      <alignment horizontal="center" vertical="center"/>
    </xf>
    <xf numFmtId="3" fontId="0" fillId="0" borderId="0" xfId="0" applyNumberFormat="1" applyFill="1" applyBorder="1" applyAlignment="1">
      <alignment horizontal="right" vertical="center"/>
    </xf>
    <xf numFmtId="0" fontId="11" fillId="0" borderId="0" xfId="0" applyFont="1" applyFill="1" applyBorder="1" applyAlignment="1">
      <alignment horizontal="center" vertical="center"/>
    </xf>
    <xf numFmtId="3" fontId="0" fillId="0" borderId="0" xfId="0" applyNumberFormat="1" applyFont="1" applyFill="1" applyBorder="1" applyAlignment="1">
      <alignment vertical="center"/>
    </xf>
    <xf numFmtId="3" fontId="0" fillId="0" borderId="0" xfId="0" applyNumberFormat="1" applyFill="1" applyBorder="1" applyAlignment="1">
      <alignment vertical="center"/>
    </xf>
    <xf numFmtId="37" fontId="0" fillId="0" borderId="0" xfId="0" applyNumberFormat="1" applyFont="1" applyFill="1" applyBorder="1" applyAlignment="1">
      <alignment horizontal="right" vertical="center"/>
    </xf>
    <xf numFmtId="37" fontId="0" fillId="0" borderId="0" xfId="0" applyNumberFormat="1" applyFill="1" applyBorder="1" applyAlignment="1">
      <alignment horizontal="right" vertical="center"/>
    </xf>
    <xf numFmtId="3" fontId="0" fillId="0" borderId="13" xfId="0" applyNumberFormat="1" applyFill="1" applyBorder="1" applyAlignment="1">
      <alignment horizontal="right" vertical="center"/>
    </xf>
    <xf numFmtId="37" fontId="0" fillId="0" borderId="33" xfId="0" applyNumberFormat="1" applyFill="1" applyBorder="1" applyAlignment="1">
      <alignment horizontal="right" vertical="center"/>
    </xf>
    <xf numFmtId="37" fontId="0" fillId="0" borderId="13" xfId="0" applyNumberFormat="1" applyFill="1" applyBorder="1" applyAlignment="1">
      <alignment horizontal="right" vertical="center"/>
    </xf>
    <xf numFmtId="166" fontId="0" fillId="0" borderId="6" xfId="0" applyNumberFormat="1" applyFont="1" applyFill="1" applyBorder="1" applyAlignment="1">
      <alignment horizontal="right" vertical="center"/>
    </xf>
    <xf numFmtId="166" fontId="0" fillId="0" borderId="0" xfId="0" applyNumberFormat="1" applyFont="1" applyFill="1" applyBorder="1" applyAlignment="1">
      <alignment horizontal="right" vertical="center"/>
    </xf>
    <xf numFmtId="166" fontId="0" fillId="0" borderId="2" xfId="0" applyNumberFormat="1" applyFont="1" applyFill="1" applyBorder="1" applyAlignment="1">
      <alignment horizontal="right" vertical="center"/>
    </xf>
    <xf numFmtId="1" fontId="0" fillId="0" borderId="6" xfId="0" applyNumberFormat="1" applyFont="1" applyFill="1" applyBorder="1" applyAlignment="1">
      <alignment horizontal="center" vertical="center"/>
    </xf>
    <xf numFmtId="1" fontId="0" fillId="0" borderId="0" xfId="0" applyNumberFormat="1" applyFont="1" applyFill="1" applyBorder="1" applyAlignment="1">
      <alignment horizontal="center" vertical="center"/>
    </xf>
    <xf numFmtId="1" fontId="0" fillId="0" borderId="2" xfId="0" applyNumberFormat="1" applyFont="1" applyFill="1" applyBorder="1" applyAlignment="1">
      <alignment horizontal="center" vertical="center"/>
    </xf>
    <xf numFmtId="37" fontId="8" fillId="0" borderId="6" xfId="0" applyNumberFormat="1" applyFont="1" applyFill="1" applyBorder="1" applyAlignment="1">
      <alignment horizontal="center" vertical="center"/>
    </xf>
    <xf numFmtId="37" fontId="8" fillId="0" borderId="0" xfId="0" applyNumberFormat="1" applyFont="1" applyFill="1" applyBorder="1" applyAlignment="1">
      <alignment horizontal="center" vertical="center"/>
    </xf>
    <xf numFmtId="37" fontId="8" fillId="0" borderId="2" xfId="0" applyNumberFormat="1" applyFont="1" applyFill="1" applyBorder="1" applyAlignment="1">
      <alignment horizontal="center" vertical="center"/>
    </xf>
    <xf numFmtId="1" fontId="8" fillId="0" borderId="6" xfId="0" applyNumberFormat="1" applyFont="1" applyFill="1" applyBorder="1" applyAlignment="1">
      <alignment horizontal="center" vertical="center"/>
    </xf>
    <xf numFmtId="1" fontId="8" fillId="0" borderId="0" xfId="0" applyNumberFormat="1" applyFont="1" applyFill="1" applyBorder="1" applyAlignment="1">
      <alignment horizontal="center" vertical="center"/>
    </xf>
    <xf numFmtId="1" fontId="8" fillId="0" borderId="2" xfId="0" applyNumberFormat="1" applyFont="1" applyFill="1" applyBorder="1" applyAlignment="1">
      <alignment horizontal="center" vertical="center"/>
    </xf>
    <xf numFmtId="0" fontId="0" fillId="0" borderId="37" xfId="0" applyFill="1" applyBorder="1" applyAlignment="1">
      <alignment horizontal="right" vertical="center"/>
    </xf>
    <xf numFmtId="0" fontId="0" fillId="0" borderId="13" xfId="0" applyFill="1" applyBorder="1" applyAlignment="1">
      <alignment horizontal="right" vertical="center"/>
    </xf>
    <xf numFmtId="0" fontId="0" fillId="0" borderId="5" xfId="0" applyFill="1" applyBorder="1" applyAlignment="1">
      <alignment horizontal="right" vertical="center"/>
    </xf>
    <xf numFmtId="3" fontId="0" fillId="10" borderId="36" xfId="0" applyNumberFormat="1" applyFill="1" applyBorder="1" applyAlignment="1">
      <alignment horizontal="right" vertical="center"/>
    </xf>
    <xf numFmtId="3" fontId="0" fillId="10" borderId="4" xfId="0" applyNumberFormat="1" applyFill="1" applyBorder="1" applyAlignment="1">
      <alignment horizontal="right" vertical="center"/>
    </xf>
    <xf numFmtId="37" fontId="0" fillId="0" borderId="6" xfId="0" applyNumberFormat="1" applyFont="1" applyFill="1" applyBorder="1" applyAlignment="1">
      <alignment horizontal="right" vertical="center" wrapText="1"/>
    </xf>
    <xf numFmtId="37" fontId="0" fillId="0" borderId="0" xfId="0" applyNumberFormat="1" applyFont="1" applyFill="1" applyBorder="1" applyAlignment="1">
      <alignment horizontal="right" vertical="center" wrapText="1"/>
    </xf>
    <xf numFmtId="37" fontId="0" fillId="0" borderId="2" xfId="0" applyNumberFormat="1" applyFont="1" applyFill="1" applyBorder="1" applyAlignment="1">
      <alignment horizontal="right" vertical="center" wrapText="1"/>
    </xf>
    <xf numFmtId="3" fontId="0" fillId="0" borderId="37" xfId="0" applyNumberFormat="1" applyFont="1" applyFill="1" applyBorder="1" applyAlignment="1">
      <alignment horizontal="right" vertical="center"/>
    </xf>
    <xf numFmtId="3" fontId="0" fillId="0" borderId="13" xfId="0" applyNumberFormat="1" applyFont="1" applyFill="1" applyBorder="1" applyAlignment="1">
      <alignment horizontal="right" vertical="center"/>
    </xf>
    <xf numFmtId="3" fontId="0" fillId="0" borderId="5" xfId="0" applyNumberFormat="1" applyFont="1" applyFill="1" applyBorder="1" applyAlignment="1">
      <alignment horizontal="right" vertical="center"/>
    </xf>
    <xf numFmtId="0" fontId="20" fillId="0" borderId="0" xfId="0" applyFont="1" applyFill="1" applyBorder="1" applyAlignment="1">
      <alignment horizontal="center" vertical="center"/>
    </xf>
    <xf numFmtId="0" fontId="20" fillId="0" borderId="2" xfId="0" applyFont="1" applyFill="1" applyBorder="1" applyAlignment="1">
      <alignment horizontal="center" vertical="center"/>
    </xf>
    <xf numFmtId="37" fontId="0" fillId="0" borderId="6" xfId="0" applyNumberFormat="1" applyFont="1" applyFill="1" applyBorder="1" applyAlignment="1">
      <alignment horizontal="center" vertical="center"/>
    </xf>
    <xf numFmtId="37" fontId="0" fillId="0" borderId="2" xfId="0" applyNumberFormat="1" applyFont="1" applyFill="1" applyBorder="1" applyAlignment="1">
      <alignment horizontal="center" vertical="center"/>
    </xf>
    <xf numFmtId="3" fontId="8" fillId="0" borderId="6" xfId="0" applyNumberFormat="1" applyFont="1" applyFill="1" applyBorder="1" applyAlignment="1">
      <alignment horizontal="right" vertical="center" wrapText="1"/>
    </xf>
    <xf numFmtId="3" fontId="8" fillId="0" borderId="0" xfId="0" applyNumberFormat="1" applyFont="1" applyFill="1" applyBorder="1" applyAlignment="1">
      <alignment horizontal="right" vertical="center" wrapText="1"/>
    </xf>
    <xf numFmtId="3" fontId="8" fillId="0" borderId="2" xfId="0" applyNumberFormat="1" applyFont="1" applyFill="1" applyBorder="1" applyAlignment="1">
      <alignment horizontal="right" vertical="center" wrapText="1"/>
    </xf>
    <xf numFmtId="0" fontId="0" fillId="0" borderId="36" xfId="0" applyFill="1" applyBorder="1" applyAlignment="1">
      <alignment horizontal="right" vertical="center"/>
    </xf>
    <xf numFmtId="0" fontId="0" fillId="0" borderId="34" xfId="0" applyFill="1" applyBorder="1" applyAlignment="1">
      <alignment horizontal="right" vertical="center"/>
    </xf>
    <xf numFmtId="0" fontId="0" fillId="0" borderId="4" xfId="0" applyFill="1" applyBorder="1" applyAlignment="1">
      <alignment horizontal="right" vertical="center"/>
    </xf>
    <xf numFmtId="0" fontId="36" fillId="0" borderId="41" xfId="0" applyFont="1" applyFill="1" applyBorder="1" applyAlignment="1">
      <alignment horizontal="center" vertical="center"/>
    </xf>
    <xf numFmtId="0" fontId="36" fillId="0" borderId="43" xfId="0" applyFont="1" applyFill="1" applyBorder="1" applyAlignment="1">
      <alignment horizontal="center" vertical="center"/>
    </xf>
    <xf numFmtId="37" fontId="7" fillId="0" borderId="6" xfId="0" applyNumberFormat="1" applyFont="1" applyFill="1" applyBorder="1" applyAlignment="1">
      <alignment horizontal="center" vertical="center"/>
    </xf>
    <xf numFmtId="37" fontId="7" fillId="0" borderId="0" xfId="0" applyNumberFormat="1" applyFont="1" applyFill="1" applyBorder="1" applyAlignment="1">
      <alignment horizontal="center" vertical="center"/>
    </xf>
    <xf numFmtId="37" fontId="7" fillId="0" borderId="2" xfId="0" applyNumberFormat="1" applyFont="1" applyFill="1" applyBorder="1" applyAlignment="1">
      <alignment horizontal="center" vertical="center"/>
    </xf>
    <xf numFmtId="37" fontId="7" fillId="0" borderId="6" xfId="0" applyNumberFormat="1" applyFont="1" applyFill="1" applyBorder="1" applyAlignment="1">
      <alignment horizontal="right" vertical="center"/>
    </xf>
    <xf numFmtId="37" fontId="7" fillId="0" borderId="0" xfId="0" applyNumberFormat="1" applyFont="1" applyFill="1" applyBorder="1" applyAlignment="1">
      <alignment horizontal="right" vertical="center"/>
    </xf>
    <xf numFmtId="37" fontId="7" fillId="0" borderId="2" xfId="0" applyNumberFormat="1" applyFont="1" applyFill="1" applyBorder="1" applyAlignment="1">
      <alignment horizontal="right" vertical="center"/>
    </xf>
    <xf numFmtId="0" fontId="7" fillId="0" borderId="6" xfId="0" applyFont="1" applyFill="1" applyBorder="1" applyAlignment="1">
      <alignment horizontal="left" vertical="center"/>
    </xf>
    <xf numFmtId="0" fontId="7" fillId="0" borderId="0" xfId="0" applyFont="1" applyFill="1" applyBorder="1" applyAlignment="1">
      <alignment horizontal="left" vertical="center"/>
    </xf>
    <xf numFmtId="37" fontId="8" fillId="0" borderId="6" xfId="0" applyNumberFormat="1" applyFont="1" applyFill="1" applyBorder="1" applyAlignment="1">
      <alignment horizontal="right" vertical="center"/>
    </xf>
    <xf numFmtId="37" fontId="8" fillId="0" borderId="0" xfId="0" applyNumberFormat="1" applyFont="1" applyFill="1" applyBorder="1" applyAlignment="1">
      <alignment horizontal="right" vertical="center"/>
    </xf>
    <xf numFmtId="37" fontId="8" fillId="0" borderId="2" xfId="0" applyNumberFormat="1" applyFont="1" applyFill="1" applyBorder="1" applyAlignment="1">
      <alignment horizontal="right" vertical="center"/>
    </xf>
    <xf numFmtId="0" fontId="39" fillId="9" borderId="2" xfId="0" applyFont="1" applyFill="1" applyBorder="1" applyAlignment="1"/>
    <xf numFmtId="0" fontId="39" fillId="9" borderId="44" xfId="0" applyFont="1" applyFill="1" applyBorder="1" applyAlignment="1"/>
    <xf numFmtId="0" fontId="17" fillId="9" borderId="16" xfId="0" applyFont="1" applyFill="1" applyBorder="1" applyAlignment="1">
      <alignment horizontal="center" vertical="center"/>
    </xf>
    <xf numFmtId="0" fontId="11" fillId="9" borderId="40" xfId="0" applyFont="1" applyFill="1" applyBorder="1" applyAlignment="1"/>
    <xf numFmtId="0" fontId="11" fillId="9" borderId="8" xfId="0" applyFont="1" applyFill="1" applyBorder="1" applyAlignment="1"/>
    <xf numFmtId="0" fontId="11" fillId="9" borderId="12" xfId="0" applyFont="1" applyFill="1" applyBorder="1" applyAlignment="1"/>
    <xf numFmtId="3" fontId="45" fillId="0" borderId="6" xfId="0" applyNumberFormat="1" applyFont="1" applyFill="1" applyBorder="1" applyAlignment="1">
      <alignment horizontal="right" vertical="center"/>
    </xf>
    <xf numFmtId="3" fontId="45" fillId="0" borderId="0" xfId="0" applyNumberFormat="1" applyFont="1" applyFill="1" applyBorder="1" applyAlignment="1">
      <alignment horizontal="right" vertical="center"/>
    </xf>
    <xf numFmtId="3" fontId="45" fillId="0" borderId="2" xfId="0" applyNumberFormat="1" applyFont="1" applyFill="1" applyBorder="1" applyAlignment="1">
      <alignment horizontal="right" vertical="center"/>
    </xf>
    <xf numFmtId="0" fontId="0" fillId="0" borderId="37" xfId="0" applyFont="1" applyFill="1" applyBorder="1" applyAlignment="1">
      <alignment horizontal="right" vertical="center"/>
    </xf>
    <xf numFmtId="0" fontId="0" fillId="0" borderId="13" xfId="0" applyFont="1" applyFill="1" applyBorder="1" applyAlignment="1">
      <alignment horizontal="right" vertical="center"/>
    </xf>
    <xf numFmtId="0" fontId="0" fillId="0" borderId="5" xfId="0" applyFont="1" applyFill="1" applyBorder="1" applyAlignment="1">
      <alignment horizontal="right" vertical="center"/>
    </xf>
    <xf numFmtId="37" fontId="0" fillId="0" borderId="35" xfId="0" applyNumberFormat="1" applyFont="1" applyFill="1" applyBorder="1" applyAlignment="1">
      <alignment horizontal="right" vertical="center"/>
    </xf>
    <xf numFmtId="37" fontId="0" fillId="0" borderId="33" xfId="0" applyNumberFormat="1" applyFont="1" applyFill="1" applyBorder="1" applyAlignment="1">
      <alignment horizontal="right" vertical="center"/>
    </xf>
    <xf numFmtId="37" fontId="0" fillId="0" borderId="3" xfId="0" applyNumberFormat="1" applyFont="1" applyFill="1" applyBorder="1" applyAlignment="1">
      <alignment horizontal="right" vertical="center"/>
    </xf>
    <xf numFmtId="164" fontId="0" fillId="0" borderId="6" xfId="1" applyNumberFormat="1" applyFont="1" applyFill="1" applyBorder="1" applyAlignment="1">
      <alignment horizontal="right" vertical="center"/>
    </xf>
    <xf numFmtId="164" fontId="0" fillId="0" borderId="0" xfId="1" applyNumberFormat="1" applyFont="1" applyFill="1" applyBorder="1" applyAlignment="1">
      <alignment horizontal="right" vertical="center"/>
    </xf>
    <xf numFmtId="164" fontId="0" fillId="0" borderId="2" xfId="1" applyNumberFormat="1" applyFont="1" applyFill="1" applyBorder="1" applyAlignment="1">
      <alignment horizontal="right" vertical="center"/>
    </xf>
    <xf numFmtId="37" fontId="45" fillId="0" borderId="6" xfId="0" applyNumberFormat="1" applyFont="1" applyFill="1" applyBorder="1" applyAlignment="1">
      <alignment horizontal="right" vertical="center"/>
    </xf>
    <xf numFmtId="37" fontId="45" fillId="0" borderId="0" xfId="0" applyNumberFormat="1" applyFont="1" applyFill="1" applyBorder="1" applyAlignment="1">
      <alignment horizontal="right" vertical="center"/>
    </xf>
    <xf numFmtId="37" fontId="45" fillId="0" borderId="2" xfId="0" applyNumberFormat="1" applyFont="1" applyFill="1" applyBorder="1" applyAlignment="1">
      <alignment horizontal="right" vertical="center"/>
    </xf>
    <xf numFmtId="3" fontId="45" fillId="10" borderId="6" xfId="0" applyNumberFormat="1" applyFont="1" applyFill="1" applyBorder="1" applyAlignment="1">
      <alignment horizontal="right" vertical="center"/>
    </xf>
    <xf numFmtId="3" fontId="45" fillId="10" borderId="2" xfId="0" applyNumberFormat="1" applyFont="1" applyFill="1" applyBorder="1" applyAlignment="1">
      <alignment horizontal="right" vertical="center"/>
    </xf>
    <xf numFmtId="0" fontId="0" fillId="10" borderId="37" xfId="0" applyFont="1" applyFill="1" applyBorder="1" applyAlignment="1">
      <alignment horizontal="right" vertical="center"/>
    </xf>
    <xf numFmtId="0" fontId="0" fillId="10" borderId="5" xfId="0" applyFont="1" applyFill="1" applyBorder="1" applyAlignment="1">
      <alignment horizontal="right" vertical="center"/>
    </xf>
    <xf numFmtId="37" fontId="0" fillId="10" borderId="35" xfId="0" applyNumberFormat="1" applyFont="1" applyFill="1" applyBorder="1" applyAlignment="1">
      <alignment horizontal="right" vertical="center"/>
    </xf>
    <xf numFmtId="37" fontId="0" fillId="10" borderId="3" xfId="0" applyNumberFormat="1" applyFont="1" applyFill="1" applyBorder="1" applyAlignment="1">
      <alignment horizontal="right" vertical="center"/>
    </xf>
    <xf numFmtId="164" fontId="0" fillId="10" borderId="6" xfId="1" applyNumberFormat="1" applyFont="1" applyFill="1" applyBorder="1" applyAlignment="1">
      <alignment horizontal="right" vertical="center"/>
    </xf>
    <xf numFmtId="164" fontId="0" fillId="10" borderId="2" xfId="1" applyNumberFormat="1" applyFont="1" applyFill="1" applyBorder="1" applyAlignment="1">
      <alignment horizontal="right" vertical="center"/>
    </xf>
    <xf numFmtId="0" fontId="11" fillId="0" borderId="6" xfId="0" applyFont="1" applyFill="1" applyBorder="1" applyAlignment="1">
      <alignment horizontal="center" vertical="center" wrapText="1"/>
    </xf>
    <xf numFmtId="0" fontId="11" fillId="0" borderId="0" xfId="0" applyFont="1" applyFill="1" applyBorder="1" applyAlignment="1">
      <alignment horizontal="center" vertical="center" wrapText="1"/>
    </xf>
    <xf numFmtId="0" fontId="11" fillId="0" borderId="2" xfId="0" applyFont="1" applyFill="1" applyBorder="1" applyAlignment="1">
      <alignment horizontal="center" vertical="center" wrapText="1"/>
    </xf>
    <xf numFmtId="164" fontId="0" fillId="0" borderId="6" xfId="1" applyNumberFormat="1" applyFont="1" applyFill="1" applyBorder="1" applyAlignment="1">
      <alignment horizontal="center" vertical="center"/>
    </xf>
    <xf numFmtId="164" fontId="0" fillId="0" borderId="2" xfId="1" applyNumberFormat="1" applyFont="1" applyFill="1" applyBorder="1" applyAlignment="1">
      <alignment horizontal="center" vertical="center"/>
    </xf>
    <xf numFmtId="164" fontId="0" fillId="0" borderId="0" xfId="1" applyNumberFormat="1" applyFont="1" applyFill="1" applyBorder="1" applyAlignment="1">
      <alignment horizontal="center" vertical="center"/>
    </xf>
    <xf numFmtId="0" fontId="0" fillId="10" borderId="13" xfId="0" applyFont="1" applyFill="1" applyBorder="1" applyAlignment="1">
      <alignment horizontal="right" vertical="center"/>
    </xf>
    <xf numFmtId="37" fontId="0" fillId="10" borderId="33" xfId="0" applyNumberFormat="1" applyFont="1" applyFill="1" applyBorder="1" applyAlignment="1">
      <alignment horizontal="right" vertical="center"/>
    </xf>
    <xf numFmtId="164" fontId="0" fillId="10" borderId="0" xfId="1" applyNumberFormat="1" applyFont="1" applyFill="1" applyBorder="1" applyAlignment="1">
      <alignment horizontal="right" vertical="center"/>
    </xf>
    <xf numFmtId="37" fontId="45" fillId="10" borderId="6" xfId="0" applyNumberFormat="1" applyFont="1" applyFill="1" applyBorder="1" applyAlignment="1">
      <alignment horizontal="right" vertical="center"/>
    </xf>
    <xf numFmtId="37" fontId="45" fillId="10" borderId="0" xfId="0" applyNumberFormat="1" applyFont="1" applyFill="1" applyBorder="1" applyAlignment="1">
      <alignment horizontal="right" vertical="center"/>
    </xf>
    <xf numFmtId="37" fontId="45" fillId="10" borderId="2" xfId="0" applyNumberFormat="1" applyFont="1" applyFill="1" applyBorder="1" applyAlignment="1">
      <alignment horizontal="right" vertical="center"/>
    </xf>
    <xf numFmtId="3" fontId="45" fillId="10" borderId="0" xfId="0" applyNumberFormat="1" applyFont="1" applyFill="1" applyBorder="1" applyAlignment="1">
      <alignment horizontal="right" vertical="center"/>
    </xf>
    <xf numFmtId="37" fontId="0" fillId="10" borderId="6" xfId="0" applyNumberFormat="1" applyFont="1" applyFill="1" applyBorder="1" applyAlignment="1">
      <alignment horizontal="center" vertical="center"/>
    </xf>
    <xf numFmtId="37" fontId="0" fillId="10" borderId="0" xfId="0" applyNumberFormat="1" applyFont="1" applyFill="1" applyBorder="1" applyAlignment="1">
      <alignment horizontal="center" vertical="center"/>
    </xf>
    <xf numFmtId="37" fontId="0" fillId="10" borderId="2" xfId="0" applyNumberFormat="1" applyFont="1" applyFill="1" applyBorder="1" applyAlignment="1">
      <alignment horizontal="center" vertical="center"/>
    </xf>
    <xf numFmtId="3" fontId="45" fillId="10" borderId="6" xfId="0" applyNumberFormat="1" applyFont="1" applyFill="1" applyBorder="1" applyAlignment="1">
      <alignment horizontal="center" vertical="center"/>
    </xf>
    <xf numFmtId="3" fontId="45" fillId="10" borderId="0" xfId="0" applyNumberFormat="1" applyFont="1" applyFill="1" applyBorder="1" applyAlignment="1">
      <alignment horizontal="center" vertical="center"/>
    </xf>
    <xf numFmtId="3" fontId="45" fillId="10" borderId="2" xfId="0" applyNumberFormat="1" applyFont="1" applyFill="1" applyBorder="1" applyAlignment="1">
      <alignment horizontal="center" vertical="center"/>
    </xf>
    <xf numFmtId="37" fontId="45" fillId="10" borderId="6" xfId="0" applyNumberFormat="1" applyFont="1" applyFill="1" applyBorder="1" applyAlignment="1">
      <alignment horizontal="center" vertical="center"/>
    </xf>
    <xf numFmtId="37" fontId="45" fillId="10" borderId="0" xfId="0" applyNumberFormat="1" applyFont="1" applyFill="1" applyBorder="1" applyAlignment="1">
      <alignment horizontal="center" vertical="center"/>
    </xf>
    <xf numFmtId="37" fontId="45" fillId="10" borderId="2" xfId="0" applyNumberFormat="1" applyFont="1" applyFill="1" applyBorder="1" applyAlignment="1">
      <alignment horizontal="center" vertical="center"/>
    </xf>
    <xf numFmtId="3" fontId="45" fillId="0" borderId="6" xfId="0" applyNumberFormat="1" applyFont="1" applyFill="1" applyBorder="1" applyAlignment="1">
      <alignment horizontal="center" vertical="center"/>
    </xf>
    <xf numFmtId="3" fontId="45" fillId="0" borderId="2" xfId="0" applyNumberFormat="1" applyFont="1" applyFill="1" applyBorder="1" applyAlignment="1">
      <alignment horizontal="center" vertical="center"/>
    </xf>
    <xf numFmtId="37" fontId="45" fillId="0" borderId="6" xfId="0" applyNumberFormat="1" applyFont="1" applyFill="1" applyBorder="1" applyAlignment="1">
      <alignment horizontal="center" vertical="center"/>
    </xf>
    <xf numFmtId="37" fontId="45" fillId="0" borderId="2" xfId="0" applyNumberFormat="1" applyFont="1" applyFill="1" applyBorder="1" applyAlignment="1">
      <alignment horizontal="center" vertical="center"/>
    </xf>
    <xf numFmtId="0" fontId="56" fillId="0" borderId="33" xfId="0" applyFont="1" applyBorder="1" applyAlignment="1">
      <alignment horizontal="center" vertical="center"/>
    </xf>
    <xf numFmtId="0" fontId="4" fillId="0" borderId="66" xfId="0" applyFont="1" applyBorder="1" applyAlignment="1">
      <alignment horizontal="center" vertical="center" wrapText="1"/>
    </xf>
    <xf numFmtId="0" fontId="4" fillId="0" borderId="48" xfId="0" applyFont="1" applyBorder="1" applyAlignment="1">
      <alignment horizontal="center" vertical="center" wrapText="1"/>
    </xf>
    <xf numFmtId="0" fontId="4" fillId="0" borderId="65" xfId="0" applyFont="1" applyBorder="1" applyAlignment="1">
      <alignment horizontal="center" vertical="center" wrapText="1"/>
    </xf>
    <xf numFmtId="0" fontId="4" fillId="14" borderId="68" xfId="0" applyFont="1" applyFill="1" applyBorder="1" applyAlignment="1">
      <alignment horizontal="center" vertical="center"/>
    </xf>
    <xf numFmtId="0" fontId="4" fillId="14" borderId="69" xfId="0" applyFont="1" applyFill="1" applyBorder="1" applyAlignment="1">
      <alignment horizontal="center" vertical="center"/>
    </xf>
    <xf numFmtId="0" fontId="4" fillId="14" borderId="70" xfId="0" applyFont="1" applyFill="1" applyBorder="1" applyAlignment="1">
      <alignment horizontal="center" vertical="center"/>
    </xf>
    <xf numFmtId="0" fontId="4" fillId="14" borderId="62" xfId="0" applyFont="1" applyFill="1" applyBorder="1" applyAlignment="1">
      <alignment horizontal="center" vertical="center"/>
    </xf>
    <xf numFmtId="0" fontId="4" fillId="14" borderId="0" xfId="0" applyFont="1" applyFill="1" applyBorder="1" applyAlignment="1">
      <alignment horizontal="center" vertical="center"/>
    </xf>
    <xf numFmtId="0" fontId="4" fillId="14" borderId="34" xfId="0" applyFont="1" applyFill="1" applyBorder="1" applyAlignment="1">
      <alignment horizontal="center" vertical="center"/>
    </xf>
    <xf numFmtId="0" fontId="4" fillId="14" borderId="46" xfId="0" applyFont="1" applyFill="1" applyBorder="1" applyAlignment="1">
      <alignment horizontal="center" vertical="center"/>
    </xf>
    <xf numFmtId="0" fontId="4" fillId="14" borderId="14" xfId="0" applyFont="1" applyFill="1" applyBorder="1" applyAlignment="1">
      <alignment horizontal="center" vertical="center"/>
    </xf>
    <xf numFmtId="0" fontId="4" fillId="14" borderId="45" xfId="0" applyFont="1" applyFill="1" applyBorder="1" applyAlignment="1">
      <alignment horizontal="center" vertical="center"/>
    </xf>
    <xf numFmtId="0" fontId="55" fillId="13" borderId="14" xfId="0" applyFont="1" applyFill="1" applyBorder="1" applyAlignment="1">
      <alignment horizontal="center" vertical="center"/>
    </xf>
    <xf numFmtId="0" fontId="55" fillId="13" borderId="47" xfId="0" applyFont="1" applyFill="1" applyBorder="1" applyAlignment="1">
      <alignment horizontal="center" vertical="center"/>
    </xf>
    <xf numFmtId="0" fontId="4" fillId="14" borderId="47" xfId="0" applyFont="1" applyFill="1" applyBorder="1" applyAlignment="1">
      <alignment horizontal="center" vertical="center"/>
    </xf>
    <xf numFmtId="0" fontId="4" fillId="15" borderId="19" xfId="0" applyFont="1" applyFill="1" applyBorder="1" applyAlignment="1">
      <alignment horizontal="center" vertical="center"/>
    </xf>
    <xf numFmtId="0" fontId="4" fillId="15" borderId="14" xfId="0" applyFont="1" applyFill="1" applyBorder="1" applyAlignment="1">
      <alignment horizontal="center" vertical="center"/>
    </xf>
    <xf numFmtId="0" fontId="4" fillId="15" borderId="47" xfId="0" applyFont="1" applyFill="1" applyBorder="1" applyAlignment="1">
      <alignment horizontal="center" vertical="center"/>
    </xf>
    <xf numFmtId="0" fontId="4" fillId="16" borderId="19" xfId="0" applyFont="1" applyFill="1" applyBorder="1" applyAlignment="1">
      <alignment horizontal="center" vertical="center"/>
    </xf>
    <xf numFmtId="0" fontId="4" fillId="16" borderId="14" xfId="0" applyFont="1" applyFill="1" applyBorder="1" applyAlignment="1">
      <alignment horizontal="center" vertical="center"/>
    </xf>
    <xf numFmtId="0" fontId="4" fillId="16" borderId="47" xfId="0" applyFont="1" applyFill="1" applyBorder="1" applyAlignment="1">
      <alignment horizontal="center" vertical="center"/>
    </xf>
    <xf numFmtId="0" fontId="4" fillId="17" borderId="19" xfId="0" applyFont="1" applyFill="1" applyBorder="1" applyAlignment="1">
      <alignment horizontal="center" vertical="center"/>
    </xf>
    <xf numFmtId="0" fontId="4" fillId="17" borderId="14" xfId="0" applyFont="1" applyFill="1" applyBorder="1" applyAlignment="1">
      <alignment horizontal="center" vertical="center"/>
    </xf>
    <xf numFmtId="0" fontId="4" fillId="17" borderId="47" xfId="0" applyFont="1" applyFill="1" applyBorder="1" applyAlignment="1">
      <alignment horizontal="center" vertical="center"/>
    </xf>
    <xf numFmtId="0" fontId="4" fillId="13" borderId="66" xfId="0" applyFont="1" applyFill="1" applyBorder="1" applyAlignment="1">
      <alignment horizontal="center" vertical="center" wrapText="1"/>
    </xf>
    <xf numFmtId="0" fontId="0" fillId="13" borderId="48" xfId="0" applyFill="1" applyBorder="1" applyAlignment="1">
      <alignment horizontal="center" vertical="center" wrapText="1"/>
    </xf>
    <xf numFmtId="0" fontId="0" fillId="13" borderId="54" xfId="0" applyFill="1" applyBorder="1" applyAlignment="1">
      <alignment horizontal="center" vertical="center" wrapText="1"/>
    </xf>
    <xf numFmtId="0" fontId="0" fillId="0" borderId="66" xfId="0" applyBorder="1" applyAlignment="1">
      <alignment horizontal="center" vertical="center" wrapText="1"/>
    </xf>
    <xf numFmtId="0" fontId="0" fillId="0" borderId="48" xfId="0" applyBorder="1" applyAlignment="1">
      <alignment horizontal="center" vertical="center" wrapText="1"/>
    </xf>
    <xf numFmtId="0" fontId="0" fillId="0" borderId="54" xfId="0" applyBorder="1" applyAlignment="1">
      <alignment horizontal="center" vertical="center" wrapText="1"/>
    </xf>
    <xf numFmtId="0" fontId="4" fillId="0" borderId="54" xfId="0" applyFont="1" applyBorder="1" applyAlignment="1">
      <alignment horizontal="center" vertical="center" wrapText="1"/>
    </xf>
    <xf numFmtId="0" fontId="4" fillId="0" borderId="71" xfId="0" applyFont="1" applyBorder="1" applyAlignment="1">
      <alignment horizontal="center" vertical="center"/>
    </xf>
    <xf numFmtId="0" fontId="4" fillId="0" borderId="69" xfId="0" applyFont="1" applyBorder="1" applyAlignment="1">
      <alignment horizontal="center" vertical="center"/>
    </xf>
    <xf numFmtId="0" fontId="4" fillId="0" borderId="67" xfId="0" applyFont="1" applyBorder="1" applyAlignment="1">
      <alignment horizontal="center" vertical="center"/>
    </xf>
    <xf numFmtId="0" fontId="4" fillId="0" borderId="33" xfId="0" applyFont="1" applyBorder="1" applyAlignment="1">
      <alignment horizontal="center" vertical="center"/>
    </xf>
    <xf numFmtId="0" fontId="4" fillId="0" borderId="0" xfId="0" applyFont="1" applyBorder="1" applyAlignment="1">
      <alignment horizontal="center" vertical="center"/>
    </xf>
    <xf numFmtId="0" fontId="4" fillId="0" borderId="13" xfId="0" applyFont="1" applyBorder="1" applyAlignment="1">
      <alignment horizontal="center" vertical="center"/>
    </xf>
    <xf numFmtId="0" fontId="4" fillId="0" borderId="19" xfId="0" applyFont="1" applyBorder="1" applyAlignment="1">
      <alignment horizontal="center" vertical="center"/>
    </xf>
    <xf numFmtId="0" fontId="4" fillId="0" borderId="14" xfId="0" applyFont="1" applyBorder="1" applyAlignment="1">
      <alignment horizontal="center" vertical="center"/>
    </xf>
    <xf numFmtId="0" fontId="4" fillId="0" borderId="47" xfId="0" applyFont="1" applyBorder="1" applyAlignment="1">
      <alignment horizontal="center" vertical="center"/>
    </xf>
    <xf numFmtId="0" fontId="4" fillId="0" borderId="70" xfId="0" applyFont="1" applyBorder="1" applyAlignment="1">
      <alignment horizontal="center" vertical="center"/>
    </xf>
    <xf numFmtId="0" fontId="4" fillId="0" borderId="34" xfId="0" applyFont="1" applyBorder="1" applyAlignment="1">
      <alignment horizontal="center" vertical="center"/>
    </xf>
    <xf numFmtId="0" fontId="4" fillId="0" borderId="45" xfId="0" applyFont="1" applyBorder="1" applyAlignment="1">
      <alignment horizontal="center" vertical="center"/>
    </xf>
    <xf numFmtId="0" fontId="4" fillId="0" borderId="68" xfId="0" applyFont="1" applyBorder="1" applyAlignment="1">
      <alignment horizontal="center" vertical="center" wrapText="1"/>
    </xf>
    <xf numFmtId="0" fontId="4" fillId="0" borderId="69" xfId="0" applyFont="1" applyBorder="1" applyAlignment="1">
      <alignment horizontal="center" vertical="center" wrapText="1"/>
    </xf>
    <xf numFmtId="0" fontId="4" fillId="0" borderId="70" xfId="0" applyFont="1" applyBorder="1" applyAlignment="1">
      <alignment horizontal="center" vertical="center" wrapText="1"/>
    </xf>
    <xf numFmtId="0" fontId="4" fillId="0" borderId="62" xfId="0" applyFont="1" applyBorder="1" applyAlignment="1">
      <alignment horizontal="center" vertical="center" wrapText="1"/>
    </xf>
    <xf numFmtId="0" fontId="4" fillId="0" borderId="0" xfId="0" applyFont="1" applyBorder="1" applyAlignment="1">
      <alignment horizontal="center" vertical="center" wrapText="1"/>
    </xf>
    <xf numFmtId="0" fontId="4" fillId="0" borderId="34" xfId="0" applyFont="1" applyBorder="1" applyAlignment="1">
      <alignment horizontal="center" vertical="center" wrapText="1"/>
    </xf>
    <xf numFmtId="0" fontId="4" fillId="0" borderId="46" xfId="0" applyFont="1" applyBorder="1" applyAlignment="1">
      <alignment horizontal="center" vertical="center" wrapText="1"/>
    </xf>
    <xf numFmtId="0" fontId="4" fillId="0" borderId="14" xfId="0" applyFont="1" applyBorder="1" applyAlignment="1">
      <alignment horizontal="center" vertical="center" wrapText="1"/>
    </xf>
    <xf numFmtId="0" fontId="4" fillId="0" borderId="45" xfId="0" applyFont="1" applyBorder="1" applyAlignment="1">
      <alignment horizontal="center" vertical="center" wrapText="1"/>
    </xf>
    <xf numFmtId="0" fontId="0" fillId="0" borderId="69" xfId="0" applyBorder="1" applyAlignment="1">
      <alignment horizontal="center" vertical="center"/>
    </xf>
    <xf numFmtId="0" fontId="0" fillId="0" borderId="67" xfId="0" applyBorder="1" applyAlignment="1">
      <alignment horizontal="center" vertical="center"/>
    </xf>
    <xf numFmtId="0" fontId="0" fillId="0" borderId="33" xfId="0" applyBorder="1" applyAlignment="1">
      <alignment horizontal="center" vertical="center"/>
    </xf>
    <xf numFmtId="0" fontId="0" fillId="0" borderId="0" xfId="0" applyBorder="1" applyAlignment="1">
      <alignment horizontal="center" vertical="center"/>
    </xf>
    <xf numFmtId="0" fontId="0" fillId="0" borderId="13" xfId="0" applyBorder="1" applyAlignment="1">
      <alignment horizontal="center" vertical="center"/>
    </xf>
    <xf numFmtId="0" fontId="0" fillId="0" borderId="19" xfId="0" applyBorder="1" applyAlignment="1">
      <alignment horizontal="center" vertical="center"/>
    </xf>
    <xf numFmtId="0" fontId="0" fillId="0" borderId="14" xfId="0" applyBorder="1" applyAlignment="1">
      <alignment horizontal="center" vertical="center"/>
    </xf>
    <xf numFmtId="0" fontId="0" fillId="0" borderId="47" xfId="0" applyBorder="1" applyAlignment="1">
      <alignment horizontal="center" vertical="center"/>
    </xf>
    <xf numFmtId="0" fontId="4" fillId="0" borderId="46" xfId="0" applyFont="1" applyBorder="1" applyAlignment="1">
      <alignment horizontal="center" vertical="center"/>
    </xf>
    <xf numFmtId="0" fontId="4" fillId="0" borderId="68" xfId="0" applyFont="1" applyBorder="1" applyAlignment="1">
      <alignment horizontal="center" vertical="center"/>
    </xf>
    <xf numFmtId="0" fontId="4" fillId="0" borderId="62" xfId="0" applyFont="1" applyBorder="1" applyAlignment="1">
      <alignment horizontal="center" vertical="center"/>
    </xf>
    <xf numFmtId="0" fontId="4" fillId="0" borderId="66" xfId="0" applyFont="1" applyBorder="1" applyAlignment="1">
      <alignment horizontal="center"/>
    </xf>
    <xf numFmtId="0" fontId="4" fillId="0" borderId="48" xfId="0" applyFont="1" applyBorder="1" applyAlignment="1">
      <alignment horizontal="center"/>
    </xf>
    <xf numFmtId="0" fontId="4" fillId="0" borderId="54" xfId="0" applyFont="1" applyBorder="1" applyAlignment="1">
      <alignment horizontal="center"/>
    </xf>
    <xf numFmtId="0" fontId="0" fillId="0" borderId="0" xfId="0" applyBorder="1" applyAlignment="1">
      <alignment horizontal="center"/>
    </xf>
    <xf numFmtId="0" fontId="0" fillId="0" borderId="34" xfId="0" applyBorder="1" applyAlignment="1">
      <alignment horizontal="center"/>
    </xf>
    <xf numFmtId="0" fontId="4" fillId="14" borderId="48" xfId="0" applyFont="1" applyFill="1" applyBorder="1" applyAlignment="1">
      <alignment horizontal="center"/>
    </xf>
    <xf numFmtId="0" fontId="4" fillId="14" borderId="54" xfId="0" applyFont="1" applyFill="1" applyBorder="1" applyAlignment="1">
      <alignment horizontal="center"/>
    </xf>
    <xf numFmtId="0" fontId="37" fillId="12" borderId="68" xfId="0" applyFont="1" applyFill="1" applyBorder="1" applyAlignment="1">
      <alignment horizontal="center" vertical="center" wrapText="1"/>
    </xf>
    <xf numFmtId="0" fontId="37" fillId="12" borderId="69" xfId="0" applyFont="1" applyFill="1" applyBorder="1" applyAlignment="1">
      <alignment horizontal="center" vertical="center" wrapText="1"/>
    </xf>
    <xf numFmtId="0" fontId="37" fillId="12" borderId="70" xfId="0" applyFont="1" applyFill="1" applyBorder="1" applyAlignment="1">
      <alignment horizontal="center" vertical="center" wrapText="1"/>
    </xf>
    <xf numFmtId="0" fontId="37" fillId="12" borderId="46" xfId="0" applyFont="1" applyFill="1" applyBorder="1" applyAlignment="1">
      <alignment horizontal="center" vertical="center" wrapText="1"/>
    </xf>
    <xf numFmtId="0" fontId="37" fillId="12" borderId="14" xfId="0" applyFont="1" applyFill="1" applyBorder="1" applyAlignment="1">
      <alignment horizontal="center" vertical="center" wrapText="1"/>
    </xf>
    <xf numFmtId="0" fontId="37" fillId="12" borderId="45" xfId="0" applyFont="1" applyFill="1" applyBorder="1" applyAlignment="1">
      <alignment horizontal="center" vertical="center" wrapText="1"/>
    </xf>
    <xf numFmtId="0" fontId="55" fillId="13" borderId="66" xfId="0" applyFont="1" applyFill="1" applyBorder="1" applyAlignment="1">
      <alignment horizontal="center" vertical="center"/>
    </xf>
    <xf numFmtId="0" fontId="55" fillId="13" borderId="48" xfId="0" applyFont="1" applyFill="1" applyBorder="1" applyAlignment="1">
      <alignment horizontal="center" vertical="center"/>
    </xf>
    <xf numFmtId="0" fontId="24" fillId="14" borderId="48" xfId="0" applyFont="1" applyFill="1" applyBorder="1" applyAlignment="1">
      <alignment horizontal="center" vertical="center"/>
    </xf>
    <xf numFmtId="0" fontId="24" fillId="14" borderId="54" xfId="0" applyFont="1" applyFill="1" applyBorder="1" applyAlignment="1">
      <alignment horizontal="center" vertical="center"/>
    </xf>
    <xf numFmtId="0" fontId="24" fillId="0" borderId="66" xfId="0" applyFont="1" applyBorder="1" applyAlignment="1">
      <alignment horizontal="center" vertical="center"/>
    </xf>
    <xf numFmtId="0" fontId="24" fillId="0" borderId="48" xfId="0" applyFont="1" applyBorder="1" applyAlignment="1">
      <alignment horizontal="center" vertical="center"/>
    </xf>
    <xf numFmtId="0" fontId="24" fillId="0" borderId="54" xfId="0" applyFont="1" applyBorder="1" applyAlignment="1">
      <alignment horizontal="center" vertical="center"/>
    </xf>
    <xf numFmtId="0" fontId="61" fillId="18" borderId="66" xfId="11" applyNumberFormat="1" applyFont="1" applyFill="1" applyBorder="1" applyAlignment="1">
      <alignment horizontal="center" vertical="center"/>
    </xf>
    <xf numFmtId="0" fontId="61" fillId="18" borderId="48" xfId="11" applyNumberFormat="1" applyFont="1" applyFill="1" applyBorder="1" applyAlignment="1">
      <alignment horizontal="center" vertical="center"/>
    </xf>
    <xf numFmtId="0" fontId="61" fillId="18" borderId="54" xfId="11" applyNumberFormat="1" applyFont="1" applyFill="1" applyBorder="1" applyAlignment="1">
      <alignment horizontal="center" vertical="center"/>
    </xf>
    <xf numFmtId="0" fontId="61" fillId="18" borderId="66" xfId="5" applyNumberFormat="1" applyFont="1" applyFill="1" applyBorder="1" applyAlignment="1">
      <alignment horizontal="center" vertical="center"/>
    </xf>
    <xf numFmtId="0" fontId="61" fillId="18" borderId="48" xfId="5" applyNumberFormat="1" applyFont="1" applyFill="1" applyBorder="1" applyAlignment="1">
      <alignment horizontal="center" vertical="center"/>
    </xf>
    <xf numFmtId="0" fontId="61" fillId="18" borderId="54" xfId="5" applyNumberFormat="1" applyFont="1" applyFill="1" applyBorder="1" applyAlignment="1">
      <alignment horizontal="center" vertical="center"/>
    </xf>
    <xf numFmtId="0" fontId="4" fillId="13" borderId="62" xfId="0" applyFont="1" applyFill="1" applyBorder="1" applyAlignment="1">
      <alignment horizontal="center" vertical="center"/>
    </xf>
    <xf numFmtId="0" fontId="4" fillId="13" borderId="0" xfId="0" applyFont="1" applyFill="1" applyBorder="1" applyAlignment="1">
      <alignment horizontal="center" vertical="center"/>
    </xf>
    <xf numFmtId="0" fontId="4" fillId="13" borderId="46" xfId="0" applyFont="1" applyFill="1" applyBorder="1" applyAlignment="1">
      <alignment horizontal="center" vertical="center"/>
    </xf>
    <xf numFmtId="0" fontId="4" fillId="13" borderId="14" xfId="0" applyFont="1" applyFill="1" applyBorder="1" applyAlignment="1">
      <alignment horizontal="center" vertical="center"/>
    </xf>
    <xf numFmtId="3" fontId="30" fillId="18" borderId="0" xfId="0" applyNumberFormat="1" applyFont="1" applyFill="1" applyBorder="1" applyAlignment="1">
      <alignment horizontal="center" vertical="center"/>
    </xf>
    <xf numFmtId="0" fontId="4" fillId="0" borderId="68" xfId="0" applyFont="1" applyFill="1" applyBorder="1" applyAlignment="1">
      <alignment horizontal="center" vertical="center"/>
    </xf>
    <xf numFmtId="0" fontId="4" fillId="0" borderId="69" xfId="0" applyFont="1" applyFill="1" applyBorder="1" applyAlignment="1">
      <alignment horizontal="center" vertical="center"/>
    </xf>
    <xf numFmtId="0" fontId="4" fillId="0" borderId="46" xfId="0" applyFont="1" applyFill="1" applyBorder="1" applyAlignment="1">
      <alignment horizontal="center" vertical="center"/>
    </xf>
    <xf numFmtId="0" fontId="4" fillId="0" borderId="14" xfId="0" applyFont="1" applyFill="1" applyBorder="1" applyAlignment="1">
      <alignment horizontal="center" vertical="center"/>
    </xf>
    <xf numFmtId="3" fontId="4" fillId="18" borderId="0" xfId="0" applyNumberFormat="1" applyFont="1" applyFill="1" applyBorder="1" applyAlignment="1">
      <alignment horizontal="center" vertical="center"/>
    </xf>
    <xf numFmtId="3" fontId="63" fillId="18" borderId="0" xfId="0" applyNumberFormat="1" applyFont="1" applyFill="1" applyBorder="1" applyAlignment="1">
      <alignment horizontal="center" vertical="center"/>
    </xf>
    <xf numFmtId="3" fontId="64" fillId="18" borderId="0" xfId="0" applyNumberFormat="1" applyFont="1" applyFill="1" applyBorder="1" applyAlignment="1">
      <alignment horizontal="center" vertical="center"/>
    </xf>
    <xf numFmtId="0" fontId="4" fillId="18" borderId="0" xfId="0" applyFont="1" applyFill="1" applyBorder="1" applyAlignment="1">
      <alignment horizontal="center" vertical="center"/>
    </xf>
    <xf numFmtId="0" fontId="30" fillId="18" borderId="0" xfId="0" applyFont="1" applyFill="1" applyBorder="1" applyAlignment="1">
      <alignment horizontal="center" vertical="center"/>
    </xf>
    <xf numFmtId="0" fontId="68" fillId="12" borderId="52" xfId="0" applyFont="1" applyFill="1" applyBorder="1" applyAlignment="1">
      <alignment horizontal="center" vertical="center" wrapText="1"/>
    </xf>
    <xf numFmtId="0" fontId="68" fillId="12" borderId="49" xfId="0" applyFont="1" applyFill="1" applyBorder="1" applyAlignment="1">
      <alignment horizontal="center" vertical="center" wrapText="1"/>
    </xf>
    <xf numFmtId="0" fontId="68" fillId="12" borderId="53" xfId="0" applyFont="1" applyFill="1" applyBorder="1" applyAlignment="1">
      <alignment horizontal="center" vertical="center" wrapText="1"/>
    </xf>
    <xf numFmtId="0" fontId="68" fillId="12" borderId="51" xfId="0" applyFont="1" applyFill="1" applyBorder="1" applyAlignment="1">
      <alignment horizontal="center" vertical="center" wrapText="1"/>
    </xf>
    <xf numFmtId="0" fontId="68" fillId="12" borderId="72" xfId="0" applyFont="1" applyFill="1" applyBorder="1" applyAlignment="1">
      <alignment horizontal="center" vertical="center" wrapText="1"/>
    </xf>
    <xf numFmtId="0" fontId="69" fillId="12" borderId="66" xfId="0" applyFont="1" applyFill="1" applyBorder="1" applyAlignment="1">
      <alignment horizontal="center" vertical="center" wrapText="1"/>
    </xf>
    <xf numFmtId="0" fontId="0" fillId="0" borderId="48" xfId="0" applyBorder="1" applyAlignment="1"/>
    <xf numFmtId="0" fontId="0" fillId="0" borderId="54" xfId="0" applyBorder="1" applyAlignment="1"/>
    <xf numFmtId="0" fontId="4" fillId="12" borderId="66" xfId="0" applyFont="1" applyFill="1" applyBorder="1" applyAlignment="1">
      <alignment horizontal="center" vertical="center" wrapText="1"/>
    </xf>
    <xf numFmtId="0" fontId="4" fillId="12" borderId="48" xfId="0" applyFont="1" applyFill="1" applyBorder="1" applyAlignment="1">
      <alignment horizontal="center" vertical="center" wrapText="1"/>
    </xf>
    <xf numFmtId="0" fontId="4" fillId="12" borderId="54" xfId="0" applyFont="1" applyFill="1" applyBorder="1" applyAlignment="1">
      <alignment horizontal="center" vertical="center" wrapText="1"/>
    </xf>
    <xf numFmtId="0" fontId="68" fillId="12" borderId="73" xfId="0" applyFont="1" applyFill="1" applyBorder="1" applyAlignment="1">
      <alignment horizontal="center" vertical="center" wrapText="1"/>
    </xf>
    <xf numFmtId="0" fontId="68" fillId="12" borderId="85" xfId="0" applyFont="1" applyFill="1" applyBorder="1" applyAlignment="1">
      <alignment horizontal="center" vertical="center" wrapText="1"/>
    </xf>
    <xf numFmtId="0" fontId="68" fillId="12" borderId="23" xfId="0" applyFont="1" applyFill="1" applyBorder="1" applyAlignment="1">
      <alignment horizontal="center" vertical="center" wrapText="1"/>
    </xf>
    <xf numFmtId="0" fontId="68" fillId="12" borderId="74" xfId="0" applyFont="1" applyFill="1" applyBorder="1" applyAlignment="1">
      <alignment horizontal="center" vertical="center" wrapText="1"/>
    </xf>
    <xf numFmtId="0" fontId="68" fillId="12" borderId="64" xfId="0" applyFont="1" applyFill="1" applyBorder="1" applyAlignment="1">
      <alignment horizontal="center" vertical="center" wrapText="1"/>
    </xf>
    <xf numFmtId="0" fontId="68" fillId="12" borderId="20" xfId="0" applyFont="1" applyFill="1" applyBorder="1" applyAlignment="1">
      <alignment horizontal="center" vertical="center" wrapText="1"/>
    </xf>
    <xf numFmtId="0" fontId="68" fillId="12" borderId="74" xfId="0" applyFont="1" applyFill="1" applyBorder="1" applyAlignment="1">
      <alignment horizontal="left" vertical="center" wrapText="1"/>
    </xf>
    <xf numFmtId="0" fontId="68" fillId="12" borderId="64" xfId="0" applyFont="1" applyFill="1" applyBorder="1" applyAlignment="1">
      <alignment horizontal="left" vertical="center" wrapText="1"/>
    </xf>
    <xf numFmtId="0" fontId="68" fillId="12" borderId="20" xfId="0" applyFont="1" applyFill="1" applyBorder="1" applyAlignment="1">
      <alignment horizontal="left" vertical="center" wrapText="1"/>
    </xf>
    <xf numFmtId="0" fontId="68" fillId="12" borderId="75" xfId="0" applyFont="1" applyFill="1" applyBorder="1" applyAlignment="1">
      <alignment horizontal="left" vertical="center" wrapText="1"/>
    </xf>
    <xf numFmtId="0" fontId="0" fillId="12" borderId="16" xfId="0" applyFill="1" applyBorder="1" applyAlignment="1">
      <alignment horizontal="left" vertical="center" wrapText="1"/>
    </xf>
    <xf numFmtId="0" fontId="69" fillId="12" borderId="76" xfId="0" applyFont="1" applyFill="1" applyBorder="1" applyAlignment="1">
      <alignment horizontal="center" vertical="center" wrapText="1"/>
    </xf>
    <xf numFmtId="0" fontId="69" fillId="12" borderId="86" xfId="0" applyFont="1" applyFill="1" applyBorder="1" applyAlignment="1">
      <alignment horizontal="center" vertical="center" wrapText="1"/>
    </xf>
    <xf numFmtId="0" fontId="69" fillId="12" borderId="22" xfId="0" applyFont="1" applyFill="1" applyBorder="1" applyAlignment="1">
      <alignment horizontal="center" vertical="center" wrapText="1"/>
    </xf>
    <xf numFmtId="0" fontId="69" fillId="12" borderId="68" xfId="0" applyFont="1" applyFill="1" applyBorder="1" applyAlignment="1">
      <alignment horizontal="center" vertical="center" wrapText="1"/>
    </xf>
    <xf numFmtId="0" fontId="69" fillId="12" borderId="62" xfId="0" applyFont="1" applyFill="1" applyBorder="1" applyAlignment="1">
      <alignment horizontal="center" vertical="center" wrapText="1"/>
    </xf>
    <xf numFmtId="0" fontId="69" fillId="12" borderId="46" xfId="0" applyFont="1" applyFill="1" applyBorder="1" applyAlignment="1">
      <alignment horizontal="center" vertical="center" wrapText="1"/>
    </xf>
    <xf numFmtId="0" fontId="69" fillId="12" borderId="82" xfId="0" applyNumberFormat="1" applyFont="1" applyFill="1" applyBorder="1" applyAlignment="1">
      <alignment horizontal="center" vertical="center" wrapText="1"/>
    </xf>
    <xf numFmtId="0" fontId="69" fillId="12" borderId="80" xfId="0" applyNumberFormat="1" applyFont="1" applyFill="1" applyBorder="1" applyAlignment="1">
      <alignment horizontal="center" vertical="center" wrapText="1"/>
    </xf>
    <xf numFmtId="0" fontId="0" fillId="12" borderId="83" xfId="0" applyNumberFormat="1" applyFill="1" applyBorder="1" applyAlignment="1">
      <alignment horizontal="center" vertical="center" wrapText="1"/>
    </xf>
    <xf numFmtId="0" fontId="69" fillId="12" borderId="79" xfId="0" applyFont="1" applyFill="1" applyBorder="1" applyAlignment="1">
      <alignment horizontal="center" vertical="center" wrapText="1"/>
    </xf>
    <xf numFmtId="0" fontId="69" fillId="12" borderId="80" xfId="0" applyFont="1" applyFill="1" applyBorder="1" applyAlignment="1">
      <alignment horizontal="center" vertical="center" wrapText="1"/>
    </xf>
    <xf numFmtId="0" fontId="69" fillId="12" borderId="83" xfId="0" applyFont="1" applyFill="1" applyBorder="1" applyAlignment="1">
      <alignment horizontal="center" vertical="center" wrapText="1"/>
    </xf>
    <xf numFmtId="0" fontId="69" fillId="12" borderId="84" xfId="0" applyFont="1" applyFill="1" applyBorder="1" applyAlignment="1">
      <alignment horizontal="center" vertical="center" wrapText="1"/>
    </xf>
    <xf numFmtId="0" fontId="69" fillId="12" borderId="14" xfId="0" applyFont="1" applyFill="1" applyBorder="1" applyAlignment="1">
      <alignment horizontal="center" vertical="center" wrapText="1"/>
    </xf>
    <xf numFmtId="0" fontId="69" fillId="12" borderId="45" xfId="0" applyFont="1" applyFill="1" applyBorder="1" applyAlignment="1">
      <alignment horizontal="center" vertical="center" wrapText="1"/>
    </xf>
    <xf numFmtId="0" fontId="69" fillId="12" borderId="87" xfId="0" applyFont="1" applyFill="1" applyBorder="1" applyAlignment="1">
      <alignment horizontal="center" vertical="center" wrapText="1"/>
    </xf>
    <xf numFmtId="0" fontId="39" fillId="12" borderId="88" xfId="0" applyFont="1" applyFill="1" applyBorder="1" applyAlignment="1">
      <alignment horizontal="center" vertical="center" wrapText="1"/>
    </xf>
    <xf numFmtId="0" fontId="39" fillId="12" borderId="0" xfId="0" applyFont="1" applyFill="1" applyBorder="1" applyAlignment="1">
      <alignment horizontal="center" vertical="center" wrapText="1"/>
    </xf>
    <xf numFmtId="0" fontId="39" fillId="12" borderId="93" xfId="0" applyFont="1" applyFill="1" applyBorder="1" applyAlignment="1">
      <alignment horizontal="center" vertical="center" wrapText="1"/>
    </xf>
    <xf numFmtId="0" fontId="39" fillId="12" borderId="14" xfId="0" applyFont="1" applyFill="1" applyBorder="1" applyAlignment="1">
      <alignment horizontal="center" vertical="center" wrapText="1"/>
    </xf>
    <xf numFmtId="0" fontId="39" fillId="12" borderId="94" xfId="0" applyFont="1" applyFill="1" applyBorder="1" applyAlignment="1">
      <alignment horizontal="center" vertical="center" wrapText="1"/>
    </xf>
    <xf numFmtId="0" fontId="69" fillId="12" borderId="89" xfId="0" applyFont="1" applyFill="1" applyBorder="1" applyAlignment="1">
      <alignment horizontal="center" vertical="center" wrapText="1"/>
    </xf>
    <xf numFmtId="0" fontId="69" fillId="12" borderId="90" xfId="0" applyFont="1" applyFill="1" applyBorder="1" applyAlignment="1">
      <alignment horizontal="center" vertical="center" wrapText="1"/>
    </xf>
    <xf numFmtId="0" fontId="69" fillId="12" borderId="95" xfId="0" applyFont="1" applyFill="1" applyBorder="1" applyAlignment="1">
      <alignment horizontal="center" vertical="center" wrapText="1"/>
    </xf>
    <xf numFmtId="0" fontId="68" fillId="12" borderId="89" xfId="0" applyFont="1" applyFill="1" applyBorder="1" applyAlignment="1">
      <alignment horizontal="center" vertical="center" wrapText="1"/>
    </xf>
    <xf numFmtId="0" fontId="68" fillId="12" borderId="90" xfId="0" applyFont="1" applyFill="1" applyBorder="1" applyAlignment="1">
      <alignment horizontal="center" vertical="center" wrapText="1"/>
    </xf>
    <xf numFmtId="0" fontId="68" fillId="12" borderId="95" xfId="0" applyFont="1" applyFill="1" applyBorder="1" applyAlignment="1">
      <alignment horizontal="center" vertical="center" wrapText="1"/>
    </xf>
    <xf numFmtId="0" fontId="68" fillId="12" borderId="77" xfId="0" applyFont="1" applyFill="1" applyBorder="1" applyAlignment="1">
      <alignment horizontal="center" vertical="center" wrapText="1"/>
    </xf>
    <xf numFmtId="0" fontId="39" fillId="12" borderId="77" xfId="0" applyFont="1" applyFill="1" applyBorder="1" applyAlignment="1">
      <alignment horizontal="center" vertical="center" wrapText="1"/>
    </xf>
    <xf numFmtId="0" fontId="39" fillId="12" borderId="78" xfId="0" applyFont="1" applyFill="1" applyBorder="1" applyAlignment="1">
      <alignment vertical="center" wrapText="1"/>
    </xf>
    <xf numFmtId="0" fontId="39" fillId="12" borderId="80" xfId="0" applyFont="1" applyFill="1" applyBorder="1" applyAlignment="1">
      <alignment horizontal="center" vertical="center" wrapText="1"/>
    </xf>
    <xf numFmtId="0" fontId="68" fillId="12" borderId="66" xfId="0" applyFont="1" applyFill="1" applyBorder="1" applyAlignment="1">
      <alignment horizontal="center" vertical="center" wrapText="1"/>
    </xf>
    <xf numFmtId="0" fontId="69" fillId="12" borderId="81" xfId="0" applyFont="1" applyFill="1" applyBorder="1" applyAlignment="1">
      <alignment horizontal="center" vertical="center" wrapText="1"/>
    </xf>
    <xf numFmtId="0" fontId="69" fillId="12" borderId="91" xfId="0" applyFont="1" applyFill="1" applyBorder="1" applyAlignment="1">
      <alignment horizontal="center" vertical="center" wrapText="1"/>
    </xf>
    <xf numFmtId="0" fontId="69" fillId="12" borderId="96" xfId="0" applyFont="1" applyFill="1" applyBorder="1" applyAlignment="1">
      <alignment horizontal="center" vertical="center" wrapText="1"/>
    </xf>
    <xf numFmtId="0" fontId="71" fillId="12" borderId="91" xfId="0" applyFont="1" applyFill="1" applyBorder="1" applyAlignment="1">
      <alignment horizontal="center" vertical="center" wrapText="1"/>
    </xf>
    <xf numFmtId="0" fontId="71" fillId="12" borderId="96" xfId="0" applyFont="1" applyFill="1" applyBorder="1" applyAlignment="1">
      <alignment horizontal="center" vertical="center" wrapText="1"/>
    </xf>
    <xf numFmtId="0" fontId="69" fillId="12" borderId="70" xfId="0" applyFont="1" applyFill="1" applyBorder="1" applyAlignment="1">
      <alignment horizontal="center" vertical="center" wrapText="1"/>
    </xf>
    <xf numFmtId="0" fontId="71" fillId="12" borderId="34" xfId="0" applyFont="1" applyFill="1" applyBorder="1" applyAlignment="1">
      <alignment horizontal="center" vertical="center" wrapText="1"/>
    </xf>
    <xf numFmtId="0" fontId="71" fillId="12" borderId="45" xfId="0" applyFont="1" applyFill="1" applyBorder="1" applyAlignment="1">
      <alignment horizontal="center" vertical="center" wrapText="1"/>
    </xf>
    <xf numFmtId="0" fontId="0" fillId="3" borderId="53" xfId="4" applyFont="1" applyBorder="1" applyAlignment="1">
      <alignment horizontal="center" vertical="center" wrapText="1"/>
    </xf>
    <xf numFmtId="0" fontId="1" fillId="3" borderId="53" xfId="4" applyBorder="1" applyAlignment="1">
      <alignment horizontal="center"/>
    </xf>
    <xf numFmtId="0" fontId="8" fillId="3" borderId="52" xfId="4" applyFont="1" applyBorder="1" applyAlignment="1">
      <alignment horizontal="center" vertical="center" wrapText="1"/>
    </xf>
    <xf numFmtId="0" fontId="8" fillId="3" borderId="53" xfId="4" applyFont="1" applyBorder="1" applyAlignment="1">
      <alignment horizontal="center" vertical="center" wrapText="1"/>
    </xf>
    <xf numFmtId="0" fontId="1" fillId="21" borderId="53" xfId="4" applyFill="1" applyBorder="1" applyAlignment="1">
      <alignment horizontal="center" vertical="center" wrapText="1"/>
    </xf>
    <xf numFmtId="0" fontId="1" fillId="21" borderId="53" xfId="4" applyFill="1" applyBorder="1" applyAlignment="1">
      <alignment horizontal="center"/>
    </xf>
    <xf numFmtId="0" fontId="8" fillId="21" borderId="52" xfId="4" applyFont="1" applyFill="1" applyBorder="1" applyAlignment="1">
      <alignment horizontal="center" vertical="center" wrapText="1"/>
    </xf>
    <xf numFmtId="0" fontId="8" fillId="21" borderId="53" xfId="4" applyFont="1" applyFill="1" applyBorder="1" applyAlignment="1">
      <alignment horizontal="center" vertical="center" wrapText="1"/>
    </xf>
    <xf numFmtId="0" fontId="70" fillId="12" borderId="81" xfId="0" applyFont="1" applyFill="1" applyBorder="1" applyAlignment="1">
      <alignment horizontal="center" vertical="center" wrapText="1"/>
    </xf>
    <xf numFmtId="0" fontId="70" fillId="12" borderId="91" xfId="0" applyFont="1" applyFill="1" applyBorder="1" applyAlignment="1">
      <alignment horizontal="center" vertical="center" wrapText="1"/>
    </xf>
    <xf numFmtId="0" fontId="70" fillId="12" borderId="96" xfId="0" applyFont="1" applyFill="1" applyBorder="1" applyAlignment="1">
      <alignment horizontal="center" vertical="center" wrapText="1"/>
    </xf>
    <xf numFmtId="0" fontId="69" fillId="12" borderId="92" xfId="0" applyFont="1" applyFill="1" applyBorder="1" applyAlignment="1">
      <alignment horizontal="left" vertical="center" wrapText="1" indent="2"/>
    </xf>
    <xf numFmtId="0" fontId="69" fillId="12" borderId="88" xfId="0" applyFont="1" applyFill="1" applyBorder="1" applyAlignment="1">
      <alignment horizontal="left" vertical="center" wrapText="1" indent="2"/>
    </xf>
    <xf numFmtId="0" fontId="69" fillId="12" borderId="62" xfId="0" applyFont="1" applyFill="1" applyBorder="1" applyAlignment="1">
      <alignment horizontal="left" vertical="center" wrapText="1" indent="2"/>
    </xf>
    <xf numFmtId="0" fontId="69" fillId="12" borderId="93" xfId="0" applyFont="1" applyFill="1" applyBorder="1" applyAlignment="1">
      <alignment horizontal="left" vertical="center" wrapText="1" indent="2"/>
    </xf>
    <xf numFmtId="0" fontId="69" fillId="12" borderId="46" xfId="0" applyFont="1" applyFill="1" applyBorder="1" applyAlignment="1">
      <alignment horizontal="left" vertical="center" wrapText="1" indent="2"/>
    </xf>
    <xf numFmtId="0" fontId="69" fillId="12" borderId="94" xfId="0" applyFont="1" applyFill="1" applyBorder="1" applyAlignment="1">
      <alignment horizontal="left" vertical="center" wrapText="1" indent="2"/>
    </xf>
    <xf numFmtId="0" fontId="69" fillId="12" borderId="89" xfId="0" applyFont="1" applyFill="1" applyBorder="1" applyAlignment="1">
      <alignment horizontal="left" vertical="center" wrapText="1" indent="2"/>
    </xf>
    <xf numFmtId="0" fontId="0" fillId="12" borderId="90" xfId="0" applyFill="1" applyBorder="1" applyAlignment="1">
      <alignment horizontal="left" vertical="center" wrapText="1" indent="2"/>
    </xf>
    <xf numFmtId="0" fontId="0" fillId="12" borderId="95" xfId="0" applyFill="1" applyBorder="1" applyAlignment="1">
      <alignment horizontal="left" vertical="center" wrapText="1" indent="2"/>
    </xf>
    <xf numFmtId="0" fontId="4" fillId="21" borderId="97" xfId="4" applyFont="1" applyFill="1" applyBorder="1" applyAlignment="1">
      <alignment horizontal="center" vertical="center" wrapText="1"/>
    </xf>
    <xf numFmtId="0" fontId="4" fillId="21" borderId="102" xfId="4" applyFont="1" applyFill="1" applyBorder="1" applyAlignment="1">
      <alignment horizontal="center" vertical="center" wrapText="1"/>
    </xf>
    <xf numFmtId="0" fontId="4" fillId="21" borderId="104" xfId="4" applyFont="1" applyFill="1" applyBorder="1" applyAlignment="1">
      <alignment horizontal="center" vertical="center" wrapText="1"/>
    </xf>
    <xf numFmtId="0" fontId="0" fillId="21" borderId="98" xfId="4" applyFont="1" applyFill="1" applyBorder="1" applyAlignment="1">
      <alignment horizontal="center" vertical="center" wrapText="1"/>
    </xf>
    <xf numFmtId="0" fontId="1" fillId="21" borderId="98" xfId="4" applyFill="1" applyBorder="1" applyAlignment="1">
      <alignment horizontal="center"/>
    </xf>
    <xf numFmtId="0" fontId="0" fillId="21" borderId="75" xfId="4" applyFont="1" applyFill="1" applyBorder="1" applyAlignment="1">
      <alignment horizontal="center" vertical="center" wrapText="1"/>
    </xf>
    <xf numFmtId="0" fontId="0" fillId="0" borderId="16" xfId="0" applyBorder="1" applyAlignment="1">
      <alignment horizontal="center" vertical="center" wrapText="1"/>
    </xf>
    <xf numFmtId="0" fontId="1" fillId="21" borderId="99" xfId="4" applyFill="1" applyBorder="1" applyAlignment="1">
      <alignment horizontal="center" vertical="center" wrapText="1"/>
    </xf>
    <xf numFmtId="0" fontId="0" fillId="0" borderId="58" xfId="0" applyBorder="1" applyAlignment="1">
      <alignment horizontal="center" vertical="center" wrapText="1"/>
    </xf>
    <xf numFmtId="0" fontId="8" fillId="21" borderId="100" xfId="4" applyFont="1" applyFill="1" applyBorder="1" applyAlignment="1">
      <alignment horizontal="center" vertical="center" wrapText="1"/>
    </xf>
    <xf numFmtId="0" fontId="8" fillId="21" borderId="98" xfId="4" applyFont="1" applyFill="1" applyBorder="1" applyAlignment="1">
      <alignment horizontal="center" vertical="center" wrapText="1"/>
    </xf>
    <xf numFmtId="0" fontId="0" fillId="21" borderId="64" xfId="4" applyFont="1" applyFill="1" applyBorder="1" applyAlignment="1">
      <alignment horizontal="center" vertical="center" wrapText="1"/>
    </xf>
    <xf numFmtId="0" fontId="1" fillId="21" borderId="64" xfId="4" applyFill="1" applyBorder="1" applyAlignment="1">
      <alignment horizontal="center"/>
    </xf>
    <xf numFmtId="0" fontId="8" fillId="21" borderId="85" xfId="4" applyFont="1" applyFill="1" applyBorder="1" applyAlignment="1">
      <alignment horizontal="center" vertical="center" wrapText="1"/>
    </xf>
    <xf numFmtId="0" fontId="8" fillId="21" borderId="64" xfId="4" applyFont="1" applyFill="1" applyBorder="1" applyAlignment="1">
      <alignment horizontal="center" vertical="center" wrapText="1"/>
    </xf>
    <xf numFmtId="0" fontId="0" fillId="21" borderId="20" xfId="4" applyFont="1" applyFill="1" applyBorder="1" applyAlignment="1">
      <alignment horizontal="center" vertical="center" wrapText="1"/>
    </xf>
    <xf numFmtId="0" fontId="1" fillId="21" borderId="20" xfId="4" applyFill="1" applyBorder="1" applyAlignment="1">
      <alignment horizontal="center"/>
    </xf>
    <xf numFmtId="0" fontId="8" fillId="21" borderId="23" xfId="4" applyFont="1" applyFill="1" applyBorder="1" applyAlignment="1">
      <alignment horizontal="center" vertical="center" wrapText="1"/>
    </xf>
    <xf numFmtId="0" fontId="8" fillId="21" borderId="20" xfId="4" applyFont="1" applyFill="1" applyBorder="1" applyAlignment="1">
      <alignment horizontal="center" vertical="center" wrapText="1"/>
    </xf>
    <xf numFmtId="0" fontId="4" fillId="20" borderId="97" xfId="4" applyFont="1" applyFill="1" applyBorder="1" applyAlignment="1">
      <alignment horizontal="center" vertical="center" wrapText="1"/>
    </xf>
    <xf numFmtId="0" fontId="4" fillId="20" borderId="104" xfId="4" applyFont="1" applyFill="1" applyBorder="1" applyAlignment="1">
      <alignment horizontal="center" vertical="center" wrapText="1"/>
    </xf>
    <xf numFmtId="0" fontId="0" fillId="20" borderId="98" xfId="4" applyFont="1" applyFill="1" applyBorder="1" applyAlignment="1">
      <alignment horizontal="center" vertical="center" wrapText="1"/>
    </xf>
    <xf numFmtId="0" fontId="1" fillId="20" borderId="98" xfId="4" applyFill="1" applyBorder="1" applyAlignment="1">
      <alignment horizontal="center"/>
    </xf>
    <xf numFmtId="0" fontId="0" fillId="20" borderId="75" xfId="4" applyFont="1" applyFill="1" applyBorder="1" applyAlignment="1">
      <alignment horizontal="center" vertical="center" wrapText="1"/>
    </xf>
    <xf numFmtId="0" fontId="1" fillId="20" borderId="99" xfId="4" applyFill="1" applyBorder="1" applyAlignment="1">
      <alignment horizontal="center" vertical="center" wrapText="1"/>
    </xf>
    <xf numFmtId="0" fontId="8" fillId="20" borderId="100" xfId="4" applyFont="1" applyFill="1" applyBorder="1" applyAlignment="1">
      <alignment horizontal="center" vertical="center" wrapText="1"/>
    </xf>
    <xf numFmtId="0" fontId="8" fillId="20" borderId="98" xfId="4" applyFont="1" applyFill="1" applyBorder="1" applyAlignment="1">
      <alignment horizontal="center" vertical="center" wrapText="1"/>
    </xf>
    <xf numFmtId="0" fontId="0" fillId="20" borderId="20" xfId="4" applyFont="1" applyFill="1" applyBorder="1" applyAlignment="1">
      <alignment horizontal="center" vertical="center" wrapText="1"/>
    </xf>
    <xf numFmtId="0" fontId="1" fillId="20" borderId="20" xfId="4" applyFill="1" applyBorder="1" applyAlignment="1">
      <alignment horizontal="center"/>
    </xf>
    <xf numFmtId="0" fontId="8" fillId="20" borderId="23" xfId="4" applyFont="1" applyFill="1" applyBorder="1" applyAlignment="1">
      <alignment horizontal="center" vertical="center" wrapText="1"/>
    </xf>
    <xf numFmtId="0" fontId="8" fillId="20" borderId="20" xfId="4" applyFont="1" applyFill="1" applyBorder="1" applyAlignment="1">
      <alignment horizontal="center" vertical="center" wrapText="1"/>
    </xf>
    <xf numFmtId="0" fontId="1" fillId="21" borderId="98" xfId="4" applyFill="1" applyBorder="1" applyAlignment="1">
      <alignment horizontal="center" vertical="center" wrapText="1"/>
    </xf>
    <xf numFmtId="0" fontId="1" fillId="21" borderId="64" xfId="4" applyFill="1" applyBorder="1" applyAlignment="1">
      <alignment horizontal="center" vertical="center" wrapText="1"/>
    </xf>
    <xf numFmtId="0" fontId="1" fillId="21" borderId="20" xfId="4" applyFill="1" applyBorder="1" applyAlignment="1">
      <alignment horizontal="center" vertical="center" wrapText="1"/>
    </xf>
    <xf numFmtId="0" fontId="1" fillId="20" borderId="53" xfId="4" applyFill="1" applyBorder="1" applyAlignment="1">
      <alignment horizontal="center" vertical="center" wrapText="1"/>
    </xf>
    <xf numFmtId="0" fontId="1" fillId="20" borderId="53" xfId="4" applyFill="1" applyBorder="1" applyAlignment="1">
      <alignment horizontal="center"/>
    </xf>
    <xf numFmtId="0" fontId="8" fillId="20" borderId="52" xfId="4" applyFont="1" applyFill="1" applyBorder="1" applyAlignment="1">
      <alignment horizontal="center" vertical="center" wrapText="1"/>
    </xf>
    <xf numFmtId="0" fontId="8" fillId="20" borderId="53" xfId="4" applyFont="1" applyFill="1" applyBorder="1" applyAlignment="1">
      <alignment horizontal="center" vertical="center" wrapText="1"/>
    </xf>
    <xf numFmtId="0" fontId="0" fillId="21" borderId="43" xfId="4" applyFont="1" applyFill="1" applyBorder="1" applyAlignment="1">
      <alignment horizontal="center" vertical="center" wrapText="1"/>
    </xf>
    <xf numFmtId="0" fontId="1" fillId="21" borderId="38" xfId="4" applyFill="1" applyBorder="1" applyAlignment="1">
      <alignment horizontal="center" vertical="center" wrapText="1"/>
    </xf>
    <xf numFmtId="0" fontId="8" fillId="21" borderId="73" xfId="4" applyFont="1" applyFill="1" applyBorder="1" applyAlignment="1">
      <alignment horizontal="center" vertical="center" wrapText="1"/>
    </xf>
    <xf numFmtId="0" fontId="8" fillId="21" borderId="74" xfId="4" applyFont="1" applyFill="1" applyBorder="1" applyAlignment="1">
      <alignment horizontal="center" vertical="center" wrapText="1"/>
    </xf>
    <xf numFmtId="0" fontId="0" fillId="21" borderId="41" xfId="4" applyFont="1" applyFill="1" applyBorder="1" applyAlignment="1">
      <alignment horizontal="center" vertical="center" wrapText="1"/>
    </xf>
    <xf numFmtId="0" fontId="8" fillId="21" borderId="106" xfId="4" applyFont="1" applyFill="1" applyBorder="1" applyAlignment="1">
      <alignment horizontal="center" vertical="center" wrapText="1"/>
    </xf>
    <xf numFmtId="0" fontId="8" fillId="21" borderId="25" xfId="4" applyFont="1" applyFill="1" applyBorder="1" applyAlignment="1">
      <alignment horizontal="center" vertical="center" wrapText="1"/>
    </xf>
    <xf numFmtId="0" fontId="1" fillId="21" borderId="16" xfId="4" applyFill="1" applyBorder="1" applyAlignment="1">
      <alignment horizontal="center" vertical="center" wrapText="1"/>
    </xf>
    <xf numFmtId="0" fontId="1" fillId="21" borderId="16" xfId="4" applyFill="1" applyBorder="1" applyAlignment="1">
      <alignment horizontal="center"/>
    </xf>
    <xf numFmtId="0" fontId="8" fillId="21" borderId="104" xfId="4" applyFont="1" applyFill="1" applyBorder="1" applyAlignment="1">
      <alignment horizontal="center" vertical="center" wrapText="1"/>
    </xf>
    <xf numFmtId="0" fontId="8" fillId="21" borderId="16" xfId="4" applyFont="1" applyFill="1" applyBorder="1" applyAlignment="1">
      <alignment horizontal="center" vertical="center" wrapText="1"/>
    </xf>
    <xf numFmtId="0" fontId="4" fillId="20" borderId="102" xfId="4" applyFont="1" applyFill="1" applyBorder="1" applyAlignment="1">
      <alignment horizontal="center" vertical="center" wrapText="1"/>
    </xf>
    <xf numFmtId="0" fontId="1" fillId="3" borderId="98" xfId="4" applyBorder="1" applyAlignment="1">
      <alignment horizontal="center" vertical="center" wrapText="1"/>
    </xf>
    <xf numFmtId="0" fontId="1" fillId="3" borderId="98" xfId="4" applyBorder="1" applyAlignment="1">
      <alignment horizontal="center"/>
    </xf>
    <xf numFmtId="0" fontId="0" fillId="3" borderId="75" xfId="4" applyFont="1" applyBorder="1" applyAlignment="1">
      <alignment horizontal="center" vertical="center" wrapText="1"/>
    </xf>
    <xf numFmtId="0" fontId="1" fillId="3" borderId="99" xfId="4" applyBorder="1" applyAlignment="1">
      <alignment horizontal="center" vertical="center" wrapText="1"/>
    </xf>
    <xf numFmtId="0" fontId="8" fillId="3" borderId="100" xfId="4" applyFont="1" applyBorder="1" applyAlignment="1">
      <alignment horizontal="center" vertical="center" wrapText="1"/>
    </xf>
    <xf numFmtId="0" fontId="8" fillId="3" borderId="98" xfId="4" applyFont="1" applyBorder="1" applyAlignment="1">
      <alignment horizontal="center" vertical="center" wrapText="1"/>
    </xf>
    <xf numFmtId="0" fontId="1" fillId="3" borderId="64" xfId="4" applyBorder="1" applyAlignment="1">
      <alignment horizontal="center" vertical="center" wrapText="1"/>
    </xf>
    <xf numFmtId="0" fontId="1" fillId="3" borderId="64" xfId="4" applyBorder="1" applyAlignment="1">
      <alignment horizontal="center"/>
    </xf>
    <xf numFmtId="0" fontId="8" fillId="3" borderId="85" xfId="4" applyFont="1" applyBorder="1" applyAlignment="1">
      <alignment horizontal="center" vertical="center" wrapText="1"/>
    </xf>
    <xf numFmtId="0" fontId="8" fillId="3" borderId="64" xfId="4" applyFont="1" applyBorder="1" applyAlignment="1">
      <alignment horizontal="center" vertical="center" wrapText="1"/>
    </xf>
    <xf numFmtId="0" fontId="1" fillId="3" borderId="20" xfId="4" applyBorder="1" applyAlignment="1">
      <alignment horizontal="center" vertical="center" wrapText="1"/>
    </xf>
    <xf numFmtId="0" fontId="1" fillId="3" borderId="20" xfId="4" applyBorder="1" applyAlignment="1">
      <alignment horizontal="center"/>
    </xf>
    <xf numFmtId="0" fontId="8" fillId="3" borderId="23" xfId="4" applyFont="1" applyBorder="1" applyAlignment="1">
      <alignment horizontal="center" vertical="center" wrapText="1"/>
    </xf>
    <xf numFmtId="0" fontId="8" fillId="3" borderId="20" xfId="4" applyFont="1" applyBorder="1" applyAlignment="1">
      <alignment horizontal="center" vertical="center" wrapText="1"/>
    </xf>
    <xf numFmtId="0" fontId="0" fillId="20" borderId="53" xfId="4" applyFont="1" applyFill="1" applyBorder="1" applyAlignment="1">
      <alignment horizontal="center" vertical="center" wrapText="1"/>
    </xf>
    <xf numFmtId="0" fontId="0" fillId="21" borderId="53" xfId="4" applyFont="1" applyFill="1" applyBorder="1" applyAlignment="1">
      <alignment horizontal="center" vertical="center" wrapText="1"/>
    </xf>
    <xf numFmtId="0" fontId="0" fillId="3" borderId="98" xfId="4" applyFont="1" applyBorder="1" applyAlignment="1">
      <alignment horizontal="center" vertical="center" wrapText="1"/>
    </xf>
    <xf numFmtId="0" fontId="0" fillId="3" borderId="64" xfId="4" applyFont="1" applyBorder="1" applyAlignment="1">
      <alignment horizontal="center" vertical="center" wrapText="1"/>
    </xf>
    <xf numFmtId="0" fontId="0" fillId="3" borderId="20" xfId="4" applyFont="1" applyBorder="1" applyAlignment="1">
      <alignment horizontal="center" vertical="center" wrapText="1"/>
    </xf>
    <xf numFmtId="0" fontId="8" fillId="20" borderId="85" xfId="4" applyFont="1" applyFill="1" applyBorder="1" applyAlignment="1">
      <alignment horizontal="center" vertical="center" wrapText="1"/>
    </xf>
    <xf numFmtId="0" fontId="8" fillId="20" borderId="64" xfId="4" applyFont="1" applyFill="1" applyBorder="1" applyAlignment="1">
      <alignment horizontal="center" vertical="center" wrapText="1"/>
    </xf>
    <xf numFmtId="3" fontId="0" fillId="20" borderId="7" xfId="4" applyNumberFormat="1" applyFont="1" applyFill="1" applyBorder="1" applyAlignment="1">
      <alignment horizontal="center" vertical="center" wrapText="1"/>
    </xf>
    <xf numFmtId="3" fontId="1" fillId="20" borderId="39" xfId="4" applyNumberFormat="1" applyFill="1" applyBorder="1" applyAlignment="1">
      <alignment horizontal="center" vertical="center" wrapText="1"/>
    </xf>
    <xf numFmtId="3" fontId="0" fillId="20" borderId="27" xfId="4" applyNumberFormat="1" applyFont="1" applyFill="1" applyBorder="1" applyAlignment="1">
      <alignment horizontal="center" vertical="center" wrapText="1"/>
    </xf>
    <xf numFmtId="3" fontId="1" fillId="20" borderId="24" xfId="4" applyNumberFormat="1" applyFill="1" applyBorder="1" applyAlignment="1">
      <alignment horizontal="center" vertical="center" wrapText="1"/>
    </xf>
    <xf numFmtId="0" fontId="69" fillId="12" borderId="48" xfId="0" applyFont="1" applyFill="1" applyBorder="1" applyAlignment="1">
      <alignment horizontal="center" vertical="center" wrapText="1"/>
    </xf>
    <xf numFmtId="0" fontId="39" fillId="12" borderId="48" xfId="0" applyFont="1" applyFill="1" applyBorder="1" applyAlignment="1">
      <alignment horizontal="center" vertical="center" wrapText="1"/>
    </xf>
    <xf numFmtId="0" fontId="69" fillId="12" borderId="69" xfId="0" applyFont="1" applyFill="1" applyBorder="1" applyAlignment="1">
      <alignment horizontal="center" vertical="center" wrapText="1"/>
    </xf>
    <xf numFmtId="0" fontId="71" fillId="12" borderId="69" xfId="0" applyFont="1" applyFill="1" applyBorder="1" applyAlignment="1"/>
    <xf numFmtId="0" fontId="71" fillId="12" borderId="70" xfId="0" applyFont="1" applyFill="1" applyBorder="1" applyAlignment="1"/>
    <xf numFmtId="0" fontId="4" fillId="20" borderId="81" xfId="4" applyFont="1" applyFill="1" applyBorder="1" applyAlignment="1">
      <alignment horizontal="center" vertical="center" wrapText="1"/>
    </xf>
    <xf numFmtId="0" fontId="4" fillId="20" borderId="91" xfId="4" applyFont="1" applyFill="1" applyBorder="1" applyAlignment="1">
      <alignment horizontal="center" vertical="center" wrapText="1"/>
    </xf>
    <xf numFmtId="0" fontId="4" fillId="20" borderId="96" xfId="4" applyFont="1" applyFill="1" applyBorder="1" applyAlignment="1">
      <alignment horizontal="center" vertical="center" wrapText="1"/>
    </xf>
    <xf numFmtId="3" fontId="0" fillId="20" borderId="107" xfId="4" applyNumberFormat="1" applyFont="1" applyFill="1" applyBorder="1" applyAlignment="1">
      <alignment horizontal="center" vertical="center" wrapText="1"/>
    </xf>
    <xf numFmtId="3" fontId="1" fillId="20" borderId="30" xfId="4" applyNumberFormat="1" applyFill="1" applyBorder="1" applyAlignment="1">
      <alignment horizontal="center" vertical="center" wrapText="1"/>
    </xf>
    <xf numFmtId="0" fontId="4" fillId="12" borderId="68" xfId="0" applyFont="1" applyFill="1" applyBorder="1" applyAlignment="1">
      <alignment horizontal="center" vertical="center" wrapText="1"/>
    </xf>
    <xf numFmtId="0" fontId="4" fillId="12" borderId="69" xfId="0" applyFont="1" applyFill="1" applyBorder="1" applyAlignment="1">
      <alignment horizontal="center" vertical="center" wrapText="1"/>
    </xf>
    <xf numFmtId="0" fontId="4" fillId="12" borderId="70" xfId="0" applyFont="1" applyFill="1" applyBorder="1" applyAlignment="1">
      <alignment horizontal="center" vertical="center" wrapText="1"/>
    </xf>
    <xf numFmtId="0" fontId="4" fillId="12" borderId="46" xfId="0" applyFont="1" applyFill="1" applyBorder="1" applyAlignment="1">
      <alignment horizontal="center" vertical="center" wrapText="1"/>
    </xf>
    <xf numFmtId="0" fontId="4" fillId="12" borderId="14" xfId="0" applyFont="1" applyFill="1" applyBorder="1" applyAlignment="1">
      <alignment horizontal="center" vertical="center" wrapText="1"/>
    </xf>
    <xf numFmtId="0" fontId="4" fillId="12" borderId="45" xfId="0" applyFont="1" applyFill="1" applyBorder="1" applyAlignment="1">
      <alignment horizontal="center" vertical="center" wrapText="1"/>
    </xf>
    <xf numFmtId="0" fontId="68" fillId="12" borderId="48" xfId="0" applyFont="1" applyFill="1" applyBorder="1" applyAlignment="1">
      <alignment horizontal="center" vertical="center" wrapText="1"/>
    </xf>
    <xf numFmtId="0" fontId="68" fillId="12" borderId="54" xfId="0" applyFont="1" applyFill="1" applyBorder="1" applyAlignment="1">
      <alignment horizontal="center" vertical="center" wrapText="1"/>
    </xf>
    <xf numFmtId="0" fontId="69" fillId="12" borderId="113" xfId="0" applyFont="1" applyFill="1" applyBorder="1" applyAlignment="1">
      <alignment horizontal="center" vertical="center" wrapText="1"/>
    </xf>
    <xf numFmtId="0" fontId="69" fillId="12" borderId="114" xfId="0" applyFont="1" applyFill="1" applyBorder="1" applyAlignment="1">
      <alignment horizontal="center" vertical="center" wrapText="1"/>
    </xf>
    <xf numFmtId="0" fontId="69" fillId="12" borderId="115" xfId="0" applyFont="1" applyFill="1" applyBorder="1" applyAlignment="1">
      <alignment horizontal="center" vertical="center" wrapText="1"/>
    </xf>
    <xf numFmtId="0" fontId="68" fillId="12" borderId="81" xfId="0" applyFont="1" applyFill="1" applyBorder="1" applyAlignment="1">
      <alignment horizontal="center" vertical="center" wrapText="1"/>
    </xf>
    <xf numFmtId="0" fontId="0" fillId="0" borderId="91" xfId="0" applyBorder="1" applyAlignment="1">
      <alignment horizontal="center" vertical="center" wrapText="1"/>
    </xf>
    <xf numFmtId="0" fontId="0" fillId="0" borderId="96" xfId="0" applyBorder="1" applyAlignment="1">
      <alignment horizontal="center" vertical="center" wrapText="1"/>
    </xf>
    <xf numFmtId="0" fontId="70" fillId="12" borderId="62" xfId="0" applyFont="1" applyFill="1" applyBorder="1" applyAlignment="1">
      <alignment horizontal="center" vertical="center" wrapText="1"/>
    </xf>
    <xf numFmtId="0" fontId="70" fillId="12" borderId="46" xfId="0" applyFont="1" applyFill="1" applyBorder="1" applyAlignment="1">
      <alignment horizontal="center" vertical="center" wrapText="1"/>
    </xf>
    <xf numFmtId="0" fontId="69" fillId="12" borderId="109" xfId="0" applyNumberFormat="1" applyFont="1" applyFill="1" applyBorder="1" applyAlignment="1">
      <alignment horizontal="center" vertical="center" wrapText="1"/>
    </xf>
    <xf numFmtId="0" fontId="69" fillId="12" borderId="110" xfId="0" applyNumberFormat="1" applyFont="1" applyFill="1" applyBorder="1" applyAlignment="1">
      <alignment horizontal="center" vertical="center" wrapText="1"/>
    </xf>
    <xf numFmtId="0" fontId="0" fillId="12" borderId="111" xfId="0" applyNumberFormat="1" applyFill="1" applyBorder="1" applyAlignment="1">
      <alignment horizontal="center" vertical="center" wrapText="1"/>
    </xf>
    <xf numFmtId="0" fontId="69" fillId="12" borderId="112" xfId="0" applyFont="1" applyFill="1" applyBorder="1" applyAlignment="1">
      <alignment horizontal="center" vertical="center" wrapText="1"/>
    </xf>
    <xf numFmtId="0" fontId="69" fillId="12" borderId="110" xfId="0" applyFont="1" applyFill="1" applyBorder="1" applyAlignment="1">
      <alignment horizontal="center" vertical="center" wrapText="1"/>
    </xf>
    <xf numFmtId="0" fontId="69" fillId="12" borderId="111" xfId="0" applyFont="1" applyFill="1" applyBorder="1" applyAlignment="1">
      <alignment horizontal="center" vertical="center" wrapText="1"/>
    </xf>
    <xf numFmtId="0" fontId="4" fillId="22" borderId="68" xfId="0" applyFont="1" applyFill="1" applyBorder="1" applyAlignment="1">
      <alignment horizontal="center" vertical="center"/>
    </xf>
    <xf numFmtId="0" fontId="4" fillId="22" borderId="62" xfId="0" applyFont="1" applyFill="1" applyBorder="1" applyAlignment="1">
      <alignment horizontal="center" vertical="center"/>
    </xf>
    <xf numFmtId="1" fontId="8" fillId="22" borderId="107" xfId="0" applyNumberFormat="1" applyFont="1" applyFill="1" applyBorder="1" applyAlignment="1">
      <alignment horizontal="center"/>
    </xf>
    <xf numFmtId="1" fontId="8" fillId="22" borderId="30" xfId="0" applyNumberFormat="1" applyFont="1" applyFill="1" applyBorder="1" applyAlignment="1">
      <alignment horizontal="center"/>
    </xf>
    <xf numFmtId="1" fontId="8" fillId="22" borderId="7" xfId="0" applyNumberFormat="1" applyFont="1" applyFill="1" applyBorder="1" applyAlignment="1">
      <alignment horizontal="center"/>
    </xf>
    <xf numFmtId="1" fontId="8" fillId="22" borderId="39" xfId="0" applyNumberFormat="1" applyFont="1" applyFill="1" applyBorder="1" applyAlignment="1">
      <alignment horizontal="center"/>
    </xf>
    <xf numFmtId="0" fontId="4" fillId="23" borderId="68" xfId="0" applyFont="1" applyFill="1" applyBorder="1" applyAlignment="1">
      <alignment horizontal="center" vertical="center"/>
    </xf>
    <xf numFmtId="0" fontId="4" fillId="23" borderId="46" xfId="0" applyFont="1" applyFill="1" applyBorder="1" applyAlignment="1">
      <alignment horizontal="center" vertical="center"/>
    </xf>
    <xf numFmtId="1" fontId="8" fillId="23" borderId="107" xfId="0" applyNumberFormat="1" applyFont="1" applyFill="1" applyBorder="1" applyAlignment="1">
      <alignment horizontal="center"/>
    </xf>
    <xf numFmtId="1" fontId="8" fillId="23" borderId="30" xfId="0" applyNumberFormat="1" applyFont="1" applyFill="1" applyBorder="1" applyAlignment="1">
      <alignment horizontal="center"/>
    </xf>
    <xf numFmtId="1" fontId="8" fillId="23" borderId="27" xfId="0" applyNumberFormat="1" applyFont="1" applyFill="1" applyBorder="1" applyAlignment="1">
      <alignment horizontal="center"/>
    </xf>
    <xf numFmtId="1" fontId="8" fillId="23" borderId="24" xfId="0" applyNumberFormat="1" applyFont="1" applyFill="1" applyBorder="1" applyAlignment="1">
      <alignment horizontal="center"/>
    </xf>
    <xf numFmtId="1" fontId="0" fillId="23" borderId="51" xfId="0" applyNumberFormat="1" applyFill="1" applyBorder="1" applyAlignment="1">
      <alignment horizontal="center"/>
    </xf>
    <xf numFmtId="1" fontId="0" fillId="23" borderId="49" xfId="0" applyNumberFormat="1" applyFill="1" applyBorder="1" applyAlignment="1">
      <alignment horizontal="center"/>
    </xf>
    <xf numFmtId="0" fontId="1" fillId="25" borderId="53" xfId="6" applyFill="1" applyBorder="1" applyAlignment="1">
      <alignment horizontal="center" vertical="center" wrapText="1"/>
    </xf>
    <xf numFmtId="0" fontId="1" fillId="25" borderId="53" xfId="6" applyFill="1" applyBorder="1" applyAlignment="1">
      <alignment horizontal="center"/>
    </xf>
    <xf numFmtId="0" fontId="8" fillId="25" borderId="53" xfId="6" applyFont="1" applyFill="1" applyBorder="1" applyAlignment="1">
      <alignment horizontal="center" vertical="center" wrapText="1"/>
    </xf>
    <xf numFmtId="0" fontId="1" fillId="11" borderId="53" xfId="6" applyFill="1" applyBorder="1" applyAlignment="1">
      <alignment horizontal="center" vertical="center" wrapText="1"/>
    </xf>
    <xf numFmtId="0" fontId="1" fillId="11" borderId="53" xfId="6" applyFill="1" applyBorder="1" applyAlignment="1">
      <alignment horizontal="center"/>
    </xf>
    <xf numFmtId="0" fontId="8" fillId="11" borderId="53" xfId="6" applyFont="1" applyFill="1" applyBorder="1" applyAlignment="1">
      <alignment horizontal="center" vertical="center" wrapText="1"/>
    </xf>
    <xf numFmtId="0" fontId="4" fillId="25" borderId="97" xfId="6" applyFont="1" applyFill="1" applyBorder="1" applyAlignment="1">
      <alignment horizontal="center" vertical="center" wrapText="1"/>
    </xf>
    <xf numFmtId="0" fontId="4" fillId="25" borderId="104" xfId="6" applyFont="1" applyFill="1" applyBorder="1" applyAlignment="1">
      <alignment horizontal="center" vertical="center" wrapText="1"/>
    </xf>
    <xf numFmtId="0" fontId="1" fillId="25" borderId="98" xfId="6" applyFill="1" applyBorder="1" applyAlignment="1">
      <alignment horizontal="center" vertical="center" wrapText="1"/>
    </xf>
    <xf numFmtId="0" fontId="1" fillId="25" borderId="98" xfId="6" applyFill="1" applyBorder="1" applyAlignment="1">
      <alignment horizontal="center"/>
    </xf>
    <xf numFmtId="0" fontId="0" fillId="25" borderId="75" xfId="6" applyFont="1" applyFill="1" applyBorder="1" applyAlignment="1">
      <alignment horizontal="center" vertical="center" wrapText="1"/>
    </xf>
    <xf numFmtId="0" fontId="1" fillId="25" borderId="75" xfId="6" applyFill="1" applyBorder="1" applyAlignment="1">
      <alignment horizontal="center" vertical="center" wrapText="1"/>
    </xf>
    <xf numFmtId="0" fontId="8" fillId="25" borderId="98" xfId="6" applyFont="1" applyFill="1" applyBorder="1" applyAlignment="1">
      <alignment horizontal="center" vertical="center" wrapText="1"/>
    </xf>
    <xf numFmtId="0" fontId="1" fillId="25" borderId="16" xfId="6" applyFill="1" applyBorder="1" applyAlignment="1">
      <alignment horizontal="center" vertical="center" wrapText="1"/>
    </xf>
    <xf numFmtId="0" fontId="1" fillId="25" borderId="16" xfId="6" applyFill="1" applyBorder="1" applyAlignment="1">
      <alignment horizontal="center"/>
    </xf>
    <xf numFmtId="0" fontId="8" fillId="25" borderId="16" xfId="6" applyFont="1" applyFill="1" applyBorder="1" applyAlignment="1">
      <alignment horizontal="center" vertical="center" wrapText="1"/>
    </xf>
    <xf numFmtId="0" fontId="74" fillId="0" borderId="31" xfId="0" applyFont="1" applyFill="1" applyBorder="1" applyAlignment="1">
      <alignment horizontal="center" vertical="center" wrapText="1"/>
    </xf>
    <xf numFmtId="0" fontId="74" fillId="0" borderId="116" xfId="0" applyFont="1" applyFill="1" applyBorder="1" applyAlignment="1">
      <alignment horizontal="center" vertical="center" wrapText="1"/>
    </xf>
    <xf numFmtId="0" fontId="75" fillId="0" borderId="100" xfId="0" applyFont="1" applyFill="1" applyBorder="1" applyAlignment="1">
      <alignment horizontal="center" vertical="center"/>
    </xf>
    <xf numFmtId="0" fontId="75" fillId="0" borderId="98" xfId="0" applyFont="1" applyFill="1" applyBorder="1" applyAlignment="1">
      <alignment horizontal="center" vertical="center"/>
    </xf>
    <xf numFmtId="0" fontId="75" fillId="0" borderId="108" xfId="0" applyFont="1" applyFill="1" applyBorder="1" applyAlignment="1">
      <alignment horizontal="center" vertical="center"/>
    </xf>
    <xf numFmtId="0" fontId="75" fillId="0" borderId="30" xfId="0" applyFont="1" applyFill="1" applyBorder="1" applyAlignment="1">
      <alignment horizontal="center" vertical="center"/>
    </xf>
    <xf numFmtId="0" fontId="8" fillId="0" borderId="98" xfId="0" applyFont="1" applyFill="1" applyBorder="1" applyAlignment="1"/>
    <xf numFmtId="0" fontId="8" fillId="0" borderId="108" xfId="0" applyFont="1" applyFill="1" applyBorder="1" applyAlignment="1"/>
    <xf numFmtId="0" fontId="8" fillId="0" borderId="98" xfId="0" applyFont="1" applyFill="1" applyBorder="1" applyAlignment="1">
      <alignment horizontal="center" vertical="center"/>
    </xf>
    <xf numFmtId="0" fontId="8" fillId="0" borderId="108" xfId="0" applyFont="1" applyFill="1" applyBorder="1" applyAlignment="1">
      <alignment horizontal="center" vertical="center"/>
    </xf>
    <xf numFmtId="0" fontId="74" fillId="0" borderId="63" xfId="0" applyFont="1" applyFill="1" applyBorder="1" applyAlignment="1">
      <alignment horizontal="center" vertical="center"/>
    </xf>
    <xf numFmtId="0" fontId="79" fillId="0" borderId="62" xfId="0" applyFont="1" applyFill="1" applyBorder="1" applyAlignment="1">
      <alignment horizontal="center" vertical="center"/>
    </xf>
    <xf numFmtId="0" fontId="0" fillId="0" borderId="62" xfId="0" applyBorder="1" applyAlignment="1">
      <alignment horizontal="center" vertical="center"/>
    </xf>
    <xf numFmtId="3" fontId="79" fillId="14" borderId="63" xfId="0" applyNumberFormat="1" applyFont="1" applyFill="1" applyBorder="1" applyAlignment="1">
      <alignment vertical="center" wrapText="1"/>
    </xf>
    <xf numFmtId="0" fontId="79" fillId="14" borderId="62" xfId="0" applyFont="1" applyFill="1" applyBorder="1" applyAlignment="1">
      <alignment vertical="center" wrapText="1"/>
    </xf>
    <xf numFmtId="0" fontId="74" fillId="14" borderId="6" xfId="0" applyFont="1" applyFill="1" applyBorder="1" applyAlignment="1">
      <alignment horizontal="center" vertical="center"/>
    </xf>
    <xf numFmtId="0" fontId="79" fillId="14" borderId="0" xfId="0" applyFont="1" applyFill="1" applyBorder="1" applyAlignment="1">
      <alignment horizontal="center" vertical="center"/>
    </xf>
    <xf numFmtId="0" fontId="79" fillId="14" borderId="2" xfId="0" applyFont="1" applyFill="1" applyBorder="1" applyAlignment="1">
      <alignment horizontal="center" vertical="center"/>
    </xf>
    <xf numFmtId="3" fontId="79" fillId="14" borderId="6" xfId="0" applyNumberFormat="1" applyFont="1" applyFill="1" applyBorder="1" applyAlignment="1">
      <alignment vertical="center"/>
    </xf>
    <xf numFmtId="3" fontId="79" fillId="14" borderId="0" xfId="0" applyNumberFormat="1" applyFont="1" applyFill="1" applyBorder="1" applyAlignment="1">
      <alignment vertical="center"/>
    </xf>
    <xf numFmtId="3" fontId="79" fillId="14" borderId="121" xfId="0" applyNumberFormat="1" applyFont="1" applyFill="1" applyBorder="1" applyAlignment="1">
      <alignment vertical="center"/>
    </xf>
    <xf numFmtId="3" fontId="80" fillId="14" borderId="6" xfId="0" applyNumberFormat="1" applyFont="1" applyFill="1" applyBorder="1" applyAlignment="1">
      <alignment vertical="center"/>
    </xf>
    <xf numFmtId="3" fontId="80" fillId="14" borderId="0" xfId="0" applyNumberFormat="1" applyFont="1" applyFill="1" applyBorder="1" applyAlignment="1">
      <alignment vertical="center"/>
    </xf>
    <xf numFmtId="3" fontId="80" fillId="14" borderId="121" xfId="0" applyNumberFormat="1" applyFont="1" applyFill="1" applyBorder="1" applyAlignment="1">
      <alignment vertical="center"/>
    </xf>
    <xf numFmtId="3" fontId="80" fillId="0" borderId="36" xfId="0" applyNumberFormat="1" applyFont="1" applyFill="1" applyBorder="1" applyAlignment="1">
      <alignment vertical="center"/>
    </xf>
    <xf numFmtId="0" fontId="79" fillId="0" borderId="34" xfId="0" applyFont="1" applyFill="1" applyBorder="1" applyAlignment="1">
      <alignment vertical="center"/>
    </xf>
    <xf numFmtId="0" fontId="79" fillId="0" borderId="122" xfId="0" applyFont="1" applyFill="1" applyBorder="1" applyAlignment="1">
      <alignment vertical="center"/>
    </xf>
    <xf numFmtId="3" fontId="79" fillId="14" borderId="126" xfId="0" applyNumberFormat="1" applyFont="1" applyFill="1" applyBorder="1" applyAlignment="1">
      <alignment vertical="center"/>
    </xf>
    <xf numFmtId="3" fontId="80" fillId="14" borderId="126" xfId="0" applyNumberFormat="1" applyFont="1" applyFill="1" applyBorder="1" applyAlignment="1">
      <alignment vertical="center"/>
    </xf>
    <xf numFmtId="0" fontId="79" fillId="14" borderId="0" xfId="0" applyFont="1" applyFill="1" applyBorder="1" applyAlignment="1">
      <alignment vertical="center"/>
    </xf>
    <xf numFmtId="0" fontId="79" fillId="14" borderId="121" xfId="0" applyFont="1" applyFill="1" applyBorder="1" applyAlignment="1">
      <alignment vertical="center"/>
    </xf>
    <xf numFmtId="3" fontId="79" fillId="14" borderId="36" xfId="0" applyNumberFormat="1" applyFont="1" applyFill="1" applyBorder="1" applyAlignment="1">
      <alignment vertical="center"/>
    </xf>
    <xf numFmtId="0" fontId="79" fillId="14" borderId="34" xfId="0" applyFont="1" applyFill="1" applyBorder="1" applyAlignment="1">
      <alignment vertical="center"/>
    </xf>
    <xf numFmtId="0" fontId="79" fillId="14" borderId="122" xfId="0" applyFont="1" applyFill="1" applyBorder="1" applyAlignment="1">
      <alignment vertical="center"/>
    </xf>
    <xf numFmtId="3" fontId="80" fillId="0" borderId="6" xfId="0" applyNumberFormat="1" applyFont="1" applyFill="1" applyBorder="1" applyAlignment="1">
      <alignment vertical="center"/>
    </xf>
    <xf numFmtId="0" fontId="79" fillId="0" borderId="0" xfId="0" applyFont="1" applyFill="1" applyBorder="1" applyAlignment="1">
      <alignment vertical="center"/>
    </xf>
    <xf numFmtId="0" fontId="79" fillId="0" borderId="121" xfId="0" applyFont="1" applyFill="1" applyBorder="1" applyAlignment="1">
      <alignment vertical="center"/>
    </xf>
    <xf numFmtId="0" fontId="79" fillId="14" borderId="36" xfId="0" applyFont="1" applyFill="1" applyBorder="1" applyAlignment="1">
      <alignment vertical="center"/>
    </xf>
    <xf numFmtId="3" fontId="79" fillId="14" borderId="63" xfId="0" applyNumberFormat="1" applyFont="1" applyFill="1" applyBorder="1" applyAlignment="1">
      <alignment vertical="center"/>
    </xf>
    <xf numFmtId="0" fontId="79" fillId="14" borderId="62" xfId="0" applyFont="1" applyFill="1" applyBorder="1" applyAlignment="1">
      <alignment vertical="center"/>
    </xf>
    <xf numFmtId="0" fontId="79" fillId="14" borderId="123" xfId="0" applyFont="1" applyFill="1" applyBorder="1" applyAlignment="1">
      <alignment vertical="center"/>
    </xf>
    <xf numFmtId="2" fontId="79" fillId="14" borderId="6" xfId="0" applyNumberFormat="1" applyFont="1" applyFill="1" applyBorder="1" applyAlignment="1">
      <alignment vertical="center"/>
    </xf>
    <xf numFmtId="0" fontId="79" fillId="14" borderId="6" xfId="0" applyFont="1" applyFill="1" applyBorder="1" applyAlignment="1">
      <alignment vertical="center"/>
    </xf>
    <xf numFmtId="3" fontId="79" fillId="14" borderId="128" xfId="0" applyNumberFormat="1" applyFont="1" applyFill="1" applyBorder="1" applyAlignment="1">
      <alignment vertical="center"/>
    </xf>
    <xf numFmtId="2" fontId="79" fillId="14" borderId="126" xfId="0" applyNumberFormat="1" applyFont="1" applyFill="1" applyBorder="1" applyAlignment="1">
      <alignment vertical="center" wrapText="1"/>
    </xf>
    <xf numFmtId="0" fontId="79" fillId="14" borderId="0" xfId="0" applyFont="1" applyFill="1" applyBorder="1" applyAlignment="1">
      <alignment vertical="center" wrapText="1"/>
    </xf>
    <xf numFmtId="0" fontId="79" fillId="14" borderId="121" xfId="0" applyFont="1" applyFill="1" applyBorder="1" applyAlignment="1">
      <alignment vertical="center" wrapText="1"/>
    </xf>
    <xf numFmtId="0" fontId="79" fillId="14" borderId="126" xfId="0" applyFont="1" applyFill="1" applyBorder="1" applyAlignment="1">
      <alignment vertical="center"/>
    </xf>
    <xf numFmtId="3" fontId="80" fillId="0" borderId="126" xfId="0" applyNumberFormat="1" applyFont="1" applyFill="1" applyBorder="1" applyAlignment="1">
      <alignment vertical="center"/>
    </xf>
    <xf numFmtId="3" fontId="80" fillId="0" borderId="127" xfId="0" applyNumberFormat="1" applyFont="1" applyFill="1" applyBorder="1" applyAlignment="1">
      <alignment vertical="center"/>
    </xf>
    <xf numFmtId="3" fontId="79" fillId="14" borderId="127" xfId="0" applyNumberFormat="1" applyFont="1" applyFill="1" applyBorder="1" applyAlignment="1">
      <alignment vertical="center"/>
    </xf>
    <xf numFmtId="0" fontId="79" fillId="0" borderId="44" xfId="0" applyFont="1" applyFill="1" applyBorder="1" applyAlignment="1">
      <alignment horizontal="center" vertical="center"/>
    </xf>
    <xf numFmtId="0" fontId="79" fillId="14" borderId="44" xfId="0" applyFont="1" applyFill="1" applyBorder="1" applyAlignment="1">
      <alignment vertical="center" wrapText="1"/>
    </xf>
    <xf numFmtId="0" fontId="74" fillId="14" borderId="0" xfId="0" applyFont="1" applyFill="1" applyBorder="1" applyAlignment="1">
      <alignment horizontal="center" vertical="center"/>
    </xf>
    <xf numFmtId="0" fontId="74" fillId="14" borderId="2" xfId="0" applyFont="1" applyFill="1" applyBorder="1" applyAlignment="1">
      <alignment horizontal="center" vertical="center"/>
    </xf>
    <xf numFmtId="3" fontId="79" fillId="14" borderId="2" xfId="0" applyNumberFormat="1" applyFont="1" applyFill="1" applyBorder="1" applyAlignment="1">
      <alignment vertical="center"/>
    </xf>
    <xf numFmtId="3" fontId="80" fillId="14" borderId="2" xfId="0" applyNumberFormat="1" applyFont="1" applyFill="1" applyBorder="1" applyAlignment="1">
      <alignment vertical="center"/>
    </xf>
    <xf numFmtId="0" fontId="79" fillId="14" borderId="127" xfId="0" applyFont="1" applyFill="1" applyBorder="1" applyAlignment="1">
      <alignment vertical="center"/>
    </xf>
    <xf numFmtId="3" fontId="79" fillId="14" borderId="34" xfId="0" applyNumberFormat="1" applyFont="1" applyFill="1" applyBorder="1" applyAlignment="1">
      <alignment vertical="center"/>
    </xf>
    <xf numFmtId="3" fontId="79" fillId="14" borderId="4" xfId="0" applyNumberFormat="1" applyFont="1" applyFill="1" applyBorder="1" applyAlignment="1">
      <alignment vertical="center"/>
    </xf>
    <xf numFmtId="3" fontId="79" fillId="0" borderId="0" xfId="0" applyNumberFormat="1" applyFont="1" applyFill="1" applyBorder="1" applyAlignment="1">
      <alignment vertical="center"/>
    </xf>
    <xf numFmtId="3" fontId="79" fillId="0" borderId="2" xfId="0" applyNumberFormat="1" applyFont="1" applyFill="1" applyBorder="1" applyAlignment="1">
      <alignment vertical="center"/>
    </xf>
    <xf numFmtId="0" fontId="79" fillId="14" borderId="2" xfId="0" applyFont="1" applyFill="1" applyBorder="1" applyAlignment="1">
      <alignment vertical="center"/>
    </xf>
    <xf numFmtId="3" fontId="79" fillId="14" borderId="62" xfId="0" applyNumberFormat="1" applyFont="1" applyFill="1" applyBorder="1" applyAlignment="1">
      <alignment vertical="center"/>
    </xf>
    <xf numFmtId="3" fontId="79" fillId="14" borderId="44" xfId="0" applyNumberFormat="1" applyFont="1" applyFill="1" applyBorder="1" applyAlignment="1">
      <alignment vertical="center"/>
    </xf>
    <xf numFmtId="3" fontId="79" fillId="0" borderId="34" xfId="0" applyNumberFormat="1" applyFont="1" applyFill="1" applyBorder="1" applyAlignment="1">
      <alignment vertical="center"/>
    </xf>
    <xf numFmtId="3" fontId="79" fillId="0" borderId="4" xfId="0" applyNumberFormat="1" applyFont="1" applyFill="1" applyBorder="1" applyAlignment="1">
      <alignment vertical="center"/>
    </xf>
    <xf numFmtId="0" fontId="79" fillId="14" borderId="4" xfId="0" applyFont="1" applyFill="1" applyBorder="1" applyAlignment="1">
      <alignment vertical="center"/>
    </xf>
    <xf numFmtId="0" fontId="79" fillId="14" borderId="44" xfId="0" applyFont="1" applyFill="1" applyBorder="1" applyAlignment="1">
      <alignment vertical="center"/>
    </xf>
    <xf numFmtId="0" fontId="79" fillId="0" borderId="2" xfId="0" applyFont="1" applyFill="1" applyBorder="1" applyAlignment="1">
      <alignment vertical="center"/>
    </xf>
    <xf numFmtId="0" fontId="79" fillId="0" borderId="4" xfId="0" applyFont="1" applyFill="1" applyBorder="1" applyAlignment="1">
      <alignment vertical="center"/>
    </xf>
    <xf numFmtId="3" fontId="80" fillId="14" borderId="6" xfId="0" applyNumberFormat="1" applyFont="1" applyFill="1" applyBorder="1" applyAlignment="1">
      <alignment vertical="center" shrinkToFit="1"/>
    </xf>
    <xf numFmtId="0" fontId="79" fillId="14" borderId="0" xfId="0" applyFont="1" applyFill="1" applyBorder="1" applyAlignment="1">
      <alignment vertical="center" shrinkToFit="1"/>
    </xf>
    <xf numFmtId="0" fontId="79" fillId="14" borderId="2" xfId="0" applyFont="1" applyFill="1" applyBorder="1" applyAlignment="1">
      <alignment vertical="center" shrinkToFit="1"/>
    </xf>
    <xf numFmtId="0" fontId="74" fillId="0" borderId="62" xfId="0" applyFont="1" applyFill="1" applyBorder="1" applyAlignment="1">
      <alignment horizontal="center" vertical="center"/>
    </xf>
    <xf numFmtId="0" fontId="74" fillId="0" borderId="44" xfId="0" applyFont="1" applyFill="1" applyBorder="1" applyAlignment="1">
      <alignment horizontal="center" vertical="center"/>
    </xf>
    <xf numFmtId="0" fontId="79" fillId="14" borderId="6" xfId="0" applyFont="1" applyFill="1" applyBorder="1" applyAlignment="1">
      <alignment horizontal="center" vertical="center"/>
    </xf>
    <xf numFmtId="3" fontId="80" fillId="0" borderId="0" xfId="0" applyNumberFormat="1" applyFont="1" applyFill="1" applyBorder="1" applyAlignment="1">
      <alignment vertical="center"/>
    </xf>
    <xf numFmtId="3" fontId="80" fillId="0" borderId="2" xfId="0" applyNumberFormat="1" applyFont="1" applyFill="1" applyBorder="1" applyAlignment="1">
      <alignment vertical="center"/>
    </xf>
    <xf numFmtId="3" fontId="80" fillId="0" borderId="34" xfId="0" applyNumberFormat="1" applyFont="1" applyFill="1" applyBorder="1" applyAlignment="1">
      <alignment vertical="center"/>
    </xf>
    <xf numFmtId="3" fontId="80" fillId="0" borderId="4" xfId="0" applyNumberFormat="1" applyFont="1" applyFill="1" applyBorder="1" applyAlignment="1">
      <alignment vertical="center"/>
    </xf>
    <xf numFmtId="2" fontId="84" fillId="14" borderId="6" xfId="0" applyNumberFormat="1" applyFont="1" applyFill="1" applyBorder="1" applyAlignment="1">
      <alignment vertical="center"/>
    </xf>
    <xf numFmtId="0" fontId="84" fillId="14" borderId="0" xfId="0" applyFont="1" applyFill="1" applyBorder="1" applyAlignment="1">
      <alignment vertical="center"/>
    </xf>
    <xf numFmtId="0" fontId="84" fillId="14" borderId="2" xfId="0" applyFont="1" applyFill="1" applyBorder="1" applyAlignment="1">
      <alignment vertical="center"/>
    </xf>
    <xf numFmtId="3" fontId="80" fillId="14" borderId="63" xfId="0" applyNumberFormat="1" applyFont="1" applyFill="1" applyBorder="1" applyAlignment="1">
      <alignment vertical="center"/>
    </xf>
    <xf numFmtId="3" fontId="83" fillId="14" borderId="6" xfId="0" applyNumberFormat="1" applyFont="1" applyFill="1" applyBorder="1" applyAlignment="1">
      <alignment horizontal="center" vertical="center"/>
    </xf>
    <xf numFmtId="2" fontId="80" fillId="14" borderId="6" xfId="0" applyNumberFormat="1" applyFont="1" applyFill="1" applyBorder="1" applyAlignment="1">
      <alignment vertical="center"/>
    </xf>
    <xf numFmtId="2" fontId="79" fillId="14" borderId="0" xfId="0" applyNumberFormat="1" applyFont="1" applyFill="1" applyBorder="1" applyAlignment="1">
      <alignment vertical="center"/>
    </xf>
    <xf numFmtId="2" fontId="79" fillId="14" borderId="2" xfId="0" applyNumberFormat="1" applyFont="1" applyFill="1" applyBorder="1" applyAlignment="1">
      <alignment vertical="center"/>
    </xf>
    <xf numFmtId="3" fontId="80" fillId="14" borderId="36" xfId="0" applyNumberFormat="1" applyFont="1" applyFill="1" applyBorder="1" applyAlignment="1">
      <alignment vertical="center"/>
    </xf>
    <xf numFmtId="0" fontId="86" fillId="0" borderId="69" xfId="0" applyFont="1" applyFill="1" applyBorder="1" applyAlignment="1">
      <alignment horizontal="left" vertical="center" wrapText="1"/>
    </xf>
    <xf numFmtId="0" fontId="86" fillId="0" borderId="0" xfId="0" applyFont="1" applyFill="1" applyBorder="1" applyAlignment="1">
      <alignment horizontal="left" vertical="center" wrapText="1"/>
    </xf>
    <xf numFmtId="0" fontId="87" fillId="0" borderId="0" xfId="0" applyFont="1" applyBorder="1" applyAlignment="1">
      <alignment horizontal="left" vertical="center" wrapText="1"/>
    </xf>
    <xf numFmtId="0" fontId="87" fillId="0" borderId="0" xfId="0" applyFont="1" applyAlignment="1">
      <alignment horizontal="left" vertical="center" wrapText="1"/>
    </xf>
    <xf numFmtId="0" fontId="88" fillId="0" borderId="0" xfId="0" applyFont="1" applyFill="1" applyAlignment="1">
      <alignment horizontal="left" vertical="center" wrapText="1"/>
    </xf>
    <xf numFmtId="0" fontId="78" fillId="0" borderId="0" xfId="0" applyFont="1" applyAlignment="1">
      <alignment vertical="center" wrapText="1"/>
    </xf>
    <xf numFmtId="0" fontId="9" fillId="0" borderId="129" xfId="0" applyFont="1" applyFill="1" applyBorder="1" applyAlignment="1">
      <alignment horizontal="center" vertical="center" wrapText="1"/>
    </xf>
    <xf numFmtId="0" fontId="9" fillId="0" borderId="130" xfId="0" applyFont="1" applyFill="1" applyBorder="1" applyAlignment="1">
      <alignment horizontal="center" vertical="center" wrapText="1"/>
    </xf>
    <xf numFmtId="0" fontId="9" fillId="0" borderId="97" xfId="0" applyFont="1" applyFill="1" applyBorder="1" applyAlignment="1">
      <alignment horizontal="center" vertical="center"/>
    </xf>
    <xf numFmtId="0" fontId="9" fillId="0" borderId="75" xfId="0" applyFont="1" applyFill="1" applyBorder="1" applyAlignment="1">
      <alignment horizontal="center" vertical="center"/>
    </xf>
    <xf numFmtId="0" fontId="9" fillId="0" borderId="99" xfId="0" applyFont="1" applyFill="1" applyBorder="1" applyAlignment="1">
      <alignment horizontal="center" vertical="center"/>
    </xf>
    <xf numFmtId="0" fontId="9" fillId="0" borderId="101" xfId="0" applyFont="1" applyFill="1" applyBorder="1" applyAlignment="1">
      <alignment horizontal="center" vertical="center"/>
    </xf>
    <xf numFmtId="0" fontId="9" fillId="0" borderId="66" xfId="0" applyFont="1" applyFill="1" applyBorder="1" applyAlignment="1">
      <alignment horizontal="center" vertical="center"/>
    </xf>
    <xf numFmtId="0" fontId="9" fillId="0" borderId="48" xfId="0" applyFont="1" applyFill="1" applyBorder="1" applyAlignment="1">
      <alignment horizontal="center" vertical="center"/>
    </xf>
    <xf numFmtId="0" fontId="9" fillId="0" borderId="54" xfId="0" applyFont="1" applyFill="1" applyBorder="1" applyAlignment="1">
      <alignment horizontal="center" vertical="center"/>
    </xf>
    <xf numFmtId="3" fontId="15" fillId="12" borderId="6" xfId="0" applyNumberFormat="1" applyFont="1" applyFill="1" applyBorder="1" applyAlignment="1">
      <alignment vertical="center"/>
    </xf>
    <xf numFmtId="0" fontId="8" fillId="12" borderId="0" xfId="0" applyFont="1" applyFill="1" applyBorder="1" applyAlignment="1">
      <alignment vertical="center"/>
    </xf>
    <xf numFmtId="0" fontId="8" fillId="12" borderId="2" xfId="0" applyFont="1" applyFill="1" applyBorder="1" applyAlignment="1">
      <alignment vertical="center"/>
    </xf>
    <xf numFmtId="0" fontId="9" fillId="0" borderId="131" xfId="0" applyFont="1" applyFill="1" applyBorder="1" applyAlignment="1">
      <alignment horizontal="center" vertical="center"/>
    </xf>
    <xf numFmtId="0" fontId="8" fillId="0" borderId="91" xfId="0" applyFont="1" applyFill="1" applyBorder="1" applyAlignment="1">
      <alignment horizontal="center" vertical="center"/>
    </xf>
    <xf numFmtId="0" fontId="8" fillId="0" borderId="132" xfId="0" applyFont="1" applyFill="1" applyBorder="1" applyAlignment="1">
      <alignment horizontal="center" vertical="center"/>
    </xf>
    <xf numFmtId="0" fontId="9" fillId="12" borderId="63" xfId="0" applyFont="1" applyFill="1" applyBorder="1" applyAlignment="1">
      <alignment horizontal="center" vertical="center"/>
    </xf>
    <xf numFmtId="0" fontId="8" fillId="12" borderId="62" xfId="0" applyFont="1" applyFill="1" applyBorder="1" applyAlignment="1">
      <alignment horizontal="center" vertical="center"/>
    </xf>
    <xf numFmtId="0" fontId="8" fillId="12" borderId="44" xfId="0" applyFont="1" applyFill="1" applyBorder="1" applyAlignment="1">
      <alignment horizontal="center" vertical="center"/>
    </xf>
    <xf numFmtId="3" fontId="7" fillId="12" borderId="6" xfId="0" applyNumberFormat="1" applyFont="1" applyFill="1" applyBorder="1" applyAlignment="1">
      <alignment vertical="center"/>
    </xf>
    <xf numFmtId="3" fontId="15" fillId="12" borderId="6" xfId="0" applyNumberFormat="1" applyFont="1" applyFill="1" applyBorder="1" applyAlignment="1">
      <alignment vertical="center" shrinkToFit="1"/>
    </xf>
    <xf numFmtId="0" fontId="8" fillId="12" borderId="0" xfId="0" applyFont="1" applyFill="1" applyBorder="1" applyAlignment="1">
      <alignment vertical="center" shrinkToFit="1"/>
    </xf>
    <xf numFmtId="0" fontId="8" fillId="12" borderId="2" xfId="0" applyFont="1" applyFill="1" applyBorder="1" applyAlignment="1">
      <alignment vertical="center" shrinkToFit="1"/>
    </xf>
    <xf numFmtId="2" fontId="7" fillId="12" borderId="6" xfId="0" applyNumberFormat="1" applyFont="1" applyFill="1" applyBorder="1" applyAlignment="1">
      <alignment vertical="center"/>
    </xf>
    <xf numFmtId="2" fontId="7" fillId="12" borderId="6" xfId="0" applyNumberFormat="1" applyFont="1" applyFill="1" applyBorder="1" applyAlignment="1">
      <alignment vertical="center" shrinkToFit="1"/>
    </xf>
    <xf numFmtId="0" fontId="7" fillId="12" borderId="36" xfId="0" applyFont="1" applyFill="1" applyBorder="1" applyAlignment="1">
      <alignment vertical="center"/>
    </xf>
    <xf numFmtId="0" fontId="8" fillId="12" borderId="34" xfId="0" applyFont="1" applyFill="1" applyBorder="1" applyAlignment="1">
      <alignment vertical="center"/>
    </xf>
    <xf numFmtId="0" fontId="8" fillId="12" borderId="4" xfId="0" applyFont="1" applyFill="1" applyBorder="1" applyAlignment="1">
      <alignment vertical="center"/>
    </xf>
    <xf numFmtId="0" fontId="7" fillId="12" borderId="63" xfId="0" applyFont="1" applyFill="1" applyBorder="1" applyAlignment="1">
      <alignment horizontal="center" vertical="center"/>
    </xf>
    <xf numFmtId="0" fontId="7" fillId="12" borderId="6" xfId="0" applyFont="1" applyFill="1" applyBorder="1" applyAlignment="1">
      <alignment horizontal="center" vertical="center"/>
    </xf>
    <xf numFmtId="0" fontId="8" fillId="12" borderId="0" xfId="0" applyFont="1" applyFill="1" applyBorder="1" applyAlignment="1">
      <alignment horizontal="center" vertical="center"/>
    </xf>
    <xf numFmtId="0" fontId="8" fillId="12" borderId="2" xfId="0" applyFont="1" applyFill="1" applyBorder="1" applyAlignment="1">
      <alignment horizontal="center" vertical="center"/>
    </xf>
    <xf numFmtId="3" fontId="15" fillId="12" borderId="69" xfId="0" applyNumberFormat="1" applyFont="1" applyFill="1" applyBorder="1" applyAlignment="1">
      <alignment horizontal="center" vertical="center"/>
    </xf>
    <xf numFmtId="3" fontId="15" fillId="12" borderId="0" xfId="0" applyNumberFormat="1" applyFont="1" applyFill="1" applyBorder="1" applyAlignment="1">
      <alignment horizontal="center" vertical="center"/>
    </xf>
    <xf numFmtId="3" fontId="15" fillId="12" borderId="2" xfId="0" applyNumberFormat="1" applyFont="1" applyFill="1" applyBorder="1" applyAlignment="1">
      <alignment horizontal="center" vertical="center"/>
    </xf>
    <xf numFmtId="0" fontId="7" fillId="12" borderId="6" xfId="0" applyFont="1" applyFill="1" applyBorder="1" applyAlignment="1">
      <alignment vertical="center"/>
    </xf>
    <xf numFmtId="3" fontId="15" fillId="12" borderId="6" xfId="0" applyNumberFormat="1" applyFont="1" applyFill="1" applyBorder="1" applyAlignment="1">
      <alignment horizontal="center" vertical="center"/>
    </xf>
    <xf numFmtId="3" fontId="7" fillId="12" borderId="63" xfId="0" applyNumberFormat="1" applyFont="1" applyFill="1" applyBorder="1" applyAlignment="1">
      <alignment vertical="center"/>
    </xf>
    <xf numFmtId="0" fontId="8" fillId="12" borderId="62" xfId="0" applyFont="1" applyFill="1" applyBorder="1" applyAlignment="1">
      <alignment vertical="center"/>
    </xf>
    <xf numFmtId="0" fontId="8" fillId="12" borderId="44" xfId="0" applyFont="1" applyFill="1" applyBorder="1" applyAlignment="1">
      <alignment vertical="center"/>
    </xf>
    <xf numFmtId="0" fontId="15" fillId="12" borderId="6" xfId="0" applyFont="1" applyFill="1" applyBorder="1" applyAlignment="1">
      <alignment vertical="center"/>
    </xf>
    <xf numFmtId="3" fontId="7" fillId="12" borderId="36" xfId="0" applyNumberFormat="1" applyFont="1" applyFill="1" applyBorder="1" applyAlignment="1">
      <alignment vertical="center"/>
    </xf>
    <xf numFmtId="3" fontId="21" fillId="12" borderId="0" xfId="0" applyNumberFormat="1" applyFont="1" applyFill="1" applyBorder="1" applyAlignment="1">
      <alignment vertical="center"/>
    </xf>
    <xf numFmtId="3" fontId="21" fillId="12" borderId="2" xfId="0" applyNumberFormat="1" applyFont="1" applyFill="1" applyBorder="1" applyAlignment="1">
      <alignment vertical="center"/>
    </xf>
    <xf numFmtId="3" fontId="8" fillId="12" borderId="0" xfId="0" applyNumberFormat="1" applyFont="1" applyFill="1" applyBorder="1" applyAlignment="1">
      <alignment vertical="center"/>
    </xf>
    <xf numFmtId="3" fontId="8" fillId="12" borderId="2" xfId="0" applyNumberFormat="1" applyFont="1" applyFill="1" applyBorder="1" applyAlignment="1">
      <alignment vertical="center"/>
    </xf>
    <xf numFmtId="0" fontId="7" fillId="0" borderId="91" xfId="0" applyFont="1" applyFill="1" applyBorder="1" applyAlignment="1">
      <alignment horizontal="center" vertical="center"/>
    </xf>
    <xf numFmtId="0" fontId="7" fillId="12" borderId="62" xfId="0" applyFont="1" applyFill="1" applyBorder="1" applyAlignment="1">
      <alignment horizontal="center" vertical="center"/>
    </xf>
    <xf numFmtId="0" fontId="7" fillId="12" borderId="44" xfId="0" applyFont="1" applyFill="1" applyBorder="1" applyAlignment="1">
      <alignment horizontal="center" vertical="center"/>
    </xf>
    <xf numFmtId="0" fontId="73" fillId="12" borderId="6" xfId="0" applyFont="1" applyFill="1" applyBorder="1" applyAlignment="1">
      <alignment horizontal="left" vertical="center" wrapText="1"/>
    </xf>
    <xf numFmtId="0" fontId="73" fillId="12" borderId="0" xfId="0" applyFont="1" applyFill="1" applyBorder="1" applyAlignment="1">
      <alignment horizontal="left" vertical="center" wrapText="1"/>
    </xf>
    <xf numFmtId="0" fontId="73" fillId="12" borderId="2" xfId="0" applyFont="1" applyFill="1" applyBorder="1" applyAlignment="1">
      <alignment horizontal="left" vertical="center" wrapText="1"/>
    </xf>
    <xf numFmtId="0" fontId="21" fillId="12" borderId="0" xfId="0" applyFont="1" applyFill="1" applyBorder="1" applyAlignment="1">
      <alignment vertical="center"/>
    </xf>
    <xf numFmtId="0" fontId="21" fillId="12" borderId="2" xfId="0" applyFont="1" applyFill="1" applyBorder="1" applyAlignment="1">
      <alignment vertical="center"/>
    </xf>
    <xf numFmtId="3" fontId="7" fillId="12" borderId="62" xfId="0" applyNumberFormat="1" applyFont="1" applyFill="1" applyBorder="1" applyAlignment="1">
      <alignment vertical="center"/>
    </xf>
    <xf numFmtId="3" fontId="7" fillId="12" borderId="44" xfId="0" applyNumberFormat="1" applyFont="1" applyFill="1" applyBorder="1" applyAlignment="1">
      <alignment vertical="center"/>
    </xf>
    <xf numFmtId="3" fontId="7" fillId="12" borderId="0" xfId="0" applyNumberFormat="1" applyFont="1" applyFill="1" applyBorder="1" applyAlignment="1">
      <alignment vertical="center"/>
    </xf>
    <xf numFmtId="3" fontId="7" fillId="12" borderId="2" xfId="0" applyNumberFormat="1" applyFont="1" applyFill="1" applyBorder="1" applyAlignment="1">
      <alignment vertical="center"/>
    </xf>
    <xf numFmtId="0" fontId="7" fillId="12" borderId="0" xfId="0" applyFont="1" applyFill="1" applyBorder="1" applyAlignment="1">
      <alignment vertical="center"/>
    </xf>
    <xf numFmtId="0" fontId="7" fillId="12" borderId="2" xfId="0" applyFont="1" applyFill="1" applyBorder="1" applyAlignment="1">
      <alignment vertical="center"/>
    </xf>
    <xf numFmtId="3" fontId="7" fillId="12" borderId="34" xfId="0" applyNumberFormat="1" applyFont="1" applyFill="1" applyBorder="1" applyAlignment="1">
      <alignment vertical="center"/>
    </xf>
    <xf numFmtId="3" fontId="7" fillId="12" borderId="4" xfId="0" applyNumberFormat="1" applyFont="1" applyFill="1" applyBorder="1" applyAlignment="1">
      <alignment vertical="center"/>
    </xf>
    <xf numFmtId="0" fontId="7" fillId="0" borderId="132" xfId="0" applyFont="1" applyFill="1" applyBorder="1" applyAlignment="1">
      <alignment horizontal="center" vertical="center"/>
    </xf>
    <xf numFmtId="0" fontId="9" fillId="0" borderId="63" xfId="0" applyFont="1" applyFill="1" applyBorder="1" applyAlignment="1">
      <alignment horizontal="center" vertical="center"/>
    </xf>
    <xf numFmtId="0" fontId="7" fillId="0" borderId="62" xfId="0" applyFont="1" applyFill="1" applyBorder="1" applyAlignment="1">
      <alignment horizontal="center" vertical="center"/>
    </xf>
    <xf numFmtId="0" fontId="7" fillId="0" borderId="44" xfId="0" applyFont="1" applyFill="1" applyBorder="1" applyAlignment="1">
      <alignment horizontal="center" vertical="center"/>
    </xf>
    <xf numFmtId="0" fontId="9" fillId="12" borderId="62" xfId="0" applyFont="1" applyFill="1" applyBorder="1" applyAlignment="1">
      <alignment horizontal="center" vertical="center"/>
    </xf>
    <xf numFmtId="0" fontId="9" fillId="12" borderId="44" xfId="0" applyFont="1" applyFill="1" applyBorder="1" applyAlignment="1">
      <alignment horizontal="center" vertical="center"/>
    </xf>
    <xf numFmtId="0" fontId="7" fillId="12" borderId="34" xfId="0" applyFont="1" applyFill="1" applyBorder="1" applyAlignment="1">
      <alignment vertical="center"/>
    </xf>
    <xf numFmtId="3" fontId="73" fillId="12" borderId="6" xfId="0" applyNumberFormat="1" applyFont="1" applyFill="1" applyBorder="1" applyAlignment="1">
      <alignment horizontal="left" vertical="center" wrapText="1"/>
    </xf>
    <xf numFmtId="0" fontId="8" fillId="12" borderId="6" xfId="0" applyFont="1" applyFill="1" applyBorder="1" applyAlignment="1">
      <alignment vertical="center"/>
    </xf>
    <xf numFmtId="3" fontId="8" fillId="12" borderId="6" xfId="0" applyNumberFormat="1" applyFont="1" applyFill="1" applyBorder="1" applyAlignment="1">
      <alignment vertical="center"/>
    </xf>
    <xf numFmtId="0" fontId="8" fillId="12" borderId="0" xfId="0" applyFont="1" applyFill="1" applyBorder="1" applyAlignment="1">
      <alignment horizontal="left" vertical="center" wrapText="1"/>
    </xf>
    <xf numFmtId="0" fontId="8" fillId="12" borderId="2" xfId="0" applyFont="1" applyFill="1" applyBorder="1" applyAlignment="1">
      <alignment horizontal="left" vertical="center" wrapText="1"/>
    </xf>
    <xf numFmtId="0" fontId="7" fillId="12" borderId="0" xfId="0" applyFont="1" applyFill="1" applyBorder="1" applyAlignment="1">
      <alignment horizontal="center" vertical="center"/>
    </xf>
    <xf numFmtId="0" fontId="7" fillId="12" borderId="2" xfId="0" applyFont="1" applyFill="1" applyBorder="1" applyAlignment="1">
      <alignment horizontal="center" vertical="center"/>
    </xf>
    <xf numFmtId="37" fontId="7" fillId="32" borderId="75" xfId="0" applyNumberFormat="1" applyFont="1" applyFill="1" applyBorder="1" applyAlignment="1">
      <alignment vertical="center"/>
    </xf>
    <xf numFmtId="0" fontId="7" fillId="0" borderId="0" xfId="0" applyFont="1" applyBorder="1" applyAlignment="1"/>
    <xf numFmtId="0" fontId="7" fillId="0" borderId="7" xfId="0" applyFont="1" applyFill="1" applyBorder="1" applyAlignment="1"/>
    <xf numFmtId="0" fontId="0" fillId="0" borderId="8" xfId="0" applyBorder="1" applyAlignment="1"/>
    <xf numFmtId="0" fontId="0" fillId="0" borderId="39" xfId="0" applyBorder="1" applyAlignment="1"/>
    <xf numFmtId="171" fontId="7" fillId="0" borderId="97" xfId="0" applyNumberFormat="1" applyFont="1" applyBorder="1" applyAlignment="1">
      <alignment horizontal="center" vertical="center"/>
    </xf>
    <xf numFmtId="171" fontId="7" fillId="0" borderId="102" xfId="0" applyNumberFormat="1" applyFont="1" applyBorder="1" applyAlignment="1">
      <alignment horizontal="center" vertical="center"/>
    </xf>
    <xf numFmtId="37" fontId="7" fillId="32" borderId="141" xfId="0" applyNumberFormat="1" applyFont="1" applyFill="1" applyBorder="1" applyAlignment="1">
      <alignment vertical="center"/>
    </xf>
    <xf numFmtId="0" fontId="0" fillId="0" borderId="32" xfId="0" applyBorder="1" applyAlignment="1">
      <alignment vertical="center"/>
    </xf>
    <xf numFmtId="0" fontId="0" fillId="0" borderId="138" xfId="0" applyBorder="1" applyAlignment="1">
      <alignment vertical="center"/>
    </xf>
    <xf numFmtId="37" fontId="7" fillId="32" borderId="101" xfId="0" applyNumberFormat="1" applyFont="1" applyFill="1" applyBorder="1" applyAlignment="1">
      <alignment vertical="center"/>
    </xf>
    <xf numFmtId="0" fontId="0" fillId="0" borderId="103" xfId="0" applyBorder="1" applyAlignment="1">
      <alignment vertical="center"/>
    </xf>
    <xf numFmtId="0" fontId="7" fillId="32" borderId="97" xfId="0" applyFont="1" applyFill="1" applyBorder="1" applyAlignment="1">
      <alignment horizontal="center" vertical="center"/>
    </xf>
    <xf numFmtId="0" fontId="7" fillId="32" borderId="102" xfId="0" applyFont="1" applyFill="1" applyBorder="1" applyAlignment="1">
      <alignment horizontal="center" vertical="center"/>
    </xf>
    <xf numFmtId="0" fontId="7" fillId="32" borderId="141" xfId="0" applyFont="1" applyFill="1" applyBorder="1" applyAlignment="1">
      <alignment horizontal="center" vertical="center"/>
    </xf>
    <xf numFmtId="0" fontId="7" fillId="32" borderId="32" xfId="0" applyFont="1" applyFill="1" applyBorder="1" applyAlignment="1">
      <alignment horizontal="center" vertical="center"/>
    </xf>
    <xf numFmtId="37" fontId="7" fillId="32" borderId="138" xfId="0" applyNumberFormat="1" applyFont="1" applyFill="1" applyBorder="1" applyAlignment="1">
      <alignment vertical="center"/>
    </xf>
    <xf numFmtId="171" fontId="7" fillId="0" borderId="100" xfId="0" applyNumberFormat="1" applyFont="1" applyBorder="1" applyAlignment="1">
      <alignment horizontal="center" vertical="center"/>
    </xf>
    <xf numFmtId="171" fontId="7" fillId="0" borderId="23" xfId="0" applyNumberFormat="1" applyFont="1" applyBorder="1" applyAlignment="1">
      <alignment horizontal="center" vertical="center"/>
    </xf>
    <xf numFmtId="37" fontId="7" fillId="32" borderId="30" xfId="0" applyNumberFormat="1" applyFont="1" applyFill="1" applyBorder="1" applyAlignment="1">
      <alignment vertical="center"/>
    </xf>
    <xf numFmtId="37" fontId="7" fillId="32" borderId="24" xfId="0" applyNumberFormat="1" applyFont="1" applyFill="1" applyBorder="1" applyAlignment="1">
      <alignment vertical="center"/>
    </xf>
    <xf numFmtId="37" fontId="7" fillId="32" borderId="98" xfId="0" applyNumberFormat="1" applyFont="1" applyFill="1" applyBorder="1" applyAlignment="1">
      <alignment vertical="center"/>
    </xf>
    <xf numFmtId="37" fontId="7" fillId="32" borderId="20" xfId="0" applyNumberFormat="1" applyFont="1" applyFill="1" applyBorder="1" applyAlignment="1">
      <alignment vertical="center"/>
    </xf>
    <xf numFmtId="37" fontId="7" fillId="32" borderId="32" xfId="0" applyNumberFormat="1" applyFont="1" applyFill="1" applyBorder="1" applyAlignment="1">
      <alignment vertical="center"/>
    </xf>
    <xf numFmtId="37" fontId="7" fillId="32" borderId="99" xfId="0" applyNumberFormat="1" applyFont="1" applyFill="1" applyBorder="1" applyAlignment="1">
      <alignment horizontal="center" vertical="center"/>
    </xf>
    <xf numFmtId="37" fontId="7" fillId="32" borderId="140" xfId="0" applyNumberFormat="1" applyFont="1" applyFill="1" applyBorder="1" applyAlignment="1">
      <alignment horizontal="center" vertical="center"/>
    </xf>
    <xf numFmtId="37" fontId="7" fillId="32" borderId="107" xfId="0" applyNumberFormat="1" applyFont="1" applyFill="1" applyBorder="1" applyAlignment="1">
      <alignment horizontal="center" vertical="center"/>
    </xf>
    <xf numFmtId="37" fontId="7" fillId="32" borderId="41" xfId="0" applyNumberFormat="1" applyFont="1" applyFill="1" applyBorder="1" applyAlignment="1">
      <alignment horizontal="center" vertical="center"/>
    </xf>
    <xf numFmtId="37" fontId="7" fillId="32" borderId="103" xfId="0" applyNumberFormat="1" applyFont="1" applyFill="1" applyBorder="1" applyAlignment="1">
      <alignment vertical="center"/>
    </xf>
    <xf numFmtId="0" fontId="7" fillId="0" borderId="20" xfId="0" applyFont="1" applyBorder="1" applyAlignment="1">
      <alignment vertical="center"/>
    </xf>
    <xf numFmtId="37" fontId="7" fillId="32" borderId="98" xfId="0" applyNumberFormat="1" applyFont="1" applyFill="1" applyBorder="1" applyAlignment="1">
      <alignment horizontal="center" vertical="center"/>
    </xf>
    <xf numFmtId="37" fontId="7" fillId="32" borderId="25" xfId="0" applyNumberFormat="1" applyFont="1" applyFill="1" applyBorder="1" applyAlignment="1">
      <alignment horizontal="center" vertical="center"/>
    </xf>
    <xf numFmtId="37" fontId="7" fillId="32" borderId="74" xfId="0" applyNumberFormat="1" applyFont="1" applyFill="1" applyBorder="1" applyAlignment="1">
      <alignment horizontal="center" vertical="center"/>
    </xf>
    <xf numFmtId="37" fontId="7" fillId="32" borderId="108" xfId="0" applyNumberFormat="1" applyFont="1" applyFill="1" applyBorder="1" applyAlignment="1">
      <alignment horizontal="center" vertical="center"/>
    </xf>
    <xf numFmtId="37" fontId="7" fillId="32" borderId="142" xfId="0" applyNumberFormat="1" applyFont="1" applyFill="1" applyBorder="1" applyAlignment="1">
      <alignment horizontal="center" vertical="center"/>
    </xf>
    <xf numFmtId="37" fontId="7" fillId="32" borderId="108" xfId="0" applyNumberFormat="1" applyFont="1" applyFill="1" applyBorder="1" applyAlignment="1">
      <alignment vertical="center"/>
    </xf>
    <xf numFmtId="0" fontId="7" fillId="0" borderId="22" xfId="0" applyFont="1" applyBorder="1" applyAlignment="1">
      <alignment vertical="center"/>
    </xf>
    <xf numFmtId="0" fontId="7" fillId="32" borderId="100" xfId="0" applyFont="1" applyFill="1" applyBorder="1" applyAlignment="1">
      <alignment horizontal="center" vertical="center"/>
    </xf>
    <xf numFmtId="0" fontId="7" fillId="32" borderId="23" xfId="0" applyFont="1" applyFill="1" applyBorder="1" applyAlignment="1">
      <alignment horizontal="center" vertical="center"/>
    </xf>
    <xf numFmtId="0" fontId="7" fillId="32" borderId="30" xfId="0" applyFont="1" applyFill="1" applyBorder="1" applyAlignment="1">
      <alignment horizontal="center" vertical="center"/>
    </xf>
    <xf numFmtId="0" fontId="7" fillId="32" borderId="24" xfId="0" applyFont="1" applyFill="1" applyBorder="1" applyAlignment="1">
      <alignment horizontal="center" vertical="center"/>
    </xf>
    <xf numFmtId="37" fontId="7" fillId="32" borderId="22" xfId="0" applyNumberFormat="1" applyFont="1" applyFill="1" applyBorder="1" applyAlignment="1">
      <alignment horizontal="center" vertical="center"/>
    </xf>
    <xf numFmtId="37" fontId="7" fillId="32" borderId="105" xfId="0" applyNumberFormat="1" applyFont="1" applyFill="1" applyBorder="1" applyAlignment="1">
      <alignment vertical="center"/>
    </xf>
    <xf numFmtId="37" fontId="7" fillId="32" borderId="16" xfId="0" applyNumberFormat="1" applyFont="1" applyFill="1" applyBorder="1" applyAlignment="1">
      <alignment vertical="center"/>
    </xf>
    <xf numFmtId="37" fontId="7" fillId="32" borderId="15" xfId="0" applyNumberFormat="1" applyFont="1" applyFill="1" applyBorder="1" applyAlignment="1">
      <alignment vertical="center"/>
    </xf>
    <xf numFmtId="37" fontId="7" fillId="32" borderId="58" xfId="0" applyNumberFormat="1" applyFont="1" applyFill="1" applyBorder="1" applyAlignment="1">
      <alignment horizontal="center" vertical="center"/>
    </xf>
    <xf numFmtId="37" fontId="7" fillId="32" borderId="27" xfId="0" applyNumberFormat="1" applyFont="1" applyFill="1" applyBorder="1" applyAlignment="1">
      <alignment horizontal="center" vertical="center"/>
    </xf>
    <xf numFmtId="171" fontId="7" fillId="0" borderId="73" xfId="0" applyNumberFormat="1" applyFont="1" applyBorder="1" applyAlignment="1">
      <alignment horizontal="center" vertical="center"/>
    </xf>
    <xf numFmtId="171" fontId="7" fillId="0" borderId="85" xfId="0" applyNumberFormat="1" applyFont="1" applyBorder="1" applyAlignment="1">
      <alignment horizontal="center" vertical="center"/>
    </xf>
    <xf numFmtId="37" fontId="7" fillId="32" borderId="38" xfId="0" applyNumberFormat="1" applyFont="1" applyFill="1" applyBorder="1" applyAlignment="1">
      <alignment vertical="center"/>
    </xf>
    <xf numFmtId="37" fontId="7" fillId="32" borderId="39" xfId="0" applyNumberFormat="1" applyFont="1" applyFill="1" applyBorder="1" applyAlignment="1">
      <alignment vertical="center"/>
    </xf>
    <xf numFmtId="37" fontId="7" fillId="32" borderId="74" xfId="0" applyNumberFormat="1" applyFont="1" applyFill="1" applyBorder="1" applyAlignment="1">
      <alignment vertical="center"/>
    </xf>
    <xf numFmtId="37" fontId="7" fillId="32" borderId="64" xfId="0" applyNumberFormat="1" applyFont="1" applyFill="1" applyBorder="1" applyAlignment="1">
      <alignment vertical="center"/>
    </xf>
    <xf numFmtId="37" fontId="7" fillId="32" borderId="20" xfId="0" applyNumberFormat="1" applyFont="1" applyFill="1" applyBorder="1" applyAlignment="1">
      <alignment horizontal="center" vertical="center"/>
    </xf>
    <xf numFmtId="0" fontId="7" fillId="0" borderId="86" xfId="0" applyFont="1" applyBorder="1" applyAlignment="1">
      <alignment vertical="center"/>
    </xf>
    <xf numFmtId="0" fontId="7" fillId="32" borderId="85" xfId="0" applyFont="1" applyFill="1" applyBorder="1" applyAlignment="1">
      <alignment horizontal="center" vertical="center"/>
    </xf>
    <xf numFmtId="0" fontId="7" fillId="32" borderId="38" xfId="0" applyFont="1" applyFill="1" applyBorder="1" applyAlignment="1">
      <alignment horizontal="center" vertical="center"/>
    </xf>
    <xf numFmtId="0" fontId="7" fillId="32" borderId="39" xfId="0" applyFont="1" applyFill="1" applyBorder="1" applyAlignment="1">
      <alignment horizontal="center" vertical="center"/>
    </xf>
    <xf numFmtId="0" fontId="7" fillId="0" borderId="64" xfId="0" applyFont="1" applyBorder="1" applyAlignment="1">
      <alignment vertical="center"/>
    </xf>
    <xf numFmtId="0" fontId="7" fillId="0" borderId="39" xfId="0" applyFont="1" applyBorder="1" applyAlignment="1">
      <alignment vertical="center"/>
    </xf>
    <xf numFmtId="0" fontId="7" fillId="0" borderId="24" xfId="0" applyFont="1" applyBorder="1" applyAlignment="1">
      <alignment vertical="center"/>
    </xf>
    <xf numFmtId="37" fontId="7" fillId="32" borderId="43" xfId="0" applyNumberFormat="1" applyFont="1" applyFill="1" applyBorder="1" applyAlignment="1">
      <alignment horizontal="center" vertical="center"/>
    </xf>
    <xf numFmtId="0" fontId="7" fillId="0" borderId="7" xfId="0" applyFont="1" applyBorder="1" applyAlignment="1">
      <alignment vertical="center"/>
    </xf>
    <xf numFmtId="0" fontId="7" fillId="0" borderId="27" xfId="0" applyFont="1" applyBorder="1" applyAlignment="1">
      <alignment vertical="center"/>
    </xf>
    <xf numFmtId="37" fontId="7" fillId="32" borderId="76" xfId="0" applyNumberFormat="1" applyFont="1" applyFill="1" applyBorder="1" applyAlignment="1">
      <alignment vertical="center"/>
    </xf>
    <xf numFmtId="0" fontId="7" fillId="0" borderId="22" xfId="0" applyFont="1" applyBorder="1" applyAlignment="1">
      <alignment horizontal="center" vertical="center"/>
    </xf>
    <xf numFmtId="37" fontId="7" fillId="32" borderId="75" xfId="0" applyNumberFormat="1" applyFont="1" applyFill="1" applyBorder="1" applyAlignment="1">
      <alignment horizontal="center" vertical="center"/>
    </xf>
    <xf numFmtId="37" fontId="7" fillId="32" borderId="16" xfId="0" applyNumberFormat="1" applyFont="1" applyFill="1" applyBorder="1" applyAlignment="1">
      <alignment horizontal="center" vertical="center"/>
    </xf>
    <xf numFmtId="37" fontId="7" fillId="32" borderId="30" xfId="0" applyNumberFormat="1" applyFont="1" applyFill="1" applyBorder="1" applyAlignment="1">
      <alignment horizontal="center" vertical="center"/>
    </xf>
    <xf numFmtId="0" fontId="7" fillId="0" borderId="24" xfId="0" applyFont="1" applyBorder="1" applyAlignment="1">
      <alignment horizontal="center" vertical="center"/>
    </xf>
    <xf numFmtId="0" fontId="7" fillId="0" borderId="27" xfId="0" applyFont="1" applyBorder="1" applyAlignment="1">
      <alignment horizontal="center" vertical="center"/>
    </xf>
    <xf numFmtId="0" fontId="7" fillId="0" borderId="20" xfId="0" applyFont="1" applyBorder="1" applyAlignment="1">
      <alignment horizontal="center" vertical="center"/>
    </xf>
    <xf numFmtId="171" fontId="7" fillId="0" borderId="104" xfId="0" applyNumberFormat="1" applyFont="1" applyBorder="1" applyAlignment="1">
      <alignment horizontal="center" vertical="center"/>
    </xf>
    <xf numFmtId="0" fontId="7" fillId="32" borderId="104" xfId="0" applyFont="1" applyFill="1" applyBorder="1" applyAlignment="1">
      <alignment horizontal="center" vertical="center"/>
    </xf>
    <xf numFmtId="0" fontId="7" fillId="32" borderId="15" xfId="0" applyFont="1" applyFill="1" applyBorder="1" applyAlignment="1">
      <alignment horizontal="center" vertical="center"/>
    </xf>
    <xf numFmtId="37" fontId="7" fillId="32" borderId="138" xfId="0" applyNumberFormat="1" applyFont="1" applyFill="1" applyBorder="1" applyAlignment="1">
      <alignment horizontal="center" vertical="center"/>
    </xf>
    <xf numFmtId="37" fontId="7" fillId="32" borderId="32" xfId="0" applyNumberFormat="1" applyFont="1" applyFill="1" applyBorder="1" applyAlignment="1">
      <alignment horizontal="center" vertical="center"/>
    </xf>
    <xf numFmtId="37" fontId="7" fillId="32" borderId="15" xfId="0" applyNumberFormat="1" applyFont="1" applyFill="1" applyBorder="1" applyAlignment="1">
      <alignment horizontal="center" vertical="center"/>
    </xf>
    <xf numFmtId="37" fontId="7" fillId="32" borderId="103" xfId="0" applyNumberFormat="1" applyFont="1" applyFill="1" applyBorder="1" applyAlignment="1">
      <alignment horizontal="center" vertical="center"/>
    </xf>
    <xf numFmtId="37" fontId="7" fillId="32" borderId="105" xfId="0" applyNumberFormat="1" applyFont="1" applyFill="1" applyBorder="1" applyAlignment="1">
      <alignment horizontal="center" vertical="center"/>
    </xf>
    <xf numFmtId="37" fontId="7" fillId="32" borderId="101" xfId="0" applyNumberFormat="1" applyFont="1" applyFill="1" applyBorder="1" applyAlignment="1">
      <alignment horizontal="center" vertical="center"/>
    </xf>
    <xf numFmtId="37" fontId="7" fillId="32" borderId="141" xfId="0" applyNumberFormat="1" applyFont="1" applyFill="1" applyBorder="1" applyAlignment="1">
      <alignment horizontal="center" vertical="center"/>
    </xf>
    <xf numFmtId="37" fontId="7" fillId="32" borderId="64" xfId="0" applyNumberFormat="1" applyFont="1" applyFill="1" applyBorder="1" applyAlignment="1">
      <alignment horizontal="center" vertical="center"/>
    </xf>
    <xf numFmtId="0" fontId="7" fillId="0" borderId="85" xfId="0" applyFont="1" applyBorder="1" applyAlignment="1">
      <alignment horizontal="center" vertical="center"/>
    </xf>
    <xf numFmtId="0" fontId="7" fillId="0" borderId="23" xfId="0" applyFont="1" applyBorder="1" applyAlignment="1">
      <alignment horizontal="center" vertical="center"/>
    </xf>
    <xf numFmtId="37" fontId="7" fillId="32" borderId="39" xfId="0" applyNumberFormat="1" applyFont="1" applyFill="1" applyBorder="1" applyAlignment="1">
      <alignment horizontal="center" vertical="center"/>
    </xf>
    <xf numFmtId="37" fontId="7" fillId="32" borderId="24" xfId="0" applyNumberFormat="1" applyFont="1" applyFill="1" applyBorder="1" applyAlignment="1">
      <alignment horizontal="center" vertical="center"/>
    </xf>
    <xf numFmtId="0" fontId="7" fillId="0" borderId="86" xfId="0" applyFont="1" applyBorder="1" applyAlignment="1">
      <alignment horizontal="center" vertical="center"/>
    </xf>
    <xf numFmtId="0" fontId="7" fillId="0" borderId="64" xfId="0" applyFont="1" applyBorder="1" applyAlignment="1">
      <alignment horizontal="center" vertical="center"/>
    </xf>
    <xf numFmtId="0" fontId="7" fillId="0" borderId="39" xfId="0" applyFont="1" applyBorder="1" applyAlignment="1">
      <alignment horizontal="center" vertical="center"/>
    </xf>
    <xf numFmtId="0" fontId="7" fillId="0" borderId="7" xfId="0" applyFont="1" applyBorder="1" applyAlignment="1">
      <alignment horizontal="center" vertical="center"/>
    </xf>
    <xf numFmtId="0" fontId="7" fillId="0" borderId="102" xfId="0" applyFont="1" applyBorder="1" applyAlignment="1">
      <alignment horizontal="center" vertical="center"/>
    </xf>
    <xf numFmtId="0" fontId="0" fillId="0" borderId="104" xfId="0" applyBorder="1" applyAlignment="1">
      <alignment horizontal="center" vertical="center"/>
    </xf>
    <xf numFmtId="0" fontId="7" fillId="0" borderId="32" xfId="0" applyFont="1" applyBorder="1" applyAlignment="1">
      <alignment vertical="center"/>
    </xf>
    <xf numFmtId="0" fontId="0" fillId="0" borderId="15" xfId="0" applyBorder="1" applyAlignment="1">
      <alignment vertical="center"/>
    </xf>
    <xf numFmtId="0" fontId="7" fillId="0" borderId="138" xfId="0" applyFont="1" applyBorder="1" applyAlignment="1">
      <alignment vertical="center"/>
    </xf>
    <xf numFmtId="0" fontId="0" fillId="0" borderId="16" xfId="0" applyBorder="1" applyAlignment="1">
      <alignment vertical="center"/>
    </xf>
    <xf numFmtId="0" fontId="7" fillId="0" borderId="138" xfId="0" applyFont="1" applyBorder="1" applyAlignment="1"/>
    <xf numFmtId="0" fontId="0" fillId="0" borderId="16" xfId="0" applyBorder="1" applyAlignment="1"/>
    <xf numFmtId="0" fontId="7" fillId="0" borderId="103" xfId="0" applyFont="1" applyBorder="1" applyAlignment="1">
      <alignment vertical="center"/>
    </xf>
    <xf numFmtId="0" fontId="0" fillId="0" borderId="105" xfId="0" applyBorder="1" applyAlignment="1">
      <alignment vertical="center"/>
    </xf>
    <xf numFmtId="0" fontId="7" fillId="0" borderId="102" xfId="0" applyFont="1" applyBorder="1" applyAlignment="1"/>
    <xf numFmtId="0" fontId="0" fillId="0" borderId="104" xfId="0" applyBorder="1" applyAlignment="1"/>
    <xf numFmtId="0" fontId="7" fillId="0" borderId="32" xfId="0" applyFont="1" applyBorder="1" applyAlignment="1"/>
    <xf numFmtId="0" fontId="0" fillId="0" borderId="15" xfId="0" applyBorder="1" applyAlignment="1"/>
    <xf numFmtId="0" fontId="7" fillId="0" borderId="103" xfId="0" applyFont="1" applyBorder="1" applyAlignment="1">
      <alignment horizontal="center" vertical="center"/>
    </xf>
    <xf numFmtId="0" fontId="0" fillId="0" borderId="105" xfId="0" applyBorder="1" applyAlignment="1">
      <alignment horizontal="center" vertical="center"/>
    </xf>
    <xf numFmtId="0" fontId="7" fillId="0" borderId="32" xfId="0" applyFont="1" applyBorder="1" applyAlignment="1">
      <alignment horizontal="center" vertical="center"/>
    </xf>
    <xf numFmtId="0" fontId="0" fillId="0" borderId="15" xfId="0" applyBorder="1" applyAlignment="1">
      <alignment horizontal="center" vertical="center"/>
    </xf>
    <xf numFmtId="0" fontId="7" fillId="0" borderId="138" xfId="0" applyFont="1" applyBorder="1" applyAlignment="1">
      <alignment horizontal="center" vertical="center"/>
    </xf>
    <xf numFmtId="0" fontId="0" fillId="0" borderId="16" xfId="0" applyBorder="1" applyAlignment="1">
      <alignment horizontal="center" vertical="center"/>
    </xf>
    <xf numFmtId="0" fontId="7" fillId="0" borderId="140" xfId="0" applyFont="1" applyBorder="1" applyAlignment="1">
      <alignment horizontal="center" vertical="center"/>
    </xf>
    <xf numFmtId="0" fontId="0" fillId="0" borderId="58" xfId="0" applyBorder="1" applyAlignment="1">
      <alignment horizontal="center" vertical="center"/>
    </xf>
    <xf numFmtId="0" fontId="0" fillId="0" borderId="104" xfId="0" applyBorder="1" applyAlignment="1">
      <alignment vertical="center"/>
    </xf>
    <xf numFmtId="37" fontId="7" fillId="32" borderId="97" xfId="0" applyNumberFormat="1" applyFont="1" applyFill="1" applyBorder="1" applyAlignment="1">
      <alignment horizontal="center" vertical="center"/>
    </xf>
    <xf numFmtId="171" fontId="7" fillId="0" borderId="106" xfId="0" applyNumberFormat="1" applyFont="1" applyBorder="1" applyAlignment="1">
      <alignment horizontal="center" vertical="center"/>
    </xf>
    <xf numFmtId="171" fontId="97" fillId="31" borderId="73" xfId="0" applyNumberFormat="1" applyFont="1" applyFill="1" applyBorder="1" applyAlignment="1">
      <alignment horizontal="center" vertical="center"/>
    </xf>
    <xf numFmtId="171" fontId="97" fillId="31" borderId="85" xfId="0" applyNumberFormat="1" applyFont="1" applyFill="1" applyBorder="1" applyAlignment="1">
      <alignment horizontal="center" vertical="center"/>
    </xf>
    <xf numFmtId="171" fontId="97" fillId="31" borderId="23" xfId="0" applyNumberFormat="1" applyFont="1" applyFill="1" applyBorder="1" applyAlignment="1">
      <alignment horizontal="center" vertical="center"/>
    </xf>
    <xf numFmtId="0" fontId="0" fillId="0" borderId="32" xfId="0" applyBorder="1" applyAlignment="1">
      <alignment horizontal="center" vertical="center"/>
    </xf>
    <xf numFmtId="0" fontId="0" fillId="0" borderId="138" xfId="0" applyBorder="1" applyAlignment="1">
      <alignment horizontal="center" vertical="center"/>
    </xf>
    <xf numFmtId="0" fontId="0" fillId="0" borderId="103" xfId="0" applyBorder="1" applyAlignment="1">
      <alignment horizontal="center" vertical="center"/>
    </xf>
    <xf numFmtId="0" fontId="0" fillId="0" borderId="102" xfId="0" applyBorder="1" applyAlignment="1">
      <alignment horizontal="center" vertical="center"/>
    </xf>
    <xf numFmtId="37" fontId="7" fillId="32" borderId="102" xfId="0" applyNumberFormat="1" applyFont="1" applyFill="1" applyBorder="1" applyAlignment="1">
      <alignment horizontal="center" vertical="center"/>
    </xf>
    <xf numFmtId="0" fontId="7" fillId="32" borderId="75" xfId="0" applyFont="1" applyFill="1" applyBorder="1" applyAlignment="1">
      <alignment horizontal="center" vertical="center"/>
    </xf>
    <xf numFmtId="0" fontId="7" fillId="32" borderId="16" xfId="0" applyFont="1" applyFill="1" applyBorder="1" applyAlignment="1">
      <alignment horizontal="center" vertical="center"/>
    </xf>
    <xf numFmtId="37" fontId="7" fillId="32" borderId="104" xfId="0" applyNumberFormat="1" applyFont="1" applyFill="1" applyBorder="1" applyAlignment="1">
      <alignment horizontal="center" vertical="center"/>
    </xf>
    <xf numFmtId="37" fontId="7" fillId="32" borderId="75" xfId="0" applyNumberFormat="1" applyFont="1" applyFill="1" applyBorder="1" applyAlignment="1">
      <alignment vertical="center" wrapText="1"/>
    </xf>
    <xf numFmtId="0" fontId="0" fillId="0" borderId="138" xfId="0" applyBorder="1" applyAlignment="1">
      <alignment vertical="center" wrapText="1"/>
    </xf>
    <xf numFmtId="0" fontId="0" fillId="0" borderId="16" xfId="0" applyBorder="1" applyAlignment="1">
      <alignment vertical="center" wrapText="1"/>
    </xf>
    <xf numFmtId="171" fontId="7" fillId="0" borderId="97" xfId="0" applyNumberFormat="1" applyFont="1" applyFill="1" applyBorder="1" applyAlignment="1">
      <alignment horizontal="center" vertical="center"/>
    </xf>
    <xf numFmtId="171" fontId="7" fillId="0" borderId="102" xfId="0" applyNumberFormat="1" applyFont="1" applyFill="1" applyBorder="1" applyAlignment="1">
      <alignment horizontal="center" vertical="center"/>
    </xf>
    <xf numFmtId="171" fontId="7" fillId="0" borderId="104" xfId="0" applyNumberFormat="1" applyFont="1" applyFill="1" applyBorder="1" applyAlignment="1">
      <alignment horizontal="center" vertical="center"/>
    </xf>
    <xf numFmtId="0" fontId="7" fillId="0" borderId="75" xfId="0" applyFont="1" applyFill="1" applyBorder="1" applyAlignment="1">
      <alignment horizontal="center" vertical="center"/>
    </xf>
    <xf numFmtId="0" fontId="7" fillId="0" borderId="138" xfId="0" applyFont="1" applyFill="1" applyBorder="1" applyAlignment="1">
      <alignment horizontal="center" vertical="center"/>
    </xf>
    <xf numFmtId="0" fontId="7" fillId="0" borderId="16" xfId="0" applyFont="1" applyFill="1" applyBorder="1" applyAlignment="1">
      <alignment horizontal="center" vertical="center"/>
    </xf>
    <xf numFmtId="0" fontId="7" fillId="14" borderId="75" xfId="0" applyFont="1" applyFill="1" applyBorder="1" applyAlignment="1">
      <alignment horizontal="center" vertical="center"/>
    </xf>
    <xf numFmtId="0" fontId="7" fillId="14" borderId="138" xfId="0" applyFont="1" applyFill="1" applyBorder="1" applyAlignment="1">
      <alignment horizontal="center" vertical="center"/>
    </xf>
    <xf numFmtId="0" fontId="7" fillId="14" borderId="16" xfId="0" applyFont="1" applyFill="1" applyBorder="1" applyAlignment="1">
      <alignment horizontal="center" vertical="center"/>
    </xf>
    <xf numFmtId="37" fontId="7" fillId="14" borderId="101" xfId="0" applyNumberFormat="1" applyFont="1" applyFill="1" applyBorder="1" applyAlignment="1">
      <alignment horizontal="center" vertical="center"/>
    </xf>
    <xf numFmtId="37" fontId="7" fillId="14" borderId="103" xfId="0" applyNumberFormat="1" applyFont="1" applyFill="1" applyBorder="1" applyAlignment="1">
      <alignment horizontal="center" vertical="center"/>
    </xf>
    <xf numFmtId="37" fontId="7" fillId="14" borderId="105" xfId="0" applyNumberFormat="1" applyFont="1" applyFill="1" applyBorder="1" applyAlignment="1">
      <alignment horizontal="center" vertical="center"/>
    </xf>
    <xf numFmtId="37" fontId="7" fillId="14" borderId="75" xfId="0" applyNumberFormat="1" applyFont="1" applyFill="1" applyBorder="1" applyAlignment="1">
      <alignment horizontal="center" vertical="center"/>
    </xf>
    <xf numFmtId="37" fontId="7" fillId="14" borderId="138" xfId="0" applyNumberFormat="1" applyFont="1" applyFill="1" applyBorder="1" applyAlignment="1">
      <alignment horizontal="center" vertical="center"/>
    </xf>
    <xf numFmtId="37" fontId="7" fillId="14" borderId="16" xfId="0" applyNumberFormat="1" applyFont="1" applyFill="1" applyBorder="1" applyAlignment="1">
      <alignment horizontal="center" vertical="center"/>
    </xf>
    <xf numFmtId="37" fontId="7" fillId="14" borderId="99" xfId="0" applyNumberFormat="1" applyFont="1" applyFill="1" applyBorder="1" applyAlignment="1">
      <alignment horizontal="center" vertical="center"/>
    </xf>
    <xf numFmtId="37" fontId="7" fillId="14" borderId="140" xfId="0" applyNumberFormat="1" applyFont="1" applyFill="1" applyBorder="1" applyAlignment="1">
      <alignment horizontal="center" vertical="center"/>
    </xf>
    <xf numFmtId="37" fontId="7" fillId="14" borderId="58" xfId="0" applyNumberFormat="1" applyFont="1" applyFill="1" applyBorder="1" applyAlignment="1">
      <alignment horizontal="center" vertical="center"/>
    </xf>
    <xf numFmtId="37" fontId="7" fillId="14" borderId="97" xfId="0" applyNumberFormat="1" applyFont="1" applyFill="1" applyBorder="1" applyAlignment="1">
      <alignment horizontal="center" vertical="center" wrapText="1"/>
    </xf>
    <xf numFmtId="37" fontId="7" fillId="14" borderId="102" xfId="0" applyNumberFormat="1" applyFont="1" applyFill="1" applyBorder="1" applyAlignment="1">
      <alignment horizontal="center" vertical="center" wrapText="1"/>
    </xf>
    <xf numFmtId="37" fontId="7" fillId="14" borderId="104" xfId="0" applyNumberFormat="1" applyFont="1" applyFill="1" applyBorder="1" applyAlignment="1">
      <alignment horizontal="center" vertical="center" wrapText="1"/>
    </xf>
    <xf numFmtId="0" fontId="7" fillId="14" borderId="141" xfId="0" applyFont="1" applyFill="1" applyBorder="1" applyAlignment="1">
      <alignment horizontal="center" vertical="center"/>
    </xf>
    <xf numFmtId="0" fontId="7" fillId="14" borderId="32" xfId="0" applyFont="1" applyFill="1" applyBorder="1" applyAlignment="1">
      <alignment horizontal="center" vertical="center"/>
    </xf>
    <xf numFmtId="0" fontId="7" fillId="14" borderId="15" xfId="0" applyFont="1" applyFill="1" applyBorder="1" applyAlignment="1">
      <alignment horizontal="center" vertical="center"/>
    </xf>
    <xf numFmtId="172" fontId="7" fillId="14" borderId="75" xfId="0" applyNumberFormat="1" applyFont="1" applyFill="1" applyBorder="1" applyAlignment="1">
      <alignment horizontal="center" vertical="center"/>
    </xf>
    <xf numFmtId="172" fontId="7" fillId="14" borderId="138" xfId="0" applyNumberFormat="1" applyFont="1" applyFill="1" applyBorder="1" applyAlignment="1">
      <alignment horizontal="center" vertical="center"/>
    </xf>
    <xf numFmtId="172" fontId="7" fillId="14" borderId="16" xfId="0" applyNumberFormat="1" applyFont="1" applyFill="1" applyBorder="1" applyAlignment="1">
      <alignment horizontal="center" vertical="center"/>
    </xf>
    <xf numFmtId="37" fontId="7" fillId="14" borderId="69" xfId="0" applyNumberFormat="1" applyFont="1" applyFill="1" applyBorder="1" applyAlignment="1">
      <alignment horizontal="center" vertical="center"/>
    </xf>
    <xf numFmtId="37" fontId="7" fillId="14" borderId="0" xfId="0" applyNumberFormat="1" applyFont="1" applyFill="1" applyBorder="1" applyAlignment="1">
      <alignment horizontal="center" vertical="center"/>
    </xf>
    <xf numFmtId="37" fontId="7" fillId="14" borderId="14" xfId="0" applyNumberFormat="1" applyFont="1" applyFill="1" applyBorder="1" applyAlignment="1">
      <alignment horizontal="center" vertical="center"/>
    </xf>
    <xf numFmtId="37" fontId="7" fillId="14" borderId="141" xfId="0" applyNumberFormat="1" applyFont="1" applyFill="1" applyBorder="1" applyAlignment="1">
      <alignment horizontal="center" vertical="center"/>
    </xf>
    <xf numFmtId="37" fontId="7" fillId="14" borderId="32" xfId="0" applyNumberFormat="1" applyFont="1" applyFill="1" applyBorder="1" applyAlignment="1">
      <alignment horizontal="center" vertical="center"/>
    </xf>
    <xf numFmtId="37" fontId="7" fillId="14" borderId="15" xfId="0" applyNumberFormat="1" applyFont="1" applyFill="1" applyBorder="1" applyAlignment="1">
      <alignment horizontal="center" vertical="center"/>
    </xf>
    <xf numFmtId="171" fontId="97" fillId="31" borderId="97" xfId="0" applyNumberFormat="1" applyFont="1" applyFill="1" applyBorder="1" applyAlignment="1">
      <alignment horizontal="center" vertical="center"/>
    </xf>
    <xf numFmtId="171" fontId="97" fillId="31" borderId="102" xfId="0" applyNumberFormat="1" applyFont="1" applyFill="1" applyBorder="1" applyAlignment="1">
      <alignment horizontal="center" vertical="center"/>
    </xf>
    <xf numFmtId="171" fontId="97" fillId="31" borderId="104" xfId="0" applyNumberFormat="1" applyFont="1" applyFill="1" applyBorder="1" applyAlignment="1">
      <alignment horizontal="center" vertical="center"/>
    </xf>
    <xf numFmtId="37" fontId="7" fillId="17" borderId="141" xfId="0" applyNumberFormat="1" applyFont="1" applyFill="1" applyBorder="1" applyAlignment="1">
      <alignment vertical="center"/>
    </xf>
    <xf numFmtId="37" fontId="7" fillId="17" borderId="32" xfId="0" applyNumberFormat="1" applyFont="1" applyFill="1" applyBorder="1" applyAlignment="1">
      <alignment vertical="center"/>
    </xf>
    <xf numFmtId="37" fontId="7" fillId="17" borderId="15" xfId="0" applyNumberFormat="1" applyFont="1" applyFill="1" applyBorder="1" applyAlignment="1">
      <alignment vertical="center"/>
    </xf>
    <xf numFmtId="0" fontId="0" fillId="17" borderId="32" xfId="0" applyFill="1" applyBorder="1" applyAlignment="1">
      <alignment vertical="center"/>
    </xf>
    <xf numFmtId="0" fontId="0" fillId="17" borderId="15" xfId="0" applyFill="1" applyBorder="1" applyAlignment="1">
      <alignment vertical="center"/>
    </xf>
    <xf numFmtId="37" fontId="7" fillId="17" borderId="75" xfId="0" applyNumberFormat="1" applyFont="1" applyFill="1" applyBorder="1" applyAlignment="1">
      <alignment vertical="center"/>
    </xf>
    <xf numFmtId="0" fontId="0" fillId="17" borderId="138" xfId="0" applyFill="1" applyBorder="1" applyAlignment="1">
      <alignment vertical="center"/>
    </xf>
    <xf numFmtId="0" fontId="0" fillId="17" borderId="16" xfId="0" applyFill="1" applyBorder="1" applyAlignment="1">
      <alignment vertical="center"/>
    </xf>
    <xf numFmtId="37" fontId="7" fillId="17" borderId="75" xfId="0" applyNumberFormat="1" applyFont="1" applyFill="1" applyBorder="1" applyAlignment="1">
      <alignment horizontal="center" vertical="center"/>
    </xf>
    <xf numFmtId="37" fontId="7" fillId="17" borderId="138" xfId="0" applyNumberFormat="1" applyFont="1" applyFill="1" applyBorder="1" applyAlignment="1">
      <alignment horizontal="center" vertical="center"/>
    </xf>
    <xf numFmtId="37" fontId="7" fillId="17" borderId="16" xfId="0" applyNumberFormat="1" applyFont="1" applyFill="1" applyBorder="1" applyAlignment="1">
      <alignment horizontal="center" vertical="center"/>
    </xf>
    <xf numFmtId="37" fontId="7" fillId="17" borderId="97" xfId="0" applyNumberFormat="1" applyFont="1" applyFill="1" applyBorder="1" applyAlignment="1">
      <alignment horizontal="center" vertical="center"/>
    </xf>
    <xf numFmtId="37" fontId="7" fillId="17" borderId="102" xfId="0" applyNumberFormat="1" applyFont="1" applyFill="1" applyBorder="1" applyAlignment="1">
      <alignment horizontal="center" vertical="center"/>
    </xf>
    <xf numFmtId="37" fontId="7" fillId="17" borderId="104" xfId="0" applyNumberFormat="1" applyFont="1" applyFill="1" applyBorder="1" applyAlignment="1">
      <alignment horizontal="center" vertical="center"/>
    </xf>
    <xf numFmtId="37" fontId="7" fillId="17" borderId="101" xfId="0" applyNumberFormat="1" applyFont="1" applyFill="1" applyBorder="1" applyAlignment="1">
      <alignment vertical="center"/>
    </xf>
    <xf numFmtId="0" fontId="0" fillId="17" borderId="103" xfId="0" applyFill="1" applyBorder="1" applyAlignment="1">
      <alignment vertical="center"/>
    </xf>
    <xf numFmtId="0" fontId="0" fillId="17" borderId="105" xfId="0" applyFill="1" applyBorder="1" applyAlignment="1">
      <alignment vertical="center"/>
    </xf>
    <xf numFmtId="37" fontId="7" fillId="17" borderId="138" xfId="0" applyNumberFormat="1" applyFont="1" applyFill="1" applyBorder="1" applyAlignment="1">
      <alignment vertical="center"/>
    </xf>
    <xf numFmtId="37" fontId="7" fillId="17" borderId="16" xfId="0" applyNumberFormat="1" applyFont="1" applyFill="1" applyBorder="1" applyAlignment="1">
      <alignment vertical="center"/>
    </xf>
    <xf numFmtId="37" fontId="7" fillId="17" borderId="25" xfId="0" applyNumberFormat="1" applyFont="1" applyFill="1" applyBorder="1" applyAlignment="1">
      <alignment vertical="center"/>
    </xf>
    <xf numFmtId="37" fontId="7" fillId="17" borderId="142" xfId="0" applyNumberFormat="1" applyFont="1" applyFill="1" applyBorder="1" applyAlignment="1">
      <alignment horizontal="center" vertical="center"/>
    </xf>
    <xf numFmtId="37" fontId="7" fillId="17" borderId="101" xfId="0" applyNumberFormat="1" applyFont="1" applyFill="1" applyBorder="1" applyAlignment="1">
      <alignment horizontal="center" vertical="center"/>
    </xf>
    <xf numFmtId="37" fontId="7" fillId="17" borderId="103" xfId="0" applyNumberFormat="1" applyFont="1" applyFill="1" applyBorder="1" applyAlignment="1">
      <alignment horizontal="center" vertical="center"/>
    </xf>
    <xf numFmtId="37" fontId="7" fillId="17" borderId="105" xfId="0" applyNumberFormat="1" applyFont="1" applyFill="1" applyBorder="1" applyAlignment="1">
      <alignment horizontal="center" vertical="center"/>
    </xf>
    <xf numFmtId="0" fontId="7" fillId="0" borderId="25" xfId="0" applyFont="1" applyBorder="1" applyAlignment="1">
      <alignment vertical="center"/>
    </xf>
    <xf numFmtId="0" fontId="7" fillId="17" borderId="25" xfId="0" applyFont="1" applyFill="1" applyBorder="1" applyAlignment="1">
      <alignment horizontal="center" vertical="center"/>
    </xf>
    <xf numFmtId="37" fontId="7" fillId="17" borderId="41" xfId="0" applyNumberFormat="1" applyFont="1" applyFill="1" applyBorder="1" applyAlignment="1">
      <alignment vertical="center"/>
    </xf>
    <xf numFmtId="0" fontId="0" fillId="17" borderId="140" xfId="0" applyFill="1" applyBorder="1" applyAlignment="1">
      <alignment vertical="center"/>
    </xf>
    <xf numFmtId="0" fontId="0" fillId="17" borderId="58" xfId="0" applyFill="1" applyBorder="1" applyAlignment="1">
      <alignment vertical="center"/>
    </xf>
    <xf numFmtId="0" fontId="7" fillId="17" borderId="106" xfId="0" applyFont="1" applyFill="1" applyBorder="1" applyAlignment="1">
      <alignment horizontal="center" vertical="center"/>
    </xf>
    <xf numFmtId="0" fontId="0" fillId="17" borderId="102" xfId="0" applyFill="1" applyBorder="1" applyAlignment="1">
      <alignment vertical="center"/>
    </xf>
    <xf numFmtId="0" fontId="0" fillId="17" borderId="104" xfId="0" applyFill="1" applyBorder="1" applyAlignment="1">
      <alignment vertical="center"/>
    </xf>
    <xf numFmtId="172" fontId="7" fillId="17" borderId="25" xfId="0" applyNumberFormat="1" applyFont="1" applyFill="1" applyBorder="1" applyAlignment="1">
      <alignment horizontal="center" vertical="center"/>
    </xf>
    <xf numFmtId="37" fontId="7" fillId="14" borderId="75" xfId="0" applyNumberFormat="1" applyFont="1" applyFill="1" applyBorder="1" applyAlignment="1">
      <alignment vertical="center"/>
    </xf>
    <xf numFmtId="0" fontId="0" fillId="14" borderId="138" xfId="0" applyFill="1" applyBorder="1" applyAlignment="1">
      <alignment vertical="center"/>
    </xf>
    <xf numFmtId="0" fontId="0" fillId="14" borderId="16" xfId="0" applyFill="1" applyBorder="1" applyAlignment="1">
      <alignment vertical="center"/>
    </xf>
    <xf numFmtId="0" fontId="0" fillId="14" borderId="32" xfId="0" applyFill="1" applyBorder="1" applyAlignment="1">
      <alignment horizontal="center" vertical="center"/>
    </xf>
    <xf numFmtId="0" fontId="0" fillId="14" borderId="15" xfId="0" applyFill="1" applyBorder="1" applyAlignment="1">
      <alignment horizontal="center" vertical="center"/>
    </xf>
    <xf numFmtId="0" fontId="0" fillId="14" borderId="138" xfId="0" applyFill="1" applyBorder="1" applyAlignment="1">
      <alignment horizontal="center" vertical="center"/>
    </xf>
    <xf numFmtId="0" fontId="0" fillId="14" borderId="16" xfId="0" applyFill="1" applyBorder="1" applyAlignment="1">
      <alignment horizontal="center" vertical="center"/>
    </xf>
    <xf numFmtId="0" fontId="0" fillId="14" borderId="103" xfId="0" applyFill="1" applyBorder="1" applyAlignment="1">
      <alignment horizontal="center" vertical="center"/>
    </xf>
    <xf numFmtId="0" fontId="0" fillId="14" borderId="105" xfId="0" applyFill="1" applyBorder="1" applyAlignment="1">
      <alignment horizontal="center" vertical="center"/>
    </xf>
    <xf numFmtId="37" fontId="7" fillId="14" borderId="97" xfId="0" applyNumberFormat="1" applyFont="1" applyFill="1" applyBorder="1" applyAlignment="1">
      <alignment horizontal="center" vertical="center"/>
    </xf>
    <xf numFmtId="0" fontId="0" fillId="14" borderId="102" xfId="0" applyFill="1" applyBorder="1" applyAlignment="1">
      <alignment horizontal="center" vertical="center"/>
    </xf>
    <xf numFmtId="0" fontId="0" fillId="14" borderId="104" xfId="0" applyFill="1" applyBorder="1" applyAlignment="1">
      <alignment horizontal="center" vertical="center"/>
    </xf>
    <xf numFmtId="37" fontId="7" fillId="14" borderId="102" xfId="0" applyNumberFormat="1" applyFont="1" applyFill="1" applyBorder="1" applyAlignment="1">
      <alignment horizontal="center" vertical="center"/>
    </xf>
    <xf numFmtId="0" fontId="0" fillId="14" borderId="105" xfId="0" applyFill="1" applyBorder="1" applyAlignment="1">
      <alignment vertical="center"/>
    </xf>
    <xf numFmtId="172" fontId="7" fillId="32" borderId="75" xfId="0" applyNumberFormat="1" applyFont="1" applyFill="1" applyBorder="1" applyAlignment="1">
      <alignment horizontal="center" vertical="center"/>
    </xf>
    <xf numFmtId="172" fontId="7" fillId="32" borderId="138" xfId="0" applyNumberFormat="1" applyFont="1" applyFill="1" applyBorder="1" applyAlignment="1">
      <alignment horizontal="center" vertical="center"/>
    </xf>
    <xf numFmtId="172" fontId="7" fillId="32" borderId="16" xfId="0" applyNumberFormat="1" applyFont="1" applyFill="1" applyBorder="1" applyAlignment="1">
      <alignment horizontal="center" vertical="center"/>
    </xf>
    <xf numFmtId="0" fontId="7" fillId="0" borderId="75" xfId="0" applyFont="1" applyBorder="1" applyAlignment="1">
      <alignment vertical="center"/>
    </xf>
    <xf numFmtId="0" fontId="0" fillId="0" borderId="102" xfId="0" applyBorder="1" applyAlignment="1">
      <alignment vertical="center"/>
    </xf>
    <xf numFmtId="37" fontId="7" fillId="14" borderId="141" xfId="0" applyNumberFormat="1" applyFont="1" applyFill="1" applyBorder="1" applyAlignment="1">
      <alignment vertical="center" wrapText="1"/>
    </xf>
    <xf numFmtId="0" fontId="0" fillId="14" borderId="32" xfId="0" applyFill="1" applyBorder="1" applyAlignment="1">
      <alignment vertical="center" wrapText="1"/>
    </xf>
    <xf numFmtId="0" fontId="0" fillId="14" borderId="15" xfId="0" applyFill="1" applyBorder="1" applyAlignment="1">
      <alignment vertical="center" wrapText="1"/>
    </xf>
    <xf numFmtId="0" fontId="0" fillId="14" borderId="140" xfId="0" applyFill="1" applyBorder="1" applyAlignment="1">
      <alignment horizontal="center" vertical="center"/>
    </xf>
    <xf numFmtId="0" fontId="0" fillId="14" borderId="58" xfId="0" applyFill="1" applyBorder="1" applyAlignment="1">
      <alignment horizontal="center" vertical="center"/>
    </xf>
    <xf numFmtId="37" fontId="7" fillId="14" borderId="16" xfId="0" applyNumberFormat="1" applyFont="1" applyFill="1" applyBorder="1" applyAlignment="1">
      <alignment vertical="center"/>
    </xf>
    <xf numFmtId="171" fontId="7" fillId="13" borderId="73" xfId="0" applyNumberFormat="1" applyFont="1" applyFill="1" applyBorder="1" applyAlignment="1">
      <alignment horizontal="center" vertical="center"/>
    </xf>
    <xf numFmtId="171" fontId="7" fillId="13" borderId="23" xfId="0" applyNumberFormat="1" applyFont="1" applyFill="1" applyBorder="1" applyAlignment="1">
      <alignment horizontal="center" vertical="center"/>
    </xf>
    <xf numFmtId="37" fontId="7" fillId="13" borderId="75" xfId="0" applyNumberFormat="1" applyFont="1" applyFill="1" applyBorder="1" applyAlignment="1">
      <alignment horizontal="center" vertical="center"/>
    </xf>
    <xf numFmtId="37" fontId="7" fillId="13" borderId="16" xfId="0" applyNumberFormat="1" applyFont="1" applyFill="1" applyBorder="1" applyAlignment="1">
      <alignment horizontal="center" vertical="center"/>
    </xf>
    <xf numFmtId="0" fontId="7" fillId="13" borderId="97" xfId="0" applyFont="1" applyFill="1" applyBorder="1" applyAlignment="1">
      <alignment horizontal="center" vertical="center"/>
    </xf>
    <xf numFmtId="0" fontId="7" fillId="13" borderId="104" xfId="0" applyFont="1" applyFill="1" applyBorder="1" applyAlignment="1">
      <alignment horizontal="center" vertical="center"/>
    </xf>
    <xf numFmtId="0" fontId="7" fillId="13" borderId="141" xfId="0" applyFont="1" applyFill="1" applyBorder="1" applyAlignment="1">
      <alignment horizontal="center" vertical="center"/>
    </xf>
    <xf numFmtId="0" fontId="7" fillId="13" borderId="15" xfId="0" applyFont="1" applyFill="1" applyBorder="1" applyAlignment="1">
      <alignment horizontal="center" vertical="center"/>
    </xf>
    <xf numFmtId="37" fontId="7" fillId="13" borderId="75" xfId="0" applyNumberFormat="1" applyFont="1" applyFill="1" applyBorder="1" applyAlignment="1">
      <alignment vertical="center"/>
    </xf>
    <xf numFmtId="0" fontId="0" fillId="13" borderId="16" xfId="0" applyFill="1" applyBorder="1" applyAlignment="1">
      <alignment vertical="center"/>
    </xf>
    <xf numFmtId="37" fontId="7" fillId="13" borderId="138" xfId="0" applyNumberFormat="1" applyFont="1" applyFill="1" applyBorder="1" applyAlignment="1">
      <alignment horizontal="center" vertical="center"/>
    </xf>
    <xf numFmtId="0" fontId="0" fillId="13" borderId="16" xfId="0" applyFill="1" applyBorder="1" applyAlignment="1">
      <alignment horizontal="center" vertical="center"/>
    </xf>
    <xf numFmtId="37" fontId="7" fillId="13" borderId="32" xfId="0" applyNumberFormat="1" applyFont="1" applyFill="1" applyBorder="1" applyAlignment="1">
      <alignment horizontal="center" vertical="center"/>
    </xf>
    <xf numFmtId="0" fontId="0" fillId="13" borderId="15" xfId="0" applyFill="1" applyBorder="1" applyAlignment="1">
      <alignment horizontal="center" vertical="center"/>
    </xf>
    <xf numFmtId="37" fontId="7" fillId="13" borderId="103" xfId="0" applyNumberFormat="1" applyFont="1" applyFill="1" applyBorder="1" applyAlignment="1">
      <alignment horizontal="center" vertical="center"/>
    </xf>
    <xf numFmtId="0" fontId="0" fillId="13" borderId="105" xfId="0" applyFill="1" applyBorder="1" applyAlignment="1">
      <alignment horizontal="center" vertical="center"/>
    </xf>
    <xf numFmtId="37" fontId="7" fillId="13" borderId="102" xfId="0" applyNumberFormat="1" applyFont="1" applyFill="1" applyBorder="1" applyAlignment="1">
      <alignment horizontal="center" vertical="center"/>
    </xf>
    <xf numFmtId="0" fontId="0" fillId="13" borderId="104" xfId="0" applyFill="1" applyBorder="1" applyAlignment="1">
      <alignment horizontal="center" vertical="center"/>
    </xf>
    <xf numFmtId="37" fontId="7" fillId="32" borderId="69" xfId="0" applyNumberFormat="1" applyFont="1" applyFill="1" applyBorder="1" applyAlignment="1">
      <alignment vertical="center"/>
    </xf>
    <xf numFmtId="0" fontId="0" fillId="0" borderId="0" xfId="0" applyBorder="1" applyAlignment="1">
      <alignment vertical="center"/>
    </xf>
    <xf numFmtId="0" fontId="7" fillId="0" borderId="2" xfId="0" applyFont="1" applyBorder="1" applyAlignment="1"/>
    <xf numFmtId="0" fontId="7" fillId="0" borderId="40" xfId="0" applyFont="1" applyFill="1" applyBorder="1" applyAlignment="1"/>
    <xf numFmtId="37" fontId="7" fillId="14" borderId="75" xfId="0" applyNumberFormat="1" applyFont="1" applyFill="1" applyBorder="1" applyAlignment="1"/>
    <xf numFmtId="39" fontId="7" fillId="14" borderId="75" xfId="0" applyNumberFormat="1" applyFont="1" applyFill="1" applyBorder="1" applyAlignment="1">
      <alignment horizontal="center" vertical="center"/>
    </xf>
    <xf numFmtId="37" fontId="7" fillId="32" borderId="70" xfId="0" applyNumberFormat="1" applyFont="1" applyFill="1" applyBorder="1" applyAlignment="1">
      <alignment vertical="center"/>
    </xf>
    <xf numFmtId="37" fontId="7" fillId="32" borderId="45" xfId="0" applyNumberFormat="1" applyFont="1" applyFill="1" applyBorder="1" applyAlignment="1">
      <alignment vertical="center"/>
    </xf>
    <xf numFmtId="39" fontId="7" fillId="14" borderId="69" xfId="0" applyNumberFormat="1" applyFont="1" applyFill="1" applyBorder="1" applyAlignment="1">
      <alignment horizontal="center" vertical="center"/>
    </xf>
    <xf numFmtId="0" fontId="0" fillId="14" borderId="14" xfId="0" applyFill="1" applyBorder="1" applyAlignment="1">
      <alignment horizontal="center" vertical="center"/>
    </xf>
    <xf numFmtId="37" fontId="7" fillId="14" borderId="101" xfId="0" applyNumberFormat="1" applyFont="1" applyFill="1" applyBorder="1" applyAlignment="1"/>
    <xf numFmtId="37" fontId="0" fillId="14" borderId="105" xfId="0" applyNumberFormat="1" applyFill="1" applyBorder="1" applyAlignment="1"/>
    <xf numFmtId="37" fontId="7" fillId="14" borderId="141" xfId="0" applyNumberFormat="1" applyFont="1" applyFill="1" applyBorder="1" applyAlignment="1">
      <alignment vertical="center"/>
    </xf>
    <xf numFmtId="0" fontId="0" fillId="14" borderId="15" xfId="0" applyFill="1" applyBorder="1" applyAlignment="1">
      <alignment vertical="center"/>
    </xf>
    <xf numFmtId="37" fontId="7" fillId="32" borderId="145" xfId="0" applyNumberFormat="1" applyFont="1" applyFill="1" applyBorder="1" applyAlignment="1">
      <alignment vertical="center"/>
    </xf>
    <xf numFmtId="37" fontId="7" fillId="14" borderId="138" xfId="0" applyNumberFormat="1" applyFont="1" applyFill="1" applyBorder="1" applyAlignment="1">
      <alignment vertical="center"/>
    </xf>
    <xf numFmtId="171" fontId="7" fillId="0" borderId="62" xfId="0" applyNumberFormat="1" applyFont="1" applyBorder="1" applyAlignment="1">
      <alignment horizontal="center" vertical="center"/>
    </xf>
    <xf numFmtId="37" fontId="7" fillId="14" borderId="101" xfId="0" applyNumberFormat="1" applyFont="1" applyFill="1" applyBorder="1" applyAlignment="1">
      <alignment vertical="center"/>
    </xf>
    <xf numFmtId="0" fontId="0" fillId="14" borderId="0" xfId="0" applyFill="1" applyBorder="1" applyAlignment="1">
      <alignment horizontal="center" vertical="center"/>
    </xf>
    <xf numFmtId="37" fontId="0" fillId="14" borderId="138" xfId="0" applyNumberFormat="1" applyFill="1" applyBorder="1" applyAlignment="1">
      <alignment horizontal="center" vertical="center"/>
    </xf>
    <xf numFmtId="37" fontId="0" fillId="14" borderId="138" xfId="0" applyNumberFormat="1" applyFill="1" applyBorder="1" applyAlignment="1"/>
    <xf numFmtId="37" fontId="7" fillId="32" borderId="25" xfId="0" applyNumberFormat="1" applyFont="1" applyFill="1" applyBorder="1" applyAlignment="1">
      <alignment vertical="center"/>
    </xf>
    <xf numFmtId="37" fontId="7" fillId="32" borderId="34" xfId="0" applyNumberFormat="1" applyFont="1" applyFill="1" applyBorder="1" applyAlignment="1">
      <alignment vertical="center"/>
    </xf>
    <xf numFmtId="37" fontId="7" fillId="32" borderId="117" xfId="0" applyNumberFormat="1" applyFont="1" applyFill="1" applyBorder="1" applyAlignment="1">
      <alignment vertical="center"/>
    </xf>
    <xf numFmtId="37" fontId="7" fillId="32" borderId="0" xfId="0" applyNumberFormat="1" applyFont="1" applyFill="1" applyBorder="1" applyAlignment="1">
      <alignment vertical="center"/>
    </xf>
    <xf numFmtId="37" fontId="7" fillId="32" borderId="6" xfId="0" applyNumberFormat="1" applyFont="1" applyFill="1" applyBorder="1" applyAlignment="1">
      <alignment vertical="center"/>
    </xf>
    <xf numFmtId="0" fontId="0" fillId="14" borderId="103" xfId="0" applyFill="1" applyBorder="1" applyAlignment="1">
      <alignment vertical="center"/>
    </xf>
    <xf numFmtId="0" fontId="0" fillId="14" borderId="32" xfId="0" applyFill="1" applyBorder="1" applyAlignment="1">
      <alignment vertical="center"/>
    </xf>
    <xf numFmtId="37" fontId="0" fillId="14" borderId="103" xfId="0" applyNumberFormat="1" applyFill="1" applyBorder="1" applyAlignment="1"/>
    <xf numFmtId="0" fontId="0" fillId="0" borderId="14" xfId="0" applyBorder="1" applyAlignment="1">
      <alignment vertical="center"/>
    </xf>
    <xf numFmtId="37" fontId="7" fillId="32" borderId="26" xfId="0" applyNumberFormat="1" applyFont="1" applyFill="1" applyBorder="1" applyAlignment="1">
      <alignment vertical="center"/>
    </xf>
    <xf numFmtId="0" fontId="7" fillId="0" borderId="15" xfId="0" applyFont="1" applyBorder="1" applyAlignment="1">
      <alignment vertical="center"/>
    </xf>
    <xf numFmtId="0" fontId="7" fillId="0" borderId="104" xfId="0" applyFont="1" applyBorder="1" applyAlignment="1">
      <alignment horizontal="center" vertical="center"/>
    </xf>
    <xf numFmtId="0" fontId="7" fillId="0" borderId="14" xfId="0" applyFont="1" applyBorder="1" applyAlignment="1">
      <alignment vertical="center"/>
    </xf>
    <xf numFmtId="37" fontId="7" fillId="32" borderId="14" xfId="0" applyNumberFormat="1" applyFont="1" applyFill="1" applyBorder="1" applyAlignment="1">
      <alignment vertical="center"/>
    </xf>
    <xf numFmtId="171" fontId="7" fillId="13" borderId="85" xfId="0" applyNumberFormat="1" applyFont="1" applyFill="1" applyBorder="1" applyAlignment="1">
      <alignment horizontal="center" vertical="center"/>
    </xf>
    <xf numFmtId="39" fontId="7" fillId="13" borderId="69" xfId="0" applyNumberFormat="1" applyFont="1" applyFill="1" applyBorder="1" applyAlignment="1">
      <alignment horizontal="center" vertical="center"/>
    </xf>
    <xf numFmtId="0" fontId="0" fillId="13" borderId="0" xfId="0" applyFill="1" applyBorder="1" applyAlignment="1">
      <alignment horizontal="center" vertical="center"/>
    </xf>
    <xf numFmtId="0" fontId="0" fillId="13" borderId="14" xfId="0" applyFill="1" applyBorder="1" applyAlignment="1">
      <alignment horizontal="center" vertical="center"/>
    </xf>
    <xf numFmtId="39" fontId="7" fillId="13" borderId="75" xfId="0" applyNumberFormat="1" applyFont="1" applyFill="1" applyBorder="1" applyAlignment="1">
      <alignment horizontal="center" vertical="center"/>
    </xf>
    <xf numFmtId="0" fontId="0" fillId="13" borderId="138" xfId="0" applyFill="1" applyBorder="1" applyAlignment="1">
      <alignment horizontal="center" vertical="center"/>
    </xf>
    <xf numFmtId="37" fontId="0" fillId="13" borderId="138" xfId="0" applyNumberFormat="1" applyFill="1" applyBorder="1" applyAlignment="1">
      <alignment horizontal="center" vertical="center"/>
    </xf>
    <xf numFmtId="37" fontId="7" fillId="13" borderId="75" xfId="0" applyNumberFormat="1" applyFont="1" applyFill="1" applyBorder="1" applyAlignment="1"/>
    <xf numFmtId="37" fontId="0" fillId="13" borderId="138" xfId="0" applyNumberFormat="1" applyFill="1" applyBorder="1" applyAlignment="1"/>
    <xf numFmtId="37" fontId="7" fillId="32" borderId="70" xfId="0" applyNumberFormat="1" applyFont="1" applyFill="1" applyBorder="1" applyAlignment="1">
      <alignment horizontal="center" vertical="center"/>
    </xf>
    <xf numFmtId="37" fontId="7" fillId="32" borderId="34" xfId="0" applyNumberFormat="1" applyFont="1" applyFill="1" applyBorder="1" applyAlignment="1">
      <alignment horizontal="center" vertical="center"/>
    </xf>
    <xf numFmtId="37" fontId="7" fillId="32" borderId="45" xfId="0" applyNumberFormat="1" applyFont="1" applyFill="1" applyBorder="1" applyAlignment="1">
      <alignment horizontal="center" vertical="center"/>
    </xf>
    <xf numFmtId="37" fontId="7" fillId="32" borderId="0" xfId="0" applyNumberFormat="1" applyFont="1" applyFill="1" applyBorder="1" applyAlignment="1">
      <alignment horizontal="center" vertical="center"/>
    </xf>
    <xf numFmtId="171" fontId="7" fillId="0" borderId="73" xfId="0" applyNumberFormat="1" applyFont="1" applyFill="1" applyBorder="1" applyAlignment="1">
      <alignment horizontal="center" vertical="center"/>
    </xf>
    <xf numFmtId="171" fontId="7" fillId="0" borderId="23" xfId="0" applyNumberFormat="1" applyFont="1" applyFill="1" applyBorder="1" applyAlignment="1">
      <alignment horizontal="center" vertical="center"/>
    </xf>
    <xf numFmtId="0" fontId="0" fillId="13" borderId="138" xfId="0" applyFill="1" applyBorder="1" applyAlignment="1">
      <alignment vertical="center"/>
    </xf>
    <xf numFmtId="37" fontId="7" fillId="13" borderId="101" xfId="0" applyNumberFormat="1" applyFont="1" applyFill="1" applyBorder="1" applyAlignment="1">
      <alignment vertical="center"/>
    </xf>
    <xf numFmtId="0" fontId="0" fillId="13" borderId="103" xfId="0" applyFill="1" applyBorder="1" applyAlignment="1">
      <alignment vertical="center"/>
    </xf>
    <xf numFmtId="0" fontId="0" fillId="13" borderId="105" xfId="0" applyFill="1" applyBorder="1" applyAlignment="1">
      <alignment vertical="center"/>
    </xf>
    <xf numFmtId="37" fontId="7" fillId="13" borderId="141" xfId="0" applyNumberFormat="1" applyFont="1" applyFill="1" applyBorder="1" applyAlignment="1">
      <alignment vertical="center"/>
    </xf>
    <xf numFmtId="0" fontId="0" fillId="13" borderId="32" xfId="0" applyFill="1" applyBorder="1" applyAlignment="1">
      <alignment vertical="center"/>
    </xf>
    <xf numFmtId="0" fontId="0" fillId="13" borderId="15" xfId="0" applyFill="1" applyBorder="1" applyAlignment="1">
      <alignment vertical="center"/>
    </xf>
    <xf numFmtId="37" fontId="7" fillId="13" borderId="101" xfId="0" applyNumberFormat="1" applyFont="1" applyFill="1" applyBorder="1" applyAlignment="1"/>
    <xf numFmtId="37" fontId="0" fillId="13" borderId="103" xfId="0" applyNumberFormat="1" applyFill="1" applyBorder="1" applyAlignment="1"/>
    <xf numFmtId="37" fontId="0" fillId="13" borderId="105" xfId="0" applyNumberFormat="1" applyFill="1" applyBorder="1" applyAlignment="1"/>
    <xf numFmtId="171" fontId="7" fillId="0" borderId="100" xfId="0" applyNumberFormat="1" applyFont="1" applyFill="1" applyBorder="1" applyAlignment="1">
      <alignment horizontal="center" vertical="center"/>
    </xf>
    <xf numFmtId="171" fontId="7" fillId="0" borderId="85" xfId="0" applyNumberFormat="1" applyFont="1" applyFill="1" applyBorder="1" applyAlignment="1">
      <alignment horizontal="center" vertical="center"/>
    </xf>
    <xf numFmtId="171" fontId="7" fillId="0" borderId="106" xfId="0" applyNumberFormat="1" applyFont="1" applyFill="1" applyBorder="1" applyAlignment="1">
      <alignment horizontal="center" vertical="center"/>
    </xf>
    <xf numFmtId="171" fontId="7" fillId="31" borderId="73" xfId="0" applyNumberFormat="1" applyFont="1" applyFill="1" applyBorder="1" applyAlignment="1">
      <alignment horizontal="center" vertical="center"/>
    </xf>
    <xf numFmtId="171" fontId="7" fillId="31" borderId="85" xfId="0" applyNumberFormat="1" applyFont="1" applyFill="1" applyBorder="1" applyAlignment="1">
      <alignment horizontal="center" vertical="center"/>
    </xf>
    <xf numFmtId="171" fontId="7" fillId="31" borderId="23" xfId="0" applyNumberFormat="1" applyFont="1" applyFill="1" applyBorder="1" applyAlignment="1">
      <alignment horizontal="center" vertical="center"/>
    </xf>
    <xf numFmtId="171" fontId="7" fillId="31" borderId="100" xfId="0" applyNumberFormat="1" applyFont="1" applyFill="1" applyBorder="1" applyAlignment="1">
      <alignment horizontal="center" vertical="center"/>
    </xf>
    <xf numFmtId="171" fontId="7" fillId="31" borderId="102" xfId="0" applyNumberFormat="1" applyFont="1" applyFill="1" applyBorder="1" applyAlignment="1">
      <alignment horizontal="center" vertical="center"/>
    </xf>
    <xf numFmtId="171" fontId="7" fillId="19" borderId="97" xfId="0" applyNumberFormat="1" applyFont="1" applyFill="1" applyBorder="1" applyAlignment="1">
      <alignment horizontal="center" vertical="center"/>
    </xf>
    <xf numFmtId="0" fontId="0" fillId="19" borderId="102" xfId="0" applyFill="1" applyBorder="1" applyAlignment="1">
      <alignment horizontal="center" vertical="center"/>
    </xf>
    <xf numFmtId="0" fontId="0" fillId="19" borderId="104" xfId="0" applyFill="1" applyBorder="1" applyAlignment="1">
      <alignment horizontal="center" vertical="center"/>
    </xf>
    <xf numFmtId="39" fontId="7" fillId="19" borderId="69" xfId="0" applyNumberFormat="1" applyFont="1" applyFill="1" applyBorder="1" applyAlignment="1">
      <alignment horizontal="center" vertical="center"/>
    </xf>
    <xf numFmtId="0" fontId="0" fillId="19" borderId="0" xfId="0" applyFill="1" applyBorder="1" applyAlignment="1">
      <alignment horizontal="center" vertical="center"/>
    </xf>
    <xf numFmtId="0" fontId="0" fillId="19" borderId="14" xfId="0" applyFill="1" applyBorder="1" applyAlignment="1">
      <alignment horizontal="center" vertical="center"/>
    </xf>
    <xf numFmtId="39" fontId="7" fillId="19" borderId="75" xfId="0" applyNumberFormat="1" applyFont="1" applyFill="1" applyBorder="1" applyAlignment="1">
      <alignment horizontal="center" vertical="center"/>
    </xf>
    <xf numFmtId="0" fontId="0" fillId="19" borderId="138" xfId="0" applyFill="1" applyBorder="1" applyAlignment="1">
      <alignment horizontal="center" vertical="center"/>
    </xf>
    <xf numFmtId="37" fontId="7" fillId="19" borderId="75" xfId="0" applyNumberFormat="1" applyFont="1" applyFill="1" applyBorder="1" applyAlignment="1">
      <alignment horizontal="center" vertical="center"/>
    </xf>
    <xf numFmtId="37" fontId="0" fillId="19" borderId="138" xfId="0" applyNumberFormat="1" applyFill="1" applyBorder="1" applyAlignment="1">
      <alignment horizontal="center" vertical="center"/>
    </xf>
    <xf numFmtId="37" fontId="7" fillId="19" borderId="75" xfId="0" applyNumberFormat="1" applyFont="1" applyFill="1" applyBorder="1" applyAlignment="1"/>
    <xf numFmtId="37" fontId="0" fillId="19" borderId="138" xfId="0" applyNumberFormat="1" applyFill="1" applyBorder="1" applyAlignment="1"/>
    <xf numFmtId="37" fontId="7" fillId="19" borderId="75" xfId="0" applyNumberFormat="1" applyFont="1" applyFill="1" applyBorder="1" applyAlignment="1">
      <alignment vertical="center"/>
    </xf>
    <xf numFmtId="0" fontId="0" fillId="19" borderId="138" xfId="0" applyFill="1" applyBorder="1" applyAlignment="1">
      <alignment vertical="center"/>
    </xf>
    <xf numFmtId="37" fontId="7" fillId="19" borderId="101" xfId="0" applyNumberFormat="1" applyFont="1" applyFill="1" applyBorder="1" applyAlignment="1">
      <alignment vertical="center"/>
    </xf>
    <xf numFmtId="0" fontId="0" fillId="19" borderId="103" xfId="0" applyFill="1" applyBorder="1" applyAlignment="1">
      <alignment vertical="center"/>
    </xf>
    <xf numFmtId="0" fontId="0" fillId="19" borderId="105" xfId="0" applyFill="1" applyBorder="1" applyAlignment="1">
      <alignment vertical="center"/>
    </xf>
    <xf numFmtId="37" fontId="7" fillId="19" borderId="141" xfId="0" applyNumberFormat="1" applyFont="1" applyFill="1" applyBorder="1" applyAlignment="1">
      <alignment vertical="center"/>
    </xf>
    <xf numFmtId="0" fontId="0" fillId="19" borderId="32" xfId="0" applyFill="1" applyBorder="1" applyAlignment="1">
      <alignment vertical="center"/>
    </xf>
    <xf numFmtId="0" fontId="0" fillId="19" borderId="15" xfId="0" applyFill="1" applyBorder="1" applyAlignment="1">
      <alignment vertical="center"/>
    </xf>
    <xf numFmtId="37" fontId="7" fillId="19" borderId="101" xfId="0" applyNumberFormat="1" applyFont="1" applyFill="1" applyBorder="1" applyAlignment="1"/>
    <xf numFmtId="37" fontId="0" fillId="19" borderId="103" xfId="0" applyNumberFormat="1" applyFill="1" applyBorder="1" applyAlignment="1"/>
    <xf numFmtId="37" fontId="0" fillId="19" borderId="105" xfId="0" applyNumberFormat="1" applyFill="1" applyBorder="1" applyAlignment="1"/>
    <xf numFmtId="37" fontId="7" fillId="14" borderId="138" xfId="0" applyNumberFormat="1" applyFont="1" applyFill="1" applyBorder="1" applyAlignment="1"/>
    <xf numFmtId="0" fontId="0" fillId="0" borderId="34" xfId="0" applyBorder="1" applyAlignment="1">
      <alignment vertical="center"/>
    </xf>
    <xf numFmtId="0" fontId="0" fillId="0" borderId="45" xfId="0" applyBorder="1" applyAlignment="1">
      <alignment vertical="center"/>
    </xf>
    <xf numFmtId="39" fontId="7" fillId="14" borderId="97" xfId="0" applyNumberFormat="1" applyFont="1" applyFill="1" applyBorder="1" applyAlignment="1">
      <alignment horizontal="center" vertical="center"/>
    </xf>
    <xf numFmtId="39" fontId="7" fillId="14" borderId="102" xfId="0" applyNumberFormat="1" applyFont="1" applyFill="1" applyBorder="1" applyAlignment="1">
      <alignment horizontal="center" vertical="center"/>
    </xf>
    <xf numFmtId="39" fontId="7" fillId="14" borderId="104" xfId="0" applyNumberFormat="1" applyFont="1" applyFill="1" applyBorder="1" applyAlignment="1">
      <alignment horizontal="center" vertical="center"/>
    </xf>
    <xf numFmtId="39" fontId="7" fillId="14" borderId="138" xfId="0" applyNumberFormat="1" applyFont="1" applyFill="1" applyBorder="1" applyAlignment="1">
      <alignment horizontal="center" vertical="center"/>
    </xf>
    <xf numFmtId="37" fontId="7" fillId="14" borderId="97" xfId="0" applyNumberFormat="1" applyFont="1" applyFill="1" applyBorder="1" applyAlignment="1">
      <alignment vertical="center"/>
    </xf>
    <xf numFmtId="37" fontId="7" fillId="14" borderId="102" xfId="0" applyNumberFormat="1" applyFont="1" applyFill="1" applyBorder="1" applyAlignment="1">
      <alignment vertical="center"/>
    </xf>
    <xf numFmtId="37" fontId="7" fillId="14" borderId="104" xfId="0" applyNumberFormat="1" applyFont="1" applyFill="1" applyBorder="1" applyAlignment="1">
      <alignment vertical="center"/>
    </xf>
    <xf numFmtId="37" fontId="7" fillId="14" borderId="103" xfId="0" applyNumberFormat="1" applyFont="1" applyFill="1" applyBorder="1" applyAlignment="1">
      <alignment vertical="center"/>
    </xf>
    <xf numFmtId="37" fontId="7" fillId="14" borderId="105" xfId="0" applyNumberFormat="1" applyFont="1" applyFill="1" applyBorder="1" applyAlignment="1">
      <alignment vertical="center"/>
    </xf>
    <xf numFmtId="37" fontId="7" fillId="14" borderId="103" xfId="0" applyNumberFormat="1" applyFont="1" applyFill="1" applyBorder="1" applyAlignment="1"/>
    <xf numFmtId="37" fontId="7" fillId="14" borderId="105" xfId="0" applyNumberFormat="1" applyFont="1" applyFill="1" applyBorder="1" applyAlignment="1"/>
    <xf numFmtId="0" fontId="0" fillId="0" borderId="38" xfId="0" applyBorder="1" applyAlignment="1">
      <alignment vertical="center"/>
    </xf>
    <xf numFmtId="0" fontId="0" fillId="0" borderId="74" xfId="0" applyBorder="1" applyAlignment="1">
      <alignment vertical="center"/>
    </xf>
    <xf numFmtId="37" fontId="7" fillId="32" borderId="4" xfId="0" applyNumberFormat="1" applyFont="1" applyFill="1" applyBorder="1" applyAlignment="1">
      <alignment vertical="center"/>
    </xf>
    <xf numFmtId="0" fontId="0" fillId="0" borderId="2" xfId="0" applyBorder="1" applyAlignment="1">
      <alignment vertical="center"/>
    </xf>
    <xf numFmtId="171" fontId="7" fillId="0" borderId="62" xfId="0" applyNumberFormat="1" applyFont="1" applyFill="1" applyBorder="1" applyAlignment="1">
      <alignment horizontal="center" vertical="center"/>
    </xf>
    <xf numFmtId="37" fontId="99" fillId="32" borderId="141" xfId="0" applyNumberFormat="1" applyFont="1" applyFill="1" applyBorder="1" applyAlignment="1">
      <alignment vertical="center"/>
    </xf>
    <xf numFmtId="0" fontId="100" fillId="0" borderId="32" xfId="0" applyFont="1" applyBorder="1" applyAlignment="1">
      <alignment vertical="center"/>
    </xf>
    <xf numFmtId="0" fontId="100" fillId="0" borderId="15" xfId="0" applyFont="1" applyBorder="1" applyAlignment="1">
      <alignment vertical="center"/>
    </xf>
    <xf numFmtId="171" fontId="99" fillId="0" borderId="97" xfId="0" applyNumberFormat="1" applyFont="1" applyFill="1" applyBorder="1" applyAlignment="1">
      <alignment horizontal="center" vertical="center"/>
    </xf>
    <xf numFmtId="0" fontId="100" fillId="0" borderId="102" xfId="0" applyFont="1" applyFill="1" applyBorder="1" applyAlignment="1">
      <alignment horizontal="center" vertical="center"/>
    </xf>
    <xf numFmtId="0" fontId="100" fillId="0" borderId="104" xfId="0" applyFont="1" applyFill="1" applyBorder="1" applyAlignment="1">
      <alignment horizontal="center" vertical="center"/>
    </xf>
    <xf numFmtId="39" fontId="99" fillId="14" borderId="69" xfId="0" applyNumberFormat="1" applyFont="1" applyFill="1" applyBorder="1" applyAlignment="1">
      <alignment horizontal="center" vertical="center"/>
    </xf>
    <xf numFmtId="0" fontId="100" fillId="14" borderId="0" xfId="0" applyFont="1" applyFill="1" applyBorder="1" applyAlignment="1">
      <alignment horizontal="center" vertical="center"/>
    </xf>
    <xf numFmtId="0" fontId="100" fillId="14" borderId="14" xfId="0" applyFont="1" applyFill="1" applyBorder="1" applyAlignment="1">
      <alignment horizontal="center" vertical="center"/>
    </xf>
    <xf numFmtId="39" fontId="99" fillId="14" borderId="75" xfId="0" applyNumberFormat="1" applyFont="1" applyFill="1" applyBorder="1" applyAlignment="1">
      <alignment horizontal="center" vertical="center"/>
    </xf>
    <xf numFmtId="0" fontId="100" fillId="14" borderId="138" xfId="0" applyFont="1" applyFill="1" applyBorder="1" applyAlignment="1">
      <alignment horizontal="center" vertical="center"/>
    </xf>
    <xf numFmtId="37" fontId="99" fillId="14" borderId="75" xfId="0" applyNumberFormat="1" applyFont="1" applyFill="1" applyBorder="1" applyAlignment="1">
      <alignment horizontal="center" vertical="center"/>
    </xf>
    <xf numFmtId="37" fontId="100" fillId="14" borderId="138" xfId="0" applyNumberFormat="1" applyFont="1" applyFill="1" applyBorder="1" applyAlignment="1">
      <alignment horizontal="center" vertical="center"/>
    </xf>
    <xf numFmtId="37" fontId="99" fillId="14" borderId="75" xfId="0" applyNumberFormat="1" applyFont="1" applyFill="1" applyBorder="1" applyAlignment="1"/>
    <xf numFmtId="37" fontId="100" fillId="14" borderId="138" xfId="0" applyNumberFormat="1" applyFont="1" applyFill="1" applyBorder="1" applyAlignment="1"/>
    <xf numFmtId="37" fontId="99" fillId="32" borderId="75" xfId="0" applyNumberFormat="1" applyFont="1" applyFill="1" applyBorder="1" applyAlignment="1">
      <alignment vertical="center"/>
    </xf>
    <xf numFmtId="0" fontId="100" fillId="0" borderId="138" xfId="0" applyFont="1" applyBorder="1" applyAlignment="1">
      <alignment vertical="center"/>
    </xf>
    <xf numFmtId="37" fontId="99" fillId="32" borderId="70" xfId="0" applyNumberFormat="1" applyFont="1" applyFill="1" applyBorder="1" applyAlignment="1">
      <alignment vertical="center"/>
    </xf>
    <xf numFmtId="37" fontId="99" fillId="32" borderId="34" xfId="0" applyNumberFormat="1" applyFont="1" applyFill="1" applyBorder="1" applyAlignment="1">
      <alignment vertical="center"/>
    </xf>
    <xf numFmtId="37" fontId="99" fillId="32" borderId="45" xfId="0" applyNumberFormat="1" applyFont="1" applyFill="1" applyBorder="1" applyAlignment="1">
      <alignment vertical="center"/>
    </xf>
    <xf numFmtId="37" fontId="99" fillId="32" borderId="69" xfId="0" applyNumberFormat="1" applyFont="1" applyFill="1" applyBorder="1" applyAlignment="1">
      <alignment vertical="center"/>
    </xf>
    <xf numFmtId="0" fontId="100" fillId="0" borderId="0" xfId="0" applyFont="1" applyBorder="1" applyAlignment="1">
      <alignment vertical="center"/>
    </xf>
    <xf numFmtId="0" fontId="100" fillId="0" borderId="14" xfId="0" applyFont="1" applyBorder="1" applyAlignment="1">
      <alignment vertical="center"/>
    </xf>
    <xf numFmtId="37" fontId="99" fillId="14" borderId="75" xfId="0" applyNumberFormat="1" applyFont="1" applyFill="1" applyBorder="1" applyAlignment="1">
      <alignment vertical="center"/>
    </xf>
    <xf numFmtId="0" fontId="100" fillId="14" borderId="138" xfId="0" applyFont="1" applyFill="1" applyBorder="1" applyAlignment="1">
      <alignment vertical="center"/>
    </xf>
    <xf numFmtId="37" fontId="99" fillId="14" borderId="101" xfId="0" applyNumberFormat="1" applyFont="1" applyFill="1" applyBorder="1" applyAlignment="1">
      <alignment vertical="center"/>
    </xf>
    <xf numFmtId="0" fontId="100" fillId="14" borderId="103" xfId="0" applyFont="1" applyFill="1" applyBorder="1" applyAlignment="1">
      <alignment vertical="center"/>
    </xf>
    <xf numFmtId="0" fontId="100" fillId="14" borderId="105" xfId="0" applyFont="1" applyFill="1" applyBorder="1" applyAlignment="1">
      <alignment vertical="center"/>
    </xf>
    <xf numFmtId="37" fontId="99" fillId="14" borderId="141" xfId="0" applyNumberFormat="1" applyFont="1" applyFill="1" applyBorder="1" applyAlignment="1">
      <alignment vertical="center"/>
    </xf>
    <xf numFmtId="0" fontId="100" fillId="14" borderId="32" xfId="0" applyFont="1" applyFill="1" applyBorder="1" applyAlignment="1">
      <alignment vertical="center"/>
    </xf>
    <xf numFmtId="0" fontId="100" fillId="14" borderId="15" xfId="0" applyFont="1" applyFill="1" applyBorder="1" applyAlignment="1">
      <alignment vertical="center"/>
    </xf>
    <xf numFmtId="37" fontId="99" fillId="14" borderId="101" xfId="0" applyNumberFormat="1" applyFont="1" applyFill="1" applyBorder="1" applyAlignment="1"/>
    <xf numFmtId="37" fontId="100" fillId="14" borderId="103" xfId="0" applyNumberFormat="1" applyFont="1" applyFill="1" applyBorder="1" applyAlignment="1"/>
    <xf numFmtId="37" fontId="100" fillId="14" borderId="105" xfId="0" applyNumberFormat="1" applyFont="1" applyFill="1" applyBorder="1" applyAlignment="1"/>
    <xf numFmtId="0" fontId="0" fillId="0" borderId="104" xfId="0" applyFill="1" applyBorder="1" applyAlignment="1">
      <alignment horizontal="center" vertical="center"/>
    </xf>
    <xf numFmtId="0" fontId="0" fillId="0" borderId="104" xfId="0" applyFill="1" applyBorder="1" applyAlignment="1">
      <alignment vertical="center"/>
    </xf>
    <xf numFmtId="0" fontId="0" fillId="0" borderId="62" xfId="0" applyFill="1" applyBorder="1" applyAlignment="1">
      <alignment horizontal="center" vertical="center"/>
    </xf>
    <xf numFmtId="0" fontId="0" fillId="0" borderId="102" xfId="0" applyFill="1" applyBorder="1" applyAlignment="1">
      <alignment horizontal="center" vertical="center"/>
    </xf>
    <xf numFmtId="37" fontId="7" fillId="32" borderId="53" xfId="0" applyNumberFormat="1" applyFont="1" applyFill="1" applyBorder="1" applyAlignment="1">
      <alignment vertical="center"/>
    </xf>
    <xf numFmtId="0" fontId="0" fillId="0" borderId="53" xfId="0" applyBorder="1" applyAlignment="1">
      <alignment vertical="center"/>
    </xf>
    <xf numFmtId="0" fontId="0" fillId="0" borderId="24" xfId="0" applyBorder="1" applyAlignment="1">
      <alignment vertical="center"/>
    </xf>
    <xf numFmtId="0" fontId="0" fillId="0" borderId="20" xfId="0" applyBorder="1" applyAlignment="1">
      <alignment vertical="center"/>
    </xf>
    <xf numFmtId="37" fontId="7" fillId="32" borderId="107" xfId="0" applyNumberFormat="1" applyFont="1" applyFill="1" applyBorder="1" applyAlignment="1">
      <alignment vertical="center"/>
    </xf>
    <xf numFmtId="0" fontId="0" fillId="0" borderId="27" xfId="0" applyBorder="1" applyAlignment="1">
      <alignment vertical="center"/>
    </xf>
    <xf numFmtId="0" fontId="0" fillId="0" borderId="39" xfId="0" applyBorder="1" applyAlignment="1">
      <alignment vertical="center"/>
    </xf>
    <xf numFmtId="0" fontId="0" fillId="0" borderId="64" xfId="0" applyBorder="1" applyAlignment="1">
      <alignment vertical="center"/>
    </xf>
    <xf numFmtId="0" fontId="0" fillId="0" borderId="7" xfId="0" applyBorder="1" applyAlignment="1">
      <alignment vertical="center"/>
    </xf>
    <xf numFmtId="37" fontId="7" fillId="34" borderId="30" xfId="0" applyNumberFormat="1" applyFont="1" applyFill="1" applyBorder="1" applyAlignment="1">
      <alignment vertical="center"/>
    </xf>
    <xf numFmtId="0" fontId="0" fillId="34" borderId="24" xfId="0" applyFill="1" applyBorder="1" applyAlignment="1">
      <alignment vertical="center"/>
    </xf>
    <xf numFmtId="37" fontId="7" fillId="34" borderId="98" xfId="0" applyNumberFormat="1" applyFont="1" applyFill="1" applyBorder="1" applyAlignment="1">
      <alignment vertical="center"/>
    </xf>
    <xf numFmtId="0" fontId="0" fillId="34" borderId="20" xfId="0" applyFill="1" applyBorder="1" applyAlignment="1">
      <alignment vertical="center"/>
    </xf>
    <xf numFmtId="37" fontId="7" fillId="34" borderId="118" xfId="0" applyNumberFormat="1" applyFont="1" applyFill="1" applyBorder="1" applyAlignment="1">
      <alignment vertical="center"/>
    </xf>
    <xf numFmtId="37" fontId="7" fillId="34" borderId="59" xfId="0" applyNumberFormat="1" applyFont="1" applyFill="1" applyBorder="1" applyAlignment="1">
      <alignment vertical="center"/>
    </xf>
    <xf numFmtId="37" fontId="7" fillId="34" borderId="117" xfId="0" applyNumberFormat="1" applyFont="1" applyFill="1" applyBorder="1" applyAlignment="1">
      <alignment vertical="center"/>
    </xf>
    <xf numFmtId="0" fontId="0" fillId="34" borderId="26" xfId="0" applyFill="1" applyBorder="1" applyAlignment="1">
      <alignment vertical="center"/>
    </xf>
    <xf numFmtId="0" fontId="0" fillId="0" borderId="26" xfId="0" applyBorder="1" applyAlignment="1">
      <alignment vertical="center"/>
    </xf>
    <xf numFmtId="37" fontId="7" fillId="32" borderId="118" xfId="0" applyNumberFormat="1" applyFont="1" applyFill="1" applyBorder="1" applyAlignment="1">
      <alignment vertical="center"/>
    </xf>
    <xf numFmtId="37" fontId="7" fillId="32" borderId="59" xfId="0" applyNumberFormat="1" applyFont="1" applyFill="1" applyBorder="1" applyAlignment="1">
      <alignment vertical="center"/>
    </xf>
    <xf numFmtId="171" fontId="7" fillId="13" borderId="100" xfId="0" applyNumberFormat="1" applyFont="1" applyFill="1" applyBorder="1" applyAlignment="1">
      <alignment horizontal="center" vertical="center"/>
    </xf>
    <xf numFmtId="37" fontId="7" fillId="32" borderId="99" xfId="0" applyNumberFormat="1" applyFont="1" applyFill="1" applyBorder="1" applyAlignment="1">
      <alignment vertical="center"/>
    </xf>
    <xf numFmtId="37" fontId="7" fillId="32" borderId="140" xfId="0" applyNumberFormat="1" applyFont="1" applyFill="1" applyBorder="1" applyAlignment="1">
      <alignment vertical="center"/>
    </xf>
    <xf numFmtId="39" fontId="7" fillId="14" borderId="0" xfId="0" applyNumberFormat="1" applyFont="1" applyFill="1" applyBorder="1" applyAlignment="1">
      <alignment horizontal="center" vertical="center"/>
    </xf>
    <xf numFmtId="37" fontId="7" fillId="14" borderId="32" xfId="0" applyNumberFormat="1" applyFont="1" applyFill="1" applyBorder="1" applyAlignment="1">
      <alignment vertical="center"/>
    </xf>
    <xf numFmtId="0" fontId="7" fillId="9" borderId="145" xfId="0" applyFont="1" applyFill="1" applyBorder="1"/>
    <xf numFmtId="0" fontId="14" fillId="9" borderId="146" xfId="0" applyFont="1" applyFill="1" applyBorder="1" applyAlignment="1">
      <alignment horizontal="center" vertical="center" wrapText="1"/>
    </xf>
    <xf numFmtId="0" fontId="14" fillId="9" borderId="145" xfId="0" applyFont="1" applyFill="1" applyBorder="1" applyAlignment="1">
      <alignment horizontal="center" vertical="center" wrapText="1"/>
    </xf>
    <xf numFmtId="0" fontId="14" fillId="9" borderId="147" xfId="0" applyFont="1" applyFill="1" applyBorder="1" applyAlignment="1">
      <alignment horizontal="center" vertical="center" wrapText="1"/>
    </xf>
    <xf numFmtId="0" fontId="14" fillId="9" borderId="148" xfId="0" applyFont="1" applyFill="1" applyBorder="1" applyAlignment="1">
      <alignment horizontal="center" vertical="center" wrapText="1"/>
    </xf>
    <xf numFmtId="0" fontId="14" fillId="9" borderId="149" xfId="0" applyFont="1" applyFill="1" applyBorder="1" applyAlignment="1">
      <alignment horizontal="center" vertical="center" wrapText="1"/>
    </xf>
    <xf numFmtId="0" fontId="14" fillId="9" borderId="149" xfId="9" applyFont="1" applyFill="1" applyBorder="1" applyAlignment="1">
      <alignment horizontal="center" vertical="center" wrapText="1"/>
    </xf>
    <xf numFmtId="0" fontId="20" fillId="0" borderId="145" xfId="0" applyNumberFormat="1" applyFont="1" applyFill="1" applyBorder="1"/>
    <xf numFmtId="0" fontId="20" fillId="10" borderId="145" xfId="0" applyNumberFormat="1" applyFont="1" applyFill="1" applyBorder="1"/>
    <xf numFmtId="0" fontId="20" fillId="0" borderId="145" xfId="0" applyFont="1" applyFill="1" applyBorder="1"/>
    <xf numFmtId="0" fontId="20" fillId="10" borderId="145" xfId="0" applyFont="1" applyFill="1" applyBorder="1"/>
    <xf numFmtId="0" fontId="36" fillId="0" borderId="140" xfId="0" applyFont="1" applyFill="1" applyBorder="1" applyAlignment="1">
      <alignment horizontal="center" vertical="center"/>
    </xf>
    <xf numFmtId="0" fontId="17" fillId="9" borderId="138" xfId="0" applyFont="1" applyFill="1" applyBorder="1" applyAlignment="1">
      <alignment horizontal="center" vertical="center"/>
    </xf>
    <xf numFmtId="0" fontId="50" fillId="0" borderId="140" xfId="0" applyFont="1" applyFill="1" applyBorder="1" applyAlignment="1">
      <alignment horizontal="center" vertical="center" wrapText="1"/>
    </xf>
    <xf numFmtId="0" fontId="0" fillId="0" borderId="140" xfId="0" applyFont="1" applyFill="1" applyBorder="1"/>
    <xf numFmtId="0" fontId="0" fillId="12" borderId="138" xfId="0" applyFill="1" applyBorder="1" applyAlignment="1">
      <alignment horizontal="left" vertical="center" wrapText="1"/>
    </xf>
    <xf numFmtId="0" fontId="0" fillId="0" borderId="138" xfId="0" applyBorder="1" applyAlignment="1">
      <alignment horizontal="center" vertical="center" wrapText="1"/>
    </xf>
    <xf numFmtId="0" fontId="0" fillId="0" borderId="140" xfId="0" applyBorder="1" applyAlignment="1">
      <alignment horizontal="center" vertical="center" wrapText="1"/>
    </xf>
    <xf numFmtId="164" fontId="1" fillId="21" borderId="138" xfId="4" applyNumberFormat="1" applyFill="1" applyBorder="1" applyAlignment="1">
      <alignment vertical="center"/>
    </xf>
    <xf numFmtId="0" fontId="0" fillId="21" borderId="138" xfId="4" applyFont="1" applyFill="1" applyBorder="1" applyAlignment="1">
      <alignment horizontal="center" vertical="center" wrapText="1"/>
    </xf>
    <xf numFmtId="0" fontId="1" fillId="21" borderId="140" xfId="4" applyFill="1" applyBorder="1" applyAlignment="1">
      <alignment horizontal="center" vertical="center" wrapText="1"/>
    </xf>
    <xf numFmtId="164" fontId="1" fillId="21" borderId="138" xfId="4" applyNumberFormat="1" applyFill="1" applyBorder="1" applyAlignment="1"/>
    <xf numFmtId="0" fontId="1" fillId="21" borderId="145" xfId="4" applyFill="1" applyBorder="1" applyAlignment="1">
      <alignment horizontal="center" vertical="center" wrapText="1"/>
    </xf>
    <xf numFmtId="164" fontId="1" fillId="20" borderId="138" xfId="4" applyNumberFormat="1" applyFill="1" applyBorder="1" applyAlignment="1">
      <alignment horizontal="right"/>
    </xf>
    <xf numFmtId="164" fontId="1" fillId="20" borderId="138" xfId="4" applyNumberFormat="1" applyFill="1" applyBorder="1" applyAlignment="1"/>
    <xf numFmtId="164" fontId="1" fillId="20" borderId="140" xfId="4" applyNumberFormat="1" applyFill="1" applyBorder="1" applyAlignment="1">
      <alignment horizontal="right"/>
    </xf>
    <xf numFmtId="164" fontId="1" fillId="3" borderId="138" xfId="4" applyNumberFormat="1" applyBorder="1" applyAlignment="1"/>
    <xf numFmtId="164" fontId="1" fillId="20" borderId="138" xfId="4" applyNumberFormat="1" applyFill="1" applyBorder="1" applyAlignment="1">
      <alignment vertical="center"/>
    </xf>
    <xf numFmtId="3" fontId="79" fillId="14" borderId="145" xfId="0" applyNumberFormat="1" applyFont="1" applyFill="1" applyBorder="1" applyAlignment="1">
      <alignment vertical="center"/>
    </xf>
    <xf numFmtId="0" fontId="7" fillId="0" borderId="145" xfId="0" applyFont="1" applyFill="1" applyBorder="1"/>
    <xf numFmtId="0" fontId="14" fillId="0" borderId="145" xfId="0" applyFont="1" applyBorder="1" applyAlignment="1">
      <alignment horizontal="center" wrapText="1"/>
    </xf>
    <xf numFmtId="0" fontId="14" fillId="0" borderId="147" xfId="0" applyFont="1" applyBorder="1" applyAlignment="1">
      <alignment horizontal="center" wrapText="1"/>
    </xf>
    <xf numFmtId="0" fontId="7" fillId="0" borderId="20" xfId="0" applyFont="1" applyBorder="1" applyAlignment="1"/>
    <xf numFmtId="0" fontId="0" fillId="0" borderId="138" xfId="0" applyBorder="1" applyAlignment="1"/>
    <xf numFmtId="0" fontId="7" fillId="0" borderId="64" xfId="0" applyFont="1" applyBorder="1" applyAlignment="1"/>
    <xf numFmtId="0" fontId="0" fillId="17" borderId="138" xfId="0" applyFill="1" applyBorder="1" applyAlignment="1"/>
    <xf numFmtId="0" fontId="0" fillId="17" borderId="16" xfId="0" applyFill="1" applyBorder="1" applyAlignment="1"/>
    <xf numFmtId="0" fontId="0" fillId="0" borderId="105" xfId="0" applyBorder="1" applyAlignment="1"/>
    <xf numFmtId="37" fontId="0" fillId="14" borderId="16" xfId="0" applyNumberFormat="1" applyFill="1" applyBorder="1" applyAlignment="1">
      <alignment horizontal="center" vertical="center"/>
    </xf>
    <xf numFmtId="37" fontId="0" fillId="14" borderId="16" xfId="0" applyNumberFormat="1" applyFill="1" applyBorder="1" applyAlignment="1"/>
    <xf numFmtId="0" fontId="7" fillId="0" borderId="16" xfId="0" applyFont="1" applyBorder="1" applyAlignment="1">
      <alignment vertical="center"/>
    </xf>
    <xf numFmtId="37" fontId="0" fillId="13" borderId="16" xfId="0" applyNumberFormat="1" applyFill="1" applyBorder="1" applyAlignment="1">
      <alignment horizontal="center" vertical="center"/>
    </xf>
    <xf numFmtId="37" fontId="0" fillId="13" borderId="16" xfId="0" applyNumberFormat="1" applyFill="1" applyBorder="1" applyAlignment="1"/>
    <xf numFmtId="0" fontId="97" fillId="31" borderId="16" xfId="0" applyFont="1" applyFill="1" applyBorder="1" applyAlignment="1">
      <alignment vertical="center"/>
    </xf>
    <xf numFmtId="0" fontId="0" fillId="19" borderId="16" xfId="0" applyFill="1" applyBorder="1" applyAlignment="1">
      <alignment horizontal="center" vertical="center"/>
    </xf>
    <xf numFmtId="37" fontId="0" fillId="19" borderId="16" xfId="0" applyNumberFormat="1" applyFill="1" applyBorder="1" applyAlignment="1">
      <alignment horizontal="center" vertical="center"/>
    </xf>
    <xf numFmtId="37" fontId="0" fillId="19" borderId="16" xfId="0" applyNumberFormat="1" applyFill="1" applyBorder="1" applyAlignment="1"/>
    <xf numFmtId="0" fontId="0" fillId="19" borderId="16" xfId="0" applyFill="1" applyBorder="1" applyAlignment="1">
      <alignment vertical="center"/>
    </xf>
    <xf numFmtId="39" fontId="7" fillId="14" borderId="16" xfId="0" applyNumberFormat="1" applyFont="1" applyFill="1" applyBorder="1" applyAlignment="1">
      <alignment horizontal="center" vertical="center"/>
    </xf>
    <xf numFmtId="37" fontId="7" fillId="14" borderId="16" xfId="0" applyNumberFormat="1" applyFont="1" applyFill="1" applyBorder="1" applyAlignment="1"/>
    <xf numFmtId="0" fontId="99" fillId="0" borderId="16" xfId="0" applyFont="1" applyBorder="1" applyAlignment="1">
      <alignment vertical="center"/>
    </xf>
    <xf numFmtId="0" fontId="99" fillId="32" borderId="16" xfId="0" applyFont="1" applyFill="1" applyBorder="1" applyAlignment="1">
      <alignment horizontal="center" vertical="center"/>
    </xf>
    <xf numFmtId="172" fontId="99" fillId="32" borderId="16" xfId="0" applyNumberFormat="1" applyFont="1" applyFill="1" applyBorder="1" applyAlignment="1">
      <alignment horizontal="center" vertical="center"/>
    </xf>
    <xf numFmtId="37" fontId="99" fillId="32" borderId="16" xfId="0" applyNumberFormat="1" applyFont="1" applyFill="1" applyBorder="1" applyAlignment="1">
      <alignment vertical="center"/>
    </xf>
    <xf numFmtId="0" fontId="100" fillId="0" borderId="16" xfId="0" applyFont="1" applyBorder="1" applyAlignment="1">
      <alignment vertical="center"/>
    </xf>
    <xf numFmtId="0" fontId="100" fillId="14" borderId="16" xfId="0" applyFont="1" applyFill="1" applyBorder="1" applyAlignment="1">
      <alignment horizontal="center" vertical="center"/>
    </xf>
    <xf numFmtId="37" fontId="100" fillId="14" borderId="16" xfId="0" applyNumberFormat="1" applyFont="1" applyFill="1" applyBorder="1" applyAlignment="1">
      <alignment horizontal="center" vertical="center"/>
    </xf>
    <xf numFmtId="37" fontId="100" fillId="14" borderId="16" xfId="0" applyNumberFormat="1" applyFont="1" applyFill="1" applyBorder="1" applyAlignment="1"/>
    <xf numFmtId="0" fontId="100" fillId="14" borderId="16" xfId="0" applyFont="1" applyFill="1" applyBorder="1" applyAlignment="1">
      <alignment vertical="center"/>
    </xf>
    <xf numFmtId="39" fontId="7" fillId="14" borderId="16" xfId="0" applyNumberFormat="1" applyFont="1" applyFill="1" applyBorder="1" applyAlignment="1">
      <alignment horizontal="center" vertical="center"/>
    </xf>
    <xf numFmtId="0" fontId="0" fillId="14" borderId="16" xfId="0" applyFill="1" applyBorder="1" applyAlignment="1"/>
    <xf numFmtId="37" fontId="7" fillId="14" borderId="16" xfId="0" applyNumberFormat="1" applyFont="1" applyFill="1" applyBorder="1"/>
    <xf numFmtId="37" fontId="7" fillId="32" borderId="58" xfId="0" applyNumberFormat="1" applyFont="1" applyFill="1" applyBorder="1" applyAlignment="1">
      <alignment vertical="center"/>
    </xf>
    <xf numFmtId="37" fontId="7" fillId="32" borderId="58" xfId="0" applyNumberFormat="1" applyFont="1" applyFill="1" applyBorder="1" applyAlignment="1">
      <alignment horizontal="center"/>
    </xf>
  </cellXfs>
  <cellStyles count="12">
    <cellStyle name="20% - Accent6" xfId="8" builtinId="50"/>
    <cellStyle name="40% - Accent2" xfId="4" builtinId="35"/>
    <cellStyle name="40% - Accent3" xfId="6" builtinId="39"/>
    <cellStyle name="40% - Accent5" xfId="7" builtinId="47"/>
    <cellStyle name="60% - Accent2 2" xfId="11" xr:uid="{00000000-0005-0000-0000-000004000000}"/>
    <cellStyle name="Accent3" xfId="5" builtinId="37"/>
    <cellStyle name="Comma" xfId="1" builtinId="3"/>
    <cellStyle name="Input" xfId="3" builtinId="20"/>
    <cellStyle name="Normal" xfId="0" builtinId="0"/>
    <cellStyle name="Normal 10" xfId="9" xr:uid="{00000000-0005-0000-0000-000009000000}"/>
    <cellStyle name="Normal 14" xfId="10" xr:uid="{00000000-0005-0000-0000-00000A00000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haredStrings" Target="sharedStrings.xml"/><Relationship Id="rId30"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D4/Cromwell_Jerome/Environmental%20Review/RWCDS/Jerome_RWCDS_Proposed_2.15_full%20edits%20to%20STV.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Queens/Rockaway%20Neighborhoods/Downtown%20Far%20Rockaway/6_Discretionary%20Approvals/1_Environmental%20Review/4_Reasonable%20Worst%20Case%20Development%20Scenario/DTFR%20RWCDS%20and%20Program%20Assumptions%20for%20A-TEX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02.%20Capital%20Planning%20Initiatives/01.%20By%20Agency/DEP/Neighborhoods%20&amp;%20NDF%20Allocation/By%20Neighborhood/East%20Harlem/Projected%20Potential/Copy%20of%20Copy%20of%20EH_CC%20Mod%20Massings_Matrix_2017-11-20%20(0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East%20New%20York%20Rezoning\CEQR\RWCDS\TM\RWCDS_TM_ProjectedSites_33116.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East%20New%20York%20Rezoning\CEQR\RWCDS\TM\RWCDS_TM_PotentialSites_4716.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East%20New%20York%20Rezoning\CEQR\RWCDS\R6B%20Change\RWCDS_81715_PotentialSites_R6Bchang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ed Development Sites"/>
      <sheetName val="Potential Development Sites"/>
      <sheetName val="Potential Alternative Sites"/>
    </sheetNames>
    <sheetDataSet>
      <sheetData sheetId="0">
        <row r="12">
          <cell r="BS12">
            <v>0</v>
          </cell>
        </row>
        <row r="114">
          <cell r="BS114">
            <v>0</v>
          </cell>
        </row>
        <row r="115">
          <cell r="BS115">
            <v>0</v>
          </cell>
        </row>
        <row r="120">
          <cell r="BS120">
            <v>0</v>
          </cell>
        </row>
        <row r="121">
          <cell r="BS121">
            <v>0</v>
          </cell>
        </row>
        <row r="134">
          <cell r="DF134">
            <v>1000</v>
          </cell>
        </row>
        <row r="135">
          <cell r="BG135">
            <v>0.7</v>
          </cell>
        </row>
        <row r="136">
          <cell r="DK136">
            <v>1</v>
          </cell>
        </row>
        <row r="142">
          <cell r="BS142">
            <v>0</v>
          </cell>
        </row>
      </sheetData>
      <sheetData sheetId="1">
        <row r="35">
          <cell r="BS35">
            <v>0</v>
          </cell>
        </row>
        <row r="160">
          <cell r="BS160">
            <v>0</v>
          </cell>
        </row>
        <row r="172">
          <cell r="BS172">
            <v>0</v>
          </cell>
        </row>
        <row r="323">
          <cell r="BS323">
            <v>0</v>
          </cell>
        </row>
        <row r="349">
          <cell r="BS349">
            <v>0</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e Basics&gt;"/>
      <sheetName val="Simple Roll-Up"/>
      <sheetName val="DTFR RWCDS DEIS"/>
      <sheetName val="DTFR RWCDS A-Text"/>
      <sheetName val="Existing Rezoning Area_RAW (2)"/>
      <sheetName val="Project and Potential Detail&gt;"/>
      <sheetName val="Notes and Assumptions"/>
      <sheetName val="DOT Dispo"/>
      <sheetName val="Projected Sites Summary"/>
      <sheetName val="Site 1"/>
      <sheetName val="Site 2"/>
      <sheetName val="Site 3"/>
      <sheetName val="Site 4"/>
      <sheetName val="Site 5"/>
      <sheetName val="Site 6"/>
      <sheetName val="Site 7"/>
      <sheetName val="Site 8"/>
      <sheetName val="Site 9"/>
      <sheetName val="Site 10"/>
      <sheetName val="Site 11 "/>
      <sheetName val="Site 12"/>
      <sheetName val="Site 13"/>
      <sheetName val="Site 14"/>
      <sheetName val="Site 15"/>
      <sheetName val="Site 16"/>
      <sheetName val="Site 17"/>
      <sheetName val="Potential Site Summary"/>
      <sheetName val="Site A"/>
      <sheetName val="Site B"/>
      <sheetName val="Site C"/>
      <sheetName val="Site D"/>
      <sheetName val="Site E"/>
      <sheetName val="Site F"/>
      <sheetName val="Site G"/>
      <sheetName val="Site H"/>
      <sheetName val="Site I"/>
      <sheetName val="Backup and Other&gt;"/>
      <sheetName val="C4-4 Test"/>
      <sheetName val="R6A Test"/>
      <sheetName val="Site 18 - Muni Lot"/>
      <sheetName val="Existing Rezoning Area"/>
      <sheetName val="DFRURA Existing Vacancy Calc"/>
    </sheetNames>
    <sheetDataSet>
      <sheetData sheetId="0"/>
      <sheetData sheetId="1"/>
      <sheetData sheetId="2"/>
      <sheetData sheetId="3"/>
      <sheetData sheetId="4"/>
      <sheetData sheetId="5"/>
      <sheetData sheetId="6"/>
      <sheetData sheetId="7">
        <row r="6">
          <cell r="G6">
            <v>177238</v>
          </cell>
          <cell r="H6">
            <v>176</v>
          </cell>
          <cell r="I6">
            <v>11557</v>
          </cell>
          <cell r="J6">
            <v>7421</v>
          </cell>
        </row>
        <row r="10">
          <cell r="G10">
            <v>660585</v>
          </cell>
          <cell r="H10">
            <v>661</v>
          </cell>
          <cell r="I10">
            <v>11655</v>
          </cell>
          <cell r="J10">
            <v>105058</v>
          </cell>
          <cell r="R10">
            <v>331.55</v>
          </cell>
        </row>
        <row r="18">
          <cell r="G18">
            <v>1039516</v>
          </cell>
          <cell r="H18">
            <v>1019</v>
          </cell>
          <cell r="I18">
            <v>24640</v>
          </cell>
          <cell r="J18">
            <v>10706</v>
          </cell>
          <cell r="R18">
            <v>407.02749999999997</v>
          </cell>
        </row>
        <row r="21">
          <cell r="G21">
            <v>66565</v>
          </cell>
          <cell r="H21">
            <v>67</v>
          </cell>
          <cell r="J21">
            <v>13313</v>
          </cell>
          <cell r="R21">
            <v>32.489999999999995</v>
          </cell>
        </row>
      </sheetData>
      <sheetData sheetId="8">
        <row r="3">
          <cell r="F3">
            <v>46000</v>
          </cell>
          <cell r="G3">
            <v>46</v>
          </cell>
          <cell r="I3">
            <v>6290</v>
          </cell>
          <cell r="L3">
            <v>16.675000000000001</v>
          </cell>
        </row>
        <row r="5">
          <cell r="F5">
            <v>30000</v>
          </cell>
          <cell r="G5">
            <v>30</v>
          </cell>
          <cell r="J5">
            <v>6290</v>
          </cell>
          <cell r="L5">
            <v>11.25</v>
          </cell>
        </row>
        <row r="7">
          <cell r="F7">
            <v>42900</v>
          </cell>
          <cell r="G7">
            <v>42.9</v>
          </cell>
          <cell r="I7">
            <v>0</v>
          </cell>
          <cell r="J7">
            <v>4845</v>
          </cell>
          <cell r="L7">
            <v>16.087499999999999</v>
          </cell>
        </row>
        <row r="9">
          <cell r="F9">
            <v>103300</v>
          </cell>
          <cell r="G9">
            <v>103.3</v>
          </cell>
          <cell r="I9">
            <v>0</v>
          </cell>
          <cell r="J9">
            <v>17680</v>
          </cell>
          <cell r="L9">
            <v>38.737499999999997</v>
          </cell>
        </row>
        <row r="11">
          <cell r="F11">
            <v>43800</v>
          </cell>
          <cell r="G11">
            <v>43.8</v>
          </cell>
          <cell r="I11">
            <v>0</v>
          </cell>
          <cell r="J11">
            <v>7650</v>
          </cell>
          <cell r="L11">
            <v>16.424999999999997</v>
          </cell>
        </row>
        <row r="13">
          <cell r="F13">
            <v>171600</v>
          </cell>
          <cell r="G13">
            <v>171.6</v>
          </cell>
          <cell r="J13">
            <v>25925</v>
          </cell>
          <cell r="L13">
            <v>98.916666666666657</v>
          </cell>
        </row>
        <row r="15">
          <cell r="F15">
            <v>58000</v>
          </cell>
          <cell r="G15">
            <v>58</v>
          </cell>
          <cell r="J15">
            <v>7269.2</v>
          </cell>
          <cell r="L15">
            <v>21.75</v>
          </cell>
        </row>
        <row r="17">
          <cell r="F17">
            <v>37300</v>
          </cell>
          <cell r="G17">
            <v>37.299999999999997</v>
          </cell>
          <cell r="J17">
            <v>5610</v>
          </cell>
          <cell r="L17">
            <v>13.987500000000001</v>
          </cell>
        </row>
        <row r="21">
          <cell r="F21">
            <v>62500</v>
          </cell>
          <cell r="G21">
            <v>62.5</v>
          </cell>
          <cell r="I21">
            <v>3500</v>
          </cell>
          <cell r="J21">
            <v>5525</v>
          </cell>
          <cell r="L21">
            <v>23.4375</v>
          </cell>
        </row>
        <row r="23">
          <cell r="F23">
            <v>33000</v>
          </cell>
          <cell r="G23">
            <v>33</v>
          </cell>
          <cell r="I23">
            <v>0</v>
          </cell>
          <cell r="J23">
            <v>3485</v>
          </cell>
          <cell r="L23">
            <v>12.375000000000002</v>
          </cell>
        </row>
        <row r="25">
          <cell r="F25">
            <v>34100</v>
          </cell>
          <cell r="G25">
            <v>34.1</v>
          </cell>
          <cell r="J25">
            <v>3411.9</v>
          </cell>
          <cell r="L25">
            <v>12.787500000000001</v>
          </cell>
        </row>
        <row r="27">
          <cell r="F27">
            <v>60400</v>
          </cell>
          <cell r="G27">
            <v>60.4</v>
          </cell>
          <cell r="I27">
            <v>0</v>
          </cell>
          <cell r="J27">
            <v>6970</v>
          </cell>
          <cell r="L27">
            <v>22.65</v>
          </cell>
        </row>
        <row r="29">
          <cell r="F29">
            <v>21600</v>
          </cell>
          <cell r="G29">
            <v>21.6</v>
          </cell>
          <cell r="I29">
            <v>2805</v>
          </cell>
          <cell r="J29">
            <v>0</v>
          </cell>
          <cell r="L29">
            <v>8.6666666666666661</v>
          </cell>
        </row>
        <row r="31">
          <cell r="F31">
            <v>138000</v>
          </cell>
          <cell r="G31">
            <v>138</v>
          </cell>
          <cell r="I31">
            <v>25500</v>
          </cell>
          <cell r="J31">
            <v>0</v>
          </cell>
          <cell r="L31">
            <v>34.5</v>
          </cell>
        </row>
        <row r="33">
          <cell r="F33">
            <v>54300</v>
          </cell>
          <cell r="G33">
            <v>54.3</v>
          </cell>
          <cell r="J33">
            <v>7182.5</v>
          </cell>
          <cell r="L33">
            <v>20.362499999999997</v>
          </cell>
        </row>
        <row r="35">
          <cell r="F35">
            <v>32400</v>
          </cell>
          <cell r="G35">
            <v>32.4</v>
          </cell>
          <cell r="I35">
            <v>0</v>
          </cell>
          <cell r="J35">
            <v>5525</v>
          </cell>
          <cell r="L35">
            <v>12.149999999999999</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3">
          <cell r="F3">
            <v>37800</v>
          </cell>
          <cell r="J3">
            <v>5610</v>
          </cell>
          <cell r="L3">
            <v>13.702499999999997</v>
          </cell>
        </row>
        <row r="5">
          <cell r="F5">
            <v>62000</v>
          </cell>
          <cell r="J5">
            <v>8075</v>
          </cell>
          <cell r="L5">
            <v>22.475000000000001</v>
          </cell>
        </row>
        <row r="7">
          <cell r="F7">
            <v>85000</v>
          </cell>
          <cell r="J7">
            <v>9350</v>
          </cell>
          <cell r="L7">
            <v>31.875</v>
          </cell>
        </row>
        <row r="9">
          <cell r="F9">
            <v>28400</v>
          </cell>
          <cell r="J9">
            <v>3825</v>
          </cell>
          <cell r="L9">
            <v>10.294999999999998</v>
          </cell>
        </row>
        <row r="11">
          <cell r="F11">
            <v>34000</v>
          </cell>
          <cell r="J11">
            <v>5865</v>
          </cell>
          <cell r="L11">
            <v>12.324999999999999</v>
          </cell>
        </row>
        <row r="13">
          <cell r="F13">
            <v>66400</v>
          </cell>
          <cell r="I13">
            <v>5500</v>
          </cell>
          <cell r="J13">
            <v>10880</v>
          </cell>
          <cell r="L13">
            <v>24.070000000000004</v>
          </cell>
        </row>
        <row r="15">
          <cell r="F15">
            <v>34700</v>
          </cell>
          <cell r="J15">
            <v>4675</v>
          </cell>
          <cell r="L15">
            <v>12.578749999999999</v>
          </cell>
        </row>
        <row r="17">
          <cell r="F17">
            <v>29600</v>
          </cell>
          <cell r="J17">
            <v>5440</v>
          </cell>
          <cell r="L17">
            <v>10.73</v>
          </cell>
        </row>
        <row r="19">
          <cell r="F19">
            <v>174360</v>
          </cell>
          <cell r="J19">
            <v>34775</v>
          </cell>
          <cell r="L19">
            <v>63.205499999999994</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sing matrix"/>
      <sheetName val="Sites to be changed"/>
      <sheetName val="Sheet1"/>
      <sheetName val="Sheet2"/>
    </sheetNames>
    <sheetDataSet>
      <sheetData sheetId="0" refreshError="1"/>
      <sheetData sheetId="1" refreshError="1"/>
      <sheetData sheetId="2">
        <row r="25">
          <cell r="A25">
            <v>33</v>
          </cell>
        </row>
      </sheetData>
      <sheetData sheetId="3">
        <row r="2">
          <cell r="A2" t="str">
            <v>Projected Development Site Number</v>
          </cell>
          <cell r="B2" t="str">
            <v>Block</v>
          </cell>
        </row>
        <row r="3">
          <cell r="A3">
            <v>1</v>
          </cell>
          <cell r="B3">
            <v>1754</v>
          </cell>
        </row>
        <row r="4">
          <cell r="B4">
            <v>1754</v>
          </cell>
        </row>
        <row r="5">
          <cell r="A5">
            <v>2</v>
          </cell>
          <cell r="B5">
            <v>1769</v>
          </cell>
        </row>
        <row r="6">
          <cell r="A6">
            <v>3</v>
          </cell>
          <cell r="B6">
            <v>1623</v>
          </cell>
        </row>
        <row r="7">
          <cell r="B7">
            <v>1623</v>
          </cell>
        </row>
        <row r="8">
          <cell r="A8">
            <v>4</v>
          </cell>
          <cell r="B8">
            <v>1775</v>
          </cell>
        </row>
        <row r="9">
          <cell r="B9">
            <v>1775</v>
          </cell>
        </row>
        <row r="10">
          <cell r="B10">
            <v>1775</v>
          </cell>
        </row>
        <row r="11">
          <cell r="B11">
            <v>1775</v>
          </cell>
        </row>
        <row r="12">
          <cell r="B12">
            <v>1775</v>
          </cell>
        </row>
        <row r="13">
          <cell r="A13">
            <v>5</v>
          </cell>
          <cell r="B13">
            <v>1751</v>
          </cell>
        </row>
        <row r="14">
          <cell r="B14">
            <v>1751</v>
          </cell>
        </row>
        <row r="15">
          <cell r="B15">
            <v>1751</v>
          </cell>
        </row>
        <row r="16">
          <cell r="B16">
            <v>1751</v>
          </cell>
        </row>
        <row r="17">
          <cell r="B17">
            <v>1751</v>
          </cell>
        </row>
        <row r="18">
          <cell r="B18">
            <v>1751</v>
          </cell>
        </row>
        <row r="19">
          <cell r="B19">
            <v>1751</v>
          </cell>
        </row>
        <row r="20">
          <cell r="B20">
            <v>1751</v>
          </cell>
        </row>
        <row r="21">
          <cell r="B21">
            <v>1751</v>
          </cell>
        </row>
        <row r="22">
          <cell r="A22">
            <v>6</v>
          </cell>
          <cell r="B22">
            <v>1746</v>
          </cell>
        </row>
        <row r="23">
          <cell r="A23">
            <v>7</v>
          </cell>
          <cell r="B23">
            <v>1745</v>
          </cell>
        </row>
        <row r="24">
          <cell r="A24">
            <v>8</v>
          </cell>
          <cell r="B24">
            <v>1750</v>
          </cell>
        </row>
        <row r="25">
          <cell r="A25">
            <v>9</v>
          </cell>
          <cell r="B25">
            <v>1774</v>
          </cell>
        </row>
        <row r="26">
          <cell r="A26">
            <v>10</v>
          </cell>
          <cell r="B26">
            <v>1773</v>
          </cell>
        </row>
        <row r="27">
          <cell r="B27">
            <v>1773</v>
          </cell>
        </row>
        <row r="28">
          <cell r="B28">
            <v>1773</v>
          </cell>
        </row>
        <row r="29">
          <cell r="B29">
            <v>1773</v>
          </cell>
        </row>
        <row r="30">
          <cell r="B30">
            <v>1773</v>
          </cell>
        </row>
        <row r="31">
          <cell r="A31">
            <v>11</v>
          </cell>
          <cell r="B31">
            <v>1785</v>
          </cell>
        </row>
        <row r="32">
          <cell r="A32">
            <v>12</v>
          </cell>
          <cell r="B32">
            <v>1770</v>
          </cell>
        </row>
        <row r="33">
          <cell r="A33">
            <v>13</v>
          </cell>
          <cell r="B33">
            <v>1786</v>
          </cell>
        </row>
        <row r="34">
          <cell r="B34">
            <v>1786</v>
          </cell>
        </row>
        <row r="35">
          <cell r="A35">
            <v>14</v>
          </cell>
          <cell r="B35">
            <v>1767</v>
          </cell>
        </row>
        <row r="36">
          <cell r="A36">
            <v>15</v>
          </cell>
          <cell r="B36">
            <v>1636</v>
          </cell>
        </row>
        <row r="37">
          <cell r="B37">
            <v>1636</v>
          </cell>
        </row>
        <row r="38">
          <cell r="B38">
            <v>1636</v>
          </cell>
        </row>
        <row r="39">
          <cell r="B39">
            <v>1636</v>
          </cell>
        </row>
        <row r="40">
          <cell r="B40">
            <v>1636</v>
          </cell>
        </row>
        <row r="41">
          <cell r="B41">
            <v>1636</v>
          </cell>
        </row>
        <row r="42">
          <cell r="A42">
            <v>16</v>
          </cell>
          <cell r="B42">
            <v>1643</v>
          </cell>
        </row>
        <row r="43">
          <cell r="B43">
            <v>1643</v>
          </cell>
        </row>
        <row r="44">
          <cell r="B44">
            <v>1643</v>
          </cell>
        </row>
        <row r="45">
          <cell r="B45">
            <v>1643</v>
          </cell>
        </row>
        <row r="46">
          <cell r="A46">
            <v>17</v>
          </cell>
          <cell r="B46">
            <v>1660</v>
          </cell>
        </row>
        <row r="47">
          <cell r="B47">
            <v>1660</v>
          </cell>
        </row>
        <row r="48">
          <cell r="B48">
            <v>1660</v>
          </cell>
        </row>
        <row r="49">
          <cell r="B49">
            <v>1660</v>
          </cell>
        </row>
        <row r="50">
          <cell r="A50">
            <v>18</v>
          </cell>
          <cell r="B50">
            <v>1635</v>
          </cell>
        </row>
        <row r="51">
          <cell r="B51">
            <v>1635</v>
          </cell>
        </row>
        <row r="52">
          <cell r="B52">
            <v>1635</v>
          </cell>
        </row>
        <row r="53">
          <cell r="B53">
            <v>1635</v>
          </cell>
        </row>
        <row r="54">
          <cell r="B54">
            <v>1635</v>
          </cell>
        </row>
        <row r="55">
          <cell r="B55">
            <v>1635</v>
          </cell>
        </row>
        <row r="56">
          <cell r="B56">
            <v>1635</v>
          </cell>
        </row>
        <row r="57">
          <cell r="A57">
            <v>19</v>
          </cell>
          <cell r="B57">
            <v>1634</v>
          </cell>
        </row>
        <row r="58">
          <cell r="B58">
            <v>1634</v>
          </cell>
        </row>
        <row r="59">
          <cell r="B59">
            <v>1634</v>
          </cell>
        </row>
        <row r="60">
          <cell r="B60">
            <v>1634</v>
          </cell>
        </row>
        <row r="61">
          <cell r="B61">
            <v>1634</v>
          </cell>
        </row>
        <row r="62">
          <cell r="B62">
            <v>1634</v>
          </cell>
        </row>
        <row r="63">
          <cell r="A63">
            <v>20</v>
          </cell>
          <cell r="B63">
            <v>1654</v>
          </cell>
        </row>
        <row r="64">
          <cell r="B64">
            <v>1654</v>
          </cell>
        </row>
        <row r="65">
          <cell r="B65">
            <v>1654</v>
          </cell>
        </row>
        <row r="66">
          <cell r="A66">
            <v>21</v>
          </cell>
          <cell r="B66">
            <v>1632</v>
          </cell>
        </row>
        <row r="67">
          <cell r="B67">
            <v>1632</v>
          </cell>
        </row>
        <row r="68">
          <cell r="B68">
            <v>1632</v>
          </cell>
        </row>
        <row r="69">
          <cell r="A69">
            <v>22</v>
          </cell>
          <cell r="B69">
            <v>1771</v>
          </cell>
        </row>
        <row r="70">
          <cell r="B70">
            <v>1771</v>
          </cell>
        </row>
        <row r="71">
          <cell r="A71">
            <v>23</v>
          </cell>
          <cell r="B71">
            <v>1643</v>
          </cell>
        </row>
        <row r="72">
          <cell r="A72">
            <v>24</v>
          </cell>
          <cell r="B72">
            <v>1768</v>
          </cell>
        </row>
        <row r="73">
          <cell r="B73">
            <v>1768</v>
          </cell>
        </row>
        <row r="74">
          <cell r="B74">
            <v>1768</v>
          </cell>
        </row>
        <row r="75">
          <cell r="B75">
            <v>1768</v>
          </cell>
        </row>
        <row r="76">
          <cell r="B76">
            <v>1768</v>
          </cell>
        </row>
        <row r="77">
          <cell r="A77">
            <v>25</v>
          </cell>
          <cell r="B77">
            <v>1622</v>
          </cell>
        </row>
        <row r="78">
          <cell r="B78">
            <v>1622</v>
          </cell>
        </row>
        <row r="79">
          <cell r="A79">
            <v>26</v>
          </cell>
          <cell r="B79">
            <v>1655</v>
          </cell>
        </row>
        <row r="80">
          <cell r="B80">
            <v>1655</v>
          </cell>
        </row>
        <row r="81">
          <cell r="A81">
            <v>27</v>
          </cell>
          <cell r="B81">
            <v>1785</v>
          </cell>
        </row>
        <row r="82">
          <cell r="B82">
            <v>1785</v>
          </cell>
        </row>
        <row r="83">
          <cell r="A83">
            <v>28</v>
          </cell>
          <cell r="B83">
            <v>1643</v>
          </cell>
        </row>
        <row r="84">
          <cell r="A84">
            <v>29</v>
          </cell>
          <cell r="B84">
            <v>1659</v>
          </cell>
        </row>
        <row r="85">
          <cell r="A85">
            <v>30</v>
          </cell>
          <cell r="B85">
            <v>1756</v>
          </cell>
        </row>
        <row r="86">
          <cell r="A86">
            <v>31</v>
          </cell>
          <cell r="B86">
            <v>1622</v>
          </cell>
        </row>
        <row r="87">
          <cell r="A87">
            <v>32</v>
          </cell>
          <cell r="B87">
            <v>1768</v>
          </cell>
        </row>
        <row r="88">
          <cell r="B88">
            <v>1768</v>
          </cell>
        </row>
        <row r="89">
          <cell r="A89">
            <v>33</v>
          </cell>
          <cell r="B89">
            <v>1655</v>
          </cell>
        </row>
        <row r="90">
          <cell r="B90">
            <v>1655</v>
          </cell>
        </row>
        <row r="91">
          <cell r="B91">
            <v>1655</v>
          </cell>
        </row>
        <row r="92">
          <cell r="A92">
            <v>35</v>
          </cell>
          <cell r="B92">
            <v>1676</v>
          </cell>
        </row>
        <row r="93">
          <cell r="A93">
            <v>36</v>
          </cell>
          <cell r="B93">
            <v>1772</v>
          </cell>
        </row>
        <row r="94">
          <cell r="A94">
            <v>37</v>
          </cell>
          <cell r="B94">
            <v>1771</v>
          </cell>
        </row>
        <row r="95">
          <cell r="A95">
            <v>38</v>
          </cell>
          <cell r="B95">
            <v>1643</v>
          </cell>
        </row>
        <row r="96">
          <cell r="B96">
            <v>1643</v>
          </cell>
        </row>
        <row r="97">
          <cell r="B97">
            <v>1643</v>
          </cell>
        </row>
        <row r="98">
          <cell r="A98">
            <v>39</v>
          </cell>
          <cell r="B98">
            <v>1643</v>
          </cell>
        </row>
        <row r="99">
          <cell r="A99">
            <v>40</v>
          </cell>
          <cell r="B99">
            <v>1639</v>
          </cell>
        </row>
        <row r="100">
          <cell r="B100">
            <v>1639</v>
          </cell>
        </row>
        <row r="101">
          <cell r="A101">
            <v>41</v>
          </cell>
          <cell r="B101">
            <v>1639</v>
          </cell>
        </row>
        <row r="102">
          <cell r="A102">
            <v>42</v>
          </cell>
          <cell r="B102">
            <v>1638</v>
          </cell>
        </row>
        <row r="103">
          <cell r="A103">
            <v>43</v>
          </cell>
          <cell r="B103">
            <v>1637</v>
          </cell>
        </row>
        <row r="104">
          <cell r="B104">
            <v>1637</v>
          </cell>
        </row>
        <row r="105">
          <cell r="B105">
            <v>1637</v>
          </cell>
        </row>
        <row r="106">
          <cell r="B106">
            <v>1637</v>
          </cell>
        </row>
        <row r="107">
          <cell r="A107">
            <v>44</v>
          </cell>
          <cell r="B107">
            <v>1637</v>
          </cell>
        </row>
        <row r="108">
          <cell r="B108">
            <v>1637</v>
          </cell>
        </row>
        <row r="109">
          <cell r="A109">
            <v>45</v>
          </cell>
          <cell r="B109">
            <v>1635</v>
          </cell>
        </row>
        <row r="110">
          <cell r="B110">
            <v>1635</v>
          </cell>
        </row>
        <row r="111">
          <cell r="A111">
            <v>46</v>
          </cell>
          <cell r="B111">
            <v>1635</v>
          </cell>
        </row>
        <row r="112">
          <cell r="B112">
            <v>1635</v>
          </cell>
        </row>
        <row r="113">
          <cell r="A113">
            <v>47</v>
          </cell>
          <cell r="B113">
            <v>1634</v>
          </cell>
        </row>
        <row r="114">
          <cell r="A114">
            <v>48</v>
          </cell>
          <cell r="B114">
            <v>1643</v>
          </cell>
        </row>
        <row r="115">
          <cell r="A115">
            <v>49</v>
          </cell>
          <cell r="B115">
            <v>1643</v>
          </cell>
        </row>
        <row r="116">
          <cell r="A116">
            <v>50</v>
          </cell>
          <cell r="B116">
            <v>1667</v>
          </cell>
        </row>
        <row r="117">
          <cell r="A117">
            <v>51</v>
          </cell>
          <cell r="B117">
            <v>1666</v>
          </cell>
        </row>
        <row r="118">
          <cell r="B118">
            <v>1666</v>
          </cell>
        </row>
        <row r="119">
          <cell r="A119">
            <v>52</v>
          </cell>
          <cell r="B119">
            <v>1788</v>
          </cell>
        </row>
        <row r="120">
          <cell r="A120">
            <v>53</v>
          </cell>
          <cell r="B120">
            <v>1786</v>
          </cell>
        </row>
        <row r="121">
          <cell r="A121">
            <v>54</v>
          </cell>
          <cell r="B121">
            <v>1786</v>
          </cell>
        </row>
        <row r="122">
          <cell r="B122">
            <v>1786</v>
          </cell>
        </row>
        <row r="123">
          <cell r="B123">
            <v>1786</v>
          </cell>
        </row>
        <row r="124">
          <cell r="B124">
            <v>1786</v>
          </cell>
        </row>
        <row r="125">
          <cell r="A125">
            <v>55</v>
          </cell>
          <cell r="B125">
            <v>1785</v>
          </cell>
        </row>
        <row r="126">
          <cell r="B126">
            <v>1785</v>
          </cell>
        </row>
        <row r="127">
          <cell r="B127">
            <v>1785</v>
          </cell>
        </row>
        <row r="128">
          <cell r="A128">
            <v>56</v>
          </cell>
          <cell r="B128">
            <v>1784</v>
          </cell>
        </row>
        <row r="129">
          <cell r="B129">
            <v>1784</v>
          </cell>
        </row>
        <row r="130">
          <cell r="B130">
            <v>1784</v>
          </cell>
        </row>
        <row r="131">
          <cell r="B131">
            <v>1784</v>
          </cell>
        </row>
        <row r="132">
          <cell r="B132">
            <v>1784</v>
          </cell>
        </row>
        <row r="133">
          <cell r="B133">
            <v>1784</v>
          </cell>
        </row>
        <row r="134">
          <cell r="A134">
            <v>57</v>
          </cell>
          <cell r="B134">
            <v>1795</v>
          </cell>
        </row>
        <row r="135">
          <cell r="B135">
            <v>1795</v>
          </cell>
        </row>
        <row r="136">
          <cell r="B136">
            <v>1795</v>
          </cell>
        </row>
        <row r="137">
          <cell r="A137">
            <v>58</v>
          </cell>
          <cell r="B137">
            <v>1667</v>
          </cell>
        </row>
        <row r="138">
          <cell r="A138">
            <v>59</v>
          </cell>
          <cell r="B138">
            <v>1667</v>
          </cell>
        </row>
        <row r="139">
          <cell r="B139">
            <v>1667</v>
          </cell>
        </row>
        <row r="140">
          <cell r="A140">
            <v>60</v>
          </cell>
          <cell r="B140">
            <v>1689</v>
          </cell>
        </row>
        <row r="141">
          <cell r="A141">
            <v>61</v>
          </cell>
          <cell r="B141">
            <v>1666</v>
          </cell>
        </row>
        <row r="142">
          <cell r="A142">
            <v>62</v>
          </cell>
          <cell r="B142">
            <v>1688</v>
          </cell>
        </row>
        <row r="143">
          <cell r="B143">
            <v>1688</v>
          </cell>
        </row>
        <row r="144">
          <cell r="A144">
            <v>63</v>
          </cell>
          <cell r="B144">
            <v>1665</v>
          </cell>
        </row>
        <row r="145">
          <cell r="B145">
            <v>1665</v>
          </cell>
        </row>
        <row r="146">
          <cell r="B146">
            <v>1665</v>
          </cell>
        </row>
        <row r="147">
          <cell r="B147">
            <v>1665</v>
          </cell>
        </row>
        <row r="148">
          <cell r="A148">
            <v>64</v>
          </cell>
          <cell r="B148">
            <v>1687</v>
          </cell>
        </row>
        <row r="149">
          <cell r="B149">
            <v>1687</v>
          </cell>
        </row>
        <row r="150">
          <cell r="A150">
            <v>65</v>
          </cell>
          <cell r="B150">
            <v>1682</v>
          </cell>
        </row>
        <row r="151">
          <cell r="A151">
            <v>66</v>
          </cell>
          <cell r="B151">
            <v>1682</v>
          </cell>
        </row>
        <row r="152">
          <cell r="B152">
            <v>1682</v>
          </cell>
        </row>
        <row r="153">
          <cell r="A153">
            <v>67</v>
          </cell>
          <cell r="B153">
            <v>1680</v>
          </cell>
        </row>
        <row r="154">
          <cell r="A154">
            <v>68</v>
          </cell>
          <cell r="B154">
            <v>1644</v>
          </cell>
        </row>
        <row r="155">
          <cell r="A155">
            <v>69</v>
          </cell>
          <cell r="B155">
            <v>1771</v>
          </cell>
        </row>
        <row r="156">
          <cell r="B156">
            <v>1771</v>
          </cell>
        </row>
        <row r="157">
          <cell r="A157" t="str">
            <v>A</v>
          </cell>
          <cell r="B157">
            <v>1753</v>
          </cell>
        </row>
        <row r="158">
          <cell r="A158" t="str">
            <v>B</v>
          </cell>
          <cell r="B158">
            <v>1772</v>
          </cell>
        </row>
        <row r="159">
          <cell r="B159">
            <v>1772</v>
          </cell>
        </row>
        <row r="160">
          <cell r="A160" t="str">
            <v>C</v>
          </cell>
          <cell r="B160">
            <v>1767</v>
          </cell>
        </row>
        <row r="161">
          <cell r="B161">
            <v>1767</v>
          </cell>
        </row>
        <row r="162">
          <cell r="B162">
            <v>1767</v>
          </cell>
        </row>
        <row r="163">
          <cell r="B163">
            <v>1767</v>
          </cell>
        </row>
        <row r="164">
          <cell r="B164">
            <v>1767</v>
          </cell>
        </row>
        <row r="165">
          <cell r="B165">
            <v>1767</v>
          </cell>
        </row>
        <row r="166">
          <cell r="B166">
            <v>1767</v>
          </cell>
        </row>
        <row r="167">
          <cell r="B167">
            <v>1767</v>
          </cell>
        </row>
        <row r="168">
          <cell r="B168">
            <v>1767</v>
          </cell>
        </row>
        <row r="169">
          <cell r="B169">
            <v>1767</v>
          </cell>
        </row>
        <row r="170">
          <cell r="B170">
            <v>1767</v>
          </cell>
        </row>
        <row r="171">
          <cell r="A171" t="str">
            <v>D</v>
          </cell>
          <cell r="B171">
            <v>1621</v>
          </cell>
        </row>
        <row r="172">
          <cell r="A172" t="str">
            <v>E</v>
          </cell>
          <cell r="B172">
            <v>1644</v>
          </cell>
        </row>
        <row r="173">
          <cell r="B173">
            <v>1644</v>
          </cell>
        </row>
        <row r="174">
          <cell r="B174">
            <v>1644</v>
          </cell>
        </row>
        <row r="175">
          <cell r="A175" t="str">
            <v>F</v>
          </cell>
          <cell r="B175">
            <v>1661</v>
          </cell>
        </row>
        <row r="176">
          <cell r="A176" t="str">
            <v>G</v>
          </cell>
          <cell r="B176">
            <v>1645</v>
          </cell>
        </row>
        <row r="177">
          <cell r="B177">
            <v>1645</v>
          </cell>
        </row>
        <row r="178">
          <cell r="A178" t="str">
            <v>H</v>
          </cell>
          <cell r="B178">
            <v>1633</v>
          </cell>
        </row>
        <row r="179">
          <cell r="B179">
            <v>1633</v>
          </cell>
        </row>
        <row r="180">
          <cell r="A180" t="str">
            <v>I</v>
          </cell>
          <cell r="B180">
            <v>1643</v>
          </cell>
        </row>
        <row r="181">
          <cell r="B181">
            <v>1643</v>
          </cell>
        </row>
        <row r="182">
          <cell r="B182">
            <v>1643</v>
          </cell>
        </row>
        <row r="183">
          <cell r="A183" t="str">
            <v>J</v>
          </cell>
          <cell r="B183">
            <v>1639</v>
          </cell>
        </row>
        <row r="184">
          <cell r="B184">
            <v>1639</v>
          </cell>
        </row>
        <row r="185">
          <cell r="B185">
            <v>1639</v>
          </cell>
        </row>
        <row r="186">
          <cell r="B186">
            <v>1639</v>
          </cell>
        </row>
        <row r="187">
          <cell r="B187">
            <v>1639</v>
          </cell>
        </row>
        <row r="188">
          <cell r="A188" t="str">
            <v>K</v>
          </cell>
          <cell r="B188">
            <v>1620</v>
          </cell>
        </row>
        <row r="189">
          <cell r="A189" t="str">
            <v>L</v>
          </cell>
          <cell r="B189">
            <v>1640</v>
          </cell>
        </row>
        <row r="190">
          <cell r="A190" t="str">
            <v>M</v>
          </cell>
          <cell r="B190">
            <v>1640</v>
          </cell>
        </row>
        <row r="191">
          <cell r="A191" t="str">
            <v>N</v>
          </cell>
          <cell r="B191">
            <v>1662</v>
          </cell>
        </row>
        <row r="192">
          <cell r="A192" t="str">
            <v>O</v>
          </cell>
          <cell r="B192">
            <v>1755</v>
          </cell>
        </row>
        <row r="193">
          <cell r="A193" t="str">
            <v>P</v>
          </cell>
          <cell r="B193">
            <v>1784</v>
          </cell>
        </row>
        <row r="194">
          <cell r="B194">
            <v>1784</v>
          </cell>
        </row>
        <row r="195">
          <cell r="B195">
            <v>1784</v>
          </cell>
        </row>
        <row r="196">
          <cell r="B196">
            <v>1784</v>
          </cell>
        </row>
        <row r="197">
          <cell r="A197" t="str">
            <v>Q</v>
          </cell>
          <cell r="B197">
            <v>1748</v>
          </cell>
        </row>
        <row r="198">
          <cell r="A198" t="str">
            <v>R</v>
          </cell>
          <cell r="B198">
            <v>1748</v>
          </cell>
        </row>
        <row r="199">
          <cell r="A199" t="str">
            <v>S</v>
          </cell>
          <cell r="B199">
            <v>1667</v>
          </cell>
        </row>
        <row r="200">
          <cell r="A200" t="str">
            <v>T</v>
          </cell>
          <cell r="B200">
            <v>1771</v>
          </cell>
        </row>
        <row r="201">
          <cell r="B201">
            <v>1771</v>
          </cell>
        </row>
        <row r="202">
          <cell r="B202">
            <v>1771</v>
          </cell>
        </row>
        <row r="203">
          <cell r="A203" t="str">
            <v>U</v>
          </cell>
          <cell r="B203">
            <v>1655</v>
          </cell>
        </row>
        <row r="204">
          <cell r="A204" t="str">
            <v>V</v>
          </cell>
          <cell r="B204">
            <v>1775</v>
          </cell>
        </row>
        <row r="205">
          <cell r="A205" t="str">
            <v>W</v>
          </cell>
          <cell r="B205">
            <v>1772</v>
          </cell>
        </row>
        <row r="206">
          <cell r="B206">
            <v>1772</v>
          </cell>
        </row>
        <row r="207">
          <cell r="B207">
            <v>1772</v>
          </cell>
        </row>
        <row r="208">
          <cell r="B208">
            <v>1772</v>
          </cell>
        </row>
        <row r="209">
          <cell r="B209">
            <v>1772</v>
          </cell>
        </row>
        <row r="210">
          <cell r="B210">
            <v>1772</v>
          </cell>
        </row>
        <row r="211">
          <cell r="B211">
            <v>1772</v>
          </cell>
        </row>
        <row r="212">
          <cell r="B212">
            <v>1772</v>
          </cell>
        </row>
        <row r="213">
          <cell r="A213" t="str">
            <v>X</v>
          </cell>
          <cell r="B213">
            <v>1786</v>
          </cell>
        </row>
        <row r="214">
          <cell r="B214">
            <v>1786</v>
          </cell>
        </row>
        <row r="215">
          <cell r="A215" t="str">
            <v>Y</v>
          </cell>
          <cell r="B215">
            <v>1796</v>
          </cell>
        </row>
        <row r="216">
          <cell r="A216" t="str">
            <v>Z</v>
          </cell>
          <cell r="B216">
            <v>1689</v>
          </cell>
        </row>
        <row r="217">
          <cell r="A217" t="str">
            <v>AA</v>
          </cell>
          <cell r="B217">
            <v>1683</v>
          </cell>
        </row>
        <row r="218">
          <cell r="A218" t="str">
            <v>AB</v>
          </cell>
          <cell r="B218">
            <v>1635</v>
          </cell>
        </row>
        <row r="219">
          <cell r="B219">
            <v>1635</v>
          </cell>
        </row>
        <row r="220">
          <cell r="A220" t="str">
            <v>AC</v>
          </cell>
          <cell r="B220">
            <v>1633</v>
          </cell>
        </row>
        <row r="221">
          <cell r="A221" t="str">
            <v>AD</v>
          </cell>
          <cell r="B221">
            <v>1632</v>
          </cell>
        </row>
        <row r="222">
          <cell r="A222" t="str">
            <v>AE</v>
          </cell>
          <cell r="B222">
            <v>1643</v>
          </cell>
        </row>
        <row r="223">
          <cell r="B223">
            <v>1643</v>
          </cell>
        </row>
        <row r="224">
          <cell r="A224" t="str">
            <v>AF</v>
          </cell>
          <cell r="B224">
            <v>1662</v>
          </cell>
        </row>
        <row r="225">
          <cell r="A225" t="str">
            <v>AG</v>
          </cell>
          <cell r="B225">
            <v>1684</v>
          </cell>
        </row>
        <row r="226">
          <cell r="A226" t="str">
            <v>AH</v>
          </cell>
          <cell r="B226">
            <v>1638</v>
          </cell>
        </row>
        <row r="227">
          <cell r="A227" t="str">
            <v>AI</v>
          </cell>
          <cell r="B227">
            <v>1788</v>
          </cell>
        </row>
        <row r="228">
          <cell r="B228">
            <v>1788</v>
          </cell>
        </row>
        <row r="229">
          <cell r="B229">
            <v>1788</v>
          </cell>
        </row>
        <row r="230">
          <cell r="B230">
            <v>1788</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riteria"/>
      <sheetName val="Site_Zoning"/>
      <sheetName val="Existing"/>
      <sheetName val="No_Action"/>
      <sheetName val="With_Action"/>
      <sheetName val="Increment"/>
      <sheetName val="SketchUp"/>
      <sheetName val="Distribution"/>
      <sheetName val="Sheet1"/>
      <sheetName val="Sheet2"/>
      <sheetName val="Grnd_Disturb"/>
      <sheetName val="Validation"/>
      <sheetName val="Updated"/>
    </sheetNames>
    <sheetDataSet>
      <sheetData sheetId="0" refreshError="1"/>
      <sheetData sheetId="1" refreshError="1"/>
      <sheetData sheetId="2" refreshError="1"/>
      <sheetData sheetId="3" refreshError="1"/>
      <sheetData sheetId="4" refreshError="1"/>
      <sheetData sheetId="5" refreshError="1">
        <row r="660">
          <cell r="L660" t="str">
            <v>R7A</v>
          </cell>
          <cell r="BR660">
            <v>64579</v>
          </cell>
          <cell r="BU660" t="str">
            <v>Retail/Restaurant (1)/Residential (8)</v>
          </cell>
          <cell r="BV660">
            <v>64579</v>
          </cell>
          <cell r="BW660">
            <v>10708.6</v>
          </cell>
          <cell r="BZ660">
            <v>5000</v>
          </cell>
          <cell r="CI660">
            <v>80287.600000000006</v>
          </cell>
          <cell r="CR660">
            <v>95</v>
          </cell>
          <cell r="CS660">
            <v>64</v>
          </cell>
          <cell r="CV660">
            <v>32</v>
          </cell>
          <cell r="CW660">
            <v>16</v>
          </cell>
          <cell r="CX660">
            <v>0</v>
          </cell>
          <cell r="CY660">
            <v>0</v>
          </cell>
          <cell r="DB660">
            <v>0</v>
          </cell>
          <cell r="DC660">
            <v>0</v>
          </cell>
          <cell r="DD660">
            <v>0</v>
          </cell>
          <cell r="DE660">
            <v>16</v>
          </cell>
        </row>
      </sheetData>
      <sheetData sheetId="6" refreshError="1">
        <row r="85">
          <cell r="C85">
            <v>44725.66</v>
          </cell>
          <cell r="D85">
            <v>10708.6</v>
          </cell>
          <cell r="E85">
            <v>0</v>
          </cell>
          <cell r="F85">
            <v>0</v>
          </cell>
          <cell r="G85">
            <v>5000</v>
          </cell>
          <cell r="H85">
            <v>0</v>
          </cell>
          <cell r="I85">
            <v>0</v>
          </cell>
          <cell r="J85">
            <v>0</v>
          </cell>
          <cell r="K85">
            <v>0</v>
          </cell>
          <cell r="L85">
            <v>0</v>
          </cell>
          <cell r="M85">
            <v>0</v>
          </cell>
          <cell r="N85">
            <v>0</v>
          </cell>
          <cell r="O85">
            <v>-2520</v>
          </cell>
          <cell r="P85">
            <v>57914.260000000009</v>
          </cell>
          <cell r="Q85">
            <v>15708.6</v>
          </cell>
          <cell r="S85">
            <v>45</v>
          </cell>
          <cell r="U85">
            <v>32</v>
          </cell>
          <cell r="V85">
            <v>16</v>
          </cell>
          <cell r="W85">
            <v>0</v>
          </cell>
          <cell r="X85">
            <v>0</v>
          </cell>
          <cell r="Z85">
            <v>0</v>
          </cell>
          <cell r="AA85">
            <v>0</v>
          </cell>
          <cell r="AB85">
            <v>0</v>
          </cell>
          <cell r="AC85">
            <v>0</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riteria"/>
      <sheetName val="Site_Zoning"/>
      <sheetName val="Existing"/>
      <sheetName val="No_Action"/>
      <sheetName val="With_Action"/>
      <sheetName val="Increment"/>
      <sheetName val="SketchUp"/>
      <sheetName val="Distribution"/>
      <sheetName val="Grnd_Disturb"/>
      <sheetName val="Validation"/>
      <sheetName val="Notes"/>
      <sheetName val="Sheet1"/>
      <sheetName val="Sheet3"/>
      <sheetName val="Sheet4"/>
      <sheetName val="Sheet2"/>
      <sheetName val="Sheet5"/>
      <sheetName val="Sheet13"/>
      <sheetName val="Sheet14"/>
    </sheetNames>
    <sheetDataSet>
      <sheetData sheetId="0" refreshError="1"/>
      <sheetData sheetId="1" refreshError="1"/>
      <sheetData sheetId="2" refreshError="1"/>
      <sheetData sheetId="3" refreshError="1"/>
      <sheetData sheetId="4" refreshError="1"/>
      <sheetData sheetId="5" refreshError="1">
        <row r="943">
          <cell r="BU943" t="str">
            <v>Retail (1) / Office (1) / Residential (7)</v>
          </cell>
        </row>
        <row r="944">
          <cell r="BU944" t="str">
            <v>Residential (10)</v>
          </cell>
        </row>
        <row r="979">
          <cell r="L979" t="str">
            <v>C4-4</v>
          </cell>
          <cell r="O979"/>
          <cell r="BU979" t="str">
            <v>Retail (1) / Residential (10)</v>
          </cell>
          <cell r="BV979">
            <v>30950</v>
          </cell>
          <cell r="BW979">
            <v>5850</v>
          </cell>
          <cell r="BY979">
            <v>0</v>
          </cell>
          <cell r="BZ979">
            <v>0</v>
          </cell>
          <cell r="CA979">
            <v>0</v>
          </cell>
          <cell r="CB979">
            <v>0</v>
          </cell>
          <cell r="CC979">
            <v>0</v>
          </cell>
          <cell r="CD979">
            <v>0</v>
          </cell>
          <cell r="CE979">
            <v>0</v>
          </cell>
          <cell r="CF979">
            <v>0</v>
          </cell>
          <cell r="CG979">
            <v>0</v>
          </cell>
          <cell r="CH979">
            <v>0</v>
          </cell>
          <cell r="CI979">
            <v>36800</v>
          </cell>
          <cell r="CR979">
            <v>105</v>
          </cell>
          <cell r="CS979">
            <v>30</v>
          </cell>
          <cell r="CV979">
            <v>15.475</v>
          </cell>
          <cell r="CW979">
            <v>8</v>
          </cell>
          <cell r="CX979">
            <v>0</v>
          </cell>
          <cell r="CY979">
            <v>6</v>
          </cell>
          <cell r="CZ979">
            <v>0</v>
          </cell>
          <cell r="DA979">
            <v>0</v>
          </cell>
          <cell r="DB979">
            <v>0</v>
          </cell>
          <cell r="DC979">
            <v>0</v>
          </cell>
          <cell r="DD979">
            <v>0</v>
          </cell>
          <cell r="DE979">
            <v>14</v>
          </cell>
        </row>
        <row r="1031">
          <cell r="L1031" t="str">
            <v>C4-4</v>
          </cell>
          <cell r="O1031"/>
          <cell r="BU1031" t="str">
            <v>Retail (1)/Residential (10)</v>
          </cell>
          <cell r="BV1031">
            <v>73745</v>
          </cell>
          <cell r="BW1031">
            <v>17937.900000000001</v>
          </cell>
          <cell r="BY1031">
            <v>0</v>
          </cell>
          <cell r="BZ1031">
            <v>0</v>
          </cell>
          <cell r="CA1031">
            <v>0</v>
          </cell>
          <cell r="CB1031">
            <v>0</v>
          </cell>
          <cell r="CC1031">
            <v>0</v>
          </cell>
          <cell r="CD1031">
            <v>0</v>
          </cell>
          <cell r="CE1031">
            <v>0</v>
          </cell>
          <cell r="CF1031">
            <v>0</v>
          </cell>
          <cell r="CG1031">
            <v>0</v>
          </cell>
          <cell r="CH1031">
            <v>0</v>
          </cell>
          <cell r="CI1031">
            <v>91682.9</v>
          </cell>
          <cell r="CR1031">
            <v>105</v>
          </cell>
          <cell r="CS1031">
            <v>73</v>
          </cell>
          <cell r="CV1031">
            <v>36.872500000000002</v>
          </cell>
          <cell r="CW1031">
            <v>18</v>
          </cell>
          <cell r="CX1031">
            <v>0</v>
          </cell>
          <cell r="CY1031">
            <v>18</v>
          </cell>
          <cell r="CZ1031">
            <v>0</v>
          </cell>
          <cell r="DA1031">
            <v>0</v>
          </cell>
          <cell r="DB1031">
            <v>0</v>
          </cell>
          <cell r="DC1031">
            <v>0</v>
          </cell>
          <cell r="DD1031">
            <v>0</v>
          </cell>
          <cell r="DE1031">
            <v>36</v>
          </cell>
        </row>
        <row r="1066">
          <cell r="L1066" t="str">
            <v>R7A</v>
          </cell>
          <cell r="BV1066">
            <v>95799.995699999999</v>
          </cell>
          <cell r="BW1066">
            <v>14400</v>
          </cell>
          <cell r="BY1066">
            <v>0</v>
          </cell>
          <cell r="BZ1066">
            <v>0</v>
          </cell>
          <cell r="CA1066">
            <v>0</v>
          </cell>
          <cell r="CB1066">
            <v>0</v>
          </cell>
          <cell r="CC1066">
            <v>32400</v>
          </cell>
          <cell r="CD1066">
            <v>0</v>
          </cell>
          <cell r="CE1066">
            <v>0</v>
          </cell>
          <cell r="CF1066">
            <v>0</v>
          </cell>
          <cell r="CG1066">
            <v>0</v>
          </cell>
          <cell r="CH1066">
            <v>0</v>
          </cell>
          <cell r="CI1066">
            <v>142599.9957</v>
          </cell>
          <cell r="CR1066">
            <v>145</v>
          </cell>
          <cell r="CS1066">
            <v>95</v>
          </cell>
          <cell r="CV1066">
            <v>47.899997850000005</v>
          </cell>
          <cell r="CW1066">
            <v>24</v>
          </cell>
          <cell r="CX1066">
            <v>0</v>
          </cell>
          <cell r="CY1066">
            <v>47</v>
          </cell>
          <cell r="CZ1066">
            <v>0</v>
          </cell>
          <cell r="DA1066">
            <v>0</v>
          </cell>
          <cell r="DB1066">
            <v>0</v>
          </cell>
          <cell r="DC1066">
            <v>0</v>
          </cell>
          <cell r="DD1066">
            <v>0</v>
          </cell>
          <cell r="DE1066">
            <v>71</v>
          </cell>
        </row>
      </sheetData>
      <sheetData sheetId="6" refreshError="1">
        <row r="24">
          <cell r="C24">
            <v>28538</v>
          </cell>
          <cell r="D24">
            <v>2787</v>
          </cell>
          <cell r="E24">
            <v>0</v>
          </cell>
          <cell r="F24">
            <v>0</v>
          </cell>
          <cell r="G24">
            <v>0</v>
          </cell>
          <cell r="H24">
            <v>0</v>
          </cell>
          <cell r="I24">
            <v>0</v>
          </cell>
          <cell r="J24">
            <v>-3625</v>
          </cell>
          <cell r="K24">
            <v>0</v>
          </cell>
          <cell r="L24">
            <v>0</v>
          </cell>
          <cell r="M24">
            <v>0</v>
          </cell>
          <cell r="N24">
            <v>0</v>
          </cell>
          <cell r="O24">
            <v>0</v>
          </cell>
          <cell r="P24">
            <v>27700</v>
          </cell>
          <cell r="Q24">
            <v>-838</v>
          </cell>
          <cell r="S24">
            <v>28</v>
          </cell>
          <cell r="U24">
            <v>15.475</v>
          </cell>
          <cell r="V24">
            <v>8</v>
          </cell>
          <cell r="W24">
            <v>0</v>
          </cell>
          <cell r="X24">
            <v>6</v>
          </cell>
          <cell r="Y24">
            <v>0</v>
          </cell>
          <cell r="Z24">
            <v>0</v>
          </cell>
          <cell r="AA24">
            <v>0</v>
          </cell>
          <cell r="AB24">
            <v>0</v>
          </cell>
          <cell r="AC24">
            <v>0</v>
          </cell>
        </row>
        <row r="76">
          <cell r="C76">
            <v>73745</v>
          </cell>
          <cell r="D76">
            <v>17937.900000000001</v>
          </cell>
          <cell r="E76">
            <v>0</v>
          </cell>
          <cell r="F76">
            <v>0</v>
          </cell>
          <cell r="G76">
            <v>0</v>
          </cell>
          <cell r="H76">
            <v>0</v>
          </cell>
          <cell r="I76">
            <v>0</v>
          </cell>
          <cell r="J76">
            <v>-4505</v>
          </cell>
          <cell r="K76">
            <v>0</v>
          </cell>
          <cell r="L76">
            <v>0</v>
          </cell>
          <cell r="M76">
            <v>0</v>
          </cell>
          <cell r="N76">
            <v>0</v>
          </cell>
          <cell r="O76">
            <v>0</v>
          </cell>
          <cell r="P76">
            <v>87177.9</v>
          </cell>
          <cell r="Q76">
            <v>13432.900000000001</v>
          </cell>
          <cell r="S76">
            <v>73</v>
          </cell>
          <cell r="U76">
            <v>36.872500000000002</v>
          </cell>
          <cell r="V76">
            <v>18</v>
          </cell>
          <cell r="W76">
            <v>0</v>
          </cell>
          <cell r="X76">
            <v>-8</v>
          </cell>
          <cell r="Y76">
            <v>0</v>
          </cell>
          <cell r="Z76">
            <v>0</v>
          </cell>
          <cell r="AA76">
            <v>0</v>
          </cell>
          <cell r="AB76">
            <v>0</v>
          </cell>
          <cell r="AC76">
            <v>0</v>
          </cell>
        </row>
        <row r="111">
          <cell r="C111">
            <v>95799.995699999999</v>
          </cell>
          <cell r="D111">
            <v>14400</v>
          </cell>
          <cell r="E111">
            <v>0</v>
          </cell>
          <cell r="F111">
            <v>0</v>
          </cell>
          <cell r="G111">
            <v>0</v>
          </cell>
          <cell r="H111">
            <v>0</v>
          </cell>
          <cell r="I111">
            <v>0</v>
          </cell>
          <cell r="J111">
            <v>-27930</v>
          </cell>
          <cell r="K111">
            <v>0</v>
          </cell>
          <cell r="L111">
            <v>0</v>
          </cell>
          <cell r="M111">
            <v>0</v>
          </cell>
          <cell r="N111">
            <v>0</v>
          </cell>
          <cell r="O111">
            <v>0</v>
          </cell>
          <cell r="P111">
            <v>82269.995699999999</v>
          </cell>
          <cell r="Q111">
            <v>-13530</v>
          </cell>
          <cell r="S111">
            <v>95</v>
          </cell>
          <cell r="U111">
            <v>47.899997850000005</v>
          </cell>
          <cell r="V111">
            <v>24</v>
          </cell>
          <cell r="W111">
            <v>0</v>
          </cell>
          <cell r="X111">
            <v>-54</v>
          </cell>
          <cell r="Y111">
            <v>0</v>
          </cell>
          <cell r="Z111">
            <v>0</v>
          </cell>
          <cell r="AA111">
            <v>0</v>
          </cell>
          <cell r="AB111">
            <v>0</v>
          </cell>
          <cell r="AC111">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riteria"/>
      <sheetName val="Site_Zoning"/>
      <sheetName val="Existing"/>
      <sheetName val="No_Action"/>
      <sheetName val="With_Action"/>
      <sheetName val="Increment"/>
      <sheetName val="SketchUp"/>
      <sheetName val="Distribution"/>
      <sheetName val="Grnd_Disturb"/>
      <sheetName val="Validation"/>
      <sheetName val="Notes"/>
      <sheetName val="Sheet1"/>
      <sheetName val="Sheet3"/>
      <sheetName val="Sheet4"/>
      <sheetName val="Sheet2"/>
      <sheetName val="Sheet5"/>
      <sheetName val="Sheet13"/>
      <sheetName val="Sheet14"/>
    </sheetNames>
    <sheetDataSet>
      <sheetData sheetId="0" refreshError="1"/>
      <sheetData sheetId="1" refreshError="1"/>
      <sheetData sheetId="2" refreshError="1"/>
      <sheetData sheetId="3" refreshError="1"/>
      <sheetData sheetId="4" refreshError="1"/>
      <sheetData sheetId="5" refreshError="1">
        <row r="1035">
          <cell r="L1035" t="str">
            <v>R6A</v>
          </cell>
          <cell r="O1035" t="str">
            <v>C2-4</v>
          </cell>
          <cell r="BU1035" t="str">
            <v>Supermarket (1)/Residential (7)</v>
          </cell>
          <cell r="BV1035">
            <v>53035</v>
          </cell>
          <cell r="BW1035">
            <v>0</v>
          </cell>
          <cell r="BY1035">
            <v>13258.800000000001</v>
          </cell>
          <cell r="BZ1035">
            <v>0</v>
          </cell>
          <cell r="CA1035">
            <v>0</v>
          </cell>
          <cell r="CB1035">
            <v>0</v>
          </cell>
          <cell r="CC1035">
            <v>0</v>
          </cell>
          <cell r="CD1035">
            <v>0</v>
          </cell>
          <cell r="CE1035">
            <v>0</v>
          </cell>
          <cell r="CF1035">
            <v>0</v>
          </cell>
          <cell r="CG1035">
            <v>0</v>
          </cell>
          <cell r="CH1035">
            <v>0</v>
          </cell>
          <cell r="CI1035">
            <v>66293.8</v>
          </cell>
          <cell r="CR1035">
            <v>85</v>
          </cell>
          <cell r="CS1035">
            <v>53</v>
          </cell>
          <cell r="CV1035">
            <v>26.517499999999998</v>
          </cell>
          <cell r="CW1035">
            <v>13</v>
          </cell>
          <cell r="CX1035">
            <v>0</v>
          </cell>
          <cell r="CY1035">
            <v>0</v>
          </cell>
          <cell r="CZ1035">
            <v>0</v>
          </cell>
          <cell r="DA1035">
            <v>0</v>
          </cell>
          <cell r="DB1035">
            <v>0</v>
          </cell>
          <cell r="DC1035">
            <v>0</v>
          </cell>
          <cell r="DD1035">
            <v>0</v>
          </cell>
          <cell r="DE1035">
            <v>13</v>
          </cell>
        </row>
      </sheetData>
      <sheetData sheetId="6" refreshError="1">
        <row r="80">
          <cell r="C80">
            <v>53035</v>
          </cell>
          <cell r="D80">
            <v>0</v>
          </cell>
          <cell r="E80">
            <v>-9000</v>
          </cell>
          <cell r="F80">
            <v>13258.800000000001</v>
          </cell>
          <cell r="G80">
            <v>0</v>
          </cell>
          <cell r="H80">
            <v>0</v>
          </cell>
          <cell r="I80">
            <v>0</v>
          </cell>
          <cell r="J80">
            <v>0</v>
          </cell>
          <cell r="K80">
            <v>0</v>
          </cell>
          <cell r="L80">
            <v>0</v>
          </cell>
          <cell r="M80">
            <v>0</v>
          </cell>
          <cell r="N80">
            <v>0</v>
          </cell>
          <cell r="O80">
            <v>0</v>
          </cell>
          <cell r="P80">
            <v>57293.8</v>
          </cell>
          <cell r="Q80">
            <v>4258.8000000000011</v>
          </cell>
          <cell r="S80">
            <v>53</v>
          </cell>
          <cell r="U80">
            <v>26.517499999999998</v>
          </cell>
          <cell r="V80">
            <v>13</v>
          </cell>
          <cell r="W80">
            <v>0</v>
          </cell>
          <cell r="X80">
            <v>0</v>
          </cell>
          <cell r="Y80">
            <v>0</v>
          </cell>
          <cell r="Z80">
            <v>0</v>
          </cell>
          <cell r="AA80">
            <v>0</v>
          </cell>
          <cell r="AB80">
            <v>0</v>
          </cell>
          <cell r="AC80">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75"/>
  <sheetViews>
    <sheetView workbookViewId="0"/>
  </sheetViews>
  <sheetFormatPr defaultRowHeight="15"/>
  <cols>
    <col min="1" max="1" width="24.28515625" bestFit="1" customWidth="1"/>
    <col min="2" max="2" width="12.42578125" style="270" bestFit="1" customWidth="1"/>
    <col min="3" max="3" width="23.42578125" bestFit="1" customWidth="1"/>
    <col min="4" max="4" width="20.5703125" bestFit="1" customWidth="1"/>
  </cols>
  <sheetData>
    <row r="1" spans="1:4">
      <c r="A1" t="s">
        <v>0</v>
      </c>
      <c r="B1" s="270" t="s">
        <v>1</v>
      </c>
      <c r="C1" t="s">
        <v>2</v>
      </c>
      <c r="D1" t="s">
        <v>3</v>
      </c>
    </row>
    <row r="2" spans="1:4">
      <c r="A2" s="655">
        <f>IF(INDEX('A-App Projected Sites '!$A:$E,MATCH('Consolidated Sites and BBLs'!$B2,'A-App Projected Sites '!$E:$E,0),1)=0,$A1,INDEX('A-App Projected Sites '!$A:$E,MATCH('Consolidated Sites and BBLs'!$B2,'A-App Projected Sites '!$E:$E,0),1))</f>
        <v>1</v>
      </c>
      <c r="B2" s="96">
        <v>2031980081</v>
      </c>
      <c r="C2" t="s">
        <v>4</v>
      </c>
      <c r="D2" t="s">
        <v>5</v>
      </c>
    </row>
    <row r="3" spans="1:4">
      <c r="A3" s="655">
        <f>IF(INDEX('A-App Projected Sites '!$A:$E,MATCH('Consolidated Sites and BBLs'!$B3,'A-App Projected Sites '!$E:$E,0),1)=0,$A2,INDEX('A-App Projected Sites '!$A:$E,MATCH('Consolidated Sites and BBLs'!$B3,'A-App Projected Sites '!$E:$E,0),1))</f>
        <v>2</v>
      </c>
      <c r="B3" s="96">
        <v>2031870009</v>
      </c>
      <c r="C3" t="s">
        <v>4</v>
      </c>
      <c r="D3" t="s">
        <v>5</v>
      </c>
    </row>
    <row r="4" spans="1:4">
      <c r="A4" s="655">
        <f>IF(INDEX('A-App Projected Sites '!$A:$E,MATCH('Consolidated Sites and BBLs'!$B4,'A-App Projected Sites '!$E:$E,0),1)=0,$A3,INDEX('A-App Projected Sites '!$A:$E,MATCH('Consolidated Sites and BBLs'!$B4,'A-App Projected Sites '!$E:$E,0),1))</f>
        <v>2</v>
      </c>
      <c r="B4" s="96">
        <v>2031870014</v>
      </c>
      <c r="C4" t="s">
        <v>4</v>
      </c>
      <c r="D4" t="s">
        <v>5</v>
      </c>
    </row>
    <row r="5" spans="1:4">
      <c r="A5" s="655">
        <f>IF(INDEX('A-App Projected Sites '!$A:$E,MATCH('Consolidated Sites and BBLs'!$B5,'A-App Projected Sites '!$E:$E,0),1)=0,$A4,INDEX('A-App Projected Sites '!$A:$E,MATCH('Consolidated Sites and BBLs'!$B5,'A-App Projected Sites '!$E:$E,0),1))</f>
        <v>3</v>
      </c>
      <c r="B5" s="96">
        <v>2031980102</v>
      </c>
      <c r="C5" t="s">
        <v>4</v>
      </c>
      <c r="D5" t="s">
        <v>5</v>
      </c>
    </row>
    <row r="6" spans="1:4">
      <c r="A6" s="655">
        <f>IF(INDEX('A-App Projected Sites '!$A:$E,MATCH('Consolidated Sites and BBLs'!$B6,'A-App Projected Sites '!$E:$E,0),1)=0,$A5,INDEX('A-App Projected Sites '!$A:$E,MATCH('Consolidated Sites and BBLs'!$B6,'A-App Projected Sites '!$E:$E,0),1))</f>
        <v>3</v>
      </c>
      <c r="B6" s="96">
        <v>2031980105</v>
      </c>
      <c r="C6" t="s">
        <v>4</v>
      </c>
      <c r="D6" t="s">
        <v>5</v>
      </c>
    </row>
    <row r="7" spans="1:4">
      <c r="A7" s="655">
        <f>IF(INDEX('A-App Projected Sites '!$A:$E,MATCH('Consolidated Sites and BBLs'!$B7,'A-App Projected Sites '!$E:$E,0),1)=0,$A6,INDEX('A-App Projected Sites '!$A:$E,MATCH('Consolidated Sites and BBLs'!$B7,'A-App Projected Sites '!$E:$E,0),1))</f>
        <v>4</v>
      </c>
      <c r="B7" s="96">
        <v>2031860059</v>
      </c>
      <c r="C7" t="s">
        <v>4</v>
      </c>
      <c r="D7" t="s">
        <v>5</v>
      </c>
    </row>
    <row r="8" spans="1:4">
      <c r="A8" s="655">
        <f>IF(INDEX('A-App Projected Sites '!$A:$E,MATCH('Consolidated Sites and BBLs'!$B8,'A-App Projected Sites '!$E:$E,0),1)=0,$A7,INDEX('A-App Projected Sites '!$A:$E,MATCH('Consolidated Sites and BBLs'!$B8,'A-App Projected Sites '!$E:$E,0),1))</f>
        <v>4</v>
      </c>
      <c r="B8" s="96">
        <v>2031860055</v>
      </c>
      <c r="C8" t="s">
        <v>4</v>
      </c>
      <c r="D8" t="s">
        <v>5</v>
      </c>
    </row>
    <row r="9" spans="1:4">
      <c r="A9" s="655">
        <f>IF(INDEX('A-App Projected Sites '!$A:$E,MATCH('Consolidated Sites and BBLs'!$B9,'A-App Projected Sites '!$E:$E,0),1)=0,$A8,INDEX('A-App Projected Sites '!$A:$E,MATCH('Consolidated Sites and BBLs'!$B9,'A-App Projected Sites '!$E:$E,0),1))</f>
        <v>5</v>
      </c>
      <c r="B9" s="96">
        <v>2031950066</v>
      </c>
      <c r="C9" t="s">
        <v>4</v>
      </c>
      <c r="D9" t="s">
        <v>5</v>
      </c>
    </row>
    <row r="10" spans="1:4">
      <c r="A10" s="655">
        <f>IF(INDEX('A-App Projected Sites '!$A:$E,MATCH('Consolidated Sites and BBLs'!$B10,'A-App Projected Sites '!$E:$E,0),1)=0,$A9,INDEX('A-App Projected Sites '!$A:$E,MATCH('Consolidated Sites and BBLs'!$B10,'A-App Projected Sites '!$E:$E,0),1))</f>
        <v>5</v>
      </c>
      <c r="B10" s="96">
        <v>2031950069</v>
      </c>
      <c r="C10" t="s">
        <v>4</v>
      </c>
      <c r="D10" t="s">
        <v>5</v>
      </c>
    </row>
    <row r="11" spans="1:4">
      <c r="A11" s="655">
        <f>IF(INDEX('A-App Projected Sites '!$A:$E,MATCH('Consolidated Sites and BBLs'!$B11,'A-App Projected Sites '!$E:$E,0),1)=0,$A10,INDEX('A-App Projected Sites '!$A:$E,MATCH('Consolidated Sites and BBLs'!$B11,'A-App Projected Sites '!$E:$E,0),1))</f>
        <v>6</v>
      </c>
      <c r="B11" s="96">
        <v>2031860010</v>
      </c>
      <c r="C11" t="s">
        <v>4</v>
      </c>
      <c r="D11" t="s">
        <v>5</v>
      </c>
    </row>
    <row r="12" spans="1:4">
      <c r="A12" s="655">
        <f>IF(INDEX('A-App Projected Sites '!$A:$E,MATCH('Consolidated Sites and BBLs'!$B12,'A-App Projected Sites '!$E:$E,0),1)=0,$A11,INDEX('A-App Projected Sites '!$A:$E,MATCH('Consolidated Sites and BBLs'!$B12,'A-App Projected Sites '!$E:$E,0),1))</f>
        <v>6</v>
      </c>
      <c r="B12" s="96">
        <v>2031860012</v>
      </c>
      <c r="C12" t="s">
        <v>4</v>
      </c>
      <c r="D12" t="s">
        <v>5</v>
      </c>
    </row>
    <row r="13" spans="1:4">
      <c r="A13" s="655">
        <f>IF(INDEX('A-App Projected Sites '!$A:$E,MATCH('Consolidated Sites and BBLs'!$B13,'A-App Projected Sites '!$E:$E,0),1)=0,$A12,INDEX('A-App Projected Sites '!$A:$E,MATCH('Consolidated Sites and BBLs'!$B13,'A-App Projected Sites '!$E:$E,0),1))</f>
        <v>6</v>
      </c>
      <c r="B13" s="96">
        <v>2031860001</v>
      </c>
      <c r="C13" t="s">
        <v>4</v>
      </c>
      <c r="D13" t="s">
        <v>5</v>
      </c>
    </row>
    <row r="14" spans="1:4">
      <c r="A14" s="655">
        <f>IF(INDEX('A-App Projected Sites '!$A:$E,MATCH('Consolidated Sites and BBLs'!$B14,'A-App Projected Sites '!$E:$E,0),1)=0,$A13,INDEX('A-App Projected Sites '!$A:$E,MATCH('Consolidated Sites and BBLs'!$B14,'A-App Projected Sites '!$E:$E,0),1))</f>
        <v>7</v>
      </c>
      <c r="B14" s="96">
        <v>2031850001</v>
      </c>
      <c r="C14" t="s">
        <v>4</v>
      </c>
      <c r="D14" t="s">
        <v>5</v>
      </c>
    </row>
    <row r="15" spans="1:4">
      <c r="A15" s="655">
        <f>IF(INDEX('A-App Projected Sites '!$A:$E,MATCH('Consolidated Sites and BBLs'!$B15,'A-App Projected Sites '!$E:$E,0),1)=0,$A14,INDEX('A-App Projected Sites '!$A:$E,MATCH('Consolidated Sites and BBLs'!$B15,'A-App Projected Sites '!$E:$E,0),1))</f>
        <v>8</v>
      </c>
      <c r="B15" s="96">
        <v>2031920042</v>
      </c>
      <c r="C15" t="s">
        <v>4</v>
      </c>
      <c r="D15" t="s">
        <v>5</v>
      </c>
    </row>
    <row r="16" spans="1:4">
      <c r="A16" s="655">
        <f>IF(INDEX('A-App Projected Sites '!$A:$E,MATCH('Consolidated Sites and BBLs'!$B16,'A-App Projected Sites '!$E:$E,0),1)=0,$A15,INDEX('A-App Projected Sites '!$A:$E,MATCH('Consolidated Sites and BBLs'!$B16,'A-App Projected Sites '!$E:$E,0),1))</f>
        <v>8</v>
      </c>
      <c r="B16" s="270">
        <v>2031920039</v>
      </c>
      <c r="C16" t="s">
        <v>4</v>
      </c>
      <c r="D16" t="s">
        <v>5</v>
      </c>
    </row>
    <row r="17" spans="1:4">
      <c r="A17" s="655">
        <f>IF(INDEX('A-App Projected Sites '!$A:$E,MATCH('Consolidated Sites and BBLs'!$B17,'A-App Projected Sites '!$E:$E,0),1)=0,$A16,INDEX('A-App Projected Sites '!$A:$E,MATCH('Consolidated Sites and BBLs'!$B17,'A-App Projected Sites '!$E:$E,0),1))</f>
        <v>8</v>
      </c>
      <c r="B17" s="96">
        <v>2031920037</v>
      </c>
      <c r="C17" t="s">
        <v>4</v>
      </c>
      <c r="D17" t="s">
        <v>5</v>
      </c>
    </row>
    <row r="18" spans="1:4">
      <c r="A18" s="655">
        <f>IF(INDEX('A-App Projected Sites '!$A:$E,MATCH('Consolidated Sites and BBLs'!$B18,'A-App Projected Sites '!$E:$E,0),1)=0,$A17,INDEX('A-App Projected Sites '!$A:$E,MATCH('Consolidated Sites and BBLs'!$B18,'A-App Projected Sites '!$E:$E,0),1))</f>
        <v>8</v>
      </c>
      <c r="B18" s="96">
        <v>2031920050</v>
      </c>
      <c r="C18" t="s">
        <v>4</v>
      </c>
      <c r="D18" t="s">
        <v>5</v>
      </c>
    </row>
    <row r="19" spans="1:4">
      <c r="A19" s="655">
        <f>IF(INDEX('A-App Projected Sites '!$A:$E,MATCH('Consolidated Sites and BBLs'!$B19,'A-App Projected Sites '!$E:$E,0),1)=0,$A18,INDEX('A-App Projected Sites '!$A:$E,MATCH('Consolidated Sites and BBLs'!$B19,'A-App Projected Sites '!$E:$E,0),1))</f>
        <v>9</v>
      </c>
      <c r="B19" s="96">
        <v>2031790020</v>
      </c>
      <c r="C19" t="s">
        <v>4</v>
      </c>
      <c r="D19" t="s">
        <v>5</v>
      </c>
    </row>
    <row r="20" spans="1:4">
      <c r="A20" s="655">
        <f>IF(INDEX('A-App Projected Sites '!$A:$E,MATCH('Consolidated Sites and BBLs'!$B20,'A-App Projected Sites '!$E:$E,0),1)=0,$A19,INDEX('A-App Projected Sites '!$A:$E,MATCH('Consolidated Sites and BBLs'!$B20,'A-App Projected Sites '!$E:$E,0),1))</f>
        <v>10</v>
      </c>
      <c r="B20" s="96">
        <v>2028700026</v>
      </c>
      <c r="C20" t="s">
        <v>4</v>
      </c>
      <c r="D20" t="s">
        <v>5</v>
      </c>
    </row>
    <row r="21" spans="1:4">
      <c r="A21" s="655">
        <f>IF(INDEX('A-App Projected Sites '!$A:$E,MATCH('Consolidated Sites and BBLs'!$B21,'A-App Projected Sites '!$E:$E,0),1)=0,$A20,INDEX('A-App Projected Sites '!$A:$E,MATCH('Consolidated Sites and BBLs'!$B21,'A-App Projected Sites '!$E:$E,0),1))</f>
        <v>11</v>
      </c>
      <c r="B21" s="96">
        <v>2028630042</v>
      </c>
      <c r="C21" t="s">
        <v>4</v>
      </c>
      <c r="D21" t="s">
        <v>5</v>
      </c>
    </row>
    <row r="22" spans="1:4">
      <c r="A22" s="655">
        <f>IF(INDEX('A-App Projected Sites '!$A:$E,MATCH('Consolidated Sites and BBLs'!$B22,'A-App Projected Sites '!$E:$E,0),1)=0,$A21,INDEX('A-App Projected Sites '!$A:$E,MATCH('Consolidated Sites and BBLs'!$B22,'A-App Projected Sites '!$E:$E,0),1))</f>
        <v>12</v>
      </c>
      <c r="B22" s="96">
        <v>2031600001</v>
      </c>
      <c r="C22" t="s">
        <v>4</v>
      </c>
      <c r="D22" t="s">
        <v>5</v>
      </c>
    </row>
    <row r="23" spans="1:4">
      <c r="A23" s="655">
        <f>IF(INDEX('A-App Projected Sites '!$A:$E,MATCH('Consolidated Sites and BBLs'!$B23,'A-App Projected Sites '!$E:$E,0),1)=0,$A22,INDEX('A-App Projected Sites '!$A:$E,MATCH('Consolidated Sites and BBLs'!$B23,'A-App Projected Sites '!$E:$E,0),1))</f>
        <v>13</v>
      </c>
      <c r="B23" s="96">
        <v>2028630050</v>
      </c>
      <c r="C23" t="s">
        <v>4</v>
      </c>
      <c r="D23" t="s">
        <v>5</v>
      </c>
    </row>
    <row r="24" spans="1:4">
      <c r="A24" s="655">
        <f>IF(INDEX('A-App Projected Sites '!$A:$E,MATCH('Consolidated Sites and BBLs'!$B24,'A-App Projected Sites '!$E:$E,0),1)=0,$A23,INDEX('A-App Projected Sites '!$A:$E,MATCH('Consolidated Sites and BBLs'!$B24,'A-App Projected Sites '!$E:$E,0),1))</f>
        <v>14</v>
      </c>
      <c r="B24" s="96">
        <v>2028540003</v>
      </c>
      <c r="C24" t="s">
        <v>4</v>
      </c>
      <c r="D24" t="s">
        <v>5</v>
      </c>
    </row>
    <row r="25" spans="1:4">
      <c r="A25" s="655">
        <f>IF(INDEX('A-App Projected Sites '!$A:$E,MATCH('Consolidated Sites and BBLs'!$B25,'A-App Projected Sites '!$E:$E,0),1)=0,$A24,INDEX('A-App Projected Sites '!$A:$E,MATCH('Consolidated Sites and BBLs'!$B25,'A-App Projected Sites '!$E:$E,0),1))</f>
        <v>15</v>
      </c>
      <c r="B25" s="96">
        <v>2028620097</v>
      </c>
      <c r="C25" t="s">
        <v>4</v>
      </c>
      <c r="D25" t="s">
        <v>5</v>
      </c>
    </row>
    <row r="26" spans="1:4">
      <c r="A26" s="655">
        <f>IF(INDEX('A-App Projected Sites '!$A:$E,MATCH('Consolidated Sites and BBLs'!$B26,'A-App Projected Sites '!$E:$E,0),1)=0,$A25,INDEX('A-App Projected Sites '!$A:$E,MATCH('Consolidated Sites and BBLs'!$B26,'A-App Projected Sites '!$E:$E,0),1))</f>
        <v>16</v>
      </c>
      <c r="B26" s="96">
        <v>2028530022</v>
      </c>
      <c r="C26" t="s">
        <v>4</v>
      </c>
      <c r="D26" t="s">
        <v>5</v>
      </c>
    </row>
    <row r="27" spans="1:4">
      <c r="A27" s="655">
        <f>IF(INDEX('A-App Projected Sites '!$A:$E,MATCH('Consolidated Sites and BBLs'!$B27,'A-App Projected Sites '!$E:$E,0),1)=0,$A26,INDEX('A-App Projected Sites '!$A:$E,MATCH('Consolidated Sites and BBLs'!$B27,'A-App Projected Sites '!$E:$E,0),1))</f>
        <v>17</v>
      </c>
      <c r="B27" s="96">
        <v>2028530027</v>
      </c>
      <c r="C27" t="s">
        <v>4</v>
      </c>
      <c r="D27" t="s">
        <v>5</v>
      </c>
    </row>
    <row r="28" spans="1:4">
      <c r="A28" s="655">
        <f>IF(INDEX('A-App Projected Sites '!$A:$E,MATCH('Consolidated Sites and BBLs'!$B28,'A-App Projected Sites '!$E:$E,0),1)=0,$A27,INDEX('A-App Projected Sites '!$A:$E,MATCH('Consolidated Sites and BBLs'!$B28,'A-App Projected Sites '!$E:$E,0),1))</f>
        <v>18</v>
      </c>
      <c r="B28" s="270">
        <v>2028610163</v>
      </c>
      <c r="C28" t="s">
        <v>4</v>
      </c>
      <c r="D28" t="s">
        <v>5</v>
      </c>
    </row>
    <row r="29" spans="1:4">
      <c r="A29" s="655">
        <f>IF(INDEX('A-App Projected Sites '!$A:$E,MATCH('Consolidated Sites and BBLs'!$B29,'A-App Projected Sites '!$E:$E,0),1)=0,$A28,INDEX('A-App Projected Sites '!$A:$E,MATCH('Consolidated Sites and BBLs'!$B29,'A-App Projected Sites '!$E:$E,0),1))</f>
        <v>19</v>
      </c>
      <c r="B29" s="270">
        <v>2028500007</v>
      </c>
      <c r="C29" t="s">
        <v>4</v>
      </c>
      <c r="D29" t="s">
        <v>5</v>
      </c>
    </row>
    <row r="30" spans="1:4">
      <c r="A30" s="655">
        <f>IF(INDEX('A-App Projected Sites '!$A:$E,MATCH('Consolidated Sites and BBLs'!$B30,'A-App Projected Sites '!$E:$E,0),1)=0,$A29,INDEX('A-App Projected Sites '!$A:$E,MATCH('Consolidated Sites and BBLs'!$B30,'A-App Projected Sites '!$E:$E,0),1))</f>
        <v>19</v>
      </c>
      <c r="B30" s="270">
        <v>2028500003</v>
      </c>
      <c r="C30" t="s">
        <v>4</v>
      </c>
      <c r="D30" t="s">
        <v>5</v>
      </c>
    </row>
    <row r="31" spans="1:4">
      <c r="A31" s="655">
        <f>IF(INDEX('A-App Projected Sites '!$A:$E,MATCH('Consolidated Sites and BBLs'!$B31,'A-App Projected Sites '!$E:$E,0),1)=0,$A30,INDEX('A-App Projected Sites '!$A:$E,MATCH('Consolidated Sites and BBLs'!$B31,'A-App Projected Sites '!$E:$E,0),1))</f>
        <v>19</v>
      </c>
      <c r="B31" s="270">
        <v>2028500001</v>
      </c>
      <c r="C31" t="s">
        <v>4</v>
      </c>
      <c r="D31" t="s">
        <v>5</v>
      </c>
    </row>
    <row r="32" spans="1:4">
      <c r="A32" s="655">
        <f>IF(INDEX('A-App Projected Sites '!$A:$E,MATCH('Consolidated Sites and BBLs'!$B32,'A-App Projected Sites '!$E:$E,0),1)=0,$A31,INDEX('A-App Projected Sites '!$A:$E,MATCH('Consolidated Sites and BBLs'!$B32,'A-App Projected Sites '!$E:$E,0),1))</f>
        <v>20</v>
      </c>
      <c r="B32" s="96">
        <v>2028490013</v>
      </c>
      <c r="C32" t="s">
        <v>4</v>
      </c>
      <c r="D32" t="s">
        <v>5</v>
      </c>
    </row>
    <row r="33" spans="1:4">
      <c r="A33" s="655">
        <f>IF(INDEX('A-App Projected Sites '!$A:$E,MATCH('Consolidated Sites and BBLs'!$B33,'A-App Projected Sites '!$E:$E,0),1)=0,$A32,INDEX('A-App Projected Sites '!$A:$E,MATCH('Consolidated Sites and BBLs'!$B33,'A-App Projected Sites '!$E:$E,0),1))</f>
        <v>20</v>
      </c>
      <c r="B33" s="96">
        <v>2028490009</v>
      </c>
      <c r="C33" t="s">
        <v>4</v>
      </c>
      <c r="D33" t="s">
        <v>5</v>
      </c>
    </row>
    <row r="34" spans="1:4">
      <c r="A34" s="655">
        <f>IF(INDEX('A-App Projected Sites '!$A:$E,MATCH('Consolidated Sites and BBLs'!$B34,'A-App Projected Sites '!$E:$E,0),1)=0,$A33,INDEX('A-App Projected Sites '!$A:$E,MATCH('Consolidated Sites and BBLs'!$B34,'A-App Projected Sites '!$E:$E,0),1))</f>
        <v>21</v>
      </c>
      <c r="B34" s="96">
        <v>2028590033</v>
      </c>
      <c r="C34" t="s">
        <v>4</v>
      </c>
      <c r="D34" t="s">
        <v>5</v>
      </c>
    </row>
    <row r="35" spans="1:4">
      <c r="A35" s="655">
        <f>IF(INDEX('A-App Projected Sites '!$A:$E,MATCH('Consolidated Sites and BBLs'!$B35,'A-App Projected Sites '!$E:$E,0),1)=0,$A34,INDEX('A-App Projected Sites '!$A:$E,MATCH('Consolidated Sites and BBLs'!$B35,'A-App Projected Sites '!$E:$E,0),1))</f>
        <v>21</v>
      </c>
      <c r="B35" s="96">
        <v>2028590038</v>
      </c>
      <c r="C35" t="s">
        <v>4</v>
      </c>
      <c r="D35" t="s">
        <v>5</v>
      </c>
    </row>
    <row r="36" spans="1:4">
      <c r="A36" s="655">
        <f>IF(INDEX('A-App Projected Sites '!$A:$E,MATCH('Consolidated Sites and BBLs'!$B36,'A-App Projected Sites '!$E:$E,0),1)=0,$A35,INDEX('A-App Projected Sites '!$A:$E,MATCH('Consolidated Sites and BBLs'!$B36,'A-App Projected Sites '!$E:$E,0),1))</f>
        <v>21</v>
      </c>
      <c r="B36" s="96">
        <v>2028590035</v>
      </c>
      <c r="C36" t="s">
        <v>4</v>
      </c>
      <c r="D36" t="s">
        <v>5</v>
      </c>
    </row>
    <row r="37" spans="1:4">
      <c r="A37" s="655">
        <f>IF(INDEX('A-App Projected Sites '!$A:$E,MATCH('Consolidated Sites and BBLs'!$B37,'A-App Projected Sites '!$E:$E,0),1)=0,$A36,INDEX('A-App Projected Sites '!$A:$E,MATCH('Consolidated Sites and BBLs'!$B37,'A-App Projected Sites '!$E:$E,0),1))</f>
        <v>21</v>
      </c>
      <c r="B37" s="270">
        <v>2028590041</v>
      </c>
      <c r="C37" t="s">
        <v>4</v>
      </c>
      <c r="D37" t="s">
        <v>5</v>
      </c>
    </row>
    <row r="38" spans="1:4">
      <c r="A38" s="655">
        <f>IF(INDEX('A-App Projected Sites '!$A:$E,MATCH('Consolidated Sites and BBLs'!$B38,'A-App Projected Sites '!$E:$E,0),1)=0,$A37,INDEX('A-App Projected Sites '!$A:$E,MATCH('Consolidated Sites and BBLs'!$B38,'A-App Projected Sites '!$E:$E,0),1))</f>
        <v>21</v>
      </c>
      <c r="B38" s="96">
        <v>2028590034</v>
      </c>
      <c r="C38" t="s">
        <v>4</v>
      </c>
      <c r="D38" t="s">
        <v>5</v>
      </c>
    </row>
    <row r="39" spans="1:4">
      <c r="A39" s="655">
        <f>IF(INDEX('A-App Projected Sites '!$A:$E,MATCH('Consolidated Sites and BBLs'!$B39,'A-App Projected Sites '!$E:$E,0),1)=0,$A38,INDEX('A-App Projected Sites '!$A:$E,MATCH('Consolidated Sites and BBLs'!$B39,'A-App Projected Sites '!$E:$E,0),1))</f>
        <v>22</v>
      </c>
      <c r="B39" s="96">
        <v>2028460014</v>
      </c>
      <c r="C39" t="s">
        <v>4</v>
      </c>
      <c r="D39" t="s">
        <v>5</v>
      </c>
    </row>
    <row r="40" spans="1:4">
      <c r="A40" s="655">
        <f>IF(INDEX('A-App Projected Sites '!$A:$E,MATCH('Consolidated Sites and BBLs'!$B40,'A-App Projected Sites '!$E:$E,0),1)=0,$A39,INDEX('A-App Projected Sites '!$A:$E,MATCH('Consolidated Sites and BBLs'!$B40,'A-App Projected Sites '!$E:$E,0),1))</f>
        <v>22</v>
      </c>
      <c r="B40" s="96">
        <v>2028460006</v>
      </c>
      <c r="C40" t="s">
        <v>4</v>
      </c>
      <c r="D40" t="s">
        <v>5</v>
      </c>
    </row>
    <row r="41" spans="1:4">
      <c r="A41" s="655">
        <f>IF(INDEX('A-App Projected Sites '!$A:$E,MATCH('Consolidated Sites and BBLs'!$B41,'A-App Projected Sites '!$E:$E,0),1)=0,$A40,INDEX('A-App Projected Sites '!$A:$E,MATCH('Consolidated Sites and BBLs'!$B41,'A-App Projected Sites '!$E:$E,0),1))</f>
        <v>23</v>
      </c>
      <c r="B41" s="96">
        <v>2028650088</v>
      </c>
      <c r="C41" t="s">
        <v>4</v>
      </c>
      <c r="D41" t="s">
        <v>5</v>
      </c>
    </row>
    <row r="42" spans="1:4">
      <c r="A42" s="655">
        <f>IF(INDEX('A-App Projected Sites '!$A:$E,MATCH('Consolidated Sites and BBLs'!$B42,'A-App Projected Sites '!$E:$E,0),1)=0,$A41,INDEX('A-App Projected Sites '!$A:$E,MATCH('Consolidated Sites and BBLs'!$B42,'A-App Projected Sites '!$E:$E,0),1))</f>
        <v>23</v>
      </c>
      <c r="B42" s="96">
        <v>2028650015</v>
      </c>
      <c r="C42" t="s">
        <v>4</v>
      </c>
      <c r="D42" t="s">
        <v>5</v>
      </c>
    </row>
    <row r="43" spans="1:4">
      <c r="A43" s="655">
        <f>IF(INDEX('A-App Projected Sites '!$A:$E,MATCH('Consolidated Sites and BBLs'!$B43,'A-App Projected Sites '!$E:$E,0),1)=0,$A42,INDEX('A-App Projected Sites '!$A:$E,MATCH('Consolidated Sites and BBLs'!$B43,'A-App Projected Sites '!$E:$E,0),1))</f>
        <v>24</v>
      </c>
      <c r="B43" s="96">
        <v>2028570022</v>
      </c>
      <c r="C43" t="s">
        <v>4</v>
      </c>
      <c r="D43" t="s">
        <v>5</v>
      </c>
    </row>
    <row r="44" spans="1:4">
      <c r="A44" s="655">
        <f>IF(INDEX('A-App Projected Sites '!$A:$E,MATCH('Consolidated Sites and BBLs'!$B44,'A-App Projected Sites '!$E:$E,0),1)=0,$A43,INDEX('A-App Projected Sites '!$A:$E,MATCH('Consolidated Sites and BBLs'!$B44,'A-App Projected Sites '!$E:$E,0),1))</f>
        <v>24</v>
      </c>
      <c r="B44" s="96">
        <v>2028570021</v>
      </c>
      <c r="C44" t="s">
        <v>4</v>
      </c>
      <c r="D44" t="s">
        <v>5</v>
      </c>
    </row>
    <row r="45" spans="1:4">
      <c r="A45" s="655">
        <f>IF(INDEX('A-App Projected Sites '!$A:$E,MATCH('Consolidated Sites and BBLs'!$B45,'A-App Projected Sites '!$E:$E,0),1)=0,$A44,INDEX('A-App Projected Sites '!$A:$E,MATCH('Consolidated Sites and BBLs'!$B45,'A-App Projected Sites '!$E:$E,0),1))</f>
        <v>24</v>
      </c>
      <c r="B45" s="96">
        <v>2028570043</v>
      </c>
      <c r="C45" t="s">
        <v>4</v>
      </c>
      <c r="D45" t="s">
        <v>5</v>
      </c>
    </row>
    <row r="46" spans="1:4">
      <c r="A46" s="655">
        <f>IF(INDEX('A-App Projected Sites '!$A:$E,MATCH('Consolidated Sites and BBLs'!$B46,'A-App Projected Sites '!$E:$E,0),1)=0,$A45,INDEX('A-App Projected Sites '!$A:$E,MATCH('Consolidated Sites and BBLs'!$B46,'A-App Projected Sites '!$E:$E,0),1))</f>
        <v>25</v>
      </c>
      <c r="B46" s="96">
        <v>2028580015</v>
      </c>
      <c r="C46" t="s">
        <v>4</v>
      </c>
      <c r="D46" t="s">
        <v>5</v>
      </c>
    </row>
    <row r="47" spans="1:4">
      <c r="A47" s="655">
        <f>IF(INDEX('A-App Projected Sites '!$A:$E,MATCH('Consolidated Sites and BBLs'!$B47,'A-App Projected Sites '!$E:$E,0),1)=0,$A46,INDEX('A-App Projected Sites '!$A:$E,MATCH('Consolidated Sites and BBLs'!$B47,'A-App Projected Sites '!$E:$E,0),1))</f>
        <v>25</v>
      </c>
      <c r="B47" s="96">
        <v>2028580019</v>
      </c>
      <c r="C47" t="s">
        <v>4</v>
      </c>
      <c r="D47" t="s">
        <v>5</v>
      </c>
    </row>
    <row r="48" spans="1:4">
      <c r="A48" s="655">
        <f>IF(INDEX('A-App Projected Sites '!$A:$E,MATCH('Consolidated Sites and BBLs'!$B48,'A-App Projected Sites '!$E:$E,0),1)=0,$A47,INDEX('A-App Projected Sites '!$A:$E,MATCH('Consolidated Sites and BBLs'!$B48,'A-App Projected Sites '!$E:$E,0),1))</f>
        <v>26</v>
      </c>
      <c r="B48" s="96">
        <v>2028440009</v>
      </c>
      <c r="C48" t="s">
        <v>4</v>
      </c>
      <c r="D48" t="s">
        <v>5</v>
      </c>
    </row>
    <row r="49" spans="1:4">
      <c r="A49" s="655">
        <f>IF(INDEX('A-App Projected Sites '!$A:$E,MATCH('Consolidated Sites and BBLs'!$B49,'A-App Projected Sites '!$E:$E,0),1)=0,$A48,INDEX('A-App Projected Sites '!$A:$E,MATCH('Consolidated Sites and BBLs'!$B49,'A-App Projected Sites '!$E:$E,0),1))</f>
        <v>26</v>
      </c>
      <c r="B49" s="96">
        <v>2028440005</v>
      </c>
      <c r="C49" t="s">
        <v>4</v>
      </c>
      <c r="D49" t="s">
        <v>5</v>
      </c>
    </row>
    <row r="50" spans="1:4">
      <c r="A50" s="655">
        <f>IF(INDEX('A-App Projected Sites '!$A:$E,MATCH('Consolidated Sites and BBLs'!$B50,'A-App Projected Sites '!$E:$E,0),1)=0,$A49,INDEX('A-App Projected Sites '!$A:$E,MATCH('Consolidated Sites and BBLs'!$B50,'A-App Projected Sites '!$E:$E,0),1))</f>
        <v>26</v>
      </c>
      <c r="B50" s="270">
        <v>2028440117</v>
      </c>
      <c r="C50" t="s">
        <v>4</v>
      </c>
      <c r="D50" t="s">
        <v>5</v>
      </c>
    </row>
    <row r="51" spans="1:4">
      <c r="A51" s="655">
        <f>IF(INDEX('A-App Projected Sites '!$A:$E,MATCH('Consolidated Sites and BBLs'!$B51,'A-App Projected Sites '!$E:$E,0),1)=0,$A50,INDEX('A-App Projected Sites '!$A:$E,MATCH('Consolidated Sites and BBLs'!$B51,'A-App Projected Sites '!$E:$E,0),1))</f>
        <v>26</v>
      </c>
      <c r="B51" s="270">
        <v>2028440116</v>
      </c>
      <c r="C51" t="s">
        <v>4</v>
      </c>
      <c r="D51" t="s">
        <v>5</v>
      </c>
    </row>
    <row r="52" spans="1:4">
      <c r="A52" s="655">
        <f>IF(INDEX('A-App Projected Sites '!$A:$E,MATCH('Consolidated Sites and BBLs'!$B52,'A-App Projected Sites '!$E:$E,0),1)=0,$A51,INDEX('A-App Projected Sites '!$A:$E,MATCH('Consolidated Sites and BBLs'!$B52,'A-App Projected Sites '!$E:$E,0),1))</f>
        <v>27</v>
      </c>
      <c r="B52" s="96">
        <v>2028437501</v>
      </c>
      <c r="C52" t="s">
        <v>4</v>
      </c>
      <c r="D52" t="s">
        <v>5</v>
      </c>
    </row>
    <row r="53" spans="1:4">
      <c r="A53" s="655">
        <f>IF(INDEX('A-App Projected Sites '!$A:$E,MATCH('Consolidated Sites and BBLs'!$B53,'A-App Projected Sites '!$E:$E,0),1)=0,$A52,INDEX('A-App Projected Sites '!$A:$E,MATCH('Consolidated Sites and BBLs'!$B53,'A-App Projected Sites '!$E:$E,0),1))</f>
        <v>28</v>
      </c>
      <c r="B53" s="96">
        <v>2028420013</v>
      </c>
      <c r="C53" t="s">
        <v>4</v>
      </c>
      <c r="D53" t="s">
        <v>5</v>
      </c>
    </row>
    <row r="54" spans="1:4">
      <c r="A54" s="655">
        <f>IF(INDEX('A-App Projected Sites '!$A:$E,MATCH('Consolidated Sites and BBLs'!$B54,'A-App Projected Sites '!$E:$E,0),1)=0,$A53,INDEX('A-App Projected Sites '!$A:$E,MATCH('Consolidated Sites and BBLs'!$B54,'A-App Projected Sites '!$E:$E,0),1))</f>
        <v>28</v>
      </c>
      <c r="B54" s="270">
        <v>2028420015</v>
      </c>
      <c r="C54" t="s">
        <v>4</v>
      </c>
      <c r="D54" t="s">
        <v>5</v>
      </c>
    </row>
    <row r="55" spans="1:4">
      <c r="A55" s="655">
        <f>IF(INDEX('A-App Projected Sites '!$A:$E,MATCH('Consolidated Sites and BBLs'!$B55,'A-App Projected Sites '!$E:$E,0),1)=0,$A54,INDEX('A-App Projected Sites '!$A:$E,MATCH('Consolidated Sites and BBLs'!$B55,'A-App Projected Sites '!$E:$E,0),1))</f>
        <v>29</v>
      </c>
      <c r="B55" s="96">
        <v>2028430098</v>
      </c>
      <c r="C55" t="s">
        <v>4</v>
      </c>
      <c r="D55" t="s">
        <v>5</v>
      </c>
    </row>
    <row r="56" spans="1:4">
      <c r="A56" s="655">
        <f>IF(INDEX('A-App Projected Sites '!$A:$E,MATCH('Consolidated Sites and BBLs'!$B56,'A-App Projected Sites '!$E:$E,0),1)=0,$A55,INDEX('A-App Projected Sites '!$A:$E,MATCH('Consolidated Sites and BBLs'!$B56,'A-App Projected Sites '!$E:$E,0),1))</f>
        <v>30</v>
      </c>
      <c r="B56" s="96">
        <v>2028570006</v>
      </c>
      <c r="C56" t="s">
        <v>4</v>
      </c>
      <c r="D56" t="s">
        <v>5</v>
      </c>
    </row>
    <row r="57" spans="1:4">
      <c r="A57" s="655">
        <f>IF(INDEX('A-App Projected Sites '!$A:$E,MATCH('Consolidated Sites and BBLs'!$B57,'A-App Projected Sites '!$E:$E,0),1)=0,$A56,INDEX('A-App Projected Sites '!$A:$E,MATCH('Consolidated Sites and BBLs'!$B57,'A-App Projected Sites '!$E:$E,0),1))</f>
        <v>30</v>
      </c>
      <c r="B57" s="96">
        <v>2028570001</v>
      </c>
      <c r="C57" t="s">
        <v>4</v>
      </c>
      <c r="D57" t="s">
        <v>5</v>
      </c>
    </row>
    <row r="58" spans="1:4">
      <c r="A58" s="655">
        <f>IF(INDEX('A-App Projected Sites '!$A:$E,MATCH('Consolidated Sites and BBLs'!$B58,'A-App Projected Sites '!$E:$E,0),1)=0,$A57,INDEX('A-App Projected Sites '!$A:$E,MATCH('Consolidated Sites and BBLs'!$B58,'A-App Projected Sites '!$E:$E,0),1))</f>
        <v>31</v>
      </c>
      <c r="B58" s="96">
        <v>2025200045</v>
      </c>
      <c r="C58" t="s">
        <v>4</v>
      </c>
      <c r="D58" t="s">
        <v>5</v>
      </c>
    </row>
    <row r="59" spans="1:4">
      <c r="A59" s="655">
        <f>IF(INDEX('A-App Projected Sites '!$A:$E,MATCH('Consolidated Sites and BBLs'!$B59,'A-App Projected Sites '!$E:$E,0),1)=0,$A58,INDEX('A-App Projected Sites '!$A:$E,MATCH('Consolidated Sites and BBLs'!$B59,'A-App Projected Sites '!$E:$E,0),1))</f>
        <v>32</v>
      </c>
      <c r="B59" s="96">
        <v>2028710085</v>
      </c>
      <c r="C59" t="s">
        <v>4</v>
      </c>
      <c r="D59" t="s">
        <v>5</v>
      </c>
    </row>
    <row r="60" spans="1:4">
      <c r="A60" s="655">
        <f>IF(INDEX('A-App Projected Sites '!$A:$E,MATCH('Consolidated Sites and BBLs'!$B60,'A-App Projected Sites '!$E:$E,0),1)=0,$A59,INDEX('A-App Projected Sites '!$A:$E,MATCH('Consolidated Sites and BBLs'!$B60,'A-App Projected Sites '!$E:$E,0),1))</f>
        <v>32</v>
      </c>
      <c r="B60" s="270">
        <v>2028710106</v>
      </c>
      <c r="C60" t="s">
        <v>4</v>
      </c>
      <c r="D60" t="s">
        <v>5</v>
      </c>
    </row>
    <row r="61" spans="1:4">
      <c r="A61" s="655">
        <f>IF(INDEX('A-App Projected Sites '!$A:$E,MATCH('Consolidated Sites and BBLs'!$B61,'A-App Projected Sites '!$E:$E,0),1)=0,$A60,INDEX('A-App Projected Sites '!$A:$E,MATCH('Consolidated Sites and BBLs'!$B61,'A-App Projected Sites '!$E:$E,0),1))</f>
        <v>32</v>
      </c>
      <c r="B61" s="96">
        <v>2028710115</v>
      </c>
      <c r="C61" t="s">
        <v>4</v>
      </c>
      <c r="D61" t="s">
        <v>5</v>
      </c>
    </row>
    <row r="62" spans="1:4">
      <c r="A62" s="655">
        <f>IF(INDEX('A-App Projected Sites '!$A:$E,MATCH('Consolidated Sites and BBLs'!$B62,'A-App Projected Sites '!$E:$E,0),1)=0,$A61,INDEX('A-App Projected Sites '!$A:$E,MATCH('Consolidated Sites and BBLs'!$B62,'A-App Projected Sites '!$E:$E,0),1))</f>
        <v>32</v>
      </c>
      <c r="B62" s="270">
        <v>2028710094</v>
      </c>
      <c r="C62" t="s">
        <v>4</v>
      </c>
      <c r="D62" t="s">
        <v>5</v>
      </c>
    </row>
    <row r="63" spans="1:4">
      <c r="A63" s="655">
        <f>IF(INDEX('A-App Projected Sites '!$A:$E,MATCH('Consolidated Sites and BBLs'!$B63,'A-App Projected Sites '!$E:$E,0),1)=0,$A62,INDEX('A-App Projected Sites '!$A:$E,MATCH('Consolidated Sites and BBLs'!$B63,'A-App Projected Sites '!$E:$E,0),1))</f>
        <v>33</v>
      </c>
      <c r="B63" s="96">
        <v>2028710112</v>
      </c>
      <c r="C63" t="s">
        <v>4</v>
      </c>
      <c r="D63" t="s">
        <v>5</v>
      </c>
    </row>
    <row r="64" spans="1:4">
      <c r="A64" s="655">
        <f>IF(INDEX('A-App Projected Sites '!$A:$E,MATCH('Consolidated Sites and BBLs'!$B64,'A-App Projected Sites '!$E:$E,0),1)=0,$A63,INDEX('A-App Projected Sites '!$A:$E,MATCH('Consolidated Sites and BBLs'!$B64,'A-App Projected Sites '!$E:$E,0),1))</f>
        <v>33</v>
      </c>
      <c r="B64" s="96">
        <v>2028710110</v>
      </c>
      <c r="C64" t="s">
        <v>4</v>
      </c>
      <c r="D64" t="s">
        <v>5</v>
      </c>
    </row>
    <row r="65" spans="1:4">
      <c r="A65" s="655">
        <f>IF(INDEX('A-App Projected Sites '!$A:$E,MATCH('Consolidated Sites and BBLs'!$B65,'A-App Projected Sites '!$E:$E,0),1)=0,$A64,INDEX('A-App Projected Sites '!$A:$E,MATCH('Consolidated Sites and BBLs'!$B65,'A-App Projected Sites '!$E:$E,0),1))</f>
        <v>34</v>
      </c>
      <c r="B65" s="96">
        <v>2028560011</v>
      </c>
      <c r="C65" t="s">
        <v>4</v>
      </c>
      <c r="D65" t="s">
        <v>5</v>
      </c>
    </row>
    <row r="66" spans="1:4">
      <c r="A66" s="655">
        <f>IF(INDEX('A-App Projected Sites '!$A:$E,MATCH('Consolidated Sites and BBLs'!$B66,'A-App Projected Sites '!$E:$E,0),1)=0,$A65,INDEX('A-App Projected Sites '!$A:$E,MATCH('Consolidated Sites and BBLs'!$B66,'A-App Projected Sites '!$E:$E,0),1))</f>
        <v>35</v>
      </c>
      <c r="B66" s="270">
        <v>2028560053</v>
      </c>
      <c r="C66" t="s">
        <v>4</v>
      </c>
      <c r="D66" t="s">
        <v>5</v>
      </c>
    </row>
    <row r="67" spans="1:4">
      <c r="A67" s="655">
        <f>IF(INDEX('A-App Projected Sites '!$A:$E,MATCH('Consolidated Sites and BBLs'!$B67,'A-App Projected Sites '!$E:$E,0),1)=0,$A66,INDEX('A-App Projected Sites '!$A:$E,MATCH('Consolidated Sites and BBLs'!$B67,'A-App Projected Sites '!$E:$E,0),1))</f>
        <v>36</v>
      </c>
      <c r="B67" s="96">
        <v>2028710061</v>
      </c>
      <c r="C67" t="s">
        <v>4</v>
      </c>
      <c r="D67" t="s">
        <v>5</v>
      </c>
    </row>
    <row r="68" spans="1:4">
      <c r="A68" s="655">
        <f>IF(INDEX('A-App Projected Sites '!$A:$E,MATCH('Consolidated Sites and BBLs'!$B68,'A-App Projected Sites '!$E:$E,0),1)=0,$A67,INDEX('A-App Projected Sites '!$A:$E,MATCH('Consolidated Sites and BBLs'!$B68,'A-App Projected Sites '!$E:$E,0),1))</f>
        <v>36</v>
      </c>
      <c r="B68" s="270">
        <v>2028710133</v>
      </c>
      <c r="C68" t="s">
        <v>4</v>
      </c>
      <c r="D68" t="s">
        <v>5</v>
      </c>
    </row>
    <row r="69" spans="1:4">
      <c r="A69" s="655">
        <f>IF(INDEX('A-App Projected Sites '!$A:$E,MATCH('Consolidated Sites and BBLs'!$B69,'A-App Projected Sites '!$E:$E,0),1)=0,$A68,INDEX('A-App Projected Sites '!$A:$E,MATCH('Consolidated Sites and BBLs'!$B69,'A-App Projected Sites '!$E:$E,0),1))</f>
        <v>36</v>
      </c>
      <c r="B69" s="96">
        <v>2028710140</v>
      </c>
      <c r="C69" t="s">
        <v>4</v>
      </c>
      <c r="D69" t="s">
        <v>5</v>
      </c>
    </row>
    <row r="70" spans="1:4">
      <c r="A70" s="655">
        <f>IF(INDEX('A-App Projected Sites '!$A:$E,MATCH('Consolidated Sites and BBLs'!$B70,'A-App Projected Sites '!$E:$E,0),1)=0,$A69,INDEX('A-App Projected Sites '!$A:$E,MATCH('Consolidated Sites and BBLs'!$B70,'A-App Projected Sites '!$E:$E,0),1))</f>
        <v>37</v>
      </c>
      <c r="B70" s="270">
        <v>2025060098</v>
      </c>
      <c r="C70" t="s">
        <v>4</v>
      </c>
      <c r="D70" t="s">
        <v>5</v>
      </c>
    </row>
    <row r="71" spans="1:4">
      <c r="A71" s="655">
        <f>IF(INDEX('A-App Projected Sites '!$A:$E,MATCH('Consolidated Sites and BBLs'!$B71,'A-App Projected Sites '!$E:$E,0),1)=0,$A70,INDEX('A-App Projected Sites '!$A:$E,MATCH('Consolidated Sites and BBLs'!$B71,'A-App Projected Sites '!$E:$E,0),1))</f>
        <v>38</v>
      </c>
      <c r="B71" s="270">
        <v>2025060100</v>
      </c>
      <c r="C71" t="s">
        <v>4</v>
      </c>
      <c r="D71" t="s">
        <v>5</v>
      </c>
    </row>
    <row r="72" spans="1:4">
      <c r="A72" s="655">
        <f>IF(INDEX('A-App Projected Sites '!$A:$E,MATCH('Consolidated Sites and BBLs'!$B72,'A-App Projected Sites '!$E:$E,0),1)=0,$A71,INDEX('A-App Projected Sites '!$A:$E,MATCH('Consolidated Sites and BBLs'!$B72,'A-App Projected Sites '!$E:$E,0),1))</f>
        <v>39</v>
      </c>
      <c r="B72" s="270">
        <v>2025060040</v>
      </c>
      <c r="C72" t="s">
        <v>4</v>
      </c>
      <c r="D72" t="s">
        <v>5</v>
      </c>
    </row>
    <row r="73" spans="1:4">
      <c r="A73" s="655">
        <f>IF(INDEX('A-App Projected Sites '!$A:$E,MATCH('Consolidated Sites and BBLs'!$B73,'A-App Projected Sites '!$E:$E,0),1)=0,$A72,INDEX('A-App Projected Sites '!$A:$E,MATCH('Consolidated Sites and BBLs'!$B73,'A-App Projected Sites '!$E:$E,0),1))</f>
        <v>40</v>
      </c>
      <c r="B73" s="96">
        <v>2024890006</v>
      </c>
      <c r="C73" t="s">
        <v>4</v>
      </c>
      <c r="D73" t="s">
        <v>5</v>
      </c>
    </row>
    <row r="74" spans="1:4">
      <c r="A74" s="655">
        <f>IF(INDEX('A-App Projected Sites '!$A:$E,MATCH('Consolidated Sites and BBLs'!$B74,'A-App Projected Sites '!$E:$E,0),1)=0,$A73,INDEX('A-App Projected Sites '!$A:$E,MATCH('Consolidated Sites and BBLs'!$B74,'A-App Projected Sites '!$E:$E,0),1))</f>
        <v>40</v>
      </c>
      <c r="B74" s="96">
        <v>2024890008</v>
      </c>
      <c r="C74" t="s">
        <v>4</v>
      </c>
      <c r="D74" t="s">
        <v>5</v>
      </c>
    </row>
    <row r="75" spans="1:4">
      <c r="A75" s="655">
        <f>IF(INDEX('A-App Projected Sites '!$A:$E,MATCH('Consolidated Sites and BBLs'!$B75,'A-App Projected Sites '!$E:$E,0),1)=0,$A74,INDEX('A-App Projected Sites '!$A:$E,MATCH('Consolidated Sites and BBLs'!$B75,'A-App Projected Sites '!$E:$E,0),1))</f>
        <v>41</v>
      </c>
      <c r="B75" s="96">
        <v>2024960064</v>
      </c>
      <c r="C75" t="s">
        <v>4</v>
      </c>
      <c r="D75" t="s">
        <v>5</v>
      </c>
    </row>
    <row r="76" spans="1:4">
      <c r="A76" s="655">
        <f>IF(INDEX('A-App Projected Sites '!$A:$E,MATCH('Consolidated Sites and BBLs'!$B76,'A-App Projected Sites '!$E:$E,0),1)=0,$A75,INDEX('A-App Projected Sites '!$A:$E,MATCH('Consolidated Sites and BBLs'!$B76,'A-App Projected Sites '!$E:$E,0),1))</f>
        <v>42</v>
      </c>
      <c r="B76" s="96">
        <v>2024880014</v>
      </c>
      <c r="C76" t="s">
        <v>4</v>
      </c>
      <c r="D76" t="s">
        <v>5</v>
      </c>
    </row>
    <row r="77" spans="1:4">
      <c r="A77" s="655">
        <f>IF(INDEX('A-App Projected Sites '!$A:$E,MATCH('Consolidated Sites and BBLs'!$B77,'A-App Projected Sites '!$E:$E,0),1)=0,$A76,INDEX('A-App Projected Sites '!$A:$E,MATCH('Consolidated Sites and BBLs'!$B77,'A-App Projected Sites '!$E:$E,0),1))</f>
        <v>43</v>
      </c>
      <c r="B77" s="96">
        <v>2024880012</v>
      </c>
      <c r="C77" t="s">
        <v>4</v>
      </c>
      <c r="D77" t="s">
        <v>5</v>
      </c>
    </row>
    <row r="78" spans="1:4">
      <c r="A78" s="655">
        <f>IF(INDEX('A-App Projected Sites '!$A:$E,MATCH('Consolidated Sites and BBLs'!$B78,'A-App Projected Sites '!$E:$E,0),1)=0,$A77,INDEX('A-App Projected Sites '!$A:$E,MATCH('Consolidated Sites and BBLs'!$B78,'A-App Projected Sites '!$E:$E,0),1))</f>
        <v>44</v>
      </c>
      <c r="B78" s="96">
        <v>2024880001</v>
      </c>
      <c r="C78" t="s">
        <v>4</v>
      </c>
      <c r="D78" t="s">
        <v>5</v>
      </c>
    </row>
    <row r="79" spans="1:4">
      <c r="A79" s="655">
        <f>IF(INDEX('A-App Projected Sites '!$A:$E,MATCH('Consolidated Sites and BBLs'!$B79,'A-App Projected Sites '!$E:$E,0),1)=0,$A78,INDEX('A-App Projected Sites '!$A:$E,MATCH('Consolidated Sites and BBLs'!$B79,'A-App Projected Sites '!$E:$E,0),1))</f>
        <v>45</v>
      </c>
      <c r="B79" s="270">
        <v>2024870038</v>
      </c>
      <c r="C79" t="s">
        <v>4</v>
      </c>
      <c r="D79" t="s">
        <v>5</v>
      </c>
    </row>
    <row r="80" spans="1:4">
      <c r="A80" s="655">
        <f>IF(INDEX('A-App Projected Sites '!$A:$E,MATCH('Consolidated Sites and BBLs'!$B80,'A-App Projected Sites '!$E:$E,0),1)=0,$A79,INDEX('A-App Projected Sites '!$A:$E,MATCH('Consolidated Sites and BBLs'!$B80,'A-App Projected Sites '!$E:$E,0),1))</f>
        <v>45</v>
      </c>
      <c r="B80" s="270">
        <v>2024870032</v>
      </c>
      <c r="C80" t="s">
        <v>4</v>
      </c>
      <c r="D80" t="s">
        <v>5</v>
      </c>
    </row>
    <row r="81" spans="1:4">
      <c r="A81" s="655">
        <f>IF(INDEX('A-App Projected Sites '!$A:$E,MATCH('Consolidated Sites and BBLs'!$B81,'A-App Projected Sites '!$E:$E,0),1)=0,$A80,INDEX('A-App Projected Sites '!$A:$E,MATCH('Consolidated Sites and BBLs'!$B81,'A-App Projected Sites '!$E:$E,0),1))</f>
        <v>45</v>
      </c>
      <c r="B81" s="270">
        <v>2024870030</v>
      </c>
      <c r="C81" t="s">
        <v>4</v>
      </c>
      <c r="D81" t="s">
        <v>5</v>
      </c>
    </row>
    <row r="82" spans="1:4">
      <c r="A82" s="655">
        <f>IF(INDEX('A-App Projected Sites '!$A:$E,MATCH('Consolidated Sites and BBLs'!$B82,'A-App Projected Sites '!$E:$E,0),1)=0,$A81,INDEX('A-App Projected Sites '!$A:$E,MATCH('Consolidated Sites and BBLs'!$B82,'A-App Projected Sites '!$E:$E,0),1))</f>
        <v>46</v>
      </c>
      <c r="B82" s="2541">
        <v>2028650134</v>
      </c>
      <c r="C82" t="s">
        <v>4</v>
      </c>
      <c r="D82" t="s">
        <v>5</v>
      </c>
    </row>
    <row r="83" spans="1:4">
      <c r="A83" s="655">
        <f>IF(INDEX('A-App Projected Sites '!$A:$E,MATCH('Consolidated Sites and BBLs'!$B83,'A-App Projected Sites '!$E:$E,0),1)=0,$A82,INDEX('A-App Projected Sites '!$A:$E,MATCH('Consolidated Sites and BBLs'!$B83,'A-App Projected Sites '!$E:$E,0),1))</f>
        <v>47</v>
      </c>
      <c r="B83" s="2541">
        <v>2028670142</v>
      </c>
      <c r="C83" t="s">
        <v>4</v>
      </c>
      <c r="D83" t="s">
        <v>5</v>
      </c>
    </row>
    <row r="84" spans="1:4">
      <c r="A84" s="655">
        <f>IF(INDEX('A-App Projected Sites '!$A:$E,MATCH('Consolidated Sites and BBLs'!$B84,'A-App Projected Sites '!$E:$E,0),1)=0,$A83,INDEX('A-App Projected Sites '!$A:$E,MATCH('Consolidated Sites and BBLs'!$B84,'A-App Projected Sites '!$E:$E,0),1))</f>
        <v>52</v>
      </c>
      <c r="B84" s="530">
        <v>2028550051</v>
      </c>
      <c r="C84" t="s">
        <v>4</v>
      </c>
      <c r="D84" t="s">
        <v>5</v>
      </c>
    </row>
    <row r="85" spans="1:4">
      <c r="A85" s="655">
        <f>IF(INDEX('A-App Projected Sites '!$A:$E,MATCH('Consolidated Sites and BBLs'!$B85,'A-App Projected Sites '!$E:$E,0),1)=0,$A84,INDEX('A-App Projected Sites '!$A:$E,MATCH('Consolidated Sites and BBLs'!$B85,'A-App Projected Sites '!$E:$E,0),1))</f>
        <v>52</v>
      </c>
      <c r="B85" s="530">
        <v>2028550045</v>
      </c>
      <c r="C85" t="s">
        <v>4</v>
      </c>
      <c r="D85" t="s">
        <v>5</v>
      </c>
    </row>
    <row r="86" spans="1:4">
      <c r="A86" s="655">
        <f>IF(INDEX('A-App Projected Sites '!$A:$E,MATCH('Consolidated Sites and BBLs'!$B86,'A-App Projected Sites '!$E:$E,0),1)=0,$A85,INDEX('A-App Projected Sites '!$A:$E,MATCH('Consolidated Sites and BBLs'!$B86,'A-App Projected Sites '!$E:$E,0),1))</f>
        <v>52</v>
      </c>
      <c r="B86" s="270">
        <v>2028550053</v>
      </c>
      <c r="C86" t="s">
        <v>4</v>
      </c>
      <c r="D86" t="s">
        <v>5</v>
      </c>
    </row>
    <row r="87" spans="1:4">
      <c r="A87" s="655">
        <f>IF(INDEX('A-App Potential sites'!$A:$F,MATCH('Consolidated Sites and BBLs'!$B87,'A-App Potential sites'!$F:$F,0),2)=0,$A86,INDEX('A-App Potential sites'!$A:$F,MATCH('Consolidated Sites and BBLs'!$B87,'A-App Potential sites'!$F:$F,0),2))</f>
        <v>1</v>
      </c>
      <c r="B87" s="96">
        <v>2031980077</v>
      </c>
      <c r="C87" t="s">
        <v>4</v>
      </c>
      <c r="D87" t="s">
        <v>6</v>
      </c>
    </row>
    <row r="88" spans="1:4">
      <c r="A88" s="655">
        <f>IF(INDEX('A-App Potential sites'!$A:$F,MATCH('Consolidated Sites and BBLs'!$B88,'A-App Potential sites'!$F:$F,0),2)=0,$A87,INDEX('A-App Potential sites'!$A:$F,MATCH('Consolidated Sites and BBLs'!$B88,'A-App Potential sites'!$F:$F,0),2))</f>
        <v>1</v>
      </c>
      <c r="B88" s="96">
        <v>2031980078</v>
      </c>
      <c r="C88" t="s">
        <v>4</v>
      </c>
      <c r="D88" t="s">
        <v>6</v>
      </c>
    </row>
    <row r="89" spans="1:4">
      <c r="A89" s="655">
        <f>IF(INDEX('A-App Potential sites'!$A:$F,MATCH('Consolidated Sites and BBLs'!$B89,'A-App Potential sites'!$F:$F,0),2)=0,$A88,INDEX('A-App Potential sites'!$A:$F,MATCH('Consolidated Sites and BBLs'!$B89,'A-App Potential sites'!$F:$F,0),2))</f>
        <v>1</v>
      </c>
      <c r="B89" s="270">
        <v>2031980076</v>
      </c>
      <c r="C89" t="s">
        <v>4</v>
      </c>
      <c r="D89" t="s">
        <v>6</v>
      </c>
    </row>
    <row r="90" spans="1:4">
      <c r="A90" s="655">
        <f>IF(INDEX('A-App Potential sites'!$A:$F,MATCH('Consolidated Sites and BBLs'!$B90,'A-App Potential sites'!$F:$F,0),2)=0,$A89,INDEX('A-App Potential sites'!$A:$F,MATCH('Consolidated Sites and BBLs'!$B90,'A-App Potential sites'!$F:$F,0),2))</f>
        <v>2</v>
      </c>
      <c r="B90" s="96">
        <v>2031870025</v>
      </c>
      <c r="C90" t="s">
        <v>4</v>
      </c>
      <c r="D90" t="s">
        <v>6</v>
      </c>
    </row>
    <row r="91" spans="1:4">
      <c r="A91" s="655">
        <f>IF(INDEX('A-App Potential sites'!$A:$F,MATCH('Consolidated Sites and BBLs'!$B91,'A-App Potential sites'!$F:$F,0),2)=0,$A90,INDEX('A-App Potential sites'!$A:$F,MATCH('Consolidated Sites and BBLs'!$B91,'A-App Potential sites'!$F:$F,0),2))</f>
        <v>2</v>
      </c>
      <c r="B91" s="270">
        <v>2031870018</v>
      </c>
      <c r="C91" t="s">
        <v>4</v>
      </c>
      <c r="D91" t="s">
        <v>6</v>
      </c>
    </row>
    <row r="92" spans="1:4">
      <c r="A92" s="655">
        <f>IF(INDEX('A-App Potential sites'!$A:$F,MATCH('Consolidated Sites and BBLs'!$B92,'A-App Potential sites'!$F:$F,0),2)=0,$A91,INDEX('A-App Potential sites'!$A:$F,MATCH('Consolidated Sites and BBLs'!$B92,'A-App Potential sites'!$F:$F,0),2))</f>
        <v>3</v>
      </c>
      <c r="B92" s="96">
        <v>2031870005</v>
      </c>
      <c r="C92" t="s">
        <v>4</v>
      </c>
      <c r="D92" t="s">
        <v>6</v>
      </c>
    </row>
    <row r="93" spans="1:4">
      <c r="A93" s="655">
        <f>IF(INDEX('A-App Potential sites'!$A:$F,MATCH('Consolidated Sites and BBLs'!$B93,'A-App Potential sites'!$F:$F,0),2)=0,$A92,INDEX('A-App Potential sites'!$A:$F,MATCH('Consolidated Sites and BBLs'!$B93,'A-App Potential sites'!$F:$F,0),2))</f>
        <v>3</v>
      </c>
      <c r="B93" s="96">
        <v>2031870003</v>
      </c>
      <c r="C93" t="s">
        <v>4</v>
      </c>
      <c r="D93" t="s">
        <v>6</v>
      </c>
    </row>
    <row r="94" spans="1:4">
      <c r="A94" s="655">
        <f>IF(INDEX('A-App Potential sites'!$A:$F,MATCH('Consolidated Sites and BBLs'!$B94,'A-App Potential sites'!$F:$F,0),2)=0,$A93,INDEX('A-App Potential sites'!$A:$F,MATCH('Consolidated Sites and BBLs'!$B94,'A-App Potential sites'!$F:$F,0),2))</f>
        <v>3</v>
      </c>
      <c r="B94" s="270">
        <v>2031870007</v>
      </c>
      <c r="C94" t="s">
        <v>4</v>
      </c>
      <c r="D94" t="s">
        <v>6</v>
      </c>
    </row>
    <row r="95" spans="1:4">
      <c r="A95" s="655">
        <f>IF(INDEX('A-App Potential sites'!$A:$F,MATCH('Consolidated Sites and BBLs'!$B95,'A-App Potential sites'!$F:$F,0),2)=0,$A94,INDEX('A-App Potential sites'!$A:$F,MATCH('Consolidated Sites and BBLs'!$B95,'A-App Potential sites'!$F:$F,0),2))</f>
        <v>3</v>
      </c>
      <c r="B95" s="96">
        <v>2031870001</v>
      </c>
      <c r="C95" t="s">
        <v>4</v>
      </c>
      <c r="D95" t="s">
        <v>6</v>
      </c>
    </row>
    <row r="96" spans="1:4">
      <c r="A96" s="655">
        <f>IF(INDEX('A-App Potential sites'!$A:$F,MATCH('Consolidated Sites and BBLs'!$B96,'A-App Potential sites'!$F:$F,0),2)=0,$A95,INDEX('A-App Potential sites'!$A:$F,MATCH('Consolidated Sites and BBLs'!$B96,'A-App Potential sites'!$F:$F,0),2))</f>
        <v>4</v>
      </c>
      <c r="B96" s="2575">
        <v>2031970029</v>
      </c>
      <c r="C96" t="s">
        <v>4</v>
      </c>
      <c r="D96" t="s">
        <v>6</v>
      </c>
    </row>
    <row r="97" spans="1:4">
      <c r="A97" s="655">
        <f>IF(INDEX('A-App Potential sites'!$A:$F,MATCH('Consolidated Sites and BBLs'!$B97,'A-App Potential sites'!$F:$F,0),2)=0,$A96,INDEX('A-App Potential sites'!$A:$F,MATCH('Consolidated Sites and BBLs'!$B97,'A-App Potential sites'!$F:$F,0),2))</f>
        <v>5</v>
      </c>
      <c r="B97" s="96">
        <v>2031970035</v>
      </c>
      <c r="C97" t="s">
        <v>4</v>
      </c>
      <c r="D97" t="s">
        <v>6</v>
      </c>
    </row>
    <row r="98" spans="1:4">
      <c r="A98" s="655">
        <f>IF(INDEX('A-App Potential sites'!$A:$F,MATCH('Consolidated Sites and BBLs'!$B98,'A-App Potential sites'!$F:$F,0),2)=0,$A97,INDEX('A-App Potential sites'!$A:$F,MATCH('Consolidated Sites and BBLs'!$B98,'A-App Potential sites'!$F:$F,0),2))</f>
        <v>6</v>
      </c>
      <c r="B98" s="96">
        <v>2031960081</v>
      </c>
      <c r="C98" t="s">
        <v>4</v>
      </c>
      <c r="D98" t="s">
        <v>6</v>
      </c>
    </row>
    <row r="99" spans="1:4">
      <c r="A99" s="655">
        <f>IF(INDEX('A-App Potential sites'!$A:$F,MATCH('Consolidated Sites and BBLs'!$B99,'A-App Potential sites'!$F:$F,0),2)=0,$A98,INDEX('A-App Potential sites'!$A:$F,MATCH('Consolidated Sites and BBLs'!$B99,'A-App Potential sites'!$F:$F,0),2))</f>
        <v>6</v>
      </c>
      <c r="B99" s="96">
        <v>2031960079</v>
      </c>
      <c r="C99" t="s">
        <v>4</v>
      </c>
      <c r="D99" t="s">
        <v>6</v>
      </c>
    </row>
    <row r="100" spans="1:4">
      <c r="A100" s="655">
        <f>IF(INDEX('A-App Potential sites'!$A:$F,MATCH('Consolidated Sites and BBLs'!$B100,'A-App Potential sites'!$F:$F,0),2)=0,$A99,INDEX('A-App Potential sites'!$A:$F,MATCH('Consolidated Sites and BBLs'!$B100,'A-App Potential sites'!$F:$F,0),2))</f>
        <v>7</v>
      </c>
      <c r="B100" s="270">
        <v>2032080036</v>
      </c>
      <c r="C100" t="s">
        <v>4</v>
      </c>
      <c r="D100" t="s">
        <v>6</v>
      </c>
    </row>
    <row r="101" spans="1:4">
      <c r="A101" s="655">
        <f>IF(INDEX('A-App Potential sites'!$A:$F,MATCH('Consolidated Sites and BBLs'!$B101,'A-App Potential sites'!$F:$F,0),2)=0,$A100,INDEX('A-App Potential sites'!$A:$F,MATCH('Consolidated Sites and BBLs'!$B101,'A-App Potential sites'!$F:$F,0),2))</f>
        <v>7</v>
      </c>
      <c r="B101" s="270">
        <v>2032080039</v>
      </c>
      <c r="C101" t="s">
        <v>4</v>
      </c>
      <c r="D101" t="s">
        <v>6</v>
      </c>
    </row>
    <row r="102" spans="1:4">
      <c r="A102" s="655">
        <f>IF(INDEX('A-App Potential sites'!$A:$F,MATCH('Consolidated Sites and BBLs'!$B102,'A-App Potential sites'!$F:$F,0),2)=0,$A101,INDEX('A-App Potential sites'!$A:$F,MATCH('Consolidated Sites and BBLs'!$B102,'A-App Potential sites'!$F:$F,0),2))</f>
        <v>7</v>
      </c>
      <c r="B102" s="270">
        <v>2032080035</v>
      </c>
      <c r="C102" t="s">
        <v>4</v>
      </c>
      <c r="D102" t="s">
        <v>6</v>
      </c>
    </row>
    <row r="103" spans="1:4">
      <c r="A103" s="655">
        <f>IF(INDEX('A-App Potential sites'!$A:$F,MATCH('Consolidated Sites and BBLs'!$B103,'A-App Potential sites'!$F:$F,0),2)=0,$A102,INDEX('A-App Potential sites'!$A:$F,MATCH('Consolidated Sites and BBLs'!$B103,'A-App Potential sites'!$F:$F,0),2))</f>
        <v>8</v>
      </c>
      <c r="B103" s="270">
        <v>2032080045</v>
      </c>
      <c r="C103" t="s">
        <v>4</v>
      </c>
      <c r="D103" t="s">
        <v>6</v>
      </c>
    </row>
    <row r="104" spans="1:4">
      <c r="A104" s="655">
        <f>IF(INDEX('A-App Potential sites'!$A:$F,MATCH('Consolidated Sites and BBLs'!$B104,'A-App Potential sites'!$F:$F,0),2)=0,$A103,INDEX('A-App Potential sites'!$A:$F,MATCH('Consolidated Sites and BBLs'!$B104,'A-App Potential sites'!$F:$F,0),2))</f>
        <v>8</v>
      </c>
      <c r="B104" s="270">
        <v>2032080046</v>
      </c>
      <c r="C104" t="s">
        <v>4</v>
      </c>
      <c r="D104" t="s">
        <v>6</v>
      </c>
    </row>
    <row r="105" spans="1:4">
      <c r="A105" s="655">
        <f>IF(INDEX('A-App Potential sites'!$A:$F,MATCH('Consolidated Sites and BBLs'!$B105,'A-App Potential sites'!$F:$F,0),2)=0,$A104,INDEX('A-App Potential sites'!$A:$F,MATCH('Consolidated Sites and BBLs'!$B105,'A-App Potential sites'!$F:$F,0),2))</f>
        <v>9</v>
      </c>
      <c r="B105" s="96">
        <v>2031960036</v>
      </c>
      <c r="C105" t="s">
        <v>4</v>
      </c>
      <c r="D105" t="s">
        <v>6</v>
      </c>
    </row>
    <row r="106" spans="1:4">
      <c r="A106" s="655">
        <f>IF(INDEX('A-App Potential sites'!$A:$F,MATCH('Consolidated Sites and BBLs'!$B106,'A-App Potential sites'!$F:$F,0),2)=0,$A105,INDEX('A-App Potential sites'!$A:$F,MATCH('Consolidated Sites and BBLs'!$B106,'A-App Potential sites'!$F:$F,0),2))</f>
        <v>10</v>
      </c>
      <c r="B106" s="96">
        <v>2031860047</v>
      </c>
      <c r="C106" t="s">
        <v>4</v>
      </c>
      <c r="D106" t="s">
        <v>6</v>
      </c>
    </row>
    <row r="107" spans="1:4">
      <c r="A107" s="655">
        <f>IF(INDEX('A-App Potential sites'!$A:$F,MATCH('Consolidated Sites and BBLs'!$B107,'A-App Potential sites'!$F:$F,0),2)=0,$A106,INDEX('A-App Potential sites'!$A:$F,MATCH('Consolidated Sites and BBLs'!$B107,'A-App Potential sites'!$F:$F,0),2))</f>
        <v>10</v>
      </c>
      <c r="B107" s="270">
        <v>2031860041</v>
      </c>
      <c r="C107" t="s">
        <v>4</v>
      </c>
      <c r="D107" t="s">
        <v>6</v>
      </c>
    </row>
    <row r="108" spans="1:4">
      <c r="A108" s="655">
        <f>IF(INDEX('A-App Potential sites'!$A:$F,MATCH('Consolidated Sites and BBLs'!$B108,'A-App Potential sites'!$F:$F,0),2)=0,$A107,INDEX('A-App Potential sites'!$A:$F,MATCH('Consolidated Sites and BBLs'!$B108,'A-App Potential sites'!$F:$F,0),2))</f>
        <v>10</v>
      </c>
      <c r="B108" s="96">
        <v>2031860044</v>
      </c>
      <c r="C108" t="s">
        <v>4</v>
      </c>
      <c r="D108" t="s">
        <v>6</v>
      </c>
    </row>
    <row r="109" spans="1:4">
      <c r="A109" s="655">
        <f>IF(INDEX('A-App Potential sites'!$A:$F,MATCH('Consolidated Sites and BBLs'!$B109,'A-App Potential sites'!$F:$F,0),2)=0,$A108,INDEX('A-App Potential sites'!$A:$F,MATCH('Consolidated Sites and BBLs'!$B109,'A-App Potential sites'!$F:$F,0),2))</f>
        <v>10</v>
      </c>
      <c r="B109" s="96">
        <v>2031860048</v>
      </c>
      <c r="C109" t="s">
        <v>4</v>
      </c>
      <c r="D109" t="s">
        <v>6</v>
      </c>
    </row>
    <row r="110" spans="1:4">
      <c r="A110" s="655">
        <f>IF(INDEX('A-App Potential sites'!$A:$F,MATCH('Consolidated Sites and BBLs'!$B110,'A-App Potential sites'!$F:$F,0),2)=0,$A109,INDEX('A-App Potential sites'!$A:$F,MATCH('Consolidated Sites and BBLs'!$B110,'A-App Potential sites'!$F:$F,0),2))</f>
        <v>11</v>
      </c>
      <c r="B110" s="96">
        <v>2031860017</v>
      </c>
      <c r="C110" t="s">
        <v>4</v>
      </c>
      <c r="D110" t="s">
        <v>6</v>
      </c>
    </row>
    <row r="111" spans="1:4">
      <c r="A111" s="655">
        <f>IF(INDEX('A-App Potential sites'!$A:$F,MATCH('Consolidated Sites and BBLs'!$B111,'A-App Potential sites'!$F:$F,0),2)=0,$A110,INDEX('A-App Potential sites'!$A:$F,MATCH('Consolidated Sites and BBLs'!$B111,'A-App Potential sites'!$F:$F,0),2))</f>
        <v>12</v>
      </c>
      <c r="B111" s="96">
        <v>2031950040</v>
      </c>
      <c r="C111" t="s">
        <v>4</v>
      </c>
      <c r="D111" t="s">
        <v>6</v>
      </c>
    </row>
    <row r="112" spans="1:4">
      <c r="A112" s="655">
        <f>IF(INDEX('A-App Potential sites'!$A:$F,MATCH('Consolidated Sites and BBLs'!$B112,'A-App Potential sites'!$F:$F,0),2)=0,$A111,INDEX('A-App Potential sites'!$A:$F,MATCH('Consolidated Sites and BBLs'!$B112,'A-App Potential sites'!$F:$F,0),2))</f>
        <v>13</v>
      </c>
      <c r="B112" s="270">
        <v>2031950090</v>
      </c>
      <c r="C112" t="s">
        <v>4</v>
      </c>
      <c r="D112" t="s">
        <v>6</v>
      </c>
    </row>
    <row r="113" spans="1:4">
      <c r="A113" s="655">
        <f>IF(INDEX('A-App Potential sites'!$A:$F,MATCH('Consolidated Sites and BBLs'!$B113,'A-App Potential sites'!$F:$F,0),2)=0,$A112,INDEX('A-App Potential sites'!$A:$F,MATCH('Consolidated Sites and BBLs'!$B113,'A-App Potential sites'!$F:$F,0),2))</f>
        <v>13</v>
      </c>
      <c r="B113" s="96">
        <v>2031950092</v>
      </c>
      <c r="C113" t="s">
        <v>4</v>
      </c>
      <c r="D113" t="s">
        <v>6</v>
      </c>
    </row>
    <row r="114" spans="1:4">
      <c r="A114" s="655">
        <f>IF(INDEX('A-App Potential sites'!$A:$F,MATCH('Consolidated Sites and BBLs'!$B114,'A-App Potential sites'!$F:$F,0),2)=0,$A113,INDEX('A-App Potential sites'!$A:$F,MATCH('Consolidated Sites and BBLs'!$B114,'A-App Potential sites'!$F:$F,0),2))</f>
        <v>13</v>
      </c>
      <c r="B114" s="270">
        <v>2031950084</v>
      </c>
      <c r="C114" t="s">
        <v>4</v>
      </c>
      <c r="D114" t="s">
        <v>6</v>
      </c>
    </row>
    <row r="115" spans="1:4">
      <c r="A115" s="655">
        <f>IF(INDEX('A-App Potential sites'!$A:$F,MATCH('Consolidated Sites and BBLs'!$B115,'A-App Potential sites'!$F:$F,0),2)=0,$A114,INDEX('A-App Potential sites'!$A:$F,MATCH('Consolidated Sites and BBLs'!$B115,'A-App Potential sites'!$F:$F,0),2))</f>
        <v>13</v>
      </c>
      <c r="B115" s="270">
        <v>2031950083</v>
      </c>
      <c r="C115" t="s">
        <v>4</v>
      </c>
      <c r="D115" t="s">
        <v>6</v>
      </c>
    </row>
    <row r="116" spans="1:4">
      <c r="A116" s="655">
        <f>IF(INDEX('A-App Potential sites'!$A:$F,MATCH('Consolidated Sites and BBLs'!$B116,'A-App Potential sites'!$F:$F,0),2)=0,$A115,INDEX('A-App Potential sites'!$A:$F,MATCH('Consolidated Sites and BBLs'!$B116,'A-App Potential sites'!$F:$F,0),2))</f>
        <v>14</v>
      </c>
      <c r="B116" s="96">
        <v>2031920034</v>
      </c>
      <c r="C116" t="s">
        <v>4</v>
      </c>
      <c r="D116" t="s">
        <v>6</v>
      </c>
    </row>
    <row r="117" spans="1:4">
      <c r="A117" s="655">
        <f>IF(INDEX('A-App Potential sites'!$A:$F,MATCH('Consolidated Sites and BBLs'!$B117,'A-App Potential sites'!$F:$F,0),2)=0,$A116,INDEX('A-App Potential sites'!$A:$F,MATCH('Consolidated Sites and BBLs'!$B117,'A-App Potential sites'!$F:$F,0),2))</f>
        <v>15</v>
      </c>
      <c r="B117" s="270">
        <v>2031790030</v>
      </c>
      <c r="C117" t="s">
        <v>4</v>
      </c>
      <c r="D117" t="s">
        <v>6</v>
      </c>
    </row>
    <row r="118" spans="1:4">
      <c r="A118" s="655">
        <f>IF(INDEX('A-App Potential sites'!$A:$F,MATCH('Consolidated Sites and BBLs'!$B118,'A-App Potential sites'!$F:$F,0),2)=0,$A117,INDEX('A-App Potential sites'!$A:$F,MATCH('Consolidated Sites and BBLs'!$B118,'A-App Potential sites'!$F:$F,0),2))</f>
        <v>16</v>
      </c>
      <c r="B118" s="96">
        <v>2031920055</v>
      </c>
      <c r="C118" t="s">
        <v>4</v>
      </c>
      <c r="D118" t="s">
        <v>6</v>
      </c>
    </row>
    <row r="119" spans="1:4">
      <c r="A119" s="655">
        <f>IF(INDEX('A-App Potential sites'!$A:$F,MATCH('Consolidated Sites and BBLs'!$B119,'A-App Potential sites'!$F:$F,0),2)=0,$A118,INDEX('A-App Potential sites'!$A:$F,MATCH('Consolidated Sites and BBLs'!$B119,'A-App Potential sites'!$F:$F,0),2))</f>
        <v>16</v>
      </c>
      <c r="B119" s="270">
        <v>2031920056</v>
      </c>
      <c r="C119" t="s">
        <v>4</v>
      </c>
      <c r="D119" t="s">
        <v>6</v>
      </c>
    </row>
    <row r="120" spans="1:4">
      <c r="A120" s="655">
        <f>IF(INDEX('A-App Potential sites'!$A:$F,MATCH('Consolidated Sites and BBLs'!$B120,'A-App Potential sites'!$F:$F,0),2)=0,$A119,INDEX('A-App Potential sites'!$A:$F,MATCH('Consolidated Sites and BBLs'!$B120,'A-App Potential sites'!$F:$F,0),2))</f>
        <v>16</v>
      </c>
      <c r="B120" s="96">
        <v>2031920060</v>
      </c>
      <c r="C120" t="s">
        <v>4</v>
      </c>
      <c r="D120" t="s">
        <v>6</v>
      </c>
    </row>
    <row r="121" spans="1:4">
      <c r="A121" s="655">
        <f>IF(INDEX('A-App Potential sites'!$A:$F,MATCH('Consolidated Sites and BBLs'!$B121,'A-App Potential sites'!$F:$F,0),2)=0,$A120,INDEX('A-App Potential sites'!$A:$F,MATCH('Consolidated Sites and BBLs'!$B121,'A-App Potential sites'!$F:$F,0),2))</f>
        <v>17</v>
      </c>
      <c r="B121" s="96">
        <v>2031790008</v>
      </c>
      <c r="C121" t="s">
        <v>4</v>
      </c>
      <c r="D121" t="s">
        <v>6</v>
      </c>
    </row>
    <row r="122" spans="1:4">
      <c r="A122" s="655">
        <f>IF(INDEX('A-App Potential sites'!$A:$F,MATCH('Consolidated Sites and BBLs'!$B122,'A-App Potential sites'!$F:$F,0),2)=0,$A121,INDEX('A-App Potential sites'!$A:$F,MATCH('Consolidated Sites and BBLs'!$B122,'A-App Potential sites'!$F:$F,0),2))</f>
        <v>17</v>
      </c>
      <c r="B122" s="96">
        <v>2031790013</v>
      </c>
      <c r="C122" t="s">
        <v>4</v>
      </c>
      <c r="D122" t="s">
        <v>6</v>
      </c>
    </row>
    <row r="123" spans="1:4">
      <c r="A123" s="655">
        <f>IF(INDEX('A-App Potential sites'!$A:$F,MATCH('Consolidated Sites and BBLs'!$B123,'A-App Potential sites'!$F:$F,0),2)=0,$A122,INDEX('A-App Potential sites'!$A:$F,MATCH('Consolidated Sites and BBLs'!$B123,'A-App Potential sites'!$F:$F,0),2))</f>
        <v>18</v>
      </c>
      <c r="B123" s="270">
        <v>2031920066</v>
      </c>
      <c r="C123" t="s">
        <v>4</v>
      </c>
      <c r="D123" t="s">
        <v>6</v>
      </c>
    </row>
    <row r="124" spans="1:4">
      <c r="A124" s="655">
        <f>IF(INDEX('A-App Potential sites'!$A:$F,MATCH('Consolidated Sites and BBLs'!$B124,'A-App Potential sites'!$F:$F,0),2)=0,$A123,INDEX('A-App Potential sites'!$A:$F,MATCH('Consolidated Sites and BBLs'!$B124,'A-App Potential sites'!$F:$F,0),2))</f>
        <v>19</v>
      </c>
      <c r="B124" s="96">
        <v>2031920075</v>
      </c>
      <c r="C124" t="s">
        <v>4</v>
      </c>
      <c r="D124" t="s">
        <v>6</v>
      </c>
    </row>
    <row r="125" spans="1:4">
      <c r="A125" s="655">
        <f>IF(INDEX('A-App Potential sites'!$A:$F,MATCH('Consolidated Sites and BBLs'!$B125,'A-App Potential sites'!$F:$F,0),2)=0,$A124,INDEX('A-App Potential sites'!$A:$F,MATCH('Consolidated Sites and BBLs'!$B125,'A-App Potential sites'!$F:$F,0),2))</f>
        <v>20</v>
      </c>
      <c r="B125" s="96">
        <v>2032100065</v>
      </c>
      <c r="C125" t="s">
        <v>4</v>
      </c>
      <c r="D125" t="s">
        <v>6</v>
      </c>
    </row>
    <row r="126" spans="1:4">
      <c r="A126" s="655">
        <f>IF(INDEX('A-App Potential sites'!$A:$F,MATCH('Consolidated Sites and BBLs'!$B126,'A-App Potential sites'!$F:$F,0),2)=0,$A125,INDEX('A-App Potential sites'!$A:$F,MATCH('Consolidated Sites and BBLs'!$B126,'A-App Potential sites'!$F:$F,0),2))</f>
        <v>21</v>
      </c>
      <c r="B126" s="96">
        <v>2028680139</v>
      </c>
      <c r="C126" t="s">
        <v>4</v>
      </c>
      <c r="D126" t="s">
        <v>6</v>
      </c>
    </row>
    <row r="127" spans="1:4">
      <c r="A127" s="655">
        <f>IF(INDEX('A-App Potential sites'!$A:$F,MATCH('Consolidated Sites and BBLs'!$B127,'A-App Potential sites'!$F:$F,0),2)=0,$A126,INDEX('A-App Potential sites'!$A:$F,MATCH('Consolidated Sites and BBLs'!$B127,'A-App Potential sites'!$F:$F,0),2))</f>
        <v>22</v>
      </c>
      <c r="B127" s="96">
        <v>2028690130</v>
      </c>
      <c r="C127" t="s">
        <v>4</v>
      </c>
      <c r="D127" t="s">
        <v>6</v>
      </c>
    </row>
    <row r="128" spans="1:4">
      <c r="A128" s="655">
        <f>IF(INDEX('A-App Potential sites'!$A:$F,MATCH('Consolidated Sites and BBLs'!$B128,'A-App Potential sites'!$F:$F,0),2)=0,$A127,INDEX('A-App Potential sites'!$A:$F,MATCH('Consolidated Sites and BBLs'!$B128,'A-App Potential sites'!$F:$F,0),2))</f>
        <v>22</v>
      </c>
      <c r="B128" s="96">
        <v>2028690127</v>
      </c>
      <c r="C128" t="s">
        <v>4</v>
      </c>
      <c r="D128" t="s">
        <v>6</v>
      </c>
    </row>
    <row r="129" spans="1:4">
      <c r="A129" s="655">
        <f>IF(INDEX('A-App Potential sites'!$A:$F,MATCH('Consolidated Sites and BBLs'!$B129,'A-App Potential sites'!$F:$F,0),2)=0,$A128,INDEX('A-App Potential sites'!$A:$F,MATCH('Consolidated Sites and BBLs'!$B129,'A-App Potential sites'!$F:$F,0),2))</f>
        <v>23</v>
      </c>
      <c r="B129" s="96">
        <v>2031930033</v>
      </c>
      <c r="C129" t="s">
        <v>4</v>
      </c>
      <c r="D129" t="s">
        <v>6</v>
      </c>
    </row>
    <row r="130" spans="1:4">
      <c r="A130" s="655">
        <f>IF(INDEX('A-App Potential sites'!$A:$F,MATCH('Consolidated Sites and BBLs'!$B130,'A-App Potential sites'!$F:$F,0),2)=0,$A129,INDEX('A-App Potential sites'!$A:$F,MATCH('Consolidated Sites and BBLs'!$B130,'A-App Potential sites'!$F:$F,0),2))</f>
        <v>24</v>
      </c>
      <c r="B130" s="96">
        <v>2028700031</v>
      </c>
      <c r="C130" t="s">
        <v>4</v>
      </c>
      <c r="D130" t="s">
        <v>6</v>
      </c>
    </row>
    <row r="131" spans="1:4">
      <c r="A131" s="655">
        <f>IF(INDEX('A-App Potential sites'!$A:$F,MATCH('Consolidated Sites and BBLs'!$B131,'A-App Potential sites'!$F:$F,0),2)=0,$A130,INDEX('A-App Potential sites'!$A:$F,MATCH('Consolidated Sites and BBLs'!$B131,'A-App Potential sites'!$F:$F,0),2))</f>
        <v>25</v>
      </c>
      <c r="B131" s="96">
        <v>2028630032</v>
      </c>
      <c r="C131" t="s">
        <v>4</v>
      </c>
      <c r="D131" t="s">
        <v>6</v>
      </c>
    </row>
    <row r="132" spans="1:4">
      <c r="A132" s="655">
        <f>IF(INDEX('A-App Potential sites'!$A:$F,MATCH('Consolidated Sites and BBLs'!$B132,'A-App Potential sites'!$F:$F,0),2)=0,$A131,INDEX('A-App Potential sites'!$A:$F,MATCH('Consolidated Sites and BBLs'!$B132,'A-App Potential sites'!$F:$F,0),2))</f>
        <v>25</v>
      </c>
      <c r="B132" s="96">
        <v>2028630028</v>
      </c>
      <c r="C132" t="s">
        <v>4</v>
      </c>
      <c r="D132" t="s">
        <v>6</v>
      </c>
    </row>
    <row r="133" spans="1:4">
      <c r="A133" s="655">
        <f>IF(INDEX('A-App Potential sites'!$A:$F,MATCH('Consolidated Sites and BBLs'!$B133,'A-App Potential sites'!$F:$F,0),2)=0,$A132,INDEX('A-App Potential sites'!$A:$F,MATCH('Consolidated Sites and BBLs'!$B133,'A-App Potential sites'!$F:$F,0),2))</f>
        <v>25</v>
      </c>
      <c r="B133" s="270">
        <v>2028630030</v>
      </c>
      <c r="C133" t="s">
        <v>4</v>
      </c>
      <c r="D133" t="s">
        <v>6</v>
      </c>
    </row>
    <row r="134" spans="1:4">
      <c r="A134" s="655">
        <f>IF(INDEX('A-App Potential sites'!$A:$F,MATCH('Consolidated Sites and BBLs'!$B134,'A-App Potential sites'!$F:$F,0),2)=0,$A133,INDEX('A-App Potential sites'!$A:$F,MATCH('Consolidated Sites and BBLs'!$B134,'A-App Potential sites'!$F:$F,0),2))</f>
        <v>25</v>
      </c>
      <c r="B134" s="270">
        <v>2028630040</v>
      </c>
      <c r="C134" t="s">
        <v>4</v>
      </c>
      <c r="D134" t="s">
        <v>6</v>
      </c>
    </row>
    <row r="135" spans="1:4">
      <c r="A135" s="655">
        <f>IF(INDEX('A-App Potential sites'!$A:$F,MATCH('Consolidated Sites and BBLs'!$B135,'A-App Potential sites'!$F:$F,0),2)=0,$A134,INDEX('A-App Potential sites'!$A:$F,MATCH('Consolidated Sites and BBLs'!$B135,'A-App Potential sites'!$F:$F,0),2))</f>
        <v>25</v>
      </c>
      <c r="B135" s="96">
        <v>2028630035</v>
      </c>
      <c r="C135" t="s">
        <v>4</v>
      </c>
      <c r="D135" t="s">
        <v>6</v>
      </c>
    </row>
    <row r="136" spans="1:4">
      <c r="A136" s="655">
        <f>IF(INDEX('A-App Potential sites'!$A:$F,MATCH('Consolidated Sites and BBLs'!$B136,'A-App Potential sites'!$F:$F,0),2)=0,$A135,INDEX('A-App Potential sites'!$A:$F,MATCH('Consolidated Sites and BBLs'!$B136,'A-App Potential sites'!$F:$F,0),2))</f>
        <v>26</v>
      </c>
      <c r="B136" s="96">
        <v>2031790002</v>
      </c>
      <c r="C136" t="s">
        <v>4</v>
      </c>
      <c r="D136" t="s">
        <v>6</v>
      </c>
    </row>
    <row r="137" spans="1:4">
      <c r="A137" s="655">
        <f>IF(INDEX('A-App Potential sites'!$A:$F,MATCH('Consolidated Sites and BBLs'!$B137,'A-App Potential sites'!$F:$F,0),2)=0,$A136,INDEX('A-App Potential sites'!$A:$F,MATCH('Consolidated Sites and BBLs'!$B137,'A-App Potential sites'!$F:$F,0),2))</f>
        <v>27</v>
      </c>
      <c r="B137" s="270">
        <v>2031790063</v>
      </c>
      <c r="C137" t="s">
        <v>4</v>
      </c>
      <c r="D137" t="s">
        <v>6</v>
      </c>
    </row>
    <row r="138" spans="1:4">
      <c r="A138" s="655">
        <f>IF(INDEX('A-App Potential sites'!$A:$F,MATCH('Consolidated Sites and BBLs'!$B138,'A-App Potential sites'!$F:$F,0),2)=0,$A137,INDEX('A-App Potential sites'!$A:$F,MATCH('Consolidated Sites and BBLs'!$B138,'A-App Potential sites'!$F:$F,0),2))</f>
        <v>28</v>
      </c>
      <c r="B138" s="96">
        <v>2031780001</v>
      </c>
      <c r="C138" t="s">
        <v>4</v>
      </c>
      <c r="D138" t="s">
        <v>6</v>
      </c>
    </row>
    <row r="139" spans="1:4">
      <c r="A139" s="655">
        <f>IF(INDEX('A-App Potential sites'!$A:$F,MATCH('Consolidated Sites and BBLs'!$B139,'A-App Potential sites'!$F:$F,0),2)=0,$A138,INDEX('A-App Potential sites'!$A:$F,MATCH('Consolidated Sites and BBLs'!$B139,'A-App Potential sites'!$F:$F,0),2))</f>
        <v>29</v>
      </c>
      <c r="B139" s="96">
        <v>2031780060</v>
      </c>
      <c r="C139" t="s">
        <v>4</v>
      </c>
      <c r="D139" t="s">
        <v>6</v>
      </c>
    </row>
    <row r="140" spans="1:4">
      <c r="A140" s="655">
        <f>IF(INDEX('A-App Potential sites'!$A:$F,MATCH('Consolidated Sites and BBLs'!$B140,'A-App Potential sites'!$F:$F,0),2)=0,$A139,INDEX('A-App Potential sites'!$A:$F,MATCH('Consolidated Sites and BBLs'!$B140,'A-App Potential sites'!$F:$F,0),2))</f>
        <v>30</v>
      </c>
      <c r="B140" s="270">
        <v>2028540044</v>
      </c>
      <c r="C140" t="s">
        <v>4</v>
      </c>
      <c r="D140" t="s">
        <v>6</v>
      </c>
    </row>
    <row r="141" spans="1:4">
      <c r="A141" s="655">
        <f>IF(INDEX('A-App Potential sites'!$A:$F,MATCH('Consolidated Sites and BBLs'!$B141,'A-App Potential sites'!$F:$F,0),2)=0,$A140,INDEX('A-App Potential sites'!$A:$F,MATCH('Consolidated Sites and BBLs'!$B141,'A-App Potential sites'!$F:$F,0),2))</f>
        <v>31</v>
      </c>
      <c r="B141" s="270">
        <v>2028290045</v>
      </c>
      <c r="C141" t="s">
        <v>4</v>
      </c>
      <c r="D141" t="s">
        <v>6</v>
      </c>
    </row>
    <row r="142" spans="1:4">
      <c r="A142" s="655">
        <f>IF(INDEX('A-App Potential sites'!$A:$F,MATCH('Consolidated Sites and BBLs'!$B142,'A-App Potential sites'!$F:$F,0),2)=0,$A141,INDEX('A-App Potential sites'!$A:$F,MATCH('Consolidated Sites and BBLs'!$B142,'A-App Potential sites'!$F:$F,0),2))</f>
        <v>32</v>
      </c>
      <c r="B142" s="270">
        <v>2028540042</v>
      </c>
      <c r="C142" t="s">
        <v>4</v>
      </c>
      <c r="D142" t="s">
        <v>6</v>
      </c>
    </row>
    <row r="143" spans="1:4">
      <c r="A143" s="655">
        <f>IF(INDEX('A-App Potential sites'!$A:$F,MATCH('Consolidated Sites and BBLs'!$B143,'A-App Potential sites'!$F:$F,0),2)=0,$A142,INDEX('A-App Potential sites'!$A:$F,MATCH('Consolidated Sites and BBLs'!$B143,'A-App Potential sites'!$F:$F,0),2))</f>
        <v>33</v>
      </c>
      <c r="B143" s="96">
        <v>2028540039</v>
      </c>
      <c r="C143" t="s">
        <v>4</v>
      </c>
      <c r="D143" t="s">
        <v>6</v>
      </c>
    </row>
    <row r="144" spans="1:4">
      <c r="A144" s="655">
        <f>IF(INDEX('A-App Potential sites'!$A:$F,MATCH('Consolidated Sites and BBLs'!$B144,'A-App Potential sites'!$F:$F,0),2)=0,$A143,INDEX('A-App Potential sites'!$A:$F,MATCH('Consolidated Sites and BBLs'!$B144,'A-App Potential sites'!$F:$F,0),2))</f>
        <v>34</v>
      </c>
      <c r="B144" s="270">
        <v>2028630046</v>
      </c>
      <c r="C144" t="s">
        <v>4</v>
      </c>
      <c r="D144" t="s">
        <v>6</v>
      </c>
    </row>
    <row r="145" spans="1:4">
      <c r="A145" s="655">
        <f>IF(INDEX('A-App Potential sites'!$A:$F,MATCH('Consolidated Sites and BBLs'!$B145,'A-App Potential sites'!$F:$F,0),2)=0,$A144,INDEX('A-App Potential sites'!$A:$F,MATCH('Consolidated Sites and BBLs'!$B145,'A-App Potential sites'!$F:$F,0),2))</f>
        <v>35</v>
      </c>
      <c r="B145" s="270">
        <v>2028540030</v>
      </c>
      <c r="C145" t="s">
        <v>4</v>
      </c>
      <c r="D145" t="s">
        <v>6</v>
      </c>
    </row>
    <row r="146" spans="1:4">
      <c r="A146" s="655">
        <f>IF(INDEX('A-App Potential sites'!$A:$F,MATCH('Consolidated Sites and BBLs'!$B146,'A-App Potential sites'!$F:$F,0),2)=0,$A145,INDEX('A-App Potential sites'!$A:$F,MATCH('Consolidated Sites and BBLs'!$B146,'A-App Potential sites'!$F:$F,0),2))</f>
        <v>36</v>
      </c>
      <c r="B146" s="96">
        <v>2028630054</v>
      </c>
      <c r="C146" t="s">
        <v>4</v>
      </c>
      <c r="D146" t="s">
        <v>6</v>
      </c>
    </row>
    <row r="147" spans="1:4">
      <c r="A147" s="655">
        <f>IF(INDEX('A-App Potential sites'!$A:$F,MATCH('Consolidated Sites and BBLs'!$B147,'A-App Potential sites'!$F:$F,0),2)=0,$A146,INDEX('A-App Potential sites'!$A:$F,MATCH('Consolidated Sites and BBLs'!$B147,'A-App Potential sites'!$F:$F,0),2))</f>
        <v>37</v>
      </c>
      <c r="B147" s="96">
        <v>2028630001</v>
      </c>
      <c r="C147" t="s">
        <v>4</v>
      </c>
      <c r="D147" t="s">
        <v>6</v>
      </c>
    </row>
    <row r="148" spans="1:4">
      <c r="A148" s="655">
        <f>IF(INDEX('A-App Potential sites'!$A:$F,MATCH('Consolidated Sites and BBLs'!$B148,'A-App Potential sites'!$F:$F,0),2)=0,$A147,INDEX('A-App Potential sites'!$A:$F,MATCH('Consolidated Sites and BBLs'!$B148,'A-App Potential sites'!$F:$F,0),2))</f>
        <v>38</v>
      </c>
      <c r="B148" s="96">
        <v>2028620090</v>
      </c>
      <c r="C148" t="s">
        <v>4</v>
      </c>
      <c r="D148" t="s">
        <v>6</v>
      </c>
    </row>
    <row r="149" spans="1:4">
      <c r="A149" s="655">
        <f>IF(INDEX('A-App Potential sites'!$A:$F,MATCH('Consolidated Sites and BBLs'!$B149,'A-App Potential sites'!$F:$F,0),2)=0,$A148,INDEX('A-App Potential sites'!$A:$F,MATCH('Consolidated Sites and BBLs'!$B149,'A-App Potential sites'!$F:$F,0),2))</f>
        <v>39</v>
      </c>
      <c r="B149" s="96">
        <v>2028530017</v>
      </c>
      <c r="C149" t="s">
        <v>4</v>
      </c>
      <c r="D149" t="s">
        <v>6</v>
      </c>
    </row>
    <row r="150" spans="1:4">
      <c r="A150" s="655">
        <f>IF(INDEX('A-App Potential sites'!$A:$F,MATCH('Consolidated Sites and BBLs'!$B150,'A-App Potential sites'!$F:$F,0),2)=0,$A149,INDEX('A-App Potential sites'!$A:$F,MATCH('Consolidated Sites and BBLs'!$B150,'A-App Potential sites'!$F:$F,0),2))</f>
        <v>40</v>
      </c>
      <c r="B150" s="2576">
        <v>2028620103</v>
      </c>
      <c r="C150" t="s">
        <v>4</v>
      </c>
      <c r="D150" t="s">
        <v>6</v>
      </c>
    </row>
    <row r="151" spans="1:4">
      <c r="A151" s="655">
        <f>IF(INDEX('A-App Potential sites'!$A:$F,MATCH('Consolidated Sites and BBLs'!$B151,'A-App Potential sites'!$F:$F,0),2)=0,$A150,INDEX('A-App Potential sites'!$A:$F,MATCH('Consolidated Sites and BBLs'!$B151,'A-App Potential sites'!$F:$F,0),2))</f>
        <v>41</v>
      </c>
      <c r="B151" s="270">
        <v>2028530011</v>
      </c>
      <c r="C151" t="s">
        <v>4</v>
      </c>
      <c r="D151" t="s">
        <v>6</v>
      </c>
    </row>
    <row r="152" spans="1:4">
      <c r="A152" s="655">
        <f>IF(INDEX('A-App Potential sites'!$A:$F,MATCH('Consolidated Sites and BBLs'!$B152,'A-App Potential sites'!$F:$F,0),2)=0,$A151,INDEX('A-App Potential sites'!$A:$F,MATCH('Consolidated Sites and BBLs'!$B152,'A-App Potential sites'!$F:$F,0),2))</f>
        <v>41</v>
      </c>
      <c r="B152" s="270">
        <v>2028530009</v>
      </c>
      <c r="C152" t="s">
        <v>4</v>
      </c>
      <c r="D152" t="s">
        <v>6</v>
      </c>
    </row>
    <row r="153" spans="1:4">
      <c r="A153" s="655">
        <f>IF(INDEX('A-App Potential sites'!$A:$F,MATCH('Consolidated Sites and BBLs'!$B153,'A-App Potential sites'!$F:$F,0),2)=0,$A152,INDEX('A-App Potential sites'!$A:$F,MATCH('Consolidated Sites and BBLs'!$B153,'A-App Potential sites'!$F:$F,0),2))</f>
        <v>41</v>
      </c>
      <c r="B153" s="270">
        <v>2028530012</v>
      </c>
      <c r="C153" t="s">
        <v>4</v>
      </c>
      <c r="D153" t="s">
        <v>6</v>
      </c>
    </row>
    <row r="154" spans="1:4">
      <c r="A154" s="655">
        <f>IF(INDEX('A-App Potential sites'!$A:$F,MATCH('Consolidated Sites and BBLs'!$B154,'A-App Potential sites'!$F:$F,0),2)=0,$A153,INDEX('A-App Potential sites'!$A:$F,MATCH('Consolidated Sites and BBLs'!$B154,'A-App Potential sites'!$F:$F,0),2))</f>
        <v>41</v>
      </c>
      <c r="B154" s="270">
        <v>2028530015</v>
      </c>
      <c r="C154" t="s">
        <v>4</v>
      </c>
      <c r="D154" t="s">
        <v>6</v>
      </c>
    </row>
    <row r="155" spans="1:4">
      <c r="A155" s="655">
        <f>IF(INDEX('A-App Potential sites'!$A:$F,MATCH('Consolidated Sites and BBLs'!$B155,'A-App Potential sites'!$F:$F,0),2)=0,$A154,INDEX('A-App Potential sites'!$A:$F,MATCH('Consolidated Sites and BBLs'!$B155,'A-App Potential sites'!$F:$F,0),2))</f>
        <v>42</v>
      </c>
      <c r="B155" s="96">
        <v>2028530006</v>
      </c>
      <c r="C155" t="s">
        <v>4</v>
      </c>
      <c r="D155" t="s">
        <v>6</v>
      </c>
    </row>
    <row r="156" spans="1:4">
      <c r="A156" s="655">
        <f>IF(INDEX('A-App Potential sites'!$A:$F,MATCH('Consolidated Sites and BBLs'!$B156,'A-App Potential sites'!$F:$F,0),2)=0,$A155,INDEX('A-App Potential sites'!$A:$F,MATCH('Consolidated Sites and BBLs'!$B156,'A-App Potential sites'!$F:$F,0),2))</f>
        <v>42</v>
      </c>
      <c r="B156" s="96">
        <v>2028530001</v>
      </c>
      <c r="C156" t="s">
        <v>4</v>
      </c>
      <c r="D156" t="s">
        <v>6</v>
      </c>
    </row>
    <row r="157" spans="1:4">
      <c r="A157" s="655">
        <f>IF(INDEX('A-App Potential sites'!$A:$F,MATCH('Consolidated Sites and BBLs'!$B157,'A-App Potential sites'!$F:$F,0),2)=0,$A156,INDEX('A-App Potential sites'!$A:$F,MATCH('Consolidated Sites and BBLs'!$B157,'A-App Potential sites'!$F:$F,0),2))</f>
        <v>43</v>
      </c>
      <c r="B157" s="96">
        <v>2028520009</v>
      </c>
      <c r="C157" t="s">
        <v>4</v>
      </c>
      <c r="D157" t="s">
        <v>6</v>
      </c>
    </row>
    <row r="158" spans="1:4">
      <c r="A158" s="655">
        <f>IF(INDEX('A-App Potential sites'!$A:$F,MATCH('Consolidated Sites and BBLs'!$B158,'A-App Potential sites'!$F:$F,0),2)=0,$A157,INDEX('A-App Potential sites'!$A:$F,MATCH('Consolidated Sites and BBLs'!$B158,'A-App Potential sites'!$F:$F,0),2))</f>
        <v>43</v>
      </c>
      <c r="B158" s="96">
        <v>2028520004</v>
      </c>
      <c r="C158" t="s">
        <v>4</v>
      </c>
      <c r="D158" t="s">
        <v>6</v>
      </c>
    </row>
    <row r="159" spans="1:4">
      <c r="A159" s="655">
        <f>IF(INDEX('A-App Potential sites'!$A:$F,MATCH('Consolidated Sites and BBLs'!$B159,'A-App Potential sites'!$F:$F,0),2)=0,$A158,INDEX('A-App Potential sites'!$A:$F,MATCH('Consolidated Sites and BBLs'!$B159,'A-App Potential sites'!$F:$F,0),2))</f>
        <v>43</v>
      </c>
      <c r="B159" s="270">
        <v>2028520001</v>
      </c>
      <c r="C159" t="s">
        <v>4</v>
      </c>
      <c r="D159" t="s">
        <v>6</v>
      </c>
    </row>
    <row r="160" spans="1:4">
      <c r="A160" s="655">
        <f>IF(INDEX('A-App Potential sites'!$A:$F,MATCH('Consolidated Sites and BBLs'!$B160,'A-App Potential sites'!$F:$F,0),2)=0,$A159,INDEX('A-App Potential sites'!$A:$F,MATCH('Consolidated Sites and BBLs'!$B160,'A-App Potential sites'!$F:$F,0),2))</f>
        <v>44</v>
      </c>
      <c r="B160" s="270">
        <v>2028510001</v>
      </c>
      <c r="C160" t="s">
        <v>4</v>
      </c>
      <c r="D160" t="s">
        <v>6</v>
      </c>
    </row>
    <row r="161" spans="1:4">
      <c r="A161" s="655">
        <f>IF(INDEX('A-App Potential sites'!$A:$F,MATCH('Consolidated Sites and BBLs'!$B161,'A-App Potential sites'!$F:$F,0),2)=0,$A160,INDEX('A-App Potential sites'!$A:$F,MATCH('Consolidated Sites and BBLs'!$B161,'A-App Potential sites'!$F:$F,0),2))</f>
        <v>44</v>
      </c>
      <c r="B161" s="270">
        <v>2028510002</v>
      </c>
      <c r="C161" t="s">
        <v>4</v>
      </c>
      <c r="D161" t="s">
        <v>6</v>
      </c>
    </row>
    <row r="162" spans="1:4">
      <c r="A162" s="655">
        <f>IF(INDEX('A-App Potential sites'!$A:$F,MATCH('Consolidated Sites and BBLs'!$B162,'A-App Potential sites'!$F:$F,0),2)=0,$A161,INDEX('A-App Potential sites'!$A:$F,MATCH('Consolidated Sites and BBLs'!$B162,'A-App Potential sites'!$F:$F,0),2))</f>
        <v>45</v>
      </c>
      <c r="B162" s="2575">
        <v>2028500009</v>
      </c>
      <c r="C162" t="s">
        <v>4</v>
      </c>
      <c r="D162" t="s">
        <v>6</v>
      </c>
    </row>
    <row r="163" spans="1:4">
      <c r="A163" s="655">
        <f>IF(INDEX('A-App Potential sites'!$A:$F,MATCH('Consolidated Sites and BBLs'!$B163,'A-App Potential sites'!$F:$F,0),2)=0,$A162,INDEX('A-App Potential sites'!$A:$F,MATCH('Consolidated Sites and BBLs'!$B163,'A-App Potential sites'!$F:$F,0),2))</f>
        <v>46</v>
      </c>
      <c r="B163" s="96">
        <v>2028610074</v>
      </c>
      <c r="C163" t="s">
        <v>4</v>
      </c>
      <c r="D163" t="s">
        <v>6</v>
      </c>
    </row>
    <row r="164" spans="1:4">
      <c r="A164" s="655">
        <f>IF(INDEX('A-App Potential sites'!$A:$F,MATCH('Consolidated Sites and BBLs'!$B164,'A-App Potential sites'!$F:$F,0),2)=0,$A163,INDEX('A-App Potential sites'!$A:$F,MATCH('Consolidated Sites and BBLs'!$B164,'A-App Potential sites'!$F:$F,0),2))</f>
        <v>46</v>
      </c>
      <c r="B164" s="270">
        <v>2028610079</v>
      </c>
      <c r="C164" t="s">
        <v>4</v>
      </c>
      <c r="D164" t="s">
        <v>6</v>
      </c>
    </row>
    <row r="165" spans="1:4">
      <c r="A165" s="655">
        <f>IF(INDEX('A-App Potential sites'!$A:$F,MATCH('Consolidated Sites and BBLs'!$B165,'A-App Potential sites'!$F:$F,0),2)=0,$A164,INDEX('A-App Potential sites'!$A:$F,MATCH('Consolidated Sites and BBLs'!$B165,'A-App Potential sites'!$F:$F,0),2))</f>
        <v>47</v>
      </c>
      <c r="B165" s="96">
        <v>2028490005</v>
      </c>
      <c r="C165" t="s">
        <v>4</v>
      </c>
      <c r="D165" t="s">
        <v>6</v>
      </c>
    </row>
    <row r="166" spans="1:4">
      <c r="A166" s="655">
        <f>IF(INDEX('A-App Potential sites'!$A:$F,MATCH('Consolidated Sites and BBLs'!$B166,'A-App Potential sites'!$F:$F,0),2)=0,$A165,INDEX('A-App Potential sites'!$A:$F,MATCH('Consolidated Sites and BBLs'!$B166,'A-App Potential sites'!$F:$F,0),2))</f>
        <v>47</v>
      </c>
      <c r="B166" s="96">
        <v>2028490001</v>
      </c>
      <c r="C166" t="s">
        <v>4</v>
      </c>
      <c r="D166" t="s">
        <v>6</v>
      </c>
    </row>
    <row r="167" spans="1:4">
      <c r="A167" s="655">
        <f>IF(INDEX('A-App Potential sites'!$A:$F,MATCH('Consolidated Sites and BBLs'!$B167,'A-App Potential sites'!$F:$F,0),2)=0,$A166,INDEX('A-App Potential sites'!$A:$F,MATCH('Consolidated Sites and BBLs'!$B167,'A-App Potential sites'!$F:$F,0),2))</f>
        <v>48</v>
      </c>
      <c r="B167" s="96">
        <v>2028480012</v>
      </c>
      <c r="C167" t="s">
        <v>4</v>
      </c>
      <c r="D167" t="s">
        <v>6</v>
      </c>
    </row>
    <row r="168" spans="1:4">
      <c r="A168" s="655">
        <f>IF(INDEX('A-App Potential sites'!$A:$F,MATCH('Consolidated Sites and BBLs'!$B168,'A-App Potential sites'!$F:$F,0),2)=0,$A167,INDEX('A-App Potential sites'!$A:$F,MATCH('Consolidated Sites and BBLs'!$B168,'A-App Potential sites'!$F:$F,0),2))</f>
        <v>48</v>
      </c>
      <c r="B168" s="96">
        <v>2028480016</v>
      </c>
      <c r="C168" t="s">
        <v>4</v>
      </c>
      <c r="D168" t="s">
        <v>6</v>
      </c>
    </row>
    <row r="169" spans="1:4">
      <c r="A169" s="655">
        <f>IF(INDEX('A-App Potential sites'!$A:$F,MATCH('Consolidated Sites and BBLs'!$B169,'A-App Potential sites'!$F:$F,0),2)=0,$A168,INDEX('A-App Potential sites'!$A:$F,MATCH('Consolidated Sites and BBLs'!$B169,'A-App Potential sites'!$F:$F,0),2))</f>
        <v>49</v>
      </c>
      <c r="B169" s="270">
        <v>2028600034</v>
      </c>
      <c r="C169" t="s">
        <v>4</v>
      </c>
      <c r="D169" t="s">
        <v>6</v>
      </c>
    </row>
    <row r="170" spans="1:4">
      <c r="A170" s="655">
        <f>IF(INDEX('A-App Potential sites'!$A:$F,MATCH('Consolidated Sites and BBLs'!$B170,'A-App Potential sites'!$F:$F,0),2)=0,$A169,INDEX('A-App Potential sites'!$A:$F,MATCH('Consolidated Sites and BBLs'!$B170,'A-App Potential sites'!$F:$F,0),2))</f>
        <v>50</v>
      </c>
      <c r="B170" s="96">
        <v>2028590044</v>
      </c>
      <c r="C170" t="s">
        <v>4</v>
      </c>
      <c r="D170" t="s">
        <v>6</v>
      </c>
    </row>
    <row r="171" spans="1:4">
      <c r="A171" s="655">
        <f>IF(INDEX('A-App Potential sites'!$A:$F,MATCH('Consolidated Sites and BBLs'!$B171,'A-App Potential sites'!$F:$F,0),2)=0,$A170,INDEX('A-App Potential sites'!$A:$F,MATCH('Consolidated Sites and BBLs'!$B171,'A-App Potential sites'!$F:$F,0),2))</f>
        <v>50</v>
      </c>
      <c r="B171" s="270">
        <v>2028590046</v>
      </c>
      <c r="C171" t="s">
        <v>4</v>
      </c>
      <c r="D171" t="s">
        <v>6</v>
      </c>
    </row>
    <row r="172" spans="1:4">
      <c r="A172" s="655">
        <f>IF(INDEX('A-App Potential sites'!$A:$F,MATCH('Consolidated Sites and BBLs'!$B172,'A-App Potential sites'!$F:$F,0),2)=0,$A171,INDEX('A-App Potential sites'!$A:$F,MATCH('Consolidated Sites and BBLs'!$B172,'A-App Potential sites'!$F:$F,0),2))</f>
        <v>50</v>
      </c>
      <c r="B172" s="270">
        <v>2028590050</v>
      </c>
      <c r="C172" t="s">
        <v>4</v>
      </c>
      <c r="D172" t="s">
        <v>6</v>
      </c>
    </row>
    <row r="173" spans="1:4">
      <c r="A173" s="655">
        <f>IF(INDEX('A-App Potential sites'!$A:$F,MATCH('Consolidated Sites and BBLs'!$B173,'A-App Potential sites'!$F:$F,0),2)=0,$A172,INDEX('A-App Potential sites'!$A:$F,MATCH('Consolidated Sites and BBLs'!$B173,'A-App Potential sites'!$F:$F,0),2))</f>
        <v>51</v>
      </c>
      <c r="B173" s="96">
        <v>2028460027</v>
      </c>
      <c r="C173" t="s">
        <v>4</v>
      </c>
      <c r="D173" t="s">
        <v>6</v>
      </c>
    </row>
    <row r="174" spans="1:4">
      <c r="A174" s="655">
        <f>IF(INDEX('A-App Potential sites'!$A:$F,MATCH('Consolidated Sites and BBLs'!$B174,'A-App Potential sites'!$F:$F,0),2)=0,$A173,INDEX('A-App Potential sites'!$A:$F,MATCH('Consolidated Sites and BBLs'!$B174,'A-App Potential sites'!$F:$F,0),2))</f>
        <v>51</v>
      </c>
      <c r="B174" s="96">
        <v>2028460032</v>
      </c>
      <c r="C174" t="s">
        <v>4</v>
      </c>
      <c r="D174" t="s">
        <v>6</v>
      </c>
    </row>
    <row r="175" spans="1:4">
      <c r="A175" s="655">
        <f>IF(INDEX('A-App Potential sites'!$A:$F,MATCH('Consolidated Sites and BBLs'!$B175,'A-App Potential sites'!$F:$F,0),2)=0,$A174,INDEX('A-App Potential sites'!$A:$F,MATCH('Consolidated Sites and BBLs'!$B175,'A-App Potential sites'!$F:$F,0),2))</f>
        <v>51</v>
      </c>
      <c r="B175" s="96">
        <v>2028460021</v>
      </c>
      <c r="C175" t="s">
        <v>4</v>
      </c>
      <c r="D175" t="s">
        <v>6</v>
      </c>
    </row>
    <row r="176" spans="1:4">
      <c r="A176" s="655">
        <f>IF(INDEX('A-App Potential sites'!$A:$F,MATCH('Consolidated Sites and BBLs'!$B176,'A-App Potential sites'!$F:$F,0),2)=0,$A175,INDEX('A-App Potential sites'!$A:$F,MATCH('Consolidated Sites and BBLs'!$B176,'A-App Potential sites'!$F:$F,0),2))</f>
        <v>52</v>
      </c>
      <c r="B176" s="96">
        <v>2028590026</v>
      </c>
      <c r="C176" t="s">
        <v>4</v>
      </c>
      <c r="D176" t="s">
        <v>6</v>
      </c>
    </row>
    <row r="177" spans="1:4">
      <c r="A177" s="655">
        <f>IF(INDEX('A-App Potential sites'!$A:$F,MATCH('Consolidated Sites and BBLs'!$B177,'A-App Potential sites'!$F:$F,0),2)=0,$A176,INDEX('A-App Potential sites'!$A:$F,MATCH('Consolidated Sites and BBLs'!$B177,'A-App Potential sites'!$F:$F,0),2))</f>
        <v>52</v>
      </c>
      <c r="B177" s="96">
        <v>2028590051</v>
      </c>
      <c r="C177" t="s">
        <v>4</v>
      </c>
      <c r="D177" t="s">
        <v>6</v>
      </c>
    </row>
    <row r="178" spans="1:4">
      <c r="A178" s="655">
        <f>IF(INDEX('A-App Potential sites'!$A:$F,MATCH('Consolidated Sites and BBLs'!$B178,'A-App Potential sites'!$F:$F,0),2)=0,$A177,INDEX('A-App Potential sites'!$A:$F,MATCH('Consolidated Sites and BBLs'!$B178,'A-App Potential sites'!$F:$F,0),2))</f>
        <v>52</v>
      </c>
      <c r="B178" s="96">
        <v>2028590030</v>
      </c>
      <c r="C178" t="s">
        <v>4</v>
      </c>
      <c r="D178" t="s">
        <v>6</v>
      </c>
    </row>
    <row r="179" spans="1:4">
      <c r="A179" s="655">
        <f>IF(INDEX('A-App Potential sites'!$A:$F,MATCH('Consolidated Sites and BBLs'!$B179,'A-App Potential sites'!$F:$F,0),2)=0,$A178,INDEX('A-App Potential sites'!$A:$F,MATCH('Consolidated Sites and BBLs'!$B179,'A-App Potential sites'!$F:$F,0),2))</f>
        <v>53</v>
      </c>
      <c r="B179" s="96">
        <v>2028650019</v>
      </c>
      <c r="C179" t="s">
        <v>4</v>
      </c>
      <c r="D179" t="s">
        <v>6</v>
      </c>
    </row>
    <row r="180" spans="1:4">
      <c r="A180" s="655">
        <f>IF(INDEX('A-App Potential sites'!$A:$F,MATCH('Consolidated Sites and BBLs'!$B180,'A-App Potential sites'!$F:$F,0),2)=0,$A179,INDEX('A-App Potential sites'!$A:$F,MATCH('Consolidated Sites and BBLs'!$B180,'A-App Potential sites'!$F:$F,0),2))</f>
        <v>54</v>
      </c>
      <c r="B180" s="96">
        <v>2028590018</v>
      </c>
      <c r="C180" t="s">
        <v>4</v>
      </c>
      <c r="D180" t="s">
        <v>6</v>
      </c>
    </row>
    <row r="181" spans="1:4">
      <c r="A181" s="655">
        <f>IF(INDEX('A-App Potential sites'!$A:$F,MATCH('Consolidated Sites and BBLs'!$B181,'A-App Potential sites'!$F:$F,0),2)=0,$A180,INDEX('A-App Potential sites'!$A:$F,MATCH('Consolidated Sites and BBLs'!$B181,'A-App Potential sites'!$F:$F,0),2))</f>
        <v>54</v>
      </c>
      <c r="B181" s="96">
        <v>2028590017</v>
      </c>
      <c r="C181" t="s">
        <v>4</v>
      </c>
      <c r="D181" t="s">
        <v>6</v>
      </c>
    </row>
    <row r="182" spans="1:4">
      <c r="A182" s="655">
        <f>IF(INDEX('A-App Potential sites'!$A:$F,MATCH('Consolidated Sites and BBLs'!$B182,'A-App Potential sites'!$F:$F,0),2)=0,$A181,INDEX('A-App Potential sites'!$A:$F,MATCH('Consolidated Sites and BBLs'!$B182,'A-App Potential sites'!$F:$F,0),2))</f>
        <v>54</v>
      </c>
      <c r="B182" s="96">
        <v>2028590005</v>
      </c>
      <c r="C182" t="s">
        <v>4</v>
      </c>
      <c r="D182" t="s">
        <v>6</v>
      </c>
    </row>
    <row r="183" spans="1:4">
      <c r="A183" s="655">
        <f>IF(INDEX('A-App Potential sites'!$A:$F,MATCH('Consolidated Sites and BBLs'!$B183,'A-App Potential sites'!$F:$F,0),2)=0,$A182,INDEX('A-App Potential sites'!$A:$F,MATCH('Consolidated Sites and BBLs'!$B183,'A-App Potential sites'!$F:$F,0),2))</f>
        <v>54</v>
      </c>
      <c r="B183" s="96">
        <v>2028590008</v>
      </c>
      <c r="C183" t="s">
        <v>4</v>
      </c>
      <c r="D183" t="s">
        <v>6</v>
      </c>
    </row>
    <row r="184" spans="1:4">
      <c r="A184" s="655">
        <f>IF(INDEX('A-App Potential sites'!$A:$F,MATCH('Consolidated Sites and BBLs'!$B184,'A-App Potential sites'!$F:$F,0),2)=0,$A183,INDEX('A-App Potential sites'!$A:$F,MATCH('Consolidated Sites and BBLs'!$B184,'A-App Potential sites'!$F:$F,0),2))</f>
        <v>54</v>
      </c>
      <c r="B184" s="270">
        <v>2028590004</v>
      </c>
      <c r="C184" t="s">
        <v>4</v>
      </c>
      <c r="D184" t="s">
        <v>6</v>
      </c>
    </row>
    <row r="185" spans="1:4">
      <c r="A185" s="655">
        <f>IF(INDEX('A-App Potential sites'!$A:$F,MATCH('Consolidated Sites and BBLs'!$B185,'A-App Potential sites'!$F:$F,0),2)=0,$A184,INDEX('A-App Potential sites'!$A:$F,MATCH('Consolidated Sites and BBLs'!$B185,'A-App Potential sites'!$F:$F,0),2))</f>
        <v>54</v>
      </c>
      <c r="B185" s="270">
        <v>2028590089</v>
      </c>
      <c r="C185" t="s">
        <v>4</v>
      </c>
      <c r="D185" t="s">
        <v>6</v>
      </c>
    </row>
    <row r="186" spans="1:4">
      <c r="A186" s="655">
        <f>IF(INDEX('A-App Potential sites'!$A:$F,MATCH('Consolidated Sites and BBLs'!$B186,'A-App Potential sites'!$F:$F,0),2)=0,$A185,INDEX('A-App Potential sites'!$A:$F,MATCH('Consolidated Sites and BBLs'!$B186,'A-App Potential sites'!$F:$F,0),2))</f>
        <v>54</v>
      </c>
      <c r="B186" s="96">
        <v>2028590010</v>
      </c>
      <c r="C186" t="s">
        <v>4</v>
      </c>
      <c r="D186" t="s">
        <v>6</v>
      </c>
    </row>
    <row r="187" spans="1:4">
      <c r="A187" s="655">
        <f>IF(INDEX('A-App Potential sites'!$A:$F,MATCH('Consolidated Sites and BBLs'!$B187,'A-App Potential sites'!$F:$F,0),2)=0,$A186,INDEX('A-App Potential sites'!$A:$F,MATCH('Consolidated Sites and BBLs'!$B187,'A-App Potential sites'!$F:$F,0),2))</f>
        <v>55</v>
      </c>
      <c r="B187" s="96">
        <v>2028460004</v>
      </c>
      <c r="C187" t="s">
        <v>4</v>
      </c>
      <c r="D187" t="s">
        <v>6</v>
      </c>
    </row>
    <row r="188" spans="1:4">
      <c r="A188" s="655">
        <f>IF(INDEX('A-App Potential sites'!$A:$F,MATCH('Consolidated Sites and BBLs'!$B188,'A-App Potential sites'!$F:$F,0),2)=0,$A187,INDEX('A-App Potential sites'!$A:$F,MATCH('Consolidated Sites and BBLs'!$B188,'A-App Potential sites'!$F:$F,0),2))</f>
        <v>55</v>
      </c>
      <c r="B188" s="96">
        <v>2028460001</v>
      </c>
      <c r="C188" t="s">
        <v>4</v>
      </c>
      <c r="D188" t="s">
        <v>6</v>
      </c>
    </row>
    <row r="189" spans="1:4">
      <c r="A189" s="655">
        <f>IF(INDEX('A-App Potential sites'!$A:$F,MATCH('Consolidated Sites and BBLs'!$B189,'A-App Potential sites'!$F:$F,0),2)=0,$A188,INDEX('A-App Potential sites'!$A:$F,MATCH('Consolidated Sites and BBLs'!$B189,'A-App Potential sites'!$F:$F,0),2))</f>
        <v>56</v>
      </c>
      <c r="B189" s="96">
        <v>2028580009</v>
      </c>
      <c r="C189" t="s">
        <v>4</v>
      </c>
      <c r="D189" t="s">
        <v>6</v>
      </c>
    </row>
    <row r="190" spans="1:4">
      <c r="A190" s="655">
        <f>IF(INDEX('A-App Potential sites'!$A:$F,MATCH('Consolidated Sites and BBLs'!$B190,'A-App Potential sites'!$F:$F,0),2)=0,$A189,INDEX('A-App Potential sites'!$A:$F,MATCH('Consolidated Sites and BBLs'!$B190,'A-App Potential sites'!$F:$F,0),2))</f>
        <v>57</v>
      </c>
      <c r="B190" s="270">
        <v>2028440012</v>
      </c>
      <c r="C190" t="s">
        <v>4</v>
      </c>
      <c r="D190" t="s">
        <v>6</v>
      </c>
    </row>
    <row r="191" spans="1:4">
      <c r="A191" s="655">
        <f>IF(INDEX('A-App Potential sites'!$A:$F,MATCH('Consolidated Sites and BBLs'!$B191,'A-App Potential sites'!$F:$F,0),2)=0,$A190,INDEX('A-App Potential sites'!$A:$F,MATCH('Consolidated Sites and BBLs'!$B191,'A-App Potential sites'!$F:$F,0),2))</f>
        <v>58</v>
      </c>
      <c r="B191" s="96">
        <v>2028570023</v>
      </c>
      <c r="C191" t="s">
        <v>4</v>
      </c>
      <c r="D191" t="s">
        <v>6</v>
      </c>
    </row>
    <row r="192" spans="1:4">
      <c r="A192" s="655">
        <f>IF(INDEX('A-App Potential sites'!$A:$F,MATCH('Consolidated Sites and BBLs'!$B192,'A-App Potential sites'!$F:$F,0),2)=0,$A191,INDEX('A-App Potential sites'!$A:$F,MATCH('Consolidated Sites and BBLs'!$B192,'A-App Potential sites'!$F:$F,0),2))</f>
        <v>58</v>
      </c>
      <c r="B192" s="96">
        <v>2028570024</v>
      </c>
      <c r="C192" t="s">
        <v>4</v>
      </c>
      <c r="D192" t="s">
        <v>6</v>
      </c>
    </row>
    <row r="193" spans="1:4">
      <c r="A193" s="655">
        <f>IF(INDEX('A-App Potential sites'!$A:$F,MATCH('Consolidated Sites and BBLs'!$B193,'A-App Potential sites'!$F:$F,0),2)=0,$A192,INDEX('A-App Potential sites'!$A:$F,MATCH('Consolidated Sites and BBLs'!$B193,'A-App Potential sites'!$F:$F,0),2))</f>
        <v>59</v>
      </c>
      <c r="B193" s="270">
        <v>2028580023</v>
      </c>
      <c r="C193" t="s">
        <v>4</v>
      </c>
      <c r="D193" t="s">
        <v>6</v>
      </c>
    </row>
    <row r="194" spans="1:4">
      <c r="A194" s="655">
        <f>IF(INDEX('A-App Potential sites'!$A:$F,MATCH('Consolidated Sites and BBLs'!$B194,'A-App Potential sites'!$F:$F,0),2)=0,$A193,INDEX('A-App Potential sites'!$A:$F,MATCH('Consolidated Sites and BBLs'!$B194,'A-App Potential sites'!$F:$F,0),2))</f>
        <v>60</v>
      </c>
      <c r="B194" s="96">
        <v>2028440001</v>
      </c>
      <c r="C194" t="s">
        <v>4</v>
      </c>
      <c r="D194" t="s">
        <v>6</v>
      </c>
    </row>
    <row r="195" spans="1:4">
      <c r="A195" s="655">
        <f>IF(INDEX('A-App Potential sites'!$A:$F,MATCH('Consolidated Sites and BBLs'!$B195,'A-App Potential sites'!$F:$F,0),2)=0,$A194,INDEX('A-App Potential sites'!$A:$F,MATCH('Consolidated Sites and BBLs'!$B195,'A-App Potential sites'!$F:$F,0),2))</f>
        <v>61</v>
      </c>
      <c r="B195" s="96">
        <v>2028430012</v>
      </c>
      <c r="C195" t="s">
        <v>4</v>
      </c>
      <c r="D195" t="s">
        <v>6</v>
      </c>
    </row>
    <row r="196" spans="1:4">
      <c r="A196" s="655">
        <f>IF(INDEX('A-App Potential sites'!$A:$F,MATCH('Consolidated Sites and BBLs'!$B196,'A-App Potential sites'!$F:$F,0),2)=0,$A195,INDEX('A-App Potential sites'!$A:$F,MATCH('Consolidated Sites and BBLs'!$B196,'A-App Potential sites'!$F:$F,0),2))</f>
        <v>62</v>
      </c>
      <c r="B196" s="270">
        <v>2028430005</v>
      </c>
      <c r="C196" t="s">
        <v>4</v>
      </c>
      <c r="D196" t="s">
        <v>6</v>
      </c>
    </row>
    <row r="197" spans="1:4">
      <c r="A197" s="655">
        <f>IF(INDEX('A-App Potential sites'!$A:$F,MATCH('Consolidated Sites and BBLs'!$B197,'A-App Potential sites'!$F:$F,0),2)=0,$A196,INDEX('A-App Potential sites'!$A:$F,MATCH('Consolidated Sites and BBLs'!$B197,'A-App Potential sites'!$F:$F,0),2))</f>
        <v>63</v>
      </c>
      <c r="B197" s="96">
        <v>2028420006</v>
      </c>
      <c r="C197" t="s">
        <v>4</v>
      </c>
      <c r="D197" t="s">
        <v>6</v>
      </c>
    </row>
    <row r="198" spans="1:4">
      <c r="A198" s="655">
        <f>IF(INDEX('A-App Potential sites'!$A:$F,MATCH('Consolidated Sites and BBLs'!$B198,'A-App Potential sites'!$F:$F,0),2)=0,$A197,INDEX('A-App Potential sites'!$A:$F,MATCH('Consolidated Sites and BBLs'!$B198,'A-App Potential sites'!$F:$F,0),2))</f>
        <v>64</v>
      </c>
      <c r="B198" s="270">
        <v>2028420010</v>
      </c>
      <c r="C198" t="s">
        <v>4</v>
      </c>
      <c r="D198" t="s">
        <v>6</v>
      </c>
    </row>
    <row r="199" spans="1:4">
      <c r="A199" s="655">
        <f>IF(INDEX('A-App Potential sites'!$A:$F,MATCH('Consolidated Sites and BBLs'!$B199,'A-App Potential sites'!$F:$F,0),2)=0,$A198,INDEX('A-App Potential sites'!$A:$F,MATCH('Consolidated Sites and BBLs'!$B199,'A-App Potential sites'!$F:$F,0),2))</f>
        <v>65</v>
      </c>
      <c r="B199" s="96">
        <v>2028420018</v>
      </c>
      <c r="C199" t="s">
        <v>4</v>
      </c>
      <c r="D199" t="s">
        <v>6</v>
      </c>
    </row>
    <row r="200" spans="1:4">
      <c r="A200" s="655">
        <f>IF(INDEX('A-App Potential sites'!$A:$F,MATCH('Consolidated Sites and BBLs'!$B200,'A-App Potential sites'!$F:$F,0),2)=0,$A199,INDEX('A-App Potential sites'!$A:$F,MATCH('Consolidated Sites and BBLs'!$B200,'A-App Potential sites'!$F:$F,0),2))</f>
        <v>66</v>
      </c>
      <c r="B200" s="96">
        <v>2028430069</v>
      </c>
      <c r="C200" t="s">
        <v>4</v>
      </c>
      <c r="D200" t="s">
        <v>6</v>
      </c>
    </row>
    <row r="201" spans="1:4">
      <c r="A201" s="655">
        <f>IF(INDEX('A-App Potential sites'!$A:$F,MATCH('Consolidated Sites and BBLs'!$B201,'A-App Potential sites'!$F:$F,0),2)=0,$A200,INDEX('A-App Potential sites'!$A:$F,MATCH('Consolidated Sites and BBLs'!$B201,'A-App Potential sites'!$F:$F,0),2))</f>
        <v>67</v>
      </c>
      <c r="B201" s="96">
        <v>2028420042</v>
      </c>
      <c r="C201" t="s">
        <v>4</v>
      </c>
      <c r="D201" t="s">
        <v>6</v>
      </c>
    </row>
    <row r="202" spans="1:4">
      <c r="A202" s="655">
        <f>IF(INDEX('A-App Potential sites'!$A:$F,MATCH('Consolidated Sites and BBLs'!$B202,'A-App Potential sites'!$F:$F,0),2)=0,$A201,INDEX('A-App Potential sites'!$A:$F,MATCH('Consolidated Sites and BBLs'!$B202,'A-App Potential sites'!$F:$F,0),2))</f>
        <v>67</v>
      </c>
      <c r="B202" s="96">
        <v>2028420047</v>
      </c>
      <c r="C202" t="s">
        <v>4</v>
      </c>
      <c r="D202" t="s">
        <v>6</v>
      </c>
    </row>
    <row r="203" spans="1:4">
      <c r="A203" s="655">
        <f>IF(INDEX('A-App Potential sites'!$A:$F,MATCH('Consolidated Sites and BBLs'!$B203,'A-App Potential sites'!$F:$F,0),2)=0,$A202,INDEX('A-App Potential sites'!$A:$F,MATCH('Consolidated Sites and BBLs'!$B203,'A-App Potential sites'!$F:$F,0),2))</f>
        <v>68</v>
      </c>
      <c r="B203" s="96">
        <v>2028420051</v>
      </c>
      <c r="C203" t="s">
        <v>4</v>
      </c>
      <c r="D203" t="s">
        <v>6</v>
      </c>
    </row>
    <row r="204" spans="1:4">
      <c r="A204" s="655">
        <f>IF(INDEX('A-App Potential sites'!$A:$F,MATCH('Consolidated Sites and BBLs'!$B204,'A-App Potential sites'!$F:$F,0),2)=0,$A203,INDEX('A-App Potential sites'!$A:$F,MATCH('Consolidated Sites and BBLs'!$B204,'A-App Potential sites'!$F:$F,0),2))</f>
        <v>68</v>
      </c>
      <c r="B204" s="96">
        <v>2028420055</v>
      </c>
      <c r="C204" t="s">
        <v>4</v>
      </c>
      <c r="D204" t="s">
        <v>6</v>
      </c>
    </row>
    <row r="205" spans="1:4">
      <c r="A205" s="655">
        <f>IF(INDEX('A-App Potential sites'!$A:$F,MATCH('Consolidated Sites and BBLs'!$B205,'A-App Potential sites'!$F:$F,0),2)=0,$A204,INDEX('A-App Potential sites'!$A:$F,MATCH('Consolidated Sites and BBLs'!$B205,'A-App Potential sites'!$F:$F,0),2))</f>
        <v>69</v>
      </c>
      <c r="B205" s="96">
        <v>2028330001</v>
      </c>
      <c r="C205" t="s">
        <v>4</v>
      </c>
      <c r="D205" t="s">
        <v>6</v>
      </c>
    </row>
    <row r="206" spans="1:4">
      <c r="A206" s="655">
        <f>IF(INDEX('A-App Potential sites'!$A:$F,MATCH('Consolidated Sites and BBLs'!$B206,'A-App Potential sites'!$F:$F,0),2)=0,$A205,INDEX('A-App Potential sites'!$A:$F,MATCH('Consolidated Sites and BBLs'!$B206,'A-App Potential sites'!$F:$F,0),2))</f>
        <v>70</v>
      </c>
      <c r="B206" s="96">
        <v>2028330037</v>
      </c>
      <c r="C206" t="s">
        <v>4</v>
      </c>
      <c r="D206" t="s">
        <v>6</v>
      </c>
    </row>
    <row r="207" spans="1:4">
      <c r="A207" s="655">
        <f>IF(INDEX('A-App Potential sites'!$A:$F,MATCH('Consolidated Sites and BBLs'!$B207,'A-App Potential sites'!$F:$F,0),2)=0,$A206,INDEX('A-App Potential sites'!$A:$F,MATCH('Consolidated Sites and BBLs'!$B207,'A-App Potential sites'!$F:$F,0),2))</f>
        <v>70</v>
      </c>
      <c r="B207" s="96">
        <v>2028330035</v>
      </c>
      <c r="C207" t="s">
        <v>4</v>
      </c>
      <c r="D207" t="s">
        <v>6</v>
      </c>
    </row>
    <row r="208" spans="1:4">
      <c r="A208" s="655">
        <f>IF(INDEX('A-App Potential sites'!$A:$F,MATCH('Consolidated Sites and BBLs'!$B208,'A-App Potential sites'!$F:$F,0),2)=0,$A207,INDEX('A-App Potential sites'!$A:$F,MATCH('Consolidated Sites and BBLs'!$B208,'A-App Potential sites'!$F:$F,0),2))</f>
        <v>71</v>
      </c>
      <c r="B208" s="96">
        <v>2028570071</v>
      </c>
      <c r="C208" t="s">
        <v>4</v>
      </c>
      <c r="D208" t="s">
        <v>6</v>
      </c>
    </row>
    <row r="209" spans="1:4">
      <c r="A209" s="655">
        <f>IF(INDEX('A-App Potential sites'!$A:$F,MATCH('Consolidated Sites and BBLs'!$B209,'A-App Potential sites'!$F:$F,0),2)=0,$A208,INDEX('A-App Potential sites'!$A:$F,MATCH('Consolidated Sites and BBLs'!$B209,'A-App Potential sites'!$F:$F,0),2))</f>
        <v>72</v>
      </c>
      <c r="B209" s="270">
        <v>2028570090</v>
      </c>
      <c r="C209" t="s">
        <v>4</v>
      </c>
      <c r="D209" t="s">
        <v>6</v>
      </c>
    </row>
    <row r="210" spans="1:4">
      <c r="A210" s="655">
        <f>IF(INDEX('A-App Potential sites'!$A:$F,MATCH('Consolidated Sites and BBLs'!$B210,'A-App Potential sites'!$F:$F,0),2)=0,$A209,INDEX('A-App Potential sites'!$A:$F,MATCH('Consolidated Sites and BBLs'!$B210,'A-App Potential sites'!$F:$F,0),2))</f>
        <v>73</v>
      </c>
      <c r="B210" s="96">
        <v>2028570064</v>
      </c>
      <c r="C210" t="s">
        <v>4</v>
      </c>
      <c r="D210" t="s">
        <v>6</v>
      </c>
    </row>
    <row r="211" spans="1:4">
      <c r="A211" s="655">
        <f>IF(INDEX('A-App Potential sites'!$A:$F,MATCH('Consolidated Sites and BBLs'!$B211,'A-App Potential sites'!$F:$F,0),2)=0,$A210,INDEX('A-App Potential sites'!$A:$F,MATCH('Consolidated Sites and BBLs'!$B211,'A-App Potential sites'!$F:$F,0),2))</f>
        <v>74</v>
      </c>
      <c r="B211" s="96">
        <v>2028720082</v>
      </c>
      <c r="C211" t="s">
        <v>4</v>
      </c>
      <c r="D211" t="s">
        <v>6</v>
      </c>
    </row>
    <row r="212" spans="1:4">
      <c r="A212" s="655">
        <f>IF(INDEX('A-App Potential sites'!$A:$F,MATCH('Consolidated Sites and BBLs'!$B212,'A-App Potential sites'!$F:$F,0),2)=0,$A211,INDEX('A-App Potential sites'!$A:$F,MATCH('Consolidated Sites and BBLs'!$B212,'A-App Potential sites'!$F:$F,0),2))</f>
        <v>75</v>
      </c>
      <c r="B212" s="96">
        <v>2028720086</v>
      </c>
      <c r="C212" t="s">
        <v>4</v>
      </c>
      <c r="D212" t="s">
        <v>6</v>
      </c>
    </row>
    <row r="213" spans="1:4">
      <c r="A213" s="655">
        <f>IF(INDEX('A-App Potential sites'!$A:$F,MATCH('Consolidated Sites and BBLs'!$B213,'A-App Potential sites'!$F:$F,0),2)=0,$A212,INDEX('A-App Potential sites'!$A:$F,MATCH('Consolidated Sites and BBLs'!$B213,'A-App Potential sites'!$F:$F,0),2))</f>
        <v>76</v>
      </c>
      <c r="B213" s="96">
        <v>2028720050</v>
      </c>
      <c r="C213" t="s">
        <v>4</v>
      </c>
      <c r="D213" t="s">
        <v>6</v>
      </c>
    </row>
    <row r="214" spans="1:4">
      <c r="A214" s="655">
        <f>IF(INDEX('A-App Potential sites'!$A:$F,MATCH('Consolidated Sites and BBLs'!$B214,'A-App Potential sites'!$F:$F,0),2)=0,$A213,INDEX('A-App Potential sites'!$A:$F,MATCH('Consolidated Sites and BBLs'!$B214,'A-App Potential sites'!$F:$F,0),2))</f>
        <v>76</v>
      </c>
      <c r="B214" s="96">
        <v>2028720046</v>
      </c>
      <c r="C214" t="s">
        <v>4</v>
      </c>
      <c r="D214" t="s">
        <v>6</v>
      </c>
    </row>
    <row r="215" spans="1:4">
      <c r="A215" s="655">
        <f>IF(INDEX('A-App Potential sites'!$A:$F,MATCH('Consolidated Sites and BBLs'!$B215,'A-App Potential sites'!$F:$F,0),2)=0,$A214,INDEX('A-App Potential sites'!$A:$F,MATCH('Consolidated Sites and BBLs'!$B215,'A-App Potential sites'!$F:$F,0),2))</f>
        <v>77</v>
      </c>
      <c r="B215" s="96">
        <v>2028710078</v>
      </c>
      <c r="C215" t="s">
        <v>4</v>
      </c>
      <c r="D215" t="s">
        <v>6</v>
      </c>
    </row>
    <row r="216" spans="1:4">
      <c r="A216" s="655">
        <f>IF(INDEX('A-App Potential sites'!$A:$F,MATCH('Consolidated Sites and BBLs'!$B216,'A-App Potential sites'!$F:$F,0),2)=0,$A215,INDEX('A-App Potential sites'!$A:$F,MATCH('Consolidated Sites and BBLs'!$B216,'A-App Potential sites'!$F:$F,0),2))</f>
        <v>78</v>
      </c>
      <c r="B216" s="270">
        <v>2028730001</v>
      </c>
      <c r="C216" t="s">
        <v>4</v>
      </c>
      <c r="D216" t="s">
        <v>6</v>
      </c>
    </row>
    <row r="217" spans="1:4">
      <c r="A217" s="655">
        <f>IF(INDEX('A-App Potential sites'!$A:$F,MATCH('Consolidated Sites and BBLs'!$B217,'A-App Potential sites'!$F:$F,0),2)=0,$A216,INDEX('A-App Potential sites'!$A:$F,MATCH('Consolidated Sites and BBLs'!$B217,'A-App Potential sites'!$F:$F,0),2))</f>
        <v>79</v>
      </c>
      <c r="B217" s="96">
        <v>2028740001</v>
      </c>
      <c r="C217" t="s">
        <v>4</v>
      </c>
      <c r="D217" t="s">
        <v>6</v>
      </c>
    </row>
    <row r="218" spans="1:4">
      <c r="A218" s="655">
        <f>IF(INDEX('A-App Potential sites'!$A:$F,MATCH('Consolidated Sites and BBLs'!$B218,'A-App Potential sites'!$F:$F,0),2)=0,$A217,INDEX('A-App Potential sites'!$A:$F,MATCH('Consolidated Sites and BBLs'!$B218,'A-App Potential sites'!$F:$F,0),2))</f>
        <v>80</v>
      </c>
      <c r="B218" s="96">
        <v>2025210015</v>
      </c>
      <c r="C218" t="s">
        <v>4</v>
      </c>
      <c r="D218" t="s">
        <v>6</v>
      </c>
    </row>
    <row r="219" spans="1:4">
      <c r="A219" s="655">
        <f>IF(INDEX('A-App Potential sites'!$A:$F,MATCH('Consolidated Sites and BBLs'!$B219,'A-App Potential sites'!$F:$F,0),2)=0,$A218,INDEX('A-App Potential sites'!$A:$F,MATCH('Consolidated Sites and BBLs'!$B219,'A-App Potential sites'!$F:$F,0),2))</f>
        <v>81</v>
      </c>
      <c r="B219" s="96">
        <v>2025220065</v>
      </c>
      <c r="C219" t="s">
        <v>4</v>
      </c>
      <c r="D219" t="s">
        <v>6</v>
      </c>
    </row>
    <row r="220" spans="1:4">
      <c r="A220" s="655">
        <f>IF(INDEX('A-App Potential sites'!$A:$F,MATCH('Consolidated Sites and BBLs'!$B220,'A-App Potential sites'!$F:$F,0),2)=0,$A219,INDEX('A-App Potential sites'!$A:$F,MATCH('Consolidated Sites and BBLs'!$B220,'A-App Potential sites'!$F:$F,0),2))</f>
        <v>81</v>
      </c>
      <c r="B220" s="270">
        <v>2025220068</v>
      </c>
      <c r="C220" t="s">
        <v>4</v>
      </c>
      <c r="D220" t="s">
        <v>6</v>
      </c>
    </row>
    <row r="221" spans="1:4">
      <c r="A221" s="655">
        <f>IF(INDEX('A-App Potential sites'!$A:$F,MATCH('Consolidated Sites and BBLs'!$B221,'A-App Potential sites'!$F:$F,0),2)=0,$A220,INDEX('A-App Potential sites'!$A:$F,MATCH('Consolidated Sites and BBLs'!$B221,'A-App Potential sites'!$F:$F,0),2))</f>
        <v>82</v>
      </c>
      <c r="B221" s="270">
        <v>2025220096</v>
      </c>
      <c r="C221" t="s">
        <v>4</v>
      </c>
      <c r="D221" t="s">
        <v>6</v>
      </c>
    </row>
    <row r="222" spans="1:4">
      <c r="A222" s="655">
        <f>IF(INDEX('A-App Potential sites'!$A:$F,MATCH('Consolidated Sites and BBLs'!$B222,'A-App Potential sites'!$F:$F,0),2)=0,$A221,INDEX('A-App Potential sites'!$A:$F,MATCH('Consolidated Sites and BBLs'!$B222,'A-App Potential sites'!$F:$F,0),2))</f>
        <v>83</v>
      </c>
      <c r="B222" s="270">
        <v>2025220081</v>
      </c>
      <c r="C222" t="s">
        <v>4</v>
      </c>
      <c r="D222" t="s">
        <v>6</v>
      </c>
    </row>
    <row r="223" spans="1:4">
      <c r="A223" s="655">
        <f>IF(INDEX('A-App Potential sites'!$A:$F,MATCH('Consolidated Sites and BBLs'!$B223,'A-App Potential sites'!$F:$F,0),2)=0,$A222,INDEX('A-App Potential sites'!$A:$F,MATCH('Consolidated Sites and BBLs'!$B223,'A-App Potential sites'!$F:$F,0),2))</f>
        <v>84</v>
      </c>
      <c r="B223" s="2576">
        <v>2028560029</v>
      </c>
      <c r="C223" t="s">
        <v>4</v>
      </c>
      <c r="D223" t="s">
        <v>6</v>
      </c>
    </row>
    <row r="224" spans="1:4">
      <c r="A224" s="655">
        <f>IF(INDEX('A-App Potential sites'!$A:$F,MATCH('Consolidated Sites and BBLs'!$B224,'A-App Potential sites'!$F:$F,0),2)=0,$A223,INDEX('A-App Potential sites'!$A:$F,MATCH('Consolidated Sites and BBLs'!$B224,'A-App Potential sites'!$F:$F,0),2))</f>
        <v>85</v>
      </c>
      <c r="B224" s="96">
        <v>2028560019</v>
      </c>
      <c r="C224" t="s">
        <v>4</v>
      </c>
      <c r="D224" t="s">
        <v>6</v>
      </c>
    </row>
    <row r="225" spans="1:4">
      <c r="A225" s="655">
        <f>IF(INDEX('A-App Potential sites'!$A:$F,MATCH('Consolidated Sites and BBLs'!$B225,'A-App Potential sites'!$F:$F,0),2)=0,$A224,INDEX('A-App Potential sites'!$A:$F,MATCH('Consolidated Sites and BBLs'!$B225,'A-App Potential sites'!$F:$F,0),2))</f>
        <v>85</v>
      </c>
      <c r="B225" s="96">
        <v>2028560023</v>
      </c>
      <c r="C225" t="s">
        <v>4</v>
      </c>
      <c r="D225" t="s">
        <v>6</v>
      </c>
    </row>
    <row r="226" spans="1:4">
      <c r="A226" s="655">
        <f>IF(INDEX('A-App Potential sites'!$A:$F,MATCH('Consolidated Sites and BBLs'!$B226,'A-App Potential sites'!$F:$F,0),2)=0,$A225,INDEX('A-App Potential sites'!$A:$F,MATCH('Consolidated Sites and BBLs'!$B226,'A-App Potential sites'!$F:$F,0),2))</f>
        <v>85</v>
      </c>
      <c r="B226" s="96">
        <v>2028560024</v>
      </c>
      <c r="C226" t="s">
        <v>4</v>
      </c>
      <c r="D226" t="s">
        <v>6</v>
      </c>
    </row>
    <row r="227" spans="1:4">
      <c r="A227" s="655">
        <f>IF(INDEX('A-App Potential sites'!$A:$F,MATCH('Consolidated Sites and BBLs'!$B227,'A-App Potential sites'!$F:$F,0),2)=0,$A226,INDEX('A-App Potential sites'!$A:$F,MATCH('Consolidated Sites and BBLs'!$B227,'A-App Potential sites'!$F:$F,0),2))</f>
        <v>85</v>
      </c>
      <c r="B227" s="270">
        <v>2028560020</v>
      </c>
      <c r="C227" t="s">
        <v>4</v>
      </c>
      <c r="D227" t="s">
        <v>6</v>
      </c>
    </row>
    <row r="228" spans="1:4">
      <c r="A228" s="655">
        <f>IF(INDEX('A-App Potential sites'!$A:$F,MATCH('Consolidated Sites and BBLs'!$B228,'A-App Potential sites'!$F:$F,0),2)=0,$A227,INDEX('A-App Potential sites'!$A:$F,MATCH('Consolidated Sites and BBLs'!$B228,'A-App Potential sites'!$F:$F,0),2))</f>
        <v>86</v>
      </c>
      <c r="B228" s="96">
        <v>2028640027</v>
      </c>
      <c r="C228" t="s">
        <v>4</v>
      </c>
      <c r="D228" t="s">
        <v>6</v>
      </c>
    </row>
    <row r="229" spans="1:4">
      <c r="A229" s="655">
        <f>IF(INDEX('A-App Potential sites'!$A:$F,MATCH('Consolidated Sites and BBLs'!$B229,'A-App Potential sites'!$F:$F,0),2)=0,$A228,INDEX('A-App Potential sites'!$A:$F,MATCH('Consolidated Sites and BBLs'!$B229,'A-App Potential sites'!$F:$F,0),2))</f>
        <v>87</v>
      </c>
      <c r="B229" s="270">
        <v>2028560045</v>
      </c>
      <c r="C229" t="s">
        <v>4</v>
      </c>
      <c r="D229" t="s">
        <v>6</v>
      </c>
    </row>
    <row r="230" spans="1:4">
      <c r="A230" s="655">
        <f>IF(INDEX('A-App Potential sites'!$A:$F,MATCH('Consolidated Sites and BBLs'!$B230,'A-App Potential sites'!$F:$F,0),2)=0,$A229,INDEX('A-App Potential sites'!$A:$F,MATCH('Consolidated Sites and BBLs'!$B230,'A-App Potential sites'!$F:$F,0),2))</f>
        <v>88</v>
      </c>
      <c r="B230" s="96">
        <v>2028560049</v>
      </c>
      <c r="C230" t="s">
        <v>4</v>
      </c>
      <c r="D230" t="s">
        <v>6</v>
      </c>
    </row>
    <row r="231" spans="1:4">
      <c r="A231" s="655">
        <f>IF(INDEX('A-App Potential sites'!$A:$F,MATCH('Consolidated Sites and BBLs'!$B231,'A-App Potential sites'!$F:$F,0),2)=0,$A230,INDEX('A-App Potential sites'!$A:$F,MATCH('Consolidated Sites and BBLs'!$B231,'A-App Potential sites'!$F:$F,0),2))</f>
        <v>89</v>
      </c>
      <c r="B231" s="96">
        <v>2028560001</v>
      </c>
      <c r="C231" t="s">
        <v>4</v>
      </c>
      <c r="D231" t="s">
        <v>6</v>
      </c>
    </row>
    <row r="232" spans="1:4">
      <c r="A232" s="655">
        <f>IF(INDEX('A-App Potential sites'!$A:$F,MATCH('Consolidated Sites and BBLs'!$B232,'A-App Potential sites'!$F:$F,0),2)=0,$A231,INDEX('A-App Potential sites'!$A:$F,MATCH('Consolidated Sites and BBLs'!$B232,'A-App Potential sites'!$F:$F,0),2))</f>
        <v>90</v>
      </c>
      <c r="B232" s="2575">
        <v>2028710002</v>
      </c>
      <c r="C232" t="s">
        <v>4</v>
      </c>
      <c r="D232" t="s">
        <v>6</v>
      </c>
    </row>
    <row r="233" spans="1:4">
      <c r="A233" s="655">
        <f>IF(INDEX('A-App Potential sites'!$A:$F,MATCH('Consolidated Sites and BBLs'!$B233,'A-App Potential sites'!$F:$F,0),2)=0,$A232,INDEX('A-App Potential sites'!$A:$F,MATCH('Consolidated Sites and BBLs'!$B233,'A-App Potential sites'!$F:$F,0),2))</f>
        <v>91</v>
      </c>
      <c r="B233" s="96">
        <v>2028550001</v>
      </c>
      <c r="C233" t="s">
        <v>4</v>
      </c>
      <c r="D233" t="s">
        <v>6</v>
      </c>
    </row>
    <row r="234" spans="1:4">
      <c r="A234" s="655">
        <f>IF(INDEX('A-App Potential sites'!$A:$F,MATCH('Consolidated Sites and BBLs'!$B234,'A-App Potential sites'!$F:$F,0),2)=0,$A233,INDEX('A-App Potential sites'!$A:$F,MATCH('Consolidated Sites and BBLs'!$B234,'A-App Potential sites'!$F:$F,0),2))</f>
        <v>91</v>
      </c>
      <c r="B234" s="96">
        <v>2028550012</v>
      </c>
      <c r="C234" t="s">
        <v>4</v>
      </c>
      <c r="D234" t="s">
        <v>6</v>
      </c>
    </row>
    <row r="235" spans="1:4">
      <c r="A235" s="655">
        <f>IF(INDEX('A-App Potential sites'!$A:$F,MATCH('Consolidated Sites and BBLs'!$B235,'A-App Potential sites'!$F:$F,0),2)=0,$A234,INDEX('A-App Potential sites'!$A:$F,MATCH('Consolidated Sites and BBLs'!$B235,'A-App Potential sites'!$F:$F,0),2))</f>
        <v>91</v>
      </c>
      <c r="B235" s="96">
        <v>2028550008</v>
      </c>
      <c r="C235" t="s">
        <v>4</v>
      </c>
      <c r="D235" t="s">
        <v>6</v>
      </c>
    </row>
    <row r="236" spans="1:4">
      <c r="A236" s="655">
        <f>IF(INDEX('A-App Potential sites'!$A:$F,MATCH('Consolidated Sites and BBLs'!$B236,'A-App Potential sites'!$F:$F,0),2)=0,$A235,INDEX('A-App Potential sites'!$A:$F,MATCH('Consolidated Sites and BBLs'!$B236,'A-App Potential sites'!$F:$F,0),2))</f>
        <v>91</v>
      </c>
      <c r="B236" s="96">
        <v>2028550015</v>
      </c>
      <c r="C236" t="s">
        <v>4</v>
      </c>
      <c r="D236" t="s">
        <v>6</v>
      </c>
    </row>
    <row r="237" spans="1:4">
      <c r="A237" s="655">
        <f>IF(INDEX('A-App Potential sites'!$A:$F,MATCH('Consolidated Sites and BBLs'!$B237,'A-App Potential sites'!$F:$F,0),2)=0,$A236,INDEX('A-App Potential sites'!$A:$F,MATCH('Consolidated Sites and BBLs'!$B237,'A-App Potential sites'!$F:$F,0),2))</f>
        <v>92</v>
      </c>
      <c r="B237" s="96">
        <v>2025060054</v>
      </c>
      <c r="C237" t="s">
        <v>4</v>
      </c>
      <c r="D237" t="s">
        <v>6</v>
      </c>
    </row>
    <row r="238" spans="1:4">
      <c r="A238" s="655">
        <f>IF(INDEX('A-App Potential sites'!$A:$F,MATCH('Consolidated Sites and BBLs'!$B238,'A-App Potential sites'!$F:$F,0),2)=0,$A237,INDEX('A-App Potential sites'!$A:$F,MATCH('Consolidated Sites and BBLs'!$B238,'A-App Potential sites'!$F:$F,0),2))</f>
        <v>92</v>
      </c>
      <c r="B238" s="96">
        <v>2025060044</v>
      </c>
      <c r="C238" t="s">
        <v>4</v>
      </c>
      <c r="D238" t="s">
        <v>6</v>
      </c>
    </row>
    <row r="239" spans="1:4">
      <c r="A239" s="655">
        <f>IF(INDEX('A-App Potential sites'!$A:$F,MATCH('Consolidated Sites and BBLs'!$B239,'A-App Potential sites'!$F:$F,0),2)=0,$A238,INDEX('A-App Potential sites'!$A:$F,MATCH('Consolidated Sites and BBLs'!$B239,'A-App Potential sites'!$F:$F,0),2))</f>
        <v>93</v>
      </c>
      <c r="B239" s="96">
        <v>2025060062</v>
      </c>
      <c r="C239" t="s">
        <v>4</v>
      </c>
      <c r="D239" t="s">
        <v>6</v>
      </c>
    </row>
    <row r="240" spans="1:4">
      <c r="A240" s="655">
        <f>IF(INDEX('A-App Potential sites'!$A:$F,MATCH('Consolidated Sites and BBLs'!$B240,'A-App Potential sites'!$F:$F,0),2)=0,$A239,INDEX('A-App Potential sites'!$A:$F,MATCH('Consolidated Sites and BBLs'!$B240,'A-App Potential sites'!$F:$F,0),2))</f>
        <v>94</v>
      </c>
      <c r="B240" s="96">
        <v>2024890011</v>
      </c>
      <c r="C240" t="s">
        <v>4</v>
      </c>
      <c r="D240" t="s">
        <v>6</v>
      </c>
    </row>
    <row r="241" spans="1:4">
      <c r="A241" s="655">
        <f>IF(INDEX('A-App Potential sites'!$A:$F,MATCH('Consolidated Sites and BBLs'!$B241,'A-App Potential sites'!$F:$F,0),2)=0,$A240,INDEX('A-App Potential sites'!$A:$F,MATCH('Consolidated Sites and BBLs'!$B241,'A-App Potential sites'!$F:$F,0),2))</f>
        <v>94</v>
      </c>
      <c r="B241" s="96">
        <v>2024890014</v>
      </c>
      <c r="C241" t="s">
        <v>4</v>
      </c>
      <c r="D241" t="s">
        <v>6</v>
      </c>
    </row>
    <row r="242" spans="1:4">
      <c r="A242" s="655">
        <f>IF(INDEX('A-App Potential sites'!$A:$F,MATCH('Consolidated Sites and BBLs'!$B242,'A-App Potential sites'!$F:$F,0),2)=0,$A241,INDEX('A-App Potential sites'!$A:$F,MATCH('Consolidated Sites and BBLs'!$B242,'A-App Potential sites'!$F:$F,0),2))</f>
        <v>95</v>
      </c>
      <c r="B242" s="96">
        <v>2024890001</v>
      </c>
      <c r="C242" t="s">
        <v>4</v>
      </c>
      <c r="D242" t="s">
        <v>6</v>
      </c>
    </row>
    <row r="243" spans="1:4">
      <c r="A243" s="655">
        <f>IF(INDEX('A-App Potential sites'!$A:$F,MATCH('Consolidated Sites and BBLs'!$B243,'A-App Potential sites'!$F:$F,0),2)=0,$A242,INDEX('A-App Potential sites'!$A:$F,MATCH('Consolidated Sites and BBLs'!$B243,'A-App Potential sites'!$F:$F,0),2))</f>
        <v>95</v>
      </c>
      <c r="B243" s="96">
        <v>2024890029</v>
      </c>
      <c r="C243" t="s">
        <v>4</v>
      </c>
      <c r="D243" t="s">
        <v>6</v>
      </c>
    </row>
    <row r="244" spans="1:4">
      <c r="A244" s="655">
        <f>IF(INDEX('A-App Potential sites'!$A:$F,MATCH('Consolidated Sites and BBLs'!$B244,'A-App Potential sites'!$F:$F,0),2)=0,$A243,INDEX('A-App Potential sites'!$A:$F,MATCH('Consolidated Sites and BBLs'!$B244,'A-App Potential sites'!$F:$F,0),2))</f>
        <v>95</v>
      </c>
      <c r="B244" s="96">
        <v>2024890027</v>
      </c>
      <c r="C244" t="s">
        <v>4</v>
      </c>
      <c r="D244" t="s">
        <v>6</v>
      </c>
    </row>
    <row r="245" spans="1:4">
      <c r="A245" s="655">
        <f>IF(INDEX('A-App Potential sites'!$A:$F,MATCH('Consolidated Sites and BBLs'!$B245,'A-App Potential sites'!$F:$F,0),2)=0,$A244,INDEX('A-App Potential sites'!$A:$F,MATCH('Consolidated Sites and BBLs'!$B245,'A-App Potential sites'!$F:$F,0),2))</f>
        <v>95</v>
      </c>
      <c r="B245" s="270">
        <v>2024890030</v>
      </c>
      <c r="C245" t="s">
        <v>4</v>
      </c>
      <c r="D245" t="s">
        <v>6</v>
      </c>
    </row>
    <row r="246" spans="1:4">
      <c r="A246" s="655">
        <f>IF(INDEX('A-App Potential sites'!$A:$F,MATCH('Consolidated Sites and BBLs'!$B246,'A-App Potential sites'!$F:$F,0),2)=0,$A245,INDEX('A-App Potential sites'!$A:$F,MATCH('Consolidated Sites and BBLs'!$B246,'A-App Potential sites'!$F:$F,0),2))</f>
        <v>96</v>
      </c>
      <c r="B246" s="96">
        <v>2024890033</v>
      </c>
      <c r="C246" t="s">
        <v>4</v>
      </c>
      <c r="D246" t="s">
        <v>6</v>
      </c>
    </row>
    <row r="247" spans="1:4">
      <c r="A247" s="655">
        <f>IF(INDEX('A-App Potential sites'!$A:$F,MATCH('Consolidated Sites and BBLs'!$B247,'A-App Potential sites'!$F:$F,0),2)=0,$A246,INDEX('A-App Potential sites'!$A:$F,MATCH('Consolidated Sites and BBLs'!$B247,'A-App Potential sites'!$F:$F,0),2))</f>
        <v>97</v>
      </c>
      <c r="B247" s="96">
        <v>2024960058</v>
      </c>
      <c r="C247" t="s">
        <v>4</v>
      </c>
      <c r="D247" t="s">
        <v>6</v>
      </c>
    </row>
    <row r="248" spans="1:4">
      <c r="A248" s="655">
        <f>IF(INDEX('A-App Potential sites'!$A:$F,MATCH('Consolidated Sites and BBLs'!$B248,'A-App Potential sites'!$F:$F,0),2)=0,$A247,INDEX('A-App Potential sites'!$A:$F,MATCH('Consolidated Sites and BBLs'!$B248,'A-App Potential sites'!$F:$F,0),2))</f>
        <v>98</v>
      </c>
      <c r="B248" s="270">
        <v>2024880023</v>
      </c>
      <c r="C248" t="s">
        <v>4</v>
      </c>
      <c r="D248" t="s">
        <v>6</v>
      </c>
    </row>
    <row r="249" spans="1:4">
      <c r="A249" s="655">
        <f>IF(INDEX('A-App Potential sites'!$A:$F,MATCH('Consolidated Sites and BBLs'!$B249,'A-App Potential sites'!$F:$F,0),2)=0,$A248,INDEX('A-App Potential sites'!$A:$F,MATCH('Consolidated Sites and BBLs'!$B249,'A-App Potential sites'!$F:$F,0),2))</f>
        <v>98</v>
      </c>
      <c r="B249" s="96">
        <v>2024880020</v>
      </c>
      <c r="C249" t="s">
        <v>4</v>
      </c>
      <c r="D249" t="s">
        <v>6</v>
      </c>
    </row>
    <row r="250" spans="1:4">
      <c r="A250" s="655">
        <f>IF(INDEX('A-App Potential sites'!$A:$F,MATCH('Consolidated Sites and BBLs'!$B250,'A-App Potential sites'!$F:$F,0),2)=0,$A249,INDEX('A-App Potential sites'!$A:$F,MATCH('Consolidated Sites and BBLs'!$B250,'A-App Potential sites'!$F:$F,0),2))</f>
        <v>99</v>
      </c>
      <c r="B250" s="96">
        <v>2024960073</v>
      </c>
      <c r="C250" t="s">
        <v>4</v>
      </c>
      <c r="D250" t="s">
        <v>6</v>
      </c>
    </row>
    <row r="251" spans="1:4">
      <c r="A251" s="655">
        <f>IF(INDEX('A-App Potential sites'!$A:$F,MATCH('Consolidated Sites and BBLs'!$B251,'A-App Potential sites'!$F:$F,0),2)=0,$A250,INDEX('A-App Potential sites'!$A:$F,MATCH('Consolidated Sites and BBLs'!$B251,'A-App Potential sites'!$F:$F,0),2))</f>
        <v>100</v>
      </c>
      <c r="B251" s="270">
        <v>2024870020</v>
      </c>
      <c r="C251" t="s">
        <v>4</v>
      </c>
      <c r="D251" t="s">
        <v>6</v>
      </c>
    </row>
    <row r="252" spans="1:4">
      <c r="A252" s="655">
        <f>IF(INDEX('A-App Potential sites'!$A:$F,MATCH('Consolidated Sites and BBLs'!$B252,'A-App Potential sites'!$F:$F,0),2)=0,$A251,INDEX('A-App Potential sites'!$A:$F,MATCH('Consolidated Sites and BBLs'!$B252,'A-App Potential sites'!$F:$F,0),2))</f>
        <v>101</v>
      </c>
      <c r="B252" s="270">
        <v>2024870010</v>
      </c>
      <c r="C252" t="s">
        <v>4</v>
      </c>
      <c r="D252" t="s">
        <v>6</v>
      </c>
    </row>
    <row r="253" spans="1:4">
      <c r="A253" s="655">
        <f>IF(INDEX('A-App Potential sites'!$A:$F,MATCH('Consolidated Sites and BBLs'!$B253,'A-App Potential sites'!$F:$F,0),2)=0,$A252,INDEX('A-App Potential sites'!$A:$F,MATCH('Consolidated Sites and BBLs'!$B253,'A-App Potential sites'!$F:$F,0),2))</f>
        <v>105</v>
      </c>
      <c r="B253" s="2542">
        <v>2028610129</v>
      </c>
      <c r="C253" t="s">
        <v>4</v>
      </c>
      <c r="D253" t="s">
        <v>6</v>
      </c>
    </row>
    <row r="254" spans="1:4">
      <c r="A254" s="655">
        <f>IF(INDEX('A-App Potential sites'!$A:$F,MATCH('Consolidated Sites and BBLs'!$B254,'A-App Potential sites'!$F:$F,0),2)=0,$A253,INDEX('A-App Potential sites'!$A:$F,MATCH('Consolidated Sites and BBLs'!$B254,'A-App Potential sites'!$F:$F,0),2))</f>
        <v>111</v>
      </c>
      <c r="B254" s="270">
        <v>2028650122</v>
      </c>
      <c r="C254" t="s">
        <v>4</v>
      </c>
      <c r="D254" t="s">
        <v>6</v>
      </c>
    </row>
    <row r="255" spans="1:4">
      <c r="A255" s="655">
        <f>IF(INDEX('A-App Potential sites'!$A:$F,MATCH('Consolidated Sites and BBLs'!$B255,'A-App Potential sites'!$F:$F,0),2)=0,$A254,INDEX('A-App Potential sites'!$A:$F,MATCH('Consolidated Sites and BBLs'!$B255,'A-App Potential sites'!$F:$F,0),2))</f>
        <v>118</v>
      </c>
      <c r="B255" s="530">
        <v>2028640025</v>
      </c>
      <c r="C255" t="s">
        <v>4</v>
      </c>
      <c r="D255" t="s">
        <v>6</v>
      </c>
    </row>
    <row r="256" spans="1:4">
      <c r="A256" s="655">
        <f>IF(INDEX('A-App Potential sites'!$A:$F,MATCH('Consolidated Sites and BBLs'!$B256,'A-App Potential sites'!$F:$F,0),2)=0,$A255,INDEX('A-App Potential sites'!$A:$F,MATCH('Consolidated Sites and BBLs'!$B256,'A-App Potential sites'!$F:$F,0),2))</f>
        <v>119</v>
      </c>
      <c r="B256" s="270">
        <v>2028640021</v>
      </c>
      <c r="C256" t="s">
        <v>4</v>
      </c>
      <c r="D256" t="s">
        <v>6</v>
      </c>
    </row>
    <row r="257" spans="1:4">
      <c r="A257" s="655">
        <f>IF(INDEX('A-App Potential sites'!$A:$F,MATCH('Consolidated Sites and BBLs'!$B257,'A-App Potential sites'!$F:$F,0),2)=0,$A256,INDEX('A-App Potential sites'!$A:$F,MATCH('Consolidated Sites and BBLs'!$B257,'A-App Potential sites'!$F:$F,0),2))</f>
        <v>124</v>
      </c>
      <c r="B257" s="530">
        <v>2028550042</v>
      </c>
      <c r="C257" t="s">
        <v>4</v>
      </c>
      <c r="D257" t="s">
        <v>6</v>
      </c>
    </row>
    <row r="258" spans="1:4">
      <c r="A258" s="655">
        <f>IF(INDEX('A-App Potential sites'!$A:$F,MATCH('Consolidated Sites and BBLs'!$B258,'A-App Potential sites'!$F:$F,0),2)=0,$A257,INDEX('A-App Potential sites'!$A:$F,MATCH('Consolidated Sites and BBLs'!$B258,'A-App Potential sites'!$F:$F,0),2))</f>
        <v>125</v>
      </c>
      <c r="B258" s="2542">
        <v>2028550065</v>
      </c>
      <c r="C258" t="s">
        <v>4</v>
      </c>
      <c r="D258" t="s">
        <v>6</v>
      </c>
    </row>
    <row r="259" spans="1:4">
      <c r="A259" s="655" t="str">
        <f t="array" ref="A259">IF(INDEX('DTFR RWCDS A-Text'!$B:$G,MATCH(1,(_xlfn.NUMBERVALUE(MID('Consolidated Sites and BBLs'!$B259,2,5))='DTFR RWCDS A-Text'!$C:$C)*(_xlfn.NUMBERVALUE(MID('Consolidated Sites and BBLs'!$B259,7,4))='DTFR RWCDS A-Text'!$D:$D),0),1)=0,A258,INDEX('DTFR RWCDS A-Text'!$B:$G,MATCH(1,(_xlfn.NUMBERVALUE(MID('Consolidated Sites and BBLs'!$B259,2,5))='DTFR RWCDS A-Text'!$C:$C)*(_xlfn.NUMBERVALUE(MID('Consolidated Sites and BBLs'!$B259,7,4))='DTFR RWCDS A-Text'!$D:$D),0),1))</f>
        <v xml:space="preserve">A </v>
      </c>
      <c r="B259" s="270" t="s">
        <v>7</v>
      </c>
      <c r="C259" t="s">
        <v>8</v>
      </c>
      <c r="D259" t="s">
        <v>9</v>
      </c>
    </row>
    <row r="260" spans="1:4">
      <c r="A260" s="655" t="str">
        <f t="array" ref="A260">IF(INDEX('DTFR RWCDS A-Text'!$B:$G,MATCH(1,(_xlfn.NUMBERVALUE(MID('Consolidated Sites and BBLs'!$B260,2,5))='DTFR RWCDS A-Text'!$C:$C)*(_xlfn.NUMBERVALUE(MID('Consolidated Sites and BBLs'!$B260,7,4))='DTFR RWCDS A-Text'!$D:$D),0),1)=0,A259,INDEX('DTFR RWCDS A-Text'!$B:$G,MATCH(1,(_xlfn.NUMBERVALUE(MID('Consolidated Sites and BBLs'!$B260,2,5))='DTFR RWCDS A-Text'!$C:$C)*(_xlfn.NUMBERVALUE(MID('Consolidated Sites and BBLs'!$B260,7,4))='DTFR RWCDS A-Text'!$D:$D),0),1))</f>
        <v>B</v>
      </c>
      <c r="B260" s="270" t="s">
        <v>10</v>
      </c>
      <c r="C260" t="s">
        <v>8</v>
      </c>
      <c r="D260" t="s">
        <v>9</v>
      </c>
    </row>
    <row r="261" spans="1:4">
      <c r="A261" s="655" t="str">
        <f t="array" ref="A261">IF(INDEX('DTFR RWCDS A-Text'!$B:$G,MATCH(1,(_xlfn.NUMBERVALUE(MID('Consolidated Sites and BBLs'!$B261,2,5))='DTFR RWCDS A-Text'!$C:$C)*(_xlfn.NUMBERVALUE(MID('Consolidated Sites and BBLs'!$B261,7,4))='DTFR RWCDS A-Text'!$D:$D),0),1)=0,A260,INDEX('DTFR RWCDS A-Text'!$B:$G,MATCH(1,(_xlfn.NUMBERVALUE(MID('Consolidated Sites and BBLs'!$B261,2,5))='DTFR RWCDS A-Text'!$C:$C)*(_xlfn.NUMBERVALUE(MID('Consolidated Sites and BBLs'!$B261,7,4))='DTFR RWCDS A-Text'!$D:$D),0),1))</f>
        <v>C</v>
      </c>
      <c r="B261" s="270" t="s">
        <v>11</v>
      </c>
      <c r="C261" t="s">
        <v>8</v>
      </c>
      <c r="D261" t="s">
        <v>9</v>
      </c>
    </row>
    <row r="262" spans="1:4">
      <c r="A262" s="655" t="str">
        <f t="array" ref="A262">IF(INDEX('DTFR RWCDS A-Text'!$B:$G,MATCH(1,(_xlfn.NUMBERVALUE(MID('Consolidated Sites and BBLs'!$B262,2,5))='DTFR RWCDS A-Text'!$C:$C)*(_xlfn.NUMBERVALUE(MID('Consolidated Sites and BBLs'!$B262,7,4))='DTFR RWCDS A-Text'!$D:$D),0),1)=0,A261,INDEX('DTFR RWCDS A-Text'!$B:$G,MATCH(1,(_xlfn.NUMBERVALUE(MID('Consolidated Sites and BBLs'!$B262,2,5))='DTFR RWCDS A-Text'!$C:$C)*(_xlfn.NUMBERVALUE(MID('Consolidated Sites and BBLs'!$B262,7,4))='DTFR RWCDS A-Text'!$D:$D),0),1))</f>
        <v>D</v>
      </c>
      <c r="B262" s="270" t="s">
        <v>12</v>
      </c>
      <c r="C262" t="s">
        <v>8</v>
      </c>
      <c r="D262" t="s">
        <v>9</v>
      </c>
    </row>
    <row r="263" spans="1:4">
      <c r="A263" s="655" t="str">
        <f t="array" ref="A263">IF(INDEX('DTFR RWCDS A-Text'!$B:$G,MATCH(1,(_xlfn.NUMBERVALUE(MID('Consolidated Sites and BBLs'!$B263,2,5))='DTFR RWCDS A-Text'!$C:$C)*(_xlfn.NUMBERVALUE(MID('Consolidated Sites and BBLs'!$B263,7,4))='DTFR RWCDS A-Text'!$D:$D),0),1)=0,A262,INDEX('DTFR RWCDS A-Text'!$B:$G,MATCH(1,(_xlfn.NUMBERVALUE(MID('Consolidated Sites and BBLs'!$B263,2,5))='DTFR RWCDS A-Text'!$C:$C)*(_xlfn.NUMBERVALUE(MID('Consolidated Sites and BBLs'!$B263,7,4))='DTFR RWCDS A-Text'!$D:$D),0),1))</f>
        <v>E</v>
      </c>
      <c r="B263" s="270" t="s">
        <v>13</v>
      </c>
      <c r="C263" t="s">
        <v>8</v>
      </c>
      <c r="D263" t="s">
        <v>9</v>
      </c>
    </row>
    <row r="264" spans="1:4">
      <c r="A264" s="655" t="str">
        <f t="array" ref="A264">IF(INDEX('DTFR RWCDS A-Text'!$B:$G,MATCH(1,(_xlfn.NUMBERVALUE(MID('Consolidated Sites and BBLs'!$B264,2,5))='DTFR RWCDS A-Text'!$C:$C)*(_xlfn.NUMBERVALUE(MID('Consolidated Sites and BBLs'!$B264,7,4))='DTFR RWCDS A-Text'!$D:$D),0),1)=0,A263,INDEX('DTFR RWCDS A-Text'!$B:$G,MATCH(1,(_xlfn.NUMBERVALUE(MID('Consolidated Sites and BBLs'!$B264,2,5))='DTFR RWCDS A-Text'!$C:$C)*(_xlfn.NUMBERVALUE(MID('Consolidated Sites and BBLs'!$B264,7,4))='DTFR RWCDS A-Text'!$D:$D),0),1))</f>
        <v>F</v>
      </c>
      <c r="B264" s="270" t="s">
        <v>14</v>
      </c>
      <c r="C264" t="s">
        <v>8</v>
      </c>
      <c r="D264" t="s">
        <v>9</v>
      </c>
    </row>
    <row r="265" spans="1:4">
      <c r="A265" s="655" t="str">
        <f t="array" ref="A265">IF(INDEX('DTFR RWCDS A-Text'!$B:$G,MATCH(1,(_xlfn.NUMBERVALUE(MID('Consolidated Sites and BBLs'!$B265,2,5))='DTFR RWCDS A-Text'!$C:$C)*(_xlfn.NUMBERVALUE(MID('Consolidated Sites and BBLs'!$B265,7,4))='DTFR RWCDS A-Text'!$D:$D),0),1)=0,A264,INDEX('DTFR RWCDS A-Text'!$B:$G,MATCH(1,(_xlfn.NUMBERVALUE(MID('Consolidated Sites and BBLs'!$B265,2,5))='DTFR RWCDS A-Text'!$C:$C)*(_xlfn.NUMBERVALUE(MID('Consolidated Sites and BBLs'!$B265,7,4))='DTFR RWCDS A-Text'!$D:$D),0),1))</f>
        <v>G</v>
      </c>
      <c r="B265" s="270" t="s">
        <v>15</v>
      </c>
      <c r="C265" t="s">
        <v>8</v>
      </c>
      <c r="D265" t="s">
        <v>9</v>
      </c>
    </row>
    <row r="266" spans="1:4">
      <c r="A266" s="655" t="str">
        <f t="array" ref="A266">IF(INDEX('DTFR RWCDS A-Text'!$B:$G,MATCH(1,(_xlfn.NUMBERVALUE(MID('Consolidated Sites and BBLs'!$B266,2,5))='DTFR RWCDS A-Text'!$C:$C)*(_xlfn.NUMBERVALUE(MID('Consolidated Sites and BBLs'!$B266,7,4))='DTFR RWCDS A-Text'!$D:$D),0),1)=0,A265,INDEX('DTFR RWCDS A-Text'!$B:$G,MATCH(1,(_xlfn.NUMBERVALUE(MID('Consolidated Sites and BBLs'!$B266,2,5))='DTFR RWCDS A-Text'!$C:$C)*(_xlfn.NUMBERVALUE(MID('Consolidated Sites and BBLs'!$B266,7,4))='DTFR RWCDS A-Text'!$D:$D),0),1))</f>
        <v>H</v>
      </c>
      <c r="B266" s="270" t="s">
        <v>16</v>
      </c>
      <c r="C266" t="s">
        <v>8</v>
      </c>
      <c r="D266" t="s">
        <v>9</v>
      </c>
    </row>
    <row r="267" spans="1:4">
      <c r="A267" s="655" t="str">
        <f t="array" ref="A267">IF(INDEX('DTFR RWCDS A-Text'!$B:$G,MATCH(1,(_xlfn.NUMBERVALUE(MID('Consolidated Sites and BBLs'!$B267,2,5))='DTFR RWCDS A-Text'!$C:$C)*(_xlfn.NUMBERVALUE(MID('Consolidated Sites and BBLs'!$B267,7,4))='DTFR RWCDS A-Text'!$D:$D),0),1)=0,A266,INDEX('DTFR RWCDS A-Text'!$B:$G,MATCH(1,(_xlfn.NUMBERVALUE(MID('Consolidated Sites and BBLs'!$B267,2,5))='DTFR RWCDS A-Text'!$C:$C)*(_xlfn.NUMBERVALUE(MID('Consolidated Sites and BBLs'!$B267,7,4))='DTFR RWCDS A-Text'!$D:$D),0),1))</f>
        <v>I</v>
      </c>
      <c r="B267" s="270" t="s">
        <v>17</v>
      </c>
      <c r="C267" t="s">
        <v>8</v>
      </c>
      <c r="D267" t="s">
        <v>9</v>
      </c>
    </row>
    <row r="268" spans="1:4">
      <c r="A268" s="655" t="str">
        <f t="array" ref="A268">IF(INDEX('DTFR RWCDS A-Text'!$B:$G,MATCH(1,(_xlfn.NUMBERVALUE(MID('Consolidated Sites and BBLs'!$B268,2,5))='DTFR RWCDS A-Text'!$C:$C)*(_xlfn.NUMBERVALUE(MID('Consolidated Sites and BBLs'!$B268,7,4))='DTFR RWCDS A-Text'!$D:$D),0),1)=0,A267,INDEX('DTFR RWCDS A-Text'!$B:$G,MATCH(1,(_xlfn.NUMBERVALUE(MID('Consolidated Sites and BBLs'!$B268,2,5))='DTFR RWCDS A-Text'!$C:$C)*(_xlfn.NUMBERVALUE(MID('Consolidated Sites and BBLs'!$B268,7,4))='DTFR RWCDS A-Text'!$D:$D),0),1))</f>
        <v>I</v>
      </c>
      <c r="B268" s="270" t="s">
        <v>18</v>
      </c>
      <c r="C268" t="s">
        <v>8</v>
      </c>
      <c r="D268" t="s">
        <v>9</v>
      </c>
    </row>
    <row r="269" spans="1:4">
      <c r="A269" s="655">
        <f t="array" ref="A269">IF(INDEX('DTFR RWCDS A-Text'!$B:$G,MATCH(1,(_xlfn.NUMBERVALUE(MID('Consolidated Sites and BBLs'!$B269,2,5))='DTFR RWCDS A-Text'!$C:$C)*(_xlfn.NUMBERVALUE(MID('Consolidated Sites and BBLs'!$B269,7,4))='DTFR RWCDS A-Text'!$D:$D),0),1)=0,A268,INDEX('DTFR RWCDS A-Text'!$B:$G,MATCH(1,(_xlfn.NUMBERVALUE(MID('Consolidated Sites and BBLs'!$B269,2,5))='DTFR RWCDS A-Text'!$C:$C)*(_xlfn.NUMBERVALUE(MID('Consolidated Sites and BBLs'!$B269,7,4))='DTFR RWCDS A-Text'!$D:$D),0),1))</f>
        <v>1</v>
      </c>
      <c r="B269" s="270" t="s">
        <v>19</v>
      </c>
      <c r="C269" t="s">
        <v>8</v>
      </c>
      <c r="D269" t="s">
        <v>9</v>
      </c>
    </row>
    <row r="270" spans="1:4">
      <c r="A270" s="655">
        <f t="array" ref="A270">IF(INDEX('DTFR RWCDS A-Text'!$B:$G,MATCH(1,(_xlfn.NUMBERVALUE(MID('Consolidated Sites and BBLs'!$B270,2,5))='DTFR RWCDS A-Text'!$C:$C)*(_xlfn.NUMBERVALUE(MID('Consolidated Sites and BBLs'!$B270,7,4))='DTFR RWCDS A-Text'!$D:$D),0),1)=0,A269,INDEX('DTFR RWCDS A-Text'!$B:$G,MATCH(1,(_xlfn.NUMBERVALUE(MID('Consolidated Sites and BBLs'!$B270,2,5))='DTFR RWCDS A-Text'!$C:$C)*(_xlfn.NUMBERVALUE(MID('Consolidated Sites and BBLs'!$B270,7,4))='DTFR RWCDS A-Text'!$D:$D),0),1))</f>
        <v>2</v>
      </c>
      <c r="B270" s="270" t="s">
        <v>20</v>
      </c>
      <c r="C270" t="s">
        <v>8</v>
      </c>
      <c r="D270" t="s">
        <v>9</v>
      </c>
    </row>
    <row r="271" spans="1:4">
      <c r="A271" s="655">
        <f t="array" ref="A271">IF(INDEX('DTFR RWCDS A-Text'!$B:$G,MATCH(1,(_xlfn.NUMBERVALUE(MID('Consolidated Sites and BBLs'!$B271,2,5))='DTFR RWCDS A-Text'!$C:$C)*(_xlfn.NUMBERVALUE(MID('Consolidated Sites and BBLs'!$B271,7,4))='DTFR RWCDS A-Text'!$D:$D),0),1)=0,A270,INDEX('DTFR RWCDS A-Text'!$B:$G,MATCH(1,(_xlfn.NUMBERVALUE(MID('Consolidated Sites and BBLs'!$B271,2,5))='DTFR RWCDS A-Text'!$C:$C)*(_xlfn.NUMBERVALUE(MID('Consolidated Sites and BBLs'!$B271,7,4))='DTFR RWCDS A-Text'!$D:$D),0),1))</f>
        <v>3</v>
      </c>
      <c r="B271" s="270" t="s">
        <v>21</v>
      </c>
      <c r="C271" t="s">
        <v>8</v>
      </c>
      <c r="D271" t="s">
        <v>9</v>
      </c>
    </row>
    <row r="272" spans="1:4">
      <c r="A272" s="655">
        <f t="array" ref="A272">IF(INDEX('DTFR RWCDS A-Text'!$B:$G,MATCH(1,(_xlfn.NUMBERVALUE(MID('Consolidated Sites and BBLs'!$B272,2,5))='DTFR RWCDS A-Text'!$C:$C)*(_xlfn.NUMBERVALUE(MID('Consolidated Sites and BBLs'!$B272,7,4))='DTFR RWCDS A-Text'!$D:$D),0),1)=0,A271,INDEX('DTFR RWCDS A-Text'!$B:$G,MATCH(1,(_xlfn.NUMBERVALUE(MID('Consolidated Sites and BBLs'!$B272,2,5))='DTFR RWCDS A-Text'!$C:$C)*(_xlfn.NUMBERVALUE(MID('Consolidated Sites and BBLs'!$B272,7,4))='DTFR RWCDS A-Text'!$D:$D),0),1))</f>
        <v>4</v>
      </c>
      <c r="B272" s="270" t="s">
        <v>22</v>
      </c>
      <c r="C272" t="s">
        <v>8</v>
      </c>
      <c r="D272" t="s">
        <v>9</v>
      </c>
    </row>
    <row r="273" spans="1:4">
      <c r="A273" s="655">
        <f t="array" ref="A273">IF(INDEX('DTFR RWCDS A-Text'!$B:$G,MATCH(1,(_xlfn.NUMBERVALUE(MID('Consolidated Sites and BBLs'!$B273,2,5))='DTFR RWCDS A-Text'!$C:$C)*(_xlfn.NUMBERVALUE(MID('Consolidated Sites and BBLs'!$B273,7,4))='DTFR RWCDS A-Text'!$D:$D),0),1)=0,A272,INDEX('DTFR RWCDS A-Text'!$B:$G,MATCH(1,(_xlfn.NUMBERVALUE(MID('Consolidated Sites and BBLs'!$B273,2,5))='DTFR RWCDS A-Text'!$C:$C)*(_xlfn.NUMBERVALUE(MID('Consolidated Sites and BBLs'!$B273,7,4))='DTFR RWCDS A-Text'!$D:$D),0),1))</f>
        <v>4</v>
      </c>
      <c r="B273" s="270" t="s">
        <v>23</v>
      </c>
      <c r="C273" t="s">
        <v>8</v>
      </c>
      <c r="D273" t="s">
        <v>9</v>
      </c>
    </row>
    <row r="274" spans="1:4">
      <c r="A274" s="655">
        <f t="array" ref="A274">IF(INDEX('DTFR RWCDS A-Text'!$B:$G,MATCH(1,(_xlfn.NUMBERVALUE(MID('Consolidated Sites and BBLs'!$B274,2,5))='DTFR RWCDS A-Text'!$C:$C)*(_xlfn.NUMBERVALUE(MID('Consolidated Sites and BBLs'!$B274,7,4))='DTFR RWCDS A-Text'!$D:$D),0),1)=0,A273,INDEX('DTFR RWCDS A-Text'!$B:$G,MATCH(1,(_xlfn.NUMBERVALUE(MID('Consolidated Sites and BBLs'!$B274,2,5))='DTFR RWCDS A-Text'!$C:$C)*(_xlfn.NUMBERVALUE(MID('Consolidated Sites and BBLs'!$B274,7,4))='DTFR RWCDS A-Text'!$D:$D),0),1))</f>
        <v>4</v>
      </c>
      <c r="B274" s="270" t="s">
        <v>24</v>
      </c>
      <c r="C274" t="s">
        <v>8</v>
      </c>
      <c r="D274" t="s">
        <v>9</v>
      </c>
    </row>
    <row r="275" spans="1:4">
      <c r="A275" s="655">
        <f t="array" ref="A275">IF(INDEX('DTFR RWCDS A-Text'!$B:$G,MATCH(1,(_xlfn.NUMBERVALUE(MID('Consolidated Sites and BBLs'!$B275,2,5))='DTFR RWCDS A-Text'!$C:$C)*(_xlfn.NUMBERVALUE(MID('Consolidated Sites and BBLs'!$B275,7,4))='DTFR RWCDS A-Text'!$D:$D),0),1)=0,A274,INDEX('DTFR RWCDS A-Text'!$B:$G,MATCH(1,(_xlfn.NUMBERVALUE(MID('Consolidated Sites and BBLs'!$B275,2,5))='DTFR RWCDS A-Text'!$C:$C)*(_xlfn.NUMBERVALUE(MID('Consolidated Sites and BBLs'!$B275,7,4))='DTFR RWCDS A-Text'!$D:$D),0),1))</f>
        <v>4</v>
      </c>
      <c r="B275" s="270" t="s">
        <v>25</v>
      </c>
      <c r="C275" t="s">
        <v>8</v>
      </c>
      <c r="D275" t="s">
        <v>9</v>
      </c>
    </row>
    <row r="276" spans="1:4">
      <c r="A276" s="655">
        <f t="array" ref="A276">IF(INDEX('DTFR RWCDS A-Text'!$B:$G,MATCH(1,(_xlfn.NUMBERVALUE(MID('Consolidated Sites and BBLs'!$B276,2,5))='DTFR RWCDS A-Text'!$C:$C)*(_xlfn.NUMBERVALUE(MID('Consolidated Sites and BBLs'!$B276,7,4))='DTFR RWCDS A-Text'!$D:$D),0),1)=0,A275,INDEX('DTFR RWCDS A-Text'!$B:$G,MATCH(1,(_xlfn.NUMBERVALUE(MID('Consolidated Sites and BBLs'!$B276,2,5))='DTFR RWCDS A-Text'!$C:$C)*(_xlfn.NUMBERVALUE(MID('Consolidated Sites and BBLs'!$B276,7,4))='DTFR RWCDS A-Text'!$D:$D),0),1))</f>
        <v>5</v>
      </c>
      <c r="B276" s="270" t="s">
        <v>26</v>
      </c>
      <c r="C276" t="s">
        <v>8</v>
      </c>
      <c r="D276" t="s">
        <v>9</v>
      </c>
    </row>
    <row r="277" spans="1:4">
      <c r="A277" s="655">
        <f t="array" ref="A277">IF(INDEX('DTFR RWCDS A-Text'!$B:$G,MATCH(1,(_xlfn.NUMBERVALUE(MID('Consolidated Sites and BBLs'!$B277,2,5))='DTFR RWCDS A-Text'!$C:$C)*(_xlfn.NUMBERVALUE(MID('Consolidated Sites and BBLs'!$B277,7,4))='DTFR RWCDS A-Text'!$D:$D),0),1)=0,A276,INDEX('DTFR RWCDS A-Text'!$B:$G,MATCH(1,(_xlfn.NUMBERVALUE(MID('Consolidated Sites and BBLs'!$B277,2,5))='DTFR RWCDS A-Text'!$C:$C)*(_xlfn.NUMBERVALUE(MID('Consolidated Sites and BBLs'!$B277,7,4))='DTFR RWCDS A-Text'!$D:$D),0),1))</f>
        <v>5</v>
      </c>
      <c r="B277" s="270" t="s">
        <v>27</v>
      </c>
      <c r="C277" t="s">
        <v>8</v>
      </c>
      <c r="D277" t="s">
        <v>9</v>
      </c>
    </row>
    <row r="278" spans="1:4">
      <c r="A278" s="655">
        <f t="array" ref="A278">IF(INDEX('DTFR RWCDS A-Text'!$B:$G,MATCH(1,(_xlfn.NUMBERVALUE(MID('Consolidated Sites and BBLs'!$B278,2,5))='DTFR RWCDS A-Text'!$C:$C)*(_xlfn.NUMBERVALUE(MID('Consolidated Sites and BBLs'!$B278,7,4))='DTFR RWCDS A-Text'!$D:$D),0),1)=0,A277,INDEX('DTFR RWCDS A-Text'!$B:$G,MATCH(1,(_xlfn.NUMBERVALUE(MID('Consolidated Sites and BBLs'!$B278,2,5))='DTFR RWCDS A-Text'!$C:$C)*(_xlfn.NUMBERVALUE(MID('Consolidated Sites and BBLs'!$B278,7,4))='DTFR RWCDS A-Text'!$D:$D),0),1))</f>
        <v>6</v>
      </c>
      <c r="B278" s="270" t="s">
        <v>28</v>
      </c>
      <c r="C278" t="s">
        <v>8</v>
      </c>
      <c r="D278" t="s">
        <v>9</v>
      </c>
    </row>
    <row r="279" spans="1:4">
      <c r="A279" s="655">
        <f t="array" ref="A279">IF(INDEX('DTFR RWCDS A-Text'!$B:$G,MATCH(1,(_xlfn.NUMBERVALUE(MID('Consolidated Sites and BBLs'!$B279,2,5))='DTFR RWCDS A-Text'!$C:$C)*(_xlfn.NUMBERVALUE(MID('Consolidated Sites and BBLs'!$B279,7,4))='DTFR RWCDS A-Text'!$D:$D),0),1)=0,A278,INDEX('DTFR RWCDS A-Text'!$B:$G,MATCH(1,(_xlfn.NUMBERVALUE(MID('Consolidated Sites and BBLs'!$B279,2,5))='DTFR RWCDS A-Text'!$C:$C)*(_xlfn.NUMBERVALUE(MID('Consolidated Sites and BBLs'!$B279,7,4))='DTFR RWCDS A-Text'!$D:$D),0),1))</f>
        <v>6</v>
      </c>
      <c r="B279" s="270" t="s">
        <v>29</v>
      </c>
      <c r="C279" t="s">
        <v>8</v>
      </c>
      <c r="D279" t="s">
        <v>9</v>
      </c>
    </row>
    <row r="280" spans="1:4">
      <c r="A280" s="655">
        <f t="array" ref="A280">IF(INDEX('DTFR RWCDS A-Text'!$B:$G,MATCH(1,(_xlfn.NUMBERVALUE(MID('Consolidated Sites and BBLs'!$B280,2,5))='DTFR RWCDS A-Text'!$C:$C)*(_xlfn.NUMBERVALUE(MID('Consolidated Sites and BBLs'!$B280,7,4))='DTFR RWCDS A-Text'!$D:$D),0),1)=0,A279,INDEX('DTFR RWCDS A-Text'!$B:$G,MATCH(1,(_xlfn.NUMBERVALUE(MID('Consolidated Sites and BBLs'!$B280,2,5))='DTFR RWCDS A-Text'!$C:$C)*(_xlfn.NUMBERVALUE(MID('Consolidated Sites and BBLs'!$B280,7,4))='DTFR RWCDS A-Text'!$D:$D),0),1))</f>
        <v>6</v>
      </c>
      <c r="B280" s="270" t="s">
        <v>30</v>
      </c>
      <c r="C280" t="s">
        <v>8</v>
      </c>
      <c r="D280" t="s">
        <v>9</v>
      </c>
    </row>
    <row r="281" spans="1:4">
      <c r="A281" s="655">
        <f t="array" ref="A281">IF(INDEX('DTFR RWCDS A-Text'!$B:$G,MATCH(1,(_xlfn.NUMBERVALUE(MID('Consolidated Sites and BBLs'!$B281,2,5))='DTFR RWCDS A-Text'!$C:$C)*(_xlfn.NUMBERVALUE(MID('Consolidated Sites and BBLs'!$B281,7,4))='DTFR RWCDS A-Text'!$D:$D),0),1)=0,A280,INDEX('DTFR RWCDS A-Text'!$B:$G,MATCH(1,(_xlfn.NUMBERVALUE(MID('Consolidated Sites and BBLs'!$B281,2,5))='DTFR RWCDS A-Text'!$C:$C)*(_xlfn.NUMBERVALUE(MID('Consolidated Sites and BBLs'!$B281,7,4))='DTFR RWCDS A-Text'!$D:$D),0),1))</f>
        <v>7</v>
      </c>
      <c r="B281" s="270" t="s">
        <v>31</v>
      </c>
      <c r="C281" t="s">
        <v>8</v>
      </c>
      <c r="D281" t="s">
        <v>9</v>
      </c>
    </row>
    <row r="282" spans="1:4">
      <c r="A282" s="655">
        <f t="array" ref="A282">IF(INDEX('DTFR RWCDS A-Text'!$B:$G,MATCH(1,(_xlfn.NUMBERVALUE(MID('Consolidated Sites and BBLs'!$B282,2,5))='DTFR RWCDS A-Text'!$C:$C)*(_xlfn.NUMBERVALUE(MID('Consolidated Sites and BBLs'!$B282,7,4))='DTFR RWCDS A-Text'!$D:$D),0),1)=0,A281,INDEX('DTFR RWCDS A-Text'!$B:$G,MATCH(1,(_xlfn.NUMBERVALUE(MID('Consolidated Sites and BBLs'!$B282,2,5))='DTFR RWCDS A-Text'!$C:$C)*(_xlfn.NUMBERVALUE(MID('Consolidated Sites and BBLs'!$B282,7,4))='DTFR RWCDS A-Text'!$D:$D),0),1))</f>
        <v>8</v>
      </c>
      <c r="B282" s="270" t="s">
        <v>32</v>
      </c>
      <c r="C282" t="s">
        <v>8</v>
      </c>
      <c r="D282" t="s">
        <v>9</v>
      </c>
    </row>
    <row r="283" spans="1:4">
      <c r="A283" s="655">
        <f t="array" ref="A283">IF(INDEX('DTFR RWCDS A-Text'!$B:$G,MATCH(1,(_xlfn.NUMBERVALUE(MID('Consolidated Sites and BBLs'!$B283,2,5))='DTFR RWCDS A-Text'!$C:$C)*(_xlfn.NUMBERVALUE(MID('Consolidated Sites and BBLs'!$B283,7,4))='DTFR RWCDS A-Text'!$D:$D),0),1)=0,A282,INDEX('DTFR RWCDS A-Text'!$B:$G,MATCH(1,(_xlfn.NUMBERVALUE(MID('Consolidated Sites and BBLs'!$B283,2,5))='DTFR RWCDS A-Text'!$C:$C)*(_xlfn.NUMBERVALUE(MID('Consolidated Sites and BBLs'!$B283,7,4))='DTFR RWCDS A-Text'!$D:$D),0),1))</f>
        <v>8</v>
      </c>
      <c r="B283" s="270" t="s">
        <v>33</v>
      </c>
      <c r="C283" t="s">
        <v>8</v>
      </c>
      <c r="D283" t="s">
        <v>9</v>
      </c>
    </row>
    <row r="284" spans="1:4">
      <c r="A284" s="655">
        <f t="array" ref="A284">IF(INDEX('DTFR RWCDS A-Text'!$B:$G,MATCH(1,(_xlfn.NUMBERVALUE(MID('Consolidated Sites and BBLs'!$B284,2,5))='DTFR RWCDS A-Text'!$C:$C)*(_xlfn.NUMBERVALUE(MID('Consolidated Sites and BBLs'!$B284,7,4))='DTFR RWCDS A-Text'!$D:$D),0),1)=0,A283,INDEX('DTFR RWCDS A-Text'!$B:$G,MATCH(1,(_xlfn.NUMBERVALUE(MID('Consolidated Sites and BBLs'!$B284,2,5))='DTFR RWCDS A-Text'!$C:$C)*(_xlfn.NUMBERVALUE(MID('Consolidated Sites and BBLs'!$B284,7,4))='DTFR RWCDS A-Text'!$D:$D),0),1))</f>
        <v>9</v>
      </c>
      <c r="B284" s="270" t="s">
        <v>34</v>
      </c>
      <c r="C284" t="s">
        <v>8</v>
      </c>
      <c r="D284" t="s">
        <v>9</v>
      </c>
    </row>
    <row r="285" spans="1:4">
      <c r="A285" s="655">
        <f t="array" ref="A285">IF(INDEX('DTFR RWCDS A-Text'!$B:$G,MATCH(1,(_xlfn.NUMBERVALUE(MID('Consolidated Sites and BBLs'!$B285,2,5))='DTFR RWCDS A-Text'!$C:$C)*(_xlfn.NUMBERVALUE(MID('Consolidated Sites and BBLs'!$B285,7,4))='DTFR RWCDS A-Text'!$D:$D),0),1)=0,A284,INDEX('DTFR RWCDS A-Text'!$B:$G,MATCH(1,(_xlfn.NUMBERVALUE(MID('Consolidated Sites and BBLs'!$B285,2,5))='DTFR RWCDS A-Text'!$C:$C)*(_xlfn.NUMBERVALUE(MID('Consolidated Sites and BBLs'!$B285,7,4))='DTFR RWCDS A-Text'!$D:$D),0),1))</f>
        <v>9</v>
      </c>
      <c r="B285" s="270" t="s">
        <v>35</v>
      </c>
      <c r="C285" t="s">
        <v>8</v>
      </c>
      <c r="D285" t="s">
        <v>9</v>
      </c>
    </row>
    <row r="286" spans="1:4">
      <c r="A286" s="655">
        <f t="array" ref="A286">IF(INDEX('DTFR RWCDS A-Text'!$B:$G,MATCH(1,(_xlfn.NUMBERVALUE(MID('Consolidated Sites and BBLs'!$B286,2,5))='DTFR RWCDS A-Text'!$C:$C)*(_xlfn.NUMBERVALUE(MID('Consolidated Sites and BBLs'!$B286,7,4))='DTFR RWCDS A-Text'!$D:$D),0),1)=0,A285,INDEX('DTFR RWCDS A-Text'!$B:$G,MATCH(1,(_xlfn.NUMBERVALUE(MID('Consolidated Sites and BBLs'!$B286,2,5))='DTFR RWCDS A-Text'!$C:$C)*(_xlfn.NUMBERVALUE(MID('Consolidated Sites and BBLs'!$B286,7,4))='DTFR RWCDS A-Text'!$D:$D),0),1))</f>
        <v>9</v>
      </c>
      <c r="B286" s="270" t="s">
        <v>36</v>
      </c>
      <c r="C286" t="s">
        <v>8</v>
      </c>
      <c r="D286" t="s">
        <v>9</v>
      </c>
    </row>
    <row r="287" spans="1:4">
      <c r="A287" s="655">
        <f t="array" ref="A287">IF(INDEX('DTFR RWCDS A-Text'!$B:$G,MATCH(1,(_xlfn.NUMBERVALUE(MID('Consolidated Sites and BBLs'!$B287,2,5))='DTFR RWCDS A-Text'!$C:$C)*(_xlfn.NUMBERVALUE(MID('Consolidated Sites and BBLs'!$B287,7,4))='DTFR RWCDS A-Text'!$D:$D),0),1)=0,A286,INDEX('DTFR RWCDS A-Text'!$B:$G,MATCH(1,(_xlfn.NUMBERVALUE(MID('Consolidated Sites and BBLs'!$B287,2,5))='DTFR RWCDS A-Text'!$C:$C)*(_xlfn.NUMBERVALUE(MID('Consolidated Sites and BBLs'!$B287,7,4))='DTFR RWCDS A-Text'!$D:$D),0),1))</f>
        <v>10</v>
      </c>
      <c r="B287" s="270" t="s">
        <v>37</v>
      </c>
      <c r="C287" t="s">
        <v>8</v>
      </c>
      <c r="D287" t="s">
        <v>9</v>
      </c>
    </row>
    <row r="288" spans="1:4">
      <c r="A288" s="655">
        <f t="array" ref="A288">IF(INDEX('DTFR RWCDS A-Text'!$B:$G,MATCH(1,(_xlfn.NUMBERVALUE(MID('Consolidated Sites and BBLs'!$B288,2,5))='DTFR RWCDS A-Text'!$C:$C)*(_xlfn.NUMBERVALUE(MID('Consolidated Sites and BBLs'!$B288,7,4))='DTFR RWCDS A-Text'!$D:$D),0),1)=0,A287,INDEX('DTFR RWCDS A-Text'!$B:$G,MATCH(1,(_xlfn.NUMBERVALUE(MID('Consolidated Sites and BBLs'!$B288,2,5))='DTFR RWCDS A-Text'!$C:$C)*(_xlfn.NUMBERVALUE(MID('Consolidated Sites and BBLs'!$B288,7,4))='DTFR RWCDS A-Text'!$D:$D),0),1))</f>
        <v>11</v>
      </c>
      <c r="B288" s="270" t="s">
        <v>38</v>
      </c>
      <c r="C288" t="s">
        <v>8</v>
      </c>
      <c r="D288" t="s">
        <v>9</v>
      </c>
    </row>
    <row r="289" spans="1:4">
      <c r="A289" s="655">
        <f t="array" ref="A289">IF(INDEX('DTFR RWCDS A-Text'!$B:$G,MATCH(1,(_xlfn.NUMBERVALUE(MID('Consolidated Sites and BBLs'!$B289,2,5))='DTFR RWCDS A-Text'!$C:$C)*(_xlfn.NUMBERVALUE(MID('Consolidated Sites and BBLs'!$B289,7,4))='DTFR RWCDS A-Text'!$D:$D),0),1)=0,A288,INDEX('DTFR RWCDS A-Text'!$B:$G,MATCH(1,(_xlfn.NUMBERVALUE(MID('Consolidated Sites and BBLs'!$B289,2,5))='DTFR RWCDS A-Text'!$C:$C)*(_xlfn.NUMBERVALUE(MID('Consolidated Sites and BBLs'!$B289,7,4))='DTFR RWCDS A-Text'!$D:$D),0),1))</f>
        <v>12</v>
      </c>
      <c r="B289" s="270" t="s">
        <v>39</v>
      </c>
      <c r="C289" t="s">
        <v>8</v>
      </c>
      <c r="D289" t="s">
        <v>9</v>
      </c>
    </row>
    <row r="290" spans="1:4">
      <c r="A290" s="655">
        <f t="array" ref="A290">IF(INDEX('DTFR RWCDS A-Text'!$B:$G,MATCH(1,(_xlfn.NUMBERVALUE(MID('Consolidated Sites and BBLs'!$B290,2,5))='DTFR RWCDS A-Text'!$C:$C)*(_xlfn.NUMBERVALUE(MID('Consolidated Sites and BBLs'!$B290,7,4))='DTFR RWCDS A-Text'!$D:$D),0),1)=0,A289,INDEX('DTFR RWCDS A-Text'!$B:$G,MATCH(1,(_xlfn.NUMBERVALUE(MID('Consolidated Sites and BBLs'!$B290,2,5))='DTFR RWCDS A-Text'!$C:$C)*(_xlfn.NUMBERVALUE(MID('Consolidated Sites and BBLs'!$B290,7,4))='DTFR RWCDS A-Text'!$D:$D),0),1))</f>
        <v>13</v>
      </c>
      <c r="B290" s="270" t="s">
        <v>40</v>
      </c>
      <c r="C290" t="s">
        <v>8</v>
      </c>
      <c r="D290" t="s">
        <v>9</v>
      </c>
    </row>
    <row r="291" spans="1:4">
      <c r="A291" s="655">
        <f t="array" ref="A291">IF(INDEX('DTFR RWCDS A-Text'!$B:$G,MATCH(1,(_xlfn.NUMBERVALUE(MID('Consolidated Sites and BBLs'!$B291,2,5))='DTFR RWCDS A-Text'!$C:$C)*(_xlfn.NUMBERVALUE(MID('Consolidated Sites and BBLs'!$B291,7,4))='DTFR RWCDS A-Text'!$D:$D),0),1)=0,A290,INDEX('DTFR RWCDS A-Text'!$B:$G,MATCH(1,(_xlfn.NUMBERVALUE(MID('Consolidated Sites and BBLs'!$B291,2,5))='DTFR RWCDS A-Text'!$C:$C)*(_xlfn.NUMBERVALUE(MID('Consolidated Sites and BBLs'!$B291,7,4))='DTFR RWCDS A-Text'!$D:$D),0),1))</f>
        <v>14</v>
      </c>
      <c r="B291" s="270" t="s">
        <v>41</v>
      </c>
      <c r="C291" t="s">
        <v>8</v>
      </c>
      <c r="D291" t="s">
        <v>9</v>
      </c>
    </row>
    <row r="292" spans="1:4">
      <c r="A292" s="655">
        <f t="array" ref="A292">IF(INDEX('DTFR RWCDS A-Text'!$B:$G,MATCH(1,(_xlfn.NUMBERVALUE(MID('Consolidated Sites and BBLs'!$B292,2,5))='DTFR RWCDS A-Text'!$C:$C)*(_xlfn.NUMBERVALUE(MID('Consolidated Sites and BBLs'!$B292,7,4))='DTFR RWCDS A-Text'!$D:$D),0),1)=0,A291,INDEX('DTFR RWCDS A-Text'!$B:$G,MATCH(1,(_xlfn.NUMBERVALUE(MID('Consolidated Sites and BBLs'!$B292,2,5))='DTFR RWCDS A-Text'!$C:$C)*(_xlfn.NUMBERVALUE(MID('Consolidated Sites and BBLs'!$B292,7,4))='DTFR RWCDS A-Text'!$D:$D),0),1))</f>
        <v>15</v>
      </c>
      <c r="B292" s="270" t="s">
        <v>42</v>
      </c>
      <c r="C292" t="s">
        <v>8</v>
      </c>
      <c r="D292" t="s">
        <v>9</v>
      </c>
    </row>
    <row r="293" spans="1:4">
      <c r="A293" s="655">
        <f t="array" ref="A293">IF(INDEX('DTFR RWCDS A-Text'!$B:$G,MATCH(1,(_xlfn.NUMBERVALUE(MID('Consolidated Sites and BBLs'!$B293,2,5))='DTFR RWCDS A-Text'!$C:$C)*(_xlfn.NUMBERVALUE(MID('Consolidated Sites and BBLs'!$B293,7,4))='DTFR RWCDS A-Text'!$D:$D),0),1)=0,A292,INDEX('DTFR RWCDS A-Text'!$B:$G,MATCH(1,(_xlfn.NUMBERVALUE(MID('Consolidated Sites and BBLs'!$B293,2,5))='DTFR RWCDS A-Text'!$C:$C)*(_xlfn.NUMBERVALUE(MID('Consolidated Sites and BBLs'!$B293,7,4))='DTFR RWCDS A-Text'!$D:$D),0),1))</f>
        <v>15</v>
      </c>
      <c r="B293" s="270" t="s">
        <v>43</v>
      </c>
      <c r="C293" t="s">
        <v>8</v>
      </c>
      <c r="D293" t="s">
        <v>9</v>
      </c>
    </row>
    <row r="294" spans="1:4">
      <c r="A294" s="655">
        <f t="array" ref="A294">IF(INDEX('DTFR RWCDS A-Text'!$B:$G,MATCH(1,(_xlfn.NUMBERVALUE(MID('Consolidated Sites and BBLs'!$B294,2,5))='DTFR RWCDS A-Text'!$C:$C)*(_xlfn.NUMBERVALUE(MID('Consolidated Sites and BBLs'!$B294,7,4))='DTFR RWCDS A-Text'!$D:$D),0),1)=0,A293,INDEX('DTFR RWCDS A-Text'!$B:$G,MATCH(1,(_xlfn.NUMBERVALUE(MID('Consolidated Sites and BBLs'!$B294,2,5))='DTFR RWCDS A-Text'!$C:$C)*(_xlfn.NUMBERVALUE(MID('Consolidated Sites and BBLs'!$B294,7,4))='DTFR RWCDS A-Text'!$D:$D),0),1))</f>
        <v>15</v>
      </c>
      <c r="B294" s="270" t="s">
        <v>44</v>
      </c>
      <c r="C294" t="s">
        <v>8</v>
      </c>
      <c r="D294" t="s">
        <v>9</v>
      </c>
    </row>
    <row r="295" spans="1:4">
      <c r="A295" s="655">
        <f t="array" ref="A295">IF(INDEX('DTFR RWCDS A-Text'!$B:$G,MATCH(1,(_xlfn.NUMBERVALUE(MID('Consolidated Sites and BBLs'!$B295,2,5))='DTFR RWCDS A-Text'!$C:$C)*(_xlfn.NUMBERVALUE(MID('Consolidated Sites and BBLs'!$B295,7,4))='DTFR RWCDS A-Text'!$D:$D),0),1)=0,A294,INDEX('DTFR RWCDS A-Text'!$B:$G,MATCH(1,(_xlfn.NUMBERVALUE(MID('Consolidated Sites and BBLs'!$B295,2,5))='DTFR RWCDS A-Text'!$C:$C)*(_xlfn.NUMBERVALUE(MID('Consolidated Sites and BBLs'!$B295,7,4))='DTFR RWCDS A-Text'!$D:$D),0),1))</f>
        <v>15</v>
      </c>
      <c r="B295" s="270" t="s">
        <v>45</v>
      </c>
      <c r="C295" t="s">
        <v>8</v>
      </c>
      <c r="D295" t="s">
        <v>9</v>
      </c>
    </row>
    <row r="296" spans="1:4">
      <c r="A296" s="655">
        <f t="array" ref="A296">IF(INDEX('DTFR RWCDS A-Text'!$B:$G,MATCH(1,(_xlfn.NUMBERVALUE(MID('Consolidated Sites and BBLs'!$B296,2,5))='DTFR RWCDS A-Text'!$C:$C)*(_xlfn.NUMBERVALUE(MID('Consolidated Sites and BBLs'!$B296,7,4))='DTFR RWCDS A-Text'!$D:$D),0),1)=0,A295,INDEX('DTFR RWCDS A-Text'!$B:$G,MATCH(1,(_xlfn.NUMBERVALUE(MID('Consolidated Sites and BBLs'!$B296,2,5))='DTFR RWCDS A-Text'!$C:$C)*(_xlfn.NUMBERVALUE(MID('Consolidated Sites and BBLs'!$B296,7,4))='DTFR RWCDS A-Text'!$D:$D),0),1))</f>
        <v>15</v>
      </c>
      <c r="B296" s="270" t="s">
        <v>46</v>
      </c>
      <c r="C296" t="s">
        <v>8</v>
      </c>
      <c r="D296" t="s">
        <v>9</v>
      </c>
    </row>
    <row r="297" spans="1:4">
      <c r="A297" s="655">
        <f t="array" ref="A297">IF(INDEX('DTFR RWCDS A-Text'!$B:$G,MATCH(1,(_xlfn.NUMBERVALUE(MID('Consolidated Sites and BBLs'!$B297,2,5))='DTFR RWCDS A-Text'!$C:$C)*(_xlfn.NUMBERVALUE(MID('Consolidated Sites and BBLs'!$B297,7,4))='DTFR RWCDS A-Text'!$D:$D),0),1)=0,A296,INDEX('DTFR RWCDS A-Text'!$B:$G,MATCH(1,(_xlfn.NUMBERVALUE(MID('Consolidated Sites and BBLs'!$B297,2,5))='DTFR RWCDS A-Text'!$C:$C)*(_xlfn.NUMBERVALUE(MID('Consolidated Sites and BBLs'!$B297,7,4))='DTFR RWCDS A-Text'!$D:$D),0),1))</f>
        <v>16</v>
      </c>
      <c r="B297" s="270" t="s">
        <v>47</v>
      </c>
      <c r="C297" t="s">
        <v>8</v>
      </c>
      <c r="D297" t="s">
        <v>9</v>
      </c>
    </row>
    <row r="298" spans="1:4">
      <c r="A298" s="655">
        <f t="array" ref="A298">IF(INDEX('DTFR RWCDS A-Text'!$B:$G,MATCH(1,(_xlfn.NUMBERVALUE(MID('Consolidated Sites and BBLs'!$B298,2,5))='DTFR RWCDS A-Text'!$C:$C)*(_xlfn.NUMBERVALUE(MID('Consolidated Sites and BBLs'!$B298,7,4))='DTFR RWCDS A-Text'!$D:$D),0),1)=0,A297,INDEX('DTFR RWCDS A-Text'!$B:$G,MATCH(1,(_xlfn.NUMBERVALUE(MID('Consolidated Sites and BBLs'!$B298,2,5))='DTFR RWCDS A-Text'!$C:$C)*(_xlfn.NUMBERVALUE(MID('Consolidated Sites and BBLs'!$B298,7,4))='DTFR RWCDS A-Text'!$D:$D),0),1))</f>
        <v>16</v>
      </c>
      <c r="B298" s="270" t="s">
        <v>48</v>
      </c>
      <c r="C298" t="s">
        <v>8</v>
      </c>
      <c r="D298" t="s">
        <v>9</v>
      </c>
    </row>
    <row r="299" spans="1:4">
      <c r="A299" s="655">
        <f t="array" ref="A299">IF(INDEX('DTFR RWCDS A-Text'!$B:$G,MATCH(1,(_xlfn.NUMBERVALUE(MID('Consolidated Sites and BBLs'!$B299,2,5))='DTFR RWCDS A-Text'!$C:$C)*(_xlfn.NUMBERVALUE(MID('Consolidated Sites and BBLs'!$B299,7,4))='DTFR RWCDS A-Text'!$D:$D),0),1)=0,A298,INDEX('DTFR RWCDS A-Text'!$B:$G,MATCH(1,(_xlfn.NUMBERVALUE(MID('Consolidated Sites and BBLs'!$B299,2,5))='DTFR RWCDS A-Text'!$C:$C)*(_xlfn.NUMBERVALUE(MID('Consolidated Sites and BBLs'!$B299,7,4))='DTFR RWCDS A-Text'!$D:$D),0),1))</f>
        <v>17</v>
      </c>
      <c r="B299" s="270" t="s">
        <v>49</v>
      </c>
      <c r="C299" t="s">
        <v>8</v>
      </c>
      <c r="D299" t="s">
        <v>9</v>
      </c>
    </row>
    <row r="300" spans="1:4">
      <c r="A300" s="655">
        <f t="array" ref="A300">IF(INDEX('DTFR RWCDS A-Text'!$B:$G,MATCH(1,(_xlfn.NUMBERVALUE(MID('Consolidated Sites and BBLs'!$B300,2,5))='DTFR RWCDS A-Text'!$C:$C)*(_xlfn.NUMBERVALUE(MID('Consolidated Sites and BBLs'!$B300,7,4))='DTFR RWCDS A-Text'!$D:$D),0),1)=0,A299,INDEX('DTFR RWCDS A-Text'!$B:$G,MATCH(1,(_xlfn.NUMBERVALUE(MID('Consolidated Sites and BBLs'!$B300,2,5))='DTFR RWCDS A-Text'!$C:$C)*(_xlfn.NUMBERVALUE(MID('Consolidated Sites and BBLs'!$B300,7,4))='DTFR RWCDS A-Text'!$D:$D),0),1))</f>
        <v>18</v>
      </c>
      <c r="B300" s="270" t="s">
        <v>50</v>
      </c>
      <c r="C300" t="s">
        <v>8</v>
      </c>
      <c r="D300" t="s">
        <v>9</v>
      </c>
    </row>
    <row r="301" spans="1:4">
      <c r="A301" s="655">
        <f t="array" ref="A301">IF(INDEX('DTFR RWCDS A-Text'!$B:$G,MATCH(1,(_xlfn.NUMBERVALUE(MID('Consolidated Sites and BBLs'!$B301,2,5))='DTFR RWCDS A-Text'!$C:$C)*(_xlfn.NUMBERVALUE(MID('Consolidated Sites and BBLs'!$B301,7,4))='DTFR RWCDS A-Text'!$D:$D),0),1)=0,A300,INDEX('DTFR RWCDS A-Text'!$B:$G,MATCH(1,(_xlfn.NUMBERVALUE(MID('Consolidated Sites and BBLs'!$B301,2,5))='DTFR RWCDS A-Text'!$C:$C)*(_xlfn.NUMBERVALUE(MID('Consolidated Sites and BBLs'!$B301,7,4))='DTFR RWCDS A-Text'!$D:$D),0),1))</f>
        <v>19</v>
      </c>
      <c r="B301" s="270" t="s">
        <v>51</v>
      </c>
      <c r="C301" t="s">
        <v>8</v>
      </c>
      <c r="D301" t="s">
        <v>9</v>
      </c>
    </row>
    <row r="302" spans="1:4">
      <c r="A302" s="655">
        <f t="array" ref="A302">IF(INDEX('DTFR RWCDS A-Text'!$B:$G,MATCH(1,(_xlfn.NUMBERVALUE(MID('Consolidated Sites and BBLs'!$B302,2,5))='DTFR RWCDS A-Text'!$C:$C)*(_xlfn.NUMBERVALUE(MID('Consolidated Sites and BBLs'!$B302,7,4))='DTFR RWCDS A-Text'!$D:$D),0),1)=0,A301,INDEX('DTFR RWCDS A-Text'!$B:$G,MATCH(1,(_xlfn.NUMBERVALUE(MID('Consolidated Sites and BBLs'!$B302,2,5))='DTFR RWCDS A-Text'!$C:$C)*(_xlfn.NUMBERVALUE(MID('Consolidated Sites and BBLs'!$B302,7,4))='DTFR RWCDS A-Text'!$D:$D),0),1))</f>
        <v>19</v>
      </c>
      <c r="B302" s="270" t="s">
        <v>52</v>
      </c>
      <c r="C302" t="s">
        <v>8</v>
      </c>
      <c r="D302" t="s">
        <v>9</v>
      </c>
    </row>
    <row r="303" spans="1:4">
      <c r="A303" s="655">
        <f t="array" ref="A303">IF(INDEX('DTFR RWCDS A-Text'!$B:$G,MATCH(1,(_xlfn.NUMBERVALUE(MID('Consolidated Sites and BBLs'!$B303,2,5))='DTFR RWCDS A-Text'!$C:$C)*(_xlfn.NUMBERVALUE(MID('Consolidated Sites and BBLs'!$B303,7,4))='DTFR RWCDS A-Text'!$D:$D),0),1)=0,A302,INDEX('DTFR RWCDS A-Text'!$B:$G,MATCH(1,(_xlfn.NUMBERVALUE(MID('Consolidated Sites and BBLs'!$B303,2,5))='DTFR RWCDS A-Text'!$C:$C)*(_xlfn.NUMBERVALUE(MID('Consolidated Sites and BBLs'!$B303,7,4))='DTFR RWCDS A-Text'!$D:$D),0),1))</f>
        <v>19</v>
      </c>
      <c r="B303" s="270" t="s">
        <v>53</v>
      </c>
      <c r="C303" t="s">
        <v>8</v>
      </c>
      <c r="D303" t="s">
        <v>9</v>
      </c>
    </row>
    <row r="304" spans="1:4">
      <c r="A304" s="655">
        <f t="array" ref="A304">IF(INDEX('DTFR RWCDS A-Text'!$B:$G,MATCH(1,(_xlfn.NUMBERVALUE(MID('Consolidated Sites and BBLs'!$B304,2,5))='DTFR RWCDS A-Text'!$C:$C)*(_xlfn.NUMBERVALUE(MID('Consolidated Sites and BBLs'!$B304,7,4))='DTFR RWCDS A-Text'!$D:$D),0),1)=0,A303,INDEX('DTFR RWCDS A-Text'!$B:$G,MATCH(1,(_xlfn.NUMBERVALUE(MID('Consolidated Sites and BBLs'!$B304,2,5))='DTFR RWCDS A-Text'!$C:$C)*(_xlfn.NUMBERVALUE(MID('Consolidated Sites and BBLs'!$B304,7,4))='DTFR RWCDS A-Text'!$D:$D),0),1))</f>
        <v>19</v>
      </c>
      <c r="B304" s="270" t="s">
        <v>54</v>
      </c>
      <c r="C304" t="s">
        <v>8</v>
      </c>
      <c r="D304" t="s">
        <v>9</v>
      </c>
    </row>
    <row r="305" spans="1:4">
      <c r="A305" s="655">
        <f t="array" ref="A305">IF(INDEX('DTFR RWCDS A-Text'!$B:$G,MATCH(1,(_xlfn.NUMBERVALUE(MID('Consolidated Sites and BBLs'!$B305,2,5))='DTFR RWCDS A-Text'!$C:$C)*(_xlfn.NUMBERVALUE(MID('Consolidated Sites and BBLs'!$B305,7,4))='DTFR RWCDS A-Text'!$D:$D),0),1)=0,A304,INDEX('DTFR RWCDS A-Text'!$B:$G,MATCH(1,(_xlfn.NUMBERVALUE(MID('Consolidated Sites and BBLs'!$B305,2,5))='DTFR RWCDS A-Text'!$C:$C)*(_xlfn.NUMBERVALUE(MID('Consolidated Sites and BBLs'!$B305,7,4))='DTFR RWCDS A-Text'!$D:$D),0),1))</f>
        <v>19</v>
      </c>
      <c r="B305" s="270" t="s">
        <v>55</v>
      </c>
      <c r="C305" t="s">
        <v>8</v>
      </c>
      <c r="D305" t="s">
        <v>9</v>
      </c>
    </row>
    <row r="306" spans="1:4">
      <c r="A306" s="655" t="str">
        <f t="array" ref="A306">IF(INDEX('DTFR RWCDS A-Text'!$B:$G,MATCH(1,(_xlfn.NUMBERVALUE(MID('Consolidated Sites and BBLs'!$B306,2,5))='DTFR RWCDS A-Text'!$C:$C)*(_xlfn.NUMBERVALUE(MID('Consolidated Sites and BBLs'!$B306,7,4))='DTFR RWCDS A-Text'!$D:$D),0),1)=0,A305,INDEX('DTFR RWCDS A-Text'!$B:$G,MATCH(1,(_xlfn.NUMBERVALUE(MID('Consolidated Sites and BBLs'!$B306,2,5))='DTFR RWCDS A-Text'!$C:$C)*(_xlfn.NUMBERVALUE(MID('Consolidated Sites and BBLs'!$B306,7,4))='DTFR RWCDS A-Text'!$D:$D),0),1))</f>
        <v>DFRURA</v>
      </c>
      <c r="B306" s="270" t="s">
        <v>56</v>
      </c>
      <c r="C306" t="s">
        <v>8</v>
      </c>
      <c r="D306" t="s">
        <v>9</v>
      </c>
    </row>
    <row r="307" spans="1:4">
      <c r="A307" s="655" t="str">
        <f t="array" ref="A307">IF(INDEX('DTFR RWCDS A-Text'!$B:$G,MATCH(1,(_xlfn.NUMBERVALUE(MID('Consolidated Sites and BBLs'!$B307,2,5))='DTFR RWCDS A-Text'!$C:$C)*(_xlfn.NUMBERVALUE(MID('Consolidated Sites and BBLs'!$B307,7,4))='DTFR RWCDS A-Text'!$D:$D),0),1)=0,A306,INDEX('DTFR RWCDS A-Text'!$B:$G,MATCH(1,(_xlfn.NUMBERVALUE(MID('Consolidated Sites and BBLs'!$B307,2,5))='DTFR RWCDS A-Text'!$C:$C)*(_xlfn.NUMBERVALUE(MID('Consolidated Sites and BBLs'!$B307,7,4))='DTFR RWCDS A-Text'!$D:$D),0),1))</f>
        <v>DFRURA</v>
      </c>
      <c r="B307" s="270" t="s">
        <v>57</v>
      </c>
      <c r="C307" t="s">
        <v>8</v>
      </c>
      <c r="D307" t="s">
        <v>9</v>
      </c>
    </row>
    <row r="308" spans="1:4">
      <c r="A308" s="655" t="str">
        <f t="array" ref="A308">IF(INDEX('DTFR RWCDS A-Text'!$B:$G,MATCH(1,(_xlfn.NUMBERVALUE(MID('Consolidated Sites and BBLs'!$B308,2,5))='DTFR RWCDS A-Text'!$C:$C)*(_xlfn.NUMBERVALUE(MID('Consolidated Sites and BBLs'!$B308,7,4))='DTFR RWCDS A-Text'!$D:$D),0),1)=0,A307,INDEX('DTFR RWCDS A-Text'!$B:$G,MATCH(1,(_xlfn.NUMBERVALUE(MID('Consolidated Sites and BBLs'!$B308,2,5))='DTFR RWCDS A-Text'!$C:$C)*(_xlfn.NUMBERVALUE(MID('Consolidated Sites and BBLs'!$B308,7,4))='DTFR RWCDS A-Text'!$D:$D),0),1))</f>
        <v>DFRURA</v>
      </c>
      <c r="B308" s="270" t="s">
        <v>58</v>
      </c>
      <c r="C308" t="s">
        <v>8</v>
      </c>
      <c r="D308" t="s">
        <v>9</v>
      </c>
    </row>
    <row r="309" spans="1:4">
      <c r="A309" s="655" t="str">
        <f t="array" ref="A309">IF(INDEX('DTFR RWCDS A-Text'!$B:$G,MATCH(1,(_xlfn.NUMBERVALUE(MID('Consolidated Sites and BBLs'!$B309,2,5))='DTFR RWCDS A-Text'!$C:$C)*(_xlfn.NUMBERVALUE(MID('Consolidated Sites and BBLs'!$B309,7,4))='DTFR RWCDS A-Text'!$D:$D),0),1)=0,A308,INDEX('DTFR RWCDS A-Text'!$B:$G,MATCH(1,(_xlfn.NUMBERVALUE(MID('Consolidated Sites and BBLs'!$B309,2,5))='DTFR RWCDS A-Text'!$C:$C)*(_xlfn.NUMBERVALUE(MID('Consolidated Sites and BBLs'!$B309,7,4))='DTFR RWCDS A-Text'!$D:$D),0),1))</f>
        <v>DFRURA</v>
      </c>
      <c r="B309" s="270" t="s">
        <v>59</v>
      </c>
      <c r="C309" t="s">
        <v>8</v>
      </c>
      <c r="D309" t="s">
        <v>9</v>
      </c>
    </row>
    <row r="310" spans="1:4">
      <c r="A310" s="655" t="str">
        <f t="array" ref="A310">IF(INDEX('DTFR RWCDS A-Text'!$B:$G,MATCH(1,(_xlfn.NUMBERVALUE(MID('Consolidated Sites and BBLs'!$B310,2,5))='DTFR RWCDS A-Text'!$C:$C)*(_xlfn.NUMBERVALUE(MID('Consolidated Sites and BBLs'!$B310,7,4))='DTFR RWCDS A-Text'!$D:$D),0),1)=0,A309,INDEX('DTFR RWCDS A-Text'!$B:$G,MATCH(1,(_xlfn.NUMBERVALUE(MID('Consolidated Sites and BBLs'!$B310,2,5))='DTFR RWCDS A-Text'!$C:$C)*(_xlfn.NUMBERVALUE(MID('Consolidated Sites and BBLs'!$B310,7,4))='DTFR RWCDS A-Text'!$D:$D),0),1))</f>
        <v>DFRURA</v>
      </c>
      <c r="B310" s="270" t="s">
        <v>60</v>
      </c>
      <c r="C310" t="s">
        <v>8</v>
      </c>
      <c r="D310" t="s">
        <v>9</v>
      </c>
    </row>
    <row r="311" spans="1:4">
      <c r="A311" s="655" t="str">
        <f t="array" ref="A311">IF(INDEX('DTFR RWCDS A-Text'!$B:$G,MATCH(1,(_xlfn.NUMBERVALUE(MID('Consolidated Sites and BBLs'!$B311,2,5))='DTFR RWCDS A-Text'!$C:$C)*(_xlfn.NUMBERVALUE(MID('Consolidated Sites and BBLs'!$B311,7,4))='DTFR RWCDS A-Text'!$D:$D),0),1)=0,A310,INDEX('DTFR RWCDS A-Text'!$B:$G,MATCH(1,(_xlfn.NUMBERVALUE(MID('Consolidated Sites and BBLs'!$B311,2,5))='DTFR RWCDS A-Text'!$C:$C)*(_xlfn.NUMBERVALUE(MID('Consolidated Sites and BBLs'!$B311,7,4))='DTFR RWCDS A-Text'!$D:$D),0),1))</f>
        <v>DFRURA</v>
      </c>
      <c r="B311" s="270" t="s">
        <v>61</v>
      </c>
      <c r="C311" t="s">
        <v>8</v>
      </c>
      <c r="D311" t="s">
        <v>9</v>
      </c>
    </row>
    <row r="312" spans="1:4">
      <c r="A312" s="655" t="str">
        <f t="array" ref="A312">IF(INDEX('DTFR RWCDS A-Text'!$B:$G,MATCH(1,(_xlfn.NUMBERVALUE(MID('Consolidated Sites and BBLs'!$B312,2,5))='DTFR RWCDS A-Text'!$C:$C)*(_xlfn.NUMBERVALUE(MID('Consolidated Sites and BBLs'!$B312,7,4))='DTFR RWCDS A-Text'!$D:$D),0),1)=0,A311,INDEX('DTFR RWCDS A-Text'!$B:$G,MATCH(1,(_xlfn.NUMBERVALUE(MID('Consolidated Sites and BBLs'!$B312,2,5))='DTFR RWCDS A-Text'!$C:$C)*(_xlfn.NUMBERVALUE(MID('Consolidated Sites and BBLs'!$B312,7,4))='DTFR RWCDS A-Text'!$D:$D),0),1))</f>
        <v>DFRURA</v>
      </c>
      <c r="B312" s="270" t="s">
        <v>62</v>
      </c>
      <c r="C312" t="s">
        <v>8</v>
      </c>
      <c r="D312" t="s">
        <v>9</v>
      </c>
    </row>
    <row r="313" spans="1:4">
      <c r="A313" s="655" t="str">
        <f t="array" ref="A313">IF(INDEX('DTFR RWCDS A-Text'!$B:$G,MATCH(1,(_xlfn.NUMBERVALUE(MID('Consolidated Sites and BBLs'!$B313,2,5))='DTFR RWCDS A-Text'!$C:$C)*(_xlfn.NUMBERVALUE(MID('Consolidated Sites and BBLs'!$B313,7,4))='DTFR RWCDS A-Text'!$D:$D),0),1)=0,A312,INDEX('DTFR RWCDS A-Text'!$B:$G,MATCH(1,(_xlfn.NUMBERVALUE(MID('Consolidated Sites and BBLs'!$B313,2,5))='DTFR RWCDS A-Text'!$C:$C)*(_xlfn.NUMBERVALUE(MID('Consolidated Sites and BBLs'!$B313,7,4))='DTFR RWCDS A-Text'!$D:$D),0),1))</f>
        <v>DFRURA</v>
      </c>
      <c r="B313" s="270" t="s">
        <v>63</v>
      </c>
      <c r="C313" t="s">
        <v>8</v>
      </c>
      <c r="D313" t="s">
        <v>9</v>
      </c>
    </row>
    <row r="314" spans="1:4">
      <c r="A314" s="655" t="str">
        <f t="array" ref="A314">IF(INDEX('DTFR RWCDS A-Text'!$B:$G,MATCH(1,(_xlfn.NUMBERVALUE(MID('Consolidated Sites and BBLs'!$B314,2,5))='DTFR RWCDS A-Text'!$C:$C)*(_xlfn.NUMBERVALUE(MID('Consolidated Sites and BBLs'!$B314,7,4))='DTFR RWCDS A-Text'!$D:$D),0),1)=0,A313,INDEX('DTFR RWCDS A-Text'!$B:$G,MATCH(1,(_xlfn.NUMBERVALUE(MID('Consolidated Sites and BBLs'!$B314,2,5))='DTFR RWCDS A-Text'!$C:$C)*(_xlfn.NUMBERVALUE(MID('Consolidated Sites and BBLs'!$B314,7,4))='DTFR RWCDS A-Text'!$D:$D),0),1))</f>
        <v>DFRURA</v>
      </c>
      <c r="B314" s="270" t="s">
        <v>64</v>
      </c>
      <c r="C314" t="s">
        <v>8</v>
      </c>
      <c r="D314" t="s">
        <v>9</v>
      </c>
    </row>
    <row r="315" spans="1:4">
      <c r="A315" s="655" t="str">
        <f t="array" ref="A315">IF(INDEX('DTFR RWCDS A-Text'!$B:$G,MATCH(1,(_xlfn.NUMBERVALUE(MID('Consolidated Sites and BBLs'!$B315,2,5))='DTFR RWCDS A-Text'!$C:$C)*(_xlfn.NUMBERVALUE(MID('Consolidated Sites and BBLs'!$B315,7,4))='DTFR RWCDS A-Text'!$D:$D),0),1)=0,A314,INDEX('DTFR RWCDS A-Text'!$B:$G,MATCH(1,(_xlfn.NUMBERVALUE(MID('Consolidated Sites and BBLs'!$B315,2,5))='DTFR RWCDS A-Text'!$C:$C)*(_xlfn.NUMBERVALUE(MID('Consolidated Sites and BBLs'!$B315,7,4))='DTFR RWCDS A-Text'!$D:$D),0),1))</f>
        <v>DFRURA</v>
      </c>
      <c r="B315" s="270" t="s">
        <v>65</v>
      </c>
      <c r="C315" t="s">
        <v>8</v>
      </c>
      <c r="D315" t="s">
        <v>9</v>
      </c>
    </row>
    <row r="316" spans="1:4">
      <c r="A316" s="655" t="str">
        <f t="array" ref="A316">IF(INDEX('DTFR RWCDS A-Text'!$B:$G,MATCH(1,(_xlfn.NUMBERVALUE(MID('Consolidated Sites and BBLs'!$B316,2,5))='DTFR RWCDS A-Text'!$C:$C)*(_xlfn.NUMBERVALUE(MID('Consolidated Sites and BBLs'!$B316,7,4))='DTFR RWCDS A-Text'!$D:$D),0),1)=0,A315,INDEX('DTFR RWCDS A-Text'!$B:$G,MATCH(1,(_xlfn.NUMBERVALUE(MID('Consolidated Sites and BBLs'!$B316,2,5))='DTFR RWCDS A-Text'!$C:$C)*(_xlfn.NUMBERVALUE(MID('Consolidated Sites and BBLs'!$B316,7,4))='DTFR RWCDS A-Text'!$D:$D),0),1))</f>
        <v>DFRURA</v>
      </c>
      <c r="B316" s="270" t="s">
        <v>66</v>
      </c>
      <c r="C316" t="s">
        <v>8</v>
      </c>
      <c r="D316" t="s">
        <v>9</v>
      </c>
    </row>
    <row r="317" spans="1:4">
      <c r="A317" s="655" t="str">
        <f t="array" ref="A317">IF(INDEX('DTFR RWCDS A-Text'!$B:$G,MATCH(1,(_xlfn.NUMBERVALUE(MID('Consolidated Sites and BBLs'!$B317,2,5))='DTFR RWCDS A-Text'!$C:$C)*(_xlfn.NUMBERVALUE(MID('Consolidated Sites and BBLs'!$B317,7,4))='DTFR RWCDS A-Text'!$D:$D),0),1)=0,A316,INDEX('DTFR RWCDS A-Text'!$B:$G,MATCH(1,(_xlfn.NUMBERVALUE(MID('Consolidated Sites and BBLs'!$B317,2,5))='DTFR RWCDS A-Text'!$C:$C)*(_xlfn.NUMBERVALUE(MID('Consolidated Sites and BBLs'!$B317,7,4))='DTFR RWCDS A-Text'!$D:$D),0),1))</f>
        <v>DFRURA</v>
      </c>
      <c r="B317" s="270" t="s">
        <v>67</v>
      </c>
      <c r="C317" t="s">
        <v>8</v>
      </c>
      <c r="D317" t="s">
        <v>9</v>
      </c>
    </row>
    <row r="318" spans="1:4">
      <c r="A318" s="655" t="str">
        <f t="array" ref="A318">IF(INDEX('DTFR RWCDS A-Text'!$B:$G,MATCH(1,(_xlfn.NUMBERVALUE(MID('Consolidated Sites and BBLs'!$B318,2,5))='DTFR RWCDS A-Text'!$C:$C)*(_xlfn.NUMBERVALUE(MID('Consolidated Sites and BBLs'!$B318,7,4))='DTFR RWCDS A-Text'!$D:$D),0),1)=0,A317,INDEX('DTFR RWCDS A-Text'!$B:$G,MATCH(1,(_xlfn.NUMBERVALUE(MID('Consolidated Sites and BBLs'!$B318,2,5))='DTFR RWCDS A-Text'!$C:$C)*(_xlfn.NUMBERVALUE(MID('Consolidated Sites and BBLs'!$B318,7,4))='DTFR RWCDS A-Text'!$D:$D),0),1))</f>
        <v>DFRURA</v>
      </c>
      <c r="B318" s="270" t="s">
        <v>68</v>
      </c>
      <c r="C318" t="s">
        <v>8</v>
      </c>
      <c r="D318" t="s">
        <v>9</v>
      </c>
    </row>
    <row r="319" spans="1:4">
      <c r="A319" s="655" t="str">
        <f t="array" ref="A319">IF(INDEX('DTFR RWCDS A-Text'!$B:$G,MATCH(1,(_xlfn.NUMBERVALUE(MID('Consolidated Sites and BBLs'!$B319,2,5))='DTFR RWCDS A-Text'!$C:$C)*(_xlfn.NUMBERVALUE(MID('Consolidated Sites and BBLs'!$B319,7,4))='DTFR RWCDS A-Text'!$D:$D),0),1)=0,A318,INDEX('DTFR RWCDS A-Text'!$B:$G,MATCH(1,(_xlfn.NUMBERVALUE(MID('Consolidated Sites and BBLs'!$B319,2,5))='DTFR RWCDS A-Text'!$C:$C)*(_xlfn.NUMBERVALUE(MID('Consolidated Sites and BBLs'!$B319,7,4))='DTFR RWCDS A-Text'!$D:$D),0),1))</f>
        <v>DFRURA</v>
      </c>
      <c r="B319" s="270" t="s">
        <v>69</v>
      </c>
      <c r="C319" t="s">
        <v>8</v>
      </c>
      <c r="D319" t="s">
        <v>9</v>
      </c>
    </row>
    <row r="320" spans="1:4">
      <c r="A320" s="655" t="str">
        <f t="array" ref="A320">IF(INDEX('DTFR RWCDS A-Text'!$B:$G,MATCH(1,(_xlfn.NUMBERVALUE(MID('Consolidated Sites and BBLs'!$B320,2,5))='DTFR RWCDS A-Text'!$C:$C)*(_xlfn.NUMBERVALUE(MID('Consolidated Sites and BBLs'!$B320,7,4))='DTFR RWCDS A-Text'!$D:$D),0),1)=0,A319,INDEX('DTFR RWCDS A-Text'!$B:$G,MATCH(1,(_xlfn.NUMBERVALUE(MID('Consolidated Sites and BBLs'!$B320,2,5))='DTFR RWCDS A-Text'!$C:$C)*(_xlfn.NUMBERVALUE(MID('Consolidated Sites and BBLs'!$B320,7,4))='DTFR RWCDS A-Text'!$D:$D),0),1))</f>
        <v>DFRURA</v>
      </c>
      <c r="B320" s="270" t="s">
        <v>70</v>
      </c>
      <c r="C320" t="s">
        <v>8</v>
      </c>
      <c r="D320" t="s">
        <v>9</v>
      </c>
    </row>
    <row r="321" spans="1:4">
      <c r="A321" s="655" t="str">
        <f t="array" ref="A321">IF(INDEX('DTFR RWCDS A-Text'!$B:$G,MATCH(1,(_xlfn.NUMBERVALUE(MID('Consolidated Sites and BBLs'!$B321,2,5))='DTFR RWCDS A-Text'!$C:$C)*(_xlfn.NUMBERVALUE(MID('Consolidated Sites and BBLs'!$B321,7,4))='DTFR RWCDS A-Text'!$D:$D),0),1)=0,A320,INDEX('DTFR RWCDS A-Text'!$B:$G,MATCH(1,(_xlfn.NUMBERVALUE(MID('Consolidated Sites and BBLs'!$B321,2,5))='DTFR RWCDS A-Text'!$C:$C)*(_xlfn.NUMBERVALUE(MID('Consolidated Sites and BBLs'!$B321,7,4))='DTFR RWCDS A-Text'!$D:$D),0),1))</f>
        <v>DFRURA</v>
      </c>
      <c r="B321" s="270" t="s">
        <v>71</v>
      </c>
      <c r="C321" t="s">
        <v>8</v>
      </c>
      <c r="D321" t="s">
        <v>9</v>
      </c>
    </row>
    <row r="322" spans="1:4">
      <c r="A322" s="655" t="str">
        <f t="array" ref="A322">IF(INDEX('DTFR RWCDS A-Text'!$B:$G,MATCH(1,(_xlfn.NUMBERVALUE(MID('Consolidated Sites and BBLs'!$B322,2,5))='DTFR RWCDS A-Text'!$C:$C)*(_xlfn.NUMBERVALUE(MID('Consolidated Sites and BBLs'!$B322,7,4))='DTFR RWCDS A-Text'!$D:$D),0),1)=0,A321,INDEX('DTFR RWCDS A-Text'!$B:$G,MATCH(1,(_xlfn.NUMBERVALUE(MID('Consolidated Sites and BBLs'!$B322,2,5))='DTFR RWCDS A-Text'!$C:$C)*(_xlfn.NUMBERVALUE(MID('Consolidated Sites and BBLs'!$B322,7,4))='DTFR RWCDS A-Text'!$D:$D),0),1))</f>
        <v>DFRURA</v>
      </c>
      <c r="B322" s="270" t="s">
        <v>72</v>
      </c>
      <c r="C322" t="s">
        <v>8</v>
      </c>
      <c r="D322" t="s">
        <v>9</v>
      </c>
    </row>
    <row r="323" spans="1:4">
      <c r="A323" s="655" t="str">
        <f t="array" ref="A323">IF(INDEX('DTFR RWCDS A-Text'!$B:$G,MATCH(1,(_xlfn.NUMBERVALUE(MID('Consolidated Sites and BBLs'!$B323,2,5))='DTFR RWCDS A-Text'!$C:$C)*(_xlfn.NUMBERVALUE(MID('Consolidated Sites and BBLs'!$B323,7,4))='DTFR RWCDS A-Text'!$D:$D),0),1)=0,A322,INDEX('DTFR RWCDS A-Text'!$B:$G,MATCH(1,(_xlfn.NUMBERVALUE(MID('Consolidated Sites and BBLs'!$B323,2,5))='DTFR RWCDS A-Text'!$C:$C)*(_xlfn.NUMBERVALUE(MID('Consolidated Sites and BBLs'!$B323,7,4))='DTFR RWCDS A-Text'!$D:$D),0),1))</f>
        <v>DFRURA</v>
      </c>
      <c r="B323" s="270" t="s">
        <v>73</v>
      </c>
      <c r="C323" t="s">
        <v>8</v>
      </c>
      <c r="D323" t="s">
        <v>9</v>
      </c>
    </row>
    <row r="324" spans="1:4">
      <c r="A324" s="655" t="str">
        <f t="array" ref="A324">IF(INDEX('DTFR RWCDS A-Text'!$B:$G,MATCH(1,(_xlfn.NUMBERVALUE(MID('Consolidated Sites and BBLs'!$B324,2,5))='DTFR RWCDS A-Text'!$C:$C)*(_xlfn.NUMBERVALUE(MID('Consolidated Sites and BBLs'!$B324,7,4))='DTFR RWCDS A-Text'!$D:$D),0),1)=0,A323,INDEX('DTFR RWCDS A-Text'!$B:$G,MATCH(1,(_xlfn.NUMBERVALUE(MID('Consolidated Sites and BBLs'!$B324,2,5))='DTFR RWCDS A-Text'!$C:$C)*(_xlfn.NUMBERVALUE(MID('Consolidated Sites and BBLs'!$B324,7,4))='DTFR RWCDS A-Text'!$D:$D),0),1))</f>
        <v>DFRURA</v>
      </c>
      <c r="B324" s="270" t="s">
        <v>74</v>
      </c>
      <c r="C324" t="s">
        <v>8</v>
      </c>
      <c r="D324" t="s">
        <v>9</v>
      </c>
    </row>
    <row r="325" spans="1:4">
      <c r="A325" s="655" t="str">
        <f t="array" ref="A325">IF(INDEX('DTFR RWCDS A-Text'!$B:$G,MATCH(1,(_xlfn.NUMBERVALUE(MID('Consolidated Sites and BBLs'!$B325,2,5))='DTFR RWCDS A-Text'!$C:$C)*(_xlfn.NUMBERVALUE(MID('Consolidated Sites and BBLs'!$B325,7,4))='DTFR RWCDS A-Text'!$D:$D),0),1)=0,A324,INDEX('DTFR RWCDS A-Text'!$B:$G,MATCH(1,(_xlfn.NUMBERVALUE(MID('Consolidated Sites and BBLs'!$B325,2,5))='DTFR RWCDS A-Text'!$C:$C)*(_xlfn.NUMBERVALUE(MID('Consolidated Sites and BBLs'!$B325,7,4))='DTFR RWCDS A-Text'!$D:$D),0),1))</f>
        <v>DFRURA</v>
      </c>
      <c r="B325" s="270" t="s">
        <v>75</v>
      </c>
      <c r="C325" t="s">
        <v>8</v>
      </c>
      <c r="D325" t="s">
        <v>9</v>
      </c>
    </row>
    <row r="326" spans="1:4">
      <c r="A326" s="655" t="str">
        <f t="array" ref="A326">IF(INDEX('DTFR RWCDS A-Text'!$B:$G,MATCH(1,(_xlfn.NUMBERVALUE(MID('Consolidated Sites and BBLs'!$B326,2,5))='DTFR RWCDS A-Text'!$C:$C)*(_xlfn.NUMBERVALUE(MID('Consolidated Sites and BBLs'!$B326,7,4))='DTFR RWCDS A-Text'!$D:$D),0),1)=0,A325,INDEX('DTFR RWCDS A-Text'!$B:$G,MATCH(1,(_xlfn.NUMBERVALUE(MID('Consolidated Sites and BBLs'!$B326,2,5))='DTFR RWCDS A-Text'!$C:$C)*(_xlfn.NUMBERVALUE(MID('Consolidated Sites and BBLs'!$B326,7,4))='DTFR RWCDS A-Text'!$D:$D),0),1))</f>
        <v>DFRURA</v>
      </c>
      <c r="B326" s="270" t="s">
        <v>76</v>
      </c>
      <c r="C326" t="s">
        <v>8</v>
      </c>
      <c r="D326" t="s">
        <v>9</v>
      </c>
    </row>
    <row r="327" spans="1:4">
      <c r="A327" s="655" t="str">
        <f t="array" ref="A327">IF(INDEX('DTFR RWCDS A-Text'!$B:$G,MATCH(1,(_xlfn.NUMBERVALUE(MID('Consolidated Sites and BBLs'!$B327,2,5))='DTFR RWCDS A-Text'!$C:$C)*(_xlfn.NUMBERVALUE(MID('Consolidated Sites and BBLs'!$B327,7,4))='DTFR RWCDS A-Text'!$D:$D),0),1)=0,A326,INDEX('DTFR RWCDS A-Text'!$B:$G,MATCH(1,(_xlfn.NUMBERVALUE(MID('Consolidated Sites and BBLs'!$B327,2,5))='DTFR RWCDS A-Text'!$C:$C)*(_xlfn.NUMBERVALUE(MID('Consolidated Sites and BBLs'!$B327,7,4))='DTFR RWCDS A-Text'!$D:$D),0),1))</f>
        <v>DFRURA</v>
      </c>
      <c r="B327" s="270" t="s">
        <v>77</v>
      </c>
      <c r="C327" t="s">
        <v>8</v>
      </c>
      <c r="D327" t="s">
        <v>9</v>
      </c>
    </row>
    <row r="328" spans="1:4">
      <c r="A328" s="655" t="str">
        <f t="array" ref="A328">IF(INDEX('DTFR RWCDS A-Text'!$B:$G,MATCH(1,(_xlfn.NUMBERVALUE(MID('Consolidated Sites and BBLs'!$B328,2,5))='DTFR RWCDS A-Text'!$C:$C)*(_xlfn.NUMBERVALUE(MID('Consolidated Sites and BBLs'!$B328,7,4))='DTFR RWCDS A-Text'!$D:$D),0),1)=0,A327,INDEX('DTFR RWCDS A-Text'!$B:$G,MATCH(1,(_xlfn.NUMBERVALUE(MID('Consolidated Sites and BBLs'!$B328,2,5))='DTFR RWCDS A-Text'!$C:$C)*(_xlfn.NUMBERVALUE(MID('Consolidated Sites and BBLs'!$B328,7,4))='DTFR RWCDS A-Text'!$D:$D),0),1))</f>
        <v>DFRURA</v>
      </c>
      <c r="B328" s="270" t="s">
        <v>78</v>
      </c>
      <c r="C328" t="s">
        <v>8</v>
      </c>
      <c r="D328" t="s">
        <v>9</v>
      </c>
    </row>
    <row r="329" spans="1:4">
      <c r="A329" s="655" t="str">
        <f t="array" ref="A329">IF(INDEX('DTFR RWCDS A-Text'!$B:$G,MATCH(1,(_xlfn.NUMBERVALUE(MID('Consolidated Sites and BBLs'!$B329,2,5))='DTFR RWCDS A-Text'!$C:$C)*(_xlfn.NUMBERVALUE(MID('Consolidated Sites and BBLs'!$B329,7,4))='DTFR RWCDS A-Text'!$D:$D),0),1)=0,A328,INDEX('DTFR RWCDS A-Text'!$B:$G,MATCH(1,(_xlfn.NUMBERVALUE(MID('Consolidated Sites and BBLs'!$B329,2,5))='DTFR RWCDS A-Text'!$C:$C)*(_xlfn.NUMBERVALUE(MID('Consolidated Sites and BBLs'!$B329,7,4))='DTFR RWCDS A-Text'!$D:$D),0),1))</f>
        <v>DFRURA</v>
      </c>
      <c r="B329" s="270" t="s">
        <v>79</v>
      </c>
      <c r="C329" t="s">
        <v>8</v>
      </c>
      <c r="D329" t="s">
        <v>9</v>
      </c>
    </row>
    <row r="330" spans="1:4">
      <c r="A330" s="655" t="str">
        <f t="array" ref="A330">IF(INDEX('DTFR RWCDS A-Text'!$B:$G,MATCH(1,(_xlfn.NUMBERVALUE(MID('Consolidated Sites and BBLs'!$B330,2,5))='DTFR RWCDS A-Text'!$C:$C)*(_xlfn.NUMBERVALUE(MID('Consolidated Sites and BBLs'!$B330,7,4))='DTFR RWCDS A-Text'!$D:$D),0),1)=0,A329,INDEX('DTFR RWCDS A-Text'!$B:$G,MATCH(1,(_xlfn.NUMBERVALUE(MID('Consolidated Sites and BBLs'!$B330,2,5))='DTFR RWCDS A-Text'!$C:$C)*(_xlfn.NUMBERVALUE(MID('Consolidated Sites and BBLs'!$B330,7,4))='DTFR RWCDS A-Text'!$D:$D),0),1))</f>
        <v>DFRURA</v>
      </c>
      <c r="B330" s="270" t="s">
        <v>80</v>
      </c>
      <c r="C330" t="s">
        <v>8</v>
      </c>
      <c r="D330" t="s">
        <v>9</v>
      </c>
    </row>
    <row r="331" spans="1:4">
      <c r="A331" s="655" t="str">
        <f t="array" ref="A331">IF(INDEX('DTFR RWCDS A-Text'!$B:$G,MATCH(1,(_xlfn.NUMBERVALUE(MID('Consolidated Sites and BBLs'!$B331,2,5))='DTFR RWCDS A-Text'!$C:$C)*(_xlfn.NUMBERVALUE(MID('Consolidated Sites and BBLs'!$B331,7,4))='DTFR RWCDS A-Text'!$D:$D),0),1)=0,A330,INDEX('DTFR RWCDS A-Text'!$B:$G,MATCH(1,(_xlfn.NUMBERVALUE(MID('Consolidated Sites and BBLs'!$B331,2,5))='DTFR RWCDS A-Text'!$C:$C)*(_xlfn.NUMBERVALUE(MID('Consolidated Sites and BBLs'!$B331,7,4))='DTFR RWCDS A-Text'!$D:$D),0),1))</f>
        <v>DFRURA</v>
      </c>
      <c r="B331" s="270" t="s">
        <v>81</v>
      </c>
      <c r="C331" t="s">
        <v>8</v>
      </c>
      <c r="D331" t="s">
        <v>9</v>
      </c>
    </row>
    <row r="332" spans="1:4">
      <c r="A332" s="655" t="str">
        <f t="array" ref="A332">IF(INDEX('DTFR RWCDS A-Text'!$B:$G,MATCH(1,(_xlfn.NUMBERVALUE(MID('Consolidated Sites and BBLs'!$B332,2,5))='DTFR RWCDS A-Text'!$C:$C)*(_xlfn.NUMBERVALUE(MID('Consolidated Sites and BBLs'!$B332,7,4))='DTFR RWCDS A-Text'!$D:$D),0),1)=0,A331,INDEX('DTFR RWCDS A-Text'!$B:$G,MATCH(1,(_xlfn.NUMBERVALUE(MID('Consolidated Sites and BBLs'!$B332,2,5))='DTFR RWCDS A-Text'!$C:$C)*(_xlfn.NUMBERVALUE(MID('Consolidated Sites and BBLs'!$B332,7,4))='DTFR RWCDS A-Text'!$D:$D),0),1))</f>
        <v>DFRURA</v>
      </c>
      <c r="B332" s="270" t="s">
        <v>82</v>
      </c>
      <c r="C332" t="s">
        <v>8</v>
      </c>
      <c r="D332" t="s">
        <v>9</v>
      </c>
    </row>
    <row r="333" spans="1:4">
      <c r="A333" s="655" t="str">
        <f t="array" ref="A333">IF(INDEX('DTFR RWCDS A-Text'!$B:$G,MATCH(1,(_xlfn.NUMBERVALUE(MID('Consolidated Sites and BBLs'!$B333,2,5))='DTFR RWCDS A-Text'!$C:$C)*(_xlfn.NUMBERVALUE(MID('Consolidated Sites and BBLs'!$B333,7,4))='DTFR RWCDS A-Text'!$D:$D),0),1)=0,A332,INDEX('DTFR RWCDS A-Text'!$B:$G,MATCH(1,(_xlfn.NUMBERVALUE(MID('Consolidated Sites and BBLs'!$B333,2,5))='DTFR RWCDS A-Text'!$C:$C)*(_xlfn.NUMBERVALUE(MID('Consolidated Sites and BBLs'!$B333,7,4))='DTFR RWCDS A-Text'!$D:$D),0),1))</f>
        <v>DFRURA</v>
      </c>
      <c r="B333" s="270" t="s">
        <v>83</v>
      </c>
      <c r="C333" t="s">
        <v>8</v>
      </c>
      <c r="D333" t="s">
        <v>9</v>
      </c>
    </row>
    <row r="334" spans="1:4">
      <c r="A334" s="655" t="str">
        <f t="array" ref="A334">IF(INDEX('DTFR RWCDS A-Text'!$B:$G,MATCH(1,(_xlfn.NUMBERVALUE(MID('Consolidated Sites and BBLs'!$B334,2,5))='DTFR RWCDS A-Text'!$C:$C)*(_xlfn.NUMBERVALUE(MID('Consolidated Sites and BBLs'!$B334,7,4))='DTFR RWCDS A-Text'!$D:$D),0),1)=0,A333,INDEX('DTFR RWCDS A-Text'!$B:$G,MATCH(1,(_xlfn.NUMBERVALUE(MID('Consolidated Sites and BBLs'!$B334,2,5))='DTFR RWCDS A-Text'!$C:$C)*(_xlfn.NUMBERVALUE(MID('Consolidated Sites and BBLs'!$B334,7,4))='DTFR RWCDS A-Text'!$D:$D),0),1))</f>
        <v>DOT/MTA Disposition Site</v>
      </c>
      <c r="B334" s="270" t="s">
        <v>84</v>
      </c>
      <c r="C334" t="s">
        <v>8</v>
      </c>
      <c r="D334" t="s">
        <v>9</v>
      </c>
    </row>
    <row r="335" spans="1:4">
      <c r="A335" s="655" t="str">
        <f t="array" ref="A335">IF(INDEX('DTFR RWCDS A-Text'!$B:$G,MATCH(1,(_xlfn.NUMBERVALUE(MID('Consolidated Sites and BBLs'!$B335,2,5))='DTFR RWCDS A-Text'!$C:$C)*(_xlfn.NUMBERVALUE(MID('Consolidated Sites and BBLs'!$B335,7,4))='DTFR RWCDS A-Text'!$D:$D),0),1)=0,A334,INDEX('DTFR RWCDS A-Text'!$B:$G,MATCH(1,(_xlfn.NUMBERVALUE(MID('Consolidated Sites and BBLs'!$B335,2,5))='DTFR RWCDS A-Text'!$C:$C)*(_xlfn.NUMBERVALUE(MID('Consolidated Sites and BBLs'!$B335,7,4))='DTFR RWCDS A-Text'!$D:$D),0),1))</f>
        <v>DOT/MTA Disposition Site</v>
      </c>
      <c r="B335" s="270" t="s">
        <v>85</v>
      </c>
      <c r="C335" t="s">
        <v>8</v>
      </c>
      <c r="D335" t="s">
        <v>9</v>
      </c>
    </row>
    <row r="336" spans="1:4">
      <c r="A336" s="655" t="str">
        <f t="array" ref="A336">IF(INDEX('DTFR RWCDS A-Text'!$B:$G,MATCH(1,(_xlfn.NUMBERVALUE(MID('Consolidated Sites and BBLs'!$B336,2,5))='DTFR RWCDS A-Text'!$C:$C)*(_xlfn.NUMBERVALUE(MID('Consolidated Sites and BBLs'!$B336,7,4))='DTFR RWCDS A-Text'!$D:$D),0),1)=0,A335,INDEX('DTFR RWCDS A-Text'!$B:$G,MATCH(1,(_xlfn.NUMBERVALUE(MID('Consolidated Sites and BBLs'!$B336,2,5))='DTFR RWCDS A-Text'!$C:$C)*(_xlfn.NUMBERVALUE(MID('Consolidated Sites and BBLs'!$B336,7,4))='DTFR RWCDS A-Text'!$D:$D),0),1))</f>
        <v>DSNY Disposition Site</v>
      </c>
      <c r="B336" s="270" t="s">
        <v>86</v>
      </c>
      <c r="C336" t="s">
        <v>8</v>
      </c>
      <c r="D336" t="s">
        <v>9</v>
      </c>
    </row>
    <row r="337" spans="1:4">
      <c r="A337" s="655">
        <f>IFERROR(IFERROR(IFERROR(IFERROR(INDEX(RWCDS!$R:$W,MATCH(_xlfn.CONCAT('Consolidated Sites and BBLs'!$B337),RWCDS!R:R,0),6),INDEX(RWCDS!$R:$W,MATCH(_xlfn.CONCAT('Consolidated Sites and BBLs'!$B337),RWCDS!S:S,0),6)),INDEX(RWCDS!$R:$W,MATCH(_xlfn.CONCAT('Consolidated Sites and BBLs'!$B337),RWCDS!T:T,0),6)),INDEX(RWCDS!$R:$W,MATCH(_xlfn.CONCAT('Consolidated Sites and BBLs'!$B337),RWCDS!U:U,0),6)),INDEX(RWCDS!$R:$W,MATCH(_xlfn.CONCAT('Consolidated Sites and BBLs'!$B337),RWCDS!V:V,0),6))</f>
        <v>1</v>
      </c>
      <c r="B337" s="2579">
        <v>5004880071</v>
      </c>
      <c r="C337" t="s">
        <v>87</v>
      </c>
      <c r="D337" t="s">
        <v>88</v>
      </c>
    </row>
    <row r="338" spans="1:4">
      <c r="A338" s="655">
        <f>IFERROR(IFERROR(IFERROR(IFERROR(INDEX(RWCDS!$R:$W,MATCH(_xlfn.CONCAT('Consolidated Sites and BBLs'!$B338),RWCDS!R:R,0),6),INDEX(RWCDS!$R:$W,MATCH(_xlfn.CONCAT('Consolidated Sites and BBLs'!$B338),RWCDS!S:S,0),6)),INDEX(RWCDS!$R:$W,MATCH(_xlfn.CONCAT('Consolidated Sites and BBLs'!$B338),RWCDS!T:T,0),6)),INDEX(RWCDS!$R:$W,MATCH(_xlfn.CONCAT('Consolidated Sites and BBLs'!$B338),RWCDS!U:U,0),6)),INDEX(RWCDS!$R:$W,MATCH(_xlfn.CONCAT('Consolidated Sites and BBLs'!$B338),RWCDS!V:V,0),6))</f>
        <v>2</v>
      </c>
      <c r="B338" s="2579">
        <v>5004870060</v>
      </c>
      <c r="C338" t="s">
        <v>87</v>
      </c>
      <c r="D338" t="s">
        <v>88</v>
      </c>
    </row>
    <row r="339" spans="1:4">
      <c r="A339" s="655">
        <f>IFERROR(IFERROR(IFERROR(IFERROR(INDEX(RWCDS!$R:$W,MATCH(_xlfn.CONCAT('Consolidated Sites and BBLs'!$B339),RWCDS!R:R,0),6),INDEX(RWCDS!$R:$W,MATCH(_xlfn.CONCAT('Consolidated Sites and BBLs'!$B339),RWCDS!S:S,0),6)),INDEX(RWCDS!$R:$W,MATCH(_xlfn.CONCAT('Consolidated Sites and BBLs'!$B339),RWCDS!T:T,0),6)),INDEX(RWCDS!$R:$W,MATCH(_xlfn.CONCAT('Consolidated Sites and BBLs'!$B339),RWCDS!U:U,0),6)),INDEX(RWCDS!$R:$W,MATCH(_xlfn.CONCAT('Consolidated Sites and BBLs'!$B339),RWCDS!V:V,0),6))</f>
        <v>2</v>
      </c>
      <c r="B339" s="2579">
        <v>5004870064</v>
      </c>
      <c r="C339" t="s">
        <v>87</v>
      </c>
      <c r="D339" t="s">
        <v>88</v>
      </c>
    </row>
    <row r="340" spans="1:4">
      <c r="A340" s="655">
        <f>IFERROR(IFERROR(IFERROR(IFERROR(INDEX(RWCDS!$R:$W,MATCH(_xlfn.CONCAT('Consolidated Sites and BBLs'!$B340),RWCDS!R:R,0),6),INDEX(RWCDS!$R:$W,MATCH(_xlfn.CONCAT('Consolidated Sites and BBLs'!$B340),RWCDS!S:S,0),6)),INDEX(RWCDS!$R:$W,MATCH(_xlfn.CONCAT('Consolidated Sites and BBLs'!$B340),RWCDS!T:T,0),6)),INDEX(RWCDS!$R:$W,MATCH(_xlfn.CONCAT('Consolidated Sites and BBLs'!$B340),RWCDS!U:U,0),6)),INDEX(RWCDS!$R:$W,MATCH(_xlfn.CONCAT('Consolidated Sites and BBLs'!$B340),RWCDS!V:V,0),6))</f>
        <v>2</v>
      </c>
      <c r="B340" s="2579">
        <v>5004870080</v>
      </c>
      <c r="C340" t="s">
        <v>87</v>
      </c>
      <c r="D340" t="s">
        <v>88</v>
      </c>
    </row>
    <row r="341" spans="1:4">
      <c r="A341" s="655">
        <f>IFERROR(IFERROR(IFERROR(IFERROR(INDEX(RWCDS!$R:$W,MATCH(_xlfn.CONCAT('Consolidated Sites and BBLs'!$B341),RWCDS!R:R,0),6),INDEX(RWCDS!$R:$W,MATCH(_xlfn.CONCAT('Consolidated Sites and BBLs'!$B341),RWCDS!S:S,0),6)),INDEX(RWCDS!$R:$W,MATCH(_xlfn.CONCAT('Consolidated Sites and BBLs'!$B341),RWCDS!T:T,0),6)),INDEX(RWCDS!$R:$W,MATCH(_xlfn.CONCAT('Consolidated Sites and BBLs'!$B341),RWCDS!U:U,0),6)),INDEX(RWCDS!$R:$W,MATCH(_xlfn.CONCAT('Consolidated Sites and BBLs'!$B341),RWCDS!V:V,0),6))</f>
        <v>3</v>
      </c>
      <c r="B341" s="2579">
        <v>5004880009</v>
      </c>
      <c r="C341" t="s">
        <v>87</v>
      </c>
      <c r="D341" t="s">
        <v>88</v>
      </c>
    </row>
    <row r="342" spans="1:4">
      <c r="A342" s="655">
        <f>IFERROR(IFERROR(IFERROR(IFERROR(INDEX(RWCDS!$R:$W,MATCH(_xlfn.CONCAT('Consolidated Sites and BBLs'!$B342),RWCDS!R:R,0),6),INDEX(RWCDS!$R:$W,MATCH(_xlfn.CONCAT('Consolidated Sites and BBLs'!$B342),RWCDS!S:S,0),6)),INDEX(RWCDS!$R:$W,MATCH(_xlfn.CONCAT('Consolidated Sites and BBLs'!$B342),RWCDS!T:T,0),6)),INDEX(RWCDS!$R:$W,MATCH(_xlfn.CONCAT('Consolidated Sites and BBLs'!$B342),RWCDS!U:U,0),6)),INDEX(RWCDS!$R:$W,MATCH(_xlfn.CONCAT('Consolidated Sites and BBLs'!$B342),RWCDS!V:V,0),6))</f>
        <v>4</v>
      </c>
      <c r="B342" s="2579">
        <v>5004880018</v>
      </c>
      <c r="C342" t="s">
        <v>87</v>
      </c>
      <c r="D342" t="s">
        <v>88</v>
      </c>
    </row>
    <row r="343" spans="1:4">
      <c r="A343" s="655">
        <f>IFERROR(IFERROR(IFERROR(IFERROR(INDEX(RWCDS!$R:$W,MATCH(_xlfn.CONCAT('Consolidated Sites and BBLs'!$B343),RWCDS!R:R,0),6),INDEX(RWCDS!$R:$W,MATCH(_xlfn.CONCAT('Consolidated Sites and BBLs'!$B343),RWCDS!S:S,0),6)),INDEX(RWCDS!$R:$W,MATCH(_xlfn.CONCAT('Consolidated Sites and BBLs'!$B343),RWCDS!T:T,0),6)),INDEX(RWCDS!$R:$W,MATCH(_xlfn.CONCAT('Consolidated Sites and BBLs'!$B343),RWCDS!U:U,0),6)),INDEX(RWCDS!$R:$W,MATCH(_xlfn.CONCAT('Consolidated Sites and BBLs'!$B343),RWCDS!V:V,0),6))</f>
        <v>4</v>
      </c>
      <c r="B343" s="2579">
        <v>5004880026</v>
      </c>
      <c r="C343" t="s">
        <v>87</v>
      </c>
      <c r="D343" t="s">
        <v>88</v>
      </c>
    </row>
    <row r="344" spans="1:4">
      <c r="A344" s="655">
        <f>IFERROR(IFERROR(IFERROR(IFERROR(INDEX(RWCDS!$R:$W,MATCH(_xlfn.CONCAT('Consolidated Sites and BBLs'!$B344),RWCDS!R:R,0),6),INDEX(RWCDS!$R:$W,MATCH(_xlfn.CONCAT('Consolidated Sites and BBLs'!$B344),RWCDS!S:S,0),6)),INDEX(RWCDS!$R:$W,MATCH(_xlfn.CONCAT('Consolidated Sites and BBLs'!$B344),RWCDS!T:T,0),6)),INDEX(RWCDS!$R:$W,MATCH(_xlfn.CONCAT('Consolidated Sites and BBLs'!$B344),RWCDS!U:U,0),6)),INDEX(RWCDS!$R:$W,MATCH(_xlfn.CONCAT('Consolidated Sites and BBLs'!$B344),RWCDS!V:V,0),6))</f>
        <v>4</v>
      </c>
      <c r="B344" s="2579">
        <v>5004880175</v>
      </c>
      <c r="C344" t="s">
        <v>87</v>
      </c>
      <c r="D344" t="s">
        <v>88</v>
      </c>
    </row>
    <row r="345" spans="1:4">
      <c r="A345" s="655">
        <f>IFERROR(IFERROR(IFERROR(IFERROR(INDEX(RWCDS!$R:$W,MATCH(_xlfn.CONCAT('Consolidated Sites and BBLs'!$B345),RWCDS!R:R,0),6),INDEX(RWCDS!$R:$W,MATCH(_xlfn.CONCAT('Consolidated Sites and BBLs'!$B345),RWCDS!S:S,0),6)),INDEX(RWCDS!$R:$W,MATCH(_xlfn.CONCAT('Consolidated Sites and BBLs'!$B345),RWCDS!T:T,0),6)),INDEX(RWCDS!$R:$W,MATCH(_xlfn.CONCAT('Consolidated Sites and BBLs'!$B345),RWCDS!U:U,0),6)),INDEX(RWCDS!$R:$W,MATCH(_xlfn.CONCAT('Consolidated Sites and BBLs'!$B345),RWCDS!V:V,0),6))</f>
        <v>4</v>
      </c>
      <c r="B345" s="2579">
        <v>5004880201</v>
      </c>
      <c r="C345" t="s">
        <v>87</v>
      </c>
      <c r="D345" t="s">
        <v>88</v>
      </c>
    </row>
    <row r="346" spans="1:4">
      <c r="A346" s="655">
        <f>IFERROR(IFERROR(IFERROR(IFERROR(INDEX(RWCDS!$R:$W,MATCH(_xlfn.CONCAT('Consolidated Sites and BBLs'!$B346),RWCDS!R:R,0),6),INDEX(RWCDS!$R:$W,MATCH(_xlfn.CONCAT('Consolidated Sites and BBLs'!$B346),RWCDS!S:S,0),6)),INDEX(RWCDS!$R:$W,MATCH(_xlfn.CONCAT('Consolidated Sites and BBLs'!$B346),RWCDS!T:T,0),6)),INDEX(RWCDS!$R:$W,MATCH(_xlfn.CONCAT('Consolidated Sites and BBLs'!$B346),RWCDS!U:U,0),6)),INDEX(RWCDS!$R:$W,MATCH(_xlfn.CONCAT('Consolidated Sites and BBLs'!$B346),RWCDS!V:V,0),6))</f>
        <v>4</v>
      </c>
      <c r="B346" s="2579">
        <v>5004880206</v>
      </c>
      <c r="C346" t="s">
        <v>87</v>
      </c>
      <c r="D346" t="s">
        <v>88</v>
      </c>
    </row>
    <row r="347" spans="1:4">
      <c r="A347" s="655">
        <f>IFERROR(IFERROR(IFERROR(IFERROR(INDEX(RWCDS!$R:$W,MATCH(_xlfn.CONCAT('Consolidated Sites and BBLs'!$B347),RWCDS!R:R,0),6),INDEX(RWCDS!$R:$W,MATCH(_xlfn.CONCAT('Consolidated Sites and BBLs'!$B347),RWCDS!S:S,0),6)),INDEX(RWCDS!$R:$W,MATCH(_xlfn.CONCAT('Consolidated Sites and BBLs'!$B347),RWCDS!T:T,0),6)),INDEX(RWCDS!$R:$W,MATCH(_xlfn.CONCAT('Consolidated Sites and BBLs'!$B347),RWCDS!U:U,0),6)),INDEX(RWCDS!$R:$W,MATCH(_xlfn.CONCAT('Consolidated Sites and BBLs'!$B347),RWCDS!V:V,0),6))</f>
        <v>5</v>
      </c>
      <c r="B347" s="2579">
        <v>5004880053</v>
      </c>
      <c r="C347" t="s">
        <v>87</v>
      </c>
      <c r="D347" t="s">
        <v>88</v>
      </c>
    </row>
    <row r="348" spans="1:4">
      <c r="A348" s="655">
        <f>IFERROR(IFERROR(IFERROR(IFERROR(INDEX(RWCDS!$R:$W,MATCH(_xlfn.CONCAT('Consolidated Sites and BBLs'!$B348),RWCDS!R:R,0),6),INDEX(RWCDS!$R:$W,MATCH(_xlfn.CONCAT('Consolidated Sites and BBLs'!$B348),RWCDS!S:S,0),6)),INDEX(RWCDS!$R:$W,MATCH(_xlfn.CONCAT('Consolidated Sites and BBLs'!$B348),RWCDS!T:T,0),6)),INDEX(RWCDS!$R:$W,MATCH(_xlfn.CONCAT('Consolidated Sites and BBLs'!$B348),RWCDS!U:U,0),6)),INDEX(RWCDS!$R:$W,MATCH(_xlfn.CONCAT('Consolidated Sites and BBLs'!$B348),RWCDS!V:V,0),6))</f>
        <v>5</v>
      </c>
      <c r="B348" s="2579">
        <v>5004880065</v>
      </c>
      <c r="C348" t="s">
        <v>87</v>
      </c>
      <c r="D348" t="s">
        <v>88</v>
      </c>
    </row>
    <row r="349" spans="1:4">
      <c r="A349" s="655">
        <f>IFERROR(IFERROR(IFERROR(IFERROR(INDEX(RWCDS!$R:$W,MATCH(_xlfn.CONCAT('Consolidated Sites and BBLs'!$B349),RWCDS!R:R,0),6),INDEX(RWCDS!$R:$W,MATCH(_xlfn.CONCAT('Consolidated Sites and BBLs'!$B349),RWCDS!S:S,0),6)),INDEX(RWCDS!$R:$W,MATCH(_xlfn.CONCAT('Consolidated Sites and BBLs'!$B349),RWCDS!T:T,0),6)),INDEX(RWCDS!$R:$W,MATCH(_xlfn.CONCAT('Consolidated Sites and BBLs'!$B349),RWCDS!U:U,0),6)),INDEX(RWCDS!$R:$W,MATCH(_xlfn.CONCAT('Consolidated Sites and BBLs'!$B349),RWCDS!V:V,0),6))</f>
        <v>6</v>
      </c>
      <c r="B349" s="2579">
        <v>5004890005</v>
      </c>
      <c r="C349" t="s">
        <v>87</v>
      </c>
      <c r="D349" t="s">
        <v>88</v>
      </c>
    </row>
    <row r="350" spans="1:4">
      <c r="A350" s="655">
        <f>IFERROR(IFERROR(IFERROR(IFERROR(INDEX(RWCDS!$R:$W,MATCH(_xlfn.CONCAT('Consolidated Sites and BBLs'!$B350),RWCDS!R:R,0),6),INDEX(RWCDS!$R:$W,MATCH(_xlfn.CONCAT('Consolidated Sites and BBLs'!$B350),RWCDS!S:S,0),6)),INDEX(RWCDS!$R:$W,MATCH(_xlfn.CONCAT('Consolidated Sites and BBLs'!$B350),RWCDS!T:T,0),6)),INDEX(RWCDS!$R:$W,MATCH(_xlfn.CONCAT('Consolidated Sites and BBLs'!$B350),RWCDS!U:U,0),6)),INDEX(RWCDS!$R:$W,MATCH(_xlfn.CONCAT('Consolidated Sites and BBLs'!$B350),RWCDS!V:V,0),6))</f>
        <v>7</v>
      </c>
      <c r="B350" s="2579">
        <v>5004970001</v>
      </c>
      <c r="C350" t="s">
        <v>87</v>
      </c>
      <c r="D350" t="s">
        <v>88</v>
      </c>
    </row>
    <row r="351" spans="1:4">
      <c r="A351" s="655">
        <f>IFERROR(IFERROR(IFERROR(IFERROR(INDEX(RWCDS!$R:$W,MATCH(_xlfn.CONCAT('Consolidated Sites and BBLs'!$B351),RWCDS!R:R,0),6),INDEX(RWCDS!$R:$W,MATCH(_xlfn.CONCAT('Consolidated Sites and BBLs'!$B351),RWCDS!S:S,0),6)),INDEX(RWCDS!$R:$W,MATCH(_xlfn.CONCAT('Consolidated Sites and BBLs'!$B351),RWCDS!T:T,0),6)),INDEX(RWCDS!$R:$W,MATCH(_xlfn.CONCAT('Consolidated Sites and BBLs'!$B351),RWCDS!U:U,0),6)),INDEX(RWCDS!$R:$W,MATCH(_xlfn.CONCAT('Consolidated Sites and BBLs'!$B351),RWCDS!V:V,0),6))</f>
        <v>7</v>
      </c>
      <c r="B351" s="2579">
        <v>5004970007</v>
      </c>
      <c r="C351" t="s">
        <v>87</v>
      </c>
      <c r="D351" t="s">
        <v>88</v>
      </c>
    </row>
    <row r="352" spans="1:4">
      <c r="A352" s="655">
        <f>IFERROR(IFERROR(IFERROR(IFERROR(INDEX(RWCDS!$R:$W,MATCH(_xlfn.CONCAT('Consolidated Sites and BBLs'!$B352),RWCDS!R:R,0),6),INDEX(RWCDS!$R:$W,MATCH(_xlfn.CONCAT('Consolidated Sites and BBLs'!$B352),RWCDS!S:S,0),6)),INDEX(RWCDS!$R:$W,MATCH(_xlfn.CONCAT('Consolidated Sites and BBLs'!$B352),RWCDS!T:T,0),6)),INDEX(RWCDS!$R:$W,MATCH(_xlfn.CONCAT('Consolidated Sites and BBLs'!$B352),RWCDS!U:U,0),6)),INDEX(RWCDS!$R:$W,MATCH(_xlfn.CONCAT('Consolidated Sites and BBLs'!$B352),RWCDS!V:V,0),6))</f>
        <v>7</v>
      </c>
      <c r="B352" s="2579">
        <v>5004970009</v>
      </c>
      <c r="C352" t="s">
        <v>87</v>
      </c>
      <c r="D352" t="s">
        <v>88</v>
      </c>
    </row>
    <row r="353" spans="1:4">
      <c r="A353" s="655">
        <f>IFERROR(IFERROR(IFERROR(IFERROR(INDEX(RWCDS!$R:$W,MATCH(_xlfn.CONCAT('Consolidated Sites and BBLs'!$B353),RWCDS!R:R,0),6),INDEX(RWCDS!$R:$W,MATCH(_xlfn.CONCAT('Consolidated Sites and BBLs'!$B353),RWCDS!S:S,0),6)),INDEX(RWCDS!$R:$W,MATCH(_xlfn.CONCAT('Consolidated Sites and BBLs'!$B353),RWCDS!T:T,0),6)),INDEX(RWCDS!$R:$W,MATCH(_xlfn.CONCAT('Consolidated Sites and BBLs'!$B353),RWCDS!U:U,0),6)),INDEX(RWCDS!$R:$W,MATCH(_xlfn.CONCAT('Consolidated Sites and BBLs'!$B353),RWCDS!V:V,0),6))</f>
        <v>8</v>
      </c>
      <c r="B353" s="2579">
        <v>5004980001</v>
      </c>
      <c r="C353" t="s">
        <v>87</v>
      </c>
      <c r="D353" t="s">
        <v>88</v>
      </c>
    </row>
    <row r="354" spans="1:4">
      <c r="A354" s="655">
        <f>IFERROR(IFERROR(IFERROR(IFERROR(INDEX(RWCDS!$R:$W,MATCH(_xlfn.CONCAT('Consolidated Sites and BBLs'!$B354),RWCDS!R:R,0),6),INDEX(RWCDS!$R:$W,MATCH(_xlfn.CONCAT('Consolidated Sites and BBLs'!$B354),RWCDS!S:S,0),6)),INDEX(RWCDS!$R:$W,MATCH(_xlfn.CONCAT('Consolidated Sites and BBLs'!$B354),RWCDS!T:T,0),6)),INDEX(RWCDS!$R:$W,MATCH(_xlfn.CONCAT('Consolidated Sites and BBLs'!$B354),RWCDS!U:U,0),6)),INDEX(RWCDS!$R:$W,MATCH(_xlfn.CONCAT('Consolidated Sites and BBLs'!$B354),RWCDS!V:V,0),6))</f>
        <v>9</v>
      </c>
      <c r="B354" s="2579">
        <v>5005000016</v>
      </c>
      <c r="C354" t="s">
        <v>87</v>
      </c>
      <c r="D354" t="s">
        <v>88</v>
      </c>
    </row>
    <row r="355" spans="1:4">
      <c r="A355" s="655">
        <f>IFERROR(IFERROR(IFERROR(IFERROR(INDEX(RWCDS!$R:$W,MATCH(_xlfn.CONCAT('Consolidated Sites and BBLs'!$B355),RWCDS!R:R,0),6),INDEX(RWCDS!$R:$W,MATCH(_xlfn.CONCAT('Consolidated Sites and BBLs'!$B355),RWCDS!S:S,0),6)),INDEX(RWCDS!$R:$W,MATCH(_xlfn.CONCAT('Consolidated Sites and BBLs'!$B355),RWCDS!T:T,0),6)),INDEX(RWCDS!$R:$W,MATCH(_xlfn.CONCAT('Consolidated Sites and BBLs'!$B355),RWCDS!U:U,0),6)),INDEX(RWCDS!$R:$W,MATCH(_xlfn.CONCAT('Consolidated Sites and BBLs'!$B355),RWCDS!V:V,0),6))</f>
        <v>9</v>
      </c>
      <c r="B355" s="2579">
        <v>5005000018</v>
      </c>
      <c r="C355" t="s">
        <v>87</v>
      </c>
      <c r="D355" t="s">
        <v>88</v>
      </c>
    </row>
    <row r="356" spans="1:4">
      <c r="A356" s="655">
        <f>IFERROR(IFERROR(IFERROR(IFERROR(INDEX(RWCDS!$R:$W,MATCH(_xlfn.CONCAT('Consolidated Sites and BBLs'!$B356),RWCDS!R:R,0),6),INDEX(RWCDS!$R:$W,MATCH(_xlfn.CONCAT('Consolidated Sites and BBLs'!$B356),RWCDS!S:S,0),6)),INDEX(RWCDS!$R:$W,MATCH(_xlfn.CONCAT('Consolidated Sites and BBLs'!$B356),RWCDS!T:T,0),6)),INDEX(RWCDS!$R:$W,MATCH(_xlfn.CONCAT('Consolidated Sites and BBLs'!$B356),RWCDS!U:U,0),6)),INDEX(RWCDS!$R:$W,MATCH(_xlfn.CONCAT('Consolidated Sites and BBLs'!$B356),RWCDS!V:V,0),6))</f>
        <v>9</v>
      </c>
      <c r="B356" s="2579">
        <v>5005000020</v>
      </c>
      <c r="C356" t="s">
        <v>87</v>
      </c>
      <c r="D356" t="s">
        <v>88</v>
      </c>
    </row>
    <row r="357" spans="1:4">
      <c r="A357" s="655">
        <f>IFERROR(IFERROR(IFERROR(IFERROR(INDEX(RWCDS!$R:$W,MATCH(_xlfn.CONCAT('Consolidated Sites and BBLs'!$B357),RWCDS!R:R,0),6),INDEX(RWCDS!$R:$W,MATCH(_xlfn.CONCAT('Consolidated Sites and BBLs'!$B357),RWCDS!S:S,0),6)),INDEX(RWCDS!$R:$W,MATCH(_xlfn.CONCAT('Consolidated Sites and BBLs'!$B357),RWCDS!T:T,0),6)),INDEX(RWCDS!$R:$W,MATCH(_xlfn.CONCAT('Consolidated Sites and BBLs'!$B357),RWCDS!U:U,0),6)),INDEX(RWCDS!$R:$W,MATCH(_xlfn.CONCAT('Consolidated Sites and BBLs'!$B357),RWCDS!V:V,0),6))</f>
        <v>9</v>
      </c>
      <c r="B357" s="2579">
        <v>5005000022</v>
      </c>
      <c r="C357" t="s">
        <v>87</v>
      </c>
      <c r="D357" t="s">
        <v>88</v>
      </c>
    </row>
    <row r="358" spans="1:4">
      <c r="A358" s="655">
        <f>IFERROR(IFERROR(IFERROR(IFERROR(INDEX(RWCDS!$R:$W,MATCH(_xlfn.CONCAT('Consolidated Sites and BBLs'!$B358),RWCDS!R:R,0),6),INDEX(RWCDS!$R:$W,MATCH(_xlfn.CONCAT('Consolidated Sites and BBLs'!$B358),RWCDS!S:S,0),6)),INDEX(RWCDS!$R:$W,MATCH(_xlfn.CONCAT('Consolidated Sites and BBLs'!$B358),RWCDS!T:T,0),6)),INDEX(RWCDS!$R:$W,MATCH(_xlfn.CONCAT('Consolidated Sites and BBLs'!$B358),RWCDS!U:U,0),6)),INDEX(RWCDS!$R:$W,MATCH(_xlfn.CONCAT('Consolidated Sites and BBLs'!$B358),RWCDS!V:V,0),6))</f>
        <v>9</v>
      </c>
      <c r="B358" s="2579">
        <v>5005000024</v>
      </c>
      <c r="C358" t="s">
        <v>87</v>
      </c>
      <c r="D358" t="s">
        <v>88</v>
      </c>
    </row>
    <row r="359" spans="1:4">
      <c r="A359" s="655">
        <f>IFERROR(IFERROR(IFERROR(IFERROR(INDEX(RWCDS!$R:$W,MATCH(_xlfn.CONCAT('Consolidated Sites and BBLs'!$B359),RWCDS!R:R,0),6),INDEX(RWCDS!$R:$W,MATCH(_xlfn.CONCAT('Consolidated Sites and BBLs'!$B359),RWCDS!S:S,0),6)),INDEX(RWCDS!$R:$W,MATCH(_xlfn.CONCAT('Consolidated Sites and BBLs'!$B359),RWCDS!T:T,0),6)),INDEX(RWCDS!$R:$W,MATCH(_xlfn.CONCAT('Consolidated Sites and BBLs'!$B359),RWCDS!U:U,0),6)),INDEX(RWCDS!$R:$W,MATCH(_xlfn.CONCAT('Consolidated Sites and BBLs'!$B359),RWCDS!V:V,0),6))</f>
        <v>10</v>
      </c>
      <c r="B359" s="2579">
        <v>5005020001</v>
      </c>
      <c r="C359" t="s">
        <v>87</v>
      </c>
      <c r="D359" t="s">
        <v>88</v>
      </c>
    </row>
    <row r="360" spans="1:4">
      <c r="A360" s="655">
        <f>IFERROR(IFERROR(IFERROR(IFERROR(INDEX(RWCDS!$R:$W,MATCH(_xlfn.CONCAT('Consolidated Sites and BBLs'!$B360),RWCDS!R:R,0),6),INDEX(RWCDS!$R:$W,MATCH(_xlfn.CONCAT('Consolidated Sites and BBLs'!$B360),RWCDS!S:S,0),6)),INDEX(RWCDS!$R:$W,MATCH(_xlfn.CONCAT('Consolidated Sites and BBLs'!$B360),RWCDS!T:T,0),6)),INDEX(RWCDS!$R:$W,MATCH(_xlfn.CONCAT('Consolidated Sites and BBLs'!$B360),RWCDS!U:U,0),6)),INDEX(RWCDS!$R:$W,MATCH(_xlfn.CONCAT('Consolidated Sites and BBLs'!$B360),RWCDS!V:V,0),6))</f>
        <v>11</v>
      </c>
      <c r="B360" s="2579">
        <v>5005050004</v>
      </c>
      <c r="C360" t="s">
        <v>87</v>
      </c>
      <c r="D360" t="s">
        <v>88</v>
      </c>
    </row>
    <row r="361" spans="1:4">
      <c r="A361" s="655">
        <f>IFERROR(IFERROR(IFERROR(IFERROR(INDEX(RWCDS!$R:$W,MATCH(_xlfn.CONCAT('Consolidated Sites and BBLs'!$B361),RWCDS!R:R,0),6),INDEX(RWCDS!$R:$W,MATCH(_xlfn.CONCAT('Consolidated Sites and BBLs'!$B361),RWCDS!S:S,0),6)),INDEX(RWCDS!$R:$W,MATCH(_xlfn.CONCAT('Consolidated Sites and BBLs'!$B361),RWCDS!T:T,0),6)),INDEX(RWCDS!$R:$W,MATCH(_xlfn.CONCAT('Consolidated Sites and BBLs'!$B361),RWCDS!U:U,0),6)),INDEX(RWCDS!$R:$W,MATCH(_xlfn.CONCAT('Consolidated Sites and BBLs'!$B361),RWCDS!V:V,0),6))</f>
        <v>11</v>
      </c>
      <c r="B361" s="2579">
        <v>5005050051</v>
      </c>
      <c r="C361" t="s">
        <v>87</v>
      </c>
      <c r="D361" t="s">
        <v>88</v>
      </c>
    </row>
    <row r="362" spans="1:4">
      <c r="A362" s="655">
        <f>IFERROR(IFERROR(IFERROR(IFERROR(INDEX(RWCDS!$R:$W,MATCH(_xlfn.CONCAT('Consolidated Sites and BBLs'!$B362),RWCDS!R:R,0),6),INDEX(RWCDS!$R:$W,MATCH(_xlfn.CONCAT('Consolidated Sites and BBLs'!$B362),RWCDS!S:S,0),6)),INDEX(RWCDS!$R:$W,MATCH(_xlfn.CONCAT('Consolidated Sites and BBLs'!$B362),RWCDS!T:T,0),6)),INDEX(RWCDS!$R:$W,MATCH(_xlfn.CONCAT('Consolidated Sites and BBLs'!$B362),RWCDS!U:U,0),6)),INDEX(RWCDS!$R:$W,MATCH(_xlfn.CONCAT('Consolidated Sites and BBLs'!$B362),RWCDS!V:V,0),6))</f>
        <v>12</v>
      </c>
      <c r="B362" s="2579">
        <v>5005050011</v>
      </c>
      <c r="C362" t="s">
        <v>87</v>
      </c>
      <c r="D362" t="s">
        <v>88</v>
      </c>
    </row>
    <row r="363" spans="1:4">
      <c r="A363" s="655">
        <f>IFERROR(IFERROR(IFERROR(IFERROR(INDEX(RWCDS!$R:$W,MATCH(_xlfn.CONCAT('Consolidated Sites and BBLs'!$B363),RWCDS!R:R,0),6),INDEX(RWCDS!$R:$W,MATCH(_xlfn.CONCAT('Consolidated Sites and BBLs'!$B363),RWCDS!S:S,0),6)),INDEX(RWCDS!$R:$W,MATCH(_xlfn.CONCAT('Consolidated Sites and BBLs'!$B363),RWCDS!T:T,0),6)),INDEX(RWCDS!$R:$W,MATCH(_xlfn.CONCAT('Consolidated Sites and BBLs'!$B363),RWCDS!U:U,0),6)),INDEX(RWCDS!$R:$W,MATCH(_xlfn.CONCAT('Consolidated Sites and BBLs'!$B363),RWCDS!V:V,0),6))</f>
        <v>12</v>
      </c>
      <c r="B363" s="2579">
        <v>5005050012</v>
      </c>
      <c r="C363" t="s">
        <v>87</v>
      </c>
      <c r="D363" t="s">
        <v>88</v>
      </c>
    </row>
    <row r="364" spans="1:4">
      <c r="A364" s="655">
        <f>IFERROR(IFERROR(IFERROR(IFERROR(INDEX(RWCDS!$R:$W,MATCH(_xlfn.CONCAT('Consolidated Sites and BBLs'!$B364),RWCDS!R:R,0),6),INDEX(RWCDS!$R:$W,MATCH(_xlfn.CONCAT('Consolidated Sites and BBLs'!$B364),RWCDS!S:S,0),6)),INDEX(RWCDS!$R:$W,MATCH(_xlfn.CONCAT('Consolidated Sites and BBLs'!$B364),RWCDS!T:T,0),6)),INDEX(RWCDS!$R:$W,MATCH(_xlfn.CONCAT('Consolidated Sites and BBLs'!$B364),RWCDS!U:U,0),6)),INDEX(RWCDS!$R:$W,MATCH(_xlfn.CONCAT('Consolidated Sites and BBLs'!$B364),RWCDS!V:V,0),6))</f>
        <v>12</v>
      </c>
      <c r="B364" s="2579">
        <v>5005050014</v>
      </c>
      <c r="C364" t="s">
        <v>87</v>
      </c>
      <c r="D364" t="s">
        <v>88</v>
      </c>
    </row>
    <row r="365" spans="1:4">
      <c r="A365" s="655">
        <f>IFERROR(IFERROR(IFERROR(IFERROR(INDEX(RWCDS!$R:$W,MATCH(_xlfn.CONCAT('Consolidated Sites and BBLs'!$B365),RWCDS!R:R,0),6),INDEX(RWCDS!$R:$W,MATCH(_xlfn.CONCAT('Consolidated Sites and BBLs'!$B365),RWCDS!S:S,0),6)),INDEX(RWCDS!$R:$W,MATCH(_xlfn.CONCAT('Consolidated Sites and BBLs'!$B365),RWCDS!T:T,0),6)),INDEX(RWCDS!$R:$W,MATCH(_xlfn.CONCAT('Consolidated Sites and BBLs'!$B365),RWCDS!U:U,0),6)),INDEX(RWCDS!$R:$W,MATCH(_xlfn.CONCAT('Consolidated Sites and BBLs'!$B365),RWCDS!V:V,0),6))</f>
        <v>13</v>
      </c>
      <c r="B365" s="2579">
        <v>5005050022</v>
      </c>
      <c r="C365" t="s">
        <v>87</v>
      </c>
      <c r="D365" t="s">
        <v>88</v>
      </c>
    </row>
    <row r="366" spans="1:4">
      <c r="A366" s="655">
        <f>IFERROR(IFERROR(IFERROR(IFERROR(INDEX(RWCDS!$R:$W,MATCH(_xlfn.CONCAT('Consolidated Sites and BBLs'!$B366),RWCDS!R:R,0),6),INDEX(RWCDS!$R:$W,MATCH(_xlfn.CONCAT('Consolidated Sites and BBLs'!$B366),RWCDS!S:S,0),6)),INDEX(RWCDS!$R:$W,MATCH(_xlfn.CONCAT('Consolidated Sites and BBLs'!$B366),RWCDS!T:T,0),6)),INDEX(RWCDS!$R:$W,MATCH(_xlfn.CONCAT('Consolidated Sites and BBLs'!$B366),RWCDS!U:U,0),6)),INDEX(RWCDS!$R:$W,MATCH(_xlfn.CONCAT('Consolidated Sites and BBLs'!$B366),RWCDS!V:V,0),6))</f>
        <v>13</v>
      </c>
      <c r="B366" s="2579">
        <v>5005050024</v>
      </c>
      <c r="C366" t="s">
        <v>87</v>
      </c>
      <c r="D366" t="s">
        <v>88</v>
      </c>
    </row>
    <row r="367" spans="1:4">
      <c r="A367" s="655">
        <f>IFERROR(IFERROR(IFERROR(IFERROR(INDEX(RWCDS!$R:$W,MATCH(_xlfn.CONCAT('Consolidated Sites and BBLs'!$B367),RWCDS!R:R,0),6),INDEX(RWCDS!$R:$W,MATCH(_xlfn.CONCAT('Consolidated Sites and BBLs'!$B367),RWCDS!S:S,0),6)),INDEX(RWCDS!$R:$W,MATCH(_xlfn.CONCAT('Consolidated Sites and BBLs'!$B367),RWCDS!T:T,0),6)),INDEX(RWCDS!$R:$W,MATCH(_xlfn.CONCAT('Consolidated Sites and BBLs'!$B367),RWCDS!U:U,0),6)),INDEX(RWCDS!$R:$W,MATCH(_xlfn.CONCAT('Consolidated Sites and BBLs'!$B367),RWCDS!V:V,0),6))</f>
        <v>13</v>
      </c>
      <c r="B367" s="2579">
        <v>5005050025</v>
      </c>
      <c r="C367" t="s">
        <v>87</v>
      </c>
      <c r="D367" t="s">
        <v>88</v>
      </c>
    </row>
    <row r="368" spans="1:4">
      <c r="A368" s="655">
        <f>IFERROR(IFERROR(IFERROR(IFERROR(INDEX(RWCDS!$R:$W,MATCH(_xlfn.CONCAT('Consolidated Sites and BBLs'!$B368),RWCDS!R:R,0),6),INDEX(RWCDS!$R:$W,MATCH(_xlfn.CONCAT('Consolidated Sites and BBLs'!$B368),RWCDS!S:S,0),6)),INDEX(RWCDS!$R:$W,MATCH(_xlfn.CONCAT('Consolidated Sites and BBLs'!$B368),RWCDS!T:T,0),6)),INDEX(RWCDS!$R:$W,MATCH(_xlfn.CONCAT('Consolidated Sites and BBLs'!$B368),RWCDS!U:U,0),6)),INDEX(RWCDS!$R:$W,MATCH(_xlfn.CONCAT('Consolidated Sites and BBLs'!$B368),RWCDS!V:V,0),6))</f>
        <v>14</v>
      </c>
      <c r="B368" s="2579">
        <v>5005050018</v>
      </c>
      <c r="C368" t="s">
        <v>87</v>
      </c>
      <c r="D368" t="s">
        <v>88</v>
      </c>
    </row>
    <row r="369" spans="1:4">
      <c r="A369" s="655">
        <f>IFERROR(IFERROR(IFERROR(IFERROR(INDEX(RWCDS!$R:$W,MATCH(_xlfn.CONCAT('Consolidated Sites and BBLs'!$B369),RWCDS!R:R,0),6),INDEX(RWCDS!$R:$W,MATCH(_xlfn.CONCAT('Consolidated Sites and BBLs'!$B369),RWCDS!S:S,0),6)),INDEX(RWCDS!$R:$W,MATCH(_xlfn.CONCAT('Consolidated Sites and BBLs'!$B369),RWCDS!T:T,0),6)),INDEX(RWCDS!$R:$W,MATCH(_xlfn.CONCAT('Consolidated Sites and BBLs'!$B369),RWCDS!U:U,0),6)),INDEX(RWCDS!$R:$W,MATCH(_xlfn.CONCAT('Consolidated Sites and BBLs'!$B369),RWCDS!V:V,0),6))</f>
        <v>15</v>
      </c>
      <c r="B369" s="2579">
        <v>5005070012</v>
      </c>
      <c r="C369" t="s">
        <v>87</v>
      </c>
      <c r="D369" t="s">
        <v>88</v>
      </c>
    </row>
    <row r="370" spans="1:4">
      <c r="A370" s="655">
        <f>IFERROR(IFERROR(IFERROR(IFERROR(INDEX(RWCDS!$R:$W,MATCH(_xlfn.CONCAT('Consolidated Sites and BBLs'!$B370),RWCDS!R:R,0),6),INDEX(RWCDS!$R:$W,MATCH(_xlfn.CONCAT('Consolidated Sites and BBLs'!$B370),RWCDS!S:S,0),6)),INDEX(RWCDS!$R:$W,MATCH(_xlfn.CONCAT('Consolidated Sites and BBLs'!$B370),RWCDS!T:T,0),6)),INDEX(RWCDS!$R:$W,MATCH(_xlfn.CONCAT('Consolidated Sites and BBLs'!$B370),RWCDS!U:U,0),6)),INDEX(RWCDS!$R:$W,MATCH(_xlfn.CONCAT('Consolidated Sites and BBLs'!$B370),RWCDS!V:V,0),6))</f>
        <v>15</v>
      </c>
      <c r="B370" s="2579">
        <v>5005070017</v>
      </c>
      <c r="C370" t="s">
        <v>87</v>
      </c>
      <c r="D370" t="s">
        <v>88</v>
      </c>
    </row>
    <row r="371" spans="1:4">
      <c r="A371" s="655">
        <f>IFERROR(IFERROR(IFERROR(IFERROR(INDEX(RWCDS!$R:$W,MATCH(_xlfn.CONCAT('Consolidated Sites and BBLs'!$B371),RWCDS!R:R,0),6),INDEX(RWCDS!$R:$W,MATCH(_xlfn.CONCAT('Consolidated Sites and BBLs'!$B371),RWCDS!S:S,0),6)),INDEX(RWCDS!$R:$W,MATCH(_xlfn.CONCAT('Consolidated Sites and BBLs'!$B371),RWCDS!T:T,0),6)),INDEX(RWCDS!$R:$W,MATCH(_xlfn.CONCAT('Consolidated Sites and BBLs'!$B371),RWCDS!U:U,0),6)),INDEX(RWCDS!$R:$W,MATCH(_xlfn.CONCAT('Consolidated Sites and BBLs'!$B371),RWCDS!V:V,0),6))</f>
        <v>16</v>
      </c>
      <c r="B371" s="2579">
        <v>5005080022</v>
      </c>
      <c r="C371" t="s">
        <v>87</v>
      </c>
      <c r="D371" t="s">
        <v>88</v>
      </c>
    </row>
    <row r="372" spans="1:4">
      <c r="A372" s="655">
        <f>IFERROR(IFERROR(IFERROR(IFERROR(INDEX(RWCDS!$R:$W,MATCH(_xlfn.CONCAT('Consolidated Sites and BBLs'!$B372),RWCDS!R:R,0),6),INDEX(RWCDS!$R:$W,MATCH(_xlfn.CONCAT('Consolidated Sites and BBLs'!$B372),RWCDS!S:S,0),6)),INDEX(RWCDS!$R:$W,MATCH(_xlfn.CONCAT('Consolidated Sites and BBLs'!$B372),RWCDS!T:T,0),6)),INDEX(RWCDS!$R:$W,MATCH(_xlfn.CONCAT('Consolidated Sites and BBLs'!$B372),RWCDS!U:U,0),6)),INDEX(RWCDS!$R:$W,MATCH(_xlfn.CONCAT('Consolidated Sites and BBLs'!$B372),RWCDS!V:V,0),6))</f>
        <v>16</v>
      </c>
      <c r="B372" s="2579">
        <v>5005080023</v>
      </c>
      <c r="C372" t="s">
        <v>87</v>
      </c>
      <c r="D372" t="s">
        <v>88</v>
      </c>
    </row>
    <row r="373" spans="1:4">
      <c r="A373" s="655">
        <f>IFERROR(IFERROR(IFERROR(IFERROR(INDEX(RWCDS!$R:$W,MATCH(_xlfn.CONCAT('Consolidated Sites and BBLs'!$B373),RWCDS!R:R,0),6),INDEX(RWCDS!$R:$W,MATCH(_xlfn.CONCAT('Consolidated Sites and BBLs'!$B373),RWCDS!S:S,0),6)),INDEX(RWCDS!$R:$W,MATCH(_xlfn.CONCAT('Consolidated Sites and BBLs'!$B373),RWCDS!T:T,0),6)),INDEX(RWCDS!$R:$W,MATCH(_xlfn.CONCAT('Consolidated Sites and BBLs'!$B373),RWCDS!U:U,0),6)),INDEX(RWCDS!$R:$W,MATCH(_xlfn.CONCAT('Consolidated Sites and BBLs'!$B373),RWCDS!V:V,0),6))</f>
        <v>16</v>
      </c>
      <c r="B373" s="2579">
        <v>5005080024</v>
      </c>
      <c r="C373" t="s">
        <v>87</v>
      </c>
      <c r="D373" t="s">
        <v>88</v>
      </c>
    </row>
    <row r="374" spans="1:4">
      <c r="A374" s="655">
        <f>IFERROR(IFERROR(IFERROR(IFERROR(INDEX(RWCDS!$R:$W,MATCH(_xlfn.CONCAT('Consolidated Sites and BBLs'!$B374),RWCDS!R:R,0),6),INDEX(RWCDS!$R:$W,MATCH(_xlfn.CONCAT('Consolidated Sites and BBLs'!$B374),RWCDS!S:S,0),6)),INDEX(RWCDS!$R:$W,MATCH(_xlfn.CONCAT('Consolidated Sites and BBLs'!$B374),RWCDS!T:T,0),6)),INDEX(RWCDS!$R:$W,MATCH(_xlfn.CONCAT('Consolidated Sites and BBLs'!$B374),RWCDS!U:U,0),6)),INDEX(RWCDS!$R:$W,MATCH(_xlfn.CONCAT('Consolidated Sites and BBLs'!$B374),RWCDS!V:V,0),6))</f>
        <v>17</v>
      </c>
      <c r="B374" s="2579">
        <v>5005090001</v>
      </c>
      <c r="C374" t="s">
        <v>87</v>
      </c>
      <c r="D374" t="s">
        <v>88</v>
      </c>
    </row>
    <row r="375" spans="1:4">
      <c r="A375" s="655">
        <f>IFERROR(IFERROR(IFERROR(IFERROR(INDEX(RWCDS!$R:$W,MATCH(_xlfn.CONCAT('Consolidated Sites and BBLs'!$B375),RWCDS!R:R,0),6),INDEX(RWCDS!$R:$W,MATCH(_xlfn.CONCAT('Consolidated Sites and BBLs'!$B375),RWCDS!S:S,0),6)),INDEX(RWCDS!$R:$W,MATCH(_xlfn.CONCAT('Consolidated Sites and BBLs'!$B375),RWCDS!T:T,0),6)),INDEX(RWCDS!$R:$W,MATCH(_xlfn.CONCAT('Consolidated Sites and BBLs'!$B375),RWCDS!U:U,0),6)),INDEX(RWCDS!$R:$W,MATCH(_xlfn.CONCAT('Consolidated Sites and BBLs'!$B375),RWCDS!V:V,0),6))</f>
        <v>17</v>
      </c>
      <c r="B375" s="2579">
        <v>5005090004</v>
      </c>
      <c r="C375" t="s">
        <v>87</v>
      </c>
      <c r="D375" t="s">
        <v>88</v>
      </c>
    </row>
    <row r="376" spans="1:4">
      <c r="A376" s="655">
        <f>IFERROR(IFERROR(IFERROR(IFERROR(INDEX(RWCDS!$R:$W,MATCH(_xlfn.CONCAT('Consolidated Sites and BBLs'!$B376),RWCDS!R:R,0),6),INDEX(RWCDS!$R:$W,MATCH(_xlfn.CONCAT('Consolidated Sites and BBLs'!$B376),RWCDS!S:S,0),6)),INDEX(RWCDS!$R:$W,MATCH(_xlfn.CONCAT('Consolidated Sites and BBLs'!$B376),RWCDS!T:T,0),6)),INDEX(RWCDS!$R:$W,MATCH(_xlfn.CONCAT('Consolidated Sites and BBLs'!$B376),RWCDS!U:U,0),6)),INDEX(RWCDS!$R:$W,MATCH(_xlfn.CONCAT('Consolidated Sites and BBLs'!$B376),RWCDS!V:V,0),6))</f>
        <v>17</v>
      </c>
      <c r="B376" s="2579">
        <v>5005090008</v>
      </c>
      <c r="C376" t="s">
        <v>87</v>
      </c>
      <c r="D376" t="s">
        <v>88</v>
      </c>
    </row>
    <row r="377" spans="1:4">
      <c r="A377" s="655">
        <f>IFERROR(IFERROR(IFERROR(IFERROR(INDEX(RWCDS!$R:$W,MATCH(_xlfn.CONCAT('Consolidated Sites and BBLs'!$B377),RWCDS!R:R,0),6),INDEX(RWCDS!$R:$W,MATCH(_xlfn.CONCAT('Consolidated Sites and BBLs'!$B377),RWCDS!S:S,0),6)),INDEX(RWCDS!$R:$W,MATCH(_xlfn.CONCAT('Consolidated Sites and BBLs'!$B377),RWCDS!T:T,0),6)),INDEX(RWCDS!$R:$W,MATCH(_xlfn.CONCAT('Consolidated Sites and BBLs'!$B377),RWCDS!U:U,0),6)),INDEX(RWCDS!$R:$W,MATCH(_xlfn.CONCAT('Consolidated Sites and BBLs'!$B377),RWCDS!V:V,0),6))</f>
        <v>18</v>
      </c>
      <c r="B377" s="2579">
        <v>5005260011</v>
      </c>
      <c r="C377" t="s">
        <v>87</v>
      </c>
      <c r="D377" t="s">
        <v>88</v>
      </c>
    </row>
    <row r="378" spans="1:4">
      <c r="A378" s="655">
        <f>IFERROR(IFERROR(IFERROR(IFERROR(INDEX(RWCDS!$R:$W,MATCH(_xlfn.CONCAT('Consolidated Sites and BBLs'!$B378),RWCDS!R:R,0),6),INDEX(RWCDS!$R:$W,MATCH(_xlfn.CONCAT('Consolidated Sites and BBLs'!$B378),RWCDS!S:S,0),6)),INDEX(RWCDS!$R:$W,MATCH(_xlfn.CONCAT('Consolidated Sites and BBLs'!$B378),RWCDS!T:T,0),6)),INDEX(RWCDS!$R:$W,MATCH(_xlfn.CONCAT('Consolidated Sites and BBLs'!$B378),RWCDS!U:U,0),6)),INDEX(RWCDS!$R:$W,MATCH(_xlfn.CONCAT('Consolidated Sites and BBLs'!$B378),RWCDS!V:V,0),6))</f>
        <v>19</v>
      </c>
      <c r="B378" s="2579">
        <v>5005260019</v>
      </c>
      <c r="C378" t="s">
        <v>87</v>
      </c>
      <c r="D378" t="s">
        <v>88</v>
      </c>
    </row>
    <row r="379" spans="1:4">
      <c r="A379" s="655">
        <f>IFERROR(IFERROR(IFERROR(IFERROR(INDEX(RWCDS!$R:$W,MATCH(_xlfn.CONCAT('Consolidated Sites and BBLs'!$B379),RWCDS!R:R,0),6),INDEX(RWCDS!$R:$W,MATCH(_xlfn.CONCAT('Consolidated Sites and BBLs'!$B379),RWCDS!S:S,0),6)),INDEX(RWCDS!$R:$W,MATCH(_xlfn.CONCAT('Consolidated Sites and BBLs'!$B379),RWCDS!T:T,0),6)),INDEX(RWCDS!$R:$W,MATCH(_xlfn.CONCAT('Consolidated Sites and BBLs'!$B379),RWCDS!U:U,0),6)),INDEX(RWCDS!$R:$W,MATCH(_xlfn.CONCAT('Consolidated Sites and BBLs'!$B379),RWCDS!V:V,0),6))</f>
        <v>19</v>
      </c>
      <c r="B379" s="2579">
        <v>5005260021</v>
      </c>
      <c r="C379" t="s">
        <v>87</v>
      </c>
      <c r="D379" t="s">
        <v>88</v>
      </c>
    </row>
    <row r="380" spans="1:4">
      <c r="A380" s="655">
        <f>IFERROR(IFERROR(IFERROR(IFERROR(INDEX(RWCDS!$R:$W,MATCH(_xlfn.CONCAT('Consolidated Sites and BBLs'!$B380),RWCDS!R:R,0),6),INDEX(RWCDS!$R:$W,MATCH(_xlfn.CONCAT('Consolidated Sites and BBLs'!$B380),RWCDS!S:S,0),6)),INDEX(RWCDS!$R:$W,MATCH(_xlfn.CONCAT('Consolidated Sites and BBLs'!$B380),RWCDS!T:T,0),6)),INDEX(RWCDS!$R:$W,MATCH(_xlfn.CONCAT('Consolidated Sites and BBLs'!$B380),RWCDS!U:U,0),6)),INDEX(RWCDS!$R:$W,MATCH(_xlfn.CONCAT('Consolidated Sites and BBLs'!$B380),RWCDS!V:V,0),6))</f>
        <v>19</v>
      </c>
      <c r="B380" s="2579">
        <v>5005260025</v>
      </c>
      <c r="C380" t="s">
        <v>87</v>
      </c>
      <c r="D380" t="s">
        <v>88</v>
      </c>
    </row>
    <row r="381" spans="1:4">
      <c r="A381" s="655">
        <f>IFERROR(IFERROR(IFERROR(IFERROR(INDEX(RWCDS!$R:$W,MATCH(_xlfn.CONCAT('Consolidated Sites and BBLs'!$B381),RWCDS!R:R,0),6),INDEX(RWCDS!$R:$W,MATCH(_xlfn.CONCAT('Consolidated Sites and BBLs'!$B381),RWCDS!S:S,0),6)),INDEX(RWCDS!$R:$W,MATCH(_xlfn.CONCAT('Consolidated Sites and BBLs'!$B381),RWCDS!T:T,0),6)),INDEX(RWCDS!$R:$W,MATCH(_xlfn.CONCAT('Consolidated Sites and BBLs'!$B381),RWCDS!U:U,0),6)),INDEX(RWCDS!$R:$W,MATCH(_xlfn.CONCAT('Consolidated Sites and BBLs'!$B381),RWCDS!V:V,0),6))</f>
        <v>20</v>
      </c>
      <c r="B381" s="2579">
        <v>5005260057</v>
      </c>
      <c r="C381" t="s">
        <v>87</v>
      </c>
      <c r="D381" t="s">
        <v>88</v>
      </c>
    </row>
    <row r="382" spans="1:4">
      <c r="A382" s="655">
        <f>IFERROR(IFERROR(IFERROR(IFERROR(INDEX(RWCDS!$R:$W,MATCH(_xlfn.CONCAT('Consolidated Sites and BBLs'!$B382),RWCDS!R:R,0),6),INDEX(RWCDS!$R:$W,MATCH(_xlfn.CONCAT('Consolidated Sites and BBLs'!$B382),RWCDS!S:S,0),6)),INDEX(RWCDS!$R:$W,MATCH(_xlfn.CONCAT('Consolidated Sites and BBLs'!$B382),RWCDS!T:T,0),6)),INDEX(RWCDS!$R:$W,MATCH(_xlfn.CONCAT('Consolidated Sites and BBLs'!$B382),RWCDS!U:U,0),6)),INDEX(RWCDS!$R:$W,MATCH(_xlfn.CONCAT('Consolidated Sites and BBLs'!$B382),RWCDS!V:V,0),6))</f>
        <v>20</v>
      </c>
      <c r="B382" s="2579">
        <v>5005260059</v>
      </c>
      <c r="C382" t="s">
        <v>87</v>
      </c>
      <c r="D382" t="s">
        <v>88</v>
      </c>
    </row>
    <row r="383" spans="1:4">
      <c r="A383" s="655">
        <f>IFERROR(IFERROR(IFERROR(IFERROR(INDEX(RWCDS!$R:$W,MATCH(_xlfn.CONCAT('Consolidated Sites and BBLs'!$B383),RWCDS!R:R,0),6),INDEX(RWCDS!$R:$W,MATCH(_xlfn.CONCAT('Consolidated Sites and BBLs'!$B383),RWCDS!S:S,0),6)),INDEX(RWCDS!$R:$W,MATCH(_xlfn.CONCAT('Consolidated Sites and BBLs'!$B383),RWCDS!T:T,0),6)),INDEX(RWCDS!$R:$W,MATCH(_xlfn.CONCAT('Consolidated Sites and BBLs'!$B383),RWCDS!U:U,0),6)),INDEX(RWCDS!$R:$W,MATCH(_xlfn.CONCAT('Consolidated Sites and BBLs'!$B383),RWCDS!V:V,0),6))</f>
        <v>20</v>
      </c>
      <c r="B383" s="2579">
        <v>5005260061</v>
      </c>
      <c r="C383" t="s">
        <v>87</v>
      </c>
      <c r="D383" t="s">
        <v>88</v>
      </c>
    </row>
    <row r="384" spans="1:4">
      <c r="A384" s="655">
        <f>IFERROR(IFERROR(IFERROR(IFERROR(INDEX(RWCDS!$R:$W,MATCH(_xlfn.CONCAT('Consolidated Sites and BBLs'!$B384),RWCDS!R:R,0),6),INDEX(RWCDS!$R:$W,MATCH(_xlfn.CONCAT('Consolidated Sites and BBLs'!$B384),RWCDS!S:S,0),6)),INDEX(RWCDS!$R:$W,MATCH(_xlfn.CONCAT('Consolidated Sites and BBLs'!$B384),RWCDS!T:T,0),6)),INDEX(RWCDS!$R:$W,MATCH(_xlfn.CONCAT('Consolidated Sites and BBLs'!$B384),RWCDS!U:U,0),6)),INDEX(RWCDS!$R:$W,MATCH(_xlfn.CONCAT('Consolidated Sites and BBLs'!$B384),RWCDS!V:V,0),6))</f>
        <v>21</v>
      </c>
      <c r="B384" s="2579">
        <v>5005260008</v>
      </c>
      <c r="C384" t="s">
        <v>87</v>
      </c>
      <c r="D384" t="s">
        <v>88</v>
      </c>
    </row>
    <row r="385" spans="1:4">
      <c r="A385" s="655">
        <f>IFERROR(IFERROR(IFERROR(IFERROR(INDEX(RWCDS!$R:$W,MATCH(_xlfn.CONCAT('Consolidated Sites and BBLs'!$B385),RWCDS!R:R,0),6),INDEX(RWCDS!$R:$W,MATCH(_xlfn.CONCAT('Consolidated Sites and BBLs'!$B385),RWCDS!S:S,0),6)),INDEX(RWCDS!$R:$W,MATCH(_xlfn.CONCAT('Consolidated Sites and BBLs'!$B385),RWCDS!T:T,0),6)),INDEX(RWCDS!$R:$W,MATCH(_xlfn.CONCAT('Consolidated Sites and BBLs'!$B385),RWCDS!U:U,0),6)),INDEX(RWCDS!$R:$W,MATCH(_xlfn.CONCAT('Consolidated Sites and BBLs'!$B385),RWCDS!V:V,0),6))</f>
        <v>22</v>
      </c>
      <c r="B385" s="2579">
        <v>5005270049</v>
      </c>
      <c r="C385" t="s">
        <v>87</v>
      </c>
      <c r="D385" t="s">
        <v>88</v>
      </c>
    </row>
    <row r="386" spans="1:4">
      <c r="A386" s="655">
        <f>IFERROR(IFERROR(IFERROR(IFERROR(INDEX(RWCDS!$R:$W,MATCH(_xlfn.CONCAT('Consolidated Sites and BBLs'!$B386),RWCDS!R:R,0),6),INDEX(RWCDS!$R:$W,MATCH(_xlfn.CONCAT('Consolidated Sites and BBLs'!$B386),RWCDS!S:S,0),6)),INDEX(RWCDS!$R:$W,MATCH(_xlfn.CONCAT('Consolidated Sites and BBLs'!$B386),RWCDS!T:T,0),6)),INDEX(RWCDS!$R:$W,MATCH(_xlfn.CONCAT('Consolidated Sites and BBLs'!$B386),RWCDS!U:U,0),6)),INDEX(RWCDS!$R:$W,MATCH(_xlfn.CONCAT('Consolidated Sites and BBLs'!$B386),RWCDS!V:V,0),6))</f>
        <v>23</v>
      </c>
      <c r="B386" s="2579">
        <v>5005270050</v>
      </c>
      <c r="C386" t="s">
        <v>87</v>
      </c>
      <c r="D386" t="s">
        <v>88</v>
      </c>
    </row>
    <row r="387" spans="1:4">
      <c r="A387" s="655">
        <f>IFERROR(IFERROR(IFERROR(IFERROR(INDEX(RWCDS!$R:$W,MATCH(_xlfn.CONCAT('Consolidated Sites and BBLs'!$B387),RWCDS!R:R,0),6),INDEX(RWCDS!$R:$W,MATCH(_xlfn.CONCAT('Consolidated Sites and BBLs'!$B387),RWCDS!S:S,0),6)),INDEX(RWCDS!$R:$W,MATCH(_xlfn.CONCAT('Consolidated Sites and BBLs'!$B387),RWCDS!T:T,0),6)),INDEX(RWCDS!$R:$W,MATCH(_xlfn.CONCAT('Consolidated Sites and BBLs'!$B387),RWCDS!U:U,0),6)),INDEX(RWCDS!$R:$W,MATCH(_xlfn.CONCAT('Consolidated Sites and BBLs'!$B387),RWCDS!V:V,0),6))</f>
        <v>23</v>
      </c>
      <c r="B387" s="2579">
        <v>5005270052</v>
      </c>
      <c r="C387" t="s">
        <v>87</v>
      </c>
      <c r="D387" t="s">
        <v>88</v>
      </c>
    </row>
    <row r="388" spans="1:4">
      <c r="A388" s="655">
        <f>IFERROR(IFERROR(IFERROR(IFERROR(INDEX(RWCDS!$R:$W,MATCH(_xlfn.CONCAT('Consolidated Sites and BBLs'!$B388),RWCDS!R:R,0),6),INDEX(RWCDS!$R:$W,MATCH(_xlfn.CONCAT('Consolidated Sites and BBLs'!$B388),RWCDS!S:S,0),6)),INDEX(RWCDS!$R:$W,MATCH(_xlfn.CONCAT('Consolidated Sites and BBLs'!$B388),RWCDS!T:T,0),6)),INDEX(RWCDS!$R:$W,MATCH(_xlfn.CONCAT('Consolidated Sites and BBLs'!$B388),RWCDS!U:U,0),6)),INDEX(RWCDS!$R:$W,MATCH(_xlfn.CONCAT('Consolidated Sites and BBLs'!$B388),RWCDS!V:V,0),6))</f>
        <v>24</v>
      </c>
      <c r="B388" s="2579">
        <v>5005270055</v>
      </c>
      <c r="C388" t="s">
        <v>87</v>
      </c>
      <c r="D388" t="s">
        <v>88</v>
      </c>
    </row>
    <row r="389" spans="1:4">
      <c r="A389" s="655">
        <f>IFERROR(IFERROR(IFERROR(IFERROR(INDEX(RWCDS!$R:$W,MATCH(_xlfn.CONCAT('Consolidated Sites and BBLs'!$B389),RWCDS!R:R,0),6),INDEX(RWCDS!$R:$W,MATCH(_xlfn.CONCAT('Consolidated Sites and BBLs'!$B389),RWCDS!S:S,0),6)),INDEX(RWCDS!$R:$W,MATCH(_xlfn.CONCAT('Consolidated Sites and BBLs'!$B389),RWCDS!T:T,0),6)),INDEX(RWCDS!$R:$W,MATCH(_xlfn.CONCAT('Consolidated Sites and BBLs'!$B389),RWCDS!U:U,0),6)),INDEX(RWCDS!$R:$W,MATCH(_xlfn.CONCAT('Consolidated Sites and BBLs'!$B389),RWCDS!V:V,0),6))</f>
        <v>25</v>
      </c>
      <c r="B389" s="2579">
        <v>5005270065</v>
      </c>
      <c r="C389" t="s">
        <v>87</v>
      </c>
      <c r="D389" t="s">
        <v>88</v>
      </c>
    </row>
    <row r="390" spans="1:4">
      <c r="A390" s="655">
        <f>IFERROR(IFERROR(IFERROR(IFERROR(INDEX(RWCDS!$R:$W,MATCH(_xlfn.CONCAT('Consolidated Sites and BBLs'!$B390),RWCDS!R:R,0),6),INDEX(RWCDS!$R:$W,MATCH(_xlfn.CONCAT('Consolidated Sites and BBLs'!$B390),RWCDS!S:S,0),6)),INDEX(RWCDS!$R:$W,MATCH(_xlfn.CONCAT('Consolidated Sites and BBLs'!$B390),RWCDS!T:T,0),6)),INDEX(RWCDS!$R:$W,MATCH(_xlfn.CONCAT('Consolidated Sites and BBLs'!$B390),RWCDS!U:U,0),6)),INDEX(RWCDS!$R:$W,MATCH(_xlfn.CONCAT('Consolidated Sites and BBLs'!$B390),RWCDS!V:V,0),6))</f>
        <v>25</v>
      </c>
      <c r="B390" s="2579">
        <v>5005270066</v>
      </c>
      <c r="C390" t="s">
        <v>87</v>
      </c>
      <c r="D390" t="s">
        <v>88</v>
      </c>
    </row>
    <row r="391" spans="1:4">
      <c r="A391" s="655">
        <f>IFERROR(IFERROR(IFERROR(IFERROR(INDEX(RWCDS!$R:$W,MATCH(_xlfn.CONCAT('Consolidated Sites and BBLs'!$B391),RWCDS!R:R,0),6),INDEX(RWCDS!$R:$W,MATCH(_xlfn.CONCAT('Consolidated Sites and BBLs'!$B391),RWCDS!S:S,0),6)),INDEX(RWCDS!$R:$W,MATCH(_xlfn.CONCAT('Consolidated Sites and BBLs'!$B391),RWCDS!T:T,0),6)),INDEX(RWCDS!$R:$W,MATCH(_xlfn.CONCAT('Consolidated Sites and BBLs'!$B391),RWCDS!U:U,0),6)),INDEX(RWCDS!$R:$W,MATCH(_xlfn.CONCAT('Consolidated Sites and BBLs'!$B391),RWCDS!V:V,0),6))</f>
        <v>25</v>
      </c>
      <c r="B391" s="2579">
        <v>5005270068</v>
      </c>
      <c r="C391" t="s">
        <v>87</v>
      </c>
      <c r="D391" t="s">
        <v>88</v>
      </c>
    </row>
    <row r="392" spans="1:4">
      <c r="A392" s="655">
        <f>IFERROR(IFERROR(IFERROR(IFERROR(INDEX(RWCDS!$R:$W,MATCH(_xlfn.CONCAT('Consolidated Sites and BBLs'!$B392),RWCDS!R:R,0),6),INDEX(RWCDS!$R:$W,MATCH(_xlfn.CONCAT('Consolidated Sites and BBLs'!$B392),RWCDS!S:S,0),6)),INDEX(RWCDS!$R:$W,MATCH(_xlfn.CONCAT('Consolidated Sites and BBLs'!$B392),RWCDS!T:T,0),6)),INDEX(RWCDS!$R:$W,MATCH(_xlfn.CONCAT('Consolidated Sites and BBLs'!$B392),RWCDS!U:U,0),6)),INDEX(RWCDS!$R:$W,MATCH(_xlfn.CONCAT('Consolidated Sites and BBLs'!$B392),RWCDS!V:V,0),6))</f>
        <v>25</v>
      </c>
      <c r="B392" s="2579">
        <v>5005270070</v>
      </c>
      <c r="C392" t="s">
        <v>87</v>
      </c>
      <c r="D392" t="s">
        <v>88</v>
      </c>
    </row>
    <row r="393" spans="1:4">
      <c r="A393" s="655">
        <f>IFERROR(IFERROR(IFERROR(IFERROR(INDEX(RWCDS!$R:$W,MATCH(_xlfn.CONCAT('Consolidated Sites and BBLs'!$B393),RWCDS!R:R,0),6),INDEX(RWCDS!$R:$W,MATCH(_xlfn.CONCAT('Consolidated Sites and BBLs'!$B393),RWCDS!S:S,0),6)),INDEX(RWCDS!$R:$W,MATCH(_xlfn.CONCAT('Consolidated Sites and BBLs'!$B393),RWCDS!T:T,0),6)),INDEX(RWCDS!$R:$W,MATCH(_xlfn.CONCAT('Consolidated Sites and BBLs'!$B393),RWCDS!U:U,0),6)),INDEX(RWCDS!$R:$W,MATCH(_xlfn.CONCAT('Consolidated Sites and BBLs'!$B393),RWCDS!V:V,0),6))</f>
        <v>1</v>
      </c>
      <c r="B393" s="2579">
        <v>5000090009</v>
      </c>
      <c r="C393" t="s">
        <v>87</v>
      </c>
      <c r="D393" t="s">
        <v>88</v>
      </c>
    </row>
    <row r="394" spans="1:4">
      <c r="A394" s="655">
        <f>IFERROR(IFERROR(IFERROR(IFERROR(INDEX(RWCDS!$R:$W,MATCH(_xlfn.CONCAT('Consolidated Sites and BBLs'!$B394),RWCDS!R:R,0),6),INDEX(RWCDS!$R:$W,MATCH(_xlfn.CONCAT('Consolidated Sites and BBLs'!$B394),RWCDS!S:S,0),6)),INDEX(RWCDS!$R:$W,MATCH(_xlfn.CONCAT('Consolidated Sites and BBLs'!$B394),RWCDS!T:T,0),6)),INDEX(RWCDS!$R:$W,MATCH(_xlfn.CONCAT('Consolidated Sites and BBLs'!$B394),RWCDS!U:U,0),6)),INDEX(RWCDS!$R:$W,MATCH(_xlfn.CONCAT('Consolidated Sites and BBLs'!$B394),RWCDS!V:V,0),6))</f>
        <v>2</v>
      </c>
      <c r="B394" s="2579">
        <v>5000340001</v>
      </c>
      <c r="C394" t="s">
        <v>87</v>
      </c>
      <c r="D394" t="s">
        <v>88</v>
      </c>
    </row>
    <row r="395" spans="1:4">
      <c r="A395" s="655">
        <f>IFERROR(IFERROR(IFERROR(IFERROR(INDEX(RWCDS!$R:$W,MATCH(_xlfn.CONCAT('Consolidated Sites and BBLs'!$B395),RWCDS!R:R,0),6),INDEX(RWCDS!$R:$W,MATCH(_xlfn.CONCAT('Consolidated Sites and BBLs'!$B395),RWCDS!S:S,0),6)),INDEX(RWCDS!$R:$W,MATCH(_xlfn.CONCAT('Consolidated Sites and BBLs'!$B395),RWCDS!T:T,0),6)),INDEX(RWCDS!$R:$W,MATCH(_xlfn.CONCAT('Consolidated Sites and BBLs'!$B395),RWCDS!U:U,0),6)),INDEX(RWCDS!$R:$W,MATCH(_xlfn.CONCAT('Consolidated Sites and BBLs'!$B395),RWCDS!V:V,0),6))</f>
        <v>3</v>
      </c>
      <c r="B395" s="2579">
        <v>5000060020</v>
      </c>
      <c r="C395" t="s">
        <v>87</v>
      </c>
      <c r="D395" t="s">
        <v>88</v>
      </c>
    </row>
    <row r="396" spans="1:4">
      <c r="A396" s="655" t="str">
        <f>IFERROR(IFERROR(IFERROR(IFERROR(INDEX(Potential_Sites!$Q:$V,MATCH(_xlfn.CONCAT('Consolidated Sites and BBLs'!$B396),Potential_Sites!Q:Q,0),6),INDEX(Potential_Sites!$Q:$V,MATCH(_xlfn.CONCAT('Consolidated Sites and BBLs'!$B396),Potential_Sites!R:R,0),6)),INDEX(Potential_Sites!$Q:$V,MATCH(_xlfn.CONCAT('Consolidated Sites and BBLs'!$B396),Potential_Sites!S:S,0),6)),INDEX(Potential_Sites!$Q:$V,MATCH(_xlfn.CONCAT('Consolidated Sites and BBLs'!$B396),Potential_Sites!T:T,0),6)),INDEX(Potential_Sites!$Q:$V,MATCH(_xlfn.CONCAT('Consolidated Sites and BBLs'!$B396),Potential_Sites!U:U,0),6))</f>
        <v>A</v>
      </c>
      <c r="B396" s="2579">
        <v>5004870042</v>
      </c>
      <c r="C396" t="s">
        <v>87</v>
      </c>
      <c r="D396" t="s">
        <v>89</v>
      </c>
    </row>
    <row r="397" spans="1:4">
      <c r="A397" s="655" t="str">
        <f>IFERROR(IFERROR(IFERROR(IFERROR(INDEX(Potential_Sites!$Q:$V,MATCH(_xlfn.CONCAT('Consolidated Sites and BBLs'!$B397),Potential_Sites!Q:Q,0),6),INDEX(Potential_Sites!$Q:$V,MATCH(_xlfn.CONCAT('Consolidated Sites and BBLs'!$B397),Potential_Sites!R:R,0),6)),INDEX(Potential_Sites!$Q:$V,MATCH(_xlfn.CONCAT('Consolidated Sites and BBLs'!$B397),Potential_Sites!S:S,0),6)),INDEX(Potential_Sites!$Q:$V,MATCH(_xlfn.CONCAT('Consolidated Sites and BBLs'!$B397),Potential_Sites!T:T,0),6)),INDEX(Potential_Sites!$Q:$V,MATCH(_xlfn.CONCAT('Consolidated Sites and BBLs'!$B397),Potential_Sites!U:U,0),6))</f>
        <v>B</v>
      </c>
      <c r="B397" s="2579">
        <v>5004880001</v>
      </c>
      <c r="C397" t="s">
        <v>87</v>
      </c>
      <c r="D397" t="s">
        <v>89</v>
      </c>
    </row>
    <row r="398" spans="1:4">
      <c r="A398" s="655" t="str">
        <f>IFERROR(IFERROR(IFERROR(IFERROR(INDEX(Potential_Sites!$Q:$V,MATCH(_xlfn.CONCAT('Consolidated Sites and BBLs'!$B398),Potential_Sites!Q:Q,0),6),INDEX(Potential_Sites!$Q:$V,MATCH(_xlfn.CONCAT('Consolidated Sites and BBLs'!$B398),Potential_Sites!R:R,0),6)),INDEX(Potential_Sites!$Q:$V,MATCH(_xlfn.CONCAT('Consolidated Sites and BBLs'!$B398),Potential_Sites!S:S,0),6)),INDEX(Potential_Sites!$Q:$V,MATCH(_xlfn.CONCAT('Consolidated Sites and BBLs'!$B398),Potential_Sites!T:T,0),6)),INDEX(Potential_Sites!$Q:$V,MATCH(_xlfn.CONCAT('Consolidated Sites and BBLs'!$B398),Potential_Sites!U:U,0),6))</f>
        <v>C</v>
      </c>
      <c r="B398" s="2579">
        <v>5004880157</v>
      </c>
      <c r="C398" t="s">
        <v>87</v>
      </c>
      <c r="D398" t="s">
        <v>89</v>
      </c>
    </row>
    <row r="399" spans="1:4">
      <c r="A399" s="655" t="str">
        <f>IFERROR(IFERROR(IFERROR(IFERROR(INDEX(Potential_Sites!$Q:$V,MATCH(_xlfn.CONCAT('Consolidated Sites and BBLs'!$B399),Potential_Sites!Q:Q,0),6),INDEX(Potential_Sites!$Q:$V,MATCH(_xlfn.CONCAT('Consolidated Sites and BBLs'!$B399),Potential_Sites!R:R,0),6)),INDEX(Potential_Sites!$Q:$V,MATCH(_xlfn.CONCAT('Consolidated Sites and BBLs'!$B399),Potential_Sites!S:S,0),6)),INDEX(Potential_Sites!$Q:$V,MATCH(_xlfn.CONCAT('Consolidated Sites and BBLs'!$B399),Potential_Sites!T:T,0),6)),INDEX(Potential_Sites!$Q:$V,MATCH(_xlfn.CONCAT('Consolidated Sites and BBLs'!$B399),Potential_Sites!U:U,0),6))</f>
        <v>C</v>
      </c>
      <c r="B399" s="2579">
        <v>5004880162</v>
      </c>
      <c r="C399" t="s">
        <v>87</v>
      </c>
      <c r="D399" t="s">
        <v>89</v>
      </c>
    </row>
    <row r="400" spans="1:4">
      <c r="A400" s="655" t="str">
        <f>IFERROR(IFERROR(IFERROR(IFERROR(INDEX(Potential_Sites!$Q:$V,MATCH(_xlfn.CONCAT('Consolidated Sites and BBLs'!$B400),Potential_Sites!Q:Q,0),6),INDEX(Potential_Sites!$Q:$V,MATCH(_xlfn.CONCAT('Consolidated Sites and BBLs'!$B400),Potential_Sites!R:R,0),6)),INDEX(Potential_Sites!$Q:$V,MATCH(_xlfn.CONCAT('Consolidated Sites and BBLs'!$B400),Potential_Sites!S:S,0),6)),INDEX(Potential_Sites!$Q:$V,MATCH(_xlfn.CONCAT('Consolidated Sites and BBLs'!$B400),Potential_Sites!T:T,0),6)),INDEX(Potential_Sites!$Q:$V,MATCH(_xlfn.CONCAT('Consolidated Sites and BBLs'!$B400),Potential_Sites!U:U,0),6))</f>
        <v>C</v>
      </c>
      <c r="B400" s="2579">
        <v>5004880164</v>
      </c>
      <c r="C400" t="s">
        <v>87</v>
      </c>
      <c r="D400" t="s">
        <v>89</v>
      </c>
    </row>
    <row r="401" spans="1:4">
      <c r="A401" s="655" t="str">
        <f>IFERROR(IFERROR(IFERROR(IFERROR(INDEX(Potential_Sites!$Q:$V,MATCH(_xlfn.CONCAT('Consolidated Sites and BBLs'!$B401),Potential_Sites!Q:Q,0),6),INDEX(Potential_Sites!$Q:$V,MATCH(_xlfn.CONCAT('Consolidated Sites and BBLs'!$B401),Potential_Sites!R:R,0),6)),INDEX(Potential_Sites!$Q:$V,MATCH(_xlfn.CONCAT('Consolidated Sites and BBLs'!$B401),Potential_Sites!S:S,0),6)),INDEX(Potential_Sites!$Q:$V,MATCH(_xlfn.CONCAT('Consolidated Sites and BBLs'!$B401),Potential_Sites!T:T,0),6)),INDEX(Potential_Sites!$Q:$V,MATCH(_xlfn.CONCAT('Consolidated Sites and BBLs'!$B401),Potential_Sites!U:U,0),6))</f>
        <v>D</v>
      </c>
      <c r="B401" s="2579">
        <v>5004890001</v>
      </c>
      <c r="C401" t="s">
        <v>87</v>
      </c>
      <c r="D401" t="s">
        <v>89</v>
      </c>
    </row>
    <row r="402" spans="1:4">
      <c r="A402" s="655" t="str">
        <f>IFERROR(IFERROR(IFERROR(IFERROR(INDEX(Potential_Sites!$Q:$V,MATCH(_xlfn.CONCAT('Consolidated Sites and BBLs'!$B402),Potential_Sites!Q:Q,0),6),INDEX(Potential_Sites!$Q:$V,MATCH(_xlfn.CONCAT('Consolidated Sites and BBLs'!$B402),Potential_Sites!R:R,0),6)),INDEX(Potential_Sites!$Q:$V,MATCH(_xlfn.CONCAT('Consolidated Sites and BBLs'!$B402),Potential_Sites!S:S,0),6)),INDEX(Potential_Sites!$Q:$V,MATCH(_xlfn.CONCAT('Consolidated Sites and BBLs'!$B402),Potential_Sites!T:T,0),6)),INDEX(Potential_Sites!$Q:$V,MATCH(_xlfn.CONCAT('Consolidated Sites and BBLs'!$B402),Potential_Sites!U:U,0),6))</f>
        <v>E</v>
      </c>
      <c r="B402" s="2579">
        <v>5004890016</v>
      </c>
      <c r="C402" t="s">
        <v>87</v>
      </c>
      <c r="D402" t="s">
        <v>89</v>
      </c>
    </row>
    <row r="403" spans="1:4">
      <c r="A403" s="655" t="str">
        <f>IFERROR(IFERROR(IFERROR(IFERROR(INDEX(Potential_Sites!$Q:$V,MATCH(_xlfn.CONCAT('Consolidated Sites and BBLs'!$B403),Potential_Sites!Q:Q,0),6),INDEX(Potential_Sites!$Q:$V,MATCH(_xlfn.CONCAT('Consolidated Sites and BBLs'!$B403),Potential_Sites!R:R,0),6)),INDEX(Potential_Sites!$Q:$V,MATCH(_xlfn.CONCAT('Consolidated Sites and BBLs'!$B403),Potential_Sites!S:S,0),6)),INDEX(Potential_Sites!$Q:$V,MATCH(_xlfn.CONCAT('Consolidated Sites and BBLs'!$B403),Potential_Sites!T:T,0),6)),INDEX(Potential_Sites!$Q:$V,MATCH(_xlfn.CONCAT('Consolidated Sites and BBLs'!$B403),Potential_Sites!U:U,0),6))</f>
        <v>F</v>
      </c>
      <c r="B403" s="2579">
        <v>5004890019</v>
      </c>
      <c r="C403" t="s">
        <v>87</v>
      </c>
      <c r="D403" t="s">
        <v>89</v>
      </c>
    </row>
    <row r="404" spans="1:4">
      <c r="A404" s="655" t="str">
        <f>IFERROR(IFERROR(IFERROR(IFERROR(INDEX(Potential_Sites!$Q:$V,MATCH(_xlfn.CONCAT('Consolidated Sites and BBLs'!$B404),Potential_Sites!Q:Q,0),6),INDEX(Potential_Sites!$Q:$V,MATCH(_xlfn.CONCAT('Consolidated Sites and BBLs'!$B404),Potential_Sites!R:R,0),6)),INDEX(Potential_Sites!$Q:$V,MATCH(_xlfn.CONCAT('Consolidated Sites and BBLs'!$B404),Potential_Sites!S:S,0),6)),INDEX(Potential_Sites!$Q:$V,MATCH(_xlfn.CONCAT('Consolidated Sites and BBLs'!$B404),Potential_Sites!T:T,0),6)),INDEX(Potential_Sites!$Q:$V,MATCH(_xlfn.CONCAT('Consolidated Sites and BBLs'!$B404),Potential_Sites!U:U,0),6))</f>
        <v>G</v>
      </c>
      <c r="B404" s="2579">
        <v>5004980005</v>
      </c>
      <c r="C404" t="s">
        <v>87</v>
      </c>
      <c r="D404" t="s">
        <v>89</v>
      </c>
    </row>
    <row r="405" spans="1:4">
      <c r="A405" s="655" t="str">
        <f>IFERROR(IFERROR(IFERROR(IFERROR(INDEX(Potential_Sites!$Q:$V,MATCH(_xlfn.CONCAT('Consolidated Sites and BBLs'!$B405),Potential_Sites!Q:Q,0),6),INDEX(Potential_Sites!$Q:$V,MATCH(_xlfn.CONCAT('Consolidated Sites and BBLs'!$B405),Potential_Sites!R:R,0),6)),INDEX(Potential_Sites!$Q:$V,MATCH(_xlfn.CONCAT('Consolidated Sites and BBLs'!$B405),Potential_Sites!S:S,0),6)),INDEX(Potential_Sites!$Q:$V,MATCH(_xlfn.CONCAT('Consolidated Sites and BBLs'!$B405),Potential_Sites!T:T,0),6)),INDEX(Potential_Sites!$Q:$V,MATCH(_xlfn.CONCAT('Consolidated Sites and BBLs'!$B405),Potential_Sites!U:U,0),6))</f>
        <v>H</v>
      </c>
      <c r="B405" s="2579">
        <v>5004980074</v>
      </c>
      <c r="C405" t="s">
        <v>87</v>
      </c>
      <c r="D405" t="s">
        <v>89</v>
      </c>
    </row>
    <row r="406" spans="1:4">
      <c r="A406" s="655" t="str">
        <f>IFERROR(IFERROR(IFERROR(IFERROR(INDEX(Potential_Sites!$Q:$V,MATCH(_xlfn.CONCAT('Consolidated Sites and BBLs'!$B406),Potential_Sites!Q:Q,0),6),INDEX(Potential_Sites!$Q:$V,MATCH(_xlfn.CONCAT('Consolidated Sites and BBLs'!$B406),Potential_Sites!R:R,0),6)),INDEX(Potential_Sites!$Q:$V,MATCH(_xlfn.CONCAT('Consolidated Sites and BBLs'!$B406),Potential_Sites!S:S,0),6)),INDEX(Potential_Sites!$Q:$V,MATCH(_xlfn.CONCAT('Consolidated Sites and BBLs'!$B406),Potential_Sites!T:T,0),6)),INDEX(Potential_Sites!$Q:$V,MATCH(_xlfn.CONCAT('Consolidated Sites and BBLs'!$B406),Potential_Sites!U:U,0),6))</f>
        <v>I</v>
      </c>
      <c r="B406" s="2579">
        <v>5005000001</v>
      </c>
      <c r="C406" t="s">
        <v>87</v>
      </c>
      <c r="D406" t="s">
        <v>89</v>
      </c>
    </row>
    <row r="407" spans="1:4">
      <c r="A407" s="655" t="str">
        <f>IFERROR(IFERROR(IFERROR(IFERROR(INDEX(Potential_Sites!$Q:$V,MATCH(_xlfn.CONCAT('Consolidated Sites and BBLs'!$B407),Potential_Sites!Q:Q,0),6),INDEX(Potential_Sites!$Q:$V,MATCH(_xlfn.CONCAT('Consolidated Sites and BBLs'!$B407),Potential_Sites!R:R,0),6)),INDEX(Potential_Sites!$Q:$V,MATCH(_xlfn.CONCAT('Consolidated Sites and BBLs'!$B407),Potential_Sites!S:S,0),6)),INDEX(Potential_Sites!$Q:$V,MATCH(_xlfn.CONCAT('Consolidated Sites and BBLs'!$B407),Potential_Sites!T:T,0),6)),INDEX(Potential_Sites!$Q:$V,MATCH(_xlfn.CONCAT('Consolidated Sites and BBLs'!$B407),Potential_Sites!U:U,0),6))</f>
        <v>I</v>
      </c>
      <c r="B407" s="2579">
        <v>5005000010</v>
      </c>
      <c r="C407" t="s">
        <v>87</v>
      </c>
      <c r="D407" t="s">
        <v>89</v>
      </c>
    </row>
    <row r="408" spans="1:4">
      <c r="A408" s="655" t="str">
        <f>IFERROR(IFERROR(IFERROR(IFERROR(INDEX(Potential_Sites!$Q:$V,MATCH(_xlfn.CONCAT('Consolidated Sites and BBLs'!$B408),Potential_Sites!Q:Q,0),6),INDEX(Potential_Sites!$Q:$V,MATCH(_xlfn.CONCAT('Consolidated Sites and BBLs'!$B408),Potential_Sites!R:R,0),6)),INDEX(Potential_Sites!$Q:$V,MATCH(_xlfn.CONCAT('Consolidated Sites and BBLs'!$B408),Potential_Sites!S:S,0),6)),INDEX(Potential_Sites!$Q:$V,MATCH(_xlfn.CONCAT('Consolidated Sites and BBLs'!$B408),Potential_Sites!T:T,0),6)),INDEX(Potential_Sites!$Q:$V,MATCH(_xlfn.CONCAT('Consolidated Sites and BBLs'!$B408),Potential_Sites!U:U,0),6))</f>
        <v>I</v>
      </c>
      <c r="B408" s="2579">
        <v>5005000011</v>
      </c>
      <c r="C408" t="s">
        <v>87</v>
      </c>
      <c r="D408" t="s">
        <v>89</v>
      </c>
    </row>
    <row r="409" spans="1:4">
      <c r="A409" s="655" t="str">
        <f>IFERROR(IFERROR(IFERROR(IFERROR(INDEX(Potential_Sites!$Q:$V,MATCH(_xlfn.CONCAT('Consolidated Sites and BBLs'!$B409),Potential_Sites!Q:Q,0),6),INDEX(Potential_Sites!$Q:$V,MATCH(_xlfn.CONCAT('Consolidated Sites and BBLs'!$B409),Potential_Sites!R:R,0),6)),INDEX(Potential_Sites!$Q:$V,MATCH(_xlfn.CONCAT('Consolidated Sites and BBLs'!$B409),Potential_Sites!S:S,0),6)),INDEX(Potential_Sites!$Q:$V,MATCH(_xlfn.CONCAT('Consolidated Sites and BBLs'!$B409),Potential_Sites!T:T,0),6)),INDEX(Potential_Sites!$Q:$V,MATCH(_xlfn.CONCAT('Consolidated Sites and BBLs'!$B409),Potential_Sites!U:U,0),6))</f>
        <v>I</v>
      </c>
      <c r="B409" s="2579">
        <v>5005000012</v>
      </c>
      <c r="C409" t="s">
        <v>87</v>
      </c>
      <c r="D409" t="s">
        <v>89</v>
      </c>
    </row>
    <row r="410" spans="1:4">
      <c r="A410" s="655" t="str">
        <f>IFERROR(IFERROR(IFERROR(IFERROR(INDEX(Potential_Sites!$Q:$V,MATCH(_xlfn.CONCAT('Consolidated Sites and BBLs'!$B410),Potential_Sites!Q:Q,0),6),INDEX(Potential_Sites!$Q:$V,MATCH(_xlfn.CONCAT('Consolidated Sites and BBLs'!$B410),Potential_Sites!R:R,0),6)),INDEX(Potential_Sites!$Q:$V,MATCH(_xlfn.CONCAT('Consolidated Sites and BBLs'!$B410),Potential_Sites!S:S,0),6)),INDEX(Potential_Sites!$Q:$V,MATCH(_xlfn.CONCAT('Consolidated Sites and BBLs'!$B410),Potential_Sites!T:T,0),6)),INDEX(Potential_Sites!$Q:$V,MATCH(_xlfn.CONCAT('Consolidated Sites and BBLs'!$B410),Potential_Sites!U:U,0),6))</f>
        <v>J</v>
      </c>
      <c r="B410" s="2579">
        <v>5005020034</v>
      </c>
      <c r="C410" t="s">
        <v>87</v>
      </c>
      <c r="D410" t="s">
        <v>89</v>
      </c>
    </row>
    <row r="411" spans="1:4">
      <c r="A411" s="655" t="str">
        <f>IFERROR(IFERROR(IFERROR(IFERROR(INDEX(Potential_Sites!$Q:$V,MATCH(_xlfn.CONCAT('Consolidated Sites and BBLs'!$B411),Potential_Sites!Q:Q,0),6),INDEX(Potential_Sites!$Q:$V,MATCH(_xlfn.CONCAT('Consolidated Sites and BBLs'!$B411),Potential_Sites!R:R,0),6)),INDEX(Potential_Sites!$Q:$V,MATCH(_xlfn.CONCAT('Consolidated Sites and BBLs'!$B411),Potential_Sites!S:S,0),6)),INDEX(Potential_Sites!$Q:$V,MATCH(_xlfn.CONCAT('Consolidated Sites and BBLs'!$B411),Potential_Sites!T:T,0),6)),INDEX(Potential_Sites!$Q:$V,MATCH(_xlfn.CONCAT('Consolidated Sites and BBLs'!$B411),Potential_Sites!U:U,0),6))</f>
        <v>K</v>
      </c>
      <c r="B411" s="2579">
        <v>5005030001</v>
      </c>
      <c r="C411" t="s">
        <v>87</v>
      </c>
      <c r="D411" t="s">
        <v>89</v>
      </c>
    </row>
    <row r="412" spans="1:4">
      <c r="A412" s="655" t="str">
        <f>IFERROR(IFERROR(IFERROR(IFERROR(INDEX(Potential_Sites!$Q:$V,MATCH(_xlfn.CONCAT('Consolidated Sites and BBLs'!$B412),Potential_Sites!Q:Q,0),6),INDEX(Potential_Sites!$Q:$V,MATCH(_xlfn.CONCAT('Consolidated Sites and BBLs'!$B412),Potential_Sites!R:R,0),6)),INDEX(Potential_Sites!$Q:$V,MATCH(_xlfn.CONCAT('Consolidated Sites and BBLs'!$B412),Potential_Sites!S:S,0),6)),INDEX(Potential_Sites!$Q:$V,MATCH(_xlfn.CONCAT('Consolidated Sites and BBLs'!$B412),Potential_Sites!T:T,0),6)),INDEX(Potential_Sites!$Q:$V,MATCH(_xlfn.CONCAT('Consolidated Sites and BBLs'!$B412),Potential_Sites!U:U,0),6))</f>
        <v>L</v>
      </c>
      <c r="B412" s="2579">
        <v>5005030032</v>
      </c>
      <c r="C412" t="s">
        <v>87</v>
      </c>
      <c r="D412" t="s">
        <v>89</v>
      </c>
    </row>
    <row r="413" spans="1:4">
      <c r="A413" s="655" t="str">
        <f>IFERROR(IFERROR(IFERROR(IFERROR(INDEX(Potential_Sites!$Q:$V,MATCH(_xlfn.CONCAT('Consolidated Sites and BBLs'!$B413),Potential_Sites!Q:Q,0),6),INDEX(Potential_Sites!$Q:$V,MATCH(_xlfn.CONCAT('Consolidated Sites and BBLs'!$B413),Potential_Sites!R:R,0),6)),INDEX(Potential_Sites!$Q:$V,MATCH(_xlfn.CONCAT('Consolidated Sites and BBLs'!$B413),Potential_Sites!S:S,0),6)),INDEX(Potential_Sites!$Q:$V,MATCH(_xlfn.CONCAT('Consolidated Sites and BBLs'!$B413),Potential_Sites!T:T,0),6)),INDEX(Potential_Sites!$Q:$V,MATCH(_xlfn.CONCAT('Consolidated Sites and BBLs'!$B413),Potential_Sites!U:U,0),6))</f>
        <v>M</v>
      </c>
      <c r="B413" s="2579">
        <v>5005050001</v>
      </c>
      <c r="C413" t="s">
        <v>87</v>
      </c>
      <c r="D413" t="s">
        <v>89</v>
      </c>
    </row>
    <row r="414" spans="1:4">
      <c r="A414" s="655" t="str">
        <f>IFERROR(IFERROR(IFERROR(IFERROR(INDEX(Potential_Sites!$Q:$V,MATCH(_xlfn.CONCAT('Consolidated Sites and BBLs'!$B414),Potential_Sites!Q:Q,0),6),INDEX(Potential_Sites!$Q:$V,MATCH(_xlfn.CONCAT('Consolidated Sites and BBLs'!$B414),Potential_Sites!R:R,0),6)),INDEX(Potential_Sites!$Q:$V,MATCH(_xlfn.CONCAT('Consolidated Sites and BBLs'!$B414),Potential_Sites!S:S,0),6)),INDEX(Potential_Sites!$Q:$V,MATCH(_xlfn.CONCAT('Consolidated Sites and BBLs'!$B414),Potential_Sites!T:T,0),6)),INDEX(Potential_Sites!$Q:$V,MATCH(_xlfn.CONCAT('Consolidated Sites and BBLs'!$B414),Potential_Sites!U:U,0),6))</f>
        <v>N</v>
      </c>
      <c r="B414" s="2579">
        <v>5005070001</v>
      </c>
      <c r="C414" t="s">
        <v>87</v>
      </c>
      <c r="D414" t="s">
        <v>89</v>
      </c>
    </row>
    <row r="415" spans="1:4">
      <c r="A415" s="655" t="str">
        <f>IFERROR(IFERROR(IFERROR(IFERROR(INDEX(Potential_Sites!$Q:$V,MATCH(_xlfn.CONCAT('Consolidated Sites and BBLs'!$B415),Potential_Sites!Q:Q,0),6),INDEX(Potential_Sites!$Q:$V,MATCH(_xlfn.CONCAT('Consolidated Sites and BBLs'!$B415),Potential_Sites!R:R,0),6)),INDEX(Potential_Sites!$Q:$V,MATCH(_xlfn.CONCAT('Consolidated Sites and BBLs'!$B415),Potential_Sites!S:S,0),6)),INDEX(Potential_Sites!$Q:$V,MATCH(_xlfn.CONCAT('Consolidated Sites and BBLs'!$B415),Potential_Sites!T:T,0),6)),INDEX(Potential_Sites!$Q:$V,MATCH(_xlfn.CONCAT('Consolidated Sites and BBLs'!$B415),Potential_Sites!U:U,0),6))</f>
        <v>N</v>
      </c>
      <c r="B415" s="2579">
        <v>5005070005</v>
      </c>
      <c r="C415" t="s">
        <v>87</v>
      </c>
      <c r="D415" t="s">
        <v>89</v>
      </c>
    </row>
    <row r="416" spans="1:4">
      <c r="A416" s="655" t="str">
        <f>IFERROR(IFERROR(IFERROR(IFERROR(INDEX(Potential_Sites!$Q:$V,MATCH(_xlfn.CONCAT('Consolidated Sites and BBLs'!$B416),Potential_Sites!Q:Q,0),6),INDEX(Potential_Sites!$Q:$V,MATCH(_xlfn.CONCAT('Consolidated Sites and BBLs'!$B416),Potential_Sites!R:R,0),6)),INDEX(Potential_Sites!$Q:$V,MATCH(_xlfn.CONCAT('Consolidated Sites and BBLs'!$B416),Potential_Sites!S:S,0),6)),INDEX(Potential_Sites!$Q:$V,MATCH(_xlfn.CONCAT('Consolidated Sites and BBLs'!$B416),Potential_Sites!T:T,0),6)),INDEX(Potential_Sites!$Q:$V,MATCH(_xlfn.CONCAT('Consolidated Sites and BBLs'!$B416),Potential_Sites!U:U,0),6))</f>
        <v>N</v>
      </c>
      <c r="B416" s="2579">
        <v>5005070006</v>
      </c>
      <c r="C416" t="s">
        <v>87</v>
      </c>
      <c r="D416" t="s">
        <v>89</v>
      </c>
    </row>
    <row r="417" spans="1:4">
      <c r="A417" s="655" t="str">
        <f>IFERROR(IFERROR(IFERROR(IFERROR(INDEX(Potential_Sites!$Q:$V,MATCH(_xlfn.CONCAT('Consolidated Sites and BBLs'!$B417),Potential_Sites!Q:Q,0),6),INDEX(Potential_Sites!$Q:$V,MATCH(_xlfn.CONCAT('Consolidated Sites and BBLs'!$B417),Potential_Sites!R:R,0),6)),INDEX(Potential_Sites!$Q:$V,MATCH(_xlfn.CONCAT('Consolidated Sites and BBLs'!$B417),Potential_Sites!S:S,0),6)),INDEX(Potential_Sites!$Q:$V,MATCH(_xlfn.CONCAT('Consolidated Sites and BBLs'!$B417),Potential_Sites!T:T,0),6)),INDEX(Potential_Sites!$Q:$V,MATCH(_xlfn.CONCAT('Consolidated Sites and BBLs'!$B417),Potential_Sites!U:U,0),6))</f>
        <v>O</v>
      </c>
      <c r="B417" s="2579">
        <v>5005080009</v>
      </c>
      <c r="C417" t="s">
        <v>87</v>
      </c>
      <c r="D417" t="s">
        <v>89</v>
      </c>
    </row>
    <row r="418" spans="1:4">
      <c r="A418" s="655" t="str">
        <f>IFERROR(IFERROR(IFERROR(IFERROR(INDEX(Potential_Sites!$Q:$V,MATCH(_xlfn.CONCAT('Consolidated Sites and BBLs'!$B418),Potential_Sites!Q:Q,0),6),INDEX(Potential_Sites!$Q:$V,MATCH(_xlfn.CONCAT('Consolidated Sites and BBLs'!$B418),Potential_Sites!R:R,0),6)),INDEX(Potential_Sites!$Q:$V,MATCH(_xlfn.CONCAT('Consolidated Sites and BBLs'!$B418),Potential_Sites!S:S,0),6)),INDEX(Potential_Sites!$Q:$V,MATCH(_xlfn.CONCAT('Consolidated Sites and BBLs'!$B418),Potential_Sites!T:T,0),6)),INDEX(Potential_Sites!$Q:$V,MATCH(_xlfn.CONCAT('Consolidated Sites and BBLs'!$B418),Potential_Sites!U:U,0),6))</f>
        <v>O</v>
      </c>
      <c r="B418" s="2579">
        <v>5005080021</v>
      </c>
      <c r="C418" t="s">
        <v>87</v>
      </c>
      <c r="D418" t="s">
        <v>89</v>
      </c>
    </row>
    <row r="419" spans="1:4">
      <c r="A419" s="655" t="str">
        <f>IFERROR(IFERROR(IFERROR(IFERROR(INDEX(Potential_Sites!$Q:$V,MATCH(_xlfn.CONCAT('Consolidated Sites and BBLs'!$B419),Potential_Sites!Q:Q,0),6),INDEX(Potential_Sites!$Q:$V,MATCH(_xlfn.CONCAT('Consolidated Sites and BBLs'!$B419),Potential_Sites!R:R,0),6)),INDEX(Potential_Sites!$Q:$V,MATCH(_xlfn.CONCAT('Consolidated Sites and BBLs'!$B419),Potential_Sites!S:S,0),6)),INDEX(Potential_Sites!$Q:$V,MATCH(_xlfn.CONCAT('Consolidated Sites and BBLs'!$B419),Potential_Sites!T:T,0),6)),INDEX(Potential_Sites!$Q:$V,MATCH(_xlfn.CONCAT('Consolidated Sites and BBLs'!$B419),Potential_Sites!U:U,0),6))</f>
        <v>P</v>
      </c>
      <c r="B419" s="2579">
        <v>5005080001</v>
      </c>
      <c r="C419" t="s">
        <v>87</v>
      </c>
      <c r="D419" t="s">
        <v>89</v>
      </c>
    </row>
    <row r="420" spans="1:4">
      <c r="A420" s="655" t="str">
        <f>IFERROR(IFERROR(IFERROR(IFERROR(INDEX(Potential_Sites!$Q:$V,MATCH(_xlfn.CONCAT('Consolidated Sites and BBLs'!$B420),Potential_Sites!Q:Q,0),6),INDEX(Potential_Sites!$Q:$V,MATCH(_xlfn.CONCAT('Consolidated Sites and BBLs'!$B420),Potential_Sites!R:R,0),6)),INDEX(Potential_Sites!$Q:$V,MATCH(_xlfn.CONCAT('Consolidated Sites and BBLs'!$B420),Potential_Sites!S:S,0),6)),INDEX(Potential_Sites!$Q:$V,MATCH(_xlfn.CONCAT('Consolidated Sites and BBLs'!$B420),Potential_Sites!T:T,0),6)),INDEX(Potential_Sites!$Q:$V,MATCH(_xlfn.CONCAT('Consolidated Sites and BBLs'!$B420),Potential_Sites!U:U,0),6))</f>
        <v>Q</v>
      </c>
      <c r="B420" s="2579">
        <v>5005090034</v>
      </c>
      <c r="C420" t="s">
        <v>87</v>
      </c>
      <c r="D420" t="s">
        <v>89</v>
      </c>
    </row>
    <row r="421" spans="1:4">
      <c r="A421" s="655" t="str">
        <f>IFERROR(IFERROR(IFERROR(IFERROR(INDEX(Potential_Sites!$Q:$V,MATCH(_xlfn.CONCAT('Consolidated Sites and BBLs'!$B421),Potential_Sites!Q:Q,0),6),INDEX(Potential_Sites!$Q:$V,MATCH(_xlfn.CONCAT('Consolidated Sites and BBLs'!$B421),Potential_Sites!R:R,0),6)),INDEX(Potential_Sites!$Q:$V,MATCH(_xlfn.CONCAT('Consolidated Sites and BBLs'!$B421),Potential_Sites!S:S,0),6)),INDEX(Potential_Sites!$Q:$V,MATCH(_xlfn.CONCAT('Consolidated Sites and BBLs'!$B421),Potential_Sites!T:T,0),6)),INDEX(Potential_Sites!$Q:$V,MATCH(_xlfn.CONCAT('Consolidated Sites and BBLs'!$B421),Potential_Sites!U:U,0),6))</f>
        <v>R</v>
      </c>
      <c r="B421" s="2579">
        <v>5005100043</v>
      </c>
      <c r="C421" t="s">
        <v>87</v>
      </c>
      <c r="D421" t="s">
        <v>89</v>
      </c>
    </row>
    <row r="422" spans="1:4">
      <c r="A422" s="655" t="str">
        <f>IFERROR(IFERROR(IFERROR(IFERROR(INDEX(Potential_Sites!$Q:$V,MATCH(_xlfn.CONCAT('Consolidated Sites and BBLs'!$B422),Potential_Sites!Q:Q,0),6),INDEX(Potential_Sites!$Q:$V,MATCH(_xlfn.CONCAT('Consolidated Sites and BBLs'!$B422),Potential_Sites!R:R,0),6)),INDEX(Potential_Sites!$Q:$V,MATCH(_xlfn.CONCAT('Consolidated Sites and BBLs'!$B422),Potential_Sites!S:S,0),6)),INDEX(Potential_Sites!$Q:$V,MATCH(_xlfn.CONCAT('Consolidated Sites and BBLs'!$B422),Potential_Sites!T:T,0),6)),INDEX(Potential_Sites!$Q:$V,MATCH(_xlfn.CONCAT('Consolidated Sites and BBLs'!$B422),Potential_Sites!U:U,0),6))</f>
        <v>S</v>
      </c>
      <c r="B422" s="2579">
        <v>5005110001</v>
      </c>
      <c r="C422" t="s">
        <v>87</v>
      </c>
      <c r="D422" t="s">
        <v>89</v>
      </c>
    </row>
    <row r="423" spans="1:4">
      <c r="A423" s="655" t="str">
        <f>IFERROR(IFERROR(IFERROR(IFERROR(INDEX(Potential_Sites!$Q:$V,MATCH(_xlfn.CONCAT('Consolidated Sites and BBLs'!$B423),Potential_Sites!Q:Q,0),6),INDEX(Potential_Sites!$Q:$V,MATCH(_xlfn.CONCAT('Consolidated Sites and BBLs'!$B423),Potential_Sites!R:R,0),6)),INDEX(Potential_Sites!$Q:$V,MATCH(_xlfn.CONCAT('Consolidated Sites and BBLs'!$B423),Potential_Sites!S:S,0),6)),INDEX(Potential_Sites!$Q:$V,MATCH(_xlfn.CONCAT('Consolidated Sites and BBLs'!$B423),Potential_Sites!T:T,0),6)),INDEX(Potential_Sites!$Q:$V,MATCH(_xlfn.CONCAT('Consolidated Sites and BBLs'!$B423),Potential_Sites!U:U,0),6))</f>
        <v>T</v>
      </c>
      <c r="B423" s="2579">
        <v>5005260043</v>
      </c>
      <c r="C423" t="s">
        <v>87</v>
      </c>
      <c r="D423" t="s">
        <v>89</v>
      </c>
    </row>
    <row r="424" spans="1:4">
      <c r="A424" s="655" t="str">
        <f>IFERROR(IFERROR(IFERROR(IFERROR(INDEX(Potential_Sites!$Q:$V,MATCH(_xlfn.CONCAT('Consolidated Sites and BBLs'!$B424),Potential_Sites!Q:Q,0),6),INDEX(Potential_Sites!$Q:$V,MATCH(_xlfn.CONCAT('Consolidated Sites and BBLs'!$B424),Potential_Sites!R:R,0),6)),INDEX(Potential_Sites!$Q:$V,MATCH(_xlfn.CONCAT('Consolidated Sites and BBLs'!$B424),Potential_Sites!S:S,0),6)),INDEX(Potential_Sites!$Q:$V,MATCH(_xlfn.CONCAT('Consolidated Sites and BBLs'!$B424),Potential_Sites!T:T,0),6)),INDEX(Potential_Sites!$Q:$V,MATCH(_xlfn.CONCAT('Consolidated Sites and BBLs'!$B424),Potential_Sites!U:U,0),6))</f>
        <v>U</v>
      </c>
      <c r="B424" s="2579">
        <v>5005260052</v>
      </c>
      <c r="C424" t="s">
        <v>87</v>
      </c>
      <c r="D424" t="s">
        <v>89</v>
      </c>
    </row>
    <row r="425" spans="1:4">
      <c r="A425" s="655" t="str">
        <f>IFERROR(IFERROR(IFERROR(IFERROR(INDEX(Potential_Sites!$Q:$V,MATCH(_xlfn.CONCAT('Consolidated Sites and BBLs'!$B425),Potential_Sites!Q:Q,0),6),INDEX(Potential_Sites!$Q:$V,MATCH(_xlfn.CONCAT('Consolidated Sites and BBLs'!$B425),Potential_Sites!R:R,0),6)),INDEX(Potential_Sites!$Q:$V,MATCH(_xlfn.CONCAT('Consolidated Sites and BBLs'!$B425),Potential_Sites!S:S,0),6)),INDEX(Potential_Sites!$Q:$V,MATCH(_xlfn.CONCAT('Consolidated Sites and BBLs'!$B425),Potential_Sites!T:T,0),6)),INDEX(Potential_Sites!$Q:$V,MATCH(_xlfn.CONCAT('Consolidated Sites and BBLs'!$B425),Potential_Sites!U:U,0),6))</f>
        <v xml:space="preserve">V </v>
      </c>
      <c r="B425" s="2579">
        <v>5005260053</v>
      </c>
      <c r="C425" t="s">
        <v>87</v>
      </c>
      <c r="D425" t="s">
        <v>89</v>
      </c>
    </row>
    <row r="426" spans="1:4">
      <c r="A426" s="655" t="str">
        <f>IFERROR(IFERROR(IFERROR(IFERROR(INDEX(Potential_Sites!$Q:$V,MATCH(_xlfn.CONCAT('Consolidated Sites and BBLs'!$B426),Potential_Sites!Q:Q,0),6),INDEX(Potential_Sites!$Q:$V,MATCH(_xlfn.CONCAT('Consolidated Sites and BBLs'!$B426),Potential_Sites!R:R,0),6)),INDEX(Potential_Sites!$Q:$V,MATCH(_xlfn.CONCAT('Consolidated Sites and BBLs'!$B426),Potential_Sites!S:S,0),6)),INDEX(Potential_Sites!$Q:$V,MATCH(_xlfn.CONCAT('Consolidated Sites and BBLs'!$B426),Potential_Sites!T:T,0),6)),INDEX(Potential_Sites!$Q:$V,MATCH(_xlfn.CONCAT('Consolidated Sites and BBLs'!$B426),Potential_Sites!U:U,0),6))</f>
        <v>W</v>
      </c>
      <c r="B426" s="2579">
        <v>5005270059</v>
      </c>
      <c r="C426" t="s">
        <v>87</v>
      </c>
      <c r="D426" t="s">
        <v>89</v>
      </c>
    </row>
    <row r="427" spans="1:4">
      <c r="A427" s="655" t="str">
        <f>INDEX('blocks lots w city priorities'!$A:$D,MATCH('Consolidated Sites and BBLs'!$B427,'blocks lots w city priorities'!$D:$D,0),1)</f>
        <v>B</v>
      </c>
      <c r="B427" s="2577">
        <v>1017720069</v>
      </c>
      <c r="C427" t="s">
        <v>90</v>
      </c>
      <c r="D427" t="s">
        <v>91</v>
      </c>
    </row>
    <row r="428" spans="1:4">
      <c r="A428" s="655" t="str">
        <f>INDEX('blocks lots w city priorities'!$A:$D,MATCH('Consolidated Sites and BBLs'!$B428,'blocks lots w city priorities'!$D:$D,0),1)</f>
        <v>B</v>
      </c>
      <c r="B428" s="2577">
        <v>1017720070</v>
      </c>
      <c r="C428" t="s">
        <v>90</v>
      </c>
      <c r="D428" t="s">
        <v>91</v>
      </c>
    </row>
    <row r="429" spans="1:4">
      <c r="A429" s="655" t="str">
        <f>INDEX('blocks lots w city priorities'!$A:$D,MATCH('Consolidated Sites and BBLs'!$B429,'blocks lots w city priorities'!$D:$D,0),1)</f>
        <v>D</v>
      </c>
      <c r="B429" s="2577">
        <v>1016210032</v>
      </c>
      <c r="C429" t="s">
        <v>90</v>
      </c>
      <c r="D429" t="s">
        <v>91</v>
      </c>
    </row>
    <row r="430" spans="1:4">
      <c r="A430" s="655" t="str">
        <f>INDEX('blocks lots w city priorities'!$A:$D,MATCH('Consolidated Sites and BBLs'!$B430,'blocks lots w city priorities'!$D:$D,0),1)</f>
        <v>E</v>
      </c>
      <c r="B430" s="2577">
        <v>1016440037</v>
      </c>
      <c r="C430" t="s">
        <v>90</v>
      </c>
      <c r="D430" t="s">
        <v>91</v>
      </c>
    </row>
    <row r="431" spans="1:4">
      <c r="A431" s="655" t="str">
        <f>INDEX('blocks lots w city priorities'!$A:$D,MATCH('Consolidated Sites and BBLs'!$B431,'blocks lots w city priorities'!$D:$D,0),1)</f>
        <v>E</v>
      </c>
      <c r="B431" s="2577">
        <v>1016440038</v>
      </c>
      <c r="C431" t="s">
        <v>90</v>
      </c>
      <c r="D431" t="s">
        <v>91</v>
      </c>
    </row>
    <row r="432" spans="1:4">
      <c r="A432" s="655" t="str">
        <f>INDEX('blocks lots w city priorities'!$A:$D,MATCH('Consolidated Sites and BBLs'!$B432,'blocks lots w city priorities'!$D:$D,0),1)</f>
        <v>E</v>
      </c>
      <c r="B432" s="2577">
        <v>1016440039</v>
      </c>
      <c r="C432" t="s">
        <v>90</v>
      </c>
      <c r="D432" t="s">
        <v>91</v>
      </c>
    </row>
    <row r="433" spans="1:4">
      <c r="A433" s="655" t="str">
        <f>INDEX('blocks lots w city priorities'!$A:$D,MATCH('Consolidated Sites and BBLs'!$B433,'blocks lots w city priorities'!$D:$D,0),1)</f>
        <v>F</v>
      </c>
      <c r="B433" s="2577">
        <v>1016610004</v>
      </c>
      <c r="C433" t="s">
        <v>90</v>
      </c>
      <c r="D433" t="s">
        <v>91</v>
      </c>
    </row>
    <row r="434" spans="1:4">
      <c r="A434" s="655" t="str">
        <f>INDEX('blocks lots w city priorities'!$A:$D,MATCH('Consolidated Sites and BBLs'!$B434,'blocks lots w city priorities'!$D:$D,0),1)</f>
        <v>G</v>
      </c>
      <c r="B434" s="2577">
        <v>1016450035</v>
      </c>
      <c r="C434" t="s">
        <v>90</v>
      </c>
      <c r="D434" t="s">
        <v>91</v>
      </c>
    </row>
    <row r="435" spans="1:4">
      <c r="A435" s="655" t="str">
        <f>INDEX('blocks lots w city priorities'!$A:$D,MATCH('Consolidated Sites and BBLs'!$B435,'blocks lots w city priorities'!$D:$D,0),1)</f>
        <v>G</v>
      </c>
      <c r="B435" s="2577">
        <v>1016450033</v>
      </c>
      <c r="C435" t="s">
        <v>90</v>
      </c>
      <c r="D435" t="s">
        <v>91</v>
      </c>
    </row>
    <row r="436" spans="1:4">
      <c r="A436" s="655" t="str">
        <f>INDEX('blocks lots w city priorities'!$A:$D,MATCH('Consolidated Sites and BBLs'!$B436,'blocks lots w city priorities'!$D:$D,0),1)</f>
        <v>H</v>
      </c>
      <c r="B436" s="2577">
        <v>1016330039</v>
      </c>
      <c r="C436" t="s">
        <v>90</v>
      </c>
      <c r="D436" t="s">
        <v>91</v>
      </c>
    </row>
    <row r="437" spans="1:4">
      <c r="A437" s="655" t="str">
        <f>INDEX('blocks lots w city priorities'!$A:$D,MATCH('Consolidated Sites and BBLs'!$B437,'blocks lots w city priorities'!$D:$D,0),1)</f>
        <v>H</v>
      </c>
      <c r="B437" s="2577">
        <v>1016330038</v>
      </c>
      <c r="C437" t="s">
        <v>90</v>
      </c>
      <c r="D437" t="s">
        <v>91</v>
      </c>
    </row>
    <row r="438" spans="1:4">
      <c r="A438" s="655" t="str">
        <f>INDEX('blocks lots w city priorities'!$A:$D,MATCH('Consolidated Sites and BBLs'!$B438,'blocks lots w city priorities'!$D:$D,0),1)</f>
        <v>I</v>
      </c>
      <c r="B438" s="2577">
        <v>1016430038</v>
      </c>
      <c r="C438" t="s">
        <v>90</v>
      </c>
      <c r="D438" t="s">
        <v>91</v>
      </c>
    </row>
    <row r="439" spans="1:4">
      <c r="A439" s="655" t="str">
        <f>INDEX('blocks lots w city priorities'!$A:$D,MATCH('Consolidated Sites and BBLs'!$B439,'blocks lots w city priorities'!$D:$D,0),1)</f>
        <v>I</v>
      </c>
      <c r="B439" s="2577">
        <v>1016430039</v>
      </c>
      <c r="C439" t="s">
        <v>90</v>
      </c>
      <c r="D439" t="s">
        <v>91</v>
      </c>
    </row>
    <row r="440" spans="1:4">
      <c r="A440" s="655" t="str">
        <f>INDEX('blocks lots w city priorities'!$A:$D,MATCH('Consolidated Sites and BBLs'!$B440,'blocks lots w city priorities'!$D:$D,0),1)</f>
        <v>I</v>
      </c>
      <c r="B440" s="2577">
        <v>1016430040</v>
      </c>
      <c r="C440" t="s">
        <v>90</v>
      </c>
      <c r="D440" t="s">
        <v>91</v>
      </c>
    </row>
    <row r="441" spans="1:4">
      <c r="A441" s="655" t="str">
        <f>INDEX('blocks lots w city priorities'!$A:$D,MATCH('Consolidated Sites and BBLs'!$B441,'blocks lots w city priorities'!$D:$D,0),1)</f>
        <v>J</v>
      </c>
      <c r="B441" s="2577">
        <v>1016390039</v>
      </c>
      <c r="C441" t="s">
        <v>90</v>
      </c>
      <c r="D441" t="s">
        <v>91</v>
      </c>
    </row>
    <row r="442" spans="1:4">
      <c r="A442" s="655" t="str">
        <f>INDEX('blocks lots w city priorities'!$A:$D,MATCH('Consolidated Sites and BBLs'!$B442,'blocks lots w city priorities'!$D:$D,0),1)</f>
        <v>J</v>
      </c>
      <c r="B442" s="2577">
        <v>1016390040</v>
      </c>
      <c r="C442" t="s">
        <v>90</v>
      </c>
      <c r="D442" t="s">
        <v>91</v>
      </c>
    </row>
    <row r="443" spans="1:4">
      <c r="A443" s="655" t="str">
        <f>INDEX('blocks lots w city priorities'!$A:$D,MATCH('Consolidated Sites and BBLs'!$B443,'blocks lots w city priorities'!$D:$D,0),1)</f>
        <v>J</v>
      </c>
      <c r="B443" s="2577">
        <v>1016390041</v>
      </c>
      <c r="C443" t="s">
        <v>90</v>
      </c>
      <c r="D443" t="s">
        <v>91</v>
      </c>
    </row>
    <row r="444" spans="1:4">
      <c r="A444" s="655" t="str">
        <f>INDEX('blocks lots w city priorities'!$A:$D,MATCH('Consolidated Sites and BBLs'!$B444,'blocks lots w city priorities'!$D:$D,0),1)</f>
        <v>J</v>
      </c>
      <c r="B444" s="2577">
        <v>1016390038</v>
      </c>
      <c r="C444" t="s">
        <v>90</v>
      </c>
      <c r="D444" t="s">
        <v>91</v>
      </c>
    </row>
    <row r="445" spans="1:4">
      <c r="A445" s="655" t="str">
        <f>INDEX('blocks lots w city priorities'!$A:$D,MATCH('Consolidated Sites and BBLs'!$B445,'blocks lots w city priorities'!$D:$D,0),1)</f>
        <v>J</v>
      </c>
      <c r="B445" s="2577">
        <v>1016390137</v>
      </c>
      <c r="C445" t="s">
        <v>90</v>
      </c>
      <c r="D445" t="s">
        <v>91</v>
      </c>
    </row>
    <row r="446" spans="1:4">
      <c r="A446" s="655" t="str">
        <f>INDEX('blocks lots w city priorities'!$A:$D,MATCH('Consolidated Sites and BBLs'!$B446,'blocks lots w city priorities'!$D:$D,0),1)</f>
        <v>P</v>
      </c>
      <c r="B446" s="2577">
        <v>1017840045</v>
      </c>
      <c r="C446" t="s">
        <v>90</v>
      </c>
      <c r="D446" t="s">
        <v>91</v>
      </c>
    </row>
    <row r="447" spans="1:4">
      <c r="A447" s="655" t="str">
        <f>INDEX('blocks lots w city priorities'!$A:$D,MATCH('Consolidated Sites and BBLs'!$B447,'blocks lots w city priorities'!$D:$D,0),1)</f>
        <v>P</v>
      </c>
      <c r="B447" s="2577">
        <v>1017840004</v>
      </c>
      <c r="C447" t="s">
        <v>90</v>
      </c>
      <c r="D447" t="s">
        <v>91</v>
      </c>
    </row>
    <row r="448" spans="1:4">
      <c r="A448" s="655" t="str">
        <f>INDEX('blocks lots w city priorities'!$A:$D,MATCH('Consolidated Sites and BBLs'!$B448,'blocks lots w city priorities'!$D:$D,0),1)</f>
        <v>P</v>
      </c>
      <c r="B448" s="2577">
        <v>1017840047</v>
      </c>
      <c r="C448" t="s">
        <v>90</v>
      </c>
      <c r="D448" t="s">
        <v>91</v>
      </c>
    </row>
    <row r="449" spans="1:4">
      <c r="A449" s="655" t="str">
        <f>INDEX('blocks lots w city priorities'!$A:$D,MATCH('Consolidated Sites and BBLs'!$B449,'blocks lots w city priorities'!$D:$D,0),1)</f>
        <v>P</v>
      </c>
      <c r="B449" s="2577">
        <v>1017840048</v>
      </c>
      <c r="C449" t="s">
        <v>90</v>
      </c>
      <c r="D449" t="s">
        <v>91</v>
      </c>
    </row>
    <row r="450" spans="1:4">
      <c r="A450" s="655" t="str">
        <f>INDEX('blocks lots w city priorities'!$A:$D,MATCH('Consolidated Sites and BBLs'!$B450,'blocks lots w city priorities'!$D:$D,0),1)</f>
        <v>Q</v>
      </c>
      <c r="B450" s="2577">
        <v>1017480035</v>
      </c>
      <c r="C450" t="s">
        <v>90</v>
      </c>
      <c r="D450" t="s">
        <v>91</v>
      </c>
    </row>
    <row r="451" spans="1:4">
      <c r="A451" s="655" t="str">
        <f>INDEX('blocks lots w city priorities'!$A:$D,MATCH('Consolidated Sites and BBLs'!$B451,'blocks lots w city priorities'!$D:$D,0),1)</f>
        <v>R</v>
      </c>
      <c r="B451" s="2577">
        <v>1017480001</v>
      </c>
      <c r="C451" t="s">
        <v>90</v>
      </c>
      <c r="D451" t="s">
        <v>91</v>
      </c>
    </row>
    <row r="452" spans="1:4">
      <c r="A452" s="655" t="str">
        <f>INDEX('blocks lots w city priorities'!$A:$D,MATCH('Consolidated Sites and BBLs'!$B452,'blocks lots w city priorities'!$D:$D,0),1)</f>
        <v>S</v>
      </c>
      <c r="B452" s="2577">
        <v>1016670045</v>
      </c>
      <c r="C452" t="s">
        <v>90</v>
      </c>
      <c r="D452" t="s">
        <v>91</v>
      </c>
    </row>
    <row r="453" spans="1:4">
      <c r="A453" s="655" t="str">
        <f>INDEX('blocks lots w city priorities'!$A:$D,MATCH('Consolidated Sites and BBLs'!$B453,'blocks lots w city priorities'!$D:$D,0),1)</f>
        <v>T</v>
      </c>
      <c r="B453" s="2577">
        <v>1017710070</v>
      </c>
      <c r="C453" t="s">
        <v>90</v>
      </c>
      <c r="D453" t="s">
        <v>91</v>
      </c>
    </row>
    <row r="454" spans="1:4">
      <c r="A454" s="655" t="str">
        <f>INDEX('blocks lots w city priorities'!$A:$D,MATCH('Consolidated Sites and BBLs'!$B454,'blocks lots w city priorities'!$D:$D,0),1)</f>
        <v>T</v>
      </c>
      <c r="B454" s="2577">
        <v>1017710069</v>
      </c>
      <c r="C454" t="s">
        <v>90</v>
      </c>
      <c r="D454" t="s">
        <v>91</v>
      </c>
    </row>
    <row r="455" spans="1:4">
      <c r="A455" s="655" t="str">
        <f>INDEX('blocks lots w city priorities'!$A:$D,MATCH('Consolidated Sites and BBLs'!$B455,'blocks lots w city priorities'!$D:$D,0),1)</f>
        <v>T</v>
      </c>
      <c r="B455" s="2577">
        <v>1017710071</v>
      </c>
      <c r="C455" t="s">
        <v>90</v>
      </c>
      <c r="D455" t="s">
        <v>91</v>
      </c>
    </row>
    <row r="456" spans="1:4">
      <c r="A456" s="655" t="str">
        <f>INDEX('blocks lots w city priorities'!$A:$D,MATCH('Consolidated Sites and BBLs'!$B456,'blocks lots w city priorities'!$D:$D,0),1)</f>
        <v>U</v>
      </c>
      <c r="B456" s="2577">
        <v>1016550045</v>
      </c>
      <c r="C456" t="s">
        <v>90</v>
      </c>
      <c r="D456" t="s">
        <v>91</v>
      </c>
    </row>
    <row r="457" spans="1:4">
      <c r="A457" s="655" t="str">
        <f>INDEX('blocks lots w city priorities'!$A:$D,MATCH('Consolidated Sites and BBLs'!$B457,'blocks lots w city priorities'!$D:$D,0),1)</f>
        <v>V</v>
      </c>
      <c r="B457" s="2577">
        <v>1017750170</v>
      </c>
      <c r="C457" t="s">
        <v>90</v>
      </c>
      <c r="D457" t="s">
        <v>91</v>
      </c>
    </row>
    <row r="458" spans="1:4">
      <c r="A458" s="655" t="str">
        <f>INDEX('blocks lots w city priorities'!$A:$D,MATCH('Consolidated Sites and BBLs'!$B458,'blocks lots w city priorities'!$D:$D,0),1)</f>
        <v>AH</v>
      </c>
      <c r="B458" s="2577">
        <v>1016380033</v>
      </c>
      <c r="C458" t="s">
        <v>90</v>
      </c>
      <c r="D458" t="s">
        <v>91</v>
      </c>
    </row>
    <row r="459" spans="1:4">
      <c r="A459" s="655" t="str">
        <f>INDEX('blocks lots w city priorities'!$A:$D,MATCH('Consolidated Sites and BBLs'!$B459,'blocks lots w city priorities'!$D:$D,0),1)</f>
        <v>AI</v>
      </c>
      <c r="B459" s="2577">
        <v>1017880004</v>
      </c>
      <c r="C459" t="s">
        <v>90</v>
      </c>
      <c r="D459" t="s">
        <v>91</v>
      </c>
    </row>
    <row r="460" spans="1:4">
      <c r="A460" s="655" t="str">
        <f>INDEX('blocks lots w city priorities'!$A:$D,MATCH('Consolidated Sites and BBLs'!$B460,'blocks lots w city priorities'!$D:$D,0),1)</f>
        <v>AI</v>
      </c>
      <c r="B460" s="2577">
        <v>1017880048</v>
      </c>
      <c r="C460" t="s">
        <v>90</v>
      </c>
      <c r="D460" t="s">
        <v>91</v>
      </c>
    </row>
    <row r="461" spans="1:4">
      <c r="A461" s="655" t="str">
        <f>INDEX('blocks lots w city priorities'!$A:$D,MATCH('Consolidated Sites and BBLs'!$B461,'blocks lots w city priorities'!$D:$D,0),1)</f>
        <v>AI</v>
      </c>
      <c r="B461" s="2577">
        <v>1017880049</v>
      </c>
      <c r="C461" t="s">
        <v>90</v>
      </c>
      <c r="D461" t="s">
        <v>91</v>
      </c>
    </row>
    <row r="462" spans="1:4">
      <c r="A462" s="655" t="str">
        <f>INDEX('blocks lots w city priorities'!$A:$D,MATCH('Consolidated Sites and BBLs'!$B462,'blocks lots w city priorities'!$D:$D,0),1)</f>
        <v>AI</v>
      </c>
      <c r="B462" s="2577">
        <v>1017880050</v>
      </c>
      <c r="C462" t="s">
        <v>90</v>
      </c>
      <c r="D462" t="s">
        <v>91</v>
      </c>
    </row>
    <row r="463" spans="1:4">
      <c r="A463" s="655">
        <f>INDEX('blocks lots w city priorities'!$A:$D,MATCH('Consolidated Sites and BBLs'!$B463,'blocks lots w city priorities'!$D:$D,0),1)</f>
        <v>2</v>
      </c>
      <c r="B463" s="2578">
        <v>1017690003</v>
      </c>
      <c r="C463" t="s">
        <v>90</v>
      </c>
      <c r="D463" t="s">
        <v>91</v>
      </c>
    </row>
    <row r="464" spans="1:4">
      <c r="A464" s="655">
        <f>INDEX('blocks lots w city priorities'!$A:$D,MATCH('Consolidated Sites and BBLs'!$B464,'blocks lots w city priorities'!$D:$D,0),1)</f>
        <v>3</v>
      </c>
      <c r="B464" s="2578">
        <v>1016230033</v>
      </c>
      <c r="C464" t="s">
        <v>90</v>
      </c>
      <c r="D464" t="s">
        <v>91</v>
      </c>
    </row>
    <row r="465" spans="1:4">
      <c r="A465" s="655">
        <f>INDEX('blocks lots w city priorities'!$A:$D,MATCH('Consolidated Sites and BBLs'!$B465,'blocks lots w city priorities'!$D:$D,0),1)</f>
        <v>3</v>
      </c>
      <c r="B465" s="2577">
        <v>1016230034</v>
      </c>
      <c r="C465" t="s">
        <v>90</v>
      </c>
      <c r="D465" t="s">
        <v>91</v>
      </c>
    </row>
    <row r="466" spans="1:4">
      <c r="A466" s="655">
        <f>INDEX('blocks lots w city priorities'!$A:$D,MATCH('Consolidated Sites and BBLs'!$B466,'blocks lots w city priorities'!$D:$D,0),1)</f>
        <v>4</v>
      </c>
      <c r="B466" s="2578">
        <v>1017750003</v>
      </c>
      <c r="C466" t="s">
        <v>90</v>
      </c>
      <c r="D466" t="s">
        <v>91</v>
      </c>
    </row>
    <row r="467" spans="1:4">
      <c r="A467" s="655">
        <f>INDEX('blocks lots w city priorities'!$A:$D,MATCH('Consolidated Sites and BBLs'!$B467,'blocks lots w city priorities'!$D:$D,0),1)</f>
        <v>4</v>
      </c>
      <c r="B467" s="2578">
        <v>1017750006</v>
      </c>
      <c r="C467" t="s">
        <v>90</v>
      </c>
      <c r="D467" t="s">
        <v>91</v>
      </c>
    </row>
    <row r="468" spans="1:4">
      <c r="A468" s="655">
        <f>INDEX('blocks lots w city priorities'!$A:$D,MATCH('Consolidated Sites and BBLs'!$B468,'blocks lots w city priorities'!$D:$D,0),1)</f>
        <v>4</v>
      </c>
      <c r="B468" s="2578">
        <v>1017750165</v>
      </c>
      <c r="C468" t="s">
        <v>90</v>
      </c>
      <c r="D468" t="s">
        <v>91</v>
      </c>
    </row>
    <row r="469" spans="1:4">
      <c r="A469" s="655">
        <f>INDEX('blocks lots w city priorities'!$A:$D,MATCH('Consolidated Sites and BBLs'!$B469,'blocks lots w city priorities'!$D:$D,0),1)</f>
        <v>4</v>
      </c>
      <c r="B469" s="2578">
        <v>1017750168</v>
      </c>
      <c r="C469" t="s">
        <v>90</v>
      </c>
      <c r="D469" t="s">
        <v>91</v>
      </c>
    </row>
    <row r="470" spans="1:4">
      <c r="A470" s="655">
        <f>INDEX('blocks lots w city priorities'!$A:$D,MATCH('Consolidated Sites and BBLs'!$B470,'blocks lots w city priorities'!$D:$D,0),1)</f>
        <v>4</v>
      </c>
      <c r="B470" s="2578">
        <v>1017750071</v>
      </c>
      <c r="C470" t="s">
        <v>90</v>
      </c>
      <c r="D470" t="s">
        <v>91</v>
      </c>
    </row>
    <row r="471" spans="1:4">
      <c r="A471" s="655">
        <f>INDEX('blocks lots w city priorities'!$A:$D,MATCH('Consolidated Sites and BBLs'!$B471,'blocks lots w city priorities'!$D:$D,0),1)</f>
        <v>6</v>
      </c>
      <c r="B471" s="2578">
        <v>1017460033</v>
      </c>
      <c r="C471" t="s">
        <v>90</v>
      </c>
      <c r="D471" t="s">
        <v>91</v>
      </c>
    </row>
    <row r="472" spans="1:4">
      <c r="A472" s="655">
        <f>INDEX('blocks lots w city priorities'!$A:$D,MATCH('Consolidated Sites and BBLs'!$B472,'blocks lots w city priorities'!$D:$D,0),1)</f>
        <v>7</v>
      </c>
      <c r="B472" s="2578">
        <v>1017450134</v>
      </c>
      <c r="C472" t="s">
        <v>90</v>
      </c>
      <c r="D472" t="s">
        <v>91</v>
      </c>
    </row>
    <row r="473" spans="1:4">
      <c r="A473" s="655">
        <f>INDEX('blocks lots w city priorities'!$A:$D,MATCH('Consolidated Sites and BBLs'!$B473,'blocks lots w city priorities'!$D:$D,0),1)</f>
        <v>11</v>
      </c>
      <c r="B473" s="2578">
        <v>10142.5598888888</v>
      </c>
      <c r="C473" t="s">
        <v>90</v>
      </c>
      <c r="D473" t="s">
        <v>91</v>
      </c>
    </row>
    <row r="474" spans="1:4">
      <c r="A474" s="655">
        <f>INDEX('blocks lots w city priorities'!$A:$D,MATCH('Consolidated Sites and BBLs'!$B474,'blocks lots w city priorities'!$D:$D,0),1)</f>
        <v>12</v>
      </c>
      <c r="B474" s="2578">
        <v>1017700036</v>
      </c>
      <c r="C474" t="s">
        <v>90</v>
      </c>
      <c r="D474" t="s">
        <v>91</v>
      </c>
    </row>
    <row r="475" spans="1:4">
      <c r="A475" s="655">
        <f>INDEX('blocks lots w city priorities'!$A:$D,MATCH('Consolidated Sites and BBLs'!$B475,'blocks lots w city priorities'!$D:$D,0),1)</f>
        <v>13</v>
      </c>
      <c r="B475" s="2578">
        <v>1017860004</v>
      </c>
      <c r="C475" t="s">
        <v>90</v>
      </c>
      <c r="D475" t="s">
        <v>91</v>
      </c>
    </row>
    <row r="476" spans="1:4">
      <c r="A476" s="655">
        <f>INDEX('blocks lots w city priorities'!$A:$D,MATCH('Consolidated Sites and BBLs'!$B476,'blocks lots w city priorities'!$D:$D,0),1)</f>
        <v>13</v>
      </c>
      <c r="B476" s="2578">
        <v>1017860047</v>
      </c>
      <c r="C476" t="s">
        <v>90</v>
      </c>
      <c r="D476" t="s">
        <v>91</v>
      </c>
    </row>
    <row r="477" spans="1:4">
      <c r="A477" s="655">
        <f>INDEX('blocks lots w city priorities'!$A:$D,MATCH('Consolidated Sites and BBLs'!$B477,'blocks lots w city priorities'!$D:$D,0),1)</f>
        <v>14</v>
      </c>
      <c r="B477" s="2578">
        <v>1017670033</v>
      </c>
      <c r="C477" t="s">
        <v>90</v>
      </c>
      <c r="D477" t="s">
        <v>91</v>
      </c>
    </row>
    <row r="478" spans="1:4">
      <c r="A478" s="655">
        <f>INDEX('blocks lots w city priorities'!$A:$D,MATCH('Consolidated Sites and BBLs'!$B478,'blocks lots w city priorities'!$D:$D,0),1)</f>
        <v>15</v>
      </c>
      <c r="B478" s="2578">
        <v>1016360040</v>
      </c>
      <c r="C478" t="s">
        <v>90</v>
      </c>
      <c r="D478" t="s">
        <v>91</v>
      </c>
    </row>
    <row r="479" spans="1:4">
      <c r="A479" s="655">
        <f>INDEX('blocks lots w city priorities'!$A:$D,MATCH('Consolidated Sites and BBLs'!$B479,'blocks lots w city priorities'!$D:$D,0),1)</f>
        <v>15</v>
      </c>
      <c r="B479" s="2578">
        <v>1016360138</v>
      </c>
      <c r="C479" t="s">
        <v>90</v>
      </c>
      <c r="D479" t="s">
        <v>91</v>
      </c>
    </row>
    <row r="480" spans="1:4">
      <c r="A480" s="655">
        <f>INDEX('blocks lots w city priorities'!$A:$D,MATCH('Consolidated Sites and BBLs'!$B480,'blocks lots w city priorities'!$D:$D,0),1)</f>
        <v>15</v>
      </c>
      <c r="B480" s="2578">
        <v>1016360038</v>
      </c>
      <c r="C480" t="s">
        <v>90</v>
      </c>
      <c r="D480" t="s">
        <v>91</v>
      </c>
    </row>
    <row r="481" spans="1:4">
      <c r="A481" s="655">
        <f>INDEX('blocks lots w city priorities'!$A:$D,MATCH('Consolidated Sites and BBLs'!$B481,'blocks lots w city priorities'!$D:$D,0),1)</f>
        <v>15</v>
      </c>
      <c r="B481" s="2578">
        <v>1016360039</v>
      </c>
      <c r="C481" t="s">
        <v>90</v>
      </c>
      <c r="D481" t="s">
        <v>91</v>
      </c>
    </row>
    <row r="482" spans="1:4">
      <c r="A482" s="655">
        <f>INDEX('blocks lots w city priorities'!$A:$D,MATCH('Consolidated Sites and BBLs'!$B482,'blocks lots w city priorities'!$D:$D,0),1)</f>
        <v>15</v>
      </c>
      <c r="B482" s="2578">
        <v>1016360037</v>
      </c>
      <c r="C482" t="s">
        <v>90</v>
      </c>
      <c r="D482" t="s">
        <v>91</v>
      </c>
    </row>
    <row r="483" spans="1:4">
      <c r="A483" s="655">
        <f>INDEX('blocks lots w city priorities'!$A:$D,MATCH('Consolidated Sites and BBLs'!$B483,'blocks lots w city priorities'!$D:$D,0),1)</f>
        <v>15</v>
      </c>
      <c r="B483" s="2578">
        <v>1016360139</v>
      </c>
      <c r="C483" t="s">
        <v>90</v>
      </c>
      <c r="D483" t="s">
        <v>91</v>
      </c>
    </row>
    <row r="484" spans="1:4">
      <c r="A484" s="655">
        <f>INDEX('blocks lots w city priorities'!$A:$D,MATCH('Consolidated Sites and BBLs'!$B484,'blocks lots w city priorities'!$D:$D,0),1)</f>
        <v>16</v>
      </c>
      <c r="B484" s="2578">
        <v>1016430035</v>
      </c>
      <c r="C484" t="s">
        <v>90</v>
      </c>
      <c r="D484" t="s">
        <v>91</v>
      </c>
    </row>
    <row r="485" spans="1:4">
      <c r="A485" s="655">
        <f>INDEX('blocks lots w city priorities'!$A:$D,MATCH('Consolidated Sites and BBLs'!$B485,'blocks lots w city priorities'!$D:$D,0),1)</f>
        <v>16</v>
      </c>
      <c r="B485" s="2578">
        <v>1016430037</v>
      </c>
      <c r="C485" t="s">
        <v>90</v>
      </c>
      <c r="D485" t="s">
        <v>91</v>
      </c>
    </row>
    <row r="486" spans="1:4">
      <c r="A486" s="655">
        <f>INDEX('blocks lots w city priorities'!$A:$D,MATCH('Consolidated Sites and BBLs'!$B486,'blocks lots w city priorities'!$D:$D,0),1)</f>
        <v>16</v>
      </c>
      <c r="B486" s="2578">
        <v>1016430137</v>
      </c>
      <c r="C486" t="s">
        <v>90</v>
      </c>
      <c r="D486" t="s">
        <v>91</v>
      </c>
    </row>
    <row r="487" spans="1:4">
      <c r="A487" s="655">
        <f>INDEX('blocks lots w city priorities'!$A:$D,MATCH('Consolidated Sites and BBLs'!$B487,'blocks lots w city priorities'!$D:$D,0),1)</f>
        <v>16</v>
      </c>
      <c r="B487" s="2578">
        <v>1016430033</v>
      </c>
      <c r="C487" t="s">
        <v>90</v>
      </c>
      <c r="D487" t="s">
        <v>91</v>
      </c>
    </row>
    <row r="488" spans="1:4">
      <c r="A488" s="655">
        <f>INDEX('blocks lots w city priorities'!$A:$D,MATCH('Consolidated Sites and BBLs'!$B488,'blocks lots w city priorities'!$D:$D,0),1)</f>
        <v>17</v>
      </c>
      <c r="B488" s="2578">
        <v>1016600003</v>
      </c>
      <c r="C488" t="s">
        <v>90</v>
      </c>
      <c r="D488" t="s">
        <v>91</v>
      </c>
    </row>
    <row r="489" spans="1:4">
      <c r="A489" s="655">
        <f>INDEX('blocks lots w city priorities'!$A:$D,MATCH('Consolidated Sites and BBLs'!$B489,'blocks lots w city priorities'!$D:$D,0),1)</f>
        <v>17</v>
      </c>
      <c r="B489" s="2578">
        <v>1016600004</v>
      </c>
      <c r="C489" t="s">
        <v>90</v>
      </c>
      <c r="D489" t="s">
        <v>91</v>
      </c>
    </row>
    <row r="490" spans="1:4">
      <c r="A490" s="655">
        <f>INDEX('blocks lots w city priorities'!$A:$D,MATCH('Consolidated Sites and BBLs'!$B490,'blocks lots w city priorities'!$D:$D,0),1)</f>
        <v>17</v>
      </c>
      <c r="B490" s="2578">
        <v>1016600045</v>
      </c>
      <c r="C490" t="s">
        <v>90</v>
      </c>
      <c r="D490" t="s">
        <v>91</v>
      </c>
    </row>
    <row r="491" spans="1:4">
      <c r="A491" s="655">
        <f>INDEX('blocks lots w city priorities'!$A:$D,MATCH('Consolidated Sites and BBLs'!$B491,'blocks lots w city priorities'!$D:$D,0),1)</f>
        <v>17</v>
      </c>
      <c r="B491" s="2578">
        <v>1016600001</v>
      </c>
      <c r="C491" t="s">
        <v>90</v>
      </c>
      <c r="D491" t="s">
        <v>91</v>
      </c>
    </row>
    <row r="492" spans="1:4">
      <c r="A492" s="655">
        <f>INDEX('blocks lots w city priorities'!$A:$D,MATCH('Consolidated Sites and BBLs'!$B492,'blocks lots w city priorities'!$D:$D,0),1)</f>
        <v>18</v>
      </c>
      <c r="B492" s="2578">
        <v>1016350033</v>
      </c>
      <c r="C492" t="s">
        <v>90</v>
      </c>
      <c r="D492" t="s">
        <v>91</v>
      </c>
    </row>
    <row r="493" spans="1:4">
      <c r="A493" s="655">
        <f>INDEX('blocks lots w city priorities'!$A:$D,MATCH('Consolidated Sites and BBLs'!$B493,'blocks lots w city priorities'!$D:$D,0),1)</f>
        <v>18</v>
      </c>
      <c r="B493" s="2578">
        <v>1016350035</v>
      </c>
      <c r="C493" t="s">
        <v>90</v>
      </c>
      <c r="D493" t="s">
        <v>91</v>
      </c>
    </row>
    <row r="494" spans="1:4">
      <c r="A494" s="655">
        <f>INDEX('blocks lots w city priorities'!$A:$D,MATCH('Consolidated Sites and BBLs'!$B494,'blocks lots w city priorities'!$D:$D,0),1)</f>
        <v>18</v>
      </c>
      <c r="B494" s="2578">
        <v>1016350036</v>
      </c>
      <c r="C494" t="s">
        <v>90</v>
      </c>
      <c r="D494" t="s">
        <v>91</v>
      </c>
    </row>
    <row r="495" spans="1:4">
      <c r="A495" s="655">
        <f>INDEX('blocks lots w city priorities'!$A:$D,MATCH('Consolidated Sites and BBLs'!$B495,'blocks lots w city priorities'!$D:$D,0),1)</f>
        <v>18</v>
      </c>
      <c r="B495" s="2578">
        <v>1016350037</v>
      </c>
      <c r="C495" t="s">
        <v>90</v>
      </c>
      <c r="D495" t="s">
        <v>91</v>
      </c>
    </row>
    <row r="496" spans="1:4">
      <c r="A496" s="655">
        <f>INDEX('blocks lots w city priorities'!$A:$D,MATCH('Consolidated Sites and BBLs'!$B496,'blocks lots w city priorities'!$D:$D,0),1)</f>
        <v>18</v>
      </c>
      <c r="B496" s="2578">
        <v>1016350038</v>
      </c>
      <c r="C496" t="s">
        <v>90</v>
      </c>
      <c r="D496" t="s">
        <v>91</v>
      </c>
    </row>
    <row r="497" spans="1:4">
      <c r="A497" s="655">
        <f>INDEX('blocks lots w city priorities'!$A:$D,MATCH('Consolidated Sites and BBLs'!$B497,'blocks lots w city priorities'!$D:$D,0),1)</f>
        <v>18</v>
      </c>
      <c r="B497" s="2578">
        <v>1016350039</v>
      </c>
      <c r="C497" t="s">
        <v>90</v>
      </c>
      <c r="D497" t="s">
        <v>91</v>
      </c>
    </row>
    <row r="498" spans="1:4">
      <c r="A498" s="655">
        <f>INDEX('blocks lots w city priorities'!$A:$D,MATCH('Consolidated Sites and BBLs'!$B498,'blocks lots w city priorities'!$D:$D,0),1)</f>
        <v>18</v>
      </c>
      <c r="B498" s="2578">
        <v>1016350040</v>
      </c>
      <c r="C498" t="s">
        <v>90</v>
      </c>
      <c r="D498" t="s">
        <v>91</v>
      </c>
    </row>
    <row r="499" spans="1:4">
      <c r="A499" s="655">
        <f>INDEX('blocks lots w city priorities'!$A:$D,MATCH('Consolidated Sites and BBLs'!$B499,'blocks lots w city priorities'!$D:$D,0),1)</f>
        <v>19</v>
      </c>
      <c r="B499" s="2578">
        <v>1016340034</v>
      </c>
      <c r="C499" t="s">
        <v>90</v>
      </c>
      <c r="D499" t="s">
        <v>91</v>
      </c>
    </row>
    <row r="500" spans="1:4">
      <c r="A500" s="655">
        <f>INDEX('blocks lots w city priorities'!$A:$D,MATCH('Consolidated Sites and BBLs'!$B500,'blocks lots w city priorities'!$D:$D,0),1)</f>
        <v>19</v>
      </c>
      <c r="B500" s="2578">
        <v>1016340035</v>
      </c>
      <c r="C500" t="s">
        <v>90</v>
      </c>
      <c r="D500" t="s">
        <v>91</v>
      </c>
    </row>
    <row r="501" spans="1:4">
      <c r="A501" s="655">
        <f>INDEX('blocks lots w city priorities'!$A:$D,MATCH('Consolidated Sites and BBLs'!$B501,'blocks lots w city priorities'!$D:$D,0),1)</f>
        <v>19</v>
      </c>
      <c r="B501" s="2578">
        <v>1016340036</v>
      </c>
      <c r="C501" t="s">
        <v>90</v>
      </c>
      <c r="D501" t="s">
        <v>91</v>
      </c>
    </row>
    <row r="502" spans="1:4">
      <c r="A502" s="655">
        <f>INDEX('blocks lots w city priorities'!$A:$D,MATCH('Consolidated Sites and BBLs'!$B502,'blocks lots w city priorities'!$D:$D,0),1)</f>
        <v>19</v>
      </c>
      <c r="B502" s="2578">
        <v>1016340037</v>
      </c>
      <c r="C502" t="s">
        <v>90</v>
      </c>
      <c r="D502" t="s">
        <v>91</v>
      </c>
    </row>
    <row r="503" spans="1:4">
      <c r="A503" s="655">
        <f>INDEX('blocks lots w city priorities'!$A:$D,MATCH('Consolidated Sites and BBLs'!$B503,'blocks lots w city priorities'!$D:$D,0),1)</f>
        <v>19</v>
      </c>
      <c r="B503" s="2578">
        <v>1016340038</v>
      </c>
      <c r="C503" t="s">
        <v>90</v>
      </c>
      <c r="D503" t="s">
        <v>91</v>
      </c>
    </row>
    <row r="504" spans="1:4">
      <c r="A504" s="655">
        <f>INDEX('blocks lots w city priorities'!$A:$D,MATCH('Consolidated Sites and BBLs'!$B504,'blocks lots w city priorities'!$D:$D,0),1)</f>
        <v>19</v>
      </c>
      <c r="B504" s="2578">
        <v>1016340033</v>
      </c>
      <c r="C504" t="s">
        <v>90</v>
      </c>
      <c r="D504" t="s">
        <v>91</v>
      </c>
    </row>
    <row r="505" spans="1:4">
      <c r="A505" s="655">
        <f>INDEX('blocks lots w city priorities'!$A:$D,MATCH('Consolidated Sites and BBLs'!$B505,'blocks lots w city priorities'!$D:$D,0),1)</f>
        <v>20</v>
      </c>
      <c r="B505" s="2578">
        <v>1016540003</v>
      </c>
      <c r="C505" t="s">
        <v>90</v>
      </c>
      <c r="D505" t="s">
        <v>91</v>
      </c>
    </row>
    <row r="506" spans="1:4">
      <c r="A506" s="655">
        <f>INDEX('blocks lots w city priorities'!$A:$D,MATCH('Consolidated Sites and BBLs'!$B506,'blocks lots w city priorities'!$D:$D,0),1)</f>
        <v>20</v>
      </c>
      <c r="B506" s="2578">
        <v>1016540004</v>
      </c>
      <c r="C506" t="s">
        <v>90</v>
      </c>
      <c r="D506" t="s">
        <v>91</v>
      </c>
    </row>
    <row r="507" spans="1:4">
      <c r="A507" s="655">
        <f>INDEX('blocks lots w city priorities'!$A:$D,MATCH('Consolidated Sites and BBLs'!$B507,'blocks lots w city priorities'!$D:$D,0),1)</f>
        <v>20</v>
      </c>
      <c r="B507" s="2578">
        <v>1016540045</v>
      </c>
      <c r="C507" t="s">
        <v>90</v>
      </c>
      <c r="D507" t="s">
        <v>91</v>
      </c>
    </row>
    <row r="508" spans="1:4">
      <c r="A508" s="655">
        <f>INDEX('blocks lots w city priorities'!$A:$D,MATCH('Consolidated Sites and BBLs'!$B508,'blocks lots w city priorities'!$D:$D,0),1)</f>
        <v>21</v>
      </c>
      <c r="B508" s="2578">
        <v>1016320037</v>
      </c>
      <c r="C508" t="s">
        <v>90</v>
      </c>
      <c r="D508" t="s">
        <v>91</v>
      </c>
    </row>
    <row r="509" spans="1:4">
      <c r="A509" s="655">
        <f>INDEX('blocks lots w city priorities'!$A:$D,MATCH('Consolidated Sites and BBLs'!$B509,'blocks lots w city priorities'!$D:$D,0),1)</f>
        <v>21</v>
      </c>
      <c r="B509" s="2578">
        <v>1016320040</v>
      </c>
      <c r="C509" t="s">
        <v>90</v>
      </c>
      <c r="D509" t="s">
        <v>91</v>
      </c>
    </row>
    <row r="510" spans="1:4">
      <c r="A510" s="655">
        <f>INDEX('blocks lots w city priorities'!$A:$D,MATCH('Consolidated Sites and BBLs'!$B510,'blocks lots w city priorities'!$D:$D,0),1)</f>
        <v>21</v>
      </c>
      <c r="B510" s="2578">
        <v>1016320035</v>
      </c>
      <c r="C510" t="s">
        <v>90</v>
      </c>
      <c r="D510" t="s">
        <v>91</v>
      </c>
    </row>
    <row r="511" spans="1:4">
      <c r="A511" s="655">
        <f>INDEX('blocks lots w city priorities'!$A:$D,MATCH('Consolidated Sites and BBLs'!$B511,'blocks lots w city priorities'!$D:$D,0),1)</f>
        <v>22</v>
      </c>
      <c r="B511" s="2578">
        <v>1017710033</v>
      </c>
      <c r="C511" t="s">
        <v>90</v>
      </c>
      <c r="D511" t="s">
        <v>91</v>
      </c>
    </row>
    <row r="512" spans="1:4">
      <c r="A512" s="655">
        <f>INDEX('blocks lots w city priorities'!$A:$D,MATCH('Consolidated Sites and BBLs'!$B512,'blocks lots w city priorities'!$D:$D,0),1)</f>
        <v>22</v>
      </c>
      <c r="B512" s="2578">
        <v>1017710036</v>
      </c>
      <c r="C512" t="s">
        <v>90</v>
      </c>
      <c r="D512" t="s">
        <v>91</v>
      </c>
    </row>
    <row r="513" spans="1:4">
      <c r="A513" s="655">
        <f>INDEX('blocks lots w city priorities'!$A:$D,MATCH('Consolidated Sites and BBLs'!$B513,'blocks lots w city priorities'!$D:$D,0),1)</f>
        <v>24</v>
      </c>
      <c r="B513" s="2578">
        <v>1017680071</v>
      </c>
      <c r="C513" t="s">
        <v>90</v>
      </c>
      <c r="D513" t="s">
        <v>91</v>
      </c>
    </row>
    <row r="514" spans="1:4">
      <c r="A514" s="655">
        <f>INDEX('blocks lots w city priorities'!$A:$D,MATCH('Consolidated Sites and BBLs'!$B514,'blocks lots w city priorities'!$D:$D,0),1)</f>
        <v>24</v>
      </c>
      <c r="B514" s="2578">
        <v>1017680169</v>
      </c>
      <c r="C514" t="s">
        <v>90</v>
      </c>
      <c r="D514" t="s">
        <v>91</v>
      </c>
    </row>
    <row r="515" spans="1:4">
      <c r="A515" s="655">
        <f>INDEX('blocks lots w city priorities'!$A:$D,MATCH('Consolidated Sites and BBLs'!$B515,'blocks lots w city priorities'!$D:$D,0),1)</f>
        <v>24</v>
      </c>
      <c r="B515" s="2578">
        <v>1017680069</v>
      </c>
      <c r="C515" t="s">
        <v>90</v>
      </c>
      <c r="D515" t="s">
        <v>91</v>
      </c>
    </row>
    <row r="516" spans="1:4">
      <c r="A516" s="655">
        <f>INDEX('blocks lots w city priorities'!$A:$D,MATCH('Consolidated Sites and BBLs'!$B516,'blocks lots w city priorities'!$D:$D,0),1)</f>
        <v>24</v>
      </c>
      <c r="B516" s="2578">
        <v>1017680070</v>
      </c>
      <c r="C516" t="s">
        <v>90</v>
      </c>
      <c r="D516" t="s">
        <v>91</v>
      </c>
    </row>
    <row r="517" spans="1:4">
      <c r="A517" s="655">
        <f>INDEX('blocks lots w city priorities'!$A:$D,MATCH('Consolidated Sites and BBLs'!$B517,'blocks lots w city priorities'!$D:$D,0),1)</f>
        <v>24</v>
      </c>
      <c r="B517" s="2578">
        <v>1017680170</v>
      </c>
      <c r="C517" t="s">
        <v>90</v>
      </c>
      <c r="D517" t="s">
        <v>91</v>
      </c>
    </row>
    <row r="518" spans="1:4">
      <c r="A518" s="655">
        <f>INDEX('blocks lots w city priorities'!$A:$D,MATCH('Consolidated Sites and BBLs'!$B518,'blocks lots w city priorities'!$D:$D,0),1)</f>
        <v>26</v>
      </c>
      <c r="B518" s="2578">
        <v>1016550029</v>
      </c>
      <c r="C518" t="s">
        <v>90</v>
      </c>
      <c r="D518" t="s">
        <v>91</v>
      </c>
    </row>
    <row r="519" spans="1:4">
      <c r="A519" s="655">
        <f>INDEX('blocks lots w city priorities'!$A:$D,MATCH('Consolidated Sites and BBLs'!$B519,'blocks lots w city priorities'!$D:$D,0),1)</f>
        <v>26</v>
      </c>
      <c r="B519" s="2578">
        <v>1016550024</v>
      </c>
      <c r="C519" t="s">
        <v>90</v>
      </c>
      <c r="D519" t="s">
        <v>91</v>
      </c>
    </row>
    <row r="520" spans="1:4">
      <c r="A520" s="655">
        <f>INDEX('blocks lots w city priorities'!$A:$D,MATCH('Consolidated Sites and BBLs'!$B520,'blocks lots w city priorities'!$D:$D,0),1)</f>
        <v>28</v>
      </c>
      <c r="B520" s="2578">
        <v>1016430071</v>
      </c>
      <c r="C520" t="s">
        <v>90</v>
      </c>
      <c r="D520" t="s">
        <v>91</v>
      </c>
    </row>
    <row r="521" spans="1:4">
      <c r="A521" s="655">
        <f>INDEX('blocks lots w city priorities'!$A:$D,MATCH('Consolidated Sites and BBLs'!$B521,'blocks lots w city priorities'!$D:$D,0),1)</f>
        <v>29</v>
      </c>
      <c r="B521" s="2578">
        <v>1016590001</v>
      </c>
      <c r="C521" t="s">
        <v>90</v>
      </c>
      <c r="D521" t="s">
        <v>91</v>
      </c>
    </row>
    <row r="522" spans="1:4">
      <c r="A522" s="655">
        <f>INDEX('blocks lots w city priorities'!$A:$D,MATCH('Consolidated Sites and BBLs'!$B522,'blocks lots w city priorities'!$D:$D,0),1)</f>
        <v>31</v>
      </c>
      <c r="B522" s="2578">
        <v>1016220033</v>
      </c>
      <c r="C522" t="s">
        <v>90</v>
      </c>
      <c r="D522" t="s">
        <v>91</v>
      </c>
    </row>
    <row r="523" spans="1:4">
      <c r="A523" s="655">
        <f>INDEX('blocks lots w city priorities'!$A:$D,MATCH('Consolidated Sites and BBLs'!$B523,'blocks lots w city priorities'!$D:$D,0),1)</f>
        <v>32</v>
      </c>
      <c r="B523" s="2578">
        <v>1017680040</v>
      </c>
      <c r="C523" t="s">
        <v>90</v>
      </c>
      <c r="D523" t="s">
        <v>91</v>
      </c>
    </row>
    <row r="524" spans="1:4">
      <c r="A524" s="655">
        <f>INDEX('blocks lots w city priorities'!$A:$D,MATCH('Consolidated Sites and BBLs'!$B524,'blocks lots w city priorities'!$D:$D,0),1)</f>
        <v>32</v>
      </c>
      <c r="B524" s="2578">
        <v>1017680039</v>
      </c>
      <c r="C524" t="s">
        <v>90</v>
      </c>
      <c r="D524" t="s">
        <v>91</v>
      </c>
    </row>
    <row r="525" spans="1:4">
      <c r="A525" s="655">
        <f>INDEX('blocks lots w city priorities'!$A:$D,MATCH('Consolidated Sites and BBLs'!$B525,'blocks lots w city priorities'!$D:$D,0),1)</f>
        <v>33</v>
      </c>
      <c r="B525" s="2578">
        <v>1016550001</v>
      </c>
      <c r="C525" t="s">
        <v>90</v>
      </c>
      <c r="D525" t="s">
        <v>91</v>
      </c>
    </row>
    <row r="526" spans="1:4">
      <c r="A526" s="655">
        <f>INDEX('blocks lots w city priorities'!$A:$D,MATCH('Consolidated Sites and BBLs'!$B526,'blocks lots w city priorities'!$D:$D,0),1)</f>
        <v>33</v>
      </c>
      <c r="B526" s="2578">
        <v>1016550003</v>
      </c>
      <c r="C526" t="s">
        <v>90</v>
      </c>
      <c r="D526" t="s">
        <v>91</v>
      </c>
    </row>
    <row r="527" spans="1:4">
      <c r="A527" s="655">
        <f>INDEX('blocks lots w city priorities'!$A:$D,MATCH('Consolidated Sites and BBLs'!$B527,'blocks lots w city priorities'!$D:$D,0),1)</f>
        <v>33</v>
      </c>
      <c r="B527" s="2578">
        <v>1016550102</v>
      </c>
      <c r="C527" t="s">
        <v>90</v>
      </c>
      <c r="D527" t="s">
        <v>91</v>
      </c>
    </row>
    <row r="528" spans="1:4">
      <c r="A528" s="655">
        <f>INDEX('blocks lots w city priorities'!$A:$D,MATCH('Consolidated Sites and BBLs'!$B528,'blocks lots w city priorities'!$D:$D,0),1)</f>
        <v>56</v>
      </c>
      <c r="B528" s="2578">
        <v>1017840128</v>
      </c>
      <c r="C528" t="s">
        <v>90</v>
      </c>
      <c r="D528" t="s">
        <v>91</v>
      </c>
    </row>
    <row r="529" spans="1:4">
      <c r="A529" s="655">
        <f>INDEX('blocks lots w city priorities'!$A:$D,MATCH('Consolidated Sites and BBLs'!$B529,'blocks lots w city priorities'!$D:$D,0),1)</f>
        <v>56</v>
      </c>
      <c r="B529" s="2578">
        <v>1017840028</v>
      </c>
      <c r="C529" t="s">
        <v>90</v>
      </c>
      <c r="D529" t="s">
        <v>91</v>
      </c>
    </row>
    <row r="530" spans="1:4">
      <c r="A530" s="655">
        <f>INDEX('blocks lots w city priorities'!$A:$D,MATCH('Consolidated Sites and BBLs'!$B530,'blocks lots w city priorities'!$D:$D,0),1)</f>
        <v>56</v>
      </c>
      <c r="B530" s="2578">
        <v>1017840027</v>
      </c>
      <c r="C530" t="s">
        <v>90</v>
      </c>
      <c r="D530" t="s">
        <v>91</v>
      </c>
    </row>
    <row r="531" spans="1:4">
      <c r="A531" s="655">
        <f>INDEX('blocks lots w city priorities'!$A:$D,MATCH('Consolidated Sites and BBLs'!$B531,'blocks lots w city priorities'!$D:$D,0),1)</f>
        <v>56</v>
      </c>
      <c r="B531" s="2578">
        <v>1017840026</v>
      </c>
      <c r="C531" t="s">
        <v>90</v>
      </c>
      <c r="D531" t="s">
        <v>91</v>
      </c>
    </row>
    <row r="532" spans="1:4">
      <c r="A532" s="655">
        <f>INDEX('blocks lots w city priorities'!$A:$D,MATCH('Consolidated Sites and BBLs'!$B532,'blocks lots w city priorities'!$D:$D,0),1)</f>
        <v>56</v>
      </c>
      <c r="B532" s="2578">
        <v>1017840025</v>
      </c>
      <c r="C532" t="s">
        <v>90</v>
      </c>
      <c r="D532" t="s">
        <v>91</v>
      </c>
    </row>
    <row r="533" spans="1:4">
      <c r="A533" s="655">
        <f>INDEX('blocks lots w city priorities'!$A:$D,MATCH('Consolidated Sites and BBLs'!$B533,'blocks lots w city priorities'!$D:$D,0),1)</f>
        <v>56</v>
      </c>
      <c r="B533" s="2578">
        <v>1017840120</v>
      </c>
      <c r="C533" t="s">
        <v>90</v>
      </c>
      <c r="D533" t="s">
        <v>91</v>
      </c>
    </row>
    <row r="534" spans="1:4">
      <c r="A534" s="655">
        <f>INDEX('blocks lots w city priorities'!$A:$D,MATCH('Consolidated Sites and BBLs'!$B534,'blocks lots w city priorities'!$D:$D,0),1)</f>
        <v>63</v>
      </c>
      <c r="B534" s="2578">
        <v>1016650025</v>
      </c>
      <c r="C534" t="s">
        <v>90</v>
      </c>
      <c r="D534" t="s">
        <v>91</v>
      </c>
    </row>
    <row r="535" spans="1:4">
      <c r="A535" s="655">
        <f>INDEX('blocks lots w city priorities'!$A:$D,MATCH('Consolidated Sites and BBLs'!$B535,'blocks lots w city priorities'!$D:$D,0),1)</f>
        <v>63</v>
      </c>
      <c r="B535" s="2578">
        <v>1016650024</v>
      </c>
      <c r="C535" t="s">
        <v>90</v>
      </c>
      <c r="D535" t="s">
        <v>91</v>
      </c>
    </row>
    <row r="536" spans="1:4">
      <c r="A536" s="655">
        <f>INDEX('blocks lots w city priorities'!$A:$D,MATCH('Consolidated Sites and BBLs'!$B536,'blocks lots w city priorities'!$D:$D,0),1)</f>
        <v>63</v>
      </c>
      <c r="B536" s="2578">
        <v>1016650023</v>
      </c>
      <c r="C536" t="s">
        <v>90</v>
      </c>
      <c r="D536" t="s">
        <v>91</v>
      </c>
    </row>
    <row r="537" spans="1:4">
      <c r="A537" s="655">
        <f>INDEX('blocks lots w city priorities'!$A:$D,MATCH('Consolidated Sites and BBLs'!$B537,'blocks lots w city priorities'!$D:$D,0),1)</f>
        <v>63</v>
      </c>
      <c r="B537" s="2578">
        <v>1016650122</v>
      </c>
      <c r="C537" t="s">
        <v>90</v>
      </c>
      <c r="D537" t="s">
        <v>91</v>
      </c>
    </row>
    <row r="538" spans="1:4">
      <c r="A538" s="655">
        <f>INDEX('blocks lots w city priorities'!$A:$D,MATCH('Consolidated Sites and BBLs'!$B538,'blocks lots w city priorities'!$D:$D,0),1)</f>
        <v>68</v>
      </c>
      <c r="B538" s="2578">
        <v>1016440012</v>
      </c>
      <c r="C538" t="s">
        <v>90</v>
      </c>
      <c r="D538" t="s">
        <v>91</v>
      </c>
    </row>
    <row r="539" spans="1:4">
      <c r="A539" s="655">
        <f>INDEX('blocks lots w city priorities'!$A:$D,MATCH('Consolidated Sites and BBLs'!$B539,'blocks lots w city priorities'!$D:$D,0),1)</f>
        <v>69</v>
      </c>
      <c r="B539" s="2578">
        <v>1017710001</v>
      </c>
      <c r="C539" t="s">
        <v>90</v>
      </c>
      <c r="D539" t="s">
        <v>91</v>
      </c>
    </row>
    <row r="540" spans="1:4">
      <c r="A540" s="655">
        <f>INDEX('blocks lots w city priorities'!$A:$D,MATCH('Consolidated Sites and BBLs'!$B540,'blocks lots w city priorities'!$D:$D,0),1)</f>
        <v>69</v>
      </c>
      <c r="B540" s="2578">
        <v>1017710002</v>
      </c>
      <c r="C540" t="s">
        <v>90</v>
      </c>
      <c r="D540" t="s">
        <v>91</v>
      </c>
    </row>
    <row r="541" spans="1:4">
      <c r="A541" s="655">
        <f ca="1">IF(INDEX(INDIRECT(D541&amp;"!A:G"),MATCH('Consolidated Sites and BBLs'!B541,INDIRECT(D541&amp;"!B:B"),0),1)=0,A540,INDEX(INDIRECT(D541&amp;"!A:G"),MATCH('Consolidated Sites and BBLs'!B541,INDIRECT(D541&amp;"!B:B"),0),1))</f>
        <v>1</v>
      </c>
      <c r="B541" s="2578" t="s">
        <v>92</v>
      </c>
      <c r="C541" t="s">
        <v>93</v>
      </c>
      <c r="D541" t="s">
        <v>94</v>
      </c>
    </row>
    <row r="542" spans="1:4">
      <c r="A542" s="655">
        <f ca="1">IF(INDEX(INDIRECT(D542&amp;"!A:G"),MATCH('Consolidated Sites and BBLs'!B542,INDIRECT(D542&amp;"!B:B"),0),1)=0,A541,INDEX(INDIRECT(D542&amp;"!A:G"),MATCH('Consolidated Sites and BBLs'!B542,INDIRECT(D542&amp;"!B:B"),0),1))</f>
        <v>2</v>
      </c>
      <c r="B542" s="2578" t="s">
        <v>95</v>
      </c>
      <c r="C542" t="s">
        <v>93</v>
      </c>
      <c r="D542" t="s">
        <v>94</v>
      </c>
    </row>
    <row r="543" spans="1:4">
      <c r="A543" s="655">
        <f ca="1">IF(INDEX(INDIRECT(D543&amp;"!A:G"),MATCH('Consolidated Sites and BBLs'!B543,INDIRECT(D543&amp;"!B:B"),0),1)=0,A542,INDEX(INDIRECT(D543&amp;"!A:G"),MATCH('Consolidated Sites and BBLs'!B543,INDIRECT(D543&amp;"!B:B"),0),1))</f>
        <v>2</v>
      </c>
      <c r="B543" s="2578" t="s">
        <v>96</v>
      </c>
      <c r="C543" t="s">
        <v>93</v>
      </c>
      <c r="D543" t="s">
        <v>94</v>
      </c>
    </row>
    <row r="544" spans="1:4">
      <c r="A544" s="655">
        <f ca="1">IF(INDEX(INDIRECT(D544&amp;"!A:G"),MATCH('Consolidated Sites and BBLs'!B544,INDIRECT(D544&amp;"!B:B"),0),1)=0,A543,INDEX(INDIRECT(D544&amp;"!A:G"),MATCH('Consolidated Sites and BBLs'!B544,INDIRECT(D544&amp;"!B:B"),0),1))</f>
        <v>2</v>
      </c>
      <c r="B544" s="2578" t="s">
        <v>97</v>
      </c>
      <c r="C544" t="s">
        <v>93</v>
      </c>
      <c r="D544" t="s">
        <v>94</v>
      </c>
    </row>
    <row r="545" spans="1:4">
      <c r="A545" s="655">
        <f ca="1">IF(INDEX(INDIRECT(D545&amp;"!A:G"),MATCH('Consolidated Sites and BBLs'!B545,INDIRECT(D545&amp;"!B:B"),0),1)=0,A544,INDEX(INDIRECT(D545&amp;"!A:G"),MATCH('Consolidated Sites and BBLs'!B545,INDIRECT(D545&amp;"!B:B"),0),1))</f>
        <v>2</v>
      </c>
      <c r="B545" s="2578" t="s">
        <v>98</v>
      </c>
      <c r="C545" t="s">
        <v>93</v>
      </c>
      <c r="D545" t="s">
        <v>94</v>
      </c>
    </row>
    <row r="546" spans="1:4">
      <c r="A546" s="655">
        <f ca="1">IF(INDEX(INDIRECT(D546&amp;"!A:G"),MATCH('Consolidated Sites and BBLs'!B546,INDIRECT(D546&amp;"!B:B"),0),1)=0,A545,INDEX(INDIRECT(D546&amp;"!A:G"),MATCH('Consolidated Sites and BBLs'!B546,INDIRECT(D546&amp;"!B:B"),0),1))</f>
        <v>2</v>
      </c>
      <c r="B546" s="2578" t="s">
        <v>99</v>
      </c>
      <c r="C546" t="s">
        <v>93</v>
      </c>
      <c r="D546" t="s">
        <v>94</v>
      </c>
    </row>
    <row r="547" spans="1:4">
      <c r="A547" s="655">
        <f ca="1">IF(INDEX(INDIRECT(D547&amp;"!A:G"),MATCH('Consolidated Sites and BBLs'!B547,INDIRECT(D547&amp;"!B:B"),0),1)=0,A546,INDEX(INDIRECT(D547&amp;"!A:G"),MATCH('Consolidated Sites and BBLs'!B547,INDIRECT(D547&amp;"!B:B"),0),1))</f>
        <v>2</v>
      </c>
      <c r="B547" s="2578" t="s">
        <v>100</v>
      </c>
      <c r="C547" t="s">
        <v>93</v>
      </c>
      <c r="D547" t="s">
        <v>94</v>
      </c>
    </row>
    <row r="548" spans="1:4">
      <c r="A548" s="655">
        <f ca="1">IF(INDEX(INDIRECT(D548&amp;"!A:G"),MATCH('Consolidated Sites and BBLs'!B548,INDIRECT(D548&amp;"!B:B"),0),1)=0,A547,INDEX(INDIRECT(D548&amp;"!A:G"),MATCH('Consolidated Sites and BBLs'!B548,INDIRECT(D548&amp;"!B:B"),0),1))</f>
        <v>2</v>
      </c>
      <c r="B548" s="2578" t="s">
        <v>101</v>
      </c>
      <c r="C548" t="s">
        <v>93</v>
      </c>
      <c r="D548" t="s">
        <v>94</v>
      </c>
    </row>
    <row r="549" spans="1:4">
      <c r="A549" s="655">
        <f ca="1">IF(INDEX(INDIRECT(D549&amp;"!A:G"),MATCH('Consolidated Sites and BBLs'!B549,INDIRECT(D549&amp;"!B:B"),0),1)=0,A548,INDEX(INDIRECT(D549&amp;"!A:G"),MATCH('Consolidated Sites and BBLs'!B549,INDIRECT(D549&amp;"!B:B"),0),1))</f>
        <v>2</v>
      </c>
      <c r="B549" s="2578" t="s">
        <v>102</v>
      </c>
      <c r="C549" t="s">
        <v>93</v>
      </c>
      <c r="D549" t="s">
        <v>94</v>
      </c>
    </row>
    <row r="550" spans="1:4">
      <c r="A550" s="655">
        <f ca="1">IF(INDEX(INDIRECT(D550&amp;"!A:G"),MATCH('Consolidated Sites and BBLs'!B550,INDIRECT(D550&amp;"!B:B"),0),1)=0,A549,INDEX(INDIRECT(D550&amp;"!A:G"),MATCH('Consolidated Sites and BBLs'!B550,INDIRECT(D550&amp;"!B:B"),0),1))</f>
        <v>2</v>
      </c>
      <c r="B550" s="2578" t="s">
        <v>103</v>
      </c>
      <c r="C550" t="s">
        <v>93</v>
      </c>
      <c r="D550" t="s">
        <v>94</v>
      </c>
    </row>
    <row r="551" spans="1:4">
      <c r="A551" s="655">
        <f ca="1">IF(INDEX(INDIRECT(D551&amp;"!A:G"),MATCH('Consolidated Sites and BBLs'!B551,INDIRECT(D551&amp;"!B:B"),0),1)=0,A550,INDEX(INDIRECT(D551&amp;"!A:G"),MATCH('Consolidated Sites and BBLs'!B551,INDIRECT(D551&amp;"!B:B"),0),1))</f>
        <v>2</v>
      </c>
      <c r="B551" s="2578" t="s">
        <v>104</v>
      </c>
      <c r="C551" t="s">
        <v>93</v>
      </c>
      <c r="D551" t="s">
        <v>94</v>
      </c>
    </row>
    <row r="552" spans="1:4">
      <c r="A552" s="655">
        <f ca="1">IF(INDEX(INDIRECT(D552&amp;"!A:G"),MATCH('Consolidated Sites and BBLs'!B552,INDIRECT(D552&amp;"!B:B"),0),1)=0,A551,INDEX(INDIRECT(D552&amp;"!A:G"),MATCH('Consolidated Sites and BBLs'!B552,INDIRECT(D552&amp;"!B:B"),0),1))</f>
        <v>2</v>
      </c>
      <c r="B552" s="2578" t="s">
        <v>105</v>
      </c>
      <c r="C552" t="s">
        <v>93</v>
      </c>
      <c r="D552" t="s">
        <v>94</v>
      </c>
    </row>
    <row r="553" spans="1:4">
      <c r="A553" s="655">
        <f ca="1">IF(INDEX(INDIRECT(D553&amp;"!A:G"),MATCH('Consolidated Sites and BBLs'!B553,INDIRECT(D553&amp;"!B:B"),0),1)=0,A552,INDEX(INDIRECT(D553&amp;"!A:G"),MATCH('Consolidated Sites and BBLs'!B553,INDIRECT(D553&amp;"!B:B"),0),1))</f>
        <v>3</v>
      </c>
      <c r="B553" s="2578" t="s">
        <v>106</v>
      </c>
      <c r="C553" t="s">
        <v>93</v>
      </c>
      <c r="D553" t="s">
        <v>94</v>
      </c>
    </row>
    <row r="554" spans="1:4">
      <c r="A554" s="655">
        <f ca="1">IF(INDEX(INDIRECT(D554&amp;"!A:G"),MATCH('Consolidated Sites and BBLs'!B554,INDIRECT(D554&amp;"!B:B"),0),1)=0,A553,INDEX(INDIRECT(D554&amp;"!A:G"),MATCH('Consolidated Sites and BBLs'!B554,INDIRECT(D554&amp;"!B:B"),0),1))</f>
        <v>3</v>
      </c>
      <c r="B554" s="2578" t="s">
        <v>107</v>
      </c>
      <c r="C554" t="s">
        <v>93</v>
      </c>
      <c r="D554" t="s">
        <v>94</v>
      </c>
    </row>
    <row r="555" spans="1:4">
      <c r="A555" s="655">
        <f ca="1">IF(INDEX(INDIRECT(D555&amp;"!A:G"),MATCH('Consolidated Sites and BBLs'!B555,INDIRECT(D555&amp;"!B:B"),0),1)=0,A554,INDEX(INDIRECT(D555&amp;"!A:G"),MATCH('Consolidated Sites and BBLs'!B555,INDIRECT(D555&amp;"!B:B"),0),1))</f>
        <v>4</v>
      </c>
      <c r="B555" s="2578" t="s">
        <v>108</v>
      </c>
      <c r="C555" t="s">
        <v>93</v>
      </c>
      <c r="D555" t="s">
        <v>94</v>
      </c>
    </row>
    <row r="556" spans="1:4">
      <c r="A556" s="655">
        <f ca="1">IF(INDEX(INDIRECT(D556&amp;"!A:G"),MATCH('Consolidated Sites and BBLs'!B556,INDIRECT(D556&amp;"!B:B"),0),1)=0,A555,INDEX(INDIRECT(D556&amp;"!A:G"),MATCH('Consolidated Sites and BBLs'!B556,INDIRECT(D556&amp;"!B:B"),0),1))</f>
        <v>4</v>
      </c>
      <c r="B556" s="2578" t="s">
        <v>109</v>
      </c>
      <c r="C556" t="s">
        <v>93</v>
      </c>
      <c r="D556" t="s">
        <v>94</v>
      </c>
    </row>
    <row r="557" spans="1:4">
      <c r="A557" s="655">
        <f ca="1">IF(INDEX(INDIRECT(D557&amp;"!A:G"),MATCH('Consolidated Sites and BBLs'!B557,INDIRECT(D557&amp;"!B:B"),0),1)=0,A556,INDEX(INDIRECT(D557&amp;"!A:G"),MATCH('Consolidated Sites and BBLs'!B557,INDIRECT(D557&amp;"!B:B"),0),1))</f>
        <v>5</v>
      </c>
      <c r="B557" s="2578" t="s">
        <v>110</v>
      </c>
      <c r="C557" t="s">
        <v>93</v>
      </c>
      <c r="D557" t="s">
        <v>94</v>
      </c>
    </row>
    <row r="558" spans="1:4">
      <c r="A558" s="655">
        <f ca="1">IF(INDEX(INDIRECT(D558&amp;"!A:G"),MATCH('Consolidated Sites and BBLs'!B558,INDIRECT(D558&amp;"!B:B"),0),1)=0,A557,INDEX(INDIRECT(D558&amp;"!A:G"),MATCH('Consolidated Sites and BBLs'!B558,INDIRECT(D558&amp;"!B:B"),0),1))</f>
        <v>6</v>
      </c>
      <c r="B558" s="2578" t="s">
        <v>111</v>
      </c>
      <c r="C558" t="s">
        <v>93</v>
      </c>
      <c r="D558" t="s">
        <v>94</v>
      </c>
    </row>
    <row r="559" spans="1:4">
      <c r="A559" s="655">
        <f ca="1">IF(INDEX(INDIRECT(D559&amp;"!A:G"),MATCH('Consolidated Sites and BBLs'!B559,INDIRECT(D559&amp;"!B:B"),0),1)=0,A558,INDEX(INDIRECT(D559&amp;"!A:G"),MATCH('Consolidated Sites and BBLs'!B559,INDIRECT(D559&amp;"!B:B"),0),1))</f>
        <v>6</v>
      </c>
      <c r="B559" s="2578" t="s">
        <v>112</v>
      </c>
      <c r="C559" t="s">
        <v>93</v>
      </c>
      <c r="D559" t="s">
        <v>94</v>
      </c>
    </row>
    <row r="560" spans="1:4">
      <c r="A560" s="655">
        <f ca="1">IF(INDEX(INDIRECT(D560&amp;"!A:G"),MATCH('Consolidated Sites and BBLs'!B560,INDIRECT(D560&amp;"!B:B"),0),1)=0,A559,INDEX(INDIRECT(D560&amp;"!A:G"),MATCH('Consolidated Sites and BBLs'!B560,INDIRECT(D560&amp;"!B:B"),0),1))</f>
        <v>7</v>
      </c>
      <c r="B560" s="2578" t="s">
        <v>113</v>
      </c>
      <c r="C560" t="s">
        <v>93</v>
      </c>
      <c r="D560" t="s">
        <v>94</v>
      </c>
    </row>
    <row r="561" spans="1:4">
      <c r="A561" s="655">
        <f ca="1">IF(INDEX(INDIRECT(D561&amp;"!A:G"),MATCH('Consolidated Sites and BBLs'!B561,INDIRECT(D561&amp;"!B:B"),0),1)=0,A560,INDEX(INDIRECT(D561&amp;"!A:G"),MATCH('Consolidated Sites and BBLs'!B561,INDIRECT(D561&amp;"!B:B"),0),1))</f>
        <v>7</v>
      </c>
      <c r="B561" s="2578" t="s">
        <v>114</v>
      </c>
      <c r="C561" t="s">
        <v>93</v>
      </c>
      <c r="D561" t="s">
        <v>94</v>
      </c>
    </row>
    <row r="562" spans="1:4">
      <c r="A562" s="655">
        <f ca="1">IF(INDEX(INDIRECT(D562&amp;"!A:G"),MATCH('Consolidated Sites and BBLs'!B562,INDIRECT(D562&amp;"!B:B"),0),1)=0,A561,INDEX(INDIRECT(D562&amp;"!A:G"),MATCH('Consolidated Sites and BBLs'!B562,INDIRECT(D562&amp;"!B:B"),0),1))</f>
        <v>8</v>
      </c>
      <c r="B562" s="2578" t="s">
        <v>115</v>
      </c>
      <c r="C562" t="s">
        <v>93</v>
      </c>
      <c r="D562" t="s">
        <v>94</v>
      </c>
    </row>
    <row r="563" spans="1:4">
      <c r="A563" s="655">
        <f ca="1">IF(INDEX(INDIRECT(D563&amp;"!A:G"),MATCH('Consolidated Sites and BBLs'!B563,INDIRECT(D563&amp;"!B:B"),0),1)=0,A562,INDEX(INDIRECT(D563&amp;"!A:G"),MATCH('Consolidated Sites and BBLs'!B563,INDIRECT(D563&amp;"!B:B"),0),1))</f>
        <v>8</v>
      </c>
      <c r="B563" s="2578" t="s">
        <v>116</v>
      </c>
      <c r="C563" t="s">
        <v>93</v>
      </c>
      <c r="D563" t="s">
        <v>94</v>
      </c>
    </row>
    <row r="564" spans="1:4">
      <c r="A564" s="655">
        <f ca="1">IF(INDEX(INDIRECT(D564&amp;"!A:G"),MATCH('Consolidated Sites and BBLs'!B564,INDIRECT(D564&amp;"!B:B"),0),1)=0,A563,INDEX(INDIRECT(D564&amp;"!A:G"),MATCH('Consolidated Sites and BBLs'!B564,INDIRECT(D564&amp;"!B:B"),0),1))</f>
        <v>8</v>
      </c>
      <c r="B564" s="2578" t="s">
        <v>117</v>
      </c>
      <c r="C564" t="s">
        <v>93</v>
      </c>
      <c r="D564" t="s">
        <v>94</v>
      </c>
    </row>
    <row r="565" spans="1:4">
      <c r="A565" s="655">
        <f ca="1">IF(INDEX(INDIRECT(D565&amp;"!A:G"),MATCH('Consolidated Sites and BBLs'!B565,INDIRECT(D565&amp;"!B:B"),0),1)=0,A564,INDEX(INDIRECT(D565&amp;"!A:G"),MATCH('Consolidated Sites and BBLs'!B565,INDIRECT(D565&amp;"!B:B"),0),1))</f>
        <v>9</v>
      </c>
      <c r="B565" s="2578" t="s">
        <v>118</v>
      </c>
      <c r="C565" t="s">
        <v>93</v>
      </c>
      <c r="D565" t="s">
        <v>94</v>
      </c>
    </row>
    <row r="566" spans="1:4">
      <c r="A566" s="655">
        <f ca="1">IF(INDEX(INDIRECT(D566&amp;"!A:G"),MATCH('Consolidated Sites and BBLs'!B566,INDIRECT(D566&amp;"!B:B"),0),1)=0,A565,INDEX(INDIRECT(D566&amp;"!A:G"),MATCH('Consolidated Sites and BBLs'!B566,INDIRECT(D566&amp;"!B:B"),0),1))</f>
        <v>10</v>
      </c>
      <c r="B566" s="2578" t="s">
        <v>119</v>
      </c>
      <c r="C566" t="s">
        <v>93</v>
      </c>
      <c r="D566" t="s">
        <v>94</v>
      </c>
    </row>
    <row r="567" spans="1:4">
      <c r="A567" s="655">
        <f ca="1">IF(INDEX(INDIRECT(D567&amp;"!A:G"),MATCH('Consolidated Sites and BBLs'!B567,INDIRECT(D567&amp;"!B:B"),0),1)=0,A566,INDEX(INDIRECT(D567&amp;"!A:G"),MATCH('Consolidated Sites and BBLs'!B567,INDIRECT(D567&amp;"!B:B"),0),1))</f>
        <v>10</v>
      </c>
      <c r="B567" s="2578">
        <v>1021850036</v>
      </c>
      <c r="C567" t="s">
        <v>93</v>
      </c>
      <c r="D567" t="s">
        <v>94</v>
      </c>
    </row>
    <row r="568" spans="1:4">
      <c r="A568" s="655">
        <f ca="1">IF(INDEX(INDIRECT(D568&amp;"!A:G"),MATCH('Consolidated Sites and BBLs'!B568,INDIRECT(D568&amp;"!B:B"),0),1)=0,A567,INDEX(INDIRECT(D568&amp;"!A:G"),MATCH('Consolidated Sites and BBLs'!B568,INDIRECT(D568&amp;"!B:B"),0),1))</f>
        <v>10</v>
      </c>
      <c r="B568" s="2578" t="s">
        <v>120</v>
      </c>
      <c r="C568" t="s">
        <v>93</v>
      </c>
      <c r="D568" t="s">
        <v>94</v>
      </c>
    </row>
    <row r="569" spans="1:4">
      <c r="A569" s="655">
        <f ca="1">IF(INDEX(INDIRECT(D569&amp;"!A:G"),MATCH('Consolidated Sites and BBLs'!B569,INDIRECT(D569&amp;"!B:B"),0),1)=0,A568,INDEX(INDIRECT(D569&amp;"!A:G"),MATCH('Consolidated Sites and BBLs'!B569,INDIRECT(D569&amp;"!B:B"),0),1))</f>
        <v>11</v>
      </c>
      <c r="B569" s="2578" t="s">
        <v>121</v>
      </c>
      <c r="C569" t="s">
        <v>93</v>
      </c>
      <c r="D569" t="s">
        <v>94</v>
      </c>
    </row>
    <row r="570" spans="1:4">
      <c r="A570" s="655">
        <f ca="1">IF(INDEX(INDIRECT(D570&amp;"!A:G"),MATCH('Consolidated Sites and BBLs'!B570,INDIRECT(D570&amp;"!B:B"),0),1)=0,A569,INDEX(INDIRECT(D570&amp;"!A:G"),MATCH('Consolidated Sites and BBLs'!B570,INDIRECT(D570&amp;"!B:B"),0),1))</f>
        <v>11</v>
      </c>
      <c r="B570" s="2578" t="s">
        <v>122</v>
      </c>
      <c r="C570" t="s">
        <v>93</v>
      </c>
      <c r="D570" t="s">
        <v>94</v>
      </c>
    </row>
    <row r="571" spans="1:4">
      <c r="A571" s="655">
        <f ca="1">IF(INDEX(INDIRECT(D571&amp;"!A:G"),MATCH('Consolidated Sites and BBLs'!B571,INDIRECT(D571&amp;"!B:B"),0),1)=0,A570,INDEX(INDIRECT(D571&amp;"!A:G"),MATCH('Consolidated Sites and BBLs'!B571,INDIRECT(D571&amp;"!B:B"),0),1))</f>
        <v>12</v>
      </c>
      <c r="B571" s="2578" t="s">
        <v>123</v>
      </c>
      <c r="C571" t="s">
        <v>93</v>
      </c>
      <c r="D571" t="s">
        <v>94</v>
      </c>
    </row>
    <row r="572" spans="1:4">
      <c r="A572" s="655">
        <f ca="1">IF(INDEX(INDIRECT(D572&amp;"!A:G"),MATCH('Consolidated Sites and BBLs'!B572,INDIRECT(D572&amp;"!B:B"),0),1)=0,A571,INDEX(INDIRECT(D572&amp;"!A:G"),MATCH('Consolidated Sites and BBLs'!B572,INDIRECT(D572&amp;"!B:B"),0),1))</f>
        <v>12</v>
      </c>
      <c r="B572" s="2578" t="s">
        <v>124</v>
      </c>
      <c r="C572" t="s">
        <v>93</v>
      </c>
      <c r="D572" t="s">
        <v>94</v>
      </c>
    </row>
    <row r="573" spans="1:4">
      <c r="A573" s="655">
        <f ca="1">IF(INDEX(INDIRECT(D573&amp;"!A:G"),MATCH('Consolidated Sites and BBLs'!B573,INDIRECT(D573&amp;"!B:B"),0),1)=0,A572,INDEX(INDIRECT(D573&amp;"!A:G"),MATCH('Consolidated Sites and BBLs'!B573,INDIRECT(D573&amp;"!B:B"),0),1))</f>
        <v>13</v>
      </c>
      <c r="B573" s="2578" t="s">
        <v>125</v>
      </c>
      <c r="C573" t="s">
        <v>93</v>
      </c>
      <c r="D573" t="s">
        <v>94</v>
      </c>
    </row>
    <row r="574" spans="1:4">
      <c r="A574" s="655">
        <f ca="1">IF(INDEX(INDIRECT(D574&amp;"!A:G"),MATCH('Consolidated Sites and BBLs'!B574,INDIRECT(D574&amp;"!B:B"),0),1)=0,A573,INDEX(INDIRECT(D574&amp;"!A:G"),MATCH('Consolidated Sites and BBLs'!B574,INDIRECT(D574&amp;"!B:B"),0),1))</f>
        <v>13</v>
      </c>
      <c r="B574" s="2578" t="s">
        <v>126</v>
      </c>
      <c r="C574" t="s">
        <v>93</v>
      </c>
      <c r="D574" t="s">
        <v>94</v>
      </c>
    </row>
    <row r="575" spans="1:4">
      <c r="A575" s="655">
        <f ca="1">IF(INDEX(INDIRECT(D575&amp;"!A:G"),MATCH('Consolidated Sites and BBLs'!B575,INDIRECT(D575&amp;"!B:B"),0),1)=0,A574,INDEX(INDIRECT(D575&amp;"!A:G"),MATCH('Consolidated Sites and BBLs'!B575,INDIRECT(D575&amp;"!B:B"),0),1))</f>
        <v>13</v>
      </c>
      <c r="B575" s="2578" t="s">
        <v>127</v>
      </c>
      <c r="C575" t="s">
        <v>93</v>
      </c>
      <c r="D575" t="s">
        <v>94</v>
      </c>
    </row>
    <row r="576" spans="1:4">
      <c r="A576" s="655">
        <f ca="1">IF(INDEX(INDIRECT(D576&amp;"!A:G"),MATCH('Consolidated Sites and BBLs'!B576,INDIRECT(D576&amp;"!B:B"),0),1)=0,A575,INDEX(INDIRECT(D576&amp;"!A:G"),MATCH('Consolidated Sites and BBLs'!B576,INDIRECT(D576&amp;"!B:B"),0),1))</f>
        <v>14</v>
      </c>
      <c r="B576" s="2578" t="s">
        <v>128</v>
      </c>
      <c r="C576" t="s">
        <v>93</v>
      </c>
      <c r="D576" t="s">
        <v>94</v>
      </c>
    </row>
    <row r="577" spans="1:4">
      <c r="A577" s="655">
        <f ca="1">IF(INDEX(INDIRECT(D577&amp;"!A:G"),MATCH('Consolidated Sites and BBLs'!B577,INDIRECT(D577&amp;"!B:B"),0),1)=0,A576,INDEX(INDIRECT(D577&amp;"!A:G"),MATCH('Consolidated Sites and BBLs'!B577,INDIRECT(D577&amp;"!B:B"),0),1))</f>
        <v>14</v>
      </c>
      <c r="B577" s="2578" t="s">
        <v>129</v>
      </c>
      <c r="C577" t="s">
        <v>93</v>
      </c>
      <c r="D577" t="s">
        <v>94</v>
      </c>
    </row>
    <row r="578" spans="1:4">
      <c r="A578" s="655">
        <f ca="1">IF(INDEX(INDIRECT(D578&amp;"!A:G"),MATCH('Consolidated Sites and BBLs'!B578,INDIRECT(D578&amp;"!B:B"),0),1)=0,A577,INDEX(INDIRECT(D578&amp;"!A:G"),MATCH('Consolidated Sites and BBLs'!B578,INDIRECT(D578&amp;"!B:B"),0),1))</f>
        <v>15</v>
      </c>
      <c r="B578" s="2578" t="s">
        <v>130</v>
      </c>
      <c r="C578" t="s">
        <v>93</v>
      </c>
      <c r="D578" t="s">
        <v>94</v>
      </c>
    </row>
    <row r="579" spans="1:4">
      <c r="A579" s="655">
        <f ca="1">IF(INDEX(INDIRECT(D579&amp;"!A:G"),MATCH('Consolidated Sites and BBLs'!B579,INDIRECT(D579&amp;"!B:B"),0),1)=0,A578,INDEX(INDIRECT(D579&amp;"!A:G"),MATCH('Consolidated Sites and BBLs'!B579,INDIRECT(D579&amp;"!B:B"),0),1))</f>
        <v>23</v>
      </c>
      <c r="B579" s="2578" t="s">
        <v>131</v>
      </c>
      <c r="C579" t="s">
        <v>93</v>
      </c>
      <c r="D579" t="s">
        <v>94</v>
      </c>
    </row>
    <row r="580" spans="1:4">
      <c r="A580" s="655">
        <f ca="1">IF(INDEX(INDIRECT(D580&amp;"!A:G"),MATCH('Consolidated Sites and BBLs'!B580,INDIRECT(D580&amp;"!B:B"),0),1)=0,A579,INDEX(INDIRECT(D580&amp;"!A:G"),MATCH('Consolidated Sites and BBLs'!B580,INDIRECT(D580&amp;"!B:B"),0),1))</f>
        <v>24</v>
      </c>
      <c r="B580" s="2578" t="s">
        <v>132</v>
      </c>
      <c r="C580" t="s">
        <v>93</v>
      </c>
      <c r="D580" t="s">
        <v>94</v>
      </c>
    </row>
    <row r="581" spans="1:4">
      <c r="A581" s="655">
        <f ca="1">IF(INDEX(INDIRECT(D581&amp;"!A:G"),MATCH('Consolidated Sites and BBLs'!B581,INDIRECT(D581&amp;"!B:B"),0),1)=0,A580,INDEX(INDIRECT(D581&amp;"!A:G"),MATCH('Consolidated Sites and BBLs'!B581,INDIRECT(D581&amp;"!B:B"),0),1))</f>
        <v>24</v>
      </c>
      <c r="B581" s="2578" t="s">
        <v>133</v>
      </c>
      <c r="C581" t="s">
        <v>93</v>
      </c>
      <c r="D581" t="s">
        <v>94</v>
      </c>
    </row>
    <row r="582" spans="1:4">
      <c r="A582" s="655">
        <f ca="1">IF(INDEX(INDIRECT(D582&amp;"!A:G"),MATCH('Consolidated Sites and BBLs'!B582,INDIRECT(D582&amp;"!B:B"),0),1)=0,A581,INDEX(INDIRECT(D582&amp;"!A:G"),MATCH('Consolidated Sites and BBLs'!B582,INDIRECT(D582&amp;"!B:B"),0),1))</f>
        <v>25</v>
      </c>
      <c r="B582" s="2578" t="s">
        <v>134</v>
      </c>
      <c r="C582" t="s">
        <v>93</v>
      </c>
      <c r="D582" t="s">
        <v>94</v>
      </c>
    </row>
    <row r="583" spans="1:4">
      <c r="A583" s="655">
        <f ca="1">IF(INDEX(INDIRECT(D583&amp;"!A:G"),MATCH('Consolidated Sites and BBLs'!B583,INDIRECT(D583&amp;"!B:B"),0),1)=0,A582,INDEX(INDIRECT(D583&amp;"!A:G"),MATCH('Consolidated Sites and BBLs'!B583,INDIRECT(D583&amp;"!B:B"),0),1))</f>
        <v>25</v>
      </c>
      <c r="B583" s="2578" t="s">
        <v>135</v>
      </c>
      <c r="C583" t="s">
        <v>93</v>
      </c>
      <c r="D583" t="s">
        <v>94</v>
      </c>
    </row>
    <row r="584" spans="1:4">
      <c r="A584" s="655">
        <f ca="1">IF(INDEX(INDIRECT(D584&amp;"!A:G"),MATCH('Consolidated Sites and BBLs'!B584,INDIRECT(D584&amp;"!B:B"),0),1)=0,A583,INDEX(INDIRECT(D584&amp;"!A:G"),MATCH('Consolidated Sites and BBLs'!B584,INDIRECT(D584&amp;"!B:B"),0),1))</f>
        <v>4</v>
      </c>
      <c r="B584" s="2578" t="s">
        <v>108</v>
      </c>
      <c r="C584" t="s">
        <v>93</v>
      </c>
      <c r="D584" t="s">
        <v>94</v>
      </c>
    </row>
    <row r="585" spans="1:4">
      <c r="A585" s="655">
        <f ca="1">IF(INDEX(INDIRECT(D585&amp;"!A:G"),MATCH('Consolidated Sites and BBLs'!B585,INDIRECT(D585&amp;"!B:B"),0),1)=0,A584,INDEX(INDIRECT(D585&amp;"!A:G"),MATCH('Consolidated Sites and BBLs'!B585,INDIRECT(D585&amp;"!B:B"),0),1))</f>
        <v>4</v>
      </c>
      <c r="B585" s="2578" t="s">
        <v>109</v>
      </c>
      <c r="C585" t="s">
        <v>93</v>
      </c>
      <c r="D585" t="s">
        <v>94</v>
      </c>
    </row>
    <row r="586" spans="1:4">
      <c r="A586" s="655" t="str">
        <f ca="1">IF(INDEX(INDIRECT(D586&amp;"!A:G"),MATCH('Consolidated Sites and BBLs'!B586,INDIRECT(D586&amp;"!B:B"),0),1)=0,A585,INDEX(INDIRECT(D586&amp;"!A:G"),MATCH('Consolidated Sites and BBLs'!B586,INDIRECT(D586&amp;"!B:B"),0),1))</f>
        <v>A</v>
      </c>
      <c r="B586" s="2578" t="s">
        <v>136</v>
      </c>
      <c r="C586" t="s">
        <v>93</v>
      </c>
      <c r="D586" t="s">
        <v>137</v>
      </c>
    </row>
    <row r="587" spans="1:4">
      <c r="A587" s="655" t="str">
        <f ca="1">IF(INDEX(INDIRECT(D587&amp;"!A:G"),MATCH('Consolidated Sites and BBLs'!B587,INDIRECT(D587&amp;"!B:B"),0),1)=0,A586,INDEX(INDIRECT(D587&amp;"!A:G"),MATCH('Consolidated Sites and BBLs'!B587,INDIRECT(D587&amp;"!B:B"),0),1))</f>
        <v>A</v>
      </c>
      <c r="B587" s="2578" t="s">
        <v>138</v>
      </c>
      <c r="C587" t="s">
        <v>93</v>
      </c>
      <c r="D587" t="s">
        <v>137</v>
      </c>
    </row>
    <row r="588" spans="1:4">
      <c r="A588" s="655" t="str">
        <f ca="1">IF(INDEX(INDIRECT(D588&amp;"!A:G"),MATCH('Consolidated Sites and BBLs'!B588,INDIRECT(D588&amp;"!B:B"),0),1)=0,A587,INDEX(INDIRECT(D588&amp;"!A:G"),MATCH('Consolidated Sites and BBLs'!B588,INDIRECT(D588&amp;"!B:B"),0),1))</f>
        <v>B</v>
      </c>
      <c r="B588" s="2578" t="s">
        <v>139</v>
      </c>
      <c r="C588" t="s">
        <v>93</v>
      </c>
      <c r="D588" t="s">
        <v>137</v>
      </c>
    </row>
    <row r="589" spans="1:4">
      <c r="A589" s="655" t="str">
        <f ca="1">IF(INDEX(INDIRECT(D589&amp;"!A:G"),MATCH('Consolidated Sites and BBLs'!B589,INDIRECT(D589&amp;"!B:B"),0),1)=0,A588,INDEX(INDIRECT(D589&amp;"!A:G"),MATCH('Consolidated Sites and BBLs'!B589,INDIRECT(D589&amp;"!B:B"),0),1))</f>
        <v>B</v>
      </c>
      <c r="B589" s="2578" t="s">
        <v>140</v>
      </c>
      <c r="C589" t="s">
        <v>93</v>
      </c>
      <c r="D589" t="s">
        <v>137</v>
      </c>
    </row>
    <row r="590" spans="1:4">
      <c r="A590" s="655" t="str">
        <f ca="1">IF(INDEX(INDIRECT(D590&amp;"!A:G"),MATCH('Consolidated Sites and BBLs'!B590,INDIRECT(D590&amp;"!B:B"),0),1)=0,A589,INDEX(INDIRECT(D590&amp;"!A:G"),MATCH('Consolidated Sites and BBLs'!B590,INDIRECT(D590&amp;"!B:B"),0),1))</f>
        <v>B</v>
      </c>
      <c r="B590" s="2578" t="s">
        <v>141</v>
      </c>
      <c r="C590" t="s">
        <v>93</v>
      </c>
      <c r="D590" t="s">
        <v>137</v>
      </c>
    </row>
    <row r="591" spans="1:4">
      <c r="A591" s="655" t="str">
        <f ca="1">IF(INDEX(INDIRECT(D591&amp;"!A:G"),MATCH('Consolidated Sites and BBLs'!B591,INDIRECT(D591&amp;"!B:B"),0),1)=0,A590,INDEX(INDIRECT(D591&amp;"!A:G"),MATCH('Consolidated Sites and BBLs'!B591,INDIRECT(D591&amp;"!B:B"),0),1))</f>
        <v>C</v>
      </c>
      <c r="B591" s="2578" t="s">
        <v>142</v>
      </c>
      <c r="C591" t="s">
        <v>93</v>
      </c>
      <c r="D591" t="s">
        <v>137</v>
      </c>
    </row>
    <row r="592" spans="1:4">
      <c r="A592" s="655" t="str">
        <f ca="1">IF(INDEX(INDIRECT(D592&amp;"!A:G"),MATCH('Consolidated Sites and BBLs'!B592,INDIRECT(D592&amp;"!B:B"),0),1)=0,A591,INDEX(INDIRECT(D592&amp;"!A:G"),MATCH('Consolidated Sites and BBLs'!B592,INDIRECT(D592&amp;"!B:B"),0),1))</f>
        <v>C</v>
      </c>
      <c r="B592" s="2578" t="s">
        <v>143</v>
      </c>
      <c r="C592" t="s">
        <v>93</v>
      </c>
      <c r="D592" t="s">
        <v>137</v>
      </c>
    </row>
    <row r="593" spans="1:4">
      <c r="A593" s="655" t="str">
        <f ca="1">IF(INDEX(INDIRECT(D593&amp;"!A:G"),MATCH('Consolidated Sites and BBLs'!B593,INDIRECT(D593&amp;"!B:B"),0),1)=0,A592,INDEX(INDIRECT(D593&amp;"!A:G"),MATCH('Consolidated Sites and BBLs'!B593,INDIRECT(D593&amp;"!B:B"),0),1))</f>
        <v>C</v>
      </c>
      <c r="B593" s="2578" t="s">
        <v>144</v>
      </c>
      <c r="C593" t="s">
        <v>93</v>
      </c>
      <c r="D593" t="s">
        <v>137</v>
      </c>
    </row>
    <row r="594" spans="1:4">
      <c r="A594" s="655" t="str">
        <f ca="1">IF(INDEX(INDIRECT(D594&amp;"!A:G"),MATCH('Consolidated Sites and BBLs'!B594,INDIRECT(D594&amp;"!B:B"),0),1)=0,A593,INDEX(INDIRECT(D594&amp;"!A:G"),MATCH('Consolidated Sites and BBLs'!B594,INDIRECT(D594&amp;"!B:B"),0),1))</f>
        <v>D</v>
      </c>
      <c r="B594" s="2578" t="s">
        <v>145</v>
      </c>
      <c r="C594" t="s">
        <v>93</v>
      </c>
      <c r="D594" t="s">
        <v>137</v>
      </c>
    </row>
    <row r="595" spans="1:4">
      <c r="A595" s="655" t="str">
        <f ca="1">IF(INDEX(INDIRECT(D595&amp;"!A:G"),MATCH('Consolidated Sites and BBLs'!B595,INDIRECT(D595&amp;"!B:B"),0),1)=0,A594,INDEX(INDIRECT(D595&amp;"!A:G"),MATCH('Consolidated Sites and BBLs'!B595,INDIRECT(D595&amp;"!B:B"),0),1))</f>
        <v>D</v>
      </c>
      <c r="B595" s="2578" t="s">
        <v>146</v>
      </c>
      <c r="C595" t="s">
        <v>93</v>
      </c>
      <c r="D595" t="s">
        <v>137</v>
      </c>
    </row>
    <row r="596" spans="1:4">
      <c r="A596" s="655" t="str">
        <f ca="1">IF(INDEX(INDIRECT(D596&amp;"!A:G"),MATCH('Consolidated Sites and BBLs'!B596,INDIRECT(D596&amp;"!B:B"),0),1)=0,A595,INDEX(INDIRECT(D596&amp;"!A:G"),MATCH('Consolidated Sites and BBLs'!B596,INDIRECT(D596&amp;"!B:B"),0),1))</f>
        <v>D</v>
      </c>
      <c r="B596" s="2578" t="s">
        <v>147</v>
      </c>
      <c r="C596" t="s">
        <v>93</v>
      </c>
      <c r="D596" t="s">
        <v>137</v>
      </c>
    </row>
    <row r="597" spans="1:4">
      <c r="A597" s="655" t="str">
        <f ca="1">IF(INDEX(INDIRECT(D597&amp;"!A:G"),MATCH('Consolidated Sites and BBLs'!B597,INDIRECT(D597&amp;"!B:B"),0),1)=0,A596,INDEX(INDIRECT(D597&amp;"!A:G"),MATCH('Consolidated Sites and BBLs'!B597,INDIRECT(D597&amp;"!B:B"),0),1))</f>
        <v>E</v>
      </c>
      <c r="B597" s="2578" t="s">
        <v>148</v>
      </c>
      <c r="C597" t="s">
        <v>93</v>
      </c>
      <c r="D597" t="s">
        <v>137</v>
      </c>
    </row>
    <row r="598" spans="1:4">
      <c r="A598" s="655" t="str">
        <f ca="1">IF(INDEX(INDIRECT(D598&amp;"!A:G"),MATCH('Consolidated Sites and BBLs'!B598,INDIRECT(D598&amp;"!B:B"),0),1)=0,A597,INDEX(INDIRECT(D598&amp;"!A:G"),MATCH('Consolidated Sites and BBLs'!B598,INDIRECT(D598&amp;"!B:B"),0),1))</f>
        <v>E</v>
      </c>
      <c r="B598" s="2578" t="s">
        <v>149</v>
      </c>
      <c r="C598" t="s">
        <v>93</v>
      </c>
      <c r="D598" t="s">
        <v>137</v>
      </c>
    </row>
    <row r="599" spans="1:4">
      <c r="A599" s="655" t="str">
        <f ca="1">IF(INDEX(INDIRECT(D599&amp;"!A:G"),MATCH('Consolidated Sites and BBLs'!B599,INDIRECT(D599&amp;"!B:B"),0),1)=0,A598,INDEX(INDIRECT(D599&amp;"!A:G"),MATCH('Consolidated Sites and BBLs'!B599,INDIRECT(D599&amp;"!B:B"),0),1))</f>
        <v>F</v>
      </c>
      <c r="B599" s="2578" t="s">
        <v>150</v>
      </c>
      <c r="C599" t="s">
        <v>93</v>
      </c>
      <c r="D599" t="s">
        <v>137</v>
      </c>
    </row>
    <row r="600" spans="1:4">
      <c r="A600" s="655" t="str">
        <f ca="1">IF(INDEX(INDIRECT(D600&amp;"!A:G"),MATCH('Consolidated Sites and BBLs'!B600,INDIRECT(D600&amp;"!B:B"),0),1)=0,A599,INDEX(INDIRECT(D600&amp;"!A:G"),MATCH('Consolidated Sites and BBLs'!B600,INDIRECT(D600&amp;"!B:B"),0),1))</f>
        <v>G</v>
      </c>
      <c r="B600" s="2578" t="s">
        <v>151</v>
      </c>
      <c r="C600" t="s">
        <v>93</v>
      </c>
      <c r="D600" t="s">
        <v>137</v>
      </c>
    </row>
    <row r="601" spans="1:4">
      <c r="A601" s="655" t="str">
        <f ca="1">IF(INDEX(INDIRECT(D601&amp;"!A:G"),MATCH('Consolidated Sites and BBLs'!B601,INDIRECT(D601&amp;"!B:B"),0),1)=0,A600,INDEX(INDIRECT(D601&amp;"!A:G"),MATCH('Consolidated Sites and BBLs'!B601,INDIRECT(D601&amp;"!B:B"),0),1))</f>
        <v>G</v>
      </c>
      <c r="B601" s="2578" t="s">
        <v>152</v>
      </c>
      <c r="C601" t="s">
        <v>93</v>
      </c>
      <c r="D601" t="s">
        <v>137</v>
      </c>
    </row>
    <row r="602" spans="1:4">
      <c r="A602" s="655" t="str">
        <f ca="1">IF(INDEX(INDIRECT(D602&amp;"!A:G"),MATCH('Consolidated Sites and BBLs'!B602,INDIRECT(D602&amp;"!B:B"),0),1)=0,A601,INDEX(INDIRECT(D602&amp;"!A:G"),MATCH('Consolidated Sites and BBLs'!B602,INDIRECT(D602&amp;"!B:B"),0),1))</f>
        <v>G</v>
      </c>
      <c r="B602" s="2578" t="s">
        <v>153</v>
      </c>
      <c r="C602" t="s">
        <v>93</v>
      </c>
      <c r="D602" t="s">
        <v>137</v>
      </c>
    </row>
    <row r="603" spans="1:4">
      <c r="A603" s="655" t="str">
        <f ca="1">IF(INDEX(INDIRECT(D603&amp;"!A:G"),MATCH('Consolidated Sites and BBLs'!B603,INDIRECT(D603&amp;"!B:B"),0),1)=0,A602,INDEX(INDIRECT(D603&amp;"!A:G"),MATCH('Consolidated Sites and BBLs'!B603,INDIRECT(D603&amp;"!B:B"),0),1))</f>
        <v>G</v>
      </c>
      <c r="B603" s="2578" t="s">
        <v>154</v>
      </c>
      <c r="C603" t="s">
        <v>93</v>
      </c>
      <c r="D603" t="s">
        <v>137</v>
      </c>
    </row>
    <row r="604" spans="1:4">
      <c r="A604" s="655" t="str">
        <f ca="1">IF(INDEX(INDIRECT(D604&amp;"!A:G"),MATCH('Consolidated Sites and BBLs'!B604,INDIRECT(D604&amp;"!B:B"),0),1)=0,A603,INDEX(INDIRECT(D604&amp;"!A:G"),MATCH('Consolidated Sites and BBLs'!B604,INDIRECT(D604&amp;"!B:B"),0),1))</f>
        <v>G</v>
      </c>
      <c r="B604" s="2578" t="s">
        <v>155</v>
      </c>
      <c r="C604" t="s">
        <v>93</v>
      </c>
      <c r="D604" t="s">
        <v>137</v>
      </c>
    </row>
    <row r="605" spans="1:4">
      <c r="A605" s="655" t="str">
        <f ca="1">IF(INDEX(INDIRECT(D605&amp;"!A:G"),MATCH('Consolidated Sites and BBLs'!B605,INDIRECT(D605&amp;"!B:B"),0),1)=0,A604,INDEX(INDIRECT(D605&amp;"!A:G"),MATCH('Consolidated Sites and BBLs'!B605,INDIRECT(D605&amp;"!B:B"),0),1))</f>
        <v>H</v>
      </c>
      <c r="B605" s="2578" t="s">
        <v>156</v>
      </c>
      <c r="C605" t="s">
        <v>93</v>
      </c>
      <c r="D605" t="s">
        <v>137</v>
      </c>
    </row>
    <row r="606" spans="1:4">
      <c r="A606" s="655" t="str">
        <f ca="1">IF(INDEX(INDIRECT(D606&amp;"!A:G"),MATCH('Consolidated Sites and BBLs'!B606,INDIRECT(D606&amp;"!B:B"),0),1)=0,A605,INDEX(INDIRECT(D606&amp;"!A:G"),MATCH('Consolidated Sites and BBLs'!B606,INDIRECT(D606&amp;"!B:B"),0),1))</f>
        <v>H</v>
      </c>
      <c r="B606" s="2578" t="s">
        <v>157</v>
      </c>
      <c r="C606" t="s">
        <v>93</v>
      </c>
      <c r="D606" t="s">
        <v>137</v>
      </c>
    </row>
    <row r="607" spans="1:4">
      <c r="A607" s="655" t="str">
        <f ca="1">IF(INDEX(INDIRECT(D607&amp;"!A:G"),MATCH('Consolidated Sites and BBLs'!B607,INDIRECT(D607&amp;"!B:B"),0),1)=0,A606,INDEX(INDIRECT(D607&amp;"!A:G"),MATCH('Consolidated Sites and BBLs'!B607,INDIRECT(D607&amp;"!B:B"),0),1))</f>
        <v>I</v>
      </c>
      <c r="B607" s="2578">
        <v>1021870020</v>
      </c>
      <c r="C607" t="s">
        <v>93</v>
      </c>
      <c r="D607" t="s">
        <v>137</v>
      </c>
    </row>
    <row r="608" spans="1:4">
      <c r="A608" s="655" t="str">
        <f ca="1">IF(INDEX(INDIRECT(D608&amp;"!A:G"),MATCH('Consolidated Sites and BBLs'!B608,INDIRECT(D608&amp;"!B:B"),0),1)=0,A607,INDEX(INDIRECT(D608&amp;"!A:G"),MATCH('Consolidated Sites and BBLs'!B608,INDIRECT(D608&amp;"!B:B"),0),1))</f>
        <v>I</v>
      </c>
      <c r="B608" s="2578" t="s">
        <v>158</v>
      </c>
      <c r="C608" t="s">
        <v>93</v>
      </c>
      <c r="D608" t="s">
        <v>137</v>
      </c>
    </row>
    <row r="609" spans="1:4">
      <c r="A609" s="655" t="str">
        <f ca="1">IF(INDEX(INDIRECT(D609&amp;"!A:G"),MATCH('Consolidated Sites and BBLs'!B609,INDIRECT(D609&amp;"!B:B"),0),1)=0,A608,INDEX(INDIRECT(D609&amp;"!A:G"),MATCH('Consolidated Sites and BBLs'!B609,INDIRECT(D609&amp;"!B:B"),0),1))</f>
        <v>I</v>
      </c>
      <c r="B609" s="2578" t="s">
        <v>159</v>
      </c>
      <c r="C609" t="s">
        <v>93</v>
      </c>
      <c r="D609" t="s">
        <v>137</v>
      </c>
    </row>
    <row r="610" spans="1:4">
      <c r="A610" s="655" t="str">
        <f ca="1">IF(INDEX(INDIRECT(D610&amp;"!A:G"),MATCH('Consolidated Sites and BBLs'!B610,INDIRECT(D610&amp;"!B:B"),0),1)=0,A609,INDEX(INDIRECT(D610&amp;"!A:G"),MATCH('Consolidated Sites and BBLs'!B610,INDIRECT(D610&amp;"!B:B"),0),1))</f>
        <v>I</v>
      </c>
      <c r="B610" s="2578" t="s">
        <v>160</v>
      </c>
      <c r="C610" t="s">
        <v>93</v>
      </c>
      <c r="D610" t="s">
        <v>137</v>
      </c>
    </row>
    <row r="611" spans="1:4">
      <c r="A611" s="655" t="str">
        <f ca="1">IF(INDEX(INDIRECT(D611&amp;"!A:G"),MATCH('Consolidated Sites and BBLs'!B611,INDIRECT(D611&amp;"!B:B"),0),1)=0,A610,INDEX(INDIRECT(D611&amp;"!A:G"),MATCH('Consolidated Sites and BBLs'!B611,INDIRECT(D611&amp;"!B:B"),0),1))</f>
        <v>J</v>
      </c>
      <c r="B611" s="2578" t="s">
        <v>161</v>
      </c>
      <c r="C611" t="s">
        <v>93</v>
      </c>
      <c r="D611" t="s">
        <v>137</v>
      </c>
    </row>
    <row r="612" spans="1:4">
      <c r="A612" s="655" t="str">
        <f ca="1">IF(INDEX(INDIRECT(D612&amp;"!A:G"),MATCH('Consolidated Sites and BBLs'!B612,INDIRECT(D612&amp;"!B:B"),0),1)=0,A611,INDEX(INDIRECT(D612&amp;"!A:G"),MATCH('Consolidated Sites and BBLs'!B612,INDIRECT(D612&amp;"!B:B"),0),1))</f>
        <v>K</v>
      </c>
      <c r="B612" s="2578" t="s">
        <v>162</v>
      </c>
      <c r="C612" t="s">
        <v>93</v>
      </c>
      <c r="D612" t="s">
        <v>137</v>
      </c>
    </row>
    <row r="613" spans="1:4">
      <c r="A613" s="655" t="str">
        <f ca="1">IF(INDEX(INDIRECT(D613&amp;"!A:G"),MATCH('Consolidated Sites and BBLs'!B613,INDIRECT(D613&amp;"!B:B"),0),1)=0,A612,INDEX(INDIRECT(D613&amp;"!A:G"),MATCH('Consolidated Sites and BBLs'!B613,INDIRECT(D613&amp;"!B:B"),0),1))</f>
        <v>L</v>
      </c>
      <c r="B613" s="2578" t="s">
        <v>163</v>
      </c>
      <c r="C613" t="s">
        <v>93</v>
      </c>
      <c r="D613" t="s">
        <v>137</v>
      </c>
    </row>
    <row r="614" spans="1:4">
      <c r="A614" s="655" t="str">
        <f ca="1">IF(INDEX(INDIRECT(D614&amp;"!A:G"),MATCH('Consolidated Sites and BBLs'!B614,INDIRECT(D614&amp;"!B:B"),0),1)=0,A613,INDEX(INDIRECT(D614&amp;"!A:G"),MATCH('Consolidated Sites and BBLs'!B614,INDIRECT(D614&amp;"!B:B"),0),1))</f>
        <v>M</v>
      </c>
      <c r="B614" s="2578" t="s">
        <v>164</v>
      </c>
      <c r="C614" t="s">
        <v>93</v>
      </c>
      <c r="D614" t="s">
        <v>137</v>
      </c>
    </row>
    <row r="615" spans="1:4">
      <c r="A615" s="655" t="str">
        <f ca="1">IF(INDEX(INDIRECT(D615&amp;"!A:G"),MATCH('Consolidated Sites and BBLs'!B615,INDIRECT(D615&amp;"!B:B"),0),1)=0,A614,INDEX(INDIRECT(D615&amp;"!A:G"),MATCH('Consolidated Sites and BBLs'!B615,INDIRECT(D615&amp;"!B:B"),0),1))</f>
        <v>N</v>
      </c>
      <c r="B615" s="2578" t="s">
        <v>165</v>
      </c>
      <c r="C615" t="s">
        <v>93</v>
      </c>
      <c r="D615" t="s">
        <v>137</v>
      </c>
    </row>
    <row r="616" spans="1:4">
      <c r="A616" s="655" t="str">
        <f ca="1">IF(INDEX(INDIRECT(D616&amp;"!A:G"),MATCH('Consolidated Sites and BBLs'!B616,INDIRECT(D616&amp;"!B:B"),0),1)=0,A615,INDEX(INDIRECT(D616&amp;"!A:G"),MATCH('Consolidated Sites and BBLs'!B616,INDIRECT(D616&amp;"!B:B"),0),1))</f>
        <v>N</v>
      </c>
      <c r="B616" s="2578" t="s">
        <v>166</v>
      </c>
      <c r="C616" t="s">
        <v>93</v>
      </c>
      <c r="D616" t="s">
        <v>137</v>
      </c>
    </row>
    <row r="617" spans="1:4">
      <c r="A617" s="655" t="str">
        <f ca="1">IF(INDEX(INDIRECT(D617&amp;"!A:G"),MATCH('Consolidated Sites and BBLs'!B617,INDIRECT(D617&amp;"!B:B"),0),1)=0,A616,INDEX(INDIRECT(D617&amp;"!A:G"),MATCH('Consolidated Sites and BBLs'!B617,INDIRECT(D617&amp;"!B:B"),0),1))</f>
        <v>N</v>
      </c>
      <c r="B617" s="2578" t="s">
        <v>167</v>
      </c>
      <c r="C617" t="s">
        <v>93</v>
      </c>
      <c r="D617" t="s">
        <v>137</v>
      </c>
    </row>
    <row r="618" spans="1:4">
      <c r="A618" s="655" t="str">
        <f ca="1">IF(INDEX(INDIRECT(D618&amp;"!A:G"),MATCH('Consolidated Sites and BBLs'!B618,INDIRECT(D618&amp;"!B:B"),0),1)=0,A617,INDEX(INDIRECT(D618&amp;"!A:G"),MATCH('Consolidated Sites and BBLs'!B618,INDIRECT(D618&amp;"!B:B"),0),1))</f>
        <v>O</v>
      </c>
      <c r="B618" s="2578" t="s">
        <v>168</v>
      </c>
      <c r="C618" t="s">
        <v>93</v>
      </c>
      <c r="D618" t="s">
        <v>137</v>
      </c>
    </row>
    <row r="619" spans="1:4">
      <c r="A619" s="655" t="str">
        <f ca="1">IF(INDEX(INDIRECT(D619&amp;"!A:G"),MATCH('Consolidated Sites and BBLs'!B619,INDIRECT(D619&amp;"!B:B"),0),1)=0,A618,INDEX(INDIRECT(D619&amp;"!A:G"),MATCH('Consolidated Sites and BBLs'!B619,INDIRECT(D619&amp;"!B:B"),0),1))</f>
        <v>Q</v>
      </c>
      <c r="B619" s="2578" t="s">
        <v>169</v>
      </c>
      <c r="C619" t="s">
        <v>93</v>
      </c>
      <c r="D619" t="s">
        <v>137</v>
      </c>
    </row>
    <row r="620" spans="1:4">
      <c r="A620" s="655" t="str">
        <f ca="1">IF(INDEX(INDIRECT(D620&amp;"!A:G"),MATCH('Consolidated Sites and BBLs'!B620,INDIRECT(D620&amp;"!B:B"),0),1)=0,A619,INDEX(INDIRECT(D620&amp;"!A:G"),MATCH('Consolidated Sites and BBLs'!B620,INDIRECT(D620&amp;"!B:B"),0),1))</f>
        <v>Q</v>
      </c>
      <c r="B620" s="2578" t="s">
        <v>170</v>
      </c>
      <c r="C620" t="s">
        <v>93</v>
      </c>
      <c r="D620" t="s">
        <v>137</v>
      </c>
    </row>
    <row r="621" spans="1:4">
      <c r="A621" s="655" t="str">
        <f ca="1">IF(INDEX(INDIRECT(D621&amp;"!A:G"),MATCH('Consolidated Sites and BBLs'!B621,INDIRECT(D621&amp;"!B:B"),0),1)=0,A620,INDEX(INDIRECT(D621&amp;"!A:G"),MATCH('Consolidated Sites and BBLs'!B621,INDIRECT(D621&amp;"!B:B"),0),1))</f>
        <v>R</v>
      </c>
      <c r="B621" s="2578" t="s">
        <v>171</v>
      </c>
      <c r="C621" t="s">
        <v>93</v>
      </c>
      <c r="D621" t="s">
        <v>137</v>
      </c>
    </row>
    <row r="622" spans="1:4">
      <c r="A622" s="655" t="str">
        <f ca="1">IF(INDEX(INDIRECT(D622&amp;"!A:G"),MATCH('Consolidated Sites and BBLs'!B622,INDIRECT(D622&amp;"!B:B"),0),1)=0,A621,INDEX(INDIRECT(D622&amp;"!A:G"),MATCH('Consolidated Sites and BBLs'!B622,INDIRECT(D622&amp;"!B:B"),0),1))</f>
        <v>T</v>
      </c>
      <c r="B622" s="2578" t="s">
        <v>172</v>
      </c>
      <c r="C622" t="s">
        <v>93</v>
      </c>
      <c r="D622" t="s">
        <v>137</v>
      </c>
    </row>
    <row r="623" spans="1:4">
      <c r="A623" s="655" t="str">
        <f ca="1">IF(INDEX(INDIRECT(D623&amp;"!A:G"),MATCH('Consolidated Sites and BBLs'!B623,INDIRECT(D623&amp;"!B:B"),0),1)=0,A622,INDEX(INDIRECT(D623&amp;"!A:G"),MATCH('Consolidated Sites and BBLs'!B623,INDIRECT(D623&amp;"!B:B"),0),1))</f>
        <v>U</v>
      </c>
      <c r="B623" s="2578" t="s">
        <v>173</v>
      </c>
      <c r="C623" t="s">
        <v>93</v>
      </c>
      <c r="D623" t="s">
        <v>137</v>
      </c>
    </row>
    <row r="624" spans="1:4">
      <c r="A624" s="655" t="str">
        <f ca="1">IF(INDEX(INDIRECT(D624&amp;"!A:G"),MATCH('Consolidated Sites and BBLs'!B624,INDIRECT(D624&amp;"!B:B"),0),1)=0,A623,INDEX(INDIRECT(D624&amp;"!A:G"),MATCH('Consolidated Sites and BBLs'!B624,INDIRECT(D624&amp;"!B:B"),0),1))</f>
        <v>V</v>
      </c>
      <c r="B624" s="2578" t="s">
        <v>174</v>
      </c>
      <c r="C624" t="s">
        <v>93</v>
      </c>
      <c r="D624" t="s">
        <v>137</v>
      </c>
    </row>
    <row r="625" spans="1:4">
      <c r="A625" s="655">
        <f ca="1">IF(INDEX(INDIRECT("'"&amp;D625&amp;"'!A:D"),MATCH(B625,INDIRECT("'"&amp;D625&amp;"'!B:B"),0),1)=0,A624,INDEX(INDIRECT("'"&amp;D625&amp;"'!A:D"),MATCH(B625,INDIRECT("'"&amp;D625&amp;"'!B:B"),0),1))</f>
        <v>1</v>
      </c>
      <c r="B625" s="2578" t="s">
        <v>175</v>
      </c>
      <c r="C625" t="s">
        <v>176</v>
      </c>
      <c r="D625" t="s">
        <v>177</v>
      </c>
    </row>
    <row r="626" spans="1:4">
      <c r="A626" s="655">
        <f t="shared" ref="A626:A689" ca="1" si="0">IF(INDEX(INDIRECT("'"&amp;D626&amp;"'!A:D"),MATCH(B626,INDIRECT("'"&amp;D626&amp;"'!B:B"),0),1)=0,A625,INDEX(INDIRECT("'"&amp;D626&amp;"'!A:D"),MATCH(B626,INDIRECT("'"&amp;D626&amp;"'!B:B"),0),1))</f>
        <v>1</v>
      </c>
      <c r="B626" s="2578" t="s">
        <v>178</v>
      </c>
      <c r="C626" t="s">
        <v>176</v>
      </c>
      <c r="D626" t="s">
        <v>177</v>
      </c>
    </row>
    <row r="627" spans="1:4">
      <c r="A627" s="655">
        <f t="shared" ca="1" si="0"/>
        <v>2</v>
      </c>
      <c r="B627" s="2578" t="s">
        <v>179</v>
      </c>
      <c r="C627" t="s">
        <v>176</v>
      </c>
      <c r="D627" t="s">
        <v>177</v>
      </c>
    </row>
    <row r="628" spans="1:4">
      <c r="A628" s="655">
        <f t="shared" ca="1" si="0"/>
        <v>2</v>
      </c>
      <c r="B628" s="2578" t="s">
        <v>180</v>
      </c>
      <c r="C628" t="s">
        <v>176</v>
      </c>
      <c r="D628" t="s">
        <v>177</v>
      </c>
    </row>
    <row r="629" spans="1:4">
      <c r="A629" s="655">
        <f t="shared" ca="1" si="0"/>
        <v>3</v>
      </c>
      <c r="B629" s="2578" t="s">
        <v>181</v>
      </c>
      <c r="C629" t="s">
        <v>176</v>
      </c>
      <c r="D629" t="s">
        <v>177</v>
      </c>
    </row>
    <row r="630" spans="1:4">
      <c r="A630" s="655">
        <f t="shared" ca="1" si="0"/>
        <v>3</v>
      </c>
      <c r="B630" s="2578" t="s">
        <v>182</v>
      </c>
      <c r="C630" t="s">
        <v>176</v>
      </c>
      <c r="D630" t="s">
        <v>177</v>
      </c>
    </row>
    <row r="631" spans="1:4">
      <c r="A631" s="655">
        <f t="shared" ca="1" si="0"/>
        <v>3</v>
      </c>
      <c r="B631" s="2578" t="s">
        <v>183</v>
      </c>
      <c r="C631" t="s">
        <v>176</v>
      </c>
      <c r="D631" t="s">
        <v>177</v>
      </c>
    </row>
    <row r="632" spans="1:4">
      <c r="A632" s="655">
        <f t="shared" ca="1" si="0"/>
        <v>4</v>
      </c>
      <c r="B632" s="2578" t="s">
        <v>184</v>
      </c>
      <c r="C632" t="s">
        <v>176</v>
      </c>
      <c r="D632" t="s">
        <v>177</v>
      </c>
    </row>
    <row r="633" spans="1:4">
      <c r="A633" s="655">
        <f t="shared" ca="1" si="0"/>
        <v>5</v>
      </c>
      <c r="B633" s="2578" t="s">
        <v>185</v>
      </c>
      <c r="C633" t="s">
        <v>176</v>
      </c>
      <c r="D633" t="s">
        <v>177</v>
      </c>
    </row>
    <row r="634" spans="1:4">
      <c r="A634" s="655">
        <f t="shared" ca="1" si="0"/>
        <v>5</v>
      </c>
      <c r="B634" s="2578" t="s">
        <v>186</v>
      </c>
      <c r="C634" t="s">
        <v>176</v>
      </c>
      <c r="D634" t="s">
        <v>177</v>
      </c>
    </row>
    <row r="635" spans="1:4">
      <c r="A635" s="655">
        <f t="shared" ca="1" si="0"/>
        <v>6</v>
      </c>
      <c r="B635" s="2578" t="s">
        <v>187</v>
      </c>
      <c r="C635" t="s">
        <v>176</v>
      </c>
      <c r="D635" t="s">
        <v>177</v>
      </c>
    </row>
    <row r="636" spans="1:4">
      <c r="A636" s="655">
        <f t="shared" ca="1" si="0"/>
        <v>6</v>
      </c>
      <c r="B636" s="2578" t="s">
        <v>188</v>
      </c>
      <c r="C636" t="s">
        <v>176</v>
      </c>
      <c r="D636" t="s">
        <v>177</v>
      </c>
    </row>
    <row r="637" spans="1:4">
      <c r="A637" s="655">
        <f t="shared" ca="1" si="0"/>
        <v>6</v>
      </c>
      <c r="B637" s="2578" t="s">
        <v>189</v>
      </c>
      <c r="C637" t="s">
        <v>176</v>
      </c>
      <c r="D637" t="s">
        <v>177</v>
      </c>
    </row>
    <row r="638" spans="1:4">
      <c r="A638" s="655">
        <f t="shared" ca="1" si="0"/>
        <v>7</v>
      </c>
      <c r="B638" s="2578" t="s">
        <v>190</v>
      </c>
      <c r="C638" t="s">
        <v>176</v>
      </c>
      <c r="D638" t="s">
        <v>177</v>
      </c>
    </row>
    <row r="639" spans="1:4">
      <c r="A639" s="655">
        <f t="shared" ca="1" si="0"/>
        <v>7</v>
      </c>
      <c r="B639" s="2578" t="s">
        <v>191</v>
      </c>
      <c r="C639" t="s">
        <v>176</v>
      </c>
      <c r="D639" t="s">
        <v>177</v>
      </c>
    </row>
    <row r="640" spans="1:4">
      <c r="A640" s="655">
        <f t="shared" ca="1" si="0"/>
        <v>8</v>
      </c>
      <c r="B640" s="2578" t="s">
        <v>192</v>
      </c>
      <c r="C640" t="s">
        <v>176</v>
      </c>
      <c r="D640" t="s">
        <v>177</v>
      </c>
    </row>
    <row r="641" spans="1:4">
      <c r="A641" s="655">
        <f t="shared" ca="1" si="0"/>
        <v>8</v>
      </c>
      <c r="B641" s="2578" t="s">
        <v>193</v>
      </c>
      <c r="C641" t="s">
        <v>176</v>
      </c>
      <c r="D641" t="s">
        <v>177</v>
      </c>
    </row>
    <row r="642" spans="1:4">
      <c r="A642" s="655">
        <f t="shared" ca="1" si="0"/>
        <v>8</v>
      </c>
      <c r="B642" s="2578" t="s">
        <v>194</v>
      </c>
      <c r="C642" t="s">
        <v>176</v>
      </c>
      <c r="D642" t="s">
        <v>177</v>
      </c>
    </row>
    <row r="643" spans="1:4">
      <c r="A643" s="655">
        <f t="shared" ca="1" si="0"/>
        <v>9</v>
      </c>
      <c r="B643" s="2578" t="s">
        <v>195</v>
      </c>
      <c r="C643" t="s">
        <v>176</v>
      </c>
      <c r="D643" t="s">
        <v>177</v>
      </c>
    </row>
    <row r="644" spans="1:4">
      <c r="A644" s="655">
        <f t="shared" ca="1" si="0"/>
        <v>9</v>
      </c>
      <c r="B644" s="2578" t="s">
        <v>196</v>
      </c>
      <c r="C644" t="s">
        <v>176</v>
      </c>
      <c r="D644" t="s">
        <v>177</v>
      </c>
    </row>
    <row r="645" spans="1:4">
      <c r="A645" s="655">
        <f t="shared" ca="1" si="0"/>
        <v>9</v>
      </c>
      <c r="B645" s="2578" t="s">
        <v>197</v>
      </c>
      <c r="C645" t="s">
        <v>176</v>
      </c>
      <c r="D645" t="s">
        <v>177</v>
      </c>
    </row>
    <row r="646" spans="1:4">
      <c r="A646" s="655">
        <f t="shared" ca="1" si="0"/>
        <v>9</v>
      </c>
      <c r="B646" s="2578" t="s">
        <v>198</v>
      </c>
      <c r="C646" t="s">
        <v>176</v>
      </c>
      <c r="D646" t="s">
        <v>177</v>
      </c>
    </row>
    <row r="647" spans="1:4">
      <c r="A647" s="655">
        <f t="shared" ca="1" si="0"/>
        <v>9</v>
      </c>
      <c r="B647" s="2578" t="s">
        <v>199</v>
      </c>
      <c r="C647" t="s">
        <v>176</v>
      </c>
      <c r="D647" t="s">
        <v>177</v>
      </c>
    </row>
    <row r="648" spans="1:4">
      <c r="A648" s="655">
        <f t="shared" ca="1" si="0"/>
        <v>10</v>
      </c>
      <c r="B648" s="2578" t="s">
        <v>200</v>
      </c>
      <c r="C648" t="s">
        <v>176</v>
      </c>
      <c r="D648" t="s">
        <v>177</v>
      </c>
    </row>
    <row r="649" spans="1:4">
      <c r="A649" s="655">
        <f t="shared" ca="1" si="0"/>
        <v>10</v>
      </c>
      <c r="B649" s="2578" t="s">
        <v>201</v>
      </c>
      <c r="C649" t="s">
        <v>176</v>
      </c>
      <c r="D649" t="s">
        <v>177</v>
      </c>
    </row>
    <row r="650" spans="1:4">
      <c r="A650" s="655">
        <f t="shared" ca="1" si="0"/>
        <v>10</v>
      </c>
      <c r="B650" s="2578" t="s">
        <v>202</v>
      </c>
      <c r="C650" t="s">
        <v>176</v>
      </c>
      <c r="D650" t="s">
        <v>177</v>
      </c>
    </row>
    <row r="651" spans="1:4">
      <c r="A651" s="655">
        <f t="shared" ca="1" si="0"/>
        <v>11</v>
      </c>
      <c r="B651" s="2578" t="s">
        <v>203</v>
      </c>
      <c r="C651" t="s">
        <v>176</v>
      </c>
      <c r="D651" t="s">
        <v>177</v>
      </c>
    </row>
    <row r="652" spans="1:4">
      <c r="A652" s="655">
        <f t="shared" ca="1" si="0"/>
        <v>11</v>
      </c>
      <c r="B652" s="2578" t="s">
        <v>204</v>
      </c>
      <c r="C652" t="s">
        <v>176</v>
      </c>
      <c r="D652" t="s">
        <v>177</v>
      </c>
    </row>
    <row r="653" spans="1:4">
      <c r="A653" s="655">
        <f t="shared" ca="1" si="0"/>
        <v>11</v>
      </c>
      <c r="B653" s="2578" t="s">
        <v>205</v>
      </c>
      <c r="C653" t="s">
        <v>176</v>
      </c>
      <c r="D653" t="s">
        <v>177</v>
      </c>
    </row>
    <row r="654" spans="1:4">
      <c r="A654" s="655">
        <f t="shared" ca="1" si="0"/>
        <v>12</v>
      </c>
      <c r="B654" s="2578" t="s">
        <v>206</v>
      </c>
      <c r="C654" t="s">
        <v>176</v>
      </c>
      <c r="D654" t="s">
        <v>177</v>
      </c>
    </row>
    <row r="655" spans="1:4">
      <c r="A655" s="655">
        <f t="shared" ca="1" si="0"/>
        <v>12</v>
      </c>
      <c r="B655" s="2578" t="s">
        <v>207</v>
      </c>
      <c r="C655" t="s">
        <v>176</v>
      </c>
      <c r="D655" t="s">
        <v>177</v>
      </c>
    </row>
    <row r="656" spans="1:4">
      <c r="A656" s="655">
        <f t="shared" ca="1" si="0"/>
        <v>13</v>
      </c>
      <c r="B656" s="2578" t="s">
        <v>208</v>
      </c>
      <c r="C656" t="s">
        <v>176</v>
      </c>
      <c r="D656" t="s">
        <v>177</v>
      </c>
    </row>
    <row r="657" spans="1:4">
      <c r="A657" s="655">
        <f t="shared" ca="1" si="0"/>
        <v>14</v>
      </c>
      <c r="B657" s="2578" t="s">
        <v>209</v>
      </c>
      <c r="C657" t="s">
        <v>176</v>
      </c>
      <c r="D657" t="s">
        <v>177</v>
      </c>
    </row>
    <row r="658" spans="1:4">
      <c r="A658" s="655">
        <f t="shared" ca="1" si="0"/>
        <v>14</v>
      </c>
      <c r="B658" s="2578" t="s">
        <v>210</v>
      </c>
      <c r="C658" t="s">
        <v>176</v>
      </c>
      <c r="D658" t="s">
        <v>177</v>
      </c>
    </row>
    <row r="659" spans="1:4">
      <c r="A659" s="655">
        <f t="shared" ca="1" si="0"/>
        <v>15</v>
      </c>
      <c r="B659" s="2578" t="s">
        <v>211</v>
      </c>
      <c r="C659" t="s">
        <v>176</v>
      </c>
      <c r="D659" t="s">
        <v>177</v>
      </c>
    </row>
    <row r="660" spans="1:4">
      <c r="A660" s="655">
        <f t="shared" ca="1" si="0"/>
        <v>16</v>
      </c>
      <c r="B660" s="2578" t="s">
        <v>212</v>
      </c>
      <c r="C660" t="s">
        <v>176</v>
      </c>
      <c r="D660" t="s">
        <v>177</v>
      </c>
    </row>
    <row r="661" spans="1:4">
      <c r="A661" s="655">
        <f t="shared" ca="1" si="0"/>
        <v>16</v>
      </c>
      <c r="B661" s="2578" t="s">
        <v>213</v>
      </c>
      <c r="C661" t="s">
        <v>176</v>
      </c>
      <c r="D661" t="s">
        <v>177</v>
      </c>
    </row>
    <row r="662" spans="1:4">
      <c r="A662" s="655">
        <f t="shared" ca="1" si="0"/>
        <v>17</v>
      </c>
      <c r="B662" s="2578">
        <v>0</v>
      </c>
      <c r="C662" t="s">
        <v>176</v>
      </c>
      <c r="D662" t="s">
        <v>177</v>
      </c>
    </row>
    <row r="663" spans="1:4">
      <c r="A663" s="655">
        <f t="shared" ca="1" si="0"/>
        <v>17</v>
      </c>
      <c r="B663" s="2578">
        <v>0</v>
      </c>
      <c r="C663" t="s">
        <v>176</v>
      </c>
      <c r="D663" t="s">
        <v>177</v>
      </c>
    </row>
    <row r="664" spans="1:4">
      <c r="A664" s="655">
        <f t="shared" ca="1" si="0"/>
        <v>17</v>
      </c>
      <c r="B664" s="2578">
        <v>0</v>
      </c>
      <c r="C664" t="s">
        <v>176</v>
      </c>
      <c r="D664" t="s">
        <v>177</v>
      </c>
    </row>
    <row r="665" spans="1:4">
      <c r="A665" s="655">
        <f t="shared" ca="1" si="0"/>
        <v>17</v>
      </c>
      <c r="B665" s="2578">
        <v>0</v>
      </c>
      <c r="C665" t="s">
        <v>176</v>
      </c>
      <c r="D665" t="s">
        <v>177</v>
      </c>
    </row>
    <row r="666" spans="1:4">
      <c r="A666" s="655">
        <f t="shared" ca="1" si="0"/>
        <v>17</v>
      </c>
      <c r="B666" s="2578">
        <v>0</v>
      </c>
      <c r="C666" t="s">
        <v>176</v>
      </c>
      <c r="D666" t="s">
        <v>177</v>
      </c>
    </row>
    <row r="667" spans="1:4">
      <c r="A667" s="655">
        <f t="shared" ca="1" si="0"/>
        <v>17</v>
      </c>
      <c r="B667" s="2578">
        <v>0</v>
      </c>
      <c r="C667" t="s">
        <v>176</v>
      </c>
      <c r="D667" t="s">
        <v>177</v>
      </c>
    </row>
    <row r="668" spans="1:4">
      <c r="A668" s="655">
        <f t="shared" ca="1" si="0"/>
        <v>17</v>
      </c>
      <c r="B668" s="2578">
        <v>0</v>
      </c>
      <c r="C668" t="s">
        <v>176</v>
      </c>
      <c r="D668" t="s">
        <v>177</v>
      </c>
    </row>
    <row r="669" spans="1:4">
      <c r="A669" s="655">
        <f t="shared" ca="1" si="0"/>
        <v>19</v>
      </c>
      <c r="B669" s="2578" t="s">
        <v>214</v>
      </c>
      <c r="C669" t="s">
        <v>176</v>
      </c>
      <c r="D669" t="s">
        <v>177</v>
      </c>
    </row>
    <row r="670" spans="1:4">
      <c r="A670" s="655">
        <f t="shared" ca="1" si="0"/>
        <v>19</v>
      </c>
      <c r="B670" s="2578" t="s">
        <v>215</v>
      </c>
      <c r="C670" t="s">
        <v>176</v>
      </c>
      <c r="D670" t="s">
        <v>177</v>
      </c>
    </row>
    <row r="671" spans="1:4">
      <c r="A671" s="655">
        <f t="shared" ca="1" si="0"/>
        <v>19</v>
      </c>
      <c r="B671" s="2578" t="s">
        <v>216</v>
      </c>
      <c r="C671" t="s">
        <v>176</v>
      </c>
      <c r="D671" t="s">
        <v>177</v>
      </c>
    </row>
    <row r="672" spans="1:4">
      <c r="A672" s="655">
        <f t="shared" ca="1" si="0"/>
        <v>19</v>
      </c>
      <c r="B672" s="2578" t="s">
        <v>217</v>
      </c>
      <c r="C672" t="s">
        <v>176</v>
      </c>
      <c r="D672" t="s">
        <v>177</v>
      </c>
    </row>
    <row r="673" spans="1:4">
      <c r="A673" s="655">
        <f t="shared" ca="1" si="0"/>
        <v>20</v>
      </c>
      <c r="B673" s="2578" t="s">
        <v>218</v>
      </c>
      <c r="C673" t="s">
        <v>176</v>
      </c>
      <c r="D673" t="s">
        <v>177</v>
      </c>
    </row>
    <row r="674" spans="1:4">
      <c r="A674" s="655">
        <f t="shared" ca="1" si="0"/>
        <v>21</v>
      </c>
      <c r="B674" s="2578" t="s">
        <v>219</v>
      </c>
      <c r="C674" t="s">
        <v>176</v>
      </c>
      <c r="D674" t="s">
        <v>177</v>
      </c>
    </row>
    <row r="675" spans="1:4">
      <c r="A675" s="655">
        <f t="shared" ca="1" si="0"/>
        <v>21</v>
      </c>
      <c r="B675" s="2578" t="s">
        <v>220</v>
      </c>
      <c r="C675" t="s">
        <v>176</v>
      </c>
      <c r="D675" t="s">
        <v>177</v>
      </c>
    </row>
    <row r="676" spans="1:4">
      <c r="A676" s="655">
        <f t="shared" ca="1" si="0"/>
        <v>22</v>
      </c>
      <c r="B676" s="2578" t="s">
        <v>221</v>
      </c>
      <c r="C676" t="s">
        <v>176</v>
      </c>
      <c r="D676" t="s">
        <v>177</v>
      </c>
    </row>
    <row r="677" spans="1:4">
      <c r="A677" s="655">
        <f t="shared" ca="1" si="0"/>
        <v>22</v>
      </c>
      <c r="B677" s="2578" t="s">
        <v>222</v>
      </c>
      <c r="C677" t="s">
        <v>176</v>
      </c>
      <c r="D677" t="s">
        <v>177</v>
      </c>
    </row>
    <row r="678" spans="1:4">
      <c r="A678" s="655">
        <f t="shared" ca="1" si="0"/>
        <v>22</v>
      </c>
      <c r="B678" s="2578" t="s">
        <v>223</v>
      </c>
      <c r="C678" t="s">
        <v>176</v>
      </c>
      <c r="D678" t="s">
        <v>177</v>
      </c>
    </row>
    <row r="679" spans="1:4">
      <c r="A679" s="655">
        <f t="shared" ca="1" si="0"/>
        <v>22</v>
      </c>
      <c r="B679" s="2578" t="s">
        <v>224</v>
      </c>
      <c r="C679" t="s">
        <v>176</v>
      </c>
      <c r="D679" t="s">
        <v>177</v>
      </c>
    </row>
    <row r="680" spans="1:4">
      <c r="A680" s="655">
        <f t="shared" ca="1" si="0"/>
        <v>23</v>
      </c>
      <c r="B680" s="2578" t="s">
        <v>225</v>
      </c>
      <c r="C680" t="s">
        <v>176</v>
      </c>
      <c r="D680" t="s">
        <v>177</v>
      </c>
    </row>
    <row r="681" spans="1:4">
      <c r="A681" s="655">
        <f t="shared" ca="1" si="0"/>
        <v>23</v>
      </c>
      <c r="B681" s="2578" t="s">
        <v>226</v>
      </c>
      <c r="C681" t="s">
        <v>176</v>
      </c>
      <c r="D681" t="s">
        <v>177</v>
      </c>
    </row>
    <row r="682" spans="1:4">
      <c r="A682" s="655">
        <f t="shared" ca="1" si="0"/>
        <v>23</v>
      </c>
      <c r="B682" s="2578" t="s">
        <v>227</v>
      </c>
      <c r="C682" t="s">
        <v>176</v>
      </c>
      <c r="D682" t="s">
        <v>177</v>
      </c>
    </row>
    <row r="683" spans="1:4">
      <c r="A683" s="655">
        <f t="shared" ca="1" si="0"/>
        <v>24</v>
      </c>
      <c r="B683" s="2578" t="s">
        <v>228</v>
      </c>
      <c r="C683" t="s">
        <v>176</v>
      </c>
      <c r="D683" t="s">
        <v>177</v>
      </c>
    </row>
    <row r="684" spans="1:4">
      <c r="A684" s="655">
        <f t="shared" ca="1" si="0"/>
        <v>24</v>
      </c>
      <c r="B684" s="2578" t="s">
        <v>229</v>
      </c>
      <c r="C684" t="s">
        <v>176</v>
      </c>
      <c r="D684" t="s">
        <v>177</v>
      </c>
    </row>
    <row r="685" spans="1:4">
      <c r="A685" s="655">
        <f t="shared" ca="1" si="0"/>
        <v>24</v>
      </c>
      <c r="B685" s="2578" t="s">
        <v>230</v>
      </c>
      <c r="C685" t="s">
        <v>176</v>
      </c>
      <c r="D685" t="s">
        <v>177</v>
      </c>
    </row>
    <row r="686" spans="1:4">
      <c r="A686" s="655">
        <f t="shared" ca="1" si="0"/>
        <v>25</v>
      </c>
      <c r="B686" s="2578" t="s">
        <v>231</v>
      </c>
      <c r="C686" t="s">
        <v>176</v>
      </c>
      <c r="D686" t="s">
        <v>177</v>
      </c>
    </row>
    <row r="687" spans="1:4">
      <c r="A687" s="655">
        <f t="shared" ca="1" si="0"/>
        <v>26</v>
      </c>
      <c r="B687" s="2578" t="s">
        <v>232</v>
      </c>
      <c r="C687" t="s">
        <v>176</v>
      </c>
      <c r="D687" t="s">
        <v>177</v>
      </c>
    </row>
    <row r="688" spans="1:4">
      <c r="A688" s="655">
        <f t="shared" ca="1" si="0"/>
        <v>26</v>
      </c>
      <c r="B688" s="2578" t="s">
        <v>233</v>
      </c>
      <c r="C688" t="s">
        <v>176</v>
      </c>
      <c r="D688" t="s">
        <v>177</v>
      </c>
    </row>
    <row r="689" spans="1:4">
      <c r="A689" s="655">
        <f t="shared" ca="1" si="0"/>
        <v>27</v>
      </c>
      <c r="B689" s="2578" t="s">
        <v>234</v>
      </c>
      <c r="C689" t="s">
        <v>176</v>
      </c>
      <c r="D689" t="s">
        <v>177</v>
      </c>
    </row>
    <row r="690" spans="1:4">
      <c r="A690" s="655">
        <f t="shared" ref="A690:A753" ca="1" si="1">IF(INDEX(INDIRECT("'"&amp;D690&amp;"'!A:D"),MATCH(B690,INDIRECT("'"&amp;D690&amp;"'!B:B"),0),1)=0,A689,INDEX(INDIRECT("'"&amp;D690&amp;"'!A:D"),MATCH(B690,INDIRECT("'"&amp;D690&amp;"'!B:B"),0),1))</f>
        <v>27</v>
      </c>
      <c r="B690" s="2578" t="s">
        <v>235</v>
      </c>
      <c r="C690" t="s">
        <v>176</v>
      </c>
      <c r="D690" t="s">
        <v>177</v>
      </c>
    </row>
    <row r="691" spans="1:4">
      <c r="A691" s="655">
        <f t="shared" ca="1" si="1"/>
        <v>27</v>
      </c>
      <c r="B691" s="2578" t="s">
        <v>236</v>
      </c>
      <c r="C691" t="s">
        <v>176</v>
      </c>
      <c r="D691" t="s">
        <v>177</v>
      </c>
    </row>
    <row r="692" spans="1:4">
      <c r="A692" s="655">
        <f t="shared" ca="1" si="1"/>
        <v>27</v>
      </c>
      <c r="B692" s="2578" t="s">
        <v>237</v>
      </c>
      <c r="C692" t="s">
        <v>176</v>
      </c>
      <c r="D692" t="s">
        <v>177</v>
      </c>
    </row>
    <row r="693" spans="1:4">
      <c r="A693" s="655">
        <f t="shared" ca="1" si="1"/>
        <v>27</v>
      </c>
      <c r="B693" s="2578" t="s">
        <v>238</v>
      </c>
      <c r="C693" t="s">
        <v>176</v>
      </c>
      <c r="D693" t="s">
        <v>177</v>
      </c>
    </row>
    <row r="694" spans="1:4">
      <c r="A694" s="655">
        <f t="shared" ca="1" si="1"/>
        <v>27</v>
      </c>
      <c r="B694" s="2578" t="s">
        <v>239</v>
      </c>
      <c r="C694" t="s">
        <v>176</v>
      </c>
      <c r="D694" t="s">
        <v>177</v>
      </c>
    </row>
    <row r="695" spans="1:4">
      <c r="A695" s="655">
        <f t="shared" ca="1" si="1"/>
        <v>27</v>
      </c>
      <c r="B695" s="2578" t="s">
        <v>240</v>
      </c>
      <c r="C695" t="s">
        <v>176</v>
      </c>
      <c r="D695" t="s">
        <v>177</v>
      </c>
    </row>
    <row r="696" spans="1:4">
      <c r="A696" s="655">
        <f t="shared" ca="1" si="1"/>
        <v>28</v>
      </c>
      <c r="B696" s="2578" t="s">
        <v>241</v>
      </c>
      <c r="C696" t="s">
        <v>176</v>
      </c>
      <c r="D696" t="s">
        <v>177</v>
      </c>
    </row>
    <row r="697" spans="1:4">
      <c r="A697" s="655">
        <f t="shared" ca="1" si="1"/>
        <v>28</v>
      </c>
      <c r="B697" s="2578" t="s">
        <v>242</v>
      </c>
      <c r="C697" t="s">
        <v>176</v>
      </c>
      <c r="D697" t="s">
        <v>177</v>
      </c>
    </row>
    <row r="698" spans="1:4">
      <c r="A698" s="655">
        <f t="shared" ca="1" si="1"/>
        <v>29</v>
      </c>
      <c r="B698" s="2578" t="s">
        <v>243</v>
      </c>
      <c r="C698" t="s">
        <v>176</v>
      </c>
      <c r="D698" t="s">
        <v>177</v>
      </c>
    </row>
    <row r="699" spans="1:4">
      <c r="A699" s="655">
        <f t="shared" ca="1" si="1"/>
        <v>30</v>
      </c>
      <c r="B699" s="2578" t="s">
        <v>244</v>
      </c>
      <c r="C699" t="s">
        <v>176</v>
      </c>
      <c r="D699" t="s">
        <v>177</v>
      </c>
    </row>
    <row r="700" spans="1:4">
      <c r="A700" s="655">
        <f t="shared" ca="1" si="1"/>
        <v>31</v>
      </c>
      <c r="B700" s="2578" t="s">
        <v>245</v>
      </c>
      <c r="C700" t="s">
        <v>176</v>
      </c>
      <c r="D700" t="s">
        <v>177</v>
      </c>
    </row>
    <row r="701" spans="1:4">
      <c r="A701" s="655">
        <f t="shared" ca="1" si="1"/>
        <v>31</v>
      </c>
      <c r="B701" s="2578" t="s">
        <v>246</v>
      </c>
      <c r="C701" t="s">
        <v>176</v>
      </c>
      <c r="D701" t="s">
        <v>177</v>
      </c>
    </row>
    <row r="702" spans="1:4">
      <c r="A702" s="655">
        <f t="shared" ca="1" si="1"/>
        <v>31</v>
      </c>
      <c r="B702" s="2578" t="s">
        <v>247</v>
      </c>
      <c r="C702" t="s">
        <v>176</v>
      </c>
      <c r="D702" t="s">
        <v>177</v>
      </c>
    </row>
    <row r="703" spans="1:4">
      <c r="A703" s="655">
        <f t="shared" ca="1" si="1"/>
        <v>31</v>
      </c>
      <c r="B703" s="2578" t="s">
        <v>248</v>
      </c>
      <c r="C703" t="s">
        <v>176</v>
      </c>
      <c r="D703" t="s">
        <v>177</v>
      </c>
    </row>
    <row r="704" spans="1:4">
      <c r="A704" s="655">
        <f t="shared" ca="1" si="1"/>
        <v>32</v>
      </c>
      <c r="B704" s="2578" t="s">
        <v>249</v>
      </c>
      <c r="C704" t="s">
        <v>176</v>
      </c>
      <c r="D704" t="s">
        <v>177</v>
      </c>
    </row>
    <row r="705" spans="1:4">
      <c r="A705" s="655">
        <f t="shared" ca="1" si="1"/>
        <v>32</v>
      </c>
      <c r="B705" s="2578" t="s">
        <v>250</v>
      </c>
      <c r="C705" t="s">
        <v>176</v>
      </c>
      <c r="D705" t="s">
        <v>177</v>
      </c>
    </row>
    <row r="706" spans="1:4">
      <c r="A706" s="655">
        <f t="shared" ca="1" si="1"/>
        <v>32</v>
      </c>
      <c r="B706" s="2578" t="s">
        <v>251</v>
      </c>
      <c r="C706" t="s">
        <v>176</v>
      </c>
      <c r="D706" t="s">
        <v>177</v>
      </c>
    </row>
    <row r="707" spans="1:4">
      <c r="A707" s="655">
        <f t="shared" ca="1" si="1"/>
        <v>33</v>
      </c>
      <c r="B707" s="2578" t="s">
        <v>252</v>
      </c>
      <c r="C707" t="s">
        <v>176</v>
      </c>
      <c r="D707" t="s">
        <v>177</v>
      </c>
    </row>
    <row r="708" spans="1:4">
      <c r="A708" s="655">
        <f t="shared" ca="1" si="1"/>
        <v>33</v>
      </c>
      <c r="B708" s="2578" t="s">
        <v>253</v>
      </c>
      <c r="C708" t="s">
        <v>176</v>
      </c>
      <c r="D708" t="s">
        <v>177</v>
      </c>
    </row>
    <row r="709" spans="1:4">
      <c r="A709" s="655">
        <f t="shared" ca="1" si="1"/>
        <v>33</v>
      </c>
      <c r="B709" s="2578" t="s">
        <v>254</v>
      </c>
      <c r="C709" t="s">
        <v>176</v>
      </c>
      <c r="D709" t="s">
        <v>177</v>
      </c>
    </row>
    <row r="710" spans="1:4">
      <c r="A710" s="655">
        <f t="shared" ca="1" si="1"/>
        <v>34</v>
      </c>
      <c r="B710" s="2578" t="s">
        <v>255</v>
      </c>
      <c r="C710" t="s">
        <v>176</v>
      </c>
      <c r="D710" t="s">
        <v>177</v>
      </c>
    </row>
    <row r="711" spans="1:4">
      <c r="A711" s="655">
        <f t="shared" ca="1" si="1"/>
        <v>34</v>
      </c>
      <c r="B711" s="2578" t="s">
        <v>256</v>
      </c>
      <c r="C711" t="s">
        <v>176</v>
      </c>
      <c r="D711" t="s">
        <v>177</v>
      </c>
    </row>
    <row r="712" spans="1:4">
      <c r="A712" s="655">
        <f t="shared" ca="1" si="1"/>
        <v>34</v>
      </c>
      <c r="B712" s="2578" t="s">
        <v>257</v>
      </c>
      <c r="C712" t="s">
        <v>176</v>
      </c>
      <c r="D712" t="s">
        <v>177</v>
      </c>
    </row>
    <row r="713" spans="1:4">
      <c r="A713" s="655">
        <f t="shared" ca="1" si="1"/>
        <v>35</v>
      </c>
      <c r="B713" s="2578" t="s">
        <v>258</v>
      </c>
      <c r="C713" t="s">
        <v>176</v>
      </c>
      <c r="D713" t="s">
        <v>177</v>
      </c>
    </row>
    <row r="714" spans="1:4">
      <c r="A714" s="655">
        <f t="shared" ca="1" si="1"/>
        <v>35</v>
      </c>
      <c r="B714" s="2578" t="s">
        <v>259</v>
      </c>
      <c r="C714" t="s">
        <v>176</v>
      </c>
      <c r="D714" t="s">
        <v>177</v>
      </c>
    </row>
    <row r="715" spans="1:4">
      <c r="A715" s="655">
        <f t="shared" ca="1" si="1"/>
        <v>35</v>
      </c>
      <c r="B715" s="2578" t="s">
        <v>260</v>
      </c>
      <c r="C715" t="s">
        <v>176</v>
      </c>
      <c r="D715" t="s">
        <v>177</v>
      </c>
    </row>
    <row r="716" spans="1:4">
      <c r="A716" s="655">
        <f t="shared" ca="1" si="1"/>
        <v>36</v>
      </c>
      <c r="B716" s="2578" t="s">
        <v>261</v>
      </c>
      <c r="C716" t="s">
        <v>176</v>
      </c>
      <c r="D716" t="s">
        <v>177</v>
      </c>
    </row>
    <row r="717" spans="1:4">
      <c r="A717" s="655">
        <f t="shared" ca="1" si="1"/>
        <v>36</v>
      </c>
      <c r="B717" s="2578" t="s">
        <v>262</v>
      </c>
      <c r="C717" t="s">
        <v>176</v>
      </c>
      <c r="D717" t="s">
        <v>177</v>
      </c>
    </row>
    <row r="718" spans="1:4">
      <c r="A718" s="655">
        <f t="shared" ca="1" si="1"/>
        <v>37</v>
      </c>
      <c r="B718" s="2578" t="s">
        <v>263</v>
      </c>
      <c r="C718" t="s">
        <v>176</v>
      </c>
      <c r="D718" t="s">
        <v>177</v>
      </c>
    </row>
    <row r="719" spans="1:4">
      <c r="A719" s="655">
        <f t="shared" ca="1" si="1"/>
        <v>37</v>
      </c>
      <c r="B719" s="2578" t="s">
        <v>264</v>
      </c>
      <c r="C719" t="s">
        <v>176</v>
      </c>
      <c r="D719" t="s">
        <v>177</v>
      </c>
    </row>
    <row r="720" spans="1:4">
      <c r="A720" s="655">
        <f t="shared" ca="1" si="1"/>
        <v>37</v>
      </c>
      <c r="B720" s="2578" t="s">
        <v>265</v>
      </c>
      <c r="C720" t="s">
        <v>176</v>
      </c>
      <c r="D720" t="s">
        <v>177</v>
      </c>
    </row>
    <row r="721" spans="1:4">
      <c r="A721" s="655">
        <f t="shared" ca="1" si="1"/>
        <v>38</v>
      </c>
      <c r="B721" s="2578" t="s">
        <v>266</v>
      </c>
      <c r="C721" t="s">
        <v>176</v>
      </c>
      <c r="D721" t="s">
        <v>177</v>
      </c>
    </row>
    <row r="722" spans="1:4">
      <c r="A722" s="655">
        <f t="shared" ca="1" si="1"/>
        <v>38</v>
      </c>
      <c r="B722" s="2578" t="s">
        <v>267</v>
      </c>
      <c r="C722" t="s">
        <v>176</v>
      </c>
      <c r="D722" t="s">
        <v>177</v>
      </c>
    </row>
    <row r="723" spans="1:4">
      <c r="A723" s="655">
        <f t="shared" ca="1" si="1"/>
        <v>38</v>
      </c>
      <c r="B723" s="2578" t="s">
        <v>268</v>
      </c>
      <c r="C723" t="s">
        <v>176</v>
      </c>
      <c r="D723" t="s">
        <v>177</v>
      </c>
    </row>
    <row r="724" spans="1:4">
      <c r="A724" s="655">
        <f t="shared" ca="1" si="1"/>
        <v>38</v>
      </c>
      <c r="B724" s="2578" t="s">
        <v>269</v>
      </c>
      <c r="C724" t="s">
        <v>176</v>
      </c>
      <c r="D724" t="s">
        <v>177</v>
      </c>
    </row>
    <row r="725" spans="1:4">
      <c r="A725" s="655">
        <f t="shared" ca="1" si="1"/>
        <v>39</v>
      </c>
      <c r="B725" s="2578" t="s">
        <v>270</v>
      </c>
      <c r="C725" t="s">
        <v>176</v>
      </c>
      <c r="D725" t="s">
        <v>177</v>
      </c>
    </row>
    <row r="726" spans="1:4">
      <c r="A726" s="655">
        <f t="shared" ca="1" si="1"/>
        <v>39</v>
      </c>
      <c r="B726" s="2578" t="s">
        <v>271</v>
      </c>
      <c r="C726" t="s">
        <v>176</v>
      </c>
      <c r="D726" t="s">
        <v>177</v>
      </c>
    </row>
    <row r="727" spans="1:4">
      <c r="A727" s="655">
        <f t="shared" ca="1" si="1"/>
        <v>39</v>
      </c>
      <c r="B727" s="2578" t="s">
        <v>272</v>
      </c>
      <c r="C727" t="s">
        <v>176</v>
      </c>
      <c r="D727" t="s">
        <v>177</v>
      </c>
    </row>
    <row r="728" spans="1:4">
      <c r="A728" s="655">
        <f t="shared" ca="1" si="1"/>
        <v>39</v>
      </c>
      <c r="B728" s="2578" t="s">
        <v>273</v>
      </c>
      <c r="C728" t="s">
        <v>176</v>
      </c>
      <c r="D728" t="s">
        <v>177</v>
      </c>
    </row>
    <row r="729" spans="1:4">
      <c r="A729" s="655">
        <f t="shared" ca="1" si="1"/>
        <v>39</v>
      </c>
      <c r="B729" s="2578" t="s">
        <v>274</v>
      </c>
      <c r="C729" t="s">
        <v>176</v>
      </c>
      <c r="D729" t="s">
        <v>177</v>
      </c>
    </row>
    <row r="730" spans="1:4">
      <c r="A730" s="655">
        <f t="shared" ca="1" si="1"/>
        <v>40</v>
      </c>
      <c r="B730" s="2578" t="s">
        <v>275</v>
      </c>
      <c r="C730" t="s">
        <v>176</v>
      </c>
      <c r="D730" t="s">
        <v>177</v>
      </c>
    </row>
    <row r="731" spans="1:4">
      <c r="A731" s="655">
        <f t="shared" ca="1" si="1"/>
        <v>17</v>
      </c>
      <c r="B731" s="2578">
        <v>0</v>
      </c>
      <c r="C731" t="s">
        <v>176</v>
      </c>
      <c r="D731" t="s">
        <v>177</v>
      </c>
    </row>
    <row r="732" spans="1:4">
      <c r="A732" s="655">
        <f t="shared" ca="1" si="1"/>
        <v>17</v>
      </c>
      <c r="B732" s="2578">
        <v>0</v>
      </c>
      <c r="C732" t="s">
        <v>176</v>
      </c>
      <c r="D732" t="s">
        <v>177</v>
      </c>
    </row>
    <row r="733" spans="1:4">
      <c r="A733" s="655">
        <f t="shared" ca="1" si="1"/>
        <v>41</v>
      </c>
      <c r="B733" s="2578" t="s">
        <v>276</v>
      </c>
      <c r="C733" t="s">
        <v>176</v>
      </c>
      <c r="D733" t="s">
        <v>177</v>
      </c>
    </row>
    <row r="734" spans="1:4">
      <c r="A734" s="655">
        <f t="shared" ca="1" si="1"/>
        <v>41</v>
      </c>
      <c r="B734" s="2578" t="s">
        <v>277</v>
      </c>
      <c r="C734" t="s">
        <v>176</v>
      </c>
      <c r="D734" t="s">
        <v>177</v>
      </c>
    </row>
    <row r="735" spans="1:4">
      <c r="A735" s="655">
        <f t="shared" ca="1" si="1"/>
        <v>41</v>
      </c>
      <c r="B735" s="2578" t="s">
        <v>278</v>
      </c>
      <c r="C735" t="s">
        <v>176</v>
      </c>
      <c r="D735" t="s">
        <v>177</v>
      </c>
    </row>
    <row r="736" spans="1:4">
      <c r="A736" s="655">
        <f t="shared" ca="1" si="1"/>
        <v>42</v>
      </c>
      <c r="B736" s="2578" t="s">
        <v>279</v>
      </c>
      <c r="C736" t="s">
        <v>176</v>
      </c>
      <c r="D736" t="s">
        <v>177</v>
      </c>
    </row>
    <row r="737" spans="1:4">
      <c r="A737" s="655">
        <f t="shared" ca="1" si="1"/>
        <v>42</v>
      </c>
      <c r="B737" s="2578" t="s">
        <v>280</v>
      </c>
      <c r="C737" t="s">
        <v>176</v>
      </c>
      <c r="D737" t="s">
        <v>177</v>
      </c>
    </row>
    <row r="738" spans="1:4">
      <c r="A738" s="655">
        <f t="shared" ca="1" si="1"/>
        <v>43</v>
      </c>
      <c r="B738" s="2578" t="s">
        <v>281</v>
      </c>
      <c r="C738" t="s">
        <v>176</v>
      </c>
      <c r="D738" t="s">
        <v>177</v>
      </c>
    </row>
    <row r="739" spans="1:4">
      <c r="A739" s="655">
        <f t="shared" ca="1" si="1"/>
        <v>43</v>
      </c>
      <c r="B739" s="2578" t="s">
        <v>282</v>
      </c>
      <c r="C739" t="s">
        <v>176</v>
      </c>
      <c r="D739" t="s">
        <v>177</v>
      </c>
    </row>
    <row r="740" spans="1:4">
      <c r="A740" s="655">
        <f t="shared" ca="1" si="1"/>
        <v>44</v>
      </c>
      <c r="B740" s="2578" t="s">
        <v>283</v>
      </c>
      <c r="C740" t="s">
        <v>176</v>
      </c>
      <c r="D740" t="s">
        <v>177</v>
      </c>
    </row>
    <row r="741" spans="1:4">
      <c r="A741" s="655">
        <f t="shared" ca="1" si="1"/>
        <v>44</v>
      </c>
      <c r="B741" s="2578" t="s">
        <v>284</v>
      </c>
      <c r="C741" t="s">
        <v>176</v>
      </c>
      <c r="D741" t="s">
        <v>177</v>
      </c>
    </row>
    <row r="742" spans="1:4">
      <c r="A742" s="655">
        <f t="shared" ca="1" si="1"/>
        <v>45</v>
      </c>
      <c r="B742" s="2578" t="s">
        <v>285</v>
      </c>
      <c r="C742" t="s">
        <v>176</v>
      </c>
      <c r="D742" t="s">
        <v>177</v>
      </c>
    </row>
    <row r="743" spans="1:4">
      <c r="A743" s="655">
        <f t="shared" ca="1" si="1"/>
        <v>45</v>
      </c>
      <c r="B743" s="2578" t="s">
        <v>286</v>
      </c>
      <c r="C743" t="s">
        <v>176</v>
      </c>
      <c r="D743" t="s">
        <v>177</v>
      </c>
    </row>
    <row r="744" spans="1:4">
      <c r="A744" s="655">
        <f t="shared" ca="1" si="1"/>
        <v>17</v>
      </c>
      <c r="B744" s="2578">
        <v>0</v>
      </c>
      <c r="C744" t="s">
        <v>176</v>
      </c>
      <c r="D744" t="s">
        <v>177</v>
      </c>
    </row>
    <row r="745" spans="1:4">
      <c r="A745" s="655">
        <f t="shared" ca="1" si="1"/>
        <v>17</v>
      </c>
      <c r="B745" s="2578">
        <v>0</v>
      </c>
      <c r="C745" t="s">
        <v>176</v>
      </c>
      <c r="D745" t="s">
        <v>177</v>
      </c>
    </row>
    <row r="746" spans="1:4">
      <c r="A746" s="655">
        <f t="shared" ca="1" si="1"/>
        <v>17</v>
      </c>
      <c r="B746" s="2578">
        <v>0</v>
      </c>
      <c r="C746" t="s">
        <v>176</v>
      </c>
      <c r="D746" t="s">
        <v>177</v>
      </c>
    </row>
    <row r="747" spans="1:4">
      <c r="A747" s="655">
        <f t="shared" ca="1" si="1"/>
        <v>17</v>
      </c>
      <c r="B747" s="2578">
        <v>0</v>
      </c>
      <c r="C747" t="s">
        <v>176</v>
      </c>
      <c r="D747" t="s">
        <v>177</v>
      </c>
    </row>
    <row r="748" spans="1:4">
      <c r="A748" s="655">
        <f t="shared" ca="1" si="1"/>
        <v>17</v>
      </c>
      <c r="B748" s="2578">
        <v>0</v>
      </c>
      <c r="C748" t="s">
        <v>176</v>
      </c>
      <c r="D748" t="s">
        <v>177</v>
      </c>
    </row>
    <row r="749" spans="1:4">
      <c r="A749" s="655">
        <f t="shared" ca="1" si="1"/>
        <v>17</v>
      </c>
      <c r="B749" s="2578">
        <v>0</v>
      </c>
      <c r="C749" t="s">
        <v>176</v>
      </c>
      <c r="D749" t="s">
        <v>177</v>
      </c>
    </row>
    <row r="750" spans="1:4">
      <c r="A750" s="655">
        <f t="shared" ca="1" si="1"/>
        <v>17</v>
      </c>
      <c r="B750" s="2578">
        <v>0</v>
      </c>
      <c r="C750" t="s">
        <v>176</v>
      </c>
      <c r="D750" t="s">
        <v>177</v>
      </c>
    </row>
    <row r="751" spans="1:4">
      <c r="A751" s="655">
        <f t="shared" ca="1" si="1"/>
        <v>17</v>
      </c>
      <c r="B751" s="2578">
        <v>0</v>
      </c>
      <c r="C751" t="s">
        <v>176</v>
      </c>
      <c r="D751" t="s">
        <v>177</v>
      </c>
    </row>
    <row r="752" spans="1:4">
      <c r="A752" s="655">
        <f t="shared" ca="1" si="1"/>
        <v>47</v>
      </c>
      <c r="B752" s="2578" t="s">
        <v>287</v>
      </c>
      <c r="C752" t="s">
        <v>176</v>
      </c>
      <c r="D752" t="s">
        <v>177</v>
      </c>
    </row>
    <row r="753" spans="1:4">
      <c r="A753" s="655">
        <f t="shared" ca="1" si="1"/>
        <v>47</v>
      </c>
      <c r="B753" s="2578" t="s">
        <v>288</v>
      </c>
      <c r="C753" t="s">
        <v>176</v>
      </c>
      <c r="D753" t="s">
        <v>177</v>
      </c>
    </row>
    <row r="754" spans="1:4">
      <c r="A754" s="655">
        <f t="shared" ref="A754:A817" ca="1" si="2">IF(INDEX(INDIRECT("'"&amp;D754&amp;"'!A:D"),MATCH(B754,INDIRECT("'"&amp;D754&amp;"'!B:B"),0),1)=0,A753,INDEX(INDIRECT("'"&amp;D754&amp;"'!A:D"),MATCH(B754,INDIRECT("'"&amp;D754&amp;"'!B:B"),0),1))</f>
        <v>47</v>
      </c>
      <c r="B754" s="2578" t="s">
        <v>289</v>
      </c>
      <c r="C754" t="s">
        <v>176</v>
      </c>
      <c r="D754" t="s">
        <v>177</v>
      </c>
    </row>
    <row r="755" spans="1:4">
      <c r="A755" s="655">
        <f t="shared" ca="1" si="2"/>
        <v>47</v>
      </c>
      <c r="B755" s="2578" t="s">
        <v>290</v>
      </c>
      <c r="C755" t="s">
        <v>176</v>
      </c>
      <c r="D755" t="s">
        <v>177</v>
      </c>
    </row>
    <row r="756" spans="1:4">
      <c r="A756" s="655">
        <f t="shared" ca="1" si="2"/>
        <v>47</v>
      </c>
      <c r="B756" s="2578" t="s">
        <v>291</v>
      </c>
      <c r="C756" t="s">
        <v>176</v>
      </c>
      <c r="D756" t="s">
        <v>177</v>
      </c>
    </row>
    <row r="757" spans="1:4">
      <c r="A757" s="655">
        <f t="shared" ca="1" si="2"/>
        <v>48</v>
      </c>
      <c r="B757" s="2578" t="s">
        <v>292</v>
      </c>
      <c r="C757" t="s">
        <v>176</v>
      </c>
      <c r="D757" t="s">
        <v>177</v>
      </c>
    </row>
    <row r="758" spans="1:4">
      <c r="A758" s="655">
        <f t="shared" ca="1" si="2"/>
        <v>48</v>
      </c>
      <c r="B758" s="2578" t="s">
        <v>293</v>
      </c>
      <c r="C758" t="s">
        <v>176</v>
      </c>
      <c r="D758" t="s">
        <v>177</v>
      </c>
    </row>
    <row r="759" spans="1:4">
      <c r="A759" s="655">
        <f t="shared" ca="1" si="2"/>
        <v>49</v>
      </c>
      <c r="B759" s="2578" t="s">
        <v>294</v>
      </c>
      <c r="C759" t="s">
        <v>176</v>
      </c>
      <c r="D759" t="s">
        <v>177</v>
      </c>
    </row>
    <row r="760" spans="1:4">
      <c r="A760" s="655">
        <f t="shared" ca="1" si="2"/>
        <v>49</v>
      </c>
      <c r="B760" s="2578" t="s">
        <v>295</v>
      </c>
      <c r="C760" t="s">
        <v>176</v>
      </c>
      <c r="D760" t="s">
        <v>177</v>
      </c>
    </row>
    <row r="761" spans="1:4">
      <c r="A761" s="655">
        <f t="shared" ca="1" si="2"/>
        <v>50</v>
      </c>
      <c r="B761" s="2578" t="s">
        <v>296</v>
      </c>
      <c r="C761" t="s">
        <v>176</v>
      </c>
      <c r="D761" t="s">
        <v>177</v>
      </c>
    </row>
    <row r="762" spans="1:4">
      <c r="A762" s="655">
        <f t="shared" ca="1" si="2"/>
        <v>50</v>
      </c>
      <c r="B762" s="2578" t="s">
        <v>297</v>
      </c>
      <c r="C762" t="s">
        <v>176</v>
      </c>
      <c r="D762" t="s">
        <v>177</v>
      </c>
    </row>
    <row r="763" spans="1:4">
      <c r="A763" s="655">
        <f t="shared" ca="1" si="2"/>
        <v>51</v>
      </c>
      <c r="B763" s="2578" t="s">
        <v>298</v>
      </c>
      <c r="C763" t="s">
        <v>176</v>
      </c>
      <c r="D763" t="s">
        <v>177</v>
      </c>
    </row>
    <row r="764" spans="1:4">
      <c r="A764" s="655">
        <f t="shared" ca="1" si="2"/>
        <v>52</v>
      </c>
      <c r="B764" s="2578" t="s">
        <v>299</v>
      </c>
      <c r="C764" t="s">
        <v>176</v>
      </c>
      <c r="D764" t="s">
        <v>177</v>
      </c>
    </row>
    <row r="765" spans="1:4">
      <c r="A765" s="655">
        <f t="shared" ca="1" si="2"/>
        <v>52</v>
      </c>
      <c r="B765" s="2578" t="s">
        <v>300</v>
      </c>
      <c r="C765" t="s">
        <v>176</v>
      </c>
      <c r="D765" t="s">
        <v>177</v>
      </c>
    </row>
    <row r="766" spans="1:4">
      <c r="A766" s="655">
        <f t="shared" ca="1" si="2"/>
        <v>52</v>
      </c>
      <c r="B766" s="2578" t="s">
        <v>301</v>
      </c>
      <c r="C766" t="s">
        <v>176</v>
      </c>
      <c r="D766" t="s">
        <v>177</v>
      </c>
    </row>
    <row r="767" spans="1:4">
      <c r="A767" s="655">
        <f t="shared" ca="1" si="2"/>
        <v>52</v>
      </c>
      <c r="B767" s="2578" t="s">
        <v>302</v>
      </c>
      <c r="C767" t="s">
        <v>176</v>
      </c>
      <c r="D767" t="s">
        <v>177</v>
      </c>
    </row>
    <row r="768" spans="1:4">
      <c r="A768" s="655">
        <f t="shared" ca="1" si="2"/>
        <v>53</v>
      </c>
      <c r="B768" s="2578" t="s">
        <v>303</v>
      </c>
      <c r="C768" t="s">
        <v>176</v>
      </c>
      <c r="D768" t="s">
        <v>177</v>
      </c>
    </row>
    <row r="769" spans="1:4">
      <c r="A769" s="655">
        <f t="shared" ca="1" si="2"/>
        <v>53</v>
      </c>
      <c r="B769" s="2578" t="s">
        <v>304</v>
      </c>
      <c r="C769" t="s">
        <v>176</v>
      </c>
      <c r="D769" t="s">
        <v>177</v>
      </c>
    </row>
    <row r="770" spans="1:4">
      <c r="A770" s="655">
        <f t="shared" ca="1" si="2"/>
        <v>53</v>
      </c>
      <c r="B770" s="2578" t="s">
        <v>305</v>
      </c>
      <c r="C770" t="s">
        <v>176</v>
      </c>
      <c r="D770" t="s">
        <v>177</v>
      </c>
    </row>
    <row r="771" spans="1:4">
      <c r="A771" s="655">
        <f t="shared" ca="1" si="2"/>
        <v>54</v>
      </c>
      <c r="B771" s="2578" t="s">
        <v>306</v>
      </c>
      <c r="C771" t="s">
        <v>176</v>
      </c>
      <c r="D771" t="s">
        <v>177</v>
      </c>
    </row>
    <row r="772" spans="1:4">
      <c r="A772" s="655">
        <f t="shared" ca="1" si="2"/>
        <v>54</v>
      </c>
      <c r="B772" s="2578" t="s">
        <v>307</v>
      </c>
      <c r="C772" t="s">
        <v>176</v>
      </c>
      <c r="D772" t="s">
        <v>177</v>
      </c>
    </row>
    <row r="773" spans="1:4">
      <c r="A773" s="655">
        <f t="shared" ca="1" si="2"/>
        <v>54</v>
      </c>
      <c r="B773" s="2578" t="s">
        <v>308</v>
      </c>
      <c r="C773" t="s">
        <v>176</v>
      </c>
      <c r="D773" t="s">
        <v>177</v>
      </c>
    </row>
    <row r="774" spans="1:4">
      <c r="A774" s="655">
        <f t="shared" ca="1" si="2"/>
        <v>54</v>
      </c>
      <c r="B774" s="2578" t="s">
        <v>309</v>
      </c>
      <c r="C774" t="s">
        <v>176</v>
      </c>
      <c r="D774" t="s">
        <v>177</v>
      </c>
    </row>
    <row r="775" spans="1:4">
      <c r="A775" s="655">
        <f t="shared" ca="1" si="2"/>
        <v>54</v>
      </c>
      <c r="B775" s="2578" t="s">
        <v>310</v>
      </c>
      <c r="C775" t="s">
        <v>176</v>
      </c>
      <c r="D775" t="s">
        <v>177</v>
      </c>
    </row>
    <row r="776" spans="1:4">
      <c r="A776" s="655">
        <f t="shared" ca="1" si="2"/>
        <v>55</v>
      </c>
      <c r="B776" s="2578" t="s">
        <v>311</v>
      </c>
      <c r="C776" t="s">
        <v>176</v>
      </c>
      <c r="D776" t="s">
        <v>177</v>
      </c>
    </row>
    <row r="777" spans="1:4">
      <c r="A777" s="655">
        <f t="shared" ca="1" si="2"/>
        <v>56</v>
      </c>
      <c r="B777" s="2578" t="s">
        <v>312</v>
      </c>
      <c r="C777" t="s">
        <v>176</v>
      </c>
      <c r="D777" t="s">
        <v>177</v>
      </c>
    </row>
    <row r="778" spans="1:4">
      <c r="A778" s="655">
        <f t="shared" ca="1" si="2"/>
        <v>56</v>
      </c>
      <c r="B778" s="2578" t="s">
        <v>313</v>
      </c>
      <c r="C778" t="s">
        <v>176</v>
      </c>
      <c r="D778" t="s">
        <v>177</v>
      </c>
    </row>
    <row r="779" spans="1:4">
      <c r="A779" s="655">
        <f t="shared" ca="1" si="2"/>
        <v>56</v>
      </c>
      <c r="B779" s="2578" t="s">
        <v>314</v>
      </c>
      <c r="C779" t="s">
        <v>176</v>
      </c>
      <c r="D779" t="s">
        <v>177</v>
      </c>
    </row>
    <row r="780" spans="1:4">
      <c r="A780" s="655">
        <f t="shared" ca="1" si="2"/>
        <v>56</v>
      </c>
      <c r="B780" s="2578" t="s">
        <v>315</v>
      </c>
      <c r="C780" t="s">
        <v>176</v>
      </c>
      <c r="D780" t="s">
        <v>177</v>
      </c>
    </row>
    <row r="781" spans="1:4">
      <c r="A781" s="655">
        <f t="shared" ca="1" si="2"/>
        <v>57</v>
      </c>
      <c r="B781" s="2578" t="s">
        <v>316</v>
      </c>
      <c r="C781" t="s">
        <v>176</v>
      </c>
      <c r="D781" t="s">
        <v>177</v>
      </c>
    </row>
    <row r="782" spans="1:4">
      <c r="A782" s="655">
        <f t="shared" ca="1" si="2"/>
        <v>58</v>
      </c>
      <c r="B782" s="2578" t="s">
        <v>317</v>
      </c>
      <c r="C782" t="s">
        <v>176</v>
      </c>
      <c r="D782" t="s">
        <v>177</v>
      </c>
    </row>
    <row r="783" spans="1:4">
      <c r="A783" s="655">
        <f t="shared" ca="1" si="2"/>
        <v>58</v>
      </c>
      <c r="B783" s="2578" t="s">
        <v>318</v>
      </c>
      <c r="C783" t="s">
        <v>176</v>
      </c>
      <c r="D783" t="s">
        <v>177</v>
      </c>
    </row>
    <row r="784" spans="1:4">
      <c r="A784" s="655">
        <f t="shared" ca="1" si="2"/>
        <v>58</v>
      </c>
      <c r="B784" s="2578" t="s">
        <v>319</v>
      </c>
      <c r="C784" t="s">
        <v>176</v>
      </c>
      <c r="D784" t="s">
        <v>177</v>
      </c>
    </row>
    <row r="785" spans="1:4">
      <c r="A785" s="655">
        <f t="shared" ca="1" si="2"/>
        <v>58</v>
      </c>
      <c r="B785" s="2578" t="s">
        <v>320</v>
      </c>
      <c r="C785" t="s">
        <v>176</v>
      </c>
      <c r="D785" t="s">
        <v>177</v>
      </c>
    </row>
    <row r="786" spans="1:4">
      <c r="A786" s="655">
        <f t="shared" ca="1" si="2"/>
        <v>58</v>
      </c>
      <c r="B786" s="2578" t="s">
        <v>321</v>
      </c>
      <c r="C786" t="s">
        <v>176</v>
      </c>
      <c r="D786" t="s">
        <v>177</v>
      </c>
    </row>
    <row r="787" spans="1:4">
      <c r="A787" s="655">
        <f t="shared" ca="1" si="2"/>
        <v>59</v>
      </c>
      <c r="B787" s="2578" t="s">
        <v>322</v>
      </c>
      <c r="C787" t="s">
        <v>176</v>
      </c>
      <c r="D787" t="s">
        <v>177</v>
      </c>
    </row>
    <row r="788" spans="1:4">
      <c r="A788" s="655">
        <f t="shared" ca="1" si="2"/>
        <v>59</v>
      </c>
      <c r="B788" s="2578" t="s">
        <v>323</v>
      </c>
      <c r="C788" t="s">
        <v>176</v>
      </c>
      <c r="D788" t="s">
        <v>177</v>
      </c>
    </row>
    <row r="789" spans="1:4">
      <c r="A789" s="655">
        <f t="shared" ca="1" si="2"/>
        <v>59</v>
      </c>
      <c r="B789" s="2578" t="s">
        <v>324</v>
      </c>
      <c r="C789" t="s">
        <v>176</v>
      </c>
      <c r="D789" t="s">
        <v>177</v>
      </c>
    </row>
    <row r="790" spans="1:4">
      <c r="A790" s="655">
        <f t="shared" ca="1" si="2"/>
        <v>59</v>
      </c>
      <c r="B790" s="2578" t="s">
        <v>325</v>
      </c>
      <c r="C790" t="s">
        <v>176</v>
      </c>
      <c r="D790" t="s">
        <v>177</v>
      </c>
    </row>
    <row r="791" spans="1:4">
      <c r="A791" s="655">
        <f t="shared" ca="1" si="2"/>
        <v>60</v>
      </c>
      <c r="B791" s="2578" t="s">
        <v>326</v>
      </c>
      <c r="C791" t="s">
        <v>176</v>
      </c>
      <c r="D791" t="s">
        <v>177</v>
      </c>
    </row>
    <row r="792" spans="1:4">
      <c r="A792" s="655">
        <f t="shared" ca="1" si="2"/>
        <v>61</v>
      </c>
      <c r="B792" s="2578" t="s">
        <v>327</v>
      </c>
      <c r="C792" t="s">
        <v>176</v>
      </c>
      <c r="D792" t="s">
        <v>177</v>
      </c>
    </row>
    <row r="793" spans="1:4">
      <c r="A793" s="655">
        <f t="shared" ca="1" si="2"/>
        <v>61</v>
      </c>
      <c r="B793" s="2578" t="s">
        <v>328</v>
      </c>
      <c r="C793" t="s">
        <v>176</v>
      </c>
      <c r="D793" t="s">
        <v>177</v>
      </c>
    </row>
    <row r="794" spans="1:4">
      <c r="A794" s="655">
        <f t="shared" ca="1" si="2"/>
        <v>62</v>
      </c>
      <c r="B794" s="2578" t="s">
        <v>329</v>
      </c>
      <c r="C794" t="s">
        <v>176</v>
      </c>
      <c r="D794" t="s">
        <v>177</v>
      </c>
    </row>
    <row r="795" spans="1:4">
      <c r="A795" s="655">
        <f t="shared" ca="1" si="2"/>
        <v>62</v>
      </c>
      <c r="B795" s="2578" t="s">
        <v>330</v>
      </c>
      <c r="C795" t="s">
        <v>176</v>
      </c>
      <c r="D795" t="s">
        <v>177</v>
      </c>
    </row>
    <row r="796" spans="1:4">
      <c r="A796" s="655">
        <f t="shared" ca="1" si="2"/>
        <v>62</v>
      </c>
      <c r="B796" s="2578" t="s">
        <v>331</v>
      </c>
      <c r="C796" t="s">
        <v>176</v>
      </c>
      <c r="D796" t="s">
        <v>177</v>
      </c>
    </row>
    <row r="797" spans="1:4">
      <c r="A797" s="655">
        <f t="shared" ca="1" si="2"/>
        <v>63</v>
      </c>
      <c r="B797" s="2578" t="s">
        <v>332</v>
      </c>
      <c r="C797" t="s">
        <v>176</v>
      </c>
      <c r="D797" t="s">
        <v>177</v>
      </c>
    </row>
    <row r="798" spans="1:4">
      <c r="A798" s="655">
        <f t="shared" ca="1" si="2"/>
        <v>63</v>
      </c>
      <c r="B798" s="2578" t="s">
        <v>333</v>
      </c>
      <c r="C798" t="s">
        <v>176</v>
      </c>
      <c r="D798" t="s">
        <v>177</v>
      </c>
    </row>
    <row r="799" spans="1:4">
      <c r="A799" s="655">
        <f t="shared" ca="1" si="2"/>
        <v>64</v>
      </c>
      <c r="B799" s="2578" t="s">
        <v>334</v>
      </c>
      <c r="C799" t="s">
        <v>176</v>
      </c>
      <c r="D799" t="s">
        <v>177</v>
      </c>
    </row>
    <row r="800" spans="1:4">
      <c r="A800" s="655">
        <f t="shared" ca="1" si="2"/>
        <v>64</v>
      </c>
      <c r="B800" s="2578" t="s">
        <v>335</v>
      </c>
      <c r="C800" t="s">
        <v>176</v>
      </c>
      <c r="D800" t="s">
        <v>177</v>
      </c>
    </row>
    <row r="801" spans="1:4">
      <c r="A801" s="655">
        <f t="shared" ca="1" si="2"/>
        <v>65</v>
      </c>
      <c r="B801" s="2578" t="s">
        <v>336</v>
      </c>
      <c r="C801" t="s">
        <v>176</v>
      </c>
      <c r="D801" t="s">
        <v>177</v>
      </c>
    </row>
    <row r="802" spans="1:4">
      <c r="A802" s="655">
        <f t="shared" ca="1" si="2"/>
        <v>65</v>
      </c>
      <c r="B802" s="2578" t="s">
        <v>337</v>
      </c>
      <c r="C802" t="s">
        <v>176</v>
      </c>
      <c r="D802" t="s">
        <v>177</v>
      </c>
    </row>
    <row r="803" spans="1:4">
      <c r="A803" s="655">
        <f t="shared" ca="1" si="2"/>
        <v>66</v>
      </c>
      <c r="B803" s="2578" t="s">
        <v>338</v>
      </c>
      <c r="C803" t="s">
        <v>176</v>
      </c>
      <c r="D803" t="s">
        <v>177</v>
      </c>
    </row>
    <row r="804" spans="1:4">
      <c r="A804" s="655">
        <f t="shared" ca="1" si="2"/>
        <v>66</v>
      </c>
      <c r="B804" s="2578" t="s">
        <v>339</v>
      </c>
      <c r="C804" t="s">
        <v>176</v>
      </c>
      <c r="D804" t="s">
        <v>177</v>
      </c>
    </row>
    <row r="805" spans="1:4">
      <c r="A805" s="655">
        <f t="shared" ca="1" si="2"/>
        <v>67</v>
      </c>
      <c r="B805" s="2578" t="s">
        <v>340</v>
      </c>
      <c r="C805" t="s">
        <v>176</v>
      </c>
      <c r="D805" t="s">
        <v>177</v>
      </c>
    </row>
    <row r="806" spans="1:4">
      <c r="A806" s="655">
        <f t="shared" ca="1" si="2"/>
        <v>17</v>
      </c>
      <c r="B806" s="2578">
        <v>0</v>
      </c>
      <c r="C806" t="s">
        <v>176</v>
      </c>
      <c r="D806" t="s">
        <v>177</v>
      </c>
    </row>
    <row r="807" spans="1:4">
      <c r="A807" s="655">
        <f t="shared" ca="1" si="2"/>
        <v>17</v>
      </c>
      <c r="B807" s="2578">
        <v>0</v>
      </c>
      <c r="C807" t="s">
        <v>176</v>
      </c>
      <c r="D807" t="s">
        <v>177</v>
      </c>
    </row>
    <row r="808" spans="1:4">
      <c r="A808" s="655">
        <f t="shared" ca="1" si="2"/>
        <v>17</v>
      </c>
      <c r="B808" s="2578">
        <v>0</v>
      </c>
      <c r="C808" t="s">
        <v>176</v>
      </c>
      <c r="D808" t="s">
        <v>177</v>
      </c>
    </row>
    <row r="809" spans="1:4">
      <c r="A809" s="655">
        <f t="shared" ca="1" si="2"/>
        <v>68</v>
      </c>
      <c r="B809" s="2578" t="s">
        <v>341</v>
      </c>
      <c r="C809" t="s">
        <v>176</v>
      </c>
      <c r="D809" t="s">
        <v>177</v>
      </c>
    </row>
    <row r="810" spans="1:4">
      <c r="A810" s="655">
        <f t="shared" ca="1" si="2"/>
        <v>69</v>
      </c>
      <c r="B810" s="2578" t="s">
        <v>342</v>
      </c>
      <c r="C810" t="s">
        <v>176</v>
      </c>
      <c r="D810" t="s">
        <v>177</v>
      </c>
    </row>
    <row r="811" spans="1:4">
      <c r="A811" s="655">
        <f t="shared" ca="1" si="2"/>
        <v>69</v>
      </c>
      <c r="B811" s="2578" t="s">
        <v>343</v>
      </c>
      <c r="C811" t="s">
        <v>176</v>
      </c>
      <c r="D811" t="s">
        <v>177</v>
      </c>
    </row>
    <row r="812" spans="1:4">
      <c r="A812" s="655">
        <f t="shared" ca="1" si="2"/>
        <v>70</v>
      </c>
      <c r="B812" s="2578" t="s">
        <v>344</v>
      </c>
      <c r="C812" t="s">
        <v>176</v>
      </c>
      <c r="D812" t="s">
        <v>177</v>
      </c>
    </row>
    <row r="813" spans="1:4">
      <c r="A813" s="655">
        <f t="shared" ca="1" si="2"/>
        <v>70</v>
      </c>
      <c r="B813" s="2578" t="s">
        <v>345</v>
      </c>
      <c r="C813" t="s">
        <v>176</v>
      </c>
      <c r="D813" t="s">
        <v>177</v>
      </c>
    </row>
    <row r="814" spans="1:4">
      <c r="A814" s="655">
        <f t="shared" ca="1" si="2"/>
        <v>70</v>
      </c>
      <c r="B814" s="2578" t="s">
        <v>346</v>
      </c>
      <c r="C814" t="s">
        <v>176</v>
      </c>
      <c r="D814" t="s">
        <v>177</v>
      </c>
    </row>
    <row r="815" spans="1:4">
      <c r="A815" s="655">
        <f t="shared" ca="1" si="2"/>
        <v>71</v>
      </c>
      <c r="B815" s="2578" t="s">
        <v>347</v>
      </c>
      <c r="C815" t="s">
        <v>176</v>
      </c>
      <c r="D815" t="s">
        <v>177</v>
      </c>
    </row>
    <row r="816" spans="1:4">
      <c r="A816" s="655">
        <f t="shared" ca="1" si="2"/>
        <v>72</v>
      </c>
      <c r="B816" s="2578" t="s">
        <v>348</v>
      </c>
      <c r="C816" t="s">
        <v>176</v>
      </c>
      <c r="D816" t="s">
        <v>177</v>
      </c>
    </row>
    <row r="817" spans="1:4">
      <c r="A817" s="655">
        <f t="shared" ca="1" si="2"/>
        <v>72</v>
      </c>
      <c r="B817" s="2578" t="s">
        <v>349</v>
      </c>
      <c r="C817" t="s">
        <v>176</v>
      </c>
      <c r="D817" t="s">
        <v>177</v>
      </c>
    </row>
    <row r="818" spans="1:4">
      <c r="A818" s="655">
        <f t="shared" ref="A818:A881" ca="1" si="3">IF(INDEX(INDIRECT("'"&amp;D818&amp;"'!A:D"),MATCH(B818,INDIRECT("'"&amp;D818&amp;"'!B:B"),0),1)=0,A817,INDEX(INDIRECT("'"&amp;D818&amp;"'!A:D"),MATCH(B818,INDIRECT("'"&amp;D818&amp;"'!B:B"),0),1))</f>
        <v>72</v>
      </c>
      <c r="B818" s="2578" t="s">
        <v>350</v>
      </c>
      <c r="C818" t="s">
        <v>176</v>
      </c>
      <c r="D818" t="s">
        <v>177</v>
      </c>
    </row>
    <row r="819" spans="1:4">
      <c r="A819" s="655">
        <f t="shared" ca="1" si="3"/>
        <v>73</v>
      </c>
      <c r="B819" s="2578" t="s">
        <v>351</v>
      </c>
      <c r="C819" t="s">
        <v>176</v>
      </c>
      <c r="D819" t="s">
        <v>177</v>
      </c>
    </row>
    <row r="820" spans="1:4">
      <c r="A820" s="655">
        <f t="shared" ca="1" si="3"/>
        <v>73</v>
      </c>
      <c r="B820" s="2578" t="s">
        <v>352</v>
      </c>
      <c r="C820" t="s">
        <v>176</v>
      </c>
      <c r="D820" t="s">
        <v>177</v>
      </c>
    </row>
    <row r="821" spans="1:4">
      <c r="A821" s="655">
        <f t="shared" ca="1" si="3"/>
        <v>74</v>
      </c>
      <c r="B821" s="2578" t="s">
        <v>353</v>
      </c>
      <c r="C821" t="s">
        <v>176</v>
      </c>
      <c r="D821" t="s">
        <v>177</v>
      </c>
    </row>
    <row r="822" spans="1:4">
      <c r="A822" s="655">
        <f t="shared" ca="1" si="3"/>
        <v>75</v>
      </c>
      <c r="B822" s="2578" t="s">
        <v>354</v>
      </c>
      <c r="C822" t="s">
        <v>176</v>
      </c>
      <c r="D822" t="s">
        <v>177</v>
      </c>
    </row>
    <row r="823" spans="1:4">
      <c r="A823" s="655">
        <f t="shared" ca="1" si="3"/>
        <v>76</v>
      </c>
      <c r="B823" s="2578" t="s">
        <v>355</v>
      </c>
      <c r="C823" t="s">
        <v>176</v>
      </c>
      <c r="D823" t="s">
        <v>177</v>
      </c>
    </row>
    <row r="824" spans="1:4">
      <c r="A824" s="655">
        <f t="shared" ca="1" si="3"/>
        <v>76</v>
      </c>
      <c r="B824" s="2578" t="s">
        <v>356</v>
      </c>
      <c r="C824" t="s">
        <v>176</v>
      </c>
      <c r="D824" t="s">
        <v>177</v>
      </c>
    </row>
    <row r="825" spans="1:4">
      <c r="A825" s="655">
        <f t="shared" ca="1" si="3"/>
        <v>77</v>
      </c>
      <c r="B825" s="2578" t="s">
        <v>357</v>
      </c>
      <c r="C825" t="s">
        <v>176</v>
      </c>
      <c r="D825" t="s">
        <v>177</v>
      </c>
    </row>
    <row r="826" spans="1:4">
      <c r="A826" s="655">
        <f t="shared" ca="1" si="3"/>
        <v>77</v>
      </c>
      <c r="B826" s="2578" t="s">
        <v>358</v>
      </c>
      <c r="C826" t="s">
        <v>176</v>
      </c>
      <c r="D826" t="s">
        <v>177</v>
      </c>
    </row>
    <row r="827" spans="1:4">
      <c r="A827" s="655">
        <f t="shared" ca="1" si="3"/>
        <v>78</v>
      </c>
      <c r="B827" s="2578" t="s">
        <v>359</v>
      </c>
      <c r="C827" t="s">
        <v>176</v>
      </c>
      <c r="D827" t="s">
        <v>177</v>
      </c>
    </row>
    <row r="828" spans="1:4">
      <c r="A828" s="655">
        <f t="shared" ca="1" si="3"/>
        <v>78</v>
      </c>
      <c r="B828" s="2578" t="s">
        <v>360</v>
      </c>
      <c r="C828" t="s">
        <v>176</v>
      </c>
      <c r="D828" t="s">
        <v>177</v>
      </c>
    </row>
    <row r="829" spans="1:4">
      <c r="A829" s="655">
        <f t="shared" ca="1" si="3"/>
        <v>79</v>
      </c>
      <c r="B829" s="2578" t="s">
        <v>361</v>
      </c>
      <c r="C829" t="s">
        <v>176</v>
      </c>
      <c r="D829" t="s">
        <v>177</v>
      </c>
    </row>
    <row r="830" spans="1:4">
      <c r="A830" s="655">
        <f t="shared" ca="1" si="3"/>
        <v>79</v>
      </c>
      <c r="B830" s="2578" t="s">
        <v>362</v>
      </c>
      <c r="C830" t="s">
        <v>176</v>
      </c>
      <c r="D830" t="s">
        <v>177</v>
      </c>
    </row>
    <row r="831" spans="1:4">
      <c r="A831" s="655">
        <f t="shared" ca="1" si="3"/>
        <v>80</v>
      </c>
      <c r="B831" s="2578" t="s">
        <v>363</v>
      </c>
      <c r="C831" t="s">
        <v>176</v>
      </c>
      <c r="D831" t="s">
        <v>177</v>
      </c>
    </row>
    <row r="832" spans="1:4">
      <c r="A832" s="655">
        <f t="shared" ca="1" si="3"/>
        <v>80</v>
      </c>
      <c r="B832" s="2578" t="s">
        <v>364</v>
      </c>
      <c r="C832" t="s">
        <v>176</v>
      </c>
      <c r="D832" t="s">
        <v>177</v>
      </c>
    </row>
    <row r="833" spans="1:4">
      <c r="A833" s="655">
        <f t="shared" ca="1" si="3"/>
        <v>80</v>
      </c>
      <c r="B833" s="2578" t="s">
        <v>365</v>
      </c>
      <c r="C833" t="s">
        <v>176</v>
      </c>
      <c r="D833" t="s">
        <v>177</v>
      </c>
    </row>
    <row r="834" spans="1:4">
      <c r="A834" s="655">
        <f t="shared" ca="1" si="3"/>
        <v>81</v>
      </c>
      <c r="B834" s="2578" t="s">
        <v>366</v>
      </c>
      <c r="C834" t="s">
        <v>176</v>
      </c>
      <c r="D834" t="s">
        <v>177</v>
      </c>
    </row>
    <row r="835" spans="1:4">
      <c r="A835" s="655">
        <f t="shared" ca="1" si="3"/>
        <v>81</v>
      </c>
      <c r="B835" s="2578" t="s">
        <v>367</v>
      </c>
      <c r="C835" t="s">
        <v>176</v>
      </c>
      <c r="D835" t="s">
        <v>177</v>
      </c>
    </row>
    <row r="836" spans="1:4">
      <c r="A836" s="655">
        <f t="shared" ca="1" si="3"/>
        <v>81</v>
      </c>
      <c r="B836" s="2578" t="s">
        <v>368</v>
      </c>
      <c r="C836" t="s">
        <v>176</v>
      </c>
      <c r="D836" t="s">
        <v>177</v>
      </c>
    </row>
    <row r="837" spans="1:4">
      <c r="A837" s="655">
        <f t="shared" ca="1" si="3"/>
        <v>81</v>
      </c>
      <c r="B837" s="2578" t="s">
        <v>369</v>
      </c>
      <c r="C837" t="s">
        <v>176</v>
      </c>
      <c r="D837" t="s">
        <v>177</v>
      </c>
    </row>
    <row r="838" spans="1:4">
      <c r="A838" s="655" t="str">
        <f t="shared" ca="1" si="3"/>
        <v>A1</v>
      </c>
      <c r="B838" s="2578" t="s">
        <v>370</v>
      </c>
      <c r="C838" t="s">
        <v>176</v>
      </c>
      <c r="D838" t="s">
        <v>371</v>
      </c>
    </row>
    <row r="839" spans="1:4">
      <c r="A839" s="655" t="str">
        <f t="shared" ca="1" si="3"/>
        <v>A1</v>
      </c>
      <c r="B839" s="2578" t="s">
        <v>372</v>
      </c>
      <c r="C839" t="s">
        <v>176</v>
      </c>
      <c r="D839" t="s">
        <v>371</v>
      </c>
    </row>
    <row r="840" spans="1:4">
      <c r="A840" s="655" t="str">
        <f t="shared" ca="1" si="3"/>
        <v>A2</v>
      </c>
      <c r="B840" s="2578" t="s">
        <v>373</v>
      </c>
      <c r="C840" t="s">
        <v>176</v>
      </c>
      <c r="D840" t="s">
        <v>371</v>
      </c>
    </row>
    <row r="841" spans="1:4">
      <c r="A841" s="655" t="str">
        <f t="shared" ca="1" si="3"/>
        <v>A2</v>
      </c>
      <c r="B841" s="2578" t="s">
        <v>374</v>
      </c>
      <c r="C841" t="s">
        <v>176</v>
      </c>
      <c r="D841" t="s">
        <v>371</v>
      </c>
    </row>
    <row r="842" spans="1:4">
      <c r="A842" s="655" t="str">
        <f t="shared" ca="1" si="3"/>
        <v>A2</v>
      </c>
      <c r="B842" s="2578" t="s">
        <v>375</v>
      </c>
      <c r="C842" t="s">
        <v>176</v>
      </c>
      <c r="D842" t="s">
        <v>371</v>
      </c>
    </row>
    <row r="843" spans="1:4">
      <c r="A843" s="655" t="str">
        <f t="shared" ca="1" si="3"/>
        <v>A2</v>
      </c>
      <c r="B843" s="2578" t="s">
        <v>376</v>
      </c>
      <c r="C843" t="s">
        <v>176</v>
      </c>
      <c r="D843" t="s">
        <v>371</v>
      </c>
    </row>
    <row r="844" spans="1:4">
      <c r="A844" s="655" t="str">
        <f t="shared" ca="1" si="3"/>
        <v>A2</v>
      </c>
      <c r="B844" s="2578" t="s">
        <v>377</v>
      </c>
      <c r="C844" t="s">
        <v>176</v>
      </c>
      <c r="D844" t="s">
        <v>371</v>
      </c>
    </row>
    <row r="845" spans="1:4">
      <c r="A845" s="655" t="str">
        <f t="shared" ca="1" si="3"/>
        <v>A2</v>
      </c>
      <c r="B845" s="2578" t="s">
        <v>378</v>
      </c>
      <c r="C845" t="s">
        <v>176</v>
      </c>
      <c r="D845" t="s">
        <v>371</v>
      </c>
    </row>
    <row r="846" spans="1:4">
      <c r="A846" s="655" t="str">
        <f t="shared" ca="1" si="3"/>
        <v>A3</v>
      </c>
      <c r="B846" s="2578" t="s">
        <v>379</v>
      </c>
      <c r="C846" t="s">
        <v>176</v>
      </c>
      <c r="D846" t="s">
        <v>371</v>
      </c>
    </row>
    <row r="847" spans="1:4">
      <c r="A847" s="655" t="str">
        <f t="shared" ca="1" si="3"/>
        <v>A4</v>
      </c>
      <c r="B847" s="2578" t="s">
        <v>380</v>
      </c>
      <c r="C847" t="s">
        <v>176</v>
      </c>
      <c r="D847" t="s">
        <v>371</v>
      </c>
    </row>
    <row r="848" spans="1:4">
      <c r="A848" s="655" t="str">
        <f t="shared" ca="1" si="3"/>
        <v>A4</v>
      </c>
      <c r="B848" s="2578" t="s">
        <v>381</v>
      </c>
      <c r="C848" t="s">
        <v>176</v>
      </c>
      <c r="D848" t="s">
        <v>371</v>
      </c>
    </row>
    <row r="849" spans="1:4">
      <c r="A849" s="655" t="str">
        <f t="shared" ca="1" si="3"/>
        <v>A4</v>
      </c>
      <c r="B849" s="2578" t="s">
        <v>382</v>
      </c>
      <c r="C849" t="s">
        <v>176</v>
      </c>
      <c r="D849" t="s">
        <v>371</v>
      </c>
    </row>
    <row r="850" spans="1:4">
      <c r="A850" s="655" t="str">
        <f t="shared" ca="1" si="3"/>
        <v>A5</v>
      </c>
      <c r="B850" s="2578" t="s">
        <v>383</v>
      </c>
      <c r="C850" t="s">
        <v>176</v>
      </c>
      <c r="D850" t="s">
        <v>371</v>
      </c>
    </row>
    <row r="851" spans="1:4">
      <c r="A851" s="655" t="str">
        <f t="shared" ca="1" si="3"/>
        <v>A5</v>
      </c>
      <c r="B851" s="2578" t="s">
        <v>384</v>
      </c>
      <c r="C851" t="s">
        <v>176</v>
      </c>
      <c r="D851" t="s">
        <v>371</v>
      </c>
    </row>
    <row r="852" spans="1:4">
      <c r="A852" s="655" t="str">
        <f t="shared" ca="1" si="3"/>
        <v>A5</v>
      </c>
      <c r="B852" s="2578" t="s">
        <v>385</v>
      </c>
      <c r="C852" t="s">
        <v>176</v>
      </c>
      <c r="D852" t="s">
        <v>371</v>
      </c>
    </row>
    <row r="853" spans="1:4">
      <c r="A853" s="655" t="str">
        <f t="shared" ca="1" si="3"/>
        <v>A6</v>
      </c>
      <c r="B853" s="2578" t="s">
        <v>386</v>
      </c>
      <c r="C853" t="s">
        <v>176</v>
      </c>
      <c r="D853" t="s">
        <v>371</v>
      </c>
    </row>
    <row r="854" spans="1:4">
      <c r="A854" s="655" t="str">
        <f t="shared" ca="1" si="3"/>
        <v>A7</v>
      </c>
      <c r="B854" s="2578" t="s">
        <v>387</v>
      </c>
      <c r="C854" t="s">
        <v>176</v>
      </c>
      <c r="D854" t="s">
        <v>371</v>
      </c>
    </row>
    <row r="855" spans="1:4">
      <c r="A855" s="655" t="str">
        <f t="shared" ca="1" si="3"/>
        <v>A7</v>
      </c>
      <c r="B855" s="2578" t="s">
        <v>388</v>
      </c>
      <c r="C855" t="s">
        <v>176</v>
      </c>
      <c r="D855" t="s">
        <v>371</v>
      </c>
    </row>
    <row r="856" spans="1:4">
      <c r="A856" s="655" t="str">
        <f t="shared" ca="1" si="3"/>
        <v>A8</v>
      </c>
      <c r="B856" s="2578" t="s">
        <v>389</v>
      </c>
      <c r="C856" t="s">
        <v>176</v>
      </c>
      <c r="D856" t="s">
        <v>371</v>
      </c>
    </row>
    <row r="857" spans="1:4">
      <c r="A857" s="655" t="str">
        <f t="shared" ca="1" si="3"/>
        <v>A9</v>
      </c>
      <c r="B857" s="2578" t="s">
        <v>390</v>
      </c>
      <c r="C857" t="s">
        <v>176</v>
      </c>
      <c r="D857" t="s">
        <v>371</v>
      </c>
    </row>
    <row r="858" spans="1:4">
      <c r="A858" s="655" t="str">
        <f t="shared" ca="1" si="3"/>
        <v>A9</v>
      </c>
      <c r="B858" s="2578" t="s">
        <v>391</v>
      </c>
      <c r="C858" t="s">
        <v>176</v>
      </c>
      <c r="D858" t="s">
        <v>371</v>
      </c>
    </row>
    <row r="859" spans="1:4">
      <c r="A859" s="655" t="str">
        <f t="shared" ca="1" si="3"/>
        <v>A10</v>
      </c>
      <c r="B859" s="2578" t="s">
        <v>392</v>
      </c>
      <c r="C859" t="s">
        <v>176</v>
      </c>
      <c r="D859" t="s">
        <v>371</v>
      </c>
    </row>
    <row r="860" spans="1:4">
      <c r="A860" s="655" t="str">
        <f t="shared" ca="1" si="3"/>
        <v>A10</v>
      </c>
      <c r="B860" s="2578" t="s">
        <v>393</v>
      </c>
      <c r="C860" t="s">
        <v>176</v>
      </c>
      <c r="D860" t="s">
        <v>371</v>
      </c>
    </row>
    <row r="861" spans="1:4">
      <c r="A861" s="655" t="str">
        <f t="shared" ca="1" si="3"/>
        <v>A10</v>
      </c>
      <c r="B861" s="2578" t="s">
        <v>394</v>
      </c>
      <c r="C861" t="s">
        <v>176</v>
      </c>
      <c r="D861" t="s">
        <v>371</v>
      </c>
    </row>
    <row r="862" spans="1:4">
      <c r="A862" s="655" t="str">
        <f t="shared" ca="1" si="3"/>
        <v>A11</v>
      </c>
      <c r="B862" s="2578" t="s">
        <v>395</v>
      </c>
      <c r="C862" t="s">
        <v>176</v>
      </c>
      <c r="D862" t="s">
        <v>371</v>
      </c>
    </row>
    <row r="863" spans="1:4">
      <c r="A863" s="655" t="str">
        <f t="shared" ca="1" si="3"/>
        <v>A11</v>
      </c>
      <c r="B863" s="2578" t="s">
        <v>396</v>
      </c>
      <c r="C863" t="s">
        <v>176</v>
      </c>
      <c r="D863" t="s">
        <v>371</v>
      </c>
    </row>
    <row r="864" spans="1:4">
      <c r="A864" s="655" t="str">
        <f t="shared" ca="1" si="3"/>
        <v>A12</v>
      </c>
      <c r="B864" s="2578" t="s">
        <v>397</v>
      </c>
      <c r="C864" t="s">
        <v>176</v>
      </c>
      <c r="D864" t="s">
        <v>371</v>
      </c>
    </row>
    <row r="865" spans="1:4">
      <c r="A865" s="655" t="str">
        <f t="shared" ca="1" si="3"/>
        <v>A12</v>
      </c>
      <c r="B865" s="2578" t="s">
        <v>398</v>
      </c>
      <c r="C865" t="s">
        <v>176</v>
      </c>
      <c r="D865" t="s">
        <v>371</v>
      </c>
    </row>
    <row r="866" spans="1:4">
      <c r="A866" s="655" t="str">
        <f t="shared" ca="1" si="3"/>
        <v>A13</v>
      </c>
      <c r="B866" s="2578" t="s">
        <v>399</v>
      </c>
      <c r="C866" t="s">
        <v>176</v>
      </c>
      <c r="D866" t="s">
        <v>371</v>
      </c>
    </row>
    <row r="867" spans="1:4">
      <c r="A867" s="655" t="str">
        <f t="shared" ca="1" si="3"/>
        <v>A13</v>
      </c>
      <c r="B867" s="2578" t="s">
        <v>400</v>
      </c>
      <c r="C867" t="s">
        <v>176</v>
      </c>
      <c r="D867" t="s">
        <v>371</v>
      </c>
    </row>
    <row r="868" spans="1:4">
      <c r="A868" s="655" t="str">
        <f t="shared" ca="1" si="3"/>
        <v>A13</v>
      </c>
      <c r="B868" s="2578" t="s">
        <v>401</v>
      </c>
      <c r="C868" t="s">
        <v>176</v>
      </c>
      <c r="D868" t="s">
        <v>371</v>
      </c>
    </row>
    <row r="869" spans="1:4">
      <c r="A869" s="655" t="str">
        <f t="shared" ca="1" si="3"/>
        <v>A13</v>
      </c>
      <c r="B869" s="2578" t="s">
        <v>402</v>
      </c>
      <c r="C869" t="s">
        <v>176</v>
      </c>
      <c r="D869" t="s">
        <v>371</v>
      </c>
    </row>
    <row r="870" spans="1:4">
      <c r="A870" s="655" t="str">
        <f t="shared" ca="1" si="3"/>
        <v>A14</v>
      </c>
      <c r="B870" s="2578" t="s">
        <v>403</v>
      </c>
      <c r="C870" t="s">
        <v>176</v>
      </c>
      <c r="D870" t="s">
        <v>371</v>
      </c>
    </row>
    <row r="871" spans="1:4">
      <c r="A871" s="655" t="str">
        <f t="shared" ca="1" si="3"/>
        <v>A14</v>
      </c>
      <c r="B871" s="2578" t="s">
        <v>404</v>
      </c>
      <c r="C871" t="s">
        <v>176</v>
      </c>
      <c r="D871" t="s">
        <v>371</v>
      </c>
    </row>
    <row r="872" spans="1:4">
      <c r="A872" s="655" t="str">
        <f t="shared" ca="1" si="3"/>
        <v>A14</v>
      </c>
      <c r="B872" s="2578" t="s">
        <v>405</v>
      </c>
      <c r="C872" t="s">
        <v>176</v>
      </c>
      <c r="D872" t="s">
        <v>371</v>
      </c>
    </row>
    <row r="873" spans="1:4">
      <c r="A873" s="655" t="str">
        <f t="shared" ca="1" si="3"/>
        <v>A15</v>
      </c>
      <c r="B873" s="2578" t="s">
        <v>406</v>
      </c>
      <c r="C873" t="s">
        <v>176</v>
      </c>
      <c r="D873" t="s">
        <v>371</v>
      </c>
    </row>
    <row r="874" spans="1:4">
      <c r="A874" s="655" t="str">
        <f t="shared" ca="1" si="3"/>
        <v>A16</v>
      </c>
      <c r="B874" s="2578" t="s">
        <v>407</v>
      </c>
      <c r="C874" t="s">
        <v>176</v>
      </c>
      <c r="D874" t="s">
        <v>371</v>
      </c>
    </row>
    <row r="875" spans="1:4">
      <c r="A875" s="655" t="str">
        <f t="shared" ca="1" si="3"/>
        <v>A17</v>
      </c>
      <c r="B875" s="2578">
        <v>0</v>
      </c>
      <c r="C875" t="s">
        <v>176</v>
      </c>
      <c r="D875" t="s">
        <v>371</v>
      </c>
    </row>
    <row r="876" spans="1:4">
      <c r="A876" s="655" t="str">
        <f t="shared" ca="1" si="3"/>
        <v>A18</v>
      </c>
      <c r="B876" s="2578" t="s">
        <v>408</v>
      </c>
      <c r="C876" t="s">
        <v>176</v>
      </c>
      <c r="D876" t="s">
        <v>371</v>
      </c>
    </row>
    <row r="877" spans="1:4">
      <c r="A877" s="655" t="str">
        <f t="shared" ca="1" si="3"/>
        <v>A18</v>
      </c>
      <c r="B877" s="2578" t="s">
        <v>409</v>
      </c>
      <c r="C877" t="s">
        <v>176</v>
      </c>
      <c r="D877" t="s">
        <v>371</v>
      </c>
    </row>
    <row r="878" spans="1:4">
      <c r="A878" s="655" t="str">
        <f t="shared" ca="1" si="3"/>
        <v>A18</v>
      </c>
      <c r="B878" s="2578" t="s">
        <v>410</v>
      </c>
      <c r="C878" t="s">
        <v>176</v>
      </c>
      <c r="D878" t="s">
        <v>371</v>
      </c>
    </row>
    <row r="879" spans="1:4">
      <c r="A879" s="655" t="str">
        <f t="shared" ca="1" si="3"/>
        <v>A19</v>
      </c>
      <c r="B879" s="2578" t="s">
        <v>411</v>
      </c>
      <c r="C879" t="s">
        <v>176</v>
      </c>
      <c r="D879" t="s">
        <v>371</v>
      </c>
    </row>
    <row r="880" spans="1:4">
      <c r="A880" s="655" t="str">
        <f t="shared" ca="1" si="3"/>
        <v>A20</v>
      </c>
      <c r="B880" s="2578" t="s">
        <v>412</v>
      </c>
      <c r="C880" t="s">
        <v>176</v>
      </c>
      <c r="D880" t="s">
        <v>371</v>
      </c>
    </row>
    <row r="881" spans="1:4">
      <c r="A881" s="655" t="str">
        <f t="shared" ca="1" si="3"/>
        <v>A21</v>
      </c>
      <c r="B881" s="2578" t="s">
        <v>413</v>
      </c>
      <c r="C881" t="s">
        <v>176</v>
      </c>
      <c r="D881" t="s">
        <v>371</v>
      </c>
    </row>
    <row r="882" spans="1:4">
      <c r="A882" s="655" t="str">
        <f t="shared" ref="A882:A945" ca="1" si="4">IF(INDEX(INDIRECT("'"&amp;D882&amp;"'!A:D"),MATCH(B882,INDIRECT("'"&amp;D882&amp;"'!B:B"),0),1)=0,A881,INDEX(INDIRECT("'"&amp;D882&amp;"'!A:D"),MATCH(B882,INDIRECT("'"&amp;D882&amp;"'!B:B"),0),1))</f>
        <v>A21</v>
      </c>
      <c r="B882" s="2578" t="s">
        <v>414</v>
      </c>
      <c r="C882" t="s">
        <v>176</v>
      </c>
      <c r="D882" t="s">
        <v>371</v>
      </c>
    </row>
    <row r="883" spans="1:4">
      <c r="A883" s="655" t="str">
        <f t="shared" ca="1" si="4"/>
        <v>A22</v>
      </c>
      <c r="B883" s="2578" t="s">
        <v>415</v>
      </c>
      <c r="C883" t="s">
        <v>176</v>
      </c>
      <c r="D883" t="s">
        <v>371</v>
      </c>
    </row>
    <row r="884" spans="1:4">
      <c r="A884" s="655" t="str">
        <f t="shared" ca="1" si="4"/>
        <v>A22</v>
      </c>
      <c r="B884" s="2578" t="s">
        <v>416</v>
      </c>
      <c r="C884" t="s">
        <v>176</v>
      </c>
      <c r="D884" t="s">
        <v>371</v>
      </c>
    </row>
    <row r="885" spans="1:4">
      <c r="A885" s="655" t="str">
        <f t="shared" ca="1" si="4"/>
        <v>A22</v>
      </c>
      <c r="B885" s="2578" t="s">
        <v>417</v>
      </c>
      <c r="C885" t="s">
        <v>176</v>
      </c>
      <c r="D885" t="s">
        <v>371</v>
      </c>
    </row>
    <row r="886" spans="1:4">
      <c r="A886" s="655" t="str">
        <f t="shared" ca="1" si="4"/>
        <v>A22</v>
      </c>
      <c r="B886" s="2578" t="s">
        <v>418</v>
      </c>
      <c r="C886" t="s">
        <v>176</v>
      </c>
      <c r="D886" t="s">
        <v>371</v>
      </c>
    </row>
    <row r="887" spans="1:4">
      <c r="A887" s="655" t="str">
        <f t="shared" ca="1" si="4"/>
        <v>A22</v>
      </c>
      <c r="B887" s="2578" t="s">
        <v>419</v>
      </c>
      <c r="C887" t="s">
        <v>176</v>
      </c>
      <c r="D887" t="s">
        <v>371</v>
      </c>
    </row>
    <row r="888" spans="1:4">
      <c r="A888" s="655" t="str">
        <f t="shared" ca="1" si="4"/>
        <v>A22</v>
      </c>
      <c r="B888" s="2578" t="s">
        <v>420</v>
      </c>
      <c r="C888" t="s">
        <v>176</v>
      </c>
      <c r="D888" t="s">
        <v>371</v>
      </c>
    </row>
    <row r="889" spans="1:4">
      <c r="A889" s="655" t="str">
        <f t="shared" ca="1" si="4"/>
        <v>A22</v>
      </c>
      <c r="B889" s="2578" t="s">
        <v>421</v>
      </c>
      <c r="C889" t="s">
        <v>176</v>
      </c>
      <c r="D889" t="s">
        <v>371</v>
      </c>
    </row>
    <row r="890" spans="1:4">
      <c r="A890" s="655" t="str">
        <f t="shared" ca="1" si="4"/>
        <v>A23</v>
      </c>
      <c r="B890" s="2578" t="s">
        <v>422</v>
      </c>
      <c r="C890" t="s">
        <v>176</v>
      </c>
      <c r="D890" t="s">
        <v>371</v>
      </c>
    </row>
    <row r="891" spans="1:4">
      <c r="A891" s="655" t="str">
        <f t="shared" ca="1" si="4"/>
        <v>A23</v>
      </c>
      <c r="B891" s="2578" t="s">
        <v>423</v>
      </c>
      <c r="C891" t="s">
        <v>176</v>
      </c>
      <c r="D891" t="s">
        <v>371</v>
      </c>
    </row>
    <row r="892" spans="1:4">
      <c r="A892" s="655" t="str">
        <f t="shared" ca="1" si="4"/>
        <v>A23</v>
      </c>
      <c r="B892" s="2578" t="s">
        <v>424</v>
      </c>
      <c r="C892" t="s">
        <v>176</v>
      </c>
      <c r="D892" t="s">
        <v>371</v>
      </c>
    </row>
    <row r="893" spans="1:4">
      <c r="A893" s="655" t="str">
        <f t="shared" ca="1" si="4"/>
        <v>A23</v>
      </c>
      <c r="B893" s="2578" t="s">
        <v>425</v>
      </c>
      <c r="C893" t="s">
        <v>176</v>
      </c>
      <c r="D893" t="s">
        <v>371</v>
      </c>
    </row>
    <row r="894" spans="1:4">
      <c r="A894" s="655" t="str">
        <f t="shared" ca="1" si="4"/>
        <v>A23</v>
      </c>
      <c r="B894" s="2578" t="s">
        <v>426</v>
      </c>
      <c r="C894" t="s">
        <v>176</v>
      </c>
      <c r="D894" t="s">
        <v>371</v>
      </c>
    </row>
    <row r="895" spans="1:4">
      <c r="A895" s="655" t="str">
        <f t="shared" ca="1" si="4"/>
        <v>A17</v>
      </c>
      <c r="B895" s="2578">
        <v>0</v>
      </c>
      <c r="C895" t="s">
        <v>176</v>
      </c>
      <c r="D895" t="s">
        <v>371</v>
      </c>
    </row>
    <row r="896" spans="1:4">
      <c r="A896" s="655" t="str">
        <f t="shared" ca="1" si="4"/>
        <v>A17</v>
      </c>
      <c r="B896" s="2578">
        <v>0</v>
      </c>
      <c r="C896" t="s">
        <v>176</v>
      </c>
      <c r="D896" t="s">
        <v>371</v>
      </c>
    </row>
    <row r="897" spans="1:4">
      <c r="A897" s="655" t="str">
        <f t="shared" ca="1" si="4"/>
        <v>A17</v>
      </c>
      <c r="B897" s="2578">
        <v>0</v>
      </c>
      <c r="C897" t="s">
        <v>176</v>
      </c>
      <c r="D897" t="s">
        <v>371</v>
      </c>
    </row>
    <row r="898" spans="1:4">
      <c r="A898" s="655" t="str">
        <f t="shared" ca="1" si="4"/>
        <v>A25</v>
      </c>
      <c r="B898" s="2578" t="s">
        <v>427</v>
      </c>
      <c r="C898" t="s">
        <v>176</v>
      </c>
      <c r="D898" t="s">
        <v>371</v>
      </c>
    </row>
    <row r="899" spans="1:4">
      <c r="A899" s="655" t="str">
        <f t="shared" ca="1" si="4"/>
        <v>A25</v>
      </c>
      <c r="B899" s="2578" t="s">
        <v>428</v>
      </c>
      <c r="C899" t="s">
        <v>176</v>
      </c>
      <c r="D899" t="s">
        <v>371</v>
      </c>
    </row>
    <row r="900" spans="1:4">
      <c r="A900" s="655" t="str">
        <f t="shared" ca="1" si="4"/>
        <v>A17</v>
      </c>
      <c r="B900" s="2578">
        <v>0</v>
      </c>
      <c r="C900" t="s">
        <v>176</v>
      </c>
      <c r="D900" t="s">
        <v>371</v>
      </c>
    </row>
    <row r="901" spans="1:4">
      <c r="A901" s="655" t="str">
        <f t="shared" ca="1" si="4"/>
        <v>A17</v>
      </c>
      <c r="B901" s="2578">
        <v>0</v>
      </c>
      <c r="C901" t="s">
        <v>176</v>
      </c>
      <c r="D901" t="s">
        <v>371</v>
      </c>
    </row>
    <row r="902" spans="1:4">
      <c r="A902" s="655" t="str">
        <f t="shared" ca="1" si="4"/>
        <v>A17</v>
      </c>
      <c r="B902" s="2578">
        <v>0</v>
      </c>
      <c r="C902" t="s">
        <v>176</v>
      </c>
      <c r="D902" t="s">
        <v>371</v>
      </c>
    </row>
    <row r="903" spans="1:4">
      <c r="A903" s="655" t="str">
        <f t="shared" ca="1" si="4"/>
        <v>A27</v>
      </c>
      <c r="B903" s="2578" t="s">
        <v>429</v>
      </c>
      <c r="C903" t="s">
        <v>176</v>
      </c>
      <c r="D903" t="s">
        <v>371</v>
      </c>
    </row>
    <row r="904" spans="1:4">
      <c r="A904" s="655" t="str">
        <f t="shared" ca="1" si="4"/>
        <v>A28</v>
      </c>
      <c r="B904" s="2578" t="s">
        <v>430</v>
      </c>
      <c r="C904" t="s">
        <v>176</v>
      </c>
      <c r="D904" t="s">
        <v>371</v>
      </c>
    </row>
    <row r="905" spans="1:4">
      <c r="A905" s="655" t="str">
        <f t="shared" ca="1" si="4"/>
        <v>A29</v>
      </c>
      <c r="B905" s="2578" t="s">
        <v>431</v>
      </c>
      <c r="C905" t="s">
        <v>176</v>
      </c>
      <c r="D905" t="s">
        <v>371</v>
      </c>
    </row>
    <row r="906" spans="1:4">
      <c r="A906" s="655" t="str">
        <f t="shared" ca="1" si="4"/>
        <v>A29</v>
      </c>
      <c r="B906" s="2578" t="s">
        <v>432</v>
      </c>
      <c r="C906" t="s">
        <v>176</v>
      </c>
      <c r="D906" t="s">
        <v>371</v>
      </c>
    </row>
    <row r="907" spans="1:4">
      <c r="A907" s="655" t="str">
        <f t="shared" ca="1" si="4"/>
        <v>A29</v>
      </c>
      <c r="B907" s="2578" t="s">
        <v>433</v>
      </c>
      <c r="C907" t="s">
        <v>176</v>
      </c>
      <c r="D907" t="s">
        <v>371</v>
      </c>
    </row>
    <row r="908" spans="1:4">
      <c r="A908" s="655" t="str">
        <f t="shared" ca="1" si="4"/>
        <v>A17</v>
      </c>
      <c r="B908" s="2578">
        <v>0</v>
      </c>
      <c r="C908" t="s">
        <v>176</v>
      </c>
      <c r="D908" t="s">
        <v>371</v>
      </c>
    </row>
    <row r="909" spans="1:4">
      <c r="A909" s="655" t="str">
        <f t="shared" ca="1" si="4"/>
        <v>A17</v>
      </c>
      <c r="B909" s="2578" t="s">
        <v>434</v>
      </c>
      <c r="C909" t="s">
        <v>176</v>
      </c>
      <c r="D909" t="s">
        <v>371</v>
      </c>
    </row>
    <row r="910" spans="1:4">
      <c r="A910" s="655" t="str">
        <f t="shared" ca="1" si="4"/>
        <v>A17</v>
      </c>
      <c r="B910" s="2578">
        <v>0</v>
      </c>
      <c r="C910" t="s">
        <v>176</v>
      </c>
      <c r="D910" t="s">
        <v>371</v>
      </c>
    </row>
    <row r="911" spans="1:4">
      <c r="A911" s="655" t="str">
        <f t="shared" ca="1" si="4"/>
        <v>A31</v>
      </c>
      <c r="B911" s="2578" t="s">
        <v>435</v>
      </c>
      <c r="C911" t="s">
        <v>176</v>
      </c>
      <c r="D911" t="s">
        <v>371</v>
      </c>
    </row>
    <row r="912" spans="1:4">
      <c r="A912" s="655" t="str">
        <f t="shared" ca="1" si="4"/>
        <v>A31</v>
      </c>
      <c r="B912" s="2578" t="s">
        <v>436</v>
      </c>
      <c r="C912" t="s">
        <v>176</v>
      </c>
      <c r="D912" t="s">
        <v>371</v>
      </c>
    </row>
    <row r="913" spans="1:4">
      <c r="A913" s="655" t="str">
        <f t="shared" ca="1" si="4"/>
        <v>A31</v>
      </c>
      <c r="B913" s="2578" t="s">
        <v>437</v>
      </c>
      <c r="C913" t="s">
        <v>176</v>
      </c>
      <c r="D913" t="s">
        <v>371</v>
      </c>
    </row>
    <row r="914" spans="1:4">
      <c r="A914" s="655" t="str">
        <f t="shared" ca="1" si="4"/>
        <v>A31</v>
      </c>
      <c r="B914" s="2578" t="s">
        <v>438</v>
      </c>
      <c r="C914" t="s">
        <v>176</v>
      </c>
      <c r="D914" t="s">
        <v>371</v>
      </c>
    </row>
    <row r="915" spans="1:4">
      <c r="A915" s="655" t="str">
        <f t="shared" ca="1" si="4"/>
        <v>A32</v>
      </c>
      <c r="B915" s="2578" t="s">
        <v>439</v>
      </c>
      <c r="C915" t="s">
        <v>176</v>
      </c>
      <c r="D915" t="s">
        <v>371</v>
      </c>
    </row>
    <row r="916" spans="1:4">
      <c r="A916" s="655" t="str">
        <f t="shared" ca="1" si="4"/>
        <v>A17</v>
      </c>
      <c r="B916" s="2578">
        <v>0</v>
      </c>
      <c r="C916" t="s">
        <v>176</v>
      </c>
      <c r="D916" t="s">
        <v>371</v>
      </c>
    </row>
    <row r="917" spans="1:4">
      <c r="A917" s="655" t="str">
        <f t="shared" ca="1" si="4"/>
        <v>A17</v>
      </c>
      <c r="B917" s="2578">
        <v>0</v>
      </c>
      <c r="C917" t="s">
        <v>176</v>
      </c>
      <c r="D917" t="s">
        <v>371</v>
      </c>
    </row>
    <row r="918" spans="1:4">
      <c r="A918" s="655" t="str">
        <f t="shared" ca="1" si="4"/>
        <v>A17</v>
      </c>
      <c r="B918" s="2578">
        <v>0</v>
      </c>
      <c r="C918" t="s">
        <v>176</v>
      </c>
      <c r="D918" t="s">
        <v>371</v>
      </c>
    </row>
    <row r="919" spans="1:4">
      <c r="A919" s="655" t="str">
        <f t="shared" ca="1" si="4"/>
        <v>A34</v>
      </c>
      <c r="B919" s="2578" t="s">
        <v>440</v>
      </c>
      <c r="C919" t="s">
        <v>176</v>
      </c>
      <c r="D919" t="s">
        <v>371</v>
      </c>
    </row>
    <row r="920" spans="1:4">
      <c r="A920" s="655" t="str">
        <f t="shared" ca="1" si="4"/>
        <v>A35</v>
      </c>
      <c r="B920" s="2578" t="s">
        <v>441</v>
      </c>
      <c r="C920" t="s">
        <v>176</v>
      </c>
      <c r="D920" t="s">
        <v>371</v>
      </c>
    </row>
    <row r="921" spans="1:4">
      <c r="A921" s="655" t="str">
        <f t="shared" ca="1" si="4"/>
        <v>A35</v>
      </c>
      <c r="B921" s="2578" t="s">
        <v>442</v>
      </c>
      <c r="C921" t="s">
        <v>176</v>
      </c>
      <c r="D921" t="s">
        <v>371</v>
      </c>
    </row>
    <row r="922" spans="1:4">
      <c r="A922" s="655" t="str">
        <f t="shared" ca="1" si="4"/>
        <v>A35</v>
      </c>
      <c r="B922" s="2578" t="s">
        <v>443</v>
      </c>
      <c r="C922" t="s">
        <v>176</v>
      </c>
      <c r="D922" t="s">
        <v>371</v>
      </c>
    </row>
    <row r="923" spans="1:4">
      <c r="A923" s="655" t="str">
        <f t="shared" ca="1" si="4"/>
        <v>A35</v>
      </c>
      <c r="B923" s="2578" t="s">
        <v>444</v>
      </c>
      <c r="C923" t="s">
        <v>176</v>
      </c>
      <c r="D923" t="s">
        <v>371</v>
      </c>
    </row>
    <row r="924" spans="1:4">
      <c r="A924" s="655" t="str">
        <f t="shared" ca="1" si="4"/>
        <v>A36</v>
      </c>
      <c r="B924" s="2578" t="s">
        <v>445</v>
      </c>
      <c r="C924" t="s">
        <v>176</v>
      </c>
      <c r="D924" t="s">
        <v>371</v>
      </c>
    </row>
    <row r="925" spans="1:4">
      <c r="A925" s="655" t="str">
        <f t="shared" ca="1" si="4"/>
        <v>A36</v>
      </c>
      <c r="B925" s="2578" t="s">
        <v>446</v>
      </c>
      <c r="C925" t="s">
        <v>176</v>
      </c>
      <c r="D925" t="s">
        <v>371</v>
      </c>
    </row>
    <row r="926" spans="1:4">
      <c r="A926" s="655" t="str">
        <f t="shared" ca="1" si="4"/>
        <v>A37</v>
      </c>
      <c r="B926" s="2578" t="s">
        <v>447</v>
      </c>
      <c r="C926" t="s">
        <v>176</v>
      </c>
      <c r="D926" t="s">
        <v>371</v>
      </c>
    </row>
    <row r="927" spans="1:4">
      <c r="A927" s="655" t="str">
        <f t="shared" ca="1" si="4"/>
        <v>A37</v>
      </c>
      <c r="B927" s="2578" t="s">
        <v>448</v>
      </c>
      <c r="C927" t="s">
        <v>176</v>
      </c>
      <c r="D927" t="s">
        <v>371</v>
      </c>
    </row>
    <row r="928" spans="1:4">
      <c r="A928" s="655" t="str">
        <f t="shared" ca="1" si="4"/>
        <v>A38</v>
      </c>
      <c r="B928" s="2578" t="s">
        <v>449</v>
      </c>
      <c r="C928" t="s">
        <v>176</v>
      </c>
      <c r="D928" t="s">
        <v>371</v>
      </c>
    </row>
    <row r="929" spans="1:4">
      <c r="A929" s="655" t="str">
        <f t="shared" ca="1" si="4"/>
        <v>A38</v>
      </c>
      <c r="B929" s="2578" t="s">
        <v>450</v>
      </c>
      <c r="C929" t="s">
        <v>176</v>
      </c>
      <c r="D929" t="s">
        <v>371</v>
      </c>
    </row>
    <row r="930" spans="1:4">
      <c r="A930" s="655" t="str">
        <f t="shared" ca="1" si="4"/>
        <v>A39</v>
      </c>
      <c r="B930" s="2578" t="s">
        <v>451</v>
      </c>
      <c r="C930" t="s">
        <v>176</v>
      </c>
      <c r="D930" t="s">
        <v>371</v>
      </c>
    </row>
    <row r="931" spans="1:4">
      <c r="A931" s="655" t="str">
        <f t="shared" ca="1" si="4"/>
        <v>A40</v>
      </c>
      <c r="B931" s="2578" t="s">
        <v>452</v>
      </c>
      <c r="C931" t="s">
        <v>176</v>
      </c>
      <c r="D931" t="s">
        <v>371</v>
      </c>
    </row>
    <row r="932" spans="1:4">
      <c r="A932" s="655" t="str">
        <f t="shared" ca="1" si="4"/>
        <v>A40</v>
      </c>
      <c r="B932" s="2578" t="s">
        <v>453</v>
      </c>
      <c r="C932" t="s">
        <v>176</v>
      </c>
      <c r="D932" t="s">
        <v>371</v>
      </c>
    </row>
    <row r="933" spans="1:4">
      <c r="A933" s="655" t="str">
        <f t="shared" ca="1" si="4"/>
        <v>A41</v>
      </c>
      <c r="B933" s="2578" t="s">
        <v>454</v>
      </c>
      <c r="C933" t="s">
        <v>176</v>
      </c>
      <c r="D933" t="s">
        <v>371</v>
      </c>
    </row>
    <row r="934" spans="1:4">
      <c r="A934" s="655" t="str">
        <f t="shared" ca="1" si="4"/>
        <v>A41</v>
      </c>
      <c r="B934" s="2578" t="s">
        <v>455</v>
      </c>
      <c r="C934" t="s">
        <v>176</v>
      </c>
      <c r="D934" t="s">
        <v>371</v>
      </c>
    </row>
    <row r="935" spans="1:4">
      <c r="A935" s="655" t="str">
        <f t="shared" ca="1" si="4"/>
        <v>A42</v>
      </c>
      <c r="B935" s="2578" t="s">
        <v>456</v>
      </c>
      <c r="C935" t="s">
        <v>176</v>
      </c>
      <c r="D935" t="s">
        <v>371</v>
      </c>
    </row>
    <row r="936" spans="1:4">
      <c r="A936" s="655" t="str">
        <f t="shared" ca="1" si="4"/>
        <v>A42</v>
      </c>
      <c r="B936" s="2578" t="s">
        <v>457</v>
      </c>
      <c r="C936" t="s">
        <v>176</v>
      </c>
      <c r="D936" t="s">
        <v>371</v>
      </c>
    </row>
    <row r="937" spans="1:4">
      <c r="A937" s="655" t="str">
        <f t="shared" ca="1" si="4"/>
        <v>A43</v>
      </c>
      <c r="B937" s="2578" t="s">
        <v>458</v>
      </c>
      <c r="C937" t="s">
        <v>176</v>
      </c>
      <c r="D937" t="s">
        <v>371</v>
      </c>
    </row>
    <row r="938" spans="1:4">
      <c r="A938" s="655" t="str">
        <f t="shared" ca="1" si="4"/>
        <v>A43</v>
      </c>
      <c r="B938" s="2578" t="s">
        <v>459</v>
      </c>
      <c r="C938" t="s">
        <v>176</v>
      </c>
      <c r="D938" t="s">
        <v>371</v>
      </c>
    </row>
    <row r="939" spans="1:4">
      <c r="A939" s="655" t="str">
        <f t="shared" ca="1" si="4"/>
        <v>A43</v>
      </c>
      <c r="B939" s="2578" t="s">
        <v>460</v>
      </c>
      <c r="C939" t="s">
        <v>176</v>
      </c>
      <c r="D939" t="s">
        <v>371</v>
      </c>
    </row>
    <row r="940" spans="1:4">
      <c r="A940" s="655" t="str">
        <f t="shared" ca="1" si="4"/>
        <v>A43</v>
      </c>
      <c r="B940" s="2578" t="s">
        <v>461</v>
      </c>
      <c r="C940" t="s">
        <v>176</v>
      </c>
      <c r="D940" t="s">
        <v>371</v>
      </c>
    </row>
    <row r="941" spans="1:4">
      <c r="A941" s="655" t="str">
        <f t="shared" ca="1" si="4"/>
        <v>A43</v>
      </c>
      <c r="B941" s="2578" t="s">
        <v>462</v>
      </c>
      <c r="C941" t="s">
        <v>176</v>
      </c>
      <c r="D941" t="s">
        <v>371</v>
      </c>
    </row>
    <row r="942" spans="1:4">
      <c r="A942" s="655" t="str">
        <f t="shared" ca="1" si="4"/>
        <v>A43</v>
      </c>
      <c r="B942" s="2578" t="s">
        <v>463</v>
      </c>
      <c r="C942" t="s">
        <v>176</v>
      </c>
      <c r="D942" t="s">
        <v>371</v>
      </c>
    </row>
    <row r="943" spans="1:4">
      <c r="A943" s="655" t="str">
        <f t="shared" ca="1" si="4"/>
        <v>A44</v>
      </c>
      <c r="B943" s="2578" t="s">
        <v>464</v>
      </c>
      <c r="C943" t="s">
        <v>176</v>
      </c>
      <c r="D943" t="s">
        <v>371</v>
      </c>
    </row>
    <row r="944" spans="1:4">
      <c r="A944" s="655" t="str">
        <f t="shared" ca="1" si="4"/>
        <v>A44</v>
      </c>
      <c r="B944" s="2578" t="s">
        <v>465</v>
      </c>
      <c r="C944" t="s">
        <v>176</v>
      </c>
      <c r="D944" t="s">
        <v>371</v>
      </c>
    </row>
    <row r="945" spans="1:4">
      <c r="A945" s="655" t="str">
        <f t="shared" ca="1" si="4"/>
        <v>A44</v>
      </c>
      <c r="B945" s="2578" t="s">
        <v>466</v>
      </c>
      <c r="C945" t="s">
        <v>176</v>
      </c>
      <c r="D945" t="s">
        <v>371</v>
      </c>
    </row>
    <row r="946" spans="1:4">
      <c r="A946" s="655" t="str">
        <f t="shared" ref="A946:A1009" ca="1" si="5">IF(INDEX(INDIRECT("'"&amp;D946&amp;"'!A:D"),MATCH(B946,INDIRECT("'"&amp;D946&amp;"'!B:B"),0),1)=0,A945,INDEX(INDIRECT("'"&amp;D946&amp;"'!A:D"),MATCH(B946,INDIRECT("'"&amp;D946&amp;"'!B:B"),0),1))</f>
        <v>A45</v>
      </c>
      <c r="B946" s="2578" t="s">
        <v>467</v>
      </c>
      <c r="C946" t="s">
        <v>176</v>
      </c>
      <c r="D946" t="s">
        <v>371</v>
      </c>
    </row>
    <row r="947" spans="1:4">
      <c r="A947" s="655" t="str">
        <f t="shared" ca="1" si="5"/>
        <v>A45</v>
      </c>
      <c r="B947" s="2578" t="s">
        <v>468</v>
      </c>
      <c r="C947" t="s">
        <v>176</v>
      </c>
      <c r="D947" t="s">
        <v>371</v>
      </c>
    </row>
    <row r="948" spans="1:4">
      <c r="A948" s="655" t="str">
        <f t="shared" ca="1" si="5"/>
        <v>A46</v>
      </c>
      <c r="B948" s="2578" t="s">
        <v>469</v>
      </c>
      <c r="C948" t="s">
        <v>176</v>
      </c>
      <c r="D948" t="s">
        <v>371</v>
      </c>
    </row>
    <row r="949" spans="1:4">
      <c r="A949" s="655" t="str">
        <f t="shared" ca="1" si="5"/>
        <v>A46</v>
      </c>
      <c r="B949" s="2578" t="s">
        <v>470</v>
      </c>
      <c r="C949" t="s">
        <v>176</v>
      </c>
      <c r="D949" t="s">
        <v>371</v>
      </c>
    </row>
    <row r="950" spans="1:4">
      <c r="A950" s="655" t="str">
        <f t="shared" ca="1" si="5"/>
        <v>A47</v>
      </c>
      <c r="B950" s="2578" t="s">
        <v>471</v>
      </c>
      <c r="C950" t="s">
        <v>176</v>
      </c>
      <c r="D950" t="s">
        <v>371</v>
      </c>
    </row>
    <row r="951" spans="1:4">
      <c r="A951" s="655" t="str">
        <f t="shared" ca="1" si="5"/>
        <v>A47</v>
      </c>
      <c r="B951" s="2578" t="s">
        <v>472</v>
      </c>
      <c r="C951" t="s">
        <v>176</v>
      </c>
      <c r="D951" t="s">
        <v>371</v>
      </c>
    </row>
    <row r="952" spans="1:4">
      <c r="A952" s="655" t="str">
        <f t="shared" ca="1" si="5"/>
        <v>A48</v>
      </c>
      <c r="B952" s="2578" t="s">
        <v>473</v>
      </c>
      <c r="C952" t="s">
        <v>176</v>
      </c>
      <c r="D952" t="s">
        <v>371</v>
      </c>
    </row>
    <row r="953" spans="1:4">
      <c r="A953" s="655" t="str">
        <f t="shared" ca="1" si="5"/>
        <v>A48</v>
      </c>
      <c r="B953" s="2578" t="s">
        <v>474</v>
      </c>
      <c r="C953" t="s">
        <v>176</v>
      </c>
      <c r="D953" t="s">
        <v>371</v>
      </c>
    </row>
    <row r="954" spans="1:4">
      <c r="A954" s="655" t="str">
        <f t="shared" ca="1" si="5"/>
        <v>A49</v>
      </c>
      <c r="B954" s="2578" t="s">
        <v>475</v>
      </c>
      <c r="C954" t="s">
        <v>176</v>
      </c>
      <c r="D954" t="s">
        <v>371</v>
      </c>
    </row>
    <row r="955" spans="1:4">
      <c r="A955" s="655" t="str">
        <f t="shared" ca="1" si="5"/>
        <v>A49</v>
      </c>
      <c r="B955" s="2578" t="s">
        <v>476</v>
      </c>
      <c r="C955" t="s">
        <v>176</v>
      </c>
      <c r="D955" t="s">
        <v>371</v>
      </c>
    </row>
    <row r="956" spans="1:4">
      <c r="A956" s="655" t="str">
        <f t="shared" ca="1" si="5"/>
        <v>A49</v>
      </c>
      <c r="B956" s="2578" t="s">
        <v>477</v>
      </c>
      <c r="C956" t="s">
        <v>176</v>
      </c>
      <c r="D956" t="s">
        <v>371</v>
      </c>
    </row>
    <row r="957" spans="1:4">
      <c r="A957" s="655" t="str">
        <f t="shared" ca="1" si="5"/>
        <v>A49</v>
      </c>
      <c r="B957" s="2578" t="s">
        <v>478</v>
      </c>
      <c r="C957" t="s">
        <v>176</v>
      </c>
      <c r="D957" t="s">
        <v>371</v>
      </c>
    </row>
    <row r="958" spans="1:4">
      <c r="A958" s="655" t="str">
        <f t="shared" ca="1" si="5"/>
        <v>A50</v>
      </c>
      <c r="B958" s="2578" t="s">
        <v>479</v>
      </c>
      <c r="C958" t="s">
        <v>176</v>
      </c>
      <c r="D958" t="s">
        <v>371</v>
      </c>
    </row>
    <row r="959" spans="1:4">
      <c r="A959" s="655" t="str">
        <f t="shared" ca="1" si="5"/>
        <v>A50</v>
      </c>
      <c r="B959" s="2578" t="s">
        <v>480</v>
      </c>
      <c r="C959" t="s">
        <v>176</v>
      </c>
      <c r="D959" t="s">
        <v>371</v>
      </c>
    </row>
    <row r="960" spans="1:4">
      <c r="A960" s="655" t="str">
        <f t="shared" ca="1" si="5"/>
        <v>A51</v>
      </c>
      <c r="B960" s="2578" t="s">
        <v>481</v>
      </c>
      <c r="C960" t="s">
        <v>176</v>
      </c>
      <c r="D960" t="s">
        <v>371</v>
      </c>
    </row>
    <row r="961" spans="1:4">
      <c r="A961" s="655" t="str">
        <f t="shared" ca="1" si="5"/>
        <v>A51</v>
      </c>
      <c r="B961" s="2578" t="s">
        <v>482</v>
      </c>
      <c r="C961" t="s">
        <v>176</v>
      </c>
      <c r="D961" t="s">
        <v>371</v>
      </c>
    </row>
    <row r="962" spans="1:4">
      <c r="A962" s="655" t="str">
        <f t="shared" ca="1" si="5"/>
        <v>A51</v>
      </c>
      <c r="B962" s="2578" t="s">
        <v>483</v>
      </c>
      <c r="C962" t="s">
        <v>176</v>
      </c>
      <c r="D962" t="s">
        <v>371</v>
      </c>
    </row>
    <row r="963" spans="1:4">
      <c r="A963" s="655" t="str">
        <f t="shared" ca="1" si="5"/>
        <v>A52</v>
      </c>
      <c r="B963" s="2578" t="s">
        <v>484</v>
      </c>
      <c r="C963" t="s">
        <v>176</v>
      </c>
      <c r="D963" t="s">
        <v>371</v>
      </c>
    </row>
    <row r="964" spans="1:4">
      <c r="A964" s="655" t="str">
        <f t="shared" ca="1" si="5"/>
        <v>A52</v>
      </c>
      <c r="B964" s="2578" t="s">
        <v>485</v>
      </c>
      <c r="C964" t="s">
        <v>176</v>
      </c>
      <c r="D964" t="s">
        <v>371</v>
      </c>
    </row>
    <row r="965" spans="1:4">
      <c r="A965" s="655" t="str">
        <f t="shared" ca="1" si="5"/>
        <v>A52</v>
      </c>
      <c r="B965" s="2578" t="s">
        <v>486</v>
      </c>
      <c r="C965" t="s">
        <v>176</v>
      </c>
      <c r="D965" t="s">
        <v>371</v>
      </c>
    </row>
    <row r="966" spans="1:4">
      <c r="A966" s="655" t="str">
        <f t="shared" ca="1" si="5"/>
        <v>A52</v>
      </c>
      <c r="B966" s="2578" t="s">
        <v>487</v>
      </c>
      <c r="C966" t="s">
        <v>176</v>
      </c>
      <c r="D966" t="s">
        <v>371</v>
      </c>
    </row>
    <row r="967" spans="1:4">
      <c r="A967" s="655" t="str">
        <f t="shared" ca="1" si="5"/>
        <v>A53</v>
      </c>
      <c r="B967" s="2578" t="s">
        <v>488</v>
      </c>
      <c r="C967" t="s">
        <v>176</v>
      </c>
      <c r="D967" t="s">
        <v>371</v>
      </c>
    </row>
    <row r="968" spans="1:4">
      <c r="A968" s="655" t="str">
        <f t="shared" ca="1" si="5"/>
        <v>A53</v>
      </c>
      <c r="B968" s="2578" t="s">
        <v>489</v>
      </c>
      <c r="C968" t="s">
        <v>176</v>
      </c>
      <c r="D968" t="s">
        <v>371</v>
      </c>
    </row>
    <row r="969" spans="1:4">
      <c r="A969" s="655" t="str">
        <f t="shared" ca="1" si="5"/>
        <v>A54</v>
      </c>
      <c r="B969" s="2578" t="s">
        <v>490</v>
      </c>
      <c r="C969" t="s">
        <v>176</v>
      </c>
      <c r="D969" t="s">
        <v>371</v>
      </c>
    </row>
    <row r="970" spans="1:4">
      <c r="A970" s="655" t="str">
        <f t="shared" ca="1" si="5"/>
        <v>A54</v>
      </c>
      <c r="B970" s="2578" t="s">
        <v>491</v>
      </c>
      <c r="C970" t="s">
        <v>176</v>
      </c>
      <c r="D970" t="s">
        <v>371</v>
      </c>
    </row>
    <row r="971" spans="1:4">
      <c r="A971" s="655" t="str">
        <f t="shared" ca="1" si="5"/>
        <v>A54</v>
      </c>
      <c r="B971" s="2578" t="s">
        <v>492</v>
      </c>
      <c r="C971" t="s">
        <v>176</v>
      </c>
      <c r="D971" t="s">
        <v>371</v>
      </c>
    </row>
    <row r="972" spans="1:4">
      <c r="A972" s="655" t="str">
        <f t="shared" ca="1" si="5"/>
        <v>A54</v>
      </c>
      <c r="B972" s="2578" t="s">
        <v>493</v>
      </c>
      <c r="C972" t="s">
        <v>176</v>
      </c>
      <c r="D972" t="s">
        <v>371</v>
      </c>
    </row>
    <row r="973" spans="1:4">
      <c r="A973" s="655" t="str">
        <f t="shared" ca="1" si="5"/>
        <v>A54</v>
      </c>
      <c r="B973" s="2578" t="s">
        <v>494</v>
      </c>
      <c r="C973" t="s">
        <v>176</v>
      </c>
      <c r="D973" t="s">
        <v>371</v>
      </c>
    </row>
    <row r="974" spans="1:4">
      <c r="A974" s="655" t="str">
        <f t="shared" ca="1" si="5"/>
        <v>A54</v>
      </c>
      <c r="B974" s="2578" t="s">
        <v>495</v>
      </c>
      <c r="C974" t="s">
        <v>176</v>
      </c>
      <c r="D974" t="s">
        <v>371</v>
      </c>
    </row>
    <row r="975" spans="1:4">
      <c r="A975" s="655" t="str">
        <f t="shared" ca="1" si="5"/>
        <v>A55</v>
      </c>
      <c r="B975" s="2578" t="s">
        <v>496</v>
      </c>
      <c r="C975" t="s">
        <v>176</v>
      </c>
      <c r="D975" t="s">
        <v>371</v>
      </c>
    </row>
    <row r="976" spans="1:4">
      <c r="A976" s="655" t="str">
        <f t="shared" ca="1" si="5"/>
        <v>A56</v>
      </c>
      <c r="B976" s="2578" t="s">
        <v>497</v>
      </c>
      <c r="C976" t="s">
        <v>176</v>
      </c>
      <c r="D976" t="s">
        <v>371</v>
      </c>
    </row>
    <row r="977" spans="1:4">
      <c r="A977" s="655" t="str">
        <f t="shared" ca="1" si="5"/>
        <v>A17</v>
      </c>
      <c r="B977" s="2578">
        <v>0</v>
      </c>
      <c r="C977" t="s">
        <v>176</v>
      </c>
      <c r="D977" t="s">
        <v>371</v>
      </c>
    </row>
    <row r="978" spans="1:4">
      <c r="A978" s="655" t="str">
        <f t="shared" ca="1" si="5"/>
        <v>A17</v>
      </c>
      <c r="B978" s="2578">
        <v>0</v>
      </c>
      <c r="C978" t="s">
        <v>176</v>
      </c>
      <c r="D978" t="s">
        <v>371</v>
      </c>
    </row>
    <row r="979" spans="1:4">
      <c r="A979" s="655" t="str">
        <f t="shared" ca="1" si="5"/>
        <v>A17</v>
      </c>
      <c r="B979" s="2578">
        <v>0</v>
      </c>
      <c r="C979" t="s">
        <v>176</v>
      </c>
      <c r="D979" t="s">
        <v>371</v>
      </c>
    </row>
    <row r="980" spans="1:4">
      <c r="A980" s="655" t="str">
        <f t="shared" ca="1" si="5"/>
        <v>A17</v>
      </c>
      <c r="B980" s="2578">
        <v>0</v>
      </c>
      <c r="C980" t="s">
        <v>176</v>
      </c>
      <c r="D980" t="s">
        <v>371</v>
      </c>
    </row>
    <row r="981" spans="1:4">
      <c r="A981" s="655" t="str">
        <f t="shared" ca="1" si="5"/>
        <v>A58</v>
      </c>
      <c r="B981" s="2578" t="s">
        <v>498</v>
      </c>
      <c r="C981" t="s">
        <v>176</v>
      </c>
      <c r="D981" t="s">
        <v>371</v>
      </c>
    </row>
    <row r="982" spans="1:4">
      <c r="A982" s="655" t="str">
        <f t="shared" ca="1" si="5"/>
        <v>A58</v>
      </c>
      <c r="B982" s="2578" t="s">
        <v>499</v>
      </c>
      <c r="C982" t="s">
        <v>176</v>
      </c>
      <c r="D982" t="s">
        <v>371</v>
      </c>
    </row>
    <row r="983" spans="1:4">
      <c r="A983" s="655" t="str">
        <f t="shared" ca="1" si="5"/>
        <v>A58</v>
      </c>
      <c r="B983" s="2578" t="s">
        <v>500</v>
      </c>
      <c r="C983" t="s">
        <v>176</v>
      </c>
      <c r="D983" t="s">
        <v>371</v>
      </c>
    </row>
    <row r="984" spans="1:4">
      <c r="A984" s="655" t="str">
        <f t="shared" ca="1" si="5"/>
        <v>A58</v>
      </c>
      <c r="B984" s="2578" t="s">
        <v>501</v>
      </c>
      <c r="C984" t="s">
        <v>176</v>
      </c>
      <c r="D984" t="s">
        <v>371</v>
      </c>
    </row>
    <row r="985" spans="1:4">
      <c r="A985" s="655" t="str">
        <f t="shared" ca="1" si="5"/>
        <v>A17</v>
      </c>
      <c r="B985" s="2578">
        <v>0</v>
      </c>
      <c r="C985" t="s">
        <v>176</v>
      </c>
      <c r="D985" t="s">
        <v>371</v>
      </c>
    </row>
    <row r="986" spans="1:4">
      <c r="A986" s="655" t="str">
        <f t="shared" ca="1" si="5"/>
        <v>A60</v>
      </c>
      <c r="B986" s="2578" t="s">
        <v>502</v>
      </c>
      <c r="C986" t="s">
        <v>176</v>
      </c>
      <c r="D986" t="s">
        <v>371</v>
      </c>
    </row>
    <row r="987" spans="1:4">
      <c r="A987" s="655" t="str">
        <f t="shared" ca="1" si="5"/>
        <v>A60</v>
      </c>
      <c r="B987" s="2578" t="s">
        <v>503</v>
      </c>
      <c r="C987" t="s">
        <v>176</v>
      </c>
      <c r="D987" t="s">
        <v>371</v>
      </c>
    </row>
    <row r="988" spans="1:4">
      <c r="A988" s="655" t="str">
        <f t="shared" ca="1" si="5"/>
        <v>A61</v>
      </c>
      <c r="B988" s="2578" t="s">
        <v>504</v>
      </c>
      <c r="C988" t="s">
        <v>176</v>
      </c>
      <c r="D988" t="s">
        <v>371</v>
      </c>
    </row>
    <row r="989" spans="1:4">
      <c r="A989" s="655" t="str">
        <f t="shared" ca="1" si="5"/>
        <v>A61</v>
      </c>
      <c r="B989" s="2578" t="s">
        <v>505</v>
      </c>
      <c r="C989" t="s">
        <v>176</v>
      </c>
      <c r="D989" t="s">
        <v>371</v>
      </c>
    </row>
    <row r="990" spans="1:4">
      <c r="A990" s="655" t="str">
        <f t="shared" ca="1" si="5"/>
        <v>A62</v>
      </c>
      <c r="B990" s="2578" t="s">
        <v>506</v>
      </c>
      <c r="C990" t="s">
        <v>176</v>
      </c>
      <c r="D990" t="s">
        <v>371</v>
      </c>
    </row>
    <row r="991" spans="1:4">
      <c r="A991" s="655" t="str">
        <f t="shared" ca="1" si="5"/>
        <v>A17</v>
      </c>
      <c r="B991" s="2578">
        <v>0</v>
      </c>
      <c r="C991" t="s">
        <v>176</v>
      </c>
      <c r="D991" t="s">
        <v>371</v>
      </c>
    </row>
    <row r="992" spans="1:4">
      <c r="A992" s="655" t="str">
        <f t="shared" ca="1" si="5"/>
        <v>A63</v>
      </c>
      <c r="B992" s="2578" t="s">
        <v>507</v>
      </c>
      <c r="C992" t="s">
        <v>176</v>
      </c>
      <c r="D992" t="s">
        <v>371</v>
      </c>
    </row>
    <row r="993" spans="1:4">
      <c r="A993" s="655" t="str">
        <f t="shared" ca="1" si="5"/>
        <v>A64</v>
      </c>
      <c r="B993" s="2578" t="s">
        <v>508</v>
      </c>
      <c r="C993" t="s">
        <v>176</v>
      </c>
      <c r="D993" t="s">
        <v>371</v>
      </c>
    </row>
    <row r="994" spans="1:4">
      <c r="A994" s="655" t="str">
        <f t="shared" ca="1" si="5"/>
        <v>A65</v>
      </c>
      <c r="B994" s="2578" t="s">
        <v>509</v>
      </c>
      <c r="C994" t="s">
        <v>176</v>
      </c>
      <c r="D994" t="s">
        <v>371</v>
      </c>
    </row>
    <row r="995" spans="1:4">
      <c r="A995" s="655" t="str">
        <f t="shared" ca="1" si="5"/>
        <v>A66</v>
      </c>
      <c r="B995" s="2578" t="s">
        <v>510</v>
      </c>
      <c r="C995" t="s">
        <v>176</v>
      </c>
      <c r="D995" t="s">
        <v>371</v>
      </c>
    </row>
    <row r="996" spans="1:4">
      <c r="A996" s="655" t="str">
        <f t="shared" ca="1" si="5"/>
        <v>A66</v>
      </c>
      <c r="B996" s="2578" t="s">
        <v>511</v>
      </c>
      <c r="C996" t="s">
        <v>176</v>
      </c>
      <c r="D996" t="s">
        <v>371</v>
      </c>
    </row>
    <row r="997" spans="1:4">
      <c r="A997" s="655" t="str">
        <f t="shared" ca="1" si="5"/>
        <v>A67</v>
      </c>
      <c r="B997" s="2578" t="s">
        <v>512</v>
      </c>
      <c r="C997" t="s">
        <v>176</v>
      </c>
      <c r="D997" t="s">
        <v>371</v>
      </c>
    </row>
    <row r="998" spans="1:4">
      <c r="A998" s="655" t="str">
        <f t="shared" ca="1" si="5"/>
        <v>A67</v>
      </c>
      <c r="B998" s="2578" t="s">
        <v>513</v>
      </c>
      <c r="C998" t="s">
        <v>176</v>
      </c>
      <c r="D998" t="s">
        <v>371</v>
      </c>
    </row>
    <row r="999" spans="1:4">
      <c r="A999" s="655" t="str">
        <f t="shared" ca="1" si="5"/>
        <v>A67</v>
      </c>
      <c r="B999" s="2578" t="s">
        <v>514</v>
      </c>
      <c r="C999" t="s">
        <v>176</v>
      </c>
      <c r="D999" t="s">
        <v>371</v>
      </c>
    </row>
    <row r="1000" spans="1:4">
      <c r="A1000" s="655" t="str">
        <f t="shared" ca="1" si="5"/>
        <v>A67</v>
      </c>
      <c r="B1000" s="2578" t="s">
        <v>515</v>
      </c>
      <c r="C1000" t="s">
        <v>176</v>
      </c>
      <c r="D1000" t="s">
        <v>371</v>
      </c>
    </row>
    <row r="1001" spans="1:4">
      <c r="A1001" s="655" t="str">
        <f t="shared" ca="1" si="5"/>
        <v>A68</v>
      </c>
      <c r="B1001" s="2578" t="s">
        <v>516</v>
      </c>
      <c r="C1001" t="s">
        <v>176</v>
      </c>
      <c r="D1001" t="s">
        <v>371</v>
      </c>
    </row>
    <row r="1002" spans="1:4">
      <c r="A1002" s="655" t="str">
        <f t="shared" ca="1" si="5"/>
        <v>A68</v>
      </c>
      <c r="B1002" s="2578" t="s">
        <v>517</v>
      </c>
      <c r="C1002" t="s">
        <v>176</v>
      </c>
      <c r="D1002" t="s">
        <v>371</v>
      </c>
    </row>
    <row r="1003" spans="1:4">
      <c r="A1003" s="655" t="str">
        <f t="shared" ca="1" si="5"/>
        <v>A68</v>
      </c>
      <c r="B1003" s="2578" t="s">
        <v>518</v>
      </c>
      <c r="C1003" t="s">
        <v>176</v>
      </c>
      <c r="D1003" t="s">
        <v>371</v>
      </c>
    </row>
    <row r="1004" spans="1:4">
      <c r="A1004" s="655" t="str">
        <f t="shared" ca="1" si="5"/>
        <v>A69</v>
      </c>
      <c r="B1004" s="2578" t="s">
        <v>519</v>
      </c>
      <c r="C1004" t="s">
        <v>176</v>
      </c>
      <c r="D1004" t="s">
        <v>371</v>
      </c>
    </row>
    <row r="1005" spans="1:4">
      <c r="A1005" s="655" t="str">
        <f t="shared" ca="1" si="5"/>
        <v>A69</v>
      </c>
      <c r="B1005" s="2578" t="s">
        <v>520</v>
      </c>
      <c r="C1005" t="s">
        <v>176</v>
      </c>
      <c r="D1005" t="s">
        <v>371</v>
      </c>
    </row>
    <row r="1006" spans="1:4">
      <c r="A1006" s="655" t="str">
        <f t="shared" ca="1" si="5"/>
        <v>A70</v>
      </c>
      <c r="B1006" s="2578" t="s">
        <v>521</v>
      </c>
      <c r="C1006" t="s">
        <v>176</v>
      </c>
      <c r="D1006" t="s">
        <v>371</v>
      </c>
    </row>
    <row r="1007" spans="1:4">
      <c r="A1007" s="655" t="str">
        <f t="shared" ca="1" si="5"/>
        <v>A71</v>
      </c>
      <c r="B1007" s="2578" t="s">
        <v>522</v>
      </c>
      <c r="C1007" t="s">
        <v>176</v>
      </c>
      <c r="D1007" t="s">
        <v>371</v>
      </c>
    </row>
    <row r="1008" spans="1:4">
      <c r="A1008" s="655" t="str">
        <f t="shared" ca="1" si="5"/>
        <v>A72</v>
      </c>
      <c r="B1008" s="2578" t="s">
        <v>523</v>
      </c>
      <c r="C1008" t="s">
        <v>176</v>
      </c>
      <c r="D1008" t="s">
        <v>371</v>
      </c>
    </row>
    <row r="1009" spans="1:4">
      <c r="A1009" s="655" t="str">
        <f t="shared" ca="1" si="5"/>
        <v>A72</v>
      </c>
      <c r="B1009" s="2578" t="s">
        <v>524</v>
      </c>
      <c r="C1009" t="s">
        <v>176</v>
      </c>
      <c r="D1009" t="s">
        <v>371</v>
      </c>
    </row>
    <row r="1010" spans="1:4">
      <c r="A1010" s="655" t="str">
        <f t="shared" ref="A1010:A1073" ca="1" si="6">IF(INDEX(INDIRECT("'"&amp;D1010&amp;"'!A:D"),MATCH(B1010,INDIRECT("'"&amp;D1010&amp;"'!B:B"),0),1)=0,A1009,INDEX(INDIRECT("'"&amp;D1010&amp;"'!A:D"),MATCH(B1010,INDIRECT("'"&amp;D1010&amp;"'!B:B"),0),1))</f>
        <v>A72</v>
      </c>
      <c r="B1010" s="2578" t="s">
        <v>525</v>
      </c>
      <c r="C1010" t="s">
        <v>176</v>
      </c>
      <c r="D1010" t="s">
        <v>371</v>
      </c>
    </row>
    <row r="1011" spans="1:4">
      <c r="A1011" s="655" t="str">
        <f t="shared" ca="1" si="6"/>
        <v>A72</v>
      </c>
      <c r="B1011" s="2578" t="s">
        <v>526</v>
      </c>
      <c r="C1011" t="s">
        <v>176</v>
      </c>
      <c r="D1011" t="s">
        <v>371</v>
      </c>
    </row>
    <row r="1012" spans="1:4">
      <c r="A1012" s="655" t="str">
        <f t="shared" ca="1" si="6"/>
        <v>A73</v>
      </c>
      <c r="B1012" s="2578" t="s">
        <v>527</v>
      </c>
      <c r="C1012" t="s">
        <v>176</v>
      </c>
      <c r="D1012" t="s">
        <v>371</v>
      </c>
    </row>
    <row r="1013" spans="1:4">
      <c r="A1013" s="655" t="str">
        <f t="shared" ca="1" si="6"/>
        <v>A74</v>
      </c>
      <c r="B1013" s="2578" t="s">
        <v>528</v>
      </c>
      <c r="C1013" t="s">
        <v>176</v>
      </c>
      <c r="D1013" t="s">
        <v>371</v>
      </c>
    </row>
    <row r="1014" spans="1:4">
      <c r="A1014" s="655" t="str">
        <f t="shared" ca="1" si="6"/>
        <v>A75</v>
      </c>
      <c r="B1014" s="2578" t="s">
        <v>529</v>
      </c>
      <c r="C1014" t="s">
        <v>176</v>
      </c>
      <c r="D1014" t="s">
        <v>371</v>
      </c>
    </row>
    <row r="1015" spans="1:4">
      <c r="A1015" s="655" t="str">
        <f t="shared" ca="1" si="6"/>
        <v>A76</v>
      </c>
      <c r="B1015" s="2578" t="s">
        <v>530</v>
      </c>
      <c r="C1015" t="s">
        <v>176</v>
      </c>
      <c r="D1015" t="s">
        <v>371</v>
      </c>
    </row>
    <row r="1016" spans="1:4">
      <c r="A1016" s="655" t="str">
        <f t="shared" ca="1" si="6"/>
        <v>A77</v>
      </c>
      <c r="B1016" s="2578" t="s">
        <v>531</v>
      </c>
      <c r="C1016" t="s">
        <v>176</v>
      </c>
      <c r="D1016" t="s">
        <v>371</v>
      </c>
    </row>
    <row r="1017" spans="1:4">
      <c r="A1017" s="655" t="str">
        <f t="shared" ca="1" si="6"/>
        <v>A78</v>
      </c>
      <c r="B1017" s="2578" t="s">
        <v>532</v>
      </c>
      <c r="C1017" t="s">
        <v>176</v>
      </c>
      <c r="D1017" t="s">
        <v>371</v>
      </c>
    </row>
    <row r="1018" spans="1:4">
      <c r="A1018" s="655" t="str">
        <f t="shared" ca="1" si="6"/>
        <v>A79</v>
      </c>
      <c r="B1018" s="2578" t="s">
        <v>533</v>
      </c>
      <c r="C1018" t="s">
        <v>176</v>
      </c>
      <c r="D1018" t="s">
        <v>371</v>
      </c>
    </row>
    <row r="1019" spans="1:4">
      <c r="A1019" s="655" t="str">
        <f t="shared" ca="1" si="6"/>
        <v>A80</v>
      </c>
      <c r="B1019" s="2578" t="s">
        <v>534</v>
      </c>
      <c r="C1019" t="s">
        <v>176</v>
      </c>
      <c r="D1019" t="s">
        <v>371</v>
      </c>
    </row>
    <row r="1020" spans="1:4">
      <c r="A1020" s="655" t="str">
        <f t="shared" ca="1" si="6"/>
        <v>A80</v>
      </c>
      <c r="B1020" s="2578" t="s">
        <v>535</v>
      </c>
      <c r="C1020" t="s">
        <v>176</v>
      </c>
      <c r="D1020" t="s">
        <v>371</v>
      </c>
    </row>
    <row r="1021" spans="1:4">
      <c r="A1021" s="655" t="str">
        <f t="shared" ca="1" si="6"/>
        <v>A81</v>
      </c>
      <c r="B1021" s="2578" t="s">
        <v>536</v>
      </c>
      <c r="C1021" t="s">
        <v>176</v>
      </c>
      <c r="D1021" t="s">
        <v>371</v>
      </c>
    </row>
    <row r="1022" spans="1:4">
      <c r="A1022" s="655" t="str">
        <f t="shared" ca="1" si="6"/>
        <v>A82</v>
      </c>
      <c r="B1022" s="2578" t="s">
        <v>537</v>
      </c>
      <c r="C1022" t="s">
        <v>176</v>
      </c>
      <c r="D1022" t="s">
        <v>371</v>
      </c>
    </row>
    <row r="1023" spans="1:4">
      <c r="A1023" s="655" t="str">
        <f t="shared" ca="1" si="6"/>
        <v>A83</v>
      </c>
      <c r="B1023" s="2578" t="s">
        <v>538</v>
      </c>
      <c r="C1023" t="s">
        <v>176</v>
      </c>
      <c r="D1023" t="s">
        <v>371</v>
      </c>
    </row>
    <row r="1024" spans="1:4">
      <c r="A1024" s="655" t="str">
        <f t="shared" ca="1" si="6"/>
        <v>A84</v>
      </c>
      <c r="B1024" s="2578" t="s">
        <v>539</v>
      </c>
      <c r="C1024" t="s">
        <v>176</v>
      </c>
      <c r="D1024" t="s">
        <v>371</v>
      </c>
    </row>
    <row r="1025" spans="1:4">
      <c r="A1025" s="655" t="str">
        <f t="shared" ca="1" si="6"/>
        <v>A84</v>
      </c>
      <c r="B1025" s="2578" t="s">
        <v>540</v>
      </c>
      <c r="C1025" t="s">
        <v>176</v>
      </c>
      <c r="D1025" t="s">
        <v>371</v>
      </c>
    </row>
    <row r="1026" spans="1:4">
      <c r="A1026" s="655" t="str">
        <f t="shared" ca="1" si="6"/>
        <v>A84</v>
      </c>
      <c r="B1026" s="2578" t="s">
        <v>541</v>
      </c>
      <c r="C1026" t="s">
        <v>176</v>
      </c>
      <c r="D1026" t="s">
        <v>371</v>
      </c>
    </row>
    <row r="1027" spans="1:4">
      <c r="A1027" s="655" t="str">
        <f t="shared" ca="1" si="6"/>
        <v>A84</v>
      </c>
      <c r="B1027" s="2578" t="s">
        <v>542</v>
      </c>
      <c r="C1027" t="s">
        <v>176</v>
      </c>
      <c r="D1027" t="s">
        <v>371</v>
      </c>
    </row>
    <row r="1028" spans="1:4">
      <c r="A1028" s="655" t="str">
        <f t="shared" ca="1" si="6"/>
        <v>A85</v>
      </c>
      <c r="B1028" s="2578" t="s">
        <v>543</v>
      </c>
      <c r="C1028" t="s">
        <v>176</v>
      </c>
      <c r="D1028" t="s">
        <v>371</v>
      </c>
    </row>
    <row r="1029" spans="1:4">
      <c r="A1029" s="655" t="str">
        <f t="shared" ca="1" si="6"/>
        <v>A86</v>
      </c>
      <c r="B1029" s="2578" t="s">
        <v>544</v>
      </c>
      <c r="C1029" t="s">
        <v>176</v>
      </c>
      <c r="D1029" t="s">
        <v>371</v>
      </c>
    </row>
    <row r="1030" spans="1:4">
      <c r="A1030" s="655" t="str">
        <f t="shared" ca="1" si="6"/>
        <v>A87</v>
      </c>
      <c r="B1030" s="2578" t="s">
        <v>545</v>
      </c>
      <c r="C1030" t="s">
        <v>176</v>
      </c>
      <c r="D1030" t="s">
        <v>371</v>
      </c>
    </row>
    <row r="1031" spans="1:4">
      <c r="A1031" s="655" t="str">
        <f t="shared" ca="1" si="6"/>
        <v>A87</v>
      </c>
      <c r="B1031" s="2578" t="s">
        <v>546</v>
      </c>
      <c r="C1031" t="s">
        <v>176</v>
      </c>
      <c r="D1031" t="s">
        <v>371</v>
      </c>
    </row>
    <row r="1032" spans="1:4">
      <c r="A1032" s="655" t="str">
        <f t="shared" ca="1" si="6"/>
        <v>A88</v>
      </c>
      <c r="B1032" s="2578" t="s">
        <v>547</v>
      </c>
      <c r="C1032" t="s">
        <v>176</v>
      </c>
      <c r="D1032" t="s">
        <v>371</v>
      </c>
    </row>
    <row r="1033" spans="1:4">
      <c r="A1033" s="655" t="str">
        <f t="shared" ca="1" si="6"/>
        <v>A88</v>
      </c>
      <c r="B1033" s="2578" t="s">
        <v>548</v>
      </c>
      <c r="C1033" t="s">
        <v>176</v>
      </c>
      <c r="D1033" t="s">
        <v>371</v>
      </c>
    </row>
    <row r="1034" spans="1:4">
      <c r="A1034" s="655" t="str">
        <f t="shared" ca="1" si="6"/>
        <v>A89</v>
      </c>
      <c r="B1034" s="2578" t="s">
        <v>549</v>
      </c>
      <c r="C1034" t="s">
        <v>176</v>
      </c>
      <c r="D1034" t="s">
        <v>371</v>
      </c>
    </row>
    <row r="1035" spans="1:4">
      <c r="A1035" s="655" t="str">
        <f t="shared" ca="1" si="6"/>
        <v>A89</v>
      </c>
      <c r="B1035" s="2578" t="s">
        <v>550</v>
      </c>
      <c r="C1035" t="s">
        <v>176</v>
      </c>
      <c r="D1035" t="s">
        <v>371</v>
      </c>
    </row>
    <row r="1036" spans="1:4">
      <c r="A1036" s="655" t="str">
        <f t="shared" ca="1" si="6"/>
        <v>A89</v>
      </c>
      <c r="B1036" s="2578" t="s">
        <v>551</v>
      </c>
      <c r="C1036" t="s">
        <v>176</v>
      </c>
      <c r="D1036" t="s">
        <v>371</v>
      </c>
    </row>
    <row r="1037" spans="1:4">
      <c r="A1037" s="655" t="str">
        <f t="shared" ca="1" si="6"/>
        <v>A90</v>
      </c>
      <c r="B1037" s="2578" t="s">
        <v>552</v>
      </c>
      <c r="C1037" t="s">
        <v>176</v>
      </c>
      <c r="D1037" t="s">
        <v>371</v>
      </c>
    </row>
    <row r="1038" spans="1:4">
      <c r="A1038" s="655" t="str">
        <f t="shared" ca="1" si="6"/>
        <v>A90</v>
      </c>
      <c r="B1038" s="2578" t="s">
        <v>553</v>
      </c>
      <c r="C1038" t="s">
        <v>176</v>
      </c>
      <c r="D1038" t="s">
        <v>371</v>
      </c>
    </row>
    <row r="1039" spans="1:4">
      <c r="A1039" s="655" t="str">
        <f t="shared" ca="1" si="6"/>
        <v>A91</v>
      </c>
      <c r="B1039" s="2578" t="s">
        <v>554</v>
      </c>
      <c r="C1039" t="s">
        <v>176</v>
      </c>
      <c r="D1039" t="s">
        <v>371</v>
      </c>
    </row>
    <row r="1040" spans="1:4">
      <c r="A1040" s="655" t="str">
        <f t="shared" ca="1" si="6"/>
        <v>A91</v>
      </c>
      <c r="B1040" s="2578" t="s">
        <v>555</v>
      </c>
      <c r="C1040" t="s">
        <v>176</v>
      </c>
      <c r="D1040" t="s">
        <v>371</v>
      </c>
    </row>
    <row r="1041" spans="1:4">
      <c r="A1041" s="655" t="str">
        <f t="shared" ca="1" si="6"/>
        <v>A91</v>
      </c>
      <c r="B1041" s="2578" t="s">
        <v>556</v>
      </c>
      <c r="C1041" t="s">
        <v>176</v>
      </c>
      <c r="D1041" t="s">
        <v>371</v>
      </c>
    </row>
    <row r="1042" spans="1:4">
      <c r="A1042" s="655" t="str">
        <f t="shared" ca="1" si="6"/>
        <v>A92</v>
      </c>
      <c r="B1042" s="2578" t="s">
        <v>557</v>
      </c>
      <c r="C1042" t="s">
        <v>176</v>
      </c>
      <c r="D1042" t="s">
        <v>371</v>
      </c>
    </row>
    <row r="1043" spans="1:4">
      <c r="A1043" s="655" t="str">
        <f t="shared" ca="1" si="6"/>
        <v>A93</v>
      </c>
      <c r="B1043" s="2578" t="s">
        <v>558</v>
      </c>
      <c r="C1043" t="s">
        <v>176</v>
      </c>
      <c r="D1043" t="s">
        <v>371</v>
      </c>
    </row>
    <row r="1044" spans="1:4">
      <c r="A1044" s="655" t="str">
        <f t="shared" ca="1" si="6"/>
        <v>A93</v>
      </c>
      <c r="B1044" s="2578" t="s">
        <v>559</v>
      </c>
      <c r="C1044" t="s">
        <v>176</v>
      </c>
      <c r="D1044" t="s">
        <v>371</v>
      </c>
    </row>
    <row r="1045" spans="1:4">
      <c r="A1045" s="655" t="str">
        <f t="shared" ca="1" si="6"/>
        <v>A93</v>
      </c>
      <c r="B1045" s="2578" t="s">
        <v>560</v>
      </c>
      <c r="C1045" t="s">
        <v>176</v>
      </c>
      <c r="D1045" t="s">
        <v>371</v>
      </c>
    </row>
    <row r="1046" spans="1:4">
      <c r="A1046" s="655" t="str">
        <f t="shared" ca="1" si="6"/>
        <v>A94</v>
      </c>
      <c r="B1046" s="2578" t="s">
        <v>561</v>
      </c>
      <c r="C1046" t="s">
        <v>176</v>
      </c>
      <c r="D1046" t="s">
        <v>371</v>
      </c>
    </row>
    <row r="1047" spans="1:4">
      <c r="A1047" s="655" t="str">
        <f t="shared" ca="1" si="6"/>
        <v>A94</v>
      </c>
      <c r="B1047" s="2578" t="s">
        <v>562</v>
      </c>
      <c r="C1047" t="s">
        <v>176</v>
      </c>
      <c r="D1047" t="s">
        <v>371</v>
      </c>
    </row>
    <row r="1048" spans="1:4">
      <c r="A1048" s="655" t="str">
        <f t="shared" ca="1" si="6"/>
        <v>A95</v>
      </c>
      <c r="B1048" s="2578" t="s">
        <v>563</v>
      </c>
      <c r="C1048" t="s">
        <v>176</v>
      </c>
      <c r="D1048" t="s">
        <v>371</v>
      </c>
    </row>
    <row r="1049" spans="1:4">
      <c r="A1049" s="655" t="str">
        <f t="shared" ca="1" si="6"/>
        <v>A96</v>
      </c>
      <c r="B1049" s="2578" t="s">
        <v>564</v>
      </c>
      <c r="C1049" t="s">
        <v>176</v>
      </c>
      <c r="D1049" t="s">
        <v>371</v>
      </c>
    </row>
    <row r="1050" spans="1:4">
      <c r="A1050" s="655" t="str">
        <f t="shared" ca="1" si="6"/>
        <v>A96</v>
      </c>
      <c r="B1050" s="2578" t="s">
        <v>565</v>
      </c>
      <c r="C1050" t="s">
        <v>176</v>
      </c>
      <c r="D1050" t="s">
        <v>371</v>
      </c>
    </row>
    <row r="1051" spans="1:4">
      <c r="A1051" s="655" t="str">
        <f t="shared" ca="1" si="6"/>
        <v>A97</v>
      </c>
      <c r="B1051" s="2578" t="s">
        <v>566</v>
      </c>
      <c r="C1051" t="s">
        <v>176</v>
      </c>
      <c r="D1051" t="s">
        <v>371</v>
      </c>
    </row>
    <row r="1052" spans="1:4">
      <c r="A1052" s="655" t="str">
        <f t="shared" ca="1" si="6"/>
        <v>A97</v>
      </c>
      <c r="B1052" s="2578" t="s">
        <v>567</v>
      </c>
      <c r="C1052" t="s">
        <v>176</v>
      </c>
      <c r="D1052" t="s">
        <v>371</v>
      </c>
    </row>
    <row r="1053" spans="1:4">
      <c r="A1053" s="655" t="str">
        <f t="shared" ca="1" si="6"/>
        <v>A98</v>
      </c>
      <c r="B1053" s="2578" t="s">
        <v>568</v>
      </c>
      <c r="C1053" t="s">
        <v>176</v>
      </c>
      <c r="D1053" t="s">
        <v>371</v>
      </c>
    </row>
    <row r="1054" spans="1:4">
      <c r="A1054" s="655" t="str">
        <f t="shared" ca="1" si="6"/>
        <v>A98</v>
      </c>
      <c r="B1054" s="2578" t="s">
        <v>569</v>
      </c>
      <c r="C1054" t="s">
        <v>176</v>
      </c>
      <c r="D1054" t="s">
        <v>371</v>
      </c>
    </row>
    <row r="1055" spans="1:4">
      <c r="A1055" s="655" t="str">
        <f t="shared" ca="1" si="6"/>
        <v>A99</v>
      </c>
      <c r="B1055" s="2578" t="s">
        <v>570</v>
      </c>
      <c r="C1055" t="s">
        <v>176</v>
      </c>
      <c r="D1055" t="s">
        <v>371</v>
      </c>
    </row>
    <row r="1056" spans="1:4">
      <c r="A1056" s="655" t="str">
        <f t="shared" ca="1" si="6"/>
        <v>A99</v>
      </c>
      <c r="B1056" s="2578" t="s">
        <v>571</v>
      </c>
      <c r="C1056" t="s">
        <v>176</v>
      </c>
      <c r="D1056" t="s">
        <v>371</v>
      </c>
    </row>
    <row r="1057" spans="1:4">
      <c r="A1057" s="655" t="str">
        <f t="shared" ca="1" si="6"/>
        <v>A100</v>
      </c>
      <c r="B1057" s="2578" t="s">
        <v>572</v>
      </c>
      <c r="C1057" t="s">
        <v>176</v>
      </c>
      <c r="D1057" t="s">
        <v>371</v>
      </c>
    </row>
    <row r="1058" spans="1:4">
      <c r="A1058" s="655" t="str">
        <f t="shared" ca="1" si="6"/>
        <v>A100</v>
      </c>
      <c r="B1058" s="2578" t="s">
        <v>573</v>
      </c>
      <c r="C1058" t="s">
        <v>176</v>
      </c>
      <c r="D1058" t="s">
        <v>371</v>
      </c>
    </row>
    <row r="1059" spans="1:4">
      <c r="A1059" s="655" t="str">
        <f t="shared" ca="1" si="6"/>
        <v>A101</v>
      </c>
      <c r="B1059" s="2578" t="s">
        <v>574</v>
      </c>
      <c r="C1059" t="s">
        <v>176</v>
      </c>
      <c r="D1059" t="s">
        <v>371</v>
      </c>
    </row>
    <row r="1060" spans="1:4">
      <c r="A1060" s="655" t="str">
        <f t="shared" ca="1" si="6"/>
        <v>A101</v>
      </c>
      <c r="B1060" s="2578" t="s">
        <v>575</v>
      </c>
      <c r="C1060" t="s">
        <v>176</v>
      </c>
      <c r="D1060" t="s">
        <v>371</v>
      </c>
    </row>
    <row r="1061" spans="1:4">
      <c r="A1061" s="655" t="str">
        <f t="shared" ca="1" si="6"/>
        <v>A101</v>
      </c>
      <c r="B1061" s="2578" t="s">
        <v>576</v>
      </c>
      <c r="C1061" t="s">
        <v>176</v>
      </c>
      <c r="D1061" t="s">
        <v>371</v>
      </c>
    </row>
    <row r="1062" spans="1:4">
      <c r="A1062" s="655" t="str">
        <f t="shared" ca="1" si="6"/>
        <v>A102</v>
      </c>
      <c r="B1062" s="2578" t="s">
        <v>577</v>
      </c>
      <c r="C1062" t="s">
        <v>176</v>
      </c>
      <c r="D1062" t="s">
        <v>371</v>
      </c>
    </row>
    <row r="1063" spans="1:4">
      <c r="A1063" s="655" t="str">
        <f t="shared" ca="1" si="6"/>
        <v>A102</v>
      </c>
      <c r="B1063" s="2578" t="s">
        <v>578</v>
      </c>
      <c r="C1063" t="s">
        <v>176</v>
      </c>
      <c r="D1063" t="s">
        <v>371</v>
      </c>
    </row>
    <row r="1064" spans="1:4">
      <c r="A1064" s="655" t="str">
        <f t="shared" ca="1" si="6"/>
        <v>A102</v>
      </c>
      <c r="B1064" s="2578" t="s">
        <v>579</v>
      </c>
      <c r="C1064" t="s">
        <v>176</v>
      </c>
      <c r="D1064" t="s">
        <v>371</v>
      </c>
    </row>
    <row r="1065" spans="1:4">
      <c r="A1065" s="655" t="str">
        <f t="shared" ca="1" si="6"/>
        <v>A103</v>
      </c>
      <c r="B1065" s="2578" t="s">
        <v>580</v>
      </c>
      <c r="C1065" t="s">
        <v>176</v>
      </c>
      <c r="D1065" t="s">
        <v>371</v>
      </c>
    </row>
    <row r="1066" spans="1:4">
      <c r="A1066" s="655" t="str">
        <f t="shared" ca="1" si="6"/>
        <v>A103</v>
      </c>
      <c r="B1066" s="2578" t="s">
        <v>581</v>
      </c>
      <c r="C1066" t="s">
        <v>176</v>
      </c>
      <c r="D1066" t="s">
        <v>371</v>
      </c>
    </row>
    <row r="1067" spans="1:4">
      <c r="A1067" s="655" t="str">
        <f t="shared" ca="1" si="6"/>
        <v>A103</v>
      </c>
      <c r="B1067" s="2578" t="s">
        <v>582</v>
      </c>
      <c r="C1067" t="s">
        <v>176</v>
      </c>
      <c r="D1067" t="s">
        <v>371</v>
      </c>
    </row>
    <row r="1068" spans="1:4">
      <c r="A1068" s="655" t="str">
        <f t="shared" ca="1" si="6"/>
        <v>A104</v>
      </c>
      <c r="B1068" s="2578" t="s">
        <v>583</v>
      </c>
      <c r="C1068" t="s">
        <v>176</v>
      </c>
      <c r="D1068" t="s">
        <v>371</v>
      </c>
    </row>
    <row r="1069" spans="1:4">
      <c r="A1069" s="655" t="str">
        <f t="shared" ca="1" si="6"/>
        <v>A104</v>
      </c>
      <c r="B1069" s="2578" t="s">
        <v>584</v>
      </c>
      <c r="C1069" t="s">
        <v>176</v>
      </c>
      <c r="D1069" t="s">
        <v>371</v>
      </c>
    </row>
    <row r="1070" spans="1:4">
      <c r="A1070" s="655" t="str">
        <f t="shared" ca="1" si="6"/>
        <v>A104</v>
      </c>
      <c r="B1070" s="2578" t="s">
        <v>585</v>
      </c>
      <c r="C1070" t="s">
        <v>176</v>
      </c>
      <c r="D1070" t="s">
        <v>371</v>
      </c>
    </row>
    <row r="1071" spans="1:4">
      <c r="A1071" s="655" t="str">
        <f t="shared" ca="1" si="6"/>
        <v>A105</v>
      </c>
      <c r="B1071" s="2578" t="s">
        <v>586</v>
      </c>
      <c r="C1071" t="s">
        <v>176</v>
      </c>
      <c r="D1071" t="s">
        <v>371</v>
      </c>
    </row>
    <row r="1072" spans="1:4">
      <c r="A1072" s="655" t="str">
        <f t="shared" ca="1" si="6"/>
        <v>A105</v>
      </c>
      <c r="B1072" s="2578" t="s">
        <v>587</v>
      </c>
      <c r="C1072" t="s">
        <v>176</v>
      </c>
      <c r="D1072" t="s">
        <v>371</v>
      </c>
    </row>
    <row r="1073" spans="1:4">
      <c r="A1073" s="655" t="str">
        <f t="shared" ca="1" si="6"/>
        <v>A106</v>
      </c>
      <c r="B1073" s="2578" t="s">
        <v>588</v>
      </c>
      <c r="C1073" t="s">
        <v>176</v>
      </c>
      <c r="D1073" t="s">
        <v>371</v>
      </c>
    </row>
    <row r="1074" spans="1:4">
      <c r="A1074" s="655" t="str">
        <f t="shared" ref="A1074:A1075" ca="1" si="7">IF(INDEX(INDIRECT("'"&amp;D1074&amp;"'!A:D"),MATCH(B1074,INDIRECT("'"&amp;D1074&amp;"'!B:B"),0),1)=0,A1073,INDEX(INDIRECT("'"&amp;D1074&amp;"'!A:D"),MATCH(B1074,INDIRECT("'"&amp;D1074&amp;"'!B:B"),0),1))</f>
        <v>A106</v>
      </c>
      <c r="B1074" s="2578" t="s">
        <v>589</v>
      </c>
      <c r="C1074" t="s">
        <v>176</v>
      </c>
      <c r="D1074" t="s">
        <v>371</v>
      </c>
    </row>
    <row r="1075" spans="1:4">
      <c r="A1075" s="655" t="str">
        <f t="shared" ca="1" si="7"/>
        <v>A106</v>
      </c>
      <c r="B1075" s="2578" t="s">
        <v>590</v>
      </c>
      <c r="C1075" t="s">
        <v>176</v>
      </c>
      <c r="D1075" t="s">
        <v>371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39997558519241921"/>
  </sheetPr>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499984740745262"/>
  </sheetPr>
  <dimension ref="A1:C10"/>
  <sheetViews>
    <sheetView workbookViewId="0">
      <selection activeCell="C4" sqref="C4"/>
    </sheetView>
  </sheetViews>
  <sheetFormatPr defaultRowHeight="15"/>
  <cols>
    <col min="1" max="1" width="24" bestFit="1" customWidth="1"/>
    <col min="2" max="2" width="192.28515625" bestFit="1" customWidth="1"/>
  </cols>
  <sheetData>
    <row r="1" spans="1:3">
      <c r="A1" t="s">
        <v>591</v>
      </c>
      <c r="B1" t="s">
        <v>592</v>
      </c>
      <c r="C1" t="s">
        <v>593</v>
      </c>
    </row>
    <row r="2" spans="1:3">
      <c r="A2" t="s">
        <v>594</v>
      </c>
      <c r="B2" t="s">
        <v>595</v>
      </c>
    </row>
    <row r="3" spans="1:3">
      <c r="A3" t="s">
        <v>596</v>
      </c>
      <c r="B3" t="s">
        <v>597</v>
      </c>
      <c r="C3" t="s">
        <v>598</v>
      </c>
    </row>
    <row r="4" spans="1:3">
      <c r="A4" t="s">
        <v>599</v>
      </c>
      <c r="B4" t="s">
        <v>600</v>
      </c>
    </row>
    <row r="5" spans="1:3">
      <c r="A5" t="s">
        <v>601</v>
      </c>
      <c r="B5" t="s">
        <v>602</v>
      </c>
    </row>
    <row r="6" spans="1:3">
      <c r="A6" t="s">
        <v>603</v>
      </c>
      <c r="B6" t="s">
        <v>604</v>
      </c>
      <c r="C6" t="s">
        <v>598</v>
      </c>
    </row>
    <row r="7" spans="1:3">
      <c r="A7" t="s">
        <v>605</v>
      </c>
      <c r="B7" t="s">
        <v>606</v>
      </c>
      <c r="C7" t="s">
        <v>598</v>
      </c>
    </row>
    <row r="10" spans="1:3">
      <c r="A10" t="s">
        <v>607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O637"/>
  <sheetViews>
    <sheetView zoomScaleNormal="100" zoomScaleSheetLayoutView="70" zoomScalePageLayoutView="150" workbookViewId="0">
      <pane xSplit="2" ySplit="3" topLeftCell="E21" activePane="bottomRight" state="frozen"/>
      <selection pane="bottomRight" activeCell="E4" sqref="E4"/>
      <selection pane="bottomLeft" activeCell="A4" sqref="A4"/>
      <selection pane="topRight" activeCell="C1" sqref="C1"/>
    </sheetView>
  </sheetViews>
  <sheetFormatPr defaultColWidth="8.85546875" defaultRowHeight="15"/>
  <cols>
    <col min="1" max="1" width="6" style="656" bestFit="1" customWidth="1"/>
    <col min="2" max="2" width="5.42578125" customWidth="1"/>
    <col min="3" max="3" width="7.7109375" bestFit="1" customWidth="1"/>
    <col min="4" max="4" width="6.28515625" bestFit="1" customWidth="1"/>
    <col min="5" max="5" width="11.5703125" style="670" customWidth="1"/>
    <col min="6" max="6" width="9.28515625" customWidth="1"/>
    <col min="7" max="7" width="8.7109375" style="658" customWidth="1"/>
    <col min="8" max="8" width="6.7109375" style="659" customWidth="1"/>
    <col min="9" max="9" width="7.42578125" bestFit="1" customWidth="1"/>
    <col min="10" max="10" width="7" bestFit="1" customWidth="1"/>
    <col min="11" max="11" width="7.42578125" bestFit="1" customWidth="1"/>
    <col min="12" max="12" width="9.140625" customWidth="1"/>
    <col min="13" max="13" width="9.42578125" customWidth="1"/>
    <col min="14" max="14" width="10.5703125" customWidth="1"/>
    <col min="15" max="16" width="8.5703125" bestFit="1" customWidth="1"/>
    <col min="17" max="17" width="11.7109375" bestFit="1" customWidth="1"/>
    <col min="18" max="18" width="34.7109375" style="658" customWidth="1"/>
    <col min="19" max="19" width="8.85546875" style="660" bestFit="1" customWidth="1"/>
    <col min="20" max="20" width="8.85546875" style="645" customWidth="1"/>
    <col min="21" max="21" width="9.42578125" style="642" bestFit="1" customWidth="1"/>
    <col min="22" max="22" width="10" style="649" customWidth="1"/>
    <col min="23" max="23" width="9.42578125" style="661" bestFit="1" customWidth="1"/>
    <col min="24" max="24" width="12.85546875" style="645" customWidth="1"/>
    <col min="25" max="25" width="8.85546875" style="642" bestFit="1" customWidth="1"/>
    <col min="26" max="26" width="8.85546875" style="645" bestFit="1" customWidth="1"/>
    <col min="27" max="27" width="9.42578125" style="642" bestFit="1" customWidth="1"/>
    <col min="28" max="28" width="9.42578125" style="645" customWidth="1"/>
    <col min="29" max="29" width="8" style="642" bestFit="1" customWidth="1"/>
    <col min="30" max="30" width="8" style="662" bestFit="1" customWidth="1"/>
    <col min="31" max="31" width="7.42578125" style="663" customWidth="1"/>
    <col min="32" max="32" width="8.28515625" style="662" customWidth="1"/>
    <col min="33" max="33" width="8.28515625" style="662" bestFit="1" customWidth="1"/>
    <col min="34" max="34" width="8.28515625" style="662" customWidth="1"/>
    <col min="35" max="35" width="9.28515625" style="662" bestFit="1" customWidth="1"/>
    <col min="36" max="36" width="8.28515625" style="662" customWidth="1"/>
    <col min="37" max="37" width="9.28515625" style="662" customWidth="1"/>
    <col min="38" max="38" width="6.7109375" style="662" bestFit="1" customWidth="1"/>
    <col min="39" max="39" width="5.5703125" style="663" bestFit="1" customWidth="1"/>
    <col min="40" max="40" width="5.5703125" style="662" bestFit="1" customWidth="1"/>
    <col min="41" max="41" width="11.42578125" style="662" customWidth="1"/>
    <col min="42" max="42" width="9" style="662" bestFit="1" customWidth="1"/>
    <col min="43" max="43" width="7.42578125" style="663" bestFit="1" customWidth="1"/>
    <col min="44" max="44" width="7.42578125" style="662" bestFit="1" customWidth="1"/>
    <col min="45" max="45" width="8" style="664" customWidth="1"/>
    <col min="46" max="46" width="8" style="662" customWidth="1"/>
    <col min="47" max="47" width="6.7109375" style="662" customWidth="1"/>
    <col min="48" max="48" width="6.7109375" style="662" bestFit="1" customWidth="1"/>
    <col min="49" max="49" width="8" style="664" bestFit="1" customWidth="1"/>
    <col min="50" max="50" width="10.42578125" style="662" customWidth="1"/>
    <col min="51" max="51" width="9.28515625" style="664" bestFit="1" customWidth="1"/>
    <col min="52" max="52" width="9.28515625" style="662" bestFit="1" customWidth="1"/>
    <col min="53" max="53" width="9.28515625" style="662" customWidth="1"/>
    <col min="54" max="54" width="6.85546875" style="645" bestFit="1" customWidth="1"/>
    <col min="55" max="55" width="6.85546875" style="645" customWidth="1"/>
    <col min="56" max="56" width="7.140625" style="645" bestFit="1" customWidth="1"/>
    <col min="57" max="57" width="7.140625" style="645" customWidth="1"/>
    <col min="58" max="58" width="7.42578125" style="645" bestFit="1" customWidth="1"/>
    <col min="59" max="59" width="7.42578125" style="645" customWidth="1"/>
    <col min="60" max="60" width="6.5703125" style="645" bestFit="1" customWidth="1"/>
    <col min="61" max="61" width="8.85546875" style="645" customWidth="1"/>
    <col min="62" max="62" width="9.28515625" style="645" bestFit="1" customWidth="1"/>
    <col min="63" max="63" width="9.28515625" style="645" customWidth="1"/>
    <col min="64" max="64" width="9" style="645" bestFit="1" customWidth="1"/>
    <col min="65" max="65" width="8.85546875" bestFit="1" customWidth="1"/>
    <col min="66" max="66" width="9" style="645" customWidth="1"/>
    <col min="67" max="67" width="8.140625" customWidth="1"/>
    <col min="68" max="68" width="8.5703125" style="645" bestFit="1" customWidth="1"/>
    <col min="69" max="69" width="7.7109375" style="645" customWidth="1"/>
    <col min="70" max="71" width="12.7109375" style="645" customWidth="1"/>
    <col min="72" max="73" width="7.7109375" style="645" customWidth="1"/>
    <col min="74" max="75" width="7" style="645" customWidth="1"/>
    <col min="76" max="77" width="10.28515625" style="645" customWidth="1"/>
    <col min="78" max="79" width="9.42578125" style="645" customWidth="1"/>
    <col min="80" max="81" width="8.5703125" style="645" customWidth="1"/>
    <col min="82" max="83" width="11.42578125" style="645" customWidth="1"/>
    <col min="84" max="85" width="9.85546875" style="645" customWidth="1"/>
    <col min="86" max="87" width="12.28515625" style="645" customWidth="1"/>
    <col min="88" max="90" width="6.7109375" style="645" customWidth="1"/>
    <col min="91" max="91" width="6.7109375" bestFit="1" customWidth="1"/>
    <col min="92" max="92" width="6.7109375" style="645" bestFit="1" customWidth="1"/>
    <col min="93" max="93" width="6.7109375" style="645" customWidth="1"/>
    <col min="94" max="94" width="7.5703125" customWidth="1"/>
    <col min="95" max="95" width="8" style="658" customWidth="1"/>
    <col min="96" max="96" width="8.85546875" bestFit="1" customWidth="1"/>
    <col min="97" max="98" width="9.140625" customWidth="1"/>
    <col min="99" max="99" width="11.42578125" style="671" customWidth="1"/>
    <col min="100" max="100" width="29.85546875" style="666" customWidth="1"/>
    <col min="101" max="101" width="15.42578125" style="645" customWidth="1"/>
    <col min="102" max="102" width="10.5703125" style="655" bestFit="1" customWidth="1"/>
    <col min="103" max="103" width="9.5703125" style="629" bestFit="1" customWidth="1"/>
    <col min="104" max="105" width="16.42578125" style="645" customWidth="1"/>
    <col min="106" max="106" width="9" style="645" bestFit="1" customWidth="1"/>
    <col min="107" max="107" width="8.85546875" style="655" customWidth="1"/>
    <col min="108" max="108" width="8.85546875" style="645" bestFit="1" customWidth="1"/>
    <col min="109" max="109" width="8.7109375" style="642" customWidth="1"/>
    <col min="110" max="110" width="10" style="645" bestFit="1" customWidth="1"/>
    <col min="111" max="111" width="9.140625" style="321" customWidth="1"/>
    <col min="112" max="112" width="7.42578125" style="645" bestFit="1" customWidth="1"/>
    <col min="113" max="113" width="7.42578125" style="645" customWidth="1"/>
    <col min="114" max="114" width="6.5703125" style="645" bestFit="1" customWidth="1"/>
    <col min="115" max="115" width="6.5703125" style="645" customWidth="1"/>
    <col min="116" max="116" width="5.140625" style="645" bestFit="1" customWidth="1"/>
    <col min="117" max="117" width="9" style="642" bestFit="1" customWidth="1"/>
    <col min="118" max="119" width="8.42578125" style="645" customWidth="1"/>
    <col min="120" max="121" width="6.7109375" style="645" customWidth="1"/>
    <col min="122" max="123" width="6.42578125" style="645" customWidth="1"/>
    <col min="124" max="125" width="5.85546875" style="645" customWidth="1"/>
    <col min="126" max="126" width="8" style="645" customWidth="1"/>
    <col min="127" max="127" width="9.28515625" style="642" customWidth="1"/>
    <col min="128" max="129" width="9.28515625" style="662" customWidth="1"/>
    <col min="130" max="130" width="11.42578125" style="662" customWidth="1"/>
    <col min="131" max="131" width="7.140625" style="662" bestFit="1" customWidth="1"/>
    <col min="132" max="133" width="7.140625" style="662" customWidth="1"/>
    <col min="134" max="135" width="7.42578125" style="662" customWidth="1"/>
    <col min="136" max="136" width="6.42578125" style="662" customWidth="1"/>
    <col min="137" max="137" width="9" style="662" customWidth="1"/>
    <col min="138" max="140" width="9.28515625" style="662" customWidth="1"/>
    <col min="141" max="141" width="8.85546875" style="663" bestFit="1" customWidth="1"/>
    <col min="142" max="142" width="8.85546875" style="645" bestFit="1" customWidth="1"/>
    <col min="143" max="143" width="9.7109375" style="329" customWidth="1"/>
    <col min="144" max="144" width="10.42578125" style="649" customWidth="1"/>
    <col min="145" max="145" width="10.42578125" style="667" bestFit="1" customWidth="1"/>
    <col min="146" max="146" width="8.85546875" style="649" bestFit="1" customWidth="1"/>
    <col min="147" max="148" width="13.140625" style="649" bestFit="1" customWidth="1"/>
    <col min="149" max="149" width="13.42578125" style="322" customWidth="1"/>
    <col min="150" max="150" width="13.42578125" style="649" customWidth="1"/>
    <col min="151" max="151" width="10.42578125" style="649" customWidth="1"/>
    <col min="152" max="153" width="11.140625" style="649" customWidth="1"/>
    <col min="154" max="155" width="7" style="649" customWidth="1"/>
    <col min="156" max="156" width="7.42578125" style="649" bestFit="1" customWidth="1"/>
    <col min="157" max="162" width="10.7109375" style="662" customWidth="1"/>
    <col min="163" max="163" width="8.5703125" style="649" bestFit="1" customWidth="1"/>
    <col min="164" max="164" width="8.5703125" style="649" customWidth="1"/>
    <col min="165" max="168" width="6.7109375" style="649" customWidth="1"/>
    <col min="169" max="170" width="11" style="649" customWidth="1"/>
    <col min="171" max="174" width="6.7109375" style="649" customWidth="1"/>
    <col min="175" max="175" width="7.7109375" style="642" bestFit="1" customWidth="1"/>
    <col min="176" max="176" width="12.28515625" customWidth="1"/>
    <col min="177" max="177" width="9.5703125" style="652" bestFit="1" customWidth="1"/>
    <col min="178" max="178" width="10.85546875" style="668" bestFit="1" customWidth="1"/>
    <col min="179" max="179" width="8" style="668" bestFit="1" customWidth="1"/>
    <col min="180" max="180" width="10" style="669" bestFit="1" customWidth="1"/>
    <col min="181" max="181" width="8.85546875" style="669" bestFit="1" customWidth="1"/>
    <col min="182" max="182" width="10.140625" style="669" bestFit="1" customWidth="1"/>
    <col min="183" max="183" width="7" style="669" customWidth="1"/>
    <col min="184" max="184" width="7.28515625" style="669" bestFit="1" customWidth="1"/>
    <col min="185" max="185" width="8.5703125" style="669" bestFit="1" customWidth="1"/>
    <col min="186" max="186" width="8" style="669" bestFit="1" customWidth="1"/>
    <col min="187" max="187" width="5.85546875" style="669" bestFit="1" customWidth="1"/>
    <col min="188" max="188" width="8" style="669" bestFit="1" customWidth="1"/>
    <col min="189" max="189" width="8.85546875" style="669" customWidth="1"/>
    <col min="190" max="190" width="10" style="669" customWidth="1"/>
    <col min="191" max="191" width="7.42578125" style="669" bestFit="1" customWidth="1"/>
    <col min="192" max="192" width="6" style="669" bestFit="1" customWidth="1"/>
    <col min="193" max="193" width="9.28515625" style="669" bestFit="1" customWidth="1"/>
    <col min="194" max="194" width="8" style="668" bestFit="1" customWidth="1"/>
    <col min="195" max="195" width="9.42578125" style="668" bestFit="1" customWidth="1"/>
    <col min="196" max="196" width="7.28515625" style="668" customWidth="1"/>
    <col min="197" max="197" width="8.7109375" style="661" customWidth="1"/>
    <col min="198" max="198" width="7.85546875" style="645" customWidth="1"/>
    <col min="199" max="199" width="7.7109375" style="661" customWidth="1"/>
    <col min="200" max="200" width="11.42578125" style="645" customWidth="1"/>
    <col min="201" max="201" width="8.42578125" style="661" customWidth="1"/>
    <col min="202" max="202" width="7" style="645" customWidth="1"/>
    <col min="203" max="203" width="7.42578125" style="645" bestFit="1" customWidth="1"/>
    <col min="204" max="205" width="6.7109375" style="645" customWidth="1"/>
    <col min="206" max="206" width="8.5703125" style="645" customWidth="1"/>
    <col min="207" max="210" width="6.7109375" style="645" customWidth="1"/>
    <col min="211" max="211" width="5.85546875" style="642" bestFit="1" customWidth="1"/>
    <col min="212" max="225" width="8.85546875" customWidth="1"/>
  </cols>
  <sheetData>
    <row r="1" spans="1:222" s="4" customFormat="1">
      <c r="A1" s="1"/>
      <c r="B1" s="2"/>
      <c r="C1" s="2"/>
      <c r="D1" s="2"/>
      <c r="E1" s="3"/>
      <c r="G1" s="5" t="s">
        <v>608</v>
      </c>
      <c r="H1" s="6"/>
      <c r="I1" s="7"/>
      <c r="J1" s="7"/>
      <c r="K1" s="7"/>
      <c r="L1" s="7"/>
      <c r="M1" s="7"/>
      <c r="N1" s="7"/>
      <c r="O1" s="7"/>
      <c r="P1" s="7"/>
      <c r="Q1" s="8"/>
      <c r="R1" s="2584" t="s">
        <v>608</v>
      </c>
      <c r="S1" s="2584"/>
      <c r="T1" s="2584"/>
      <c r="U1" s="2584"/>
      <c r="V1" s="2584"/>
      <c r="W1" s="2584"/>
      <c r="X1" s="2584"/>
      <c r="Y1" s="2584"/>
      <c r="Z1" s="2584"/>
      <c r="AA1" s="2584"/>
      <c r="AB1" s="2584"/>
      <c r="AC1" s="2584"/>
      <c r="AD1" s="2584"/>
      <c r="AE1" s="2584"/>
      <c r="AF1" s="2584"/>
      <c r="AG1" s="2584"/>
      <c r="AH1" s="2584"/>
      <c r="AI1" s="2584"/>
      <c r="AJ1" s="2584"/>
      <c r="AK1" s="2584"/>
      <c r="AL1" s="2584"/>
      <c r="AM1" s="2584"/>
      <c r="AN1" s="2584"/>
      <c r="AO1" s="2584"/>
      <c r="AP1" s="2584"/>
      <c r="AQ1" s="2584"/>
      <c r="AR1" s="2584"/>
      <c r="AS1" s="2284"/>
      <c r="AT1" s="2"/>
      <c r="AU1" s="2"/>
      <c r="AV1" s="2"/>
      <c r="AW1" s="2"/>
      <c r="AX1" s="2"/>
      <c r="AY1" s="2"/>
      <c r="AZ1" s="2"/>
      <c r="BA1" s="2"/>
      <c r="BB1" s="9"/>
      <c r="BC1" s="9"/>
      <c r="BD1" s="9"/>
      <c r="BE1" s="9"/>
      <c r="BF1" s="9"/>
      <c r="BG1" s="9"/>
      <c r="BH1" s="9"/>
      <c r="BI1" s="9"/>
      <c r="BJ1" s="9"/>
      <c r="BK1" s="9"/>
      <c r="BL1" s="9"/>
      <c r="BM1" s="9"/>
      <c r="BN1" s="2"/>
      <c r="BO1" s="2"/>
      <c r="BP1" s="2"/>
      <c r="BQ1" s="2"/>
      <c r="BR1" s="2"/>
      <c r="BS1" s="2"/>
      <c r="BT1" s="9"/>
      <c r="BU1" s="9"/>
      <c r="BV1" s="9"/>
      <c r="BW1" s="9"/>
      <c r="BX1" s="9"/>
      <c r="BY1" s="9"/>
      <c r="BZ1" s="9"/>
      <c r="CA1" s="9"/>
      <c r="CB1" s="9"/>
      <c r="CC1" s="9"/>
      <c r="CD1" s="9"/>
      <c r="CE1" s="9"/>
      <c r="CF1" s="9"/>
      <c r="CG1" s="9"/>
      <c r="CH1" s="9"/>
      <c r="CI1" s="9"/>
      <c r="CJ1" s="9"/>
      <c r="CK1" s="9"/>
      <c r="CL1" s="9"/>
      <c r="CM1" s="9"/>
      <c r="CN1" s="9"/>
      <c r="CO1" s="9"/>
      <c r="CP1" s="10"/>
      <c r="CQ1" s="2585" t="s">
        <v>608</v>
      </c>
      <c r="CR1" s="2585"/>
      <c r="CS1" s="2585"/>
      <c r="CT1" s="2585"/>
      <c r="CU1" s="2585"/>
      <c r="CV1" s="2585"/>
      <c r="CW1" s="2585"/>
      <c r="CX1" s="2585"/>
      <c r="CY1" s="2585"/>
      <c r="CZ1" s="2585"/>
      <c r="DA1" s="2585"/>
      <c r="DB1" s="2585"/>
      <c r="DC1" s="2585"/>
      <c r="DD1" s="2585"/>
      <c r="DE1" s="2585"/>
      <c r="DF1" s="2585"/>
      <c r="DG1" s="2585"/>
      <c r="DH1" s="2585"/>
      <c r="DI1" s="2585"/>
      <c r="DJ1" s="2585"/>
      <c r="DK1" s="2585"/>
      <c r="DL1" s="2585"/>
      <c r="DM1" s="11"/>
      <c r="DN1" s="12"/>
      <c r="DO1" s="12"/>
      <c r="DP1" s="9"/>
      <c r="DQ1" s="9"/>
      <c r="DR1" s="2"/>
      <c r="DS1" s="2"/>
      <c r="DT1" s="2"/>
      <c r="DU1" s="2"/>
      <c r="DV1" s="2"/>
      <c r="DW1" s="13"/>
      <c r="DX1" s="2"/>
      <c r="DY1" s="2"/>
      <c r="DZ1" s="2"/>
      <c r="EA1" s="2"/>
      <c r="EB1" s="2"/>
      <c r="EC1" s="2"/>
      <c r="ED1" s="2"/>
      <c r="EE1" s="2"/>
      <c r="EF1" s="2"/>
      <c r="EG1" s="2"/>
      <c r="EH1" s="2"/>
      <c r="EI1" s="2"/>
      <c r="EJ1" s="2"/>
      <c r="EK1" s="13"/>
      <c r="EL1" s="9"/>
      <c r="EM1" s="14"/>
      <c r="EN1" s="14"/>
      <c r="EO1" s="14"/>
      <c r="EP1" s="14"/>
      <c r="EQ1" s="14"/>
      <c r="ER1" s="14"/>
      <c r="ES1" s="14"/>
      <c r="ET1" s="14"/>
      <c r="EU1" s="14"/>
      <c r="EV1" s="14"/>
      <c r="EW1" s="14"/>
      <c r="EX1" s="14"/>
      <c r="EY1" s="14"/>
      <c r="EZ1" s="14"/>
      <c r="FA1" s="9"/>
      <c r="FB1" s="9"/>
      <c r="FC1" s="9"/>
      <c r="FD1" s="9"/>
      <c r="FE1" s="9"/>
      <c r="FF1" s="9"/>
      <c r="FG1" s="15"/>
      <c r="FH1" s="15"/>
      <c r="FI1" s="15"/>
      <c r="FJ1" s="15"/>
      <c r="FK1" s="15"/>
      <c r="FL1" s="15"/>
      <c r="FM1" s="15"/>
      <c r="FN1" s="15"/>
      <c r="FO1" s="15"/>
      <c r="FP1" s="15"/>
      <c r="FQ1" s="15"/>
      <c r="FR1" s="15"/>
      <c r="FS1" s="16"/>
      <c r="FT1" s="2284" t="s">
        <v>608</v>
      </c>
      <c r="FU1" s="17"/>
      <c r="FV1" s="18"/>
      <c r="FW1" s="18"/>
      <c r="FX1" s="18"/>
      <c r="FY1" s="18"/>
      <c r="FZ1" s="18"/>
      <c r="GA1" s="18"/>
      <c r="GB1" s="18"/>
      <c r="GC1" s="18"/>
      <c r="GD1" s="13"/>
      <c r="GE1" s="13"/>
      <c r="GF1" s="19"/>
      <c r="GG1" s="19"/>
      <c r="GH1" s="19"/>
      <c r="GI1" s="19"/>
      <c r="GJ1" s="19"/>
      <c r="GK1" s="13"/>
      <c r="GL1" s="20"/>
      <c r="GM1" s="13"/>
      <c r="GN1" s="13"/>
      <c r="GO1" s="13"/>
      <c r="GP1" s="9"/>
      <c r="GQ1" s="13"/>
      <c r="GR1" s="9"/>
      <c r="GS1" s="13"/>
      <c r="GT1" s="2"/>
      <c r="GU1" s="2"/>
      <c r="GV1" s="2"/>
      <c r="GW1" s="2"/>
      <c r="GZ1" s="15"/>
      <c r="HA1" s="15"/>
      <c r="HB1" s="21"/>
      <c r="HC1" s="22"/>
      <c r="HD1" s="23"/>
      <c r="HE1" s="23"/>
      <c r="HF1" s="23"/>
      <c r="HG1" s="23"/>
      <c r="HH1" s="23"/>
      <c r="HI1" s="23"/>
      <c r="HJ1" s="23"/>
      <c r="HK1" s="23"/>
      <c r="HL1" s="23"/>
      <c r="HM1" s="23"/>
      <c r="HN1" s="23"/>
    </row>
    <row r="2" spans="1:222" s="4" customFormat="1">
      <c r="A2" s="24"/>
      <c r="B2" s="3680"/>
      <c r="C2" s="25" t="s">
        <v>609</v>
      </c>
      <c r="D2" s="26"/>
      <c r="E2" s="27"/>
      <c r="F2" s="28"/>
      <c r="G2" s="29" t="s">
        <v>610</v>
      </c>
      <c r="H2" s="30"/>
      <c r="I2" s="26"/>
      <c r="J2" s="26"/>
      <c r="K2" s="26"/>
      <c r="L2" s="26"/>
      <c r="M2" s="26"/>
      <c r="N2" s="26"/>
      <c r="O2" s="26"/>
      <c r="P2" s="26"/>
      <c r="Q2" s="31"/>
      <c r="R2" s="2586" t="s">
        <v>611</v>
      </c>
      <c r="S2" s="2586"/>
      <c r="T2" s="2586"/>
      <c r="U2" s="2586"/>
      <c r="V2" s="2586"/>
      <c r="W2" s="2586"/>
      <c r="X2" s="2586"/>
      <c r="Y2" s="2586"/>
      <c r="Z2" s="2586"/>
      <c r="AA2" s="2586"/>
      <c r="AB2" s="2586"/>
      <c r="AC2" s="2586"/>
      <c r="AD2" s="2586"/>
      <c r="AE2" s="2586"/>
      <c r="AF2" s="2586"/>
      <c r="AG2" s="2586"/>
      <c r="AH2" s="2586"/>
      <c r="AI2" s="2586"/>
      <c r="AJ2" s="2586"/>
      <c r="AK2" s="2586"/>
      <c r="AL2" s="2586"/>
      <c r="AM2" s="2586"/>
      <c r="AN2" s="2586"/>
      <c r="AO2" s="2586"/>
      <c r="AP2" s="2586"/>
      <c r="AQ2" s="2586"/>
      <c r="AR2" s="2586"/>
      <c r="AS2" s="2586"/>
      <c r="AT2" s="2586"/>
      <c r="AU2" s="2586"/>
      <c r="AV2" s="2586"/>
      <c r="AW2" s="2586"/>
      <c r="AX2" s="2586"/>
      <c r="AY2" s="2586"/>
      <c r="AZ2" s="2586"/>
      <c r="BA2" s="2586"/>
      <c r="BB2" s="2586"/>
      <c r="BC2" s="2586"/>
      <c r="BD2" s="2586"/>
      <c r="BE2" s="2586"/>
      <c r="BF2" s="2586"/>
      <c r="BG2" s="2586"/>
      <c r="BH2" s="2586"/>
      <c r="BI2" s="2586"/>
      <c r="BJ2" s="2586"/>
      <c r="BK2" s="2586"/>
      <c r="BL2" s="2586"/>
      <c r="BM2" s="2586"/>
      <c r="BN2" s="2586"/>
      <c r="BO2" s="2586"/>
      <c r="BP2" s="2586"/>
      <c r="BQ2" s="2586"/>
      <c r="BR2" s="2586"/>
      <c r="BS2" s="2586"/>
      <c r="BT2" s="2586"/>
      <c r="BU2" s="2586"/>
      <c r="BV2" s="2586"/>
      <c r="BW2" s="2586"/>
      <c r="BX2" s="2586"/>
      <c r="BY2" s="2586"/>
      <c r="BZ2" s="2586"/>
      <c r="CA2" s="2586"/>
      <c r="CB2" s="2586"/>
      <c r="CC2" s="2586"/>
      <c r="CD2" s="2586"/>
      <c r="CE2" s="2586"/>
      <c r="CF2" s="2586"/>
      <c r="CG2" s="2586"/>
      <c r="CH2" s="2586"/>
      <c r="CI2" s="2586"/>
      <c r="CJ2" s="2586"/>
      <c r="CK2" s="2586"/>
      <c r="CL2" s="2586"/>
      <c r="CM2" s="2586"/>
      <c r="CN2" s="2586"/>
      <c r="CO2" s="2586"/>
      <c r="CP2" s="2587"/>
      <c r="CQ2" s="2285" t="s">
        <v>612</v>
      </c>
      <c r="CR2" s="2285"/>
      <c r="CS2" s="2285"/>
      <c r="CT2" s="2285"/>
      <c r="CU2" s="30"/>
      <c r="CV2" s="32"/>
      <c r="CW2" s="2285"/>
      <c r="CX2" s="33"/>
      <c r="CY2" s="2296"/>
      <c r="CZ2" s="2285"/>
      <c r="DA2" s="2285"/>
      <c r="DB2" s="2285"/>
      <c r="DC2" s="33"/>
      <c r="DD2" s="2285"/>
      <c r="DE2" s="34"/>
      <c r="DF2" s="2285"/>
      <c r="DG2" s="34"/>
      <c r="DH2" s="2285"/>
      <c r="DI2" s="2285"/>
      <c r="DJ2" s="2285"/>
      <c r="DK2" s="2285"/>
      <c r="DL2" s="2285"/>
      <c r="DM2" s="34"/>
      <c r="DN2" s="2285"/>
      <c r="DO2" s="2285"/>
      <c r="DP2" s="2285"/>
      <c r="DQ2" s="2285"/>
      <c r="DR2" s="2285"/>
      <c r="DS2" s="2285"/>
      <c r="DT2" s="2285"/>
      <c r="DU2" s="2285"/>
      <c r="DV2" s="2285"/>
      <c r="DW2" s="34"/>
      <c r="DX2" s="2285"/>
      <c r="DY2" s="2285"/>
      <c r="DZ2" s="2285"/>
      <c r="EA2" s="2285"/>
      <c r="EB2" s="2285"/>
      <c r="EC2" s="2285"/>
      <c r="ED2" s="2285"/>
      <c r="EE2" s="2285"/>
      <c r="EF2" s="2285"/>
      <c r="EG2" s="2285"/>
      <c r="EH2" s="2285"/>
      <c r="EI2" s="2285"/>
      <c r="EJ2" s="2285"/>
      <c r="EK2" s="34"/>
      <c r="EL2" s="2285"/>
      <c r="EM2" s="2296"/>
      <c r="EN2" s="2296"/>
      <c r="EO2" s="2296"/>
      <c r="EP2" s="2296"/>
      <c r="EQ2" s="2296"/>
      <c r="ER2" s="2296"/>
      <c r="ES2" s="2296"/>
      <c r="ET2" s="2296"/>
      <c r="EU2" s="2296"/>
      <c r="EV2" s="2296"/>
      <c r="EW2" s="2296"/>
      <c r="EX2" s="2296"/>
      <c r="EY2" s="2296"/>
      <c r="EZ2" s="2296"/>
      <c r="FA2" s="2285"/>
      <c r="FB2" s="2285"/>
      <c r="FC2" s="2285"/>
      <c r="FD2" s="2285"/>
      <c r="FE2" s="2285"/>
      <c r="FF2" s="2285"/>
      <c r="FG2" s="2285"/>
      <c r="FH2" s="2285"/>
      <c r="FI2" s="2285"/>
      <c r="FJ2" s="2285"/>
      <c r="FK2" s="2285"/>
      <c r="FL2" s="2285"/>
      <c r="FM2" s="2285"/>
      <c r="FN2" s="2285"/>
      <c r="FO2" s="2285"/>
      <c r="FP2" s="2285"/>
      <c r="FQ2" s="2285"/>
      <c r="FR2" s="2285"/>
      <c r="FS2" s="35"/>
      <c r="FT2" s="2285" t="s">
        <v>613</v>
      </c>
      <c r="FU2" s="34"/>
      <c r="FV2" s="34"/>
      <c r="FW2" s="34"/>
      <c r="FX2" s="34"/>
      <c r="FY2" s="34"/>
      <c r="FZ2" s="34"/>
      <c r="GA2" s="34"/>
      <c r="GB2" s="34"/>
      <c r="GC2" s="34"/>
      <c r="GD2" s="34"/>
      <c r="GE2" s="34"/>
      <c r="GF2" s="34"/>
      <c r="GG2" s="34"/>
      <c r="GH2" s="34"/>
      <c r="GI2" s="34"/>
      <c r="GJ2" s="34"/>
      <c r="GK2" s="34"/>
      <c r="GL2" s="34"/>
      <c r="GM2" s="34"/>
      <c r="GN2" s="34"/>
      <c r="GO2" s="34"/>
      <c r="GP2" s="2285"/>
      <c r="GQ2" s="34"/>
      <c r="GR2" s="2285"/>
      <c r="GS2" s="34"/>
      <c r="GT2" s="2285"/>
      <c r="GU2" s="2285"/>
      <c r="GV2" s="2285"/>
      <c r="GW2" s="2285"/>
      <c r="GX2" s="2285"/>
      <c r="GY2" s="2285"/>
      <c r="GZ2" s="2285"/>
      <c r="HA2" s="2285"/>
      <c r="HC2" s="36"/>
      <c r="HD2" s="23"/>
      <c r="HE2" s="23"/>
      <c r="HF2" s="23"/>
      <c r="HG2" s="23"/>
      <c r="HH2" s="23"/>
      <c r="HI2" s="23"/>
      <c r="HJ2" s="23"/>
      <c r="HK2" s="23"/>
      <c r="HL2" s="23"/>
      <c r="HM2" s="23"/>
      <c r="HN2" s="23"/>
    </row>
    <row r="3" spans="1:222" s="64" customFormat="1" ht="49.5" customHeight="1" thickBot="1">
      <c r="A3" s="37" t="s">
        <v>614</v>
      </c>
      <c r="B3" s="38"/>
      <c r="C3" s="39" t="s">
        <v>615</v>
      </c>
      <c r="D3" s="39" t="s">
        <v>616</v>
      </c>
      <c r="E3" s="40" t="s">
        <v>1</v>
      </c>
      <c r="F3" s="41" t="s">
        <v>617</v>
      </c>
      <c r="G3" s="42" t="s">
        <v>618</v>
      </c>
      <c r="H3" s="43" t="s">
        <v>619</v>
      </c>
      <c r="I3" s="44" t="s">
        <v>620</v>
      </c>
      <c r="J3" s="45" t="s">
        <v>621</v>
      </c>
      <c r="K3" s="44" t="s">
        <v>622</v>
      </c>
      <c r="L3" s="44" t="s">
        <v>623</v>
      </c>
      <c r="M3" s="3681" t="s">
        <v>624</v>
      </c>
      <c r="N3" s="43" t="s">
        <v>625</v>
      </c>
      <c r="O3" s="43" t="s">
        <v>626</v>
      </c>
      <c r="P3" s="43" t="s">
        <v>627</v>
      </c>
      <c r="Q3" s="46" t="s">
        <v>628</v>
      </c>
      <c r="R3" s="47"/>
      <c r="S3" s="48" t="s">
        <v>629</v>
      </c>
      <c r="T3" s="48" t="s">
        <v>629</v>
      </c>
      <c r="U3" s="43" t="s">
        <v>630</v>
      </c>
      <c r="V3" s="43" t="s">
        <v>631</v>
      </c>
      <c r="W3" s="43" t="s">
        <v>632</v>
      </c>
      <c r="X3" s="43" t="s">
        <v>632</v>
      </c>
      <c r="Y3" s="43" t="s">
        <v>633</v>
      </c>
      <c r="Z3" s="43" t="s">
        <v>634</v>
      </c>
      <c r="AA3" s="43" t="s">
        <v>635</v>
      </c>
      <c r="AB3" s="43" t="s">
        <v>635</v>
      </c>
      <c r="AC3" s="43" t="s">
        <v>636</v>
      </c>
      <c r="AD3" s="43" t="s">
        <v>637</v>
      </c>
      <c r="AE3" s="43" t="s">
        <v>638</v>
      </c>
      <c r="AF3" s="43" t="s">
        <v>638</v>
      </c>
      <c r="AG3" s="49" t="s">
        <v>639</v>
      </c>
      <c r="AH3" s="49" t="s">
        <v>640</v>
      </c>
      <c r="AI3" s="49" t="s">
        <v>641</v>
      </c>
      <c r="AJ3" s="49" t="s">
        <v>642</v>
      </c>
      <c r="AK3" s="49" t="s">
        <v>643</v>
      </c>
      <c r="AL3" s="49" t="s">
        <v>643</v>
      </c>
      <c r="AM3" s="43" t="s">
        <v>644</v>
      </c>
      <c r="AN3" s="43" t="s">
        <v>644</v>
      </c>
      <c r="AO3" s="43" t="s">
        <v>645</v>
      </c>
      <c r="AP3" s="43" t="s">
        <v>645</v>
      </c>
      <c r="AQ3" s="43" t="s">
        <v>646</v>
      </c>
      <c r="AR3" s="43" t="s">
        <v>646</v>
      </c>
      <c r="AS3" s="43" t="s">
        <v>647</v>
      </c>
      <c r="AT3" s="43" t="s">
        <v>647</v>
      </c>
      <c r="AU3" s="43" t="s">
        <v>648</v>
      </c>
      <c r="AV3" s="43" t="s">
        <v>648</v>
      </c>
      <c r="AW3" s="43" t="s">
        <v>649</v>
      </c>
      <c r="AX3" s="43" t="s">
        <v>649</v>
      </c>
      <c r="AY3" s="43" t="s">
        <v>650</v>
      </c>
      <c r="AZ3" s="43" t="s">
        <v>650</v>
      </c>
      <c r="BA3" s="43" t="s">
        <v>651</v>
      </c>
      <c r="BB3" s="43" t="s">
        <v>651</v>
      </c>
      <c r="BC3" s="43" t="s">
        <v>652</v>
      </c>
      <c r="BD3" s="43" t="s">
        <v>652</v>
      </c>
      <c r="BE3" s="43" t="s">
        <v>653</v>
      </c>
      <c r="BF3" s="43" t="s">
        <v>653</v>
      </c>
      <c r="BG3" s="43" t="s">
        <v>654</v>
      </c>
      <c r="BH3" s="43" t="s">
        <v>654</v>
      </c>
      <c r="BI3" s="43" t="s">
        <v>655</v>
      </c>
      <c r="BJ3" s="43" t="s">
        <v>655</v>
      </c>
      <c r="BK3" s="43" t="s">
        <v>656</v>
      </c>
      <c r="BL3" s="43" t="s">
        <v>656</v>
      </c>
      <c r="BM3" s="43" t="s">
        <v>627</v>
      </c>
      <c r="BN3" s="43" t="s">
        <v>627</v>
      </c>
      <c r="BO3" s="43" t="s">
        <v>657</v>
      </c>
      <c r="BP3" s="43" t="s">
        <v>657</v>
      </c>
      <c r="BQ3" s="50" t="s">
        <v>658</v>
      </c>
      <c r="BR3" s="50" t="s">
        <v>658</v>
      </c>
      <c r="BS3" s="50" t="s">
        <v>659</v>
      </c>
      <c r="BT3" s="50" t="s">
        <v>659</v>
      </c>
      <c r="BU3" s="50" t="s">
        <v>660</v>
      </c>
      <c r="BV3" s="50" t="s">
        <v>660</v>
      </c>
      <c r="BW3" s="51" t="s">
        <v>661</v>
      </c>
      <c r="BX3" s="51" t="s">
        <v>661</v>
      </c>
      <c r="BY3" s="51" t="s">
        <v>662</v>
      </c>
      <c r="BZ3" s="51" t="s">
        <v>662</v>
      </c>
      <c r="CA3" s="51" t="s">
        <v>663</v>
      </c>
      <c r="CB3" s="51" t="s">
        <v>663</v>
      </c>
      <c r="CC3" s="51" t="s">
        <v>664</v>
      </c>
      <c r="CD3" s="51" t="s">
        <v>664</v>
      </c>
      <c r="CE3" s="51" t="s">
        <v>665</v>
      </c>
      <c r="CF3" s="51" t="s">
        <v>665</v>
      </c>
      <c r="CG3" s="51" t="s">
        <v>666</v>
      </c>
      <c r="CH3" s="51" t="s">
        <v>666</v>
      </c>
      <c r="CI3" s="51" t="s">
        <v>667</v>
      </c>
      <c r="CJ3" s="51" t="s">
        <v>667</v>
      </c>
      <c r="CK3" s="51" t="s">
        <v>668</v>
      </c>
      <c r="CL3" s="51" t="s">
        <v>668</v>
      </c>
      <c r="CM3" s="51" t="s">
        <v>669</v>
      </c>
      <c r="CN3" s="51" t="s">
        <v>669</v>
      </c>
      <c r="CO3" s="50" t="s">
        <v>670</v>
      </c>
      <c r="CP3" s="46" t="s">
        <v>670</v>
      </c>
      <c r="CQ3" s="3682" t="s">
        <v>671</v>
      </c>
      <c r="CR3" s="43" t="s">
        <v>672</v>
      </c>
      <c r="CS3" s="50" t="s">
        <v>673</v>
      </c>
      <c r="CT3" s="50" t="s">
        <v>674</v>
      </c>
      <c r="CU3" s="43" t="s">
        <v>675</v>
      </c>
      <c r="CV3" s="52"/>
      <c r="CW3" s="3683" t="s">
        <v>629</v>
      </c>
      <c r="CX3" s="39" t="s">
        <v>676</v>
      </c>
      <c r="CY3" s="53" t="s">
        <v>677</v>
      </c>
      <c r="CZ3" s="43" t="s">
        <v>677</v>
      </c>
      <c r="DA3" s="3684" t="s">
        <v>678</v>
      </c>
      <c r="DB3" s="3684" t="s">
        <v>678</v>
      </c>
      <c r="DC3" s="3684" t="s">
        <v>633</v>
      </c>
      <c r="DD3" s="3684" t="s">
        <v>634</v>
      </c>
      <c r="DE3" s="43" t="s">
        <v>679</v>
      </c>
      <c r="DF3" s="43" t="s">
        <v>635</v>
      </c>
      <c r="DG3" s="43" t="s">
        <v>680</v>
      </c>
      <c r="DH3" s="50" t="s">
        <v>637</v>
      </c>
      <c r="DI3" s="43" t="s">
        <v>638</v>
      </c>
      <c r="DJ3" s="43" t="s">
        <v>638</v>
      </c>
      <c r="DK3" s="43" t="s">
        <v>643</v>
      </c>
      <c r="DL3" s="43" t="s">
        <v>643</v>
      </c>
      <c r="DM3" s="50" t="s">
        <v>681</v>
      </c>
      <c r="DN3" s="50" t="s">
        <v>682</v>
      </c>
      <c r="DO3" s="43" t="s">
        <v>646</v>
      </c>
      <c r="DP3" s="43" t="s">
        <v>646</v>
      </c>
      <c r="DQ3" s="43" t="s">
        <v>647</v>
      </c>
      <c r="DR3" s="43" t="s">
        <v>647</v>
      </c>
      <c r="DS3" s="43" t="s">
        <v>648</v>
      </c>
      <c r="DT3" s="43" t="s">
        <v>648</v>
      </c>
      <c r="DU3" s="43" t="s">
        <v>649</v>
      </c>
      <c r="DV3" s="43" t="s">
        <v>649</v>
      </c>
      <c r="DW3" s="43" t="s">
        <v>650</v>
      </c>
      <c r="DX3" s="43" t="s">
        <v>650</v>
      </c>
      <c r="DY3" s="43" t="s">
        <v>651</v>
      </c>
      <c r="DZ3" s="43" t="s">
        <v>651</v>
      </c>
      <c r="EA3" s="43" t="s">
        <v>652</v>
      </c>
      <c r="EB3" s="43" t="s">
        <v>652</v>
      </c>
      <c r="EC3" s="43" t="s">
        <v>653</v>
      </c>
      <c r="ED3" s="43" t="s">
        <v>653</v>
      </c>
      <c r="EE3" s="43" t="s">
        <v>654</v>
      </c>
      <c r="EF3" s="43" t="s">
        <v>654</v>
      </c>
      <c r="EG3" s="50" t="s">
        <v>655</v>
      </c>
      <c r="EH3" s="50" t="s">
        <v>655</v>
      </c>
      <c r="EI3" s="49" t="s">
        <v>656</v>
      </c>
      <c r="EJ3" s="49" t="s">
        <v>656</v>
      </c>
      <c r="EK3" s="43" t="s">
        <v>627</v>
      </c>
      <c r="EL3" s="43" t="s">
        <v>627</v>
      </c>
      <c r="EM3" s="54" t="s">
        <v>683</v>
      </c>
      <c r="EN3" s="54" t="s">
        <v>683</v>
      </c>
      <c r="EO3" s="55" t="s">
        <v>684</v>
      </c>
      <c r="EP3" s="55" t="s">
        <v>684</v>
      </c>
      <c r="EQ3" s="55" t="s">
        <v>685</v>
      </c>
      <c r="ER3" s="55" t="s">
        <v>685</v>
      </c>
      <c r="ES3" s="56" t="s">
        <v>686</v>
      </c>
      <c r="ET3" s="56" t="s">
        <v>686</v>
      </c>
      <c r="EU3" s="57" t="s">
        <v>659</v>
      </c>
      <c r="EV3" s="57" t="s">
        <v>659</v>
      </c>
      <c r="EW3" s="57" t="s">
        <v>660</v>
      </c>
      <c r="EX3" s="57" t="s">
        <v>660</v>
      </c>
      <c r="EY3" s="54" t="s">
        <v>661</v>
      </c>
      <c r="EZ3" s="54" t="s">
        <v>661</v>
      </c>
      <c r="FA3" s="51" t="s">
        <v>687</v>
      </c>
      <c r="FB3" s="58" t="s">
        <v>688</v>
      </c>
      <c r="FC3" s="58" t="s">
        <v>688</v>
      </c>
      <c r="FD3" s="58" t="s">
        <v>689</v>
      </c>
      <c r="FE3" s="58" t="s">
        <v>689</v>
      </c>
      <c r="FF3" s="51" t="s">
        <v>663</v>
      </c>
      <c r="FG3" s="51" t="s">
        <v>663</v>
      </c>
      <c r="FH3" s="51" t="s">
        <v>690</v>
      </c>
      <c r="FI3" s="51" t="s">
        <v>690</v>
      </c>
      <c r="FJ3" s="51" t="s">
        <v>665</v>
      </c>
      <c r="FK3" s="51" t="s">
        <v>665</v>
      </c>
      <c r="FL3" s="51" t="s">
        <v>691</v>
      </c>
      <c r="FM3" s="51" t="s">
        <v>691</v>
      </c>
      <c r="FN3" s="51" t="s">
        <v>667</v>
      </c>
      <c r="FO3" s="51" t="s">
        <v>667</v>
      </c>
      <c r="FP3" s="51" t="s">
        <v>668</v>
      </c>
      <c r="FQ3" s="51" t="s">
        <v>668</v>
      </c>
      <c r="FR3" s="59" t="s">
        <v>692</v>
      </c>
      <c r="FS3" s="3685" t="s">
        <v>692</v>
      </c>
      <c r="FT3" s="60" t="s">
        <v>629</v>
      </c>
      <c r="FU3" s="43" t="s">
        <v>693</v>
      </c>
      <c r="FV3" s="50" t="s">
        <v>694</v>
      </c>
      <c r="FW3" s="61" t="s">
        <v>695</v>
      </c>
      <c r="FX3" s="3684" t="s">
        <v>696</v>
      </c>
      <c r="FY3" s="3684" t="s">
        <v>634</v>
      </c>
      <c r="FZ3" s="43" t="s">
        <v>638</v>
      </c>
      <c r="GA3" s="43" t="s">
        <v>643</v>
      </c>
      <c r="GB3" s="50" t="s">
        <v>682</v>
      </c>
      <c r="GC3" s="43" t="s">
        <v>646</v>
      </c>
      <c r="GD3" s="43" t="s">
        <v>647</v>
      </c>
      <c r="GE3" s="43" t="s">
        <v>648</v>
      </c>
      <c r="GF3" s="43" t="s">
        <v>649</v>
      </c>
      <c r="GG3" s="43" t="s">
        <v>651</v>
      </c>
      <c r="GH3" s="43" t="s">
        <v>652</v>
      </c>
      <c r="GI3" s="43" t="s">
        <v>653</v>
      </c>
      <c r="GJ3" s="43" t="s">
        <v>654</v>
      </c>
      <c r="GK3" s="50" t="s">
        <v>655</v>
      </c>
      <c r="GL3" s="59" t="s">
        <v>697</v>
      </c>
      <c r="GM3" s="43" t="s">
        <v>627</v>
      </c>
      <c r="GN3" s="62" t="s">
        <v>628</v>
      </c>
      <c r="GO3" s="62" t="s">
        <v>698</v>
      </c>
      <c r="GP3" s="62" t="s">
        <v>698</v>
      </c>
      <c r="GQ3" s="59" t="s">
        <v>659</v>
      </c>
      <c r="GR3" s="59" t="s">
        <v>659</v>
      </c>
      <c r="GS3" s="59" t="s">
        <v>660</v>
      </c>
      <c r="GT3" s="59" t="s">
        <v>660</v>
      </c>
      <c r="GU3" s="59" t="s">
        <v>661</v>
      </c>
      <c r="GV3" s="51" t="s">
        <v>699</v>
      </c>
      <c r="GW3" s="51" t="s">
        <v>700</v>
      </c>
      <c r="GX3" s="51" t="s">
        <v>663</v>
      </c>
      <c r="GY3" s="51" t="s">
        <v>665</v>
      </c>
      <c r="GZ3" s="51" t="s">
        <v>701</v>
      </c>
      <c r="HA3" s="51" t="s">
        <v>667</v>
      </c>
      <c r="HB3" s="51" t="s">
        <v>668</v>
      </c>
      <c r="HC3" s="3686" t="s">
        <v>702</v>
      </c>
      <c r="HD3" s="63"/>
      <c r="HE3" s="63"/>
      <c r="HF3" s="63"/>
      <c r="HG3" s="63"/>
      <c r="HH3" s="63"/>
      <c r="HI3" s="63"/>
      <c r="HJ3" s="63"/>
      <c r="HK3" s="63"/>
      <c r="HL3" s="63"/>
      <c r="HM3" s="63"/>
      <c r="HN3" s="63"/>
    </row>
    <row r="4" spans="1:222" s="91" customFormat="1" ht="18.75">
      <c r="A4" s="2264">
        <v>1</v>
      </c>
      <c r="B4" s="65" t="s">
        <v>703</v>
      </c>
      <c r="C4" s="66">
        <v>3198</v>
      </c>
      <c r="D4" s="66">
        <v>81</v>
      </c>
      <c r="E4" s="67">
        <v>2031980081</v>
      </c>
      <c r="F4" s="68">
        <v>12800</v>
      </c>
      <c r="G4" s="69" t="s">
        <v>704</v>
      </c>
      <c r="H4" s="70"/>
      <c r="I4" s="66">
        <v>0.98</v>
      </c>
      <c r="J4" s="66">
        <v>0</v>
      </c>
      <c r="K4" s="66">
        <v>2</v>
      </c>
      <c r="L4" s="66">
        <v>6.5</v>
      </c>
      <c r="M4" s="68">
        <v>12500</v>
      </c>
      <c r="N4" s="68">
        <v>0</v>
      </c>
      <c r="O4" s="68">
        <v>0</v>
      </c>
      <c r="P4" s="68">
        <v>12500</v>
      </c>
      <c r="Q4" s="71">
        <v>0</v>
      </c>
      <c r="R4" s="72" t="s">
        <v>637</v>
      </c>
      <c r="S4" s="2245">
        <f>T4</f>
        <v>0</v>
      </c>
      <c r="T4" s="73">
        <v>0</v>
      </c>
      <c r="U4" s="2245">
        <f>V4</f>
        <v>12500</v>
      </c>
      <c r="V4" s="74">
        <f>M4</f>
        <v>12500</v>
      </c>
      <c r="W4" s="2245">
        <f>X4</f>
        <v>12500</v>
      </c>
      <c r="X4" s="73">
        <f>V4-Z4</f>
        <v>12500</v>
      </c>
      <c r="Y4" s="2245">
        <f>Z4</f>
        <v>0</v>
      </c>
      <c r="Z4" s="73">
        <v>0</v>
      </c>
      <c r="AA4" s="2245">
        <f>AB4</f>
        <v>0</v>
      </c>
      <c r="AB4" s="73">
        <v>0</v>
      </c>
      <c r="AC4" s="2245">
        <f>AD4</f>
        <v>12500</v>
      </c>
      <c r="AD4" s="75">
        <f>V4-(Z4+AB4+AF4+AL4+AN4+AP4+AZ4+AR4+AT4+AV4+AX4)</f>
        <v>12500</v>
      </c>
      <c r="AE4" s="2252">
        <f>AF4</f>
        <v>0</v>
      </c>
      <c r="AF4" s="75">
        <v>0</v>
      </c>
      <c r="AG4" s="76">
        <v>0</v>
      </c>
      <c r="AH4" s="76">
        <f>AG4</f>
        <v>0</v>
      </c>
      <c r="AI4" s="76">
        <v>0</v>
      </c>
      <c r="AJ4" s="76">
        <f>AI4</f>
        <v>0</v>
      </c>
      <c r="AK4" s="2252">
        <f>AL4</f>
        <v>0</v>
      </c>
      <c r="AL4" s="76">
        <v>0</v>
      </c>
      <c r="AM4" s="2252">
        <f>AN4</f>
        <v>0</v>
      </c>
      <c r="AN4" s="75">
        <v>0</v>
      </c>
      <c r="AO4" s="2225">
        <f>AP4</f>
        <v>0</v>
      </c>
      <c r="AP4" s="75">
        <v>0</v>
      </c>
      <c r="AQ4" s="2252">
        <f>AR4</f>
        <v>0</v>
      </c>
      <c r="AR4" s="2252">
        <f>AS4</f>
        <v>0</v>
      </c>
      <c r="AS4" s="2252">
        <f>AT4</f>
        <v>0</v>
      </c>
      <c r="AT4" s="75">
        <v>0</v>
      </c>
      <c r="AU4" s="2252">
        <f>AV4</f>
        <v>0</v>
      </c>
      <c r="AV4" s="75">
        <v>0</v>
      </c>
      <c r="AW4" s="2252">
        <f>AX4</f>
        <v>0</v>
      </c>
      <c r="AX4" s="75">
        <v>0</v>
      </c>
      <c r="AY4" s="2252">
        <f>AZ4</f>
        <v>0</v>
      </c>
      <c r="AZ4" s="75">
        <f>BB4+BD4+BF4+BH4+BJ4+BL4</f>
        <v>0</v>
      </c>
      <c r="BA4" s="2225">
        <f>BB4</f>
        <v>0</v>
      </c>
      <c r="BB4" s="75">
        <v>0</v>
      </c>
      <c r="BC4" s="2225">
        <f>BD4</f>
        <v>0</v>
      </c>
      <c r="BD4" s="75">
        <v>0</v>
      </c>
      <c r="BE4" s="2225">
        <f>BF4</f>
        <v>0</v>
      </c>
      <c r="BF4" s="75">
        <v>0</v>
      </c>
      <c r="BG4" s="2225">
        <f>BH4</f>
        <v>0</v>
      </c>
      <c r="BH4" s="75">
        <v>0</v>
      </c>
      <c r="BI4" s="2225">
        <f>BJ4</f>
        <v>0</v>
      </c>
      <c r="BJ4" s="75">
        <v>0</v>
      </c>
      <c r="BK4" s="2225">
        <f>BL4</f>
        <v>0</v>
      </c>
      <c r="BL4" s="75">
        <v>0</v>
      </c>
      <c r="BM4" s="2252">
        <f>BN4</f>
        <v>12500</v>
      </c>
      <c r="BN4" s="73">
        <f>T4+V4</f>
        <v>12500</v>
      </c>
      <c r="BO4" s="2252">
        <f>BP4</f>
        <v>0</v>
      </c>
      <c r="BP4" s="73">
        <f>ROUND(T4/EP$141,0)</f>
        <v>0</v>
      </c>
      <c r="BQ4" s="2252">
        <f>BR4</f>
        <v>0</v>
      </c>
      <c r="BR4" s="73">
        <f>BR$142*BP4</f>
        <v>0</v>
      </c>
      <c r="BS4" s="2252">
        <f>BT4</f>
        <v>0</v>
      </c>
      <c r="BT4" s="77">
        <f>ROUND(BP4*2.92,0)</f>
        <v>0</v>
      </c>
      <c r="BU4" s="2252">
        <f>BV4</f>
        <v>38</v>
      </c>
      <c r="BV4" s="78">
        <f>ROUND((AD4+AB4+Z4)/1000*3,0)+ROUND((AF4+AX4)/1000,0)+ROUND((ROUND(AL4/400,0))/2.67,0)+ROUND(AN4/250,0)+ROUND(AR4/15000,0)+ROUND((BB4+BD4+BF4+BJ4)/1000*3,0)+ROUND(BP4/25,0)+ROUND(CN4/50,0)</f>
        <v>38</v>
      </c>
      <c r="BW4" s="2252">
        <f>BX4</f>
        <v>0</v>
      </c>
      <c r="BX4" s="73">
        <v>0</v>
      </c>
      <c r="BY4" s="2252">
        <f>BZ4</f>
        <v>0</v>
      </c>
      <c r="BZ4" s="73">
        <v>0</v>
      </c>
      <c r="CA4" s="2252">
        <f>CB4</f>
        <v>12.5</v>
      </c>
      <c r="CB4" s="73">
        <f>V4/1000</f>
        <v>12.5</v>
      </c>
      <c r="CC4" s="2252">
        <f>CD4</f>
        <v>0</v>
      </c>
      <c r="CD4" s="73">
        <f>AB4/1000</f>
        <v>0</v>
      </c>
      <c r="CE4" s="2252">
        <f>CF4</f>
        <v>0</v>
      </c>
      <c r="CF4" s="73">
        <f>((AL4/400)/12)</f>
        <v>0</v>
      </c>
      <c r="CG4" s="2252">
        <f>CH4</f>
        <v>0</v>
      </c>
      <c r="CH4" s="79">
        <f>IFERROR(VLOOKUP(E4,#REF!,3,FALSE),0)</f>
        <v>0</v>
      </c>
      <c r="CI4" s="2252" t="b">
        <f>CJ4</f>
        <v>0</v>
      </c>
      <c r="CJ4" s="73" t="b">
        <f>IF(G4="M1-2",F4/1000)</f>
        <v>0</v>
      </c>
      <c r="CK4" s="2252">
        <f>CL4</f>
        <v>0</v>
      </c>
      <c r="CL4" s="73">
        <f>IF(BJ4&gt;0,"Calculate",0)</f>
        <v>0</v>
      </c>
      <c r="CM4" s="2252">
        <f>CN4</f>
        <v>12.5</v>
      </c>
      <c r="CN4" s="73">
        <f>SUM(BX4,BZ4,CB4,CD4,CF4,CH4,CJ4,CL4)</f>
        <v>12.5</v>
      </c>
      <c r="CO4" s="73"/>
      <c r="CP4" s="2266">
        <v>10</v>
      </c>
      <c r="CQ4" s="80" t="s">
        <v>705</v>
      </c>
      <c r="CR4" s="81">
        <v>4.5999999999999996</v>
      </c>
      <c r="CS4" s="81">
        <v>2</v>
      </c>
      <c r="CT4" s="81">
        <v>4.5999999999999996</v>
      </c>
      <c r="CU4" s="82" t="s">
        <v>706</v>
      </c>
      <c r="CV4" s="2259" t="s">
        <v>707</v>
      </c>
      <c r="CW4" s="83">
        <v>0</v>
      </c>
      <c r="CX4" s="84">
        <f>CW4</f>
        <v>0</v>
      </c>
      <c r="CY4" s="85">
        <f>CZ4</f>
        <v>58879.999999999993</v>
      </c>
      <c r="CZ4" s="75">
        <f>DX4</f>
        <v>58879.999999999993</v>
      </c>
      <c r="DA4" s="86">
        <f>DB4</f>
        <v>58880</v>
      </c>
      <c r="DB4" s="75">
        <v>58880</v>
      </c>
      <c r="DC4" s="84">
        <f>DD4</f>
        <v>0</v>
      </c>
      <c r="DD4" s="73">
        <v>0</v>
      </c>
      <c r="DE4" s="2245">
        <f>DF4</f>
        <v>0</v>
      </c>
      <c r="DF4" s="73">
        <v>0</v>
      </c>
      <c r="DG4" s="2245">
        <f>DH4</f>
        <v>0</v>
      </c>
      <c r="DH4" s="73">
        <f>CZ4-(DD4+DF4+DJ4+DL4+DN4+DT4+DV4+DX4)</f>
        <v>0</v>
      </c>
      <c r="DI4" s="2245">
        <f>DJ4</f>
        <v>0</v>
      </c>
      <c r="DJ4" s="73">
        <v>0</v>
      </c>
      <c r="DK4" s="2245">
        <f>DL4</f>
        <v>0</v>
      </c>
      <c r="DL4" s="73">
        <v>0</v>
      </c>
      <c r="DM4" s="2245">
        <f>DN4</f>
        <v>0</v>
      </c>
      <c r="DN4" s="73">
        <v>0</v>
      </c>
      <c r="DO4" s="2245">
        <f>DP4</f>
        <v>0</v>
      </c>
      <c r="DP4" s="73">
        <v>0</v>
      </c>
      <c r="DQ4" s="2245">
        <f>DR4</f>
        <v>0</v>
      </c>
      <c r="DR4" s="73">
        <v>0</v>
      </c>
      <c r="DS4" s="2245">
        <f>DT4</f>
        <v>0</v>
      </c>
      <c r="DT4" s="73">
        <v>0</v>
      </c>
      <c r="DU4" s="2245">
        <f>DV4</f>
        <v>0</v>
      </c>
      <c r="DV4" s="73">
        <v>0</v>
      </c>
      <c r="DW4" s="2245">
        <f>DX4</f>
        <v>58879.999999999993</v>
      </c>
      <c r="DX4" s="75">
        <f>SUM(DZ4,EB4,ED4,EF4,EH4,EJ4)</f>
        <v>58879.999999999993</v>
      </c>
      <c r="DY4" s="2245">
        <f>DZ4</f>
        <v>0</v>
      </c>
      <c r="DZ4" s="75">
        <v>0</v>
      </c>
      <c r="EA4" s="2245">
        <f>EB4</f>
        <v>29439.999999999996</v>
      </c>
      <c r="EB4" s="75">
        <f>0.5*(CT4*F4)</f>
        <v>29439.999999999996</v>
      </c>
      <c r="EC4" s="2245">
        <f>ED4</f>
        <v>0</v>
      </c>
      <c r="ED4" s="75">
        <v>0</v>
      </c>
      <c r="EE4" s="2245">
        <f>EF4</f>
        <v>0</v>
      </c>
      <c r="EF4" s="75">
        <v>0</v>
      </c>
      <c r="EG4" s="2245">
        <f>EH4</f>
        <v>29439.999999999996</v>
      </c>
      <c r="EH4" s="75">
        <f>0.5*(CT4*F4)</f>
        <v>29439.999999999996</v>
      </c>
      <c r="EI4" s="2245">
        <f>EJ4</f>
        <v>0</v>
      </c>
      <c r="EJ4" s="75">
        <v>0</v>
      </c>
      <c r="EK4" s="2252">
        <f>EL4</f>
        <v>58879.999999999993</v>
      </c>
      <c r="EL4" s="73">
        <f>CW4+CZ4</f>
        <v>58879.999999999993</v>
      </c>
      <c r="EM4" s="2247">
        <f>EN4</f>
        <v>0</v>
      </c>
      <c r="EN4" s="74">
        <f>ROUND(CW4/EP$141,0)</f>
        <v>0</v>
      </c>
      <c r="EO4" s="2247">
        <f>EP4</f>
        <v>0</v>
      </c>
      <c r="EP4" s="74">
        <f>EV$143*EN4</f>
        <v>0</v>
      </c>
      <c r="EQ4" s="74">
        <f>ER4</f>
        <v>0</v>
      </c>
      <c r="ER4" s="74">
        <v>0</v>
      </c>
      <c r="ES4" s="87">
        <f>ET4</f>
        <v>58.879999999999995</v>
      </c>
      <c r="ET4" s="74">
        <f>FA4+FG4+FQ4</f>
        <v>58.879999999999995</v>
      </c>
      <c r="EU4" s="2245">
        <f>EV4</f>
        <v>0</v>
      </c>
      <c r="EV4" s="74">
        <f>2.92*EN4</f>
        <v>0</v>
      </c>
      <c r="EW4" s="2245">
        <f>EX4</f>
        <v>178</v>
      </c>
      <c r="EX4" s="88">
        <f>ROUND((DH4+DF4+DD4)/1000*3,0)+ROUND((ROUND(DL4/400,0))/2.67,0)+ROUND(DV4/1000,0)+ROUND((DZ4+EB4+ED4+EH4)/1000*3,0)+ROUND(EN4/25,0)+ROUND(ET4/50,0)</f>
        <v>178</v>
      </c>
      <c r="EY4" s="2245">
        <f>EZ4</f>
        <v>0</v>
      </c>
      <c r="EZ4" s="2249">
        <f>FA4</f>
        <v>0</v>
      </c>
      <c r="FA4" s="2225">
        <v>0</v>
      </c>
      <c r="FB4" s="2245">
        <f>FC4</f>
        <v>0</v>
      </c>
      <c r="FC4" s="2225">
        <v>0</v>
      </c>
      <c r="FD4" s="2245">
        <f>FE4</f>
        <v>0</v>
      </c>
      <c r="FE4" s="2225">
        <v>0</v>
      </c>
      <c r="FF4" s="2245">
        <f>FG4</f>
        <v>0</v>
      </c>
      <c r="FG4" s="74">
        <f>ROUND((DH4+DJ4+DD4+DN4+DT4)/1000,0)</f>
        <v>0</v>
      </c>
      <c r="FH4" s="2245">
        <f>FI4</f>
        <v>0</v>
      </c>
      <c r="FI4" s="74">
        <f>DF4/1000</f>
        <v>0</v>
      </c>
      <c r="FJ4" s="2245">
        <f>FK4</f>
        <v>0</v>
      </c>
      <c r="FK4" s="74">
        <f>((DL4/400)/12)</f>
        <v>0</v>
      </c>
      <c r="FL4" s="2245">
        <f>FM4</f>
        <v>0</v>
      </c>
      <c r="FM4" s="74">
        <v>0</v>
      </c>
      <c r="FN4" s="2245">
        <f>FO4</f>
        <v>0</v>
      </c>
      <c r="FO4" s="74">
        <v>0</v>
      </c>
      <c r="FP4" s="74">
        <f>FQ4</f>
        <v>58.879999999999995</v>
      </c>
      <c r="FQ4" s="74">
        <f>DX4/1000</f>
        <v>58.879999999999995</v>
      </c>
      <c r="FR4" s="2245">
        <f>FS4</f>
        <v>115</v>
      </c>
      <c r="FS4" s="2245">
        <v>115</v>
      </c>
      <c r="FT4" s="2240">
        <f>CX4-S4</f>
        <v>0</v>
      </c>
      <c r="FU4" s="2233">
        <f>CY4-U4</f>
        <v>46379.999999999993</v>
      </c>
      <c r="FV4" s="2235">
        <f>(DC4+DE4+DG4)-(Y4+AA4+AC4+AE4)</f>
        <v>-12500</v>
      </c>
      <c r="FW4" s="2235">
        <f>DG4-AC4</f>
        <v>-12500</v>
      </c>
      <c r="FX4" s="2233">
        <f>DE4-AA4</f>
        <v>0</v>
      </c>
      <c r="FY4" s="2233">
        <f>DC4-Y4</f>
        <v>0</v>
      </c>
      <c r="FZ4" s="2233">
        <f>DJ4-AE4</f>
        <v>0</v>
      </c>
      <c r="GA4" s="2233">
        <f>DL4-AL4</f>
        <v>0</v>
      </c>
      <c r="GB4" s="2233">
        <f>DM4-AM4</f>
        <v>0</v>
      </c>
      <c r="GC4" s="2233">
        <f>DP4-AQ4</f>
        <v>0</v>
      </c>
      <c r="GD4" s="2233">
        <f>DR4-AS4</f>
        <v>0</v>
      </c>
      <c r="GE4" s="2233">
        <f>DT4-AV4</f>
        <v>0</v>
      </c>
      <c r="GF4" s="2233">
        <f>DV4-AW4</f>
        <v>0</v>
      </c>
      <c r="GG4" s="2233">
        <f>DZ4-BB4</f>
        <v>0</v>
      </c>
      <c r="GH4" s="2233">
        <f>EB4-BD4</f>
        <v>29439.999999999996</v>
      </c>
      <c r="GI4" s="2233">
        <f>ED4-BF4</f>
        <v>0</v>
      </c>
      <c r="GJ4" s="2233">
        <f>EF4-BH4</f>
        <v>0</v>
      </c>
      <c r="GK4" s="2233">
        <f>EH4-BJ4</f>
        <v>29439.999999999996</v>
      </c>
      <c r="GL4" s="2235">
        <f>DW4-AY4</f>
        <v>58879.999999999993</v>
      </c>
      <c r="GM4" s="2235">
        <f>EK4-BM4</f>
        <v>46379.999999999993</v>
      </c>
      <c r="GN4" s="2235">
        <f>EM4-BO4</f>
        <v>0</v>
      </c>
      <c r="GO4" s="2225">
        <f>GP4</f>
        <v>0</v>
      </c>
      <c r="GP4" s="89">
        <f>EP4-BR4</f>
        <v>0</v>
      </c>
      <c r="GQ4" s="2225">
        <f>GR4</f>
        <v>0</v>
      </c>
      <c r="GR4" s="89">
        <f>EV4-BT4</f>
        <v>0</v>
      </c>
      <c r="GS4" s="2225">
        <f>GT4</f>
        <v>140</v>
      </c>
      <c r="GT4" s="89">
        <f>EX4-BV4</f>
        <v>140</v>
      </c>
      <c r="GU4" s="89">
        <f>EZ4-BX4</f>
        <v>0</v>
      </c>
      <c r="GV4" s="89">
        <f>FI4-CD4</f>
        <v>0</v>
      </c>
      <c r="GW4" s="89">
        <v>0</v>
      </c>
      <c r="GX4" s="89">
        <f>FG4-CB4</f>
        <v>-12.5</v>
      </c>
      <c r="GY4" s="89">
        <f>FK4-CF4</f>
        <v>0</v>
      </c>
      <c r="GZ4" s="89">
        <f>FM4-CH4</f>
        <v>0</v>
      </c>
      <c r="HA4" s="89">
        <f>FO4-CJ4</f>
        <v>0</v>
      </c>
      <c r="HB4" s="89">
        <f>FQ4-CL4</f>
        <v>58.879999999999995</v>
      </c>
      <c r="HC4" s="2230">
        <f>GU4+GV4+GX4+GY4+HA4+HB4</f>
        <v>46.379999999999995</v>
      </c>
      <c r="HD4" s="90"/>
      <c r="HE4" s="90"/>
    </row>
    <row r="5" spans="1:222" s="95" customFormat="1" ht="18.75">
      <c r="A5" s="92"/>
      <c r="B5" s="93"/>
      <c r="C5" s="94"/>
      <c r="E5" s="96"/>
      <c r="F5" s="97"/>
      <c r="G5" s="98"/>
      <c r="H5" s="99"/>
      <c r="M5" s="97"/>
      <c r="N5" s="97"/>
      <c r="O5" s="97"/>
      <c r="P5" s="97"/>
      <c r="Q5" s="100"/>
      <c r="S5" s="101"/>
      <c r="T5" s="97"/>
      <c r="U5" s="2244"/>
      <c r="V5" s="102"/>
      <c r="W5" s="2244"/>
      <c r="X5" s="97"/>
      <c r="Y5" s="2244"/>
      <c r="Z5" s="97"/>
      <c r="AA5" s="2244"/>
      <c r="AB5" s="97"/>
      <c r="AC5" s="2244"/>
      <c r="AD5" s="103"/>
      <c r="AE5" s="2251"/>
      <c r="AF5" s="103"/>
      <c r="AG5" s="103"/>
      <c r="AH5" s="103"/>
      <c r="AI5" s="103"/>
      <c r="AJ5" s="103"/>
      <c r="AK5" s="2251"/>
      <c r="AL5" s="103"/>
      <c r="AM5" s="2251"/>
      <c r="AN5" s="103"/>
      <c r="AO5" s="2224"/>
      <c r="AP5" s="103"/>
      <c r="AQ5" s="2251"/>
      <c r="AR5" s="103"/>
      <c r="AS5" s="103"/>
      <c r="AT5" s="103"/>
      <c r="AU5" s="103"/>
      <c r="AV5" s="103"/>
      <c r="AW5" s="103"/>
      <c r="AX5" s="103"/>
      <c r="AY5" s="103"/>
      <c r="AZ5" s="75">
        <f t="shared" ref="AZ5:AZ68" si="0">BB5+BD5+BF5+BH5+BJ5+BL5</f>
        <v>0</v>
      </c>
      <c r="BA5" s="2224"/>
      <c r="BB5" s="97"/>
      <c r="BC5" s="2224"/>
      <c r="BD5" s="97"/>
      <c r="BE5" s="2224"/>
      <c r="BF5" s="97"/>
      <c r="BG5" s="2224"/>
      <c r="BH5" s="97"/>
      <c r="BI5" s="2224"/>
      <c r="BJ5" s="97"/>
      <c r="BK5" s="2224"/>
      <c r="BL5" s="97"/>
      <c r="BM5" s="103"/>
      <c r="BN5" s="97"/>
      <c r="BO5" s="103"/>
      <c r="BP5" s="97"/>
      <c r="BQ5" s="103"/>
      <c r="BR5" s="97"/>
      <c r="BS5" s="103"/>
      <c r="BT5" s="104"/>
      <c r="BU5" s="103"/>
      <c r="BV5" s="97"/>
      <c r="BW5" s="103"/>
      <c r="BX5" s="97"/>
      <c r="BY5" s="103"/>
      <c r="BZ5" s="97"/>
      <c r="CA5" s="103"/>
      <c r="CB5" s="97"/>
      <c r="CC5" s="103"/>
      <c r="CD5" s="97"/>
      <c r="CE5" s="103"/>
      <c r="CF5" s="97"/>
      <c r="CG5" s="103"/>
      <c r="CH5" s="105"/>
      <c r="CI5" s="103"/>
      <c r="CJ5" s="97"/>
      <c r="CK5" s="103"/>
      <c r="CL5" s="97"/>
      <c r="CM5" s="103"/>
      <c r="CN5" s="73">
        <f t="shared" ref="CN5:CN68" si="1">SUM(BX5,BZ5,CB5,CD5,CF5,CH5,CJ5,CL5)</f>
        <v>0</v>
      </c>
      <c r="CO5" s="97"/>
      <c r="CP5" s="106"/>
      <c r="CQ5" s="107"/>
      <c r="CR5" s="107"/>
      <c r="CS5" s="107"/>
      <c r="CT5" s="107"/>
      <c r="CU5" s="108"/>
      <c r="CV5" s="109"/>
      <c r="CW5" s="97"/>
      <c r="CX5" s="2244"/>
      <c r="CY5" s="2261"/>
      <c r="CZ5" s="97"/>
      <c r="DA5" s="2253"/>
      <c r="DB5" s="97"/>
      <c r="DC5" s="2244"/>
      <c r="DD5" s="97"/>
      <c r="DE5" s="2244"/>
      <c r="DF5" s="97"/>
      <c r="DG5" s="2244"/>
      <c r="DH5" s="97"/>
      <c r="DI5" s="2244"/>
      <c r="DJ5" s="97"/>
      <c r="DK5" s="2244"/>
      <c r="DL5" s="97"/>
      <c r="DM5" s="2244"/>
      <c r="DN5" s="97"/>
      <c r="DO5" s="2244"/>
      <c r="DP5" s="97"/>
      <c r="DQ5" s="2244"/>
      <c r="DR5" s="97"/>
      <c r="DS5" s="2244"/>
      <c r="DT5" s="97"/>
      <c r="DU5" s="2244"/>
      <c r="DV5" s="97"/>
      <c r="DW5" s="2244"/>
      <c r="DX5" s="75"/>
      <c r="DY5" s="2244"/>
      <c r="DZ5" s="103"/>
      <c r="EA5" s="2244"/>
      <c r="EB5" s="103"/>
      <c r="EC5" s="2244"/>
      <c r="ED5" s="103"/>
      <c r="EE5" s="2244"/>
      <c r="EF5" s="103"/>
      <c r="EG5" s="2244"/>
      <c r="EH5" s="103"/>
      <c r="EI5" s="2244"/>
      <c r="EJ5" s="103"/>
      <c r="EK5" s="2251"/>
      <c r="EL5" s="97"/>
      <c r="EM5" s="2246"/>
      <c r="EN5" s="102"/>
      <c r="EO5" s="2246"/>
      <c r="EP5" s="102"/>
      <c r="EQ5" s="102"/>
      <c r="ER5" s="102"/>
      <c r="ES5" s="110"/>
      <c r="ET5" s="74"/>
      <c r="EU5" s="2244"/>
      <c r="EV5" s="111"/>
      <c r="EW5" s="2244"/>
      <c r="EX5" s="88"/>
      <c r="EY5" s="2244"/>
      <c r="EZ5" s="2248"/>
      <c r="FA5" s="2224"/>
      <c r="FB5" s="2244"/>
      <c r="FC5" s="2224"/>
      <c r="FD5" s="2244"/>
      <c r="FE5" s="2224"/>
      <c r="FF5" s="2244"/>
      <c r="FG5" s="102"/>
      <c r="FH5" s="2244"/>
      <c r="FI5" s="102"/>
      <c r="FJ5" s="2244"/>
      <c r="FK5" s="102"/>
      <c r="FL5" s="2244"/>
      <c r="FM5" s="102"/>
      <c r="FN5" s="2244"/>
      <c r="FO5" s="102"/>
      <c r="FP5" s="102"/>
      <c r="FQ5" s="102"/>
      <c r="FR5" s="2244"/>
      <c r="FS5" s="2244"/>
      <c r="FT5" s="2240"/>
      <c r="FU5" s="2233"/>
      <c r="FV5" s="2235"/>
      <c r="FW5" s="2235"/>
      <c r="FX5" s="2233"/>
      <c r="FY5" s="2233"/>
      <c r="FZ5" s="2233"/>
      <c r="GA5" s="2232"/>
      <c r="GB5" s="2233"/>
      <c r="GC5" s="2233"/>
      <c r="GD5" s="2233"/>
      <c r="GE5" s="2232"/>
      <c r="GF5" s="2233"/>
      <c r="GG5" s="2232"/>
      <c r="GH5" s="2232"/>
      <c r="GI5" s="2232"/>
      <c r="GJ5" s="2232"/>
      <c r="GK5" s="2232"/>
      <c r="GL5" s="2235"/>
      <c r="GM5" s="2235"/>
      <c r="GN5" s="2235"/>
      <c r="GO5" s="2224"/>
      <c r="GP5" s="112"/>
      <c r="GQ5" s="2224"/>
      <c r="GR5" s="112"/>
      <c r="GS5" s="2224"/>
      <c r="GT5" s="113"/>
      <c r="GU5" s="113"/>
      <c r="GV5" s="113"/>
      <c r="GW5" s="113"/>
      <c r="GX5" s="113"/>
      <c r="GY5" s="113"/>
      <c r="GZ5" s="112"/>
      <c r="HA5" s="113"/>
      <c r="HB5" s="114"/>
      <c r="HC5" s="2230"/>
    </row>
    <row r="6" spans="1:222" s="90" customFormat="1" ht="15" customHeight="1">
      <c r="A6" s="2588">
        <v>2</v>
      </c>
      <c r="B6" s="3687" t="s">
        <v>703</v>
      </c>
      <c r="C6" s="115">
        <v>3187</v>
      </c>
      <c r="D6" s="115">
        <v>9</v>
      </c>
      <c r="E6" s="116">
        <v>2031870009</v>
      </c>
      <c r="F6" s="117">
        <v>12500</v>
      </c>
      <c r="G6" s="118" t="s">
        <v>704</v>
      </c>
      <c r="H6" s="119"/>
      <c r="I6" s="115">
        <v>0.64</v>
      </c>
      <c r="J6" s="115">
        <v>0</v>
      </c>
      <c r="K6" s="115">
        <v>2</v>
      </c>
      <c r="L6" s="115">
        <v>6.5</v>
      </c>
      <c r="M6" s="117">
        <v>8000</v>
      </c>
      <c r="N6" s="117">
        <v>8000</v>
      </c>
      <c r="O6" s="117">
        <v>0</v>
      </c>
      <c r="P6" s="117">
        <v>8000</v>
      </c>
      <c r="Q6" s="120">
        <v>0</v>
      </c>
      <c r="R6" s="90" t="s">
        <v>708</v>
      </c>
      <c r="S6" s="2590">
        <f>SUM(T6:T7)</f>
        <v>0</v>
      </c>
      <c r="T6" s="121">
        <v>0</v>
      </c>
      <c r="U6" s="2590">
        <f>SUM(V6:V7)</f>
        <v>9000</v>
      </c>
      <c r="V6" s="122">
        <f>M6</f>
        <v>8000</v>
      </c>
      <c r="W6" s="2590">
        <f>SUM(X6:X7)</f>
        <v>9000</v>
      </c>
      <c r="X6" s="121">
        <f>V6-Z6</f>
        <v>8000</v>
      </c>
      <c r="Y6" s="2590">
        <f>SUM(Z6:Z7)</f>
        <v>0</v>
      </c>
      <c r="Z6" s="121">
        <v>0</v>
      </c>
      <c r="AA6" s="2590">
        <f>SUM(AB6:AB7)</f>
        <v>0</v>
      </c>
      <c r="AB6" s="121">
        <v>0</v>
      </c>
      <c r="AC6" s="2590">
        <f>SUM(AD6:AD7)</f>
        <v>0</v>
      </c>
      <c r="AD6" s="123">
        <f>V6-(Z6+AB6+AF6+AL6+AN6+AP6+AZ6+AR6+AT6+AV6+AX6)</f>
        <v>0</v>
      </c>
      <c r="AE6" s="2580">
        <f>SUM(AF6:AF7)</f>
        <v>9000</v>
      </c>
      <c r="AF6" s="123">
        <v>8000</v>
      </c>
      <c r="AG6" s="123">
        <v>0</v>
      </c>
      <c r="AH6" s="2580">
        <f>SUM(AG6:AG7)</f>
        <v>0</v>
      </c>
      <c r="AI6" s="123">
        <v>8000</v>
      </c>
      <c r="AJ6" s="2580">
        <f>SUM(AI6:AI7)</f>
        <v>9000</v>
      </c>
      <c r="AK6" s="2580">
        <f>SUM(AL6:AL7)</f>
        <v>0</v>
      </c>
      <c r="AL6" s="123">
        <v>0</v>
      </c>
      <c r="AM6" s="2580">
        <f>SUM(AN6:AN7)</f>
        <v>0</v>
      </c>
      <c r="AN6" s="123">
        <v>0</v>
      </c>
      <c r="AO6" s="2582">
        <f>SUM(AP6:AP7)</f>
        <v>0</v>
      </c>
      <c r="AP6" s="123">
        <v>0</v>
      </c>
      <c r="AQ6" s="2580">
        <f>SUM(AR6:AR7)</f>
        <v>0</v>
      </c>
      <c r="AR6" s="2580">
        <f>SUM(AS6:AS7)</f>
        <v>0</v>
      </c>
      <c r="AS6" s="2580">
        <f>SUM(AT6:AT7)</f>
        <v>0</v>
      </c>
      <c r="AT6" s="123">
        <v>0</v>
      </c>
      <c r="AU6" s="2580">
        <f>SUM(AV6:AV7)</f>
        <v>0</v>
      </c>
      <c r="AV6" s="123">
        <v>0</v>
      </c>
      <c r="AW6" s="2580">
        <f>SUM(AX6:AX7)</f>
        <v>0</v>
      </c>
      <c r="AX6" s="123">
        <v>0</v>
      </c>
      <c r="AY6" s="2580">
        <f>SUM(AZ6:AZ7)</f>
        <v>0</v>
      </c>
      <c r="AZ6" s="103">
        <f t="shared" si="0"/>
        <v>0</v>
      </c>
      <c r="BA6" s="2582">
        <f>SUM(BB6:BB7)</f>
        <v>0</v>
      </c>
      <c r="BB6" s="121">
        <v>0</v>
      </c>
      <c r="BC6" s="2582">
        <f>SUM(BD6:BD7)</f>
        <v>0</v>
      </c>
      <c r="BD6" s="121">
        <v>0</v>
      </c>
      <c r="BE6" s="2582">
        <f>SUM(BF6:BF7)</f>
        <v>0</v>
      </c>
      <c r="BF6" s="121">
        <v>0</v>
      </c>
      <c r="BG6" s="2582">
        <f>SUM(BH6:BH7)</f>
        <v>0</v>
      </c>
      <c r="BH6" s="121">
        <v>0</v>
      </c>
      <c r="BI6" s="2582">
        <f>SUM(BJ6:BJ7)</f>
        <v>0</v>
      </c>
      <c r="BJ6" s="121">
        <v>0</v>
      </c>
      <c r="BK6" s="2582">
        <f>SUM(BL6:BL7)</f>
        <v>0</v>
      </c>
      <c r="BL6" s="121">
        <v>0</v>
      </c>
      <c r="BM6" s="2580">
        <f>SUM(BN6:BN7)</f>
        <v>9000</v>
      </c>
      <c r="BN6" s="121">
        <f>ROUND(T6+V6,0)</f>
        <v>8000</v>
      </c>
      <c r="BO6" s="2580">
        <f>SUM(BP6:BP7)</f>
        <v>0</v>
      </c>
      <c r="BP6" s="121">
        <f>ROUND(T6/EP$141,0)</f>
        <v>0</v>
      </c>
      <c r="BQ6" s="2580">
        <f>SUM(BR6:BR7)</f>
        <v>0</v>
      </c>
      <c r="BR6" s="121">
        <f>BR$142*BP6</f>
        <v>0</v>
      </c>
      <c r="BS6" s="2580">
        <f>SUM(BT6:BT7)</f>
        <v>0</v>
      </c>
      <c r="BT6" s="124">
        <f>ROUND(BP6*3.06,0)</f>
        <v>0</v>
      </c>
      <c r="BU6" s="2580">
        <f>SUM(BV6:BV7)</f>
        <v>9</v>
      </c>
      <c r="BV6" s="125">
        <f>ROUND((AD6+AB6+Z6)/1000*3,0)+ROUND((AF6+AX6)/1000,0)+ROUND((ROUND(AL6/400,0))/2.67,0)+ROUND(AN6/250,0)+ROUND(AR6/15000,0)+ROUND((BB6+BD6+BF6+BJ6)/1000*3,0)+ROUND(BP6/25,0)+ROUND(CN6/50,0)</f>
        <v>8</v>
      </c>
      <c r="BW6" s="2580">
        <f>SUM(BX6:BX7)</f>
        <v>0</v>
      </c>
      <c r="BX6" s="121">
        <v>0</v>
      </c>
      <c r="BY6" s="2580">
        <f>SUM(BZ6:BZ7)</f>
        <v>0</v>
      </c>
      <c r="BZ6" s="121">
        <v>0</v>
      </c>
      <c r="CA6" s="2580">
        <f>SUM(CB6:CB7)</f>
        <v>9</v>
      </c>
      <c r="CB6" s="121">
        <f>V6/1000</f>
        <v>8</v>
      </c>
      <c r="CC6" s="2580">
        <f>SUM(CD6:CD7)</f>
        <v>0</v>
      </c>
      <c r="CD6" s="121">
        <f>AB6/1000</f>
        <v>0</v>
      </c>
      <c r="CE6" s="2580">
        <f>SUM(CF6:CF7)</f>
        <v>0</v>
      </c>
      <c r="CF6" s="121">
        <f>((AL6/400)/12)</f>
        <v>0</v>
      </c>
      <c r="CG6" s="2580">
        <f>SUM(CH6:CH7)</f>
        <v>0</v>
      </c>
      <c r="CH6" s="126">
        <f>IFERROR(VLOOKUP(E6,#REF!,3,FALSE),0)</f>
        <v>0</v>
      </c>
      <c r="CI6" s="2580">
        <f>SUM(CJ6:CJ7)</f>
        <v>0</v>
      </c>
      <c r="CJ6" s="121" t="b">
        <f>IF(G6="M1-2",F6/1000)</f>
        <v>0</v>
      </c>
      <c r="CK6" s="2580">
        <f>SUM(CL6:CL7)</f>
        <v>0</v>
      </c>
      <c r="CL6" s="121">
        <f>IF(BJ6&gt;0,"Calculate",0)</f>
        <v>0</v>
      </c>
      <c r="CM6" s="2580">
        <f>SUM(CN6:CN7)</f>
        <v>9</v>
      </c>
      <c r="CN6" s="121">
        <f t="shared" si="1"/>
        <v>8</v>
      </c>
      <c r="CO6" s="121"/>
      <c r="CP6" s="2594">
        <v>10</v>
      </c>
      <c r="CQ6" s="127" t="s">
        <v>705</v>
      </c>
      <c r="CR6" s="127">
        <v>4.5999999999999996</v>
      </c>
      <c r="CS6" s="127">
        <v>2</v>
      </c>
      <c r="CT6" s="127">
        <v>4.5999999999999996</v>
      </c>
      <c r="CU6" s="128" t="s">
        <v>706</v>
      </c>
      <c r="CV6" s="2596" t="s">
        <v>709</v>
      </c>
      <c r="CW6" s="121">
        <f>(CR6*F6)-CZ6</f>
        <v>46874.999999999993</v>
      </c>
      <c r="CX6" s="2590">
        <f>SUM(CW6:CW7)</f>
        <v>91875</v>
      </c>
      <c r="CY6" s="2598">
        <f>SUM(CZ6:CZ7)</f>
        <v>11625</v>
      </c>
      <c r="CZ6" s="121">
        <f>1*(F6)-(0.15*1*(F6))</f>
        <v>10625</v>
      </c>
      <c r="DA6" s="2592">
        <f>SUM(DB6:DB7)</f>
        <v>11625</v>
      </c>
      <c r="DB6" s="121">
        <f>CZ6-DD6</f>
        <v>10625</v>
      </c>
      <c r="DC6" s="2590">
        <f>SUM(DD6:DD7)</f>
        <v>0</v>
      </c>
      <c r="DD6" s="121">
        <v>0</v>
      </c>
      <c r="DE6" s="2590">
        <f>SUM(DF6:DF7)</f>
        <v>0</v>
      </c>
      <c r="DF6" s="121">
        <v>0</v>
      </c>
      <c r="DG6" s="2590">
        <f>SUM(DH6:DH7)</f>
        <v>11625</v>
      </c>
      <c r="DH6" s="121">
        <f>CZ6-(DD6+DF6+DJ6+DL6+DN6+DT6+DV6+DX6)</f>
        <v>10625</v>
      </c>
      <c r="DI6" s="2590">
        <f>SUM(DJ6:DJ7)</f>
        <v>0</v>
      </c>
      <c r="DJ6" s="121">
        <v>0</v>
      </c>
      <c r="DK6" s="2590">
        <f>SUM(DL6:DL7)</f>
        <v>0</v>
      </c>
      <c r="DL6" s="121">
        <v>0</v>
      </c>
      <c r="DM6" s="2590">
        <f>SUM(DN6:DN7)</f>
        <v>0</v>
      </c>
      <c r="DN6" s="121">
        <v>0</v>
      </c>
      <c r="DO6" s="2590">
        <f>SUM(DP6:DP7)</f>
        <v>0</v>
      </c>
      <c r="DP6" s="121">
        <v>0</v>
      </c>
      <c r="DQ6" s="2590">
        <f>SUM(DR6:DR7)</f>
        <v>0</v>
      </c>
      <c r="DR6" s="121">
        <v>0</v>
      </c>
      <c r="DS6" s="2590">
        <f>SUM(DT6:DT7)</f>
        <v>0</v>
      </c>
      <c r="DT6" s="121">
        <v>0</v>
      </c>
      <c r="DU6" s="2590">
        <f>SUM(DV6:DV7)</f>
        <v>0</v>
      </c>
      <c r="DV6" s="121">
        <v>0</v>
      </c>
      <c r="DW6" s="2590">
        <f>SUM(DX6:DX7)</f>
        <v>0</v>
      </c>
      <c r="DX6" s="103">
        <f t="shared" ref="DX6:DX69" si="2">SUM(DZ6,EB6,ED6,EF6,EH6,EJ6)</f>
        <v>0</v>
      </c>
      <c r="DY6" s="2590">
        <f>SUM(DZ6:DZ7)</f>
        <v>0</v>
      </c>
      <c r="DZ6" s="123">
        <v>0</v>
      </c>
      <c r="EA6" s="2590">
        <f>SUM(EB6:EB7)</f>
        <v>0</v>
      </c>
      <c r="EB6" s="123">
        <v>0</v>
      </c>
      <c r="EC6" s="2590">
        <f>SUM(ED6:ED7)</f>
        <v>0</v>
      </c>
      <c r="ED6" s="123">
        <v>0</v>
      </c>
      <c r="EE6" s="2590">
        <f>SUM(EF6:EF7)</f>
        <v>0</v>
      </c>
      <c r="EF6" s="123">
        <v>0</v>
      </c>
      <c r="EG6" s="2590">
        <f>SUM(EH6:EH7)</f>
        <v>0</v>
      </c>
      <c r="EH6" s="123">
        <v>0</v>
      </c>
      <c r="EI6" s="2590">
        <f>SUM(EJ6:EJ7)</f>
        <v>0</v>
      </c>
      <c r="EJ6" s="123">
        <v>0</v>
      </c>
      <c r="EK6" s="2580">
        <f>SUM(EL6:EL7)</f>
        <v>103500</v>
      </c>
      <c r="EL6" s="121">
        <f>CW6+CZ6</f>
        <v>57499.999999999993</v>
      </c>
      <c r="EM6" s="2600">
        <f>SUM(EN6:EN7)</f>
        <v>92</v>
      </c>
      <c r="EN6" s="122">
        <f>ROUND(CW6/EP$141,0)</f>
        <v>47</v>
      </c>
      <c r="EO6" s="2600">
        <f>SUM(EP6:EP7)</f>
        <v>92</v>
      </c>
      <c r="EP6" s="122">
        <f>EV$143*EN6</f>
        <v>47</v>
      </c>
      <c r="EQ6" s="2600">
        <f>SUM(ER6:ER7)</f>
        <v>92</v>
      </c>
      <c r="ER6" s="122">
        <f>EP6</f>
        <v>47</v>
      </c>
      <c r="ES6" s="2600">
        <f>SUM(ET6:ET7)</f>
        <v>12</v>
      </c>
      <c r="ET6" s="122">
        <f>FA6+FG6+FQ6</f>
        <v>11</v>
      </c>
      <c r="EU6" s="2590">
        <f>SUM(EV6:EV7)</f>
        <v>281.52</v>
      </c>
      <c r="EV6" s="122">
        <f>3.06*EN6</f>
        <v>143.82</v>
      </c>
      <c r="EW6" s="2590">
        <f>SUM(EX6:EX7)</f>
        <v>39</v>
      </c>
      <c r="EX6" s="129">
        <f>ROUND((DH6+DF6+DD6)/1000*3,0)+ROUND((ROUND(DL6/400,0))/2.67,0)+ROUND(DV6/1000,0)+ROUND((DZ6+EB6+ED6+EH6)/1000*3,0)+ROUND(EN6/25,0)+ROUND(ET6/50,0)</f>
        <v>34</v>
      </c>
      <c r="EY6" s="2590">
        <f>SUM(EZ6:EZ7)</f>
        <v>0</v>
      </c>
      <c r="EZ6" s="2610">
        <f>SUM(FA6:FA7)</f>
        <v>0</v>
      </c>
      <c r="FA6" s="2223">
        <v>0</v>
      </c>
      <c r="FB6" s="2590">
        <f>SUM(FC6:FC7)</f>
        <v>0</v>
      </c>
      <c r="FC6" s="2223">
        <v>0</v>
      </c>
      <c r="FD6" s="2590">
        <f>SUM(FE6:FE7)</f>
        <v>0</v>
      </c>
      <c r="FE6" s="2223">
        <v>0</v>
      </c>
      <c r="FF6" s="2590">
        <f>SUM(FG6:FG7)</f>
        <v>12</v>
      </c>
      <c r="FG6" s="122">
        <f>ROUND((DH6+DJ6+DD6+DN6+DT6)/1000,0)</f>
        <v>11</v>
      </c>
      <c r="FH6" s="2590">
        <f>SUM(FI6:FI7)</f>
        <v>0</v>
      </c>
      <c r="FI6" s="122">
        <f>DF6/1000</f>
        <v>0</v>
      </c>
      <c r="FJ6" s="2590">
        <f>SUM(FK6:FK7)</f>
        <v>0</v>
      </c>
      <c r="FK6" s="122">
        <f>((DL6/400)/12)</f>
        <v>0</v>
      </c>
      <c r="FL6" s="2590">
        <f>SUM(FM6:FM7)</f>
        <v>0</v>
      </c>
      <c r="FM6" s="122">
        <v>0</v>
      </c>
      <c r="FN6" s="2590">
        <f>SUM(FO6:FO7)</f>
        <v>0</v>
      </c>
      <c r="FO6" s="122">
        <v>0</v>
      </c>
      <c r="FP6" s="2600">
        <f>SUM(FQ6:FQ7)</f>
        <v>0</v>
      </c>
      <c r="FQ6" s="122">
        <f>DX6/1000</f>
        <v>0</v>
      </c>
      <c r="FR6" s="2590">
        <f>SUM(FS6:FS7)</f>
        <v>115</v>
      </c>
      <c r="FS6" s="2604">
        <v>115</v>
      </c>
      <c r="FT6" s="2606">
        <f>CX6-S6</f>
        <v>91875</v>
      </c>
      <c r="FU6" s="2602">
        <f>CY6-U6</f>
        <v>2625</v>
      </c>
      <c r="FV6" s="2608">
        <f>(DC6+DE6+DG6)-(Y6+AA6+AC6+AE6)</f>
        <v>2625</v>
      </c>
      <c r="FW6" s="2608">
        <f>DG6-AC6</f>
        <v>11625</v>
      </c>
      <c r="FX6" s="2602">
        <f>DE6-AA6</f>
        <v>0</v>
      </c>
      <c r="FY6" s="2602">
        <f>DC6-Y6</f>
        <v>0</v>
      </c>
      <c r="FZ6" s="2602">
        <f>DJ6-AE6</f>
        <v>-9000</v>
      </c>
      <c r="GA6" s="2602">
        <f>DL6-AL6</f>
        <v>0</v>
      </c>
      <c r="GB6" s="2602">
        <f>DM6-AM6</f>
        <v>0</v>
      </c>
      <c r="GC6" s="2602">
        <f>DP6-AQ6</f>
        <v>0</v>
      </c>
      <c r="GD6" s="2602">
        <f>DR6-AS6</f>
        <v>0</v>
      </c>
      <c r="GE6" s="2602">
        <f>DT6-AV6</f>
        <v>0</v>
      </c>
      <c r="GF6" s="2602">
        <f>DV6-AW6</f>
        <v>0</v>
      </c>
      <c r="GG6" s="2602">
        <f>DZ6-BB6</f>
        <v>0</v>
      </c>
      <c r="GH6" s="2602">
        <f>EB6-BD6</f>
        <v>0</v>
      </c>
      <c r="GI6" s="2602">
        <f>ED6-BF6</f>
        <v>0</v>
      </c>
      <c r="GJ6" s="2602">
        <f>EF6-BH6</f>
        <v>0</v>
      </c>
      <c r="GK6" s="2602">
        <f>EH6-BJ6</f>
        <v>0</v>
      </c>
      <c r="GL6" s="2608">
        <f>DW6-AY6</f>
        <v>0</v>
      </c>
      <c r="GM6" s="2608">
        <f>EK6-BM6</f>
        <v>94500</v>
      </c>
      <c r="GN6" s="2608">
        <f>EM6-BO6</f>
        <v>92</v>
      </c>
      <c r="GO6" s="2582">
        <f>SUM(GP6:GP7)</f>
        <v>92</v>
      </c>
      <c r="GP6" s="114">
        <f>EP6-BR6</f>
        <v>47</v>
      </c>
      <c r="GQ6" s="2582">
        <f>SUM(GR6:GR7)</f>
        <v>281.52</v>
      </c>
      <c r="GR6" s="114">
        <f>EV6-BT6</f>
        <v>143.82</v>
      </c>
      <c r="GS6" s="2582">
        <f>SUM(GT6:GT7)</f>
        <v>30</v>
      </c>
      <c r="GT6" s="114">
        <f>EX6-BV6</f>
        <v>26</v>
      </c>
      <c r="GU6" s="114">
        <f>FA6-BX6</f>
        <v>0</v>
      </c>
      <c r="GV6" s="114">
        <f>FI6-CD6</f>
        <v>0</v>
      </c>
      <c r="GW6" s="114">
        <v>0</v>
      </c>
      <c r="GX6" s="114">
        <f>FG6-CB6</f>
        <v>3</v>
      </c>
      <c r="GY6" s="114">
        <f>FK6-CF6</f>
        <v>0</v>
      </c>
      <c r="GZ6" s="114">
        <f>FM6-CH6</f>
        <v>0</v>
      </c>
      <c r="HA6" s="114">
        <f>FO6-CJ6</f>
        <v>0</v>
      </c>
      <c r="HB6" s="114">
        <f>FQ6-CL6</f>
        <v>0</v>
      </c>
      <c r="HC6" s="2616">
        <f>ES6-CM4</f>
        <v>-0.5</v>
      </c>
      <c r="HD6" s="95"/>
      <c r="HE6" s="95"/>
    </row>
    <row r="7" spans="1:222" s="72" customFormat="1" ht="15" customHeight="1">
      <c r="A7" s="2589"/>
      <c r="B7" s="130" t="s">
        <v>710</v>
      </c>
      <c r="C7" s="66">
        <v>3187</v>
      </c>
      <c r="D7" s="66">
        <v>14</v>
      </c>
      <c r="E7" s="67">
        <v>2031870014</v>
      </c>
      <c r="F7" s="68">
        <v>10000</v>
      </c>
      <c r="G7" s="69" t="s">
        <v>704</v>
      </c>
      <c r="H7" s="70"/>
      <c r="I7" s="66">
        <v>0.1</v>
      </c>
      <c r="J7" s="66">
        <v>0</v>
      </c>
      <c r="K7" s="66">
        <v>2</v>
      </c>
      <c r="L7" s="66">
        <v>6.5</v>
      </c>
      <c r="M7" s="68">
        <v>1000</v>
      </c>
      <c r="N7" s="68">
        <v>1000</v>
      </c>
      <c r="O7" s="68">
        <v>0</v>
      </c>
      <c r="P7" s="68">
        <v>1000</v>
      </c>
      <c r="Q7" s="71">
        <v>0</v>
      </c>
      <c r="R7" s="72" t="s">
        <v>708</v>
      </c>
      <c r="S7" s="2591"/>
      <c r="T7" s="73">
        <v>0</v>
      </c>
      <c r="U7" s="2591"/>
      <c r="V7" s="74">
        <f>M7</f>
        <v>1000</v>
      </c>
      <c r="W7" s="2591"/>
      <c r="X7" s="73">
        <f>V7-Z7</f>
        <v>1000</v>
      </c>
      <c r="Y7" s="2591"/>
      <c r="Z7" s="73">
        <v>0</v>
      </c>
      <c r="AA7" s="2591"/>
      <c r="AB7" s="73">
        <v>0</v>
      </c>
      <c r="AC7" s="2591"/>
      <c r="AD7" s="75">
        <f>V7-(Z7+AB7+AF7+AL7+AN7+AP7+AZ7+AR7+AT7+AV7+AX7)</f>
        <v>0</v>
      </c>
      <c r="AE7" s="2581"/>
      <c r="AF7" s="75">
        <v>1000</v>
      </c>
      <c r="AG7" s="75">
        <v>0</v>
      </c>
      <c r="AH7" s="2581"/>
      <c r="AI7" s="75">
        <v>1000</v>
      </c>
      <c r="AJ7" s="2581"/>
      <c r="AK7" s="2581"/>
      <c r="AL7" s="75">
        <v>0</v>
      </c>
      <c r="AM7" s="2581"/>
      <c r="AN7" s="75">
        <v>0</v>
      </c>
      <c r="AO7" s="2583"/>
      <c r="AP7" s="75">
        <v>0</v>
      </c>
      <c r="AQ7" s="2581"/>
      <c r="AR7" s="2581"/>
      <c r="AS7" s="2581"/>
      <c r="AT7" s="75">
        <v>0</v>
      </c>
      <c r="AU7" s="2581"/>
      <c r="AV7" s="75">
        <v>0</v>
      </c>
      <c r="AW7" s="2581"/>
      <c r="AX7" s="75">
        <v>0</v>
      </c>
      <c r="AY7" s="2581"/>
      <c r="AZ7" s="75">
        <f t="shared" si="0"/>
        <v>0</v>
      </c>
      <c r="BA7" s="2583"/>
      <c r="BB7" s="73">
        <v>0</v>
      </c>
      <c r="BC7" s="2583"/>
      <c r="BD7" s="73">
        <v>0</v>
      </c>
      <c r="BE7" s="2583"/>
      <c r="BF7" s="73">
        <v>0</v>
      </c>
      <c r="BG7" s="2583"/>
      <c r="BH7" s="73">
        <v>0</v>
      </c>
      <c r="BI7" s="2583"/>
      <c r="BJ7" s="73">
        <v>0</v>
      </c>
      <c r="BK7" s="2583"/>
      <c r="BL7" s="73">
        <v>0</v>
      </c>
      <c r="BM7" s="2581"/>
      <c r="BN7" s="73">
        <f>ROUND(T7+V7,0)</f>
        <v>1000</v>
      </c>
      <c r="BO7" s="2581"/>
      <c r="BP7" s="73">
        <f>ROUND(T7/EP$141,0)</f>
        <v>0</v>
      </c>
      <c r="BQ7" s="2581"/>
      <c r="BR7" s="73">
        <f>BR$142*BP7</f>
        <v>0</v>
      </c>
      <c r="BS7" s="2581"/>
      <c r="BT7" s="77">
        <f>ROUND(BP7*3.06,0)</f>
        <v>0</v>
      </c>
      <c r="BU7" s="2581"/>
      <c r="BV7" s="78">
        <f>ROUND((AD7+AB7+Z7)/1000*3,0)+ROUND((AF7+AX7)/1000,0)+ROUND((ROUND(AL7/400,0))/2.67,0)+ROUND(AN7/250,0)+ROUND(AR7/15000,0)+ROUND((BB7+BD7+BF7+BJ7)/1000*3,0)+ROUND(BP7/25,0)+ROUND(CN7/50,0)</f>
        <v>1</v>
      </c>
      <c r="BW7" s="2581"/>
      <c r="BX7" s="73">
        <v>0</v>
      </c>
      <c r="BY7" s="2581"/>
      <c r="BZ7" s="73">
        <v>0</v>
      </c>
      <c r="CA7" s="2581"/>
      <c r="CB7" s="73">
        <f>V7/1000</f>
        <v>1</v>
      </c>
      <c r="CC7" s="2581"/>
      <c r="CD7" s="73">
        <f>AB7/1000</f>
        <v>0</v>
      </c>
      <c r="CE7" s="2581"/>
      <c r="CF7" s="73">
        <f>((AL7/400)/12)</f>
        <v>0</v>
      </c>
      <c r="CG7" s="2581"/>
      <c r="CH7" s="79">
        <f>IFERROR(VLOOKUP(E7,#REF!,3,FALSE),0)</f>
        <v>0</v>
      </c>
      <c r="CI7" s="2581"/>
      <c r="CJ7" s="73" t="b">
        <f>IF(G7="M1-2",F7/1000)</f>
        <v>0</v>
      </c>
      <c r="CK7" s="2581"/>
      <c r="CL7" s="73">
        <f>IF(BJ7&gt;0,"Calculate",0)</f>
        <v>0</v>
      </c>
      <c r="CM7" s="2581"/>
      <c r="CN7" s="73">
        <f t="shared" si="1"/>
        <v>1</v>
      </c>
      <c r="CO7" s="73"/>
      <c r="CP7" s="2595"/>
      <c r="CQ7" s="81" t="s">
        <v>705</v>
      </c>
      <c r="CR7" s="81">
        <v>4.5999999999999996</v>
      </c>
      <c r="CS7" s="81">
        <v>2</v>
      </c>
      <c r="CT7" s="81">
        <v>4.5999999999999996</v>
      </c>
      <c r="CU7" s="82" t="s">
        <v>706</v>
      </c>
      <c r="CV7" s="2597"/>
      <c r="CW7" s="73">
        <f>(CR7*F7)-CZ7</f>
        <v>45000</v>
      </c>
      <c r="CX7" s="2591"/>
      <c r="CY7" s="2599"/>
      <c r="CZ7" s="73">
        <f>V7</f>
        <v>1000</v>
      </c>
      <c r="DA7" s="2593"/>
      <c r="DB7" s="73">
        <f>CZ7-DD7</f>
        <v>1000</v>
      </c>
      <c r="DC7" s="2591"/>
      <c r="DD7" s="73">
        <v>0</v>
      </c>
      <c r="DE7" s="2591"/>
      <c r="DF7" s="73">
        <v>0</v>
      </c>
      <c r="DG7" s="2591"/>
      <c r="DH7" s="73">
        <f>CZ7-(DD7+DF7+DJ7+DL7+DN7+DT7+DV7+DX7)</f>
        <v>1000</v>
      </c>
      <c r="DI7" s="2591"/>
      <c r="DJ7" s="73">
        <v>0</v>
      </c>
      <c r="DK7" s="2591"/>
      <c r="DL7" s="73">
        <v>0</v>
      </c>
      <c r="DM7" s="2591"/>
      <c r="DN7" s="73">
        <v>0</v>
      </c>
      <c r="DO7" s="2591"/>
      <c r="DP7" s="73">
        <v>0</v>
      </c>
      <c r="DQ7" s="2591"/>
      <c r="DR7" s="73">
        <v>0</v>
      </c>
      <c r="DS7" s="2591"/>
      <c r="DT7" s="73">
        <v>0</v>
      </c>
      <c r="DU7" s="2591"/>
      <c r="DV7" s="73">
        <v>0</v>
      </c>
      <c r="DW7" s="2591"/>
      <c r="DX7" s="75">
        <f t="shared" si="2"/>
        <v>0</v>
      </c>
      <c r="DY7" s="2591"/>
      <c r="DZ7" s="75">
        <v>0</v>
      </c>
      <c r="EA7" s="2591"/>
      <c r="EB7" s="75">
        <v>0</v>
      </c>
      <c r="EC7" s="2591"/>
      <c r="ED7" s="75">
        <v>0</v>
      </c>
      <c r="EE7" s="2591"/>
      <c r="EF7" s="75">
        <v>0</v>
      </c>
      <c r="EG7" s="2591"/>
      <c r="EH7" s="75">
        <v>0</v>
      </c>
      <c r="EI7" s="2591"/>
      <c r="EJ7" s="75">
        <v>0</v>
      </c>
      <c r="EK7" s="2581"/>
      <c r="EL7" s="73">
        <f>CW7+CZ7</f>
        <v>46000</v>
      </c>
      <c r="EM7" s="2601"/>
      <c r="EN7" s="74">
        <f>ROUND(CW7/EP$141,0)</f>
        <v>45</v>
      </c>
      <c r="EO7" s="2601"/>
      <c r="EP7" s="74">
        <f>EV$143*EN7</f>
        <v>45</v>
      </c>
      <c r="EQ7" s="2601"/>
      <c r="ER7" s="74">
        <f>EP7</f>
        <v>45</v>
      </c>
      <c r="ES7" s="2601"/>
      <c r="ET7" s="74">
        <f>FA7+FG7+FQ7</f>
        <v>1</v>
      </c>
      <c r="EU7" s="2591"/>
      <c r="EV7" s="74">
        <f>3.06*EN7</f>
        <v>137.69999999999999</v>
      </c>
      <c r="EW7" s="2591"/>
      <c r="EX7" s="88">
        <f>ROUND((DH7+DF7+DD7)/1000*3,0)+ROUND((ROUND(DL7/400,0))/2.67,0)+ROUND(DV7/1000,0)+ROUND((DZ7+EB7+ED7+EH7)/1000*3,0)+ROUND(EN7/25,0)+ROUND(ET7/50,0)</f>
        <v>5</v>
      </c>
      <c r="EY7" s="2591"/>
      <c r="EZ7" s="2611"/>
      <c r="FA7" s="2225">
        <v>0</v>
      </c>
      <c r="FB7" s="2591"/>
      <c r="FC7" s="2225">
        <v>0</v>
      </c>
      <c r="FD7" s="2591"/>
      <c r="FE7" s="2225">
        <v>0</v>
      </c>
      <c r="FF7" s="2591"/>
      <c r="FG7" s="74">
        <f>ROUND((DH7+DJ7+DD7+DN7+DT7)/1000,0)</f>
        <v>1</v>
      </c>
      <c r="FH7" s="2591"/>
      <c r="FI7" s="74">
        <f>DF7/1000</f>
        <v>0</v>
      </c>
      <c r="FJ7" s="2591"/>
      <c r="FK7" s="74">
        <f>((DL7/400)/12)</f>
        <v>0</v>
      </c>
      <c r="FL7" s="2591"/>
      <c r="FM7" s="74">
        <v>0</v>
      </c>
      <c r="FN7" s="2591"/>
      <c r="FO7" s="74">
        <v>0</v>
      </c>
      <c r="FP7" s="2601"/>
      <c r="FQ7" s="74">
        <f>DX7/1000</f>
        <v>0</v>
      </c>
      <c r="FR7" s="2591"/>
      <c r="FS7" s="2605"/>
      <c r="FT7" s="2607"/>
      <c r="FU7" s="2603"/>
      <c r="FV7" s="2609"/>
      <c r="FW7" s="2609"/>
      <c r="FX7" s="2603"/>
      <c r="FY7" s="2603"/>
      <c r="FZ7" s="2603"/>
      <c r="GA7" s="2603"/>
      <c r="GB7" s="2603"/>
      <c r="GC7" s="2603"/>
      <c r="GD7" s="2603"/>
      <c r="GE7" s="2603"/>
      <c r="GF7" s="2603"/>
      <c r="GG7" s="2603"/>
      <c r="GH7" s="2603"/>
      <c r="GI7" s="2603"/>
      <c r="GJ7" s="2603"/>
      <c r="GK7" s="2603"/>
      <c r="GL7" s="2609"/>
      <c r="GM7" s="2609"/>
      <c r="GN7" s="2609"/>
      <c r="GO7" s="2583"/>
      <c r="GP7" s="89">
        <f>EP7-BR7</f>
        <v>45</v>
      </c>
      <c r="GQ7" s="2583"/>
      <c r="GR7" s="89">
        <f>EV7-BT7</f>
        <v>137.69999999999999</v>
      </c>
      <c r="GS7" s="2583"/>
      <c r="GT7" s="89">
        <f>EX7-BV7</f>
        <v>4</v>
      </c>
      <c r="GU7" s="89">
        <f>FA7-BX7</f>
        <v>0</v>
      </c>
      <c r="GV7" s="89">
        <f>FI7-CD7</f>
        <v>0</v>
      </c>
      <c r="GW7" s="89">
        <v>0</v>
      </c>
      <c r="GX7" s="89">
        <f>FG7-CB7</f>
        <v>0</v>
      </c>
      <c r="GY7" s="89">
        <f>FK7-CF7</f>
        <v>0</v>
      </c>
      <c r="GZ7" s="89">
        <f>FM7-CH7</f>
        <v>0</v>
      </c>
      <c r="HA7" s="89">
        <f>FO7-CJ7</f>
        <v>0</v>
      </c>
      <c r="HB7" s="89">
        <f>FQ7-CL7</f>
        <v>0</v>
      </c>
      <c r="HC7" s="2617"/>
      <c r="HD7" s="95"/>
      <c r="HE7" s="95"/>
    </row>
    <row r="8" spans="1:222" s="95" customFormat="1" ht="18.75">
      <c r="A8" s="2263"/>
      <c r="B8" s="131"/>
      <c r="C8" s="132"/>
      <c r="D8" s="132"/>
      <c r="E8" s="133"/>
      <c r="F8" s="134"/>
      <c r="G8" s="135"/>
      <c r="H8" s="136"/>
      <c r="I8" s="132"/>
      <c r="J8" s="132"/>
      <c r="K8" s="132"/>
      <c r="L8" s="132"/>
      <c r="M8" s="134"/>
      <c r="N8" s="134"/>
      <c r="O8" s="134"/>
      <c r="P8" s="134"/>
      <c r="Q8" s="137"/>
      <c r="S8" s="101"/>
      <c r="T8" s="97"/>
      <c r="U8" s="2244"/>
      <c r="V8" s="102"/>
      <c r="W8" s="2244"/>
      <c r="X8" s="97"/>
      <c r="Y8" s="2244"/>
      <c r="Z8" s="97"/>
      <c r="AA8" s="2244"/>
      <c r="AB8" s="97"/>
      <c r="AC8" s="2244"/>
      <c r="AD8" s="103"/>
      <c r="AE8" s="2251"/>
      <c r="AF8" s="103"/>
      <c r="AG8" s="103"/>
      <c r="AH8" s="103"/>
      <c r="AI8" s="103"/>
      <c r="AJ8" s="103"/>
      <c r="AK8" s="2251"/>
      <c r="AL8" s="103"/>
      <c r="AM8" s="2251"/>
      <c r="AN8" s="103"/>
      <c r="AO8" s="2224"/>
      <c r="AP8" s="103"/>
      <c r="AQ8" s="2251"/>
      <c r="AR8" s="103"/>
      <c r="AS8" s="103"/>
      <c r="AT8" s="103"/>
      <c r="AU8" s="103"/>
      <c r="AV8" s="103"/>
      <c r="AW8" s="103"/>
      <c r="AX8" s="103"/>
      <c r="AY8" s="103"/>
      <c r="AZ8" s="75">
        <f t="shared" si="0"/>
        <v>0</v>
      </c>
      <c r="BA8" s="2224"/>
      <c r="BB8" s="97"/>
      <c r="BC8" s="2224"/>
      <c r="BD8" s="97"/>
      <c r="BE8" s="2224"/>
      <c r="BF8" s="97"/>
      <c r="BG8" s="2224"/>
      <c r="BH8" s="97"/>
      <c r="BI8" s="2224"/>
      <c r="BJ8" s="97"/>
      <c r="BK8" s="2224"/>
      <c r="BL8" s="97"/>
      <c r="BM8" s="103"/>
      <c r="BN8" s="97"/>
      <c r="BO8" s="103"/>
      <c r="BP8" s="97"/>
      <c r="BQ8" s="103"/>
      <c r="BR8" s="97"/>
      <c r="BS8" s="103"/>
      <c r="BT8" s="104"/>
      <c r="BU8" s="103"/>
      <c r="BV8" s="138"/>
      <c r="BW8" s="103"/>
      <c r="BX8" s="97"/>
      <c r="BY8" s="103"/>
      <c r="BZ8" s="97"/>
      <c r="CA8" s="103"/>
      <c r="CB8" s="97"/>
      <c r="CC8" s="103"/>
      <c r="CD8" s="97"/>
      <c r="CE8" s="103"/>
      <c r="CF8" s="97"/>
      <c r="CG8" s="103"/>
      <c r="CH8" s="105"/>
      <c r="CI8" s="103"/>
      <c r="CJ8" s="97"/>
      <c r="CK8" s="103"/>
      <c r="CL8" s="97"/>
      <c r="CM8" s="103"/>
      <c r="CN8" s="73">
        <f t="shared" si="1"/>
        <v>0</v>
      </c>
      <c r="CO8" s="97"/>
      <c r="CP8" s="106"/>
      <c r="CQ8" s="139"/>
      <c r="CR8" s="139"/>
      <c r="CS8" s="139"/>
      <c r="CT8" s="139"/>
      <c r="CU8" s="108"/>
      <c r="CV8" s="2258"/>
      <c r="CW8" s="97"/>
      <c r="CX8" s="2244"/>
      <c r="CY8" s="2261"/>
      <c r="CZ8" s="97"/>
      <c r="DA8" s="2253"/>
      <c r="DB8" s="97"/>
      <c r="DC8" s="2244"/>
      <c r="DD8" s="97"/>
      <c r="DE8" s="2244"/>
      <c r="DF8" s="97"/>
      <c r="DG8" s="2244"/>
      <c r="DH8" s="97"/>
      <c r="DI8" s="2244"/>
      <c r="DJ8" s="97"/>
      <c r="DK8" s="2244"/>
      <c r="DL8" s="97"/>
      <c r="DM8" s="2244"/>
      <c r="DN8" s="97"/>
      <c r="DO8" s="2244"/>
      <c r="DP8" s="97"/>
      <c r="DQ8" s="2244"/>
      <c r="DR8" s="97"/>
      <c r="DS8" s="2244"/>
      <c r="DT8" s="97"/>
      <c r="DU8" s="2244"/>
      <c r="DV8" s="97"/>
      <c r="DW8" s="2244"/>
      <c r="DX8" s="75"/>
      <c r="DY8" s="2244"/>
      <c r="DZ8" s="103"/>
      <c r="EA8" s="2244"/>
      <c r="EB8" s="103"/>
      <c r="EC8" s="2244"/>
      <c r="ED8" s="103"/>
      <c r="EE8" s="2244"/>
      <c r="EF8" s="103"/>
      <c r="EG8" s="2244"/>
      <c r="EH8" s="103"/>
      <c r="EI8" s="2244"/>
      <c r="EJ8" s="103"/>
      <c r="EK8" s="2251"/>
      <c r="EL8" s="97"/>
      <c r="EM8" s="2246"/>
      <c r="EN8" s="102"/>
      <c r="EO8" s="2246"/>
      <c r="EP8" s="102"/>
      <c r="EQ8" s="110"/>
      <c r="ER8" s="102"/>
      <c r="ES8" s="110"/>
      <c r="ET8" s="74"/>
      <c r="EU8" s="2244"/>
      <c r="EV8" s="111"/>
      <c r="EW8" s="2244"/>
      <c r="EX8" s="88"/>
      <c r="EY8" s="2244"/>
      <c r="EZ8" s="2248"/>
      <c r="FA8" s="2224"/>
      <c r="FB8" s="2244"/>
      <c r="FC8" s="2224"/>
      <c r="FD8" s="2244"/>
      <c r="FE8" s="2224"/>
      <c r="FF8" s="2244"/>
      <c r="FG8" s="102"/>
      <c r="FH8" s="2244"/>
      <c r="FI8" s="102"/>
      <c r="FJ8" s="2244"/>
      <c r="FK8" s="102"/>
      <c r="FL8" s="2244"/>
      <c r="FM8" s="102"/>
      <c r="FN8" s="2244"/>
      <c r="FO8" s="102"/>
      <c r="FP8" s="110"/>
      <c r="FQ8" s="102"/>
      <c r="FR8" s="2244"/>
      <c r="FS8" s="2244"/>
      <c r="FT8" s="2240"/>
      <c r="FU8" s="2233"/>
      <c r="FV8" s="2235"/>
      <c r="FW8" s="2235"/>
      <c r="FX8" s="2233"/>
      <c r="FY8" s="2233"/>
      <c r="FZ8" s="2233"/>
      <c r="GA8" s="2232"/>
      <c r="GB8" s="2233"/>
      <c r="GC8" s="2233"/>
      <c r="GD8" s="2233"/>
      <c r="GE8" s="2232"/>
      <c r="GF8" s="2233"/>
      <c r="GG8" s="2232"/>
      <c r="GH8" s="2232"/>
      <c r="GI8" s="2232"/>
      <c r="GJ8" s="2232"/>
      <c r="GK8" s="2232"/>
      <c r="GL8" s="2235"/>
      <c r="GM8" s="2235"/>
      <c r="GN8" s="2235"/>
      <c r="GO8" s="2224"/>
      <c r="GP8" s="89"/>
      <c r="GQ8" s="2224"/>
      <c r="GR8" s="112"/>
      <c r="GS8" s="2224"/>
      <c r="GT8" s="113"/>
      <c r="GU8" s="114"/>
      <c r="GV8" s="113"/>
      <c r="GW8" s="113"/>
      <c r="GX8" s="113"/>
      <c r="GY8" s="113"/>
      <c r="GZ8" s="112"/>
      <c r="HA8" s="113"/>
      <c r="HB8" s="113"/>
      <c r="HC8" s="2230"/>
    </row>
    <row r="9" spans="1:222" s="146" customFormat="1" ht="15" customHeight="1">
      <c r="A9" s="2618">
        <v>3</v>
      </c>
      <c r="B9" s="3688" t="s">
        <v>703</v>
      </c>
      <c r="C9" s="140">
        <v>3198</v>
      </c>
      <c r="D9" s="140">
        <v>102</v>
      </c>
      <c r="E9" s="141">
        <v>2031980102</v>
      </c>
      <c r="F9" s="142">
        <v>7500</v>
      </c>
      <c r="G9" s="143" t="s">
        <v>704</v>
      </c>
      <c r="H9" s="144"/>
      <c r="I9" s="140">
        <v>1</v>
      </c>
      <c r="J9" s="140">
        <v>0</v>
      </c>
      <c r="K9" s="140">
        <v>2</v>
      </c>
      <c r="L9" s="140">
        <v>6.5</v>
      </c>
      <c r="M9" s="142">
        <v>7500</v>
      </c>
      <c r="N9" s="142">
        <f>0.66*M9</f>
        <v>4950</v>
      </c>
      <c r="O9" s="142">
        <v>0</v>
      </c>
      <c r="P9" s="142">
        <v>7500</v>
      </c>
      <c r="Q9" s="145">
        <v>0</v>
      </c>
      <c r="R9" s="146" t="s">
        <v>711</v>
      </c>
      <c r="S9" s="2620">
        <f>SUM(T9:T10)</f>
        <v>0</v>
      </c>
      <c r="T9" s="147">
        <v>0</v>
      </c>
      <c r="U9" s="2620">
        <f>SUM(V9:V10)</f>
        <v>32500</v>
      </c>
      <c r="V9" s="148">
        <f>M9</f>
        <v>7500</v>
      </c>
      <c r="W9" s="2620">
        <f>SUM(X9:X10)</f>
        <v>32500</v>
      </c>
      <c r="X9" s="147">
        <f>V9-Z9</f>
        <v>7500</v>
      </c>
      <c r="Y9" s="2620">
        <f>SUM(Z9:Z10)</f>
        <v>0</v>
      </c>
      <c r="Z9" s="147">
        <v>0</v>
      </c>
      <c r="AA9" s="2620">
        <f>SUM(AB9:AB10)</f>
        <v>0</v>
      </c>
      <c r="AB9" s="147">
        <v>0</v>
      </c>
      <c r="AC9" s="2620">
        <f>SUM(AD9:AD10)</f>
        <v>27550</v>
      </c>
      <c r="AD9" s="149">
        <f>V9-(Z9+AB9+AF9+AL9+AN9+AP9+AZ9+AR9+AT9+AV9+AX9)</f>
        <v>2550</v>
      </c>
      <c r="AE9" s="2612">
        <f>SUM(AF9:AF10)</f>
        <v>4950</v>
      </c>
      <c r="AF9" s="149">
        <f>AI9</f>
        <v>4950</v>
      </c>
      <c r="AG9" s="149">
        <v>0</v>
      </c>
      <c r="AH9" s="2612">
        <f>SUM(AG9:AG10)</f>
        <v>0</v>
      </c>
      <c r="AI9" s="149">
        <f>0.66*V9</f>
        <v>4950</v>
      </c>
      <c r="AJ9" s="2612">
        <f>SUM(AI9:AI10)</f>
        <v>4950</v>
      </c>
      <c r="AK9" s="2612">
        <f>SUM(AL9:AL10)</f>
        <v>0</v>
      </c>
      <c r="AL9" s="149">
        <v>0</v>
      </c>
      <c r="AM9" s="2612">
        <f>SUM(AN9:AN10)</f>
        <v>0</v>
      </c>
      <c r="AN9" s="149">
        <v>0</v>
      </c>
      <c r="AO9" s="2614">
        <f>SUM(AP9:AP10)</f>
        <v>0</v>
      </c>
      <c r="AP9" s="149">
        <v>0</v>
      </c>
      <c r="AQ9" s="2612">
        <f>SUM(AR9:AR10)</f>
        <v>0</v>
      </c>
      <c r="AR9" s="2612">
        <f>SUM(AS9:AS10)</f>
        <v>0</v>
      </c>
      <c r="AS9" s="2612">
        <f>SUM(AT9:AT10)</f>
        <v>0</v>
      </c>
      <c r="AT9" s="149">
        <v>0</v>
      </c>
      <c r="AU9" s="2612">
        <f>SUM(AV9:AV10)</f>
        <v>0</v>
      </c>
      <c r="AV9" s="149">
        <v>0</v>
      </c>
      <c r="AW9" s="2612">
        <f>SUM(AX9:AX10)</f>
        <v>0</v>
      </c>
      <c r="AX9" s="149">
        <v>0</v>
      </c>
      <c r="AY9" s="2612">
        <f>SUM(AZ9:AZ10)</f>
        <v>0</v>
      </c>
      <c r="AZ9" s="150">
        <f t="shared" si="0"/>
        <v>0</v>
      </c>
      <c r="BA9" s="2614">
        <f>SUM(BB9:BB10)</f>
        <v>0</v>
      </c>
      <c r="BB9" s="151">
        <v>0</v>
      </c>
      <c r="BC9" s="2614">
        <f>SUM(BD9:BD10)</f>
        <v>0</v>
      </c>
      <c r="BD9" s="151">
        <v>0</v>
      </c>
      <c r="BE9" s="2614">
        <f>SUM(BF9:BF10)</f>
        <v>0</v>
      </c>
      <c r="BF9" s="151">
        <v>0</v>
      </c>
      <c r="BG9" s="2614">
        <f>SUM(BH9:BH10)</f>
        <v>0</v>
      </c>
      <c r="BH9" s="151">
        <v>0</v>
      </c>
      <c r="BI9" s="2614">
        <f>SUM(BJ9:BJ10)</f>
        <v>0</v>
      </c>
      <c r="BJ9" s="151">
        <v>0</v>
      </c>
      <c r="BK9" s="2614">
        <f>SUM(BL9:BL10)</f>
        <v>0</v>
      </c>
      <c r="BL9" s="151">
        <v>0</v>
      </c>
      <c r="BM9" s="2612">
        <f>SUM(BN9:BN10)</f>
        <v>32500</v>
      </c>
      <c r="BN9" s="147">
        <f>ROUND(T9+V9,0)</f>
        <v>7500</v>
      </c>
      <c r="BO9" s="2612">
        <f>SUM(BP9:BP10)</f>
        <v>0</v>
      </c>
      <c r="BP9" s="147">
        <f>ROUND(T9/EP$141,0)</f>
        <v>0</v>
      </c>
      <c r="BQ9" s="2612">
        <f>SUM(BR9:BR10)</f>
        <v>0</v>
      </c>
      <c r="BR9" s="147">
        <f>BR$142*BP9</f>
        <v>0</v>
      </c>
      <c r="BS9" s="2612">
        <f>SUM(BT9:BT10)</f>
        <v>0</v>
      </c>
      <c r="BT9" s="152">
        <f>ROUND(BP9*2.92,0)</f>
        <v>0</v>
      </c>
      <c r="BU9" s="2612">
        <f>SUM(BV9:BV10)</f>
        <v>89</v>
      </c>
      <c r="BV9" s="153">
        <f>ROUND((AD9+AB9+Z9)/1000*3,0)+ROUND((AF9+AX9)/1000,0)+ROUND((ROUND(AL9/400,0))/2.67,0)+ROUND(AN9/250,0)+ROUND(AR9/15000,0)+ROUND((BB9+BD9+BF9+BJ9)/1000*3,0)+ROUND(BP9/25,0)+ROUND(CN9/50,0)</f>
        <v>13</v>
      </c>
      <c r="BW9" s="2612">
        <f>SUM(BX9:BX10)</f>
        <v>0</v>
      </c>
      <c r="BX9" s="147">
        <v>0</v>
      </c>
      <c r="BY9" s="2612">
        <f>SUM(BZ9:BZ10)</f>
        <v>0</v>
      </c>
      <c r="BZ9" s="147">
        <v>0</v>
      </c>
      <c r="CA9" s="2612">
        <f>SUM(CB9:CB10)</f>
        <v>32.5</v>
      </c>
      <c r="CB9" s="147">
        <f>V9/1000</f>
        <v>7.5</v>
      </c>
      <c r="CC9" s="2612">
        <f>SUM(CD9:CD10)</f>
        <v>0</v>
      </c>
      <c r="CD9" s="147">
        <f>AB9/1000</f>
        <v>0</v>
      </c>
      <c r="CE9" s="2612">
        <f>SUM(CF9:CF10)</f>
        <v>0</v>
      </c>
      <c r="CF9" s="147">
        <f>((AL9/400)/12)</f>
        <v>0</v>
      </c>
      <c r="CG9" s="2612">
        <f>SUM(CH9:CH10)</f>
        <v>0</v>
      </c>
      <c r="CH9" s="154">
        <f>IFERROR(VLOOKUP(E9,#REF!,3,FALSE),0)</f>
        <v>0</v>
      </c>
      <c r="CI9" s="2612">
        <f>SUM(CJ9:CJ10)</f>
        <v>0</v>
      </c>
      <c r="CJ9" s="147" t="b">
        <f>IF(G9="M1-2",F9/1000)</f>
        <v>0</v>
      </c>
      <c r="CK9" s="2612">
        <f>SUM(CL9:CL10)</f>
        <v>0</v>
      </c>
      <c r="CL9" s="147">
        <f>IF(BJ9&gt;0,"Calculate",0)</f>
        <v>0</v>
      </c>
      <c r="CM9" s="2612">
        <f>SUM(CN9:CN10)</f>
        <v>32.5</v>
      </c>
      <c r="CN9" s="155">
        <f t="shared" si="1"/>
        <v>7.5</v>
      </c>
      <c r="CO9" s="148"/>
      <c r="CP9" s="2277">
        <v>23</v>
      </c>
      <c r="CQ9" s="156" t="s">
        <v>705</v>
      </c>
      <c r="CR9" s="156">
        <v>4.5999999999999996</v>
      </c>
      <c r="CS9" s="156">
        <v>2</v>
      </c>
      <c r="CT9" s="156">
        <v>4.5999999999999996</v>
      </c>
      <c r="CU9" s="157" t="s">
        <v>706</v>
      </c>
      <c r="CV9" s="2622" t="s">
        <v>712</v>
      </c>
      <c r="CW9" s="147">
        <f>(CR9*F9)-CZ9</f>
        <v>20625</v>
      </c>
      <c r="CX9" s="2620">
        <f>SUM(CW9:CW10)</f>
        <v>54999.999999999993</v>
      </c>
      <c r="CY9" s="2624">
        <f>SUM(CZ9:CZ10)</f>
        <v>37000</v>
      </c>
      <c r="CZ9" s="147">
        <f>2*(F9)-(0.15*1*(F9))</f>
        <v>13875</v>
      </c>
      <c r="DA9" s="2626">
        <f>SUM(DB9:DB10)</f>
        <v>23125</v>
      </c>
      <c r="DB9" s="147">
        <f>CZ9-DD9</f>
        <v>0</v>
      </c>
      <c r="DC9" s="2620">
        <f>SUM(DD9:DD10)</f>
        <v>13875</v>
      </c>
      <c r="DD9" s="147">
        <f>CZ9</f>
        <v>13875</v>
      </c>
      <c r="DE9" s="2620">
        <f>SUM(DF9:DF10)</f>
        <v>23125</v>
      </c>
      <c r="DF9" s="147">
        <v>0</v>
      </c>
      <c r="DG9" s="2620">
        <f>SUM(DH9:DH10)</f>
        <v>0</v>
      </c>
      <c r="DH9" s="147">
        <f>CZ9-(DD9+DF9+DJ9+DL9+DN9+DT9+DV9+DX9)</f>
        <v>0</v>
      </c>
      <c r="DI9" s="2620">
        <f>SUM(DJ9:DJ10)</f>
        <v>0</v>
      </c>
      <c r="DJ9" s="147">
        <v>0</v>
      </c>
      <c r="DK9" s="2620">
        <f>SUM(DL9:DL10)</f>
        <v>0</v>
      </c>
      <c r="DL9" s="147">
        <v>0</v>
      </c>
      <c r="DM9" s="2620">
        <f>SUM(DN9:DN10)</f>
        <v>0</v>
      </c>
      <c r="DN9" s="147">
        <v>0</v>
      </c>
      <c r="DO9" s="2620">
        <f>SUM(DP9:DP10)</f>
        <v>0</v>
      </c>
      <c r="DP9" s="147">
        <v>0</v>
      </c>
      <c r="DQ9" s="2620">
        <f>SUM(DR9:DR10)</f>
        <v>0</v>
      </c>
      <c r="DR9" s="147">
        <v>0</v>
      </c>
      <c r="DS9" s="2620">
        <f>SUM(DT9:DT10)</f>
        <v>0</v>
      </c>
      <c r="DT9" s="147">
        <v>0</v>
      </c>
      <c r="DU9" s="2620">
        <f>SUM(DV9:DV10)</f>
        <v>0</v>
      </c>
      <c r="DV9" s="147">
        <v>0</v>
      </c>
      <c r="DW9" s="2620">
        <f>SUM(DX9:DX10)</f>
        <v>0</v>
      </c>
      <c r="DX9" s="150">
        <f t="shared" si="2"/>
        <v>0</v>
      </c>
      <c r="DY9" s="2620">
        <f>SUM(DZ9:DZ10)</f>
        <v>0</v>
      </c>
      <c r="DZ9" s="149">
        <v>0</v>
      </c>
      <c r="EA9" s="2620">
        <f>SUM(EB9:EB10)</f>
        <v>0</v>
      </c>
      <c r="EB9" s="149">
        <v>0</v>
      </c>
      <c r="EC9" s="2620">
        <f>SUM(ED9:ED10)</f>
        <v>0</v>
      </c>
      <c r="ED9" s="149">
        <v>0</v>
      </c>
      <c r="EE9" s="2620">
        <f>SUM(EF9:EF10)</f>
        <v>0</v>
      </c>
      <c r="EF9" s="149">
        <v>0</v>
      </c>
      <c r="EG9" s="2620">
        <f>SUM(EH9:EH10)</f>
        <v>0</v>
      </c>
      <c r="EH9" s="149">
        <v>0</v>
      </c>
      <c r="EI9" s="2620">
        <f>SUM(EJ9:EJ10)</f>
        <v>0</v>
      </c>
      <c r="EJ9" s="149">
        <v>0</v>
      </c>
      <c r="EK9" s="2612">
        <f>SUM(EL9:EL10)</f>
        <v>92000</v>
      </c>
      <c r="EL9" s="147">
        <f>CW9+CZ9</f>
        <v>34500</v>
      </c>
      <c r="EM9" s="2628">
        <f>SUM(EN9:EN10)</f>
        <v>55</v>
      </c>
      <c r="EN9" s="148">
        <f>ROUND(CW9/EP$141,0)</f>
        <v>21</v>
      </c>
      <c r="EO9" s="2628">
        <f>SUM(EP9:EP10)</f>
        <v>27.5</v>
      </c>
      <c r="EP9" s="148">
        <f>0.5*EN9</f>
        <v>10.5</v>
      </c>
      <c r="EQ9" s="2628">
        <f>SUM(ER9:ER10)</f>
        <v>27.5</v>
      </c>
      <c r="ER9" s="148">
        <f>EP9</f>
        <v>10.5</v>
      </c>
      <c r="ES9" s="2628">
        <f>SUM(ET9:ET10)</f>
        <v>14</v>
      </c>
      <c r="ET9" s="148">
        <f>FA9+FG9+FQ9</f>
        <v>14</v>
      </c>
      <c r="EU9" s="2620">
        <f>SUM(EV9:EV10)</f>
        <v>160.6</v>
      </c>
      <c r="EV9" s="148">
        <f>2.92*EN9</f>
        <v>61.32</v>
      </c>
      <c r="EW9" s="2620">
        <f>SUM(EX9:EX10)</f>
        <v>113</v>
      </c>
      <c r="EX9" s="148">
        <f>ROUND((DH9+DF9+DD9)/1000*3,0)+ROUND((ROUND(DL9/400,0))/2.67,0)+ROUND(DV9/1000,0)+ROUND((DZ9+EB9+ED9+EH9)/1000*3,0)+ROUND(EN9/25,0)+ROUND(ET9/50,0)</f>
        <v>43</v>
      </c>
      <c r="EY9" s="2620">
        <f>SUM(EZ9:EZ10)</f>
        <v>0</v>
      </c>
      <c r="EZ9" s="2638" t="s">
        <v>713</v>
      </c>
      <c r="FA9" s="158">
        <v>0</v>
      </c>
      <c r="FB9" s="2620">
        <f>SUM(FC9:FC10)</f>
        <v>0</v>
      </c>
      <c r="FC9" s="158">
        <v>0</v>
      </c>
      <c r="FD9" s="2620">
        <f>SUM(FE9:FE10)</f>
        <v>0</v>
      </c>
      <c r="FE9" s="158">
        <v>0</v>
      </c>
      <c r="FF9" s="2620">
        <f>SUM(FG9:FG10)</f>
        <v>14</v>
      </c>
      <c r="FG9" s="148">
        <f>ROUND((DH9+DJ9+DD9+DN9+DT9)/1000,0)</f>
        <v>14</v>
      </c>
      <c r="FH9" s="2620">
        <f>SUM(FI9:FI10)</f>
        <v>0</v>
      </c>
      <c r="FI9" s="148">
        <f>DF9/1000</f>
        <v>0</v>
      </c>
      <c r="FJ9" s="2620">
        <f>SUM(FK9:FK10)</f>
        <v>0</v>
      </c>
      <c r="FK9" s="148">
        <f>((DL9/400)/12)</f>
        <v>0</v>
      </c>
      <c r="FL9" s="2620">
        <f>SUM(FM9:FM10)</f>
        <v>0</v>
      </c>
      <c r="FM9" s="148">
        <v>0</v>
      </c>
      <c r="FN9" s="2620">
        <f>SUM(FO9:FO10)</f>
        <v>0</v>
      </c>
      <c r="FO9" s="148">
        <v>0</v>
      </c>
      <c r="FP9" s="2628">
        <f>SUM(FQ9:FQ10)</f>
        <v>0</v>
      </c>
      <c r="FQ9" s="148">
        <f>DX9/1000</f>
        <v>0</v>
      </c>
      <c r="FR9" s="2620">
        <f>SUM(FS9:FS10)</f>
        <v>115</v>
      </c>
      <c r="FS9" s="2634">
        <v>115</v>
      </c>
      <c r="FT9" s="2636">
        <f>CX9-S9</f>
        <v>54999.999999999993</v>
      </c>
      <c r="FU9" s="2630">
        <f>CY9-U9</f>
        <v>4500</v>
      </c>
      <c r="FV9" s="2632">
        <f>(DC9+DE9+DG9)-(Y9+AA9+AC9+AE9)</f>
        <v>4500</v>
      </c>
      <c r="FW9" s="2632">
        <f>DG9-AC9</f>
        <v>-27550</v>
      </c>
      <c r="FX9" s="2630">
        <f>DE9-AA9</f>
        <v>23125</v>
      </c>
      <c r="FY9" s="2630">
        <f>DC9-Y9</f>
        <v>13875</v>
      </c>
      <c r="FZ9" s="2630">
        <f>DJ9-AE9</f>
        <v>-4950</v>
      </c>
      <c r="GA9" s="2630">
        <f>DL9-AL9</f>
        <v>0</v>
      </c>
      <c r="GB9" s="2630">
        <f>DM9-AM9</f>
        <v>0</v>
      </c>
      <c r="GC9" s="2630">
        <f>DP9-AQ9</f>
        <v>0</v>
      </c>
      <c r="GD9" s="2630">
        <f>DR9-AS9</f>
        <v>0</v>
      </c>
      <c r="GE9" s="2630">
        <f>DT9-AV9</f>
        <v>0</v>
      </c>
      <c r="GF9" s="2630">
        <f>DV9-AW9</f>
        <v>0</v>
      </c>
      <c r="GG9" s="2630">
        <f>DZ9-BB9</f>
        <v>0</v>
      </c>
      <c r="GH9" s="2630">
        <f>EB9-BD9</f>
        <v>0</v>
      </c>
      <c r="GI9" s="2630">
        <f>ED9-BF9</f>
        <v>0</v>
      </c>
      <c r="GJ9" s="2630">
        <f>EF9-BH9</f>
        <v>0</v>
      </c>
      <c r="GK9" s="2630">
        <f>EH9-BJ9</f>
        <v>0</v>
      </c>
      <c r="GL9" s="2632">
        <f>DW9-AY9</f>
        <v>0</v>
      </c>
      <c r="GM9" s="2632">
        <f>EK9-BM9</f>
        <v>59500</v>
      </c>
      <c r="GN9" s="2632">
        <f>EM9-BO9</f>
        <v>55</v>
      </c>
      <c r="GO9" s="2632">
        <f>SUM(GP9:GP10)</f>
        <v>27.5</v>
      </c>
      <c r="GP9" s="159">
        <f>EP9-BR9</f>
        <v>10.5</v>
      </c>
      <c r="GQ9" s="2632">
        <f>SUM(GR9:GR10)</f>
        <v>160.6</v>
      </c>
      <c r="GR9" s="159">
        <f>EV9-BT9</f>
        <v>61.32</v>
      </c>
      <c r="GS9" s="2632">
        <f>SUM(GT9:GT10)</f>
        <v>24</v>
      </c>
      <c r="GT9" s="160">
        <f>EX9-BV9</f>
        <v>30</v>
      </c>
      <c r="GU9" s="160">
        <f>FA9-BX9</f>
        <v>0</v>
      </c>
      <c r="GV9" s="160">
        <f>FI9-CD9</f>
        <v>0</v>
      </c>
      <c r="GW9" s="160">
        <v>0</v>
      </c>
      <c r="GX9" s="160">
        <f>FG9-CB9</f>
        <v>6.5</v>
      </c>
      <c r="GY9" s="160">
        <f>FK9-CF9</f>
        <v>0</v>
      </c>
      <c r="GZ9" s="160">
        <f>FM9-CH9</f>
        <v>0</v>
      </c>
      <c r="HA9" s="160">
        <f>FO9-CJ9</f>
        <v>0</v>
      </c>
      <c r="HB9" s="160">
        <f>FQ9-CL9</f>
        <v>0</v>
      </c>
      <c r="HC9" s="2640">
        <f>ES9-CM9</f>
        <v>-18.5</v>
      </c>
      <c r="HD9" s="95"/>
      <c r="HE9" s="95"/>
      <c r="HF9" s="90"/>
      <c r="HG9" s="90"/>
      <c r="HH9" s="90"/>
      <c r="HI9" s="90"/>
      <c r="HJ9" s="90"/>
      <c r="HK9" s="90"/>
    </row>
    <row r="10" spans="1:222" s="168" customFormat="1" ht="15" customHeight="1">
      <c r="A10" s="2619"/>
      <c r="B10" s="161" t="s">
        <v>703</v>
      </c>
      <c r="C10" s="162">
        <v>3198</v>
      </c>
      <c r="D10" s="162">
        <v>105</v>
      </c>
      <c r="E10" s="163">
        <v>2031980105</v>
      </c>
      <c r="F10" s="164">
        <v>12500</v>
      </c>
      <c r="G10" s="165" t="s">
        <v>704</v>
      </c>
      <c r="H10" s="166"/>
      <c r="I10" s="162">
        <v>2</v>
      </c>
      <c r="J10" s="162">
        <v>0</v>
      </c>
      <c r="K10" s="162">
        <v>2</v>
      </c>
      <c r="L10" s="162">
        <v>6.5</v>
      </c>
      <c r="M10" s="164">
        <v>25000</v>
      </c>
      <c r="N10" s="164">
        <v>0</v>
      </c>
      <c r="O10" s="164">
        <v>0</v>
      </c>
      <c r="P10" s="164">
        <v>25000</v>
      </c>
      <c r="Q10" s="167">
        <v>0</v>
      </c>
      <c r="R10" s="168" t="s">
        <v>714</v>
      </c>
      <c r="S10" s="2621"/>
      <c r="T10" s="169">
        <v>0</v>
      </c>
      <c r="U10" s="2621"/>
      <c r="V10" s="170">
        <f>M10</f>
        <v>25000</v>
      </c>
      <c r="W10" s="2621"/>
      <c r="X10" s="169">
        <f>V10-Z10</f>
        <v>25000</v>
      </c>
      <c r="Y10" s="2621"/>
      <c r="Z10" s="169">
        <v>0</v>
      </c>
      <c r="AA10" s="2621"/>
      <c r="AB10" s="169">
        <v>0</v>
      </c>
      <c r="AC10" s="2621"/>
      <c r="AD10" s="171">
        <f>V10-(Z10+AB10+AF10+AL10+AN10+AP10+AZ10+AR10+AT10+AV10+AX10)</f>
        <v>25000</v>
      </c>
      <c r="AE10" s="2613"/>
      <c r="AF10" s="171">
        <v>0</v>
      </c>
      <c r="AG10" s="171">
        <v>0</v>
      </c>
      <c r="AH10" s="2613"/>
      <c r="AI10" s="171">
        <v>0</v>
      </c>
      <c r="AJ10" s="2613"/>
      <c r="AK10" s="2613"/>
      <c r="AL10" s="171">
        <v>0</v>
      </c>
      <c r="AM10" s="2613"/>
      <c r="AN10" s="171">
        <v>0</v>
      </c>
      <c r="AO10" s="2615"/>
      <c r="AP10" s="171">
        <v>0</v>
      </c>
      <c r="AQ10" s="2613"/>
      <c r="AR10" s="2613"/>
      <c r="AS10" s="2613"/>
      <c r="AT10" s="171">
        <v>0</v>
      </c>
      <c r="AU10" s="2613"/>
      <c r="AV10" s="171">
        <v>0</v>
      </c>
      <c r="AW10" s="2613"/>
      <c r="AX10" s="171">
        <v>0</v>
      </c>
      <c r="AY10" s="2613"/>
      <c r="AZ10" s="171">
        <f t="shared" si="0"/>
        <v>0</v>
      </c>
      <c r="BA10" s="2615"/>
      <c r="BB10" s="172">
        <v>0</v>
      </c>
      <c r="BC10" s="2615"/>
      <c r="BD10" s="172">
        <v>0</v>
      </c>
      <c r="BE10" s="2615"/>
      <c r="BF10" s="172">
        <v>0</v>
      </c>
      <c r="BG10" s="2615"/>
      <c r="BH10" s="172">
        <v>0</v>
      </c>
      <c r="BI10" s="2615"/>
      <c r="BJ10" s="172">
        <v>0</v>
      </c>
      <c r="BK10" s="2615"/>
      <c r="BL10" s="172">
        <v>0</v>
      </c>
      <c r="BM10" s="2613"/>
      <c r="BN10" s="169">
        <f>ROUND(T10+V10,0)</f>
        <v>25000</v>
      </c>
      <c r="BO10" s="2613"/>
      <c r="BP10" s="169">
        <f>ROUND(T10/EP$141,0)</f>
        <v>0</v>
      </c>
      <c r="BQ10" s="2613"/>
      <c r="BR10" s="169">
        <f>BR$142*BP10</f>
        <v>0</v>
      </c>
      <c r="BS10" s="2613"/>
      <c r="BT10" s="173">
        <f>ROUND(BP10*2.92,0)</f>
        <v>0</v>
      </c>
      <c r="BU10" s="2613"/>
      <c r="BV10" s="174">
        <f>ROUND((AD10+AB10+Z10)/1000*3,0)+ROUND((AF10+AX10)/1000,0)+ROUND((ROUND(AL10/400,0))/2.67,0)+ROUND(AN10/250,0)+ROUND(AR10/15000,0)+ROUND((BB10+BD10+BF10+BJ10)/1000*3,0)+ROUND(BP10/25,0)+ROUND(CN10/50,0)</f>
        <v>76</v>
      </c>
      <c r="BW10" s="2613"/>
      <c r="BX10" s="169">
        <v>0</v>
      </c>
      <c r="BY10" s="2613"/>
      <c r="BZ10" s="169">
        <v>0</v>
      </c>
      <c r="CA10" s="2613"/>
      <c r="CB10" s="169">
        <f>V10/1000</f>
        <v>25</v>
      </c>
      <c r="CC10" s="2613"/>
      <c r="CD10" s="169">
        <f>AB10/1000</f>
        <v>0</v>
      </c>
      <c r="CE10" s="2613"/>
      <c r="CF10" s="169">
        <f>((AL10/400)/12)</f>
        <v>0</v>
      </c>
      <c r="CG10" s="2613"/>
      <c r="CH10" s="175">
        <f>IFERROR(VLOOKUP(E10,#REF!,3,FALSE),0)</f>
        <v>0</v>
      </c>
      <c r="CI10" s="2613"/>
      <c r="CJ10" s="169" t="b">
        <f>IF(G10="M1-2",F10/1000)</f>
        <v>0</v>
      </c>
      <c r="CK10" s="2613"/>
      <c r="CL10" s="169">
        <f>IF(BJ10&gt;0,"Calculate",0)</f>
        <v>0</v>
      </c>
      <c r="CM10" s="2613"/>
      <c r="CN10" s="169">
        <f t="shared" si="1"/>
        <v>25</v>
      </c>
      <c r="CO10" s="170"/>
      <c r="CP10" s="2278">
        <v>26</v>
      </c>
      <c r="CQ10" s="176" t="s">
        <v>705</v>
      </c>
      <c r="CR10" s="176">
        <v>4.5999999999999996</v>
      </c>
      <c r="CS10" s="176">
        <v>2</v>
      </c>
      <c r="CT10" s="176">
        <v>4.5999999999999996</v>
      </c>
      <c r="CU10" s="177" t="s">
        <v>706</v>
      </c>
      <c r="CV10" s="2623"/>
      <c r="CW10" s="169">
        <f>(CR10*F10)-CZ10</f>
        <v>34374.999999999993</v>
      </c>
      <c r="CX10" s="2621"/>
      <c r="CY10" s="2625"/>
      <c r="CZ10" s="169">
        <f>2*(F10)-(0.15*1*(F10))</f>
        <v>23125</v>
      </c>
      <c r="DA10" s="2627"/>
      <c r="DB10" s="169">
        <f>CZ10-DD10</f>
        <v>23125</v>
      </c>
      <c r="DC10" s="2621"/>
      <c r="DD10" s="169">
        <v>0</v>
      </c>
      <c r="DE10" s="2621"/>
      <c r="DF10" s="169">
        <f>CZ10</f>
        <v>23125</v>
      </c>
      <c r="DG10" s="2621"/>
      <c r="DH10" s="169">
        <f>CZ10-(DD10+DF10+DJ10+DL10+DN10+DT10+DV10+DX10)</f>
        <v>0</v>
      </c>
      <c r="DI10" s="2621"/>
      <c r="DJ10" s="169">
        <v>0</v>
      </c>
      <c r="DK10" s="2621"/>
      <c r="DL10" s="169">
        <v>0</v>
      </c>
      <c r="DM10" s="2621"/>
      <c r="DN10" s="169">
        <v>0</v>
      </c>
      <c r="DO10" s="2621"/>
      <c r="DP10" s="169">
        <v>0</v>
      </c>
      <c r="DQ10" s="2621"/>
      <c r="DR10" s="169">
        <v>0</v>
      </c>
      <c r="DS10" s="2621"/>
      <c r="DT10" s="169">
        <v>0</v>
      </c>
      <c r="DU10" s="2621"/>
      <c r="DV10" s="169">
        <v>0</v>
      </c>
      <c r="DW10" s="2621"/>
      <c r="DX10" s="171">
        <f t="shared" si="2"/>
        <v>0</v>
      </c>
      <c r="DY10" s="2621"/>
      <c r="DZ10" s="171">
        <v>0</v>
      </c>
      <c r="EA10" s="2621"/>
      <c r="EB10" s="171">
        <v>0</v>
      </c>
      <c r="EC10" s="2621"/>
      <c r="ED10" s="171">
        <v>0</v>
      </c>
      <c r="EE10" s="2621"/>
      <c r="EF10" s="171">
        <v>0</v>
      </c>
      <c r="EG10" s="2621"/>
      <c r="EH10" s="171">
        <v>0</v>
      </c>
      <c r="EI10" s="2621"/>
      <c r="EJ10" s="171">
        <v>0</v>
      </c>
      <c r="EK10" s="2613"/>
      <c r="EL10" s="169">
        <f>CW10+CZ10</f>
        <v>57499.999999999993</v>
      </c>
      <c r="EM10" s="2629"/>
      <c r="EN10" s="170">
        <f>ROUND(CW10/EP$141,0)</f>
        <v>34</v>
      </c>
      <c r="EO10" s="2629"/>
      <c r="EP10" s="178">
        <f>0.5*EN10</f>
        <v>17</v>
      </c>
      <c r="EQ10" s="2629"/>
      <c r="ER10" s="170">
        <f>EP10</f>
        <v>17</v>
      </c>
      <c r="ES10" s="2629"/>
      <c r="ET10" s="170">
        <f>FA10+FG10+FQ10</f>
        <v>0</v>
      </c>
      <c r="EU10" s="2621"/>
      <c r="EV10" s="170">
        <f>2.92*EN10</f>
        <v>99.28</v>
      </c>
      <c r="EW10" s="2621"/>
      <c r="EX10" s="170">
        <f>ROUND((DH10+DF10+DD10)/1000*3,0)+ROUND((ROUND(DL10/400,0))/2.67,0)+ROUND(DV10/1000,0)+ROUND((DZ10+EB10+ED10+EH10)/1000*3,0)+ROUND(EN10/25,0)+ROUND(ET10/50,0)</f>
        <v>70</v>
      </c>
      <c r="EY10" s="2621"/>
      <c r="EZ10" s="2639"/>
      <c r="FA10" s="179">
        <v>0</v>
      </c>
      <c r="FB10" s="2621"/>
      <c r="FC10" s="179">
        <v>0</v>
      </c>
      <c r="FD10" s="2621"/>
      <c r="FE10" s="179">
        <v>0</v>
      </c>
      <c r="FF10" s="2621"/>
      <c r="FG10" s="170">
        <f>ROUND((DH10+DJ10+DD10+DN10+DT10)/1000,0)</f>
        <v>0</v>
      </c>
      <c r="FH10" s="2621"/>
      <c r="FI10" s="170">
        <v>0</v>
      </c>
      <c r="FJ10" s="2621"/>
      <c r="FK10" s="170">
        <f>((DL10/400)/12)</f>
        <v>0</v>
      </c>
      <c r="FL10" s="2621"/>
      <c r="FM10" s="170">
        <v>0</v>
      </c>
      <c r="FN10" s="2621"/>
      <c r="FO10" s="170">
        <v>0</v>
      </c>
      <c r="FP10" s="2629"/>
      <c r="FQ10" s="170">
        <f>DX10/1000</f>
        <v>0</v>
      </c>
      <c r="FR10" s="2621"/>
      <c r="FS10" s="2635"/>
      <c r="FT10" s="2637"/>
      <c r="FU10" s="2631"/>
      <c r="FV10" s="2633"/>
      <c r="FW10" s="2633"/>
      <c r="FX10" s="2631"/>
      <c r="FY10" s="2631"/>
      <c r="FZ10" s="2631"/>
      <c r="GA10" s="2631"/>
      <c r="GB10" s="2631"/>
      <c r="GC10" s="2631"/>
      <c r="GD10" s="2631"/>
      <c r="GE10" s="2631"/>
      <c r="GF10" s="2631"/>
      <c r="GG10" s="2631"/>
      <c r="GH10" s="2631"/>
      <c r="GI10" s="2631"/>
      <c r="GJ10" s="2631"/>
      <c r="GK10" s="2631"/>
      <c r="GL10" s="2633"/>
      <c r="GM10" s="2633"/>
      <c r="GN10" s="2633"/>
      <c r="GO10" s="2633"/>
      <c r="GP10" s="180">
        <f>EP10-BR10</f>
        <v>17</v>
      </c>
      <c r="GQ10" s="2633"/>
      <c r="GR10" s="180">
        <f>EV10-BT10</f>
        <v>99.28</v>
      </c>
      <c r="GS10" s="2633"/>
      <c r="GT10" s="181">
        <f>EX10-BV10</f>
        <v>-6</v>
      </c>
      <c r="GU10" s="181">
        <f>FA10-BX10</f>
        <v>0</v>
      </c>
      <c r="GV10" s="181">
        <f>FI10-CD10</f>
        <v>0</v>
      </c>
      <c r="GW10" s="181">
        <v>0</v>
      </c>
      <c r="GX10" s="181">
        <f>FG10-CB10</f>
        <v>-25</v>
      </c>
      <c r="GY10" s="181">
        <f>FK10-CF10</f>
        <v>0</v>
      </c>
      <c r="GZ10" s="181">
        <f>FM10-CH10</f>
        <v>0</v>
      </c>
      <c r="HA10" s="181">
        <f>FO10-CJ10</f>
        <v>0</v>
      </c>
      <c r="HB10" s="181">
        <f>FQ10-CL10</f>
        <v>0</v>
      </c>
      <c r="HC10" s="2641"/>
      <c r="HD10" s="95"/>
      <c r="HE10" s="95"/>
      <c r="HF10" s="72"/>
      <c r="HG10" s="72"/>
      <c r="HH10" s="72"/>
      <c r="HI10" s="72"/>
      <c r="HJ10" s="72"/>
      <c r="HK10" s="72"/>
    </row>
    <row r="11" spans="1:222" s="95" customFormat="1" ht="18.75">
      <c r="A11" s="2263"/>
      <c r="B11" s="131"/>
      <c r="C11" s="132"/>
      <c r="D11" s="132"/>
      <c r="E11" s="133"/>
      <c r="F11" s="134"/>
      <c r="G11" s="135"/>
      <c r="H11" s="136"/>
      <c r="I11" s="132"/>
      <c r="J11" s="132"/>
      <c r="K11" s="132"/>
      <c r="L11" s="132"/>
      <c r="M11" s="134"/>
      <c r="N11" s="134"/>
      <c r="O11" s="134"/>
      <c r="P11" s="134"/>
      <c r="Q11" s="137"/>
      <c r="S11" s="101"/>
      <c r="T11" s="97"/>
      <c r="U11" s="2244"/>
      <c r="V11" s="102"/>
      <c r="W11" s="2244"/>
      <c r="X11" s="97"/>
      <c r="Y11" s="2244"/>
      <c r="Z11" s="97"/>
      <c r="AA11" s="2244"/>
      <c r="AB11" s="97"/>
      <c r="AC11" s="2244"/>
      <c r="AD11" s="103"/>
      <c r="AE11" s="2251"/>
      <c r="AF11" s="103"/>
      <c r="AG11" s="103"/>
      <c r="AH11" s="103"/>
      <c r="AI11" s="103"/>
      <c r="AJ11" s="103"/>
      <c r="AK11" s="2251"/>
      <c r="AL11" s="103"/>
      <c r="AM11" s="2251"/>
      <c r="AN11" s="103"/>
      <c r="AO11" s="2224"/>
      <c r="AP11" s="103"/>
      <c r="AQ11" s="2251"/>
      <c r="AR11" s="103"/>
      <c r="AS11" s="103"/>
      <c r="AT11" s="103"/>
      <c r="AU11" s="103"/>
      <c r="AV11" s="103"/>
      <c r="AW11" s="103"/>
      <c r="AX11" s="103"/>
      <c r="AY11" s="103"/>
      <c r="AZ11" s="75">
        <f t="shared" si="0"/>
        <v>0</v>
      </c>
      <c r="BA11" s="2224"/>
      <c r="BB11" s="97"/>
      <c r="BC11" s="2224"/>
      <c r="BD11" s="97"/>
      <c r="BE11" s="2224"/>
      <c r="BF11" s="97"/>
      <c r="BG11" s="2224"/>
      <c r="BH11" s="97"/>
      <c r="BI11" s="2224"/>
      <c r="BJ11" s="97"/>
      <c r="BK11" s="2224"/>
      <c r="BL11" s="97"/>
      <c r="BM11" s="103"/>
      <c r="BN11" s="97"/>
      <c r="BO11" s="103"/>
      <c r="BP11" s="97"/>
      <c r="BQ11" s="103"/>
      <c r="BR11" s="97"/>
      <c r="BS11" s="103"/>
      <c r="BT11" s="182"/>
      <c r="BU11" s="103"/>
      <c r="BV11" s="138"/>
      <c r="BW11" s="103"/>
      <c r="BX11" s="97"/>
      <c r="BY11" s="103"/>
      <c r="BZ11" s="97"/>
      <c r="CA11" s="103"/>
      <c r="CB11" s="97"/>
      <c r="CC11" s="103"/>
      <c r="CD11" s="97"/>
      <c r="CE11" s="103"/>
      <c r="CF11" s="97"/>
      <c r="CG11" s="103"/>
      <c r="CH11" s="105"/>
      <c r="CI11" s="103"/>
      <c r="CJ11" s="97"/>
      <c r="CK11" s="103"/>
      <c r="CL11" s="97"/>
      <c r="CM11" s="103"/>
      <c r="CN11" s="73">
        <f t="shared" si="1"/>
        <v>0</v>
      </c>
      <c r="CO11" s="102"/>
      <c r="CP11" s="106"/>
      <c r="CQ11" s="139"/>
      <c r="CR11" s="139"/>
      <c r="CS11" s="139"/>
      <c r="CT11" s="139"/>
      <c r="CU11" s="108"/>
      <c r="CV11" s="2258"/>
      <c r="CW11" s="97"/>
      <c r="CX11" s="2244"/>
      <c r="CY11" s="2261"/>
      <c r="CZ11" s="97"/>
      <c r="DA11" s="2253"/>
      <c r="DB11" s="97"/>
      <c r="DC11" s="2244"/>
      <c r="DD11" s="97"/>
      <c r="DE11" s="2244"/>
      <c r="DF11" s="97"/>
      <c r="DG11" s="2244"/>
      <c r="DH11" s="97"/>
      <c r="DI11" s="2244"/>
      <c r="DJ11" s="97"/>
      <c r="DK11" s="2244"/>
      <c r="DL11" s="97"/>
      <c r="DM11" s="2244"/>
      <c r="DN11" s="97"/>
      <c r="DO11" s="2244"/>
      <c r="DP11" s="97"/>
      <c r="DQ11" s="2244"/>
      <c r="DR11" s="97"/>
      <c r="DS11" s="2244"/>
      <c r="DT11" s="97"/>
      <c r="DU11" s="2244"/>
      <c r="DV11" s="97"/>
      <c r="DW11" s="2244"/>
      <c r="DX11" s="75"/>
      <c r="DY11" s="2244"/>
      <c r="DZ11" s="103"/>
      <c r="EA11" s="2244"/>
      <c r="EB11" s="103"/>
      <c r="EC11" s="2244"/>
      <c r="ED11" s="103"/>
      <c r="EE11" s="2244"/>
      <c r="EF11" s="103"/>
      <c r="EG11" s="2244"/>
      <c r="EH11" s="103"/>
      <c r="EI11" s="2244"/>
      <c r="EJ11" s="103"/>
      <c r="EK11" s="2251"/>
      <c r="EL11" s="97"/>
      <c r="EM11" s="2246"/>
      <c r="EN11" s="102"/>
      <c r="EO11" s="2246"/>
      <c r="EP11" s="111"/>
      <c r="EQ11" s="110"/>
      <c r="ER11" s="102"/>
      <c r="ES11" s="110"/>
      <c r="ET11" s="74"/>
      <c r="EU11" s="2244"/>
      <c r="EV11" s="102"/>
      <c r="EW11" s="2244"/>
      <c r="EX11" s="88"/>
      <c r="EY11" s="2244"/>
      <c r="EZ11" s="2248"/>
      <c r="FA11" s="2224"/>
      <c r="FB11" s="2244"/>
      <c r="FC11" s="2224"/>
      <c r="FD11" s="2244"/>
      <c r="FE11" s="2224"/>
      <c r="FF11" s="2244"/>
      <c r="FG11" s="102"/>
      <c r="FH11" s="2244"/>
      <c r="FI11" s="102"/>
      <c r="FJ11" s="2244"/>
      <c r="FK11" s="102"/>
      <c r="FL11" s="2244"/>
      <c r="FM11" s="102"/>
      <c r="FN11" s="2244"/>
      <c r="FO11" s="102"/>
      <c r="FP11" s="110"/>
      <c r="FQ11" s="102"/>
      <c r="FR11" s="2244"/>
      <c r="FS11" s="2244"/>
      <c r="FT11" s="2240"/>
      <c r="FU11" s="2233"/>
      <c r="FV11" s="2235"/>
      <c r="FW11" s="2235"/>
      <c r="FX11" s="2233"/>
      <c r="FY11" s="2233"/>
      <c r="FZ11" s="2233"/>
      <c r="GA11" s="2232"/>
      <c r="GB11" s="2233"/>
      <c r="GC11" s="2233"/>
      <c r="GD11" s="2233"/>
      <c r="GE11" s="2232"/>
      <c r="GF11" s="2233"/>
      <c r="GG11" s="2232"/>
      <c r="GH11" s="2232"/>
      <c r="GI11" s="2232"/>
      <c r="GJ11" s="2232"/>
      <c r="GK11" s="2232"/>
      <c r="GL11" s="2235"/>
      <c r="GM11" s="2235"/>
      <c r="GN11" s="2235"/>
      <c r="GO11" s="2224"/>
      <c r="GP11" s="112"/>
      <c r="GQ11" s="2224"/>
      <c r="GR11" s="112"/>
      <c r="GS11" s="2224"/>
      <c r="GT11" s="113"/>
      <c r="GU11" s="114"/>
      <c r="GV11" s="113"/>
      <c r="GW11" s="113"/>
      <c r="GX11" s="113"/>
      <c r="GY11" s="113"/>
      <c r="GZ11" s="112"/>
      <c r="HA11" s="113"/>
      <c r="HB11" s="113"/>
      <c r="HC11" s="2230"/>
    </row>
    <row r="12" spans="1:222" s="90" customFormat="1" ht="15" customHeight="1">
      <c r="A12" s="2588">
        <v>4</v>
      </c>
      <c r="B12" s="3689" t="s">
        <v>703</v>
      </c>
      <c r="C12" s="115">
        <v>3186</v>
      </c>
      <c r="D12" s="115">
        <v>59</v>
      </c>
      <c r="E12" s="183">
        <v>2031860059</v>
      </c>
      <c r="F12" s="117">
        <v>6800</v>
      </c>
      <c r="G12" s="118" t="s">
        <v>704</v>
      </c>
      <c r="H12" s="119"/>
      <c r="I12" s="115">
        <v>1</v>
      </c>
      <c r="J12" s="115">
        <v>0</v>
      </c>
      <c r="K12" s="115">
        <v>2</v>
      </c>
      <c r="L12" s="115">
        <v>6.5</v>
      </c>
      <c r="M12" s="117">
        <v>6802</v>
      </c>
      <c r="N12" s="117">
        <v>0</v>
      </c>
      <c r="O12" s="117">
        <v>0</v>
      </c>
      <c r="P12" s="117">
        <v>6802</v>
      </c>
      <c r="Q12" s="120">
        <v>0</v>
      </c>
      <c r="R12" s="90" t="s">
        <v>637</v>
      </c>
      <c r="S12" s="2590">
        <f>SUM(T12:T13)</f>
        <v>0</v>
      </c>
      <c r="T12" s="121">
        <v>0</v>
      </c>
      <c r="U12" s="2590">
        <f>SUM(V12:V13)</f>
        <v>15102</v>
      </c>
      <c r="V12" s="122">
        <f>M12</f>
        <v>6802</v>
      </c>
      <c r="W12" s="2590">
        <f>SUM(X12:X13)</f>
        <v>13741.6</v>
      </c>
      <c r="X12" s="121">
        <f>V12-Z12</f>
        <v>5441.6</v>
      </c>
      <c r="Y12" s="2590">
        <f>SUM(Z12:Z13)</f>
        <v>1360.4</v>
      </c>
      <c r="Z12" s="121">
        <f>0.2*V12</f>
        <v>1360.4</v>
      </c>
      <c r="AA12" s="2590">
        <f>SUM(AB12:AB13)</f>
        <v>8980.2000000000007</v>
      </c>
      <c r="AB12" s="121">
        <f>0.1*V12</f>
        <v>680.2</v>
      </c>
      <c r="AC12" s="2590">
        <f>SUM(AD12:AD13)</f>
        <v>4761.3999999999996</v>
      </c>
      <c r="AD12" s="123">
        <f>V12-(Z12+AB12+AF12+AL12+AN12+AP12+AZ12+AR12+AT12+AV12+AX12)</f>
        <v>4761.3999999999996</v>
      </c>
      <c r="AE12" s="2580">
        <f>SUM(AF12:AF13)</f>
        <v>0</v>
      </c>
      <c r="AF12" s="123">
        <f>AG12+AI12</f>
        <v>0</v>
      </c>
      <c r="AG12" s="123">
        <v>0</v>
      </c>
      <c r="AH12" s="2580">
        <f>SUM(AG12:AG13)</f>
        <v>0</v>
      </c>
      <c r="AI12" s="123">
        <v>0</v>
      </c>
      <c r="AJ12" s="2580">
        <f>SUM(AI12:AI13)</f>
        <v>0</v>
      </c>
      <c r="AK12" s="2580">
        <f>SUM(AL12:AL13)</f>
        <v>0</v>
      </c>
      <c r="AL12" s="123">
        <v>0</v>
      </c>
      <c r="AM12" s="2580">
        <f>SUM(AN12:AN13)</f>
        <v>0</v>
      </c>
      <c r="AN12" s="123">
        <v>0</v>
      </c>
      <c r="AO12" s="2582">
        <f>SUM(AP12:AP13)</f>
        <v>0</v>
      </c>
      <c r="AP12" s="123">
        <v>0</v>
      </c>
      <c r="AQ12" s="2580">
        <f>SUM(AR12:AR13)</f>
        <v>0</v>
      </c>
      <c r="AR12" s="2580">
        <f>SUM(AS12:AS13)</f>
        <v>0</v>
      </c>
      <c r="AS12" s="2580">
        <f>SUM(AT12:AT13)</f>
        <v>0</v>
      </c>
      <c r="AT12" s="123">
        <v>0</v>
      </c>
      <c r="AU12" s="2580">
        <f>SUM(AV12:AV13)</f>
        <v>0</v>
      </c>
      <c r="AV12" s="123">
        <v>0</v>
      </c>
      <c r="AW12" s="2580">
        <f>SUM(AX12:AX13)</f>
        <v>0</v>
      </c>
      <c r="AX12" s="123">
        <v>0</v>
      </c>
      <c r="AY12" s="2580">
        <f>SUM(AZ12:AZ13)</f>
        <v>0</v>
      </c>
      <c r="AZ12" s="103">
        <f t="shared" si="0"/>
        <v>0</v>
      </c>
      <c r="BA12" s="2582">
        <f>SUM(BB12:BB13)</f>
        <v>0</v>
      </c>
      <c r="BB12" s="184">
        <v>0</v>
      </c>
      <c r="BC12" s="2582">
        <f>SUM(BD12:BD13)</f>
        <v>0</v>
      </c>
      <c r="BD12" s="184">
        <v>0</v>
      </c>
      <c r="BE12" s="2582">
        <f>SUM(BF12:BF13)</f>
        <v>0</v>
      </c>
      <c r="BF12" s="121">
        <v>0</v>
      </c>
      <c r="BG12" s="2582">
        <f>SUM(BH12:BH13)</f>
        <v>0</v>
      </c>
      <c r="BH12" s="121">
        <v>0</v>
      </c>
      <c r="BI12" s="2582">
        <f>SUM(BJ12:BJ13)</f>
        <v>0</v>
      </c>
      <c r="BJ12" s="121">
        <v>0</v>
      </c>
      <c r="BK12" s="2582">
        <f>SUM(BL12:BL13)</f>
        <v>0</v>
      </c>
      <c r="BL12" s="121">
        <v>0</v>
      </c>
      <c r="BM12" s="2580">
        <f>SUM(BN12:BN13)</f>
        <v>15102</v>
      </c>
      <c r="BN12" s="121">
        <f>T12+V12</f>
        <v>6802</v>
      </c>
      <c r="BO12" s="2580">
        <f>SUM(BP12:BP13)</f>
        <v>0</v>
      </c>
      <c r="BP12" s="121">
        <f>T12/1000</f>
        <v>0</v>
      </c>
      <c r="BQ12" s="2580">
        <f>SUM(BR12:BR13)</f>
        <v>0</v>
      </c>
      <c r="BR12" s="121">
        <f>'A-App Projected Sites '!BR$142*BP12</f>
        <v>0</v>
      </c>
      <c r="BS12" s="2580">
        <f>SUM(BT12:BT13)</f>
        <v>0</v>
      </c>
      <c r="BT12" s="185">
        <f>ROUND(BP12*3.06,0)</f>
        <v>0</v>
      </c>
      <c r="BU12" s="2580">
        <f>SUM(BV12:BV13)</f>
        <v>47</v>
      </c>
      <c r="BV12" s="125">
        <f>ROUND((X12+AB12+Z12)/1000*3,0)+ROUND((AF12+AX12)/1000,0)+ROUND((ROUND(AL12/400,0))/2.67,0)+ROUND(AP12/250,0)+ROUND(AR12/15000,0)+ROUND((BB12+BD12+BF12+BJ12)/1000*3,0)+ROUND(BP12/25,0)+ROUND('[1]Potential Development Sites'!BS349/50,0)</f>
        <v>22</v>
      </c>
      <c r="BW12" s="2580">
        <f>SUM(BX12:BX13)</f>
        <v>0</v>
      </c>
      <c r="BX12" s="121">
        <v>0</v>
      </c>
      <c r="BY12" s="2580">
        <f>SUM(BZ12:BZ13)</f>
        <v>0</v>
      </c>
      <c r="BZ12" s="121">
        <v>0</v>
      </c>
      <c r="CA12" s="2580">
        <f>SUM(CB12:CB13)</f>
        <v>8.3000000000000007</v>
      </c>
      <c r="CB12" s="121">
        <v>0</v>
      </c>
      <c r="CC12" s="2580">
        <f>SUM(CD12:CD13)</f>
        <v>8.3000000000000007</v>
      </c>
      <c r="CD12" s="121">
        <v>0</v>
      </c>
      <c r="CE12" s="2580">
        <f>SUM(CF12:CF13)</f>
        <v>0</v>
      </c>
      <c r="CF12" s="121">
        <f>AL12/1000</f>
        <v>0</v>
      </c>
      <c r="CG12" s="2580">
        <f>SUM(CH12:CH13)</f>
        <v>0</v>
      </c>
      <c r="CH12" s="121">
        <v>0</v>
      </c>
      <c r="CI12" s="2580">
        <f>SUM(CJ12:CJ13)</f>
        <v>0</v>
      </c>
      <c r="CJ12" s="121">
        <v>0</v>
      </c>
      <c r="CK12" s="2580">
        <f>SUM(CL12:CL13)</f>
        <v>0</v>
      </c>
      <c r="CL12" s="121">
        <v>0</v>
      </c>
      <c r="CM12" s="2580">
        <f>SUM(CN12:CN13)</f>
        <v>16.600000000000001</v>
      </c>
      <c r="CN12" s="97">
        <f t="shared" si="1"/>
        <v>0</v>
      </c>
      <c r="CO12" s="122"/>
      <c r="CP12" s="2265">
        <v>15</v>
      </c>
      <c r="CQ12" s="127" t="s">
        <v>705</v>
      </c>
      <c r="CR12" s="127">
        <v>4.5999999999999996</v>
      </c>
      <c r="CS12" s="127">
        <v>2</v>
      </c>
      <c r="CT12" s="127">
        <v>4.5999999999999996</v>
      </c>
      <c r="CU12" s="128" t="s">
        <v>706</v>
      </c>
      <c r="CV12" s="2596" t="s">
        <v>715</v>
      </c>
      <c r="CW12" s="121">
        <f>(CR12*F12)-CZ12</f>
        <v>25499.999999999996</v>
      </c>
      <c r="CX12" s="2590">
        <f>SUM(CW12:CW13)</f>
        <v>55380</v>
      </c>
      <c r="CY12" s="2598">
        <f>SUM(CZ12:CZ13)</f>
        <v>14080</v>
      </c>
      <c r="CZ12" s="121">
        <f>1*(F12)-(0.15*1*(F12))</f>
        <v>5780</v>
      </c>
      <c r="DA12" s="2592">
        <f>SUM(DB12:DB13)</f>
        <v>14080</v>
      </c>
      <c r="DB12" s="121">
        <f>CZ12-DD12</f>
        <v>5780</v>
      </c>
      <c r="DC12" s="2590">
        <f>SUM(DD12:DD13)</f>
        <v>0</v>
      </c>
      <c r="DD12" s="121">
        <v>0</v>
      </c>
      <c r="DE12" s="2590">
        <f>SUM(DF12:DF13)</f>
        <v>0</v>
      </c>
      <c r="DF12" s="121">
        <v>0</v>
      </c>
      <c r="DG12" s="2590">
        <f>SUM(DH12:DH13)</f>
        <v>5780</v>
      </c>
      <c r="DH12" s="121">
        <f>CZ12-(DD12+DF12+DJ12+DL12+DN12+DT12+DV12+DX12)</f>
        <v>5780</v>
      </c>
      <c r="DI12" s="2590">
        <f>SUM(DJ12:DJ13)</f>
        <v>0</v>
      </c>
      <c r="DJ12" s="121">
        <v>0</v>
      </c>
      <c r="DK12" s="2590">
        <f>SUM(DL12:DL13)</f>
        <v>0</v>
      </c>
      <c r="DL12" s="121">
        <v>0</v>
      </c>
      <c r="DM12" s="2590">
        <f>SUM(DN12:DN13)</f>
        <v>0</v>
      </c>
      <c r="DN12" s="121">
        <v>0</v>
      </c>
      <c r="DO12" s="2590">
        <f>SUM(DP12:DP13)</f>
        <v>0</v>
      </c>
      <c r="DP12" s="121">
        <v>0</v>
      </c>
      <c r="DQ12" s="2590">
        <f>SUM(DR12:DR13)</f>
        <v>0</v>
      </c>
      <c r="DR12" s="121">
        <v>0</v>
      </c>
      <c r="DS12" s="2590">
        <f>SUM(DT12:DT13)</f>
        <v>0</v>
      </c>
      <c r="DT12" s="121">
        <v>0</v>
      </c>
      <c r="DU12" s="2590">
        <f>SUM(DV12:DV13)</f>
        <v>0</v>
      </c>
      <c r="DV12" s="121">
        <v>0</v>
      </c>
      <c r="DW12" s="2590">
        <f>SUM(DX12:DX13)</f>
        <v>8300</v>
      </c>
      <c r="DX12" s="103">
        <f t="shared" si="2"/>
        <v>0</v>
      </c>
      <c r="DY12" s="2590">
        <f>SUM(DZ12:DZ13)</f>
        <v>0</v>
      </c>
      <c r="DZ12" s="123">
        <f>BB12</f>
        <v>0</v>
      </c>
      <c r="EA12" s="2590">
        <f>SUM(EB12:EB13)</f>
        <v>0</v>
      </c>
      <c r="EB12" s="123">
        <f>BD12</f>
        <v>0</v>
      </c>
      <c r="EC12" s="2590">
        <f>SUM(ED12:ED13)</f>
        <v>8300</v>
      </c>
      <c r="ED12" s="123">
        <f>BF12</f>
        <v>0</v>
      </c>
      <c r="EE12" s="2590">
        <f>SUM(EF12:EF13)</f>
        <v>0</v>
      </c>
      <c r="EF12" s="123">
        <f>BH12</f>
        <v>0</v>
      </c>
      <c r="EG12" s="2590">
        <f>SUM(EH12:EH13)</f>
        <v>0</v>
      </c>
      <c r="EH12" s="123">
        <f>BJ12</f>
        <v>0</v>
      </c>
      <c r="EI12" s="2590">
        <f>SUM(EJ12:EJ13)</f>
        <v>0</v>
      </c>
      <c r="EJ12" s="123">
        <v>0</v>
      </c>
      <c r="EK12" s="2580">
        <f>SUM(EL12:EL13)</f>
        <v>69460</v>
      </c>
      <c r="EL12" s="121">
        <f>CW12+CZ12</f>
        <v>31279.999999999996</v>
      </c>
      <c r="EM12" s="2600">
        <f>SUM(EN12:EN13)</f>
        <v>55.5</v>
      </c>
      <c r="EN12" s="122">
        <f>CW12/'A-App Projected Sites '!EP$141</f>
        <v>25.499999999999996</v>
      </c>
      <c r="EO12" s="2600">
        <f>SUM(EP12:EP13)</f>
        <v>11.1</v>
      </c>
      <c r="EP12" s="122">
        <f>0.2*EN12</f>
        <v>5.0999999999999996</v>
      </c>
      <c r="EQ12" s="2600">
        <f>SUM(ER12:ER13)</f>
        <v>13.875</v>
      </c>
      <c r="ER12" s="122">
        <f>0.25*EN12</f>
        <v>6.3749999999999991</v>
      </c>
      <c r="ES12" s="2600">
        <f>SUM(ET12:ET13)</f>
        <v>35.112499999999997</v>
      </c>
      <c r="ET12" s="102">
        <f>FA12+FG12+FQ12</f>
        <v>15.562499999999998</v>
      </c>
      <c r="EU12" s="2590">
        <f>SUM(EV12:EV13)</f>
        <v>169.82999999999998</v>
      </c>
      <c r="EV12" s="122">
        <f>3.06*EN12</f>
        <v>78.029999999999987</v>
      </c>
      <c r="EW12" s="2590">
        <f>SUM(EX12:EX13)</f>
        <v>44</v>
      </c>
      <c r="EX12" s="186">
        <f>ROUND((DH12+DF12+DD12)/1000*3,0)+ROUND((ROUND(DL12/400,0))/2.67,0)+ROUND(DV12/1000,0)+ROUND((DZ12+EB12+ED12+EH12)/1000*3,0)+ROUND(EN12/25,0)+ROUND(ET12/50,0)</f>
        <v>18</v>
      </c>
      <c r="EY12" s="2590">
        <f>SUM(EZ12:EZ13)</f>
        <v>20.8125</v>
      </c>
      <c r="EZ12" s="2610">
        <f>SUM(FA12:FA13)</f>
        <v>20.8125</v>
      </c>
      <c r="FA12" s="2223">
        <f>(0.75*EN12)*0.5</f>
        <v>9.5624999999999982</v>
      </c>
      <c r="FB12" s="2590">
        <f>SUM(FC12:FC13)</f>
        <v>0</v>
      </c>
      <c r="FC12" s="2223">
        <v>0</v>
      </c>
      <c r="FD12" s="2590">
        <f>SUM(FE12:FE13)</f>
        <v>0</v>
      </c>
      <c r="FE12" s="2223">
        <v>0</v>
      </c>
      <c r="FF12" s="2590">
        <f>SUM(FG12:FG13)</f>
        <v>6</v>
      </c>
      <c r="FG12" s="122">
        <f>ROUND((DH12+DJ12+DD12+DN12+DT12)/1000,0)</f>
        <v>6</v>
      </c>
      <c r="FH12" s="2590">
        <f>SUM(FI12:FI13)</f>
        <v>0</v>
      </c>
      <c r="FI12" s="122">
        <f>DF12/1000</f>
        <v>0</v>
      </c>
      <c r="FJ12" s="2590">
        <f>SUM(FK12:FK13)</f>
        <v>0</v>
      </c>
      <c r="FK12" s="122">
        <f>((DL12/400)/12)</f>
        <v>0</v>
      </c>
      <c r="FL12" s="2590">
        <f>SUM(FM12:FM13)</f>
        <v>0</v>
      </c>
      <c r="FM12" s="122">
        <v>0</v>
      </c>
      <c r="FN12" s="2590">
        <f>SUM(FO12:FO13)</f>
        <v>0</v>
      </c>
      <c r="FO12" s="122">
        <v>0</v>
      </c>
      <c r="FP12" s="2600">
        <f>SUM(FQ12:FQ13)</f>
        <v>8.3000000000000007</v>
      </c>
      <c r="FQ12" s="122">
        <f>DX12/1000</f>
        <v>0</v>
      </c>
      <c r="FR12" s="2590">
        <f>SUM(FS12:FS13)</f>
        <v>115</v>
      </c>
      <c r="FS12" s="2604">
        <v>115</v>
      </c>
      <c r="FT12" s="2606">
        <f>CX12-S12</f>
        <v>55380</v>
      </c>
      <c r="FU12" s="2602">
        <f>CY12-U12</f>
        <v>-1022</v>
      </c>
      <c r="FV12" s="2608">
        <f>(DC12+DE12+DG12)-(Y12+AA12+AC12+AE12)</f>
        <v>-9322</v>
      </c>
      <c r="FW12" s="2608">
        <f>DG12-AC12</f>
        <v>1018.6000000000004</v>
      </c>
      <c r="FX12" s="2602">
        <f>DE12-AA12</f>
        <v>-8980.2000000000007</v>
      </c>
      <c r="FY12" s="2602">
        <f>DC12-Y12</f>
        <v>-1360.4</v>
      </c>
      <c r="FZ12" s="2602">
        <f>DJ12-AE12</f>
        <v>0</v>
      </c>
      <c r="GA12" s="2602">
        <f>DL12-AL12</f>
        <v>0</v>
      </c>
      <c r="GB12" s="2602">
        <f>DM12-AM12</f>
        <v>0</v>
      </c>
      <c r="GC12" s="2602">
        <f>DP12-AQ12</f>
        <v>0</v>
      </c>
      <c r="GD12" s="2602">
        <f>DR12-AS12</f>
        <v>0</v>
      </c>
      <c r="GE12" s="2602">
        <f>DT12-AV12</f>
        <v>0</v>
      </c>
      <c r="GF12" s="2602">
        <f>DV12-AW12</f>
        <v>0</v>
      </c>
      <c r="GG12" s="2602">
        <f>DZ12-BB12</f>
        <v>0</v>
      </c>
      <c r="GH12" s="2602">
        <f>EB12-BD12</f>
        <v>0</v>
      </c>
      <c r="GI12" s="2602">
        <v>8300</v>
      </c>
      <c r="GJ12" s="2602">
        <f>EF12-BH12</f>
        <v>0</v>
      </c>
      <c r="GK12" s="2602">
        <f>EH12-BJ12</f>
        <v>0</v>
      </c>
      <c r="GL12" s="2608">
        <f>DW12-AY12</f>
        <v>8300</v>
      </c>
      <c r="GM12" s="2608">
        <f>EK12-BM12</f>
        <v>54358</v>
      </c>
      <c r="GN12" s="2608">
        <f>EM12-BO12</f>
        <v>55.5</v>
      </c>
      <c r="GO12" s="2582">
        <f>SUM(GP12:GP13)</f>
        <v>11.1</v>
      </c>
      <c r="GP12" s="114">
        <f>EP12-BR12</f>
        <v>5.0999999999999996</v>
      </c>
      <c r="GQ12" s="2582">
        <f>SUM(GR12:GR13)</f>
        <v>169.82999999999998</v>
      </c>
      <c r="GR12" s="114">
        <f>EV12-BT12</f>
        <v>78.029999999999987</v>
      </c>
      <c r="GS12" s="2582">
        <f>SUM(GT12:GT13)</f>
        <v>-3</v>
      </c>
      <c r="GT12" s="187">
        <f>EX12-BV12</f>
        <v>-4</v>
      </c>
      <c r="GU12" s="114">
        <f>FA12-BX12</f>
        <v>9.5624999999999982</v>
      </c>
      <c r="GV12" s="187">
        <f>FI12-CD12</f>
        <v>0</v>
      </c>
      <c r="GW12" s="187">
        <v>0</v>
      </c>
      <c r="GX12" s="187">
        <f>FG12-CB12</f>
        <v>6</v>
      </c>
      <c r="GY12" s="187">
        <f>FK12-CF12</f>
        <v>0</v>
      </c>
      <c r="GZ12" s="114">
        <f>FM12-CH12</f>
        <v>0</v>
      </c>
      <c r="HA12" s="187">
        <f>FO12-CJ12</f>
        <v>0</v>
      </c>
      <c r="HB12" s="187">
        <f>FQ12-CL12</f>
        <v>0</v>
      </c>
      <c r="HC12" s="2616">
        <f>ES12-CM12</f>
        <v>18.512499999999996</v>
      </c>
      <c r="HD12" s="139"/>
      <c r="HE12" s="139"/>
      <c r="HF12" s="127"/>
      <c r="HG12" s="127"/>
      <c r="HH12" s="127"/>
      <c r="HI12" s="127"/>
    </row>
    <row r="13" spans="1:222" s="72" customFormat="1" ht="15" customHeight="1">
      <c r="A13" s="2589"/>
      <c r="B13" s="130" t="s">
        <v>710</v>
      </c>
      <c r="C13" s="66">
        <v>3186</v>
      </c>
      <c r="D13" s="66">
        <v>55</v>
      </c>
      <c r="E13" s="67">
        <v>2031860055</v>
      </c>
      <c r="F13" s="68">
        <v>8300</v>
      </c>
      <c r="G13" s="69" t="s">
        <v>704</v>
      </c>
      <c r="H13" s="70"/>
      <c r="I13" s="66">
        <v>1</v>
      </c>
      <c r="J13" s="66">
        <v>0</v>
      </c>
      <c r="K13" s="66">
        <v>2</v>
      </c>
      <c r="L13" s="66">
        <v>6.5</v>
      </c>
      <c r="M13" s="68">
        <v>8300</v>
      </c>
      <c r="N13" s="68">
        <v>0</v>
      </c>
      <c r="O13" s="68">
        <v>0</v>
      </c>
      <c r="P13" s="68">
        <v>8300</v>
      </c>
      <c r="Q13" s="71">
        <v>0</v>
      </c>
      <c r="R13" s="72" t="s">
        <v>637</v>
      </c>
      <c r="S13" s="2591"/>
      <c r="T13" s="73">
        <v>0</v>
      </c>
      <c r="U13" s="2591"/>
      <c r="V13" s="74">
        <f>M13</f>
        <v>8300</v>
      </c>
      <c r="W13" s="2591"/>
      <c r="X13" s="73">
        <f>V13-Z13</f>
        <v>8300</v>
      </c>
      <c r="Y13" s="2591"/>
      <c r="Z13" s="73">
        <v>0</v>
      </c>
      <c r="AA13" s="2591"/>
      <c r="AB13" s="73">
        <f>V13</f>
        <v>8300</v>
      </c>
      <c r="AC13" s="2591"/>
      <c r="AD13" s="75">
        <f>V13-(Z13+AB13+AF13+AL13+AN13+AP13+AZ13+AR13+AT13+AV13+AX13)</f>
        <v>0</v>
      </c>
      <c r="AE13" s="2581"/>
      <c r="AF13" s="75">
        <v>0</v>
      </c>
      <c r="AG13" s="75">
        <v>0</v>
      </c>
      <c r="AH13" s="2581"/>
      <c r="AI13" s="75">
        <v>0</v>
      </c>
      <c r="AJ13" s="2581"/>
      <c r="AK13" s="2581"/>
      <c r="AL13" s="75">
        <v>0</v>
      </c>
      <c r="AM13" s="2581"/>
      <c r="AN13" s="75">
        <v>0</v>
      </c>
      <c r="AO13" s="2583"/>
      <c r="AP13" s="75">
        <v>0</v>
      </c>
      <c r="AQ13" s="2581"/>
      <c r="AR13" s="2581"/>
      <c r="AS13" s="2581"/>
      <c r="AT13" s="75">
        <v>0</v>
      </c>
      <c r="AU13" s="2581"/>
      <c r="AV13" s="75">
        <v>0</v>
      </c>
      <c r="AW13" s="2581"/>
      <c r="AX13" s="75">
        <v>0</v>
      </c>
      <c r="AY13" s="2581"/>
      <c r="AZ13" s="75">
        <f t="shared" si="0"/>
        <v>0</v>
      </c>
      <c r="BA13" s="2583"/>
      <c r="BB13" s="188">
        <v>0</v>
      </c>
      <c r="BC13" s="2583"/>
      <c r="BD13" s="188">
        <v>0</v>
      </c>
      <c r="BE13" s="2583"/>
      <c r="BF13" s="188">
        <v>0</v>
      </c>
      <c r="BG13" s="2583"/>
      <c r="BH13" s="188">
        <v>0</v>
      </c>
      <c r="BI13" s="2583"/>
      <c r="BJ13" s="188">
        <v>0</v>
      </c>
      <c r="BK13" s="2583"/>
      <c r="BL13" s="188">
        <v>0</v>
      </c>
      <c r="BM13" s="2581"/>
      <c r="BN13" s="73">
        <f>V13+T13</f>
        <v>8300</v>
      </c>
      <c r="BO13" s="2581"/>
      <c r="BP13" s="73">
        <f>ROUND(T13/'A-App Projected Sites '!EP$141,0)</f>
        <v>0</v>
      </c>
      <c r="BQ13" s="2581"/>
      <c r="BR13" s="73">
        <f>'A-App Projected Sites '!BR$142*BP13</f>
        <v>0</v>
      </c>
      <c r="BS13" s="2581"/>
      <c r="BT13" s="189">
        <f t="shared" ref="BT13:BT54" si="3">ROUND(BP13*3.06,0)</f>
        <v>0</v>
      </c>
      <c r="BU13" s="2581"/>
      <c r="BV13" s="78">
        <f>ROUND((AD13+AB13+Z13)/1000*3,0)+ROUND((AF13+AX13)/1000,0)+ROUND((ROUND(AL13/400,0))/2.67,0)+ROUND(AN13/250,0)+ROUND(AR13/15000,0)+ROUND((BB13+BD13+BF13+BJ13)/1000*3,0)+ROUND(BP13/25,0)+ROUND(CN13/50,0)</f>
        <v>25</v>
      </c>
      <c r="BW13" s="2581"/>
      <c r="BX13" s="73">
        <v>0</v>
      </c>
      <c r="BY13" s="2581"/>
      <c r="BZ13" s="73">
        <v>0</v>
      </c>
      <c r="CA13" s="2581"/>
      <c r="CB13" s="73">
        <f>V13/1000</f>
        <v>8.3000000000000007</v>
      </c>
      <c r="CC13" s="2581"/>
      <c r="CD13" s="73">
        <f>AB13/1000</f>
        <v>8.3000000000000007</v>
      </c>
      <c r="CE13" s="2581"/>
      <c r="CF13" s="73">
        <f>((AL13/400)/12)</f>
        <v>0</v>
      </c>
      <c r="CG13" s="2581"/>
      <c r="CH13" s="79">
        <f>IFERROR(VLOOKUP(E13,#REF!,3,FALSE),0)</f>
        <v>0</v>
      </c>
      <c r="CI13" s="2581"/>
      <c r="CJ13" s="73" t="b">
        <f>IF(G13="M1-2",F13/1000)</f>
        <v>0</v>
      </c>
      <c r="CK13" s="2581"/>
      <c r="CL13" s="73">
        <f>IF(BJ13&gt;0,"Calculate",0)</f>
        <v>0</v>
      </c>
      <c r="CM13" s="2581"/>
      <c r="CN13" s="73">
        <f t="shared" si="1"/>
        <v>16.600000000000001</v>
      </c>
      <c r="CO13" s="74"/>
      <c r="CP13" s="2266">
        <v>10</v>
      </c>
      <c r="CQ13" s="81" t="s">
        <v>705</v>
      </c>
      <c r="CR13" s="81">
        <v>4.5999999999999996</v>
      </c>
      <c r="CS13" s="81">
        <v>2</v>
      </c>
      <c r="CT13" s="81">
        <v>4.5999999999999996</v>
      </c>
      <c r="CU13" s="82" t="s">
        <v>706</v>
      </c>
      <c r="CV13" s="2597"/>
      <c r="CW13" s="73">
        <f>(CR13*F13)-CZ13</f>
        <v>29880</v>
      </c>
      <c r="CX13" s="2591"/>
      <c r="CY13" s="2599"/>
      <c r="CZ13" s="73">
        <f>V13</f>
        <v>8300</v>
      </c>
      <c r="DA13" s="2593"/>
      <c r="DB13" s="73">
        <f>CZ13-DD13</f>
        <v>8300</v>
      </c>
      <c r="DC13" s="2591"/>
      <c r="DD13" s="73">
        <v>0</v>
      </c>
      <c r="DE13" s="2591"/>
      <c r="DF13" s="73">
        <v>0</v>
      </c>
      <c r="DG13" s="2591"/>
      <c r="DH13" s="73">
        <v>0</v>
      </c>
      <c r="DI13" s="2591"/>
      <c r="DJ13" s="73">
        <v>0</v>
      </c>
      <c r="DK13" s="2591"/>
      <c r="DL13" s="73">
        <v>0</v>
      </c>
      <c r="DM13" s="2591"/>
      <c r="DN13" s="73">
        <v>0</v>
      </c>
      <c r="DO13" s="2591"/>
      <c r="DP13" s="73">
        <v>0</v>
      </c>
      <c r="DQ13" s="2591"/>
      <c r="DR13" s="73">
        <v>0</v>
      </c>
      <c r="DS13" s="2591"/>
      <c r="DT13" s="73">
        <v>0</v>
      </c>
      <c r="DU13" s="2591"/>
      <c r="DV13" s="73">
        <v>0</v>
      </c>
      <c r="DW13" s="2591"/>
      <c r="DX13" s="75">
        <f t="shared" si="2"/>
        <v>8300</v>
      </c>
      <c r="DY13" s="2591"/>
      <c r="DZ13" s="75">
        <v>0</v>
      </c>
      <c r="EA13" s="2591"/>
      <c r="EB13" s="75">
        <v>0</v>
      </c>
      <c r="EC13" s="2591"/>
      <c r="ED13" s="75">
        <v>8300</v>
      </c>
      <c r="EE13" s="2591"/>
      <c r="EF13" s="75">
        <v>0</v>
      </c>
      <c r="EG13" s="2591"/>
      <c r="EH13" s="75">
        <v>0</v>
      </c>
      <c r="EI13" s="2591"/>
      <c r="EJ13" s="75">
        <v>0</v>
      </c>
      <c r="EK13" s="2581"/>
      <c r="EL13" s="73">
        <f>CW13+CZ13</f>
        <v>38180</v>
      </c>
      <c r="EM13" s="2601"/>
      <c r="EN13" s="74">
        <f>ROUND(CW13/'A-App Projected Sites '!EP$141,0)</f>
        <v>30</v>
      </c>
      <c r="EO13" s="2601"/>
      <c r="EP13" s="74">
        <f>0.2*EN13</f>
        <v>6</v>
      </c>
      <c r="EQ13" s="2643"/>
      <c r="ER13" s="74">
        <f>0.25*EN13</f>
        <v>7.5</v>
      </c>
      <c r="ES13" s="2643"/>
      <c r="ET13" s="74">
        <f>FA13+FG13+FQ13</f>
        <v>19.55</v>
      </c>
      <c r="EU13" s="2591"/>
      <c r="EV13" s="74">
        <f>3.06*EN13</f>
        <v>91.8</v>
      </c>
      <c r="EW13" s="2591"/>
      <c r="EX13" s="88">
        <f>ROUND((DH13+DF13+DD13)/1000*3,0)+ROUND((ROUND(DL13/400,0))/2.67,0)+ROUND(DV13/1000,0)+ROUND((DZ13+EB13+ED13+EH13)/1000*3,0)+ROUND(EN13/25,0)+ROUND(ET13/50,0)</f>
        <v>26</v>
      </c>
      <c r="EY13" s="2591"/>
      <c r="EZ13" s="2642"/>
      <c r="FA13" s="2225">
        <f>(0.75*EN13)*0.5</f>
        <v>11.25</v>
      </c>
      <c r="FB13" s="2591"/>
      <c r="FC13" s="2225">
        <v>0</v>
      </c>
      <c r="FD13" s="2591"/>
      <c r="FE13" s="2225">
        <v>0</v>
      </c>
      <c r="FF13" s="2591"/>
      <c r="FG13" s="74">
        <f>ROUND((DH13+DJ13+DD13+DN13+DT13)/1000,0)</f>
        <v>0</v>
      </c>
      <c r="FH13" s="2591"/>
      <c r="FI13" s="74">
        <f>DF13/1000</f>
        <v>0</v>
      </c>
      <c r="FJ13" s="2591"/>
      <c r="FK13" s="74">
        <f>((DL13/400)/12)</f>
        <v>0</v>
      </c>
      <c r="FL13" s="2591"/>
      <c r="FM13" s="74">
        <v>0</v>
      </c>
      <c r="FN13" s="2591"/>
      <c r="FO13" s="74">
        <v>0</v>
      </c>
      <c r="FP13" s="2643"/>
      <c r="FQ13" s="74">
        <f>DX13/1000</f>
        <v>8.3000000000000007</v>
      </c>
      <c r="FR13" s="2591"/>
      <c r="FS13" s="2605"/>
      <c r="FT13" s="2607"/>
      <c r="FU13" s="2603"/>
      <c r="FV13" s="2609"/>
      <c r="FW13" s="2609"/>
      <c r="FX13" s="2603"/>
      <c r="FY13" s="2603"/>
      <c r="FZ13" s="2603"/>
      <c r="GA13" s="2603"/>
      <c r="GB13" s="2603"/>
      <c r="GC13" s="2603"/>
      <c r="GD13" s="2603"/>
      <c r="GE13" s="2603"/>
      <c r="GF13" s="2603"/>
      <c r="GG13" s="2603"/>
      <c r="GH13" s="2603"/>
      <c r="GI13" s="2603"/>
      <c r="GJ13" s="2603"/>
      <c r="GK13" s="2603"/>
      <c r="GL13" s="2609"/>
      <c r="GM13" s="2609"/>
      <c r="GN13" s="2609"/>
      <c r="GO13" s="2644"/>
      <c r="GP13" s="89">
        <f>EP13-BR13</f>
        <v>6</v>
      </c>
      <c r="GQ13" s="2644"/>
      <c r="GR13" s="89">
        <f>EV13-BT13</f>
        <v>91.8</v>
      </c>
      <c r="GS13" s="2644"/>
      <c r="GT13" s="190">
        <f>EX13-BV13</f>
        <v>1</v>
      </c>
      <c r="GU13" s="113">
        <f>FA13-BX13</f>
        <v>11.25</v>
      </c>
      <c r="GV13" s="190">
        <f>FI13-CD13</f>
        <v>-8.3000000000000007</v>
      </c>
      <c r="GW13" s="190">
        <v>0</v>
      </c>
      <c r="GX13" s="190">
        <f>FG13-CB13</f>
        <v>-8.3000000000000007</v>
      </c>
      <c r="GY13" s="190">
        <f>FK13-CF13</f>
        <v>0</v>
      </c>
      <c r="GZ13" s="89">
        <f>FM13-CH13</f>
        <v>0</v>
      </c>
      <c r="HA13" s="190">
        <f>FO13-CJ13</f>
        <v>0</v>
      </c>
      <c r="HB13" s="190">
        <f>FQ13-CL13</f>
        <v>8.3000000000000007</v>
      </c>
      <c r="HC13" s="2617"/>
      <c r="HD13" s="139"/>
      <c r="HE13" s="139"/>
      <c r="HF13" s="81"/>
      <c r="HG13" s="81"/>
      <c r="HH13" s="81"/>
      <c r="HI13" s="81"/>
      <c r="HJ13" s="81"/>
      <c r="HK13" s="81"/>
    </row>
    <row r="14" spans="1:222" s="95" customFormat="1" ht="18.75">
      <c r="A14" s="2263"/>
      <c r="B14" s="131"/>
      <c r="C14" s="132"/>
      <c r="D14" s="132"/>
      <c r="E14" s="133"/>
      <c r="F14" s="134"/>
      <c r="G14" s="135"/>
      <c r="H14" s="136"/>
      <c r="I14" s="132"/>
      <c r="J14" s="132"/>
      <c r="K14" s="132"/>
      <c r="L14" s="132"/>
      <c r="M14" s="134"/>
      <c r="N14" s="134"/>
      <c r="O14" s="134"/>
      <c r="P14" s="134"/>
      <c r="Q14" s="137"/>
      <c r="S14" s="101"/>
      <c r="T14" s="97"/>
      <c r="U14" s="2244"/>
      <c r="V14" s="102"/>
      <c r="W14" s="2244"/>
      <c r="X14" s="97"/>
      <c r="Y14" s="2244"/>
      <c r="Z14" s="97"/>
      <c r="AA14" s="2244"/>
      <c r="AB14" s="97"/>
      <c r="AC14" s="2244"/>
      <c r="AD14" s="103"/>
      <c r="AE14" s="2251"/>
      <c r="AF14" s="103"/>
      <c r="AG14" s="103"/>
      <c r="AH14" s="103"/>
      <c r="AI14" s="103"/>
      <c r="AJ14" s="103"/>
      <c r="AK14" s="2251"/>
      <c r="AL14" s="103"/>
      <c r="AM14" s="2251"/>
      <c r="AN14" s="103"/>
      <c r="AO14" s="2224"/>
      <c r="AP14" s="103"/>
      <c r="AQ14" s="2251"/>
      <c r="AR14" s="103"/>
      <c r="AS14" s="103"/>
      <c r="AT14" s="103"/>
      <c r="AU14" s="103"/>
      <c r="AV14" s="103"/>
      <c r="AW14" s="103"/>
      <c r="AX14" s="103"/>
      <c r="AY14" s="103"/>
      <c r="AZ14" s="75">
        <f t="shared" si="0"/>
        <v>0</v>
      </c>
      <c r="BA14" s="2224"/>
      <c r="BB14" s="191"/>
      <c r="BC14" s="2224"/>
      <c r="BD14" s="191"/>
      <c r="BE14" s="2224"/>
      <c r="BF14" s="191"/>
      <c r="BG14" s="2224"/>
      <c r="BH14" s="191"/>
      <c r="BI14" s="2224"/>
      <c r="BJ14" s="191"/>
      <c r="BK14" s="2224"/>
      <c r="BL14" s="191"/>
      <c r="BM14" s="103"/>
      <c r="BN14" s="97"/>
      <c r="BO14" s="103"/>
      <c r="BP14" s="97"/>
      <c r="BQ14" s="103"/>
      <c r="BR14" s="97"/>
      <c r="BS14" s="103"/>
      <c r="BT14" s="185"/>
      <c r="BU14" s="103"/>
      <c r="BV14" s="138"/>
      <c r="BW14" s="103"/>
      <c r="BX14" s="97"/>
      <c r="BY14" s="103"/>
      <c r="BZ14" s="97"/>
      <c r="CA14" s="103"/>
      <c r="CB14" s="97"/>
      <c r="CC14" s="103"/>
      <c r="CD14" s="97"/>
      <c r="CE14" s="103"/>
      <c r="CF14" s="97"/>
      <c r="CG14" s="103"/>
      <c r="CH14" s="105"/>
      <c r="CI14" s="103"/>
      <c r="CJ14" s="97"/>
      <c r="CK14" s="103"/>
      <c r="CL14" s="97"/>
      <c r="CM14" s="103"/>
      <c r="CN14" s="73">
        <f t="shared" si="1"/>
        <v>0</v>
      </c>
      <c r="CO14" s="102"/>
      <c r="CP14" s="106"/>
      <c r="CQ14" s="139"/>
      <c r="CR14" s="139"/>
      <c r="CS14" s="139"/>
      <c r="CT14" s="139"/>
      <c r="CU14" s="108"/>
      <c r="CV14" s="109"/>
      <c r="CW14" s="97"/>
      <c r="CX14" s="2244"/>
      <c r="CY14" s="2261"/>
      <c r="CZ14" s="97"/>
      <c r="DA14" s="2253"/>
      <c r="DB14" s="97"/>
      <c r="DC14" s="2244"/>
      <c r="DD14" s="97"/>
      <c r="DE14" s="2244"/>
      <c r="DF14" s="97"/>
      <c r="DG14" s="2244"/>
      <c r="DH14" s="97"/>
      <c r="DI14" s="2244"/>
      <c r="DJ14" s="97"/>
      <c r="DK14" s="2244"/>
      <c r="DL14" s="97"/>
      <c r="DM14" s="2244"/>
      <c r="DN14" s="97"/>
      <c r="DO14" s="2244"/>
      <c r="DP14" s="97"/>
      <c r="DQ14" s="2244"/>
      <c r="DR14" s="97"/>
      <c r="DS14" s="2244"/>
      <c r="DT14" s="97"/>
      <c r="DU14" s="2244"/>
      <c r="DV14" s="97"/>
      <c r="DW14" s="2244"/>
      <c r="DX14" s="75"/>
      <c r="DY14" s="2244"/>
      <c r="DZ14" s="103"/>
      <c r="EA14" s="2244"/>
      <c r="EB14" s="103"/>
      <c r="EC14" s="2244"/>
      <c r="ED14" s="103"/>
      <c r="EE14" s="2244"/>
      <c r="EF14" s="103"/>
      <c r="EG14" s="2244"/>
      <c r="EH14" s="103"/>
      <c r="EI14" s="2244"/>
      <c r="EJ14" s="103"/>
      <c r="EK14" s="2251"/>
      <c r="EL14" s="97"/>
      <c r="EM14" s="2246"/>
      <c r="EN14" s="102"/>
      <c r="EO14" s="2246"/>
      <c r="EP14" s="102"/>
      <c r="EQ14" s="192"/>
      <c r="ER14" s="122"/>
      <c r="ES14" s="192"/>
      <c r="ET14" s="74"/>
      <c r="EU14" s="2244"/>
      <c r="EV14" s="122"/>
      <c r="EW14" s="2244"/>
      <c r="EX14" s="88"/>
      <c r="EY14" s="2244"/>
      <c r="EZ14" s="193"/>
      <c r="FA14" s="194"/>
      <c r="FB14" s="2244"/>
      <c r="FC14" s="2224"/>
      <c r="FD14" s="2244"/>
      <c r="FE14" s="2224"/>
      <c r="FF14" s="2244"/>
      <c r="FG14" s="102"/>
      <c r="FH14" s="2244"/>
      <c r="FI14" s="102"/>
      <c r="FJ14" s="2244"/>
      <c r="FK14" s="102"/>
      <c r="FL14" s="2244"/>
      <c r="FM14" s="102"/>
      <c r="FN14" s="2244"/>
      <c r="FO14" s="102"/>
      <c r="FP14" s="192"/>
      <c r="FQ14" s="102"/>
      <c r="FR14" s="2244"/>
      <c r="FS14" s="2244"/>
      <c r="FT14" s="2240"/>
      <c r="FU14" s="2233"/>
      <c r="FV14" s="2235"/>
      <c r="FW14" s="2235"/>
      <c r="FX14" s="2233"/>
      <c r="FY14" s="2233"/>
      <c r="FZ14" s="2233"/>
      <c r="GA14" s="2232"/>
      <c r="GB14" s="2233"/>
      <c r="GC14" s="2233"/>
      <c r="GD14" s="2233"/>
      <c r="GE14" s="2232"/>
      <c r="GF14" s="2233"/>
      <c r="GG14" s="2232"/>
      <c r="GH14" s="2232"/>
      <c r="GI14" s="2232"/>
      <c r="GJ14" s="2232"/>
      <c r="GK14" s="2232"/>
      <c r="GL14" s="2235"/>
      <c r="GM14" s="2235"/>
      <c r="GN14" s="2235"/>
      <c r="GO14" s="194"/>
      <c r="GP14" s="112"/>
      <c r="GQ14" s="194"/>
      <c r="GR14" s="112"/>
      <c r="GS14" s="194"/>
      <c r="GT14" s="195"/>
      <c r="GU14" s="114"/>
      <c r="GV14" s="195"/>
      <c r="GW14" s="195"/>
      <c r="GX14" s="195"/>
      <c r="GY14" s="195"/>
      <c r="GZ14" s="112"/>
      <c r="HA14" s="195"/>
      <c r="HB14" s="195"/>
      <c r="HC14" s="2230"/>
      <c r="HD14" s="139"/>
      <c r="HE14" s="139"/>
      <c r="HF14" s="139"/>
      <c r="HG14" s="139"/>
      <c r="HH14" s="139"/>
      <c r="HI14" s="139"/>
      <c r="HJ14" s="139"/>
      <c r="HK14" s="139"/>
    </row>
    <row r="15" spans="1:222" s="90" customFormat="1" ht="15" customHeight="1">
      <c r="A15" s="2588">
        <v>5</v>
      </c>
      <c r="B15" s="3687" t="s">
        <v>703</v>
      </c>
      <c r="C15" s="115">
        <v>3195</v>
      </c>
      <c r="D15" s="115">
        <v>66</v>
      </c>
      <c r="E15" s="116">
        <v>2031950066</v>
      </c>
      <c r="F15" s="117">
        <v>5000</v>
      </c>
      <c r="G15" s="118" t="s">
        <v>704</v>
      </c>
      <c r="H15" s="119"/>
      <c r="I15" s="115">
        <v>1</v>
      </c>
      <c r="J15" s="115">
        <v>0</v>
      </c>
      <c r="K15" s="115">
        <v>2</v>
      </c>
      <c r="L15" s="115">
        <v>6.5</v>
      </c>
      <c r="M15" s="117">
        <v>5000</v>
      </c>
      <c r="N15" s="117">
        <f>M15</f>
        <v>5000</v>
      </c>
      <c r="O15" s="117">
        <v>0</v>
      </c>
      <c r="P15" s="117">
        <v>5000</v>
      </c>
      <c r="Q15" s="120">
        <v>0</v>
      </c>
      <c r="R15" s="90" t="s">
        <v>711</v>
      </c>
      <c r="S15" s="2590">
        <f>SUM(T15:T16)</f>
        <v>0</v>
      </c>
      <c r="T15" s="121">
        <v>0</v>
      </c>
      <c r="U15" s="2590">
        <f>SUM(V15:V16)</f>
        <v>25000</v>
      </c>
      <c r="V15" s="122">
        <f>M15</f>
        <v>5000</v>
      </c>
      <c r="W15" s="2590">
        <f>SUM(X15:X16)</f>
        <v>25000</v>
      </c>
      <c r="X15" s="121">
        <f>V15-Z15</f>
        <v>5000</v>
      </c>
      <c r="Y15" s="2590">
        <f>SUM(Z15:Z16)</f>
        <v>0</v>
      </c>
      <c r="Z15" s="121">
        <v>0</v>
      </c>
      <c r="AA15" s="2590">
        <f>SUM(AB15:AB16)</f>
        <v>0</v>
      </c>
      <c r="AB15" s="121">
        <v>0</v>
      </c>
      <c r="AC15" s="2590">
        <f>SUM(AD15:AD16)</f>
        <v>0</v>
      </c>
      <c r="AD15" s="123">
        <f>V15-(Z15+AB15+AF15+AL15+AN15+AP15+AZ15+AR15+AT15+AV15+AX15)</f>
        <v>0</v>
      </c>
      <c r="AE15" s="2580">
        <f>SUM(AF15:AF16)</f>
        <v>5000</v>
      </c>
      <c r="AF15" s="123">
        <f>X15</f>
        <v>5000</v>
      </c>
      <c r="AG15" s="123">
        <v>0</v>
      </c>
      <c r="AH15" s="2580">
        <f>SUM(AG15:AG16)</f>
        <v>0</v>
      </c>
      <c r="AI15" s="123">
        <f>AF15</f>
        <v>5000</v>
      </c>
      <c r="AJ15" s="2580">
        <f>SUM(AI15:AI16)</f>
        <v>5000</v>
      </c>
      <c r="AK15" s="2580">
        <f>SUM(AL15:AL16)</f>
        <v>0</v>
      </c>
      <c r="AL15" s="123">
        <v>0</v>
      </c>
      <c r="AM15" s="2580">
        <f>SUM(AN15:AN16)</f>
        <v>0</v>
      </c>
      <c r="AN15" s="123">
        <v>0</v>
      </c>
      <c r="AO15" s="2582">
        <f>SUM(AP15:AP16)</f>
        <v>0</v>
      </c>
      <c r="AP15" s="123">
        <v>0</v>
      </c>
      <c r="AQ15" s="2580">
        <f>SUM(AR15:AR16)</f>
        <v>20000</v>
      </c>
      <c r="AR15" s="123">
        <v>0</v>
      </c>
      <c r="AS15" s="2580">
        <f>SUM(AT15:AT16)</f>
        <v>0</v>
      </c>
      <c r="AT15" s="123">
        <v>0</v>
      </c>
      <c r="AU15" s="2580">
        <f>SUM(AV15:AV16)</f>
        <v>0</v>
      </c>
      <c r="AV15" s="123">
        <v>0</v>
      </c>
      <c r="AW15" s="2580">
        <f>SUM(AX15:AX16)</f>
        <v>0</v>
      </c>
      <c r="AX15" s="123">
        <v>0</v>
      </c>
      <c r="AY15" s="2580">
        <f>SUM(AZ15:AZ16)</f>
        <v>0</v>
      </c>
      <c r="AZ15" s="103">
        <f t="shared" si="0"/>
        <v>0</v>
      </c>
      <c r="BA15" s="2582">
        <f>SUM(BB15:BB16)</f>
        <v>0</v>
      </c>
      <c r="BB15" s="184">
        <v>0</v>
      </c>
      <c r="BC15" s="2582">
        <f>SUM(BD15:BD16)</f>
        <v>0</v>
      </c>
      <c r="BD15" s="184">
        <v>0</v>
      </c>
      <c r="BE15" s="2582">
        <f>SUM(BF15:BF16)</f>
        <v>0</v>
      </c>
      <c r="BF15" s="184">
        <v>0</v>
      </c>
      <c r="BG15" s="2582">
        <f>SUM(BH15:BH16)</f>
        <v>0</v>
      </c>
      <c r="BH15" s="184">
        <v>0</v>
      </c>
      <c r="BI15" s="2582">
        <f>SUM(BJ15:BJ16)</f>
        <v>0</v>
      </c>
      <c r="BJ15" s="184">
        <v>0</v>
      </c>
      <c r="BK15" s="2582">
        <f>SUM(BL15:BL16)</f>
        <v>0</v>
      </c>
      <c r="BL15" s="184">
        <v>0</v>
      </c>
      <c r="BM15" s="2580">
        <f>SUM(BN15:BN16)</f>
        <v>25000</v>
      </c>
      <c r="BN15" s="121">
        <f>ROUND(T15+V15,0)</f>
        <v>5000</v>
      </c>
      <c r="BO15" s="2580">
        <f>SUM(BP15:BP16)</f>
        <v>0</v>
      </c>
      <c r="BP15" s="121">
        <f>ROUND(T15/EP$141,0)</f>
        <v>0</v>
      </c>
      <c r="BQ15" s="2580">
        <f>SUM(BR15:BR16)</f>
        <v>0</v>
      </c>
      <c r="BR15" s="121">
        <f>BR$142*BP15</f>
        <v>0</v>
      </c>
      <c r="BS15" s="2580">
        <f>SUM(BT15:BT16)</f>
        <v>0</v>
      </c>
      <c r="BT15" s="185">
        <f t="shared" si="3"/>
        <v>0</v>
      </c>
      <c r="BU15" s="2580">
        <f>SUM(BV15:BV16)</f>
        <v>6</v>
      </c>
      <c r="BV15" s="125">
        <f>ROUND((AD15+AB15+Z15)/1000*3,0)+ROUND((AF15+AX15)/1000,0)+ROUND((ROUND(AL15/400,0))/2.67,0)+ROUND(AN15/250,0)+ROUND(AR15/15000,0)+ROUND((BB15+BD15+BF15+BJ15)/1000*3,0)+ROUND(BP15/25,0)+ROUND(CN15/50,0)</f>
        <v>5</v>
      </c>
      <c r="BW15" s="2580">
        <f>SUM(BX15:BX16)</f>
        <v>0</v>
      </c>
      <c r="BX15" s="121">
        <v>0</v>
      </c>
      <c r="BY15" s="2580">
        <f>SUM(BZ15:BZ16)</f>
        <v>0</v>
      </c>
      <c r="BZ15" s="121">
        <v>0</v>
      </c>
      <c r="CA15" s="2580">
        <f>SUM(CB15:CB16)</f>
        <v>25</v>
      </c>
      <c r="CB15" s="121">
        <f>V15/1000</f>
        <v>5</v>
      </c>
      <c r="CC15" s="2580">
        <f>SUM(CD15:CD16)</f>
        <v>0</v>
      </c>
      <c r="CD15" s="121">
        <f>AB15/1000</f>
        <v>0</v>
      </c>
      <c r="CE15" s="2580">
        <f>SUM(CF15:CF16)</f>
        <v>0</v>
      </c>
      <c r="CF15" s="121">
        <f>((AL15/400)/12)</f>
        <v>0</v>
      </c>
      <c r="CG15" s="2580">
        <f>SUM(CH15:CH16)</f>
        <v>0</v>
      </c>
      <c r="CH15" s="126">
        <f>IFERROR(VLOOKUP(E15,#REF!,3,FALSE),0)</f>
        <v>0</v>
      </c>
      <c r="CI15" s="2580">
        <f>SUM(CJ15:CJ16)</f>
        <v>0</v>
      </c>
      <c r="CJ15" s="121" t="b">
        <f>IF(G15="M1-2",F15/1000)</f>
        <v>0</v>
      </c>
      <c r="CK15" s="2580">
        <f>SUM(CL15:CL16)</f>
        <v>0</v>
      </c>
      <c r="CL15" s="121">
        <f>IF(BJ15&gt;0,"Calculate",0)</f>
        <v>0</v>
      </c>
      <c r="CM15" s="2580">
        <f>SUM(CN15:CN16)</f>
        <v>25</v>
      </c>
      <c r="CN15" s="97">
        <f t="shared" si="1"/>
        <v>5</v>
      </c>
      <c r="CO15" s="121"/>
      <c r="CP15" s="2265">
        <v>10</v>
      </c>
      <c r="CQ15" s="127" t="s">
        <v>705</v>
      </c>
      <c r="CR15" s="127">
        <v>4.5999999999999996</v>
      </c>
      <c r="CS15" s="127">
        <v>2</v>
      </c>
      <c r="CT15" s="127">
        <v>4.5999999999999996</v>
      </c>
      <c r="CU15" s="128" t="s">
        <v>706</v>
      </c>
      <c r="CV15" s="2596" t="s">
        <v>716</v>
      </c>
      <c r="CW15" s="121">
        <f>(CR15*F15)-CZ15</f>
        <v>18750</v>
      </c>
      <c r="CX15" s="2590">
        <f>SUM(CW15:CW16)</f>
        <v>56250</v>
      </c>
      <c r="CY15" s="2598">
        <f>SUM(CZ15:CZ16)</f>
        <v>12750</v>
      </c>
      <c r="CZ15" s="121">
        <f>1*(F15)-(0.15*1*(F15))</f>
        <v>4250</v>
      </c>
      <c r="DA15" s="2592">
        <f>SUM(DB15:DB16)</f>
        <v>12750</v>
      </c>
      <c r="DB15" s="121">
        <f>CZ15-DD15</f>
        <v>4250</v>
      </c>
      <c r="DC15" s="2590">
        <f>SUM(DD15:DD16)</f>
        <v>0</v>
      </c>
      <c r="DD15" s="121">
        <v>0</v>
      </c>
      <c r="DE15" s="2590">
        <f>SUM(DF15:DF16)</f>
        <v>0</v>
      </c>
      <c r="DF15" s="121">
        <v>0</v>
      </c>
      <c r="DG15" s="2590">
        <f>SUM(DH15:DH16)</f>
        <v>12750</v>
      </c>
      <c r="DH15" s="121">
        <f>CZ15-(DD15+DF15+DJ15+DL15+DN15+DT15+DV15+DX15)</f>
        <v>4250</v>
      </c>
      <c r="DI15" s="2590">
        <f>SUM(DJ15:DJ16)</f>
        <v>0</v>
      </c>
      <c r="DJ15" s="121">
        <v>0</v>
      </c>
      <c r="DK15" s="2590">
        <f>SUM(DL15:DL16)</f>
        <v>0</v>
      </c>
      <c r="DL15" s="121">
        <v>0</v>
      </c>
      <c r="DM15" s="2590">
        <f>SUM(DN15:DN16)</f>
        <v>0</v>
      </c>
      <c r="DN15" s="121">
        <v>0</v>
      </c>
      <c r="DO15" s="2590">
        <f>SUM(DP15:DP16)</f>
        <v>0</v>
      </c>
      <c r="DP15" s="121">
        <v>0</v>
      </c>
      <c r="DQ15" s="2590">
        <f>SUM(DR15:DR16)</f>
        <v>0</v>
      </c>
      <c r="DR15" s="121">
        <v>0</v>
      </c>
      <c r="DS15" s="2590">
        <f>SUM(DT15:DT16)</f>
        <v>0</v>
      </c>
      <c r="DT15" s="121">
        <v>0</v>
      </c>
      <c r="DU15" s="2590">
        <f>SUM(DV15:DV16)</f>
        <v>0</v>
      </c>
      <c r="DV15" s="121">
        <v>0</v>
      </c>
      <c r="DW15" s="2590">
        <f>SUM(DX15:DX16)</f>
        <v>0</v>
      </c>
      <c r="DX15" s="103">
        <f t="shared" si="2"/>
        <v>0</v>
      </c>
      <c r="DY15" s="2590">
        <f>SUM(DZ15:DZ16)</f>
        <v>0</v>
      </c>
      <c r="DZ15" s="123">
        <v>0</v>
      </c>
      <c r="EA15" s="2590">
        <f>SUM(EB15:EB16)</f>
        <v>0</v>
      </c>
      <c r="EB15" s="123">
        <v>0</v>
      </c>
      <c r="EC15" s="2590">
        <f>SUM(ED15:ED16)</f>
        <v>0</v>
      </c>
      <c r="ED15" s="123">
        <v>0</v>
      </c>
      <c r="EE15" s="2590">
        <f>SUM(EF15:EF16)</f>
        <v>0</v>
      </c>
      <c r="EF15" s="123">
        <v>0</v>
      </c>
      <c r="EG15" s="2590">
        <f>SUM(EH15:EH16)</f>
        <v>0</v>
      </c>
      <c r="EH15" s="123">
        <v>0</v>
      </c>
      <c r="EI15" s="2590">
        <f>SUM(EJ15:EJ16)</f>
        <v>0</v>
      </c>
      <c r="EJ15" s="123">
        <v>0</v>
      </c>
      <c r="EK15" s="2580">
        <f>SUM(EL15:EL16)</f>
        <v>69000</v>
      </c>
      <c r="EL15" s="121">
        <f>CW15+CZ15</f>
        <v>23000</v>
      </c>
      <c r="EM15" s="2600">
        <f>SUM(EN15:EN16)</f>
        <v>57</v>
      </c>
      <c r="EN15" s="122">
        <f>ROUND(CW15/EP$141,0)</f>
        <v>19</v>
      </c>
      <c r="EO15" s="2600">
        <f>SUM(EP15:EP16)</f>
        <v>11.4</v>
      </c>
      <c r="EP15" s="122">
        <f>0.2*EN15</f>
        <v>3.8000000000000003</v>
      </c>
      <c r="EQ15" s="2600">
        <f>SUM(ER15:ER16)</f>
        <v>14.25</v>
      </c>
      <c r="ER15" s="122">
        <f>0.25*EN15</f>
        <v>4.75</v>
      </c>
      <c r="ES15" s="2600">
        <f>SUM(ET15:ET16)</f>
        <v>34.375</v>
      </c>
      <c r="ET15" s="102">
        <f>FA15+FG15+FQ15</f>
        <v>11.125</v>
      </c>
      <c r="EU15" s="2590">
        <f>SUM(EV15:EV16)</f>
        <v>174.42000000000002</v>
      </c>
      <c r="EV15" s="122">
        <f>3.06*EN15</f>
        <v>58.14</v>
      </c>
      <c r="EW15" s="2590">
        <f>SUM(EX15:EX16)</f>
        <v>42</v>
      </c>
      <c r="EX15" s="186">
        <f>ROUND((DH15+DF15+DD15)/1000*3,0)+ROUND((ROUND(DL15/400,0))/2.67,0)+ROUND(DV15/1000,0)+ROUND((DZ15+EB15+ED15+EH15)/1000*3,0)+ROUND(EN15/25,0)+ROUND(ET15/50,0)</f>
        <v>14</v>
      </c>
      <c r="EY15" s="2590">
        <f>SUM(EZ15:EZ16)</f>
        <v>21.375</v>
      </c>
      <c r="EZ15" s="2610">
        <f>SUM(FA15:FA16)</f>
        <v>21.375</v>
      </c>
      <c r="FA15" s="2223">
        <f>(0.75*EN15)*0.5</f>
        <v>7.125</v>
      </c>
      <c r="FB15" s="2590">
        <f>SUM(FC15:FC16)</f>
        <v>0</v>
      </c>
      <c r="FC15" s="2223">
        <v>0</v>
      </c>
      <c r="FD15" s="2590">
        <f>SUM(FE15:FE16)</f>
        <v>0</v>
      </c>
      <c r="FE15" s="2223">
        <v>0</v>
      </c>
      <c r="FF15" s="2590">
        <f>SUM(FG15:FG16)</f>
        <v>13</v>
      </c>
      <c r="FG15" s="122">
        <f>ROUND((DH15+DJ15+DD15+DN15+DT15)/1000,0)</f>
        <v>4</v>
      </c>
      <c r="FH15" s="2590">
        <f>SUM(FI15:FI16)</f>
        <v>0</v>
      </c>
      <c r="FI15" s="122">
        <f>DF15/1000</f>
        <v>0</v>
      </c>
      <c r="FJ15" s="2590">
        <f>SUM(FK15:FK16)</f>
        <v>0</v>
      </c>
      <c r="FK15" s="122">
        <f>((DL15/400)/12)</f>
        <v>0</v>
      </c>
      <c r="FL15" s="2590">
        <f>SUM(FM15:FM16)</f>
        <v>0</v>
      </c>
      <c r="FM15" s="122">
        <v>0</v>
      </c>
      <c r="FN15" s="2590">
        <f>SUM(FO15:FO16)</f>
        <v>0</v>
      </c>
      <c r="FO15" s="122">
        <v>0</v>
      </c>
      <c r="FP15" s="2600">
        <f>SUM(FQ15:FQ16)</f>
        <v>0</v>
      </c>
      <c r="FQ15" s="122">
        <f>DX15/1000</f>
        <v>0</v>
      </c>
      <c r="FR15" s="2590">
        <f>SUM(FS15:FS16)</f>
        <v>115</v>
      </c>
      <c r="FS15" s="2604">
        <v>115</v>
      </c>
      <c r="FT15" s="2606">
        <f>CX15-S15</f>
        <v>56250</v>
      </c>
      <c r="FU15" s="2602">
        <f>CY15-U15</f>
        <v>-12250</v>
      </c>
      <c r="FV15" s="2608">
        <f>(DC15+DE15+DG15)-(Y15+AA15+AC15+AE15)</f>
        <v>7750</v>
      </c>
      <c r="FW15" s="2608">
        <f>DG15-AC15</f>
        <v>12750</v>
      </c>
      <c r="FX15" s="2602">
        <f>DE15-AA15</f>
        <v>0</v>
      </c>
      <c r="FY15" s="2602">
        <f>DC15-Y15</f>
        <v>0</v>
      </c>
      <c r="FZ15" s="2602">
        <f>DJ15-AE15</f>
        <v>-5000</v>
      </c>
      <c r="GA15" s="2602">
        <f>DL15-AL15</f>
        <v>0</v>
      </c>
      <c r="GB15" s="2602">
        <f>DM15-AM15</f>
        <v>0</v>
      </c>
      <c r="GC15" s="2602">
        <f>DP15-AQ15</f>
        <v>-20000</v>
      </c>
      <c r="GD15" s="2602">
        <f>DR15-AS15</f>
        <v>0</v>
      </c>
      <c r="GE15" s="2602">
        <f>DT15-AV15</f>
        <v>0</v>
      </c>
      <c r="GF15" s="2602">
        <f>DV15-AW15</f>
        <v>0</v>
      </c>
      <c r="GG15" s="2602">
        <f>DZ15-BB15</f>
        <v>0</v>
      </c>
      <c r="GH15" s="2602">
        <f>EB15-BD15</f>
        <v>0</v>
      </c>
      <c r="GI15" s="2602">
        <f>ED15-BF15</f>
        <v>0</v>
      </c>
      <c r="GJ15" s="2602">
        <f>EF15-BH15</f>
        <v>0</v>
      </c>
      <c r="GK15" s="2602">
        <f>EH15-BJ15</f>
        <v>0</v>
      </c>
      <c r="GL15" s="2608">
        <f>DW15-AY15</f>
        <v>0</v>
      </c>
      <c r="GM15" s="2608">
        <f>EK15-BM15</f>
        <v>44000</v>
      </c>
      <c r="GN15" s="2608">
        <f>EM15-BO15</f>
        <v>57</v>
      </c>
      <c r="GO15" s="2582">
        <f>SUM(GP15:GP16)</f>
        <v>11.4</v>
      </c>
      <c r="GP15" s="114">
        <f>EP15-BR15</f>
        <v>3.8000000000000003</v>
      </c>
      <c r="GQ15" s="2582">
        <f>SUM(GR15:GR16)</f>
        <v>174.42000000000002</v>
      </c>
      <c r="GR15" s="114">
        <f>EV15-BT15</f>
        <v>58.14</v>
      </c>
      <c r="GS15" s="2582">
        <f>SUM(GT15:GT16)</f>
        <v>36</v>
      </c>
      <c r="GT15" s="114">
        <f>EX15-BV15</f>
        <v>9</v>
      </c>
      <c r="GU15" s="114">
        <f>FA15-BX15</f>
        <v>7.125</v>
      </c>
      <c r="GV15" s="114">
        <f>FI15-CD15</f>
        <v>0</v>
      </c>
      <c r="GW15" s="114">
        <v>0</v>
      </c>
      <c r="GX15" s="114">
        <f>FG15-CB15</f>
        <v>-1</v>
      </c>
      <c r="GY15" s="114">
        <f>FK15-CF15</f>
        <v>0</v>
      </c>
      <c r="GZ15" s="114">
        <f>FM15-CH15</f>
        <v>0</v>
      </c>
      <c r="HA15" s="114">
        <f>FO15-CJ15</f>
        <v>0</v>
      </c>
      <c r="HB15" s="114">
        <f>FQ15-CL15</f>
        <v>0</v>
      </c>
      <c r="HC15" s="2616">
        <f>ES15-CM15</f>
        <v>9.375</v>
      </c>
      <c r="HD15" s="95"/>
      <c r="HE15" s="95"/>
    </row>
    <row r="16" spans="1:222" s="72" customFormat="1" ht="15" customHeight="1">
      <c r="A16" s="2589"/>
      <c r="B16" s="130" t="s">
        <v>710</v>
      </c>
      <c r="C16" s="66">
        <v>3195</v>
      </c>
      <c r="D16" s="66">
        <v>69</v>
      </c>
      <c r="E16" s="67">
        <v>2031950069</v>
      </c>
      <c r="F16" s="68">
        <v>10000</v>
      </c>
      <c r="G16" s="69" t="s">
        <v>704</v>
      </c>
      <c r="H16" s="70"/>
      <c r="I16" s="66">
        <v>2</v>
      </c>
      <c r="J16" s="66">
        <v>0</v>
      </c>
      <c r="K16" s="66">
        <v>2</v>
      </c>
      <c r="L16" s="66">
        <v>6.5</v>
      </c>
      <c r="M16" s="68">
        <v>20000</v>
      </c>
      <c r="N16" s="68">
        <v>0</v>
      </c>
      <c r="O16" s="68">
        <v>0</v>
      </c>
      <c r="P16" s="68">
        <v>20000</v>
      </c>
      <c r="Q16" s="71">
        <v>0</v>
      </c>
      <c r="R16" s="72" t="s">
        <v>717</v>
      </c>
      <c r="S16" s="2591"/>
      <c r="T16" s="73">
        <v>0</v>
      </c>
      <c r="U16" s="2591"/>
      <c r="V16" s="74">
        <f>M16</f>
        <v>20000</v>
      </c>
      <c r="W16" s="2591"/>
      <c r="X16" s="73">
        <f>V16-Z16</f>
        <v>20000</v>
      </c>
      <c r="Y16" s="2591"/>
      <c r="Z16" s="73">
        <v>0</v>
      </c>
      <c r="AA16" s="2591"/>
      <c r="AB16" s="73">
        <v>0</v>
      </c>
      <c r="AC16" s="2591"/>
      <c r="AD16" s="75">
        <f>V16-(Z16+AB16+AF16+AL16+AN16+AP16+AZ16+AR16+AT16+AV16+AX16)</f>
        <v>0</v>
      </c>
      <c r="AE16" s="2581"/>
      <c r="AF16" s="75">
        <v>0</v>
      </c>
      <c r="AG16" s="75">
        <v>0</v>
      </c>
      <c r="AH16" s="2581"/>
      <c r="AI16" s="75">
        <v>0</v>
      </c>
      <c r="AJ16" s="2581"/>
      <c r="AK16" s="2581"/>
      <c r="AL16" s="75">
        <v>0</v>
      </c>
      <c r="AM16" s="2581"/>
      <c r="AN16" s="75">
        <v>0</v>
      </c>
      <c r="AO16" s="2583"/>
      <c r="AP16" s="75">
        <v>0</v>
      </c>
      <c r="AQ16" s="2581"/>
      <c r="AR16" s="75">
        <v>20000</v>
      </c>
      <c r="AS16" s="2581"/>
      <c r="AT16" s="75">
        <v>0</v>
      </c>
      <c r="AU16" s="2581"/>
      <c r="AV16" s="75">
        <v>0</v>
      </c>
      <c r="AW16" s="2581"/>
      <c r="AX16" s="75">
        <v>0</v>
      </c>
      <c r="AY16" s="2581"/>
      <c r="AZ16" s="75">
        <f t="shared" si="0"/>
        <v>0</v>
      </c>
      <c r="BA16" s="2583"/>
      <c r="BB16" s="188">
        <v>0</v>
      </c>
      <c r="BC16" s="2583"/>
      <c r="BD16" s="188">
        <v>0</v>
      </c>
      <c r="BE16" s="2583"/>
      <c r="BF16" s="188">
        <v>0</v>
      </c>
      <c r="BG16" s="2583"/>
      <c r="BH16" s="188">
        <v>0</v>
      </c>
      <c r="BI16" s="2583"/>
      <c r="BJ16" s="188">
        <v>0</v>
      </c>
      <c r="BK16" s="2583"/>
      <c r="BL16" s="188">
        <v>0</v>
      </c>
      <c r="BM16" s="2581"/>
      <c r="BN16" s="73">
        <f>ROUND(T16+V16,0)</f>
        <v>20000</v>
      </c>
      <c r="BO16" s="2581"/>
      <c r="BP16" s="73">
        <f>ROUND(T16/EP$141,0)</f>
        <v>0</v>
      </c>
      <c r="BQ16" s="2581"/>
      <c r="BR16" s="73">
        <f>BR$142*BP16</f>
        <v>0</v>
      </c>
      <c r="BS16" s="2581"/>
      <c r="BT16" s="196">
        <f t="shared" si="3"/>
        <v>0</v>
      </c>
      <c r="BU16" s="2581"/>
      <c r="BV16" s="78">
        <f>ROUND((AD16+AB16+Z16)/1000*3,0)+ROUND((AF16+AX16)/1000,0)+ROUND((ROUND(AL16/400,0))/2.67,0)+ROUND(AN16/250,0)+ROUND(AR16/15000,0)+ROUND((BB16+BD16+BF16+BJ16)/1000*3,0)+ROUND(BP16/25,0)+ROUND(CN16/50,0)</f>
        <v>1</v>
      </c>
      <c r="BW16" s="2581"/>
      <c r="BX16" s="73">
        <v>0</v>
      </c>
      <c r="BY16" s="2581"/>
      <c r="BZ16" s="73">
        <v>0</v>
      </c>
      <c r="CA16" s="2581"/>
      <c r="CB16" s="73">
        <f>V16/1000</f>
        <v>20</v>
      </c>
      <c r="CC16" s="2581"/>
      <c r="CD16" s="73">
        <f>AB16/1000</f>
        <v>0</v>
      </c>
      <c r="CE16" s="2581"/>
      <c r="CF16" s="73">
        <f>((AL16/400)/12)</f>
        <v>0</v>
      </c>
      <c r="CG16" s="2581"/>
      <c r="CH16" s="79">
        <f>IFERROR(VLOOKUP(E16,#REF!,3,FALSE),0)</f>
        <v>0</v>
      </c>
      <c r="CI16" s="2581"/>
      <c r="CJ16" s="73" t="b">
        <f>IF(G16="M1-2",F16/1000)</f>
        <v>0</v>
      </c>
      <c r="CK16" s="2581"/>
      <c r="CL16" s="73">
        <f>IF(BJ16&gt;0,"Calculate",0)</f>
        <v>0</v>
      </c>
      <c r="CM16" s="2581"/>
      <c r="CN16" s="73">
        <f t="shared" si="1"/>
        <v>20</v>
      </c>
      <c r="CO16" s="73"/>
      <c r="CP16" s="2266">
        <v>20</v>
      </c>
      <c r="CQ16" s="81" t="s">
        <v>705</v>
      </c>
      <c r="CR16" s="81">
        <v>4.5999999999999996</v>
      </c>
      <c r="CS16" s="81">
        <v>2</v>
      </c>
      <c r="CT16" s="81">
        <v>4.5999999999999996</v>
      </c>
      <c r="CU16" s="82" t="s">
        <v>706</v>
      </c>
      <c r="CV16" s="2597"/>
      <c r="CW16" s="73">
        <f>(CR16*F16)-CZ16</f>
        <v>37500</v>
      </c>
      <c r="CX16" s="2591"/>
      <c r="CY16" s="2599"/>
      <c r="CZ16" s="73">
        <f>1*(F16)-(0.15*1*(F16))</f>
        <v>8500</v>
      </c>
      <c r="DA16" s="2593"/>
      <c r="DB16" s="73">
        <f>CZ16-DD16</f>
        <v>8500</v>
      </c>
      <c r="DC16" s="2591"/>
      <c r="DD16" s="73">
        <v>0</v>
      </c>
      <c r="DE16" s="2591"/>
      <c r="DF16" s="73">
        <v>0</v>
      </c>
      <c r="DG16" s="2591"/>
      <c r="DH16" s="73">
        <f>CZ16-(DD16+DF16+DJ16+DL16+DN16+DT16+DV16+DX16)</f>
        <v>8500</v>
      </c>
      <c r="DI16" s="2591"/>
      <c r="DJ16" s="73">
        <v>0</v>
      </c>
      <c r="DK16" s="2591"/>
      <c r="DL16" s="73">
        <v>0</v>
      </c>
      <c r="DM16" s="2591"/>
      <c r="DN16" s="73">
        <v>0</v>
      </c>
      <c r="DO16" s="2591"/>
      <c r="DP16" s="73">
        <v>0</v>
      </c>
      <c r="DQ16" s="2591"/>
      <c r="DR16" s="73">
        <v>0</v>
      </c>
      <c r="DS16" s="2591"/>
      <c r="DT16" s="73">
        <v>0</v>
      </c>
      <c r="DU16" s="2591"/>
      <c r="DV16" s="73">
        <v>0</v>
      </c>
      <c r="DW16" s="2591"/>
      <c r="DX16" s="75">
        <f t="shared" si="2"/>
        <v>0</v>
      </c>
      <c r="DY16" s="2591"/>
      <c r="DZ16" s="75">
        <v>0</v>
      </c>
      <c r="EA16" s="2591"/>
      <c r="EB16" s="75">
        <v>0</v>
      </c>
      <c r="EC16" s="2591"/>
      <c r="ED16" s="75">
        <v>0</v>
      </c>
      <c r="EE16" s="2591"/>
      <c r="EF16" s="75">
        <v>0</v>
      </c>
      <c r="EG16" s="2591"/>
      <c r="EH16" s="75">
        <v>0</v>
      </c>
      <c r="EI16" s="2591"/>
      <c r="EJ16" s="75">
        <v>0</v>
      </c>
      <c r="EK16" s="2581"/>
      <c r="EL16" s="73">
        <f>CW16+CZ16</f>
        <v>46000</v>
      </c>
      <c r="EM16" s="2601"/>
      <c r="EN16" s="74">
        <f>ROUND(CW16/EP$141,0)</f>
        <v>38</v>
      </c>
      <c r="EO16" s="2601"/>
      <c r="EP16" s="74">
        <f>0.2*EN16</f>
        <v>7.6000000000000005</v>
      </c>
      <c r="EQ16" s="2601"/>
      <c r="ER16" s="74">
        <f>0.25*EN16</f>
        <v>9.5</v>
      </c>
      <c r="ES16" s="2601"/>
      <c r="ET16" s="74">
        <f>FA16+FG16+FQ16</f>
        <v>23.25</v>
      </c>
      <c r="EU16" s="2591"/>
      <c r="EV16" s="74">
        <f>3.06*EN16</f>
        <v>116.28</v>
      </c>
      <c r="EW16" s="2591"/>
      <c r="EX16" s="88">
        <f>ROUND((DH16+DF16+DD16)/1000*3,0)+ROUND((ROUND(DL16/400,0))/2.67,0)+ROUND(DV16/1000,0)+ROUND((DZ16+EB16+ED16+EH16)/1000*3,0)+ROUND(EN16/25,0)+ROUND(ET16/50,0)</f>
        <v>28</v>
      </c>
      <c r="EY16" s="2591"/>
      <c r="EZ16" s="2611"/>
      <c r="FA16" s="2225">
        <f>(0.75*EN16)*0.5</f>
        <v>14.25</v>
      </c>
      <c r="FB16" s="2591"/>
      <c r="FC16" s="2225">
        <v>0</v>
      </c>
      <c r="FD16" s="2591"/>
      <c r="FE16" s="2225">
        <v>0</v>
      </c>
      <c r="FF16" s="2591"/>
      <c r="FG16" s="74">
        <f>ROUND((DH16+DJ16+DD16+DN16+DT16)/1000,0)</f>
        <v>9</v>
      </c>
      <c r="FH16" s="2591"/>
      <c r="FI16" s="74">
        <f>DF16/1000</f>
        <v>0</v>
      </c>
      <c r="FJ16" s="2591"/>
      <c r="FK16" s="74">
        <f>((DL16/400)/12)</f>
        <v>0</v>
      </c>
      <c r="FL16" s="2591"/>
      <c r="FM16" s="74">
        <v>0</v>
      </c>
      <c r="FN16" s="2591"/>
      <c r="FO16" s="74">
        <v>0</v>
      </c>
      <c r="FP16" s="2601"/>
      <c r="FQ16" s="74">
        <f>DX16/1000</f>
        <v>0</v>
      </c>
      <c r="FR16" s="2591"/>
      <c r="FS16" s="2605"/>
      <c r="FT16" s="2607"/>
      <c r="FU16" s="2603"/>
      <c r="FV16" s="2609"/>
      <c r="FW16" s="2609"/>
      <c r="FX16" s="2603"/>
      <c r="FY16" s="2603"/>
      <c r="FZ16" s="2603"/>
      <c r="GA16" s="2603"/>
      <c r="GB16" s="2603"/>
      <c r="GC16" s="2603"/>
      <c r="GD16" s="2603"/>
      <c r="GE16" s="2603"/>
      <c r="GF16" s="2603"/>
      <c r="GG16" s="2603"/>
      <c r="GH16" s="2603"/>
      <c r="GI16" s="2603"/>
      <c r="GJ16" s="2603"/>
      <c r="GK16" s="2603"/>
      <c r="GL16" s="2609"/>
      <c r="GM16" s="2609"/>
      <c r="GN16" s="2609"/>
      <c r="GO16" s="2583"/>
      <c r="GP16" s="89">
        <f>EP16-BR16</f>
        <v>7.6000000000000005</v>
      </c>
      <c r="GQ16" s="2583"/>
      <c r="GR16" s="89">
        <f>EV16-BT16</f>
        <v>116.28</v>
      </c>
      <c r="GS16" s="2583"/>
      <c r="GT16" s="89">
        <f>EX16-BV16</f>
        <v>27</v>
      </c>
      <c r="GU16" s="89">
        <f>FA16-BX16</f>
        <v>14.25</v>
      </c>
      <c r="GV16" s="89">
        <f>FI16-CD16</f>
        <v>0</v>
      </c>
      <c r="GW16" s="89">
        <v>0</v>
      </c>
      <c r="GX16" s="89">
        <f>FG16-CB16</f>
        <v>-11</v>
      </c>
      <c r="GY16" s="89">
        <f>FK16-CF16</f>
        <v>0</v>
      </c>
      <c r="GZ16" s="89">
        <f>FM16-CH16</f>
        <v>0</v>
      </c>
      <c r="HA16" s="89">
        <f>FO16-CJ16</f>
        <v>0</v>
      </c>
      <c r="HB16" s="89">
        <f>FQ16-CL16</f>
        <v>0</v>
      </c>
      <c r="HC16" s="2617"/>
      <c r="HD16" s="95"/>
      <c r="HE16" s="95"/>
    </row>
    <row r="17" spans="1:219" s="95" customFormat="1" ht="18.75">
      <c r="A17" s="2263"/>
      <c r="B17" s="131"/>
      <c r="C17" s="132"/>
      <c r="D17" s="132"/>
      <c r="E17" s="133"/>
      <c r="F17" s="134"/>
      <c r="G17" s="135"/>
      <c r="H17" s="136"/>
      <c r="I17" s="132"/>
      <c r="J17" s="132"/>
      <c r="K17" s="132"/>
      <c r="L17" s="132"/>
      <c r="M17" s="134"/>
      <c r="N17" s="134"/>
      <c r="O17" s="134"/>
      <c r="P17" s="134"/>
      <c r="Q17" s="137"/>
      <c r="S17" s="101"/>
      <c r="T17" s="97"/>
      <c r="U17" s="2244"/>
      <c r="V17" s="102"/>
      <c r="W17" s="2244"/>
      <c r="X17" s="97"/>
      <c r="Y17" s="2244"/>
      <c r="Z17" s="97"/>
      <c r="AA17" s="2244"/>
      <c r="AB17" s="97"/>
      <c r="AC17" s="2244"/>
      <c r="AD17" s="103"/>
      <c r="AE17" s="2251"/>
      <c r="AF17" s="103"/>
      <c r="AG17" s="103"/>
      <c r="AH17" s="103"/>
      <c r="AI17" s="103"/>
      <c r="AJ17" s="103"/>
      <c r="AK17" s="2251"/>
      <c r="AL17" s="103"/>
      <c r="AM17" s="2251"/>
      <c r="AN17" s="103"/>
      <c r="AO17" s="2224"/>
      <c r="AP17" s="103"/>
      <c r="AQ17" s="2251"/>
      <c r="AR17" s="103"/>
      <c r="AS17" s="103"/>
      <c r="AT17" s="103"/>
      <c r="AU17" s="103"/>
      <c r="AV17" s="103"/>
      <c r="AW17" s="103"/>
      <c r="AX17" s="103"/>
      <c r="AY17" s="103"/>
      <c r="AZ17" s="75">
        <f t="shared" si="0"/>
        <v>0</v>
      </c>
      <c r="BA17" s="2224"/>
      <c r="BB17" s="191"/>
      <c r="BC17" s="2224"/>
      <c r="BD17" s="191"/>
      <c r="BE17" s="2224"/>
      <c r="BF17" s="191"/>
      <c r="BG17" s="2224"/>
      <c r="BH17" s="191"/>
      <c r="BI17" s="2224"/>
      <c r="BJ17" s="191"/>
      <c r="BK17" s="2224"/>
      <c r="BL17" s="191"/>
      <c r="BM17" s="103"/>
      <c r="BN17" s="97"/>
      <c r="BO17" s="103"/>
      <c r="BP17" s="97"/>
      <c r="BQ17" s="103"/>
      <c r="BR17" s="97"/>
      <c r="BS17" s="103"/>
      <c r="BT17" s="185"/>
      <c r="BU17" s="103"/>
      <c r="BV17" s="138"/>
      <c r="BW17" s="103"/>
      <c r="BX17" s="97"/>
      <c r="BY17" s="103"/>
      <c r="BZ17" s="97"/>
      <c r="CA17" s="103"/>
      <c r="CB17" s="97"/>
      <c r="CC17" s="103"/>
      <c r="CD17" s="97"/>
      <c r="CE17" s="103"/>
      <c r="CF17" s="97"/>
      <c r="CG17" s="103"/>
      <c r="CH17" s="105"/>
      <c r="CI17" s="103"/>
      <c r="CJ17" s="97"/>
      <c r="CK17" s="103"/>
      <c r="CL17" s="97"/>
      <c r="CM17" s="103"/>
      <c r="CN17" s="73">
        <f t="shared" si="1"/>
        <v>0</v>
      </c>
      <c r="CO17" s="97"/>
      <c r="CP17" s="2265"/>
      <c r="CQ17" s="139"/>
      <c r="CR17" s="139"/>
      <c r="CS17" s="139"/>
      <c r="CT17" s="139"/>
      <c r="CU17" s="108"/>
      <c r="CV17" s="2258"/>
      <c r="CW17" s="97"/>
      <c r="CX17" s="2244"/>
      <c r="CY17" s="2261"/>
      <c r="CZ17" s="97"/>
      <c r="DA17" s="2253"/>
      <c r="DB17" s="97"/>
      <c r="DC17" s="2244"/>
      <c r="DD17" s="97"/>
      <c r="DE17" s="2244"/>
      <c r="DF17" s="97"/>
      <c r="DG17" s="2244"/>
      <c r="DH17" s="97"/>
      <c r="DI17" s="2244"/>
      <c r="DJ17" s="97"/>
      <c r="DK17" s="2244"/>
      <c r="DL17" s="97"/>
      <c r="DM17" s="2244"/>
      <c r="DN17" s="97"/>
      <c r="DO17" s="2244"/>
      <c r="DP17" s="97"/>
      <c r="DQ17" s="2244"/>
      <c r="DR17" s="97"/>
      <c r="DS17" s="2244"/>
      <c r="DT17" s="97"/>
      <c r="DU17" s="2244"/>
      <c r="DV17" s="97"/>
      <c r="DW17" s="2244"/>
      <c r="DX17" s="75"/>
      <c r="DY17" s="2244"/>
      <c r="DZ17" s="103"/>
      <c r="EA17" s="2244"/>
      <c r="EB17" s="103"/>
      <c r="EC17" s="2244"/>
      <c r="ED17" s="103"/>
      <c r="EE17" s="2244"/>
      <c r="EF17" s="103"/>
      <c r="EG17" s="2244"/>
      <c r="EH17" s="103"/>
      <c r="EI17" s="2244"/>
      <c r="EJ17" s="103"/>
      <c r="EK17" s="2251"/>
      <c r="EL17" s="97"/>
      <c r="EM17" s="2246"/>
      <c r="EN17" s="102"/>
      <c r="EO17" s="2246"/>
      <c r="EP17" s="102"/>
      <c r="EQ17" s="110"/>
      <c r="ER17" s="102"/>
      <c r="ES17" s="110"/>
      <c r="ET17" s="74"/>
      <c r="EU17" s="2244"/>
      <c r="EV17" s="122"/>
      <c r="EW17" s="2244"/>
      <c r="EX17" s="88"/>
      <c r="EY17" s="2244"/>
      <c r="EZ17" s="2248"/>
      <c r="FA17" s="2224"/>
      <c r="FB17" s="2244"/>
      <c r="FC17" s="2224"/>
      <c r="FD17" s="2244"/>
      <c r="FE17" s="2224"/>
      <c r="FF17" s="2244"/>
      <c r="FG17" s="102"/>
      <c r="FH17" s="2244"/>
      <c r="FI17" s="102"/>
      <c r="FJ17" s="2244"/>
      <c r="FK17" s="102"/>
      <c r="FL17" s="2244"/>
      <c r="FM17" s="102"/>
      <c r="FN17" s="2244"/>
      <c r="FO17" s="102"/>
      <c r="FP17" s="110"/>
      <c r="FQ17" s="102"/>
      <c r="FR17" s="2244"/>
      <c r="FS17" s="2244"/>
      <c r="FT17" s="2240"/>
      <c r="FU17" s="2233"/>
      <c r="FV17" s="2235"/>
      <c r="FW17" s="2235"/>
      <c r="FX17" s="2233"/>
      <c r="FY17" s="2233"/>
      <c r="FZ17" s="2233"/>
      <c r="GA17" s="2232"/>
      <c r="GB17" s="2233"/>
      <c r="GC17" s="2233"/>
      <c r="GD17" s="2233"/>
      <c r="GE17" s="2232"/>
      <c r="GF17" s="2233"/>
      <c r="GG17" s="2232"/>
      <c r="GH17" s="2232"/>
      <c r="GI17" s="2232"/>
      <c r="GJ17" s="2232"/>
      <c r="GK17" s="2232"/>
      <c r="GL17" s="2235"/>
      <c r="GM17" s="2235"/>
      <c r="GN17" s="2235"/>
      <c r="GO17" s="2224"/>
      <c r="GP17" s="112"/>
      <c r="GQ17" s="2224"/>
      <c r="GR17" s="112"/>
      <c r="GS17" s="2224"/>
      <c r="GT17" s="113"/>
      <c r="GU17" s="114"/>
      <c r="GV17" s="113"/>
      <c r="GW17" s="113"/>
      <c r="GX17" s="113"/>
      <c r="GY17" s="113"/>
      <c r="GZ17" s="112"/>
      <c r="HA17" s="113"/>
      <c r="HB17" s="113"/>
      <c r="HC17" s="2230"/>
    </row>
    <row r="18" spans="1:219" s="146" customFormat="1" ht="15" customHeight="1">
      <c r="A18" s="2618">
        <v>6</v>
      </c>
      <c r="B18" s="3688" t="s">
        <v>703</v>
      </c>
      <c r="C18" s="140">
        <v>3186</v>
      </c>
      <c r="D18" s="140">
        <v>10</v>
      </c>
      <c r="E18" s="141">
        <v>2031860010</v>
      </c>
      <c r="F18" s="142">
        <v>5000</v>
      </c>
      <c r="G18" s="143" t="s">
        <v>704</v>
      </c>
      <c r="H18" s="144"/>
      <c r="I18" s="140">
        <v>1</v>
      </c>
      <c r="J18" s="140">
        <v>0</v>
      </c>
      <c r="K18" s="140">
        <v>2</v>
      </c>
      <c r="L18" s="140">
        <v>6.5</v>
      </c>
      <c r="M18" s="142">
        <v>5000</v>
      </c>
      <c r="N18" s="142">
        <v>0</v>
      </c>
      <c r="O18" s="142">
        <v>0</v>
      </c>
      <c r="P18" s="142">
        <v>5000</v>
      </c>
      <c r="Q18" s="145">
        <v>0</v>
      </c>
      <c r="R18" s="146" t="s">
        <v>718</v>
      </c>
      <c r="S18" s="2620">
        <f>SUM(T18:T20)</f>
        <v>0</v>
      </c>
      <c r="T18" s="147">
        <v>0</v>
      </c>
      <c r="U18" s="2620">
        <f>SUM(V18:V20)</f>
        <v>36900</v>
      </c>
      <c r="V18" s="148">
        <f>M18</f>
        <v>5000</v>
      </c>
      <c r="W18" s="2620">
        <f>SUM(X18:X20)</f>
        <v>36900</v>
      </c>
      <c r="X18" s="147">
        <f>V18-Z18</f>
        <v>5000</v>
      </c>
      <c r="Y18" s="2620">
        <f>SUM(Z18:Z20)</f>
        <v>0</v>
      </c>
      <c r="Z18" s="147">
        <v>0</v>
      </c>
      <c r="AA18" s="2620">
        <f>SUM(AB18:AB20)</f>
        <v>0</v>
      </c>
      <c r="AB18" s="147">
        <v>0</v>
      </c>
      <c r="AC18" s="2620">
        <f>SUM(AD18:AD19)</f>
        <v>0</v>
      </c>
      <c r="AD18" s="149">
        <f>V18-(Z18+AB18+AF18+AL18+AN18+AP18+AZ18+AR18+AT18+AV18+AX18)</f>
        <v>0</v>
      </c>
      <c r="AE18" s="2612">
        <f>SUM(AF18:AL20)</f>
        <v>0</v>
      </c>
      <c r="AF18" s="149">
        <v>0</v>
      </c>
      <c r="AG18" s="149">
        <v>0</v>
      </c>
      <c r="AH18" s="2612">
        <f>SUM(AG18:AG20)</f>
        <v>0</v>
      </c>
      <c r="AI18" s="149">
        <v>0</v>
      </c>
      <c r="AJ18" s="2612">
        <f>SUM(AI18:AI20)</f>
        <v>0</v>
      </c>
      <c r="AK18" s="2612">
        <f>SUM(AL18:AN20)</f>
        <v>0</v>
      </c>
      <c r="AL18" s="149">
        <v>0</v>
      </c>
      <c r="AM18" s="2612">
        <f>SUM(AN18:AP20)</f>
        <v>0</v>
      </c>
      <c r="AN18" s="149">
        <v>0</v>
      </c>
      <c r="AO18" s="2614">
        <f>SUM(AP18:AP20)</f>
        <v>0</v>
      </c>
      <c r="AP18" s="149">
        <v>0</v>
      </c>
      <c r="AQ18" s="2612">
        <f>SUM(AR18:AR20)</f>
        <v>36900</v>
      </c>
      <c r="AR18" s="149">
        <v>5000</v>
      </c>
      <c r="AS18" s="2612">
        <f>SUM(AT18:AT20)</f>
        <v>0</v>
      </c>
      <c r="AT18" s="149">
        <v>0</v>
      </c>
      <c r="AU18" s="2612">
        <f>SUM(AV18:AV20)</f>
        <v>0</v>
      </c>
      <c r="AV18" s="149">
        <v>0</v>
      </c>
      <c r="AW18" s="2612">
        <f>SUM(AX18:AX20)</f>
        <v>0</v>
      </c>
      <c r="AX18" s="149">
        <v>0</v>
      </c>
      <c r="AY18" s="2612">
        <f>SUM(AZ18:AZ20)</f>
        <v>0</v>
      </c>
      <c r="AZ18" s="149">
        <f t="shared" si="0"/>
        <v>0</v>
      </c>
      <c r="BA18" s="2614">
        <f>SUM(BB18:BB20)</f>
        <v>0</v>
      </c>
      <c r="BB18" s="147">
        <v>0</v>
      </c>
      <c r="BC18" s="2614">
        <f>SUM(BD18:BD20)</f>
        <v>0</v>
      </c>
      <c r="BD18" s="147">
        <v>0</v>
      </c>
      <c r="BE18" s="2614">
        <f>SUM(BF18:BF20)</f>
        <v>0</v>
      </c>
      <c r="BF18" s="147">
        <v>0</v>
      </c>
      <c r="BG18" s="2614">
        <f>SUM(BH18:BH20)</f>
        <v>0</v>
      </c>
      <c r="BH18" s="147">
        <v>0</v>
      </c>
      <c r="BI18" s="2614">
        <f>SUM(BJ18:BJ20)</f>
        <v>0</v>
      </c>
      <c r="BJ18" s="147">
        <v>0</v>
      </c>
      <c r="BK18" s="2614">
        <f>SUM(BL18:BL20)</f>
        <v>0</v>
      </c>
      <c r="BL18" s="147">
        <v>0</v>
      </c>
      <c r="BM18" s="2612">
        <f>SUM(BN18:BN20)</f>
        <v>36900</v>
      </c>
      <c r="BN18" s="147">
        <f>ROUND(T18+V18,0)</f>
        <v>5000</v>
      </c>
      <c r="BO18" s="2612">
        <f>SUM(BP18:BP20)</f>
        <v>0</v>
      </c>
      <c r="BP18" s="147">
        <f>ROUND(T18/EP$141,0)</f>
        <v>0</v>
      </c>
      <c r="BQ18" s="2612">
        <f>SUM(BR18:BR20)</f>
        <v>0</v>
      </c>
      <c r="BR18" s="147">
        <f>BR$142*BP18</f>
        <v>0</v>
      </c>
      <c r="BS18" s="2612">
        <f>SUM(BT18:BT20)</f>
        <v>0</v>
      </c>
      <c r="BT18" s="197">
        <f t="shared" si="3"/>
        <v>0</v>
      </c>
      <c r="BU18" s="2612">
        <f>SUM(BV18:BV20)</f>
        <v>3</v>
      </c>
      <c r="BV18" s="153">
        <f>ROUND((AD18+AB18+Z18)/1000*3,0)+ROUND((AF18+AX18)/1000,0)+ROUND((ROUND(AL18/400,0))/2.67,0)+ROUND(AN18/250,0)+ROUND(AR18/15000,0)+ROUND((BB18+BD18+BF18+BJ18)/1000*3,0)+ROUND(BP18/25,0)+ROUND(CN18/50,0)</f>
        <v>0</v>
      </c>
      <c r="BW18" s="2612">
        <f>SUM(BX18:BX20)</f>
        <v>0</v>
      </c>
      <c r="BX18" s="147">
        <v>0</v>
      </c>
      <c r="BY18" s="2612">
        <f>SUM(BZ18:BZ20)</f>
        <v>0</v>
      </c>
      <c r="BZ18" s="147">
        <v>0</v>
      </c>
      <c r="CA18" s="2612">
        <f>SUM(CB18:CB20)</f>
        <v>36.9</v>
      </c>
      <c r="CB18" s="147">
        <f>V18/1000</f>
        <v>5</v>
      </c>
      <c r="CC18" s="2612">
        <f>SUM(CD18:CD20)</f>
        <v>0</v>
      </c>
      <c r="CD18" s="147">
        <f>AB18/1000</f>
        <v>0</v>
      </c>
      <c r="CE18" s="2612">
        <f>SUM(CF18:CF20)</f>
        <v>0</v>
      </c>
      <c r="CF18" s="147">
        <f>((AL18/400)/12)</f>
        <v>0</v>
      </c>
      <c r="CG18" s="2612">
        <f>SUM(CH18:CH20)</f>
        <v>0</v>
      </c>
      <c r="CH18" s="154">
        <f>IFERROR(VLOOKUP(E18,#REF!,3,FALSE),0)</f>
        <v>0</v>
      </c>
      <c r="CI18" s="2612">
        <f>SUM(CJ18:CJ20)</f>
        <v>0</v>
      </c>
      <c r="CJ18" s="147" t="b">
        <f>IF(G18="M1-2",F18/1000)</f>
        <v>0</v>
      </c>
      <c r="CK18" s="2612">
        <f>SUM(CL18:CL20)</f>
        <v>0</v>
      </c>
      <c r="CL18" s="147">
        <f>IF(BJ18&gt;0,"Calculate",0)</f>
        <v>0</v>
      </c>
      <c r="CM18" s="2612">
        <f>SUM(CN18:CN20)</f>
        <v>36.9</v>
      </c>
      <c r="CN18" s="155">
        <f t="shared" si="1"/>
        <v>5</v>
      </c>
      <c r="CO18" s="147"/>
      <c r="CP18" s="2277">
        <v>18</v>
      </c>
      <c r="CQ18" s="156" t="s">
        <v>705</v>
      </c>
      <c r="CR18" s="156">
        <v>4.5999999999999996</v>
      </c>
      <c r="CS18" s="156">
        <v>2</v>
      </c>
      <c r="CT18" s="156">
        <v>4.5999999999999996</v>
      </c>
      <c r="CU18" s="157" t="s">
        <v>706</v>
      </c>
      <c r="CV18" s="2622" t="s">
        <v>719</v>
      </c>
      <c r="CW18" s="147">
        <f>(CR18*F18)-CZ18</f>
        <v>13750</v>
      </c>
      <c r="CX18" s="2620">
        <f>SUM(CW18:CW20)</f>
        <v>67930.5</v>
      </c>
      <c r="CY18" s="2624">
        <f>SUM(CZ18:CZ20)</f>
        <v>45698.7</v>
      </c>
      <c r="CZ18" s="147">
        <f>2*(F18)-(0.15*1*(F18))</f>
        <v>9250</v>
      </c>
      <c r="DA18" s="2626">
        <f>SUM(DB18:DB20)</f>
        <v>45698.7</v>
      </c>
      <c r="DB18" s="147">
        <f>CZ18-DD18</f>
        <v>9250</v>
      </c>
      <c r="DC18" s="2620">
        <v>0</v>
      </c>
      <c r="DD18" s="147">
        <v>0</v>
      </c>
      <c r="DE18" s="2620">
        <f>SUM(DF18:DF20)</f>
        <v>0</v>
      </c>
      <c r="DF18" s="147">
        <v>0</v>
      </c>
      <c r="DG18" s="2620">
        <f>SUM(DH18:DH20)</f>
        <v>45698.7</v>
      </c>
      <c r="DH18" s="147">
        <f>CZ18-(DD18+DF18+DJ18+DL18+DN18+DT18+DV18+DX18)</f>
        <v>9250</v>
      </c>
      <c r="DI18" s="2620">
        <f>SUM(DJ18:DJ20)</f>
        <v>0</v>
      </c>
      <c r="DJ18" s="147">
        <v>0</v>
      </c>
      <c r="DK18" s="2620">
        <f>SUM(DL18:DL20)</f>
        <v>0</v>
      </c>
      <c r="DL18" s="147">
        <v>0</v>
      </c>
      <c r="DM18" s="2620">
        <f>SUM(DN18:DN19)</f>
        <v>0</v>
      </c>
      <c r="DN18" s="147">
        <v>0</v>
      </c>
      <c r="DO18" s="2620">
        <f>SUM(DP18:DP20)</f>
        <v>0</v>
      </c>
      <c r="DP18" s="147">
        <v>0</v>
      </c>
      <c r="DQ18" s="2620">
        <f>SUM(DR18:DR20)</f>
        <v>0</v>
      </c>
      <c r="DR18" s="147">
        <v>0</v>
      </c>
      <c r="DS18" s="2620">
        <f>SUM(DT18:DT20)</f>
        <v>0</v>
      </c>
      <c r="DT18" s="147">
        <v>0</v>
      </c>
      <c r="DU18" s="2620">
        <f>SUM(DV18:DV20)</f>
        <v>0</v>
      </c>
      <c r="DV18" s="147">
        <v>0</v>
      </c>
      <c r="DW18" s="2620">
        <f>SUM(DX18:DX19)</f>
        <v>0</v>
      </c>
      <c r="DX18" s="150">
        <f t="shared" si="2"/>
        <v>0</v>
      </c>
      <c r="DY18" s="2620">
        <f>SUM(DZ18:DZ20)</f>
        <v>0</v>
      </c>
      <c r="DZ18" s="149">
        <v>0</v>
      </c>
      <c r="EA18" s="2620">
        <f>SUM(EB18:EB20)</f>
        <v>0</v>
      </c>
      <c r="EB18" s="149">
        <v>0</v>
      </c>
      <c r="EC18" s="2620">
        <f>SUM(ED18:ED20)</f>
        <v>0</v>
      </c>
      <c r="ED18" s="149">
        <v>0</v>
      </c>
      <c r="EE18" s="2620">
        <f>SUM(EF18:EF20)</f>
        <v>0</v>
      </c>
      <c r="EF18" s="149">
        <v>0</v>
      </c>
      <c r="EG18" s="2620">
        <f>SUM(EH18:EH20)</f>
        <v>0</v>
      </c>
      <c r="EH18" s="149">
        <v>0</v>
      </c>
      <c r="EI18" s="2620">
        <f>SUM(EJ18:EJ20)</f>
        <v>0</v>
      </c>
      <c r="EJ18" s="149">
        <v>0</v>
      </c>
      <c r="EK18" s="2612">
        <f>SUM(EL18:EL20)</f>
        <v>113629.2</v>
      </c>
      <c r="EL18" s="147">
        <f>CW18+CZ18</f>
        <v>23000</v>
      </c>
      <c r="EM18" s="2628">
        <f>SUM(EN18:EN20)</f>
        <v>69</v>
      </c>
      <c r="EN18" s="148">
        <f>ROUND(CW18/EP$141,0)</f>
        <v>14</v>
      </c>
      <c r="EO18" s="2628">
        <f>SUM(EP18:EP20)</f>
        <v>69</v>
      </c>
      <c r="EP18" s="148">
        <f>EV$143*EN18</f>
        <v>14</v>
      </c>
      <c r="EQ18" s="2628">
        <f>SUM(ER18:ER20)</f>
        <v>69</v>
      </c>
      <c r="ER18" s="148">
        <f>EP18</f>
        <v>14</v>
      </c>
      <c r="ES18" s="2628">
        <f>SUM(ET18:ET20)</f>
        <v>46</v>
      </c>
      <c r="ET18" s="148">
        <f>FA18+FG18+FQ18</f>
        <v>9</v>
      </c>
      <c r="EU18" s="2620">
        <f>SUM(EV18:EV20)</f>
        <v>211.14000000000001</v>
      </c>
      <c r="EV18" s="148">
        <f>3.06*EN18</f>
        <v>42.84</v>
      </c>
      <c r="EW18" s="2620">
        <f>SUM(EX18:EX20)</f>
        <v>141</v>
      </c>
      <c r="EX18" s="148">
        <f>ROUND((DH18+DF18+DD18)/1000*3,0)+ROUND((ROUND(DL18/400,0))/2.67,0)+ROUND(DV18/1000,0)+ROUND((DZ18+EB18+ED18+EH18)/1000*3,0)+ROUND(EN18/25,0)+ROUND(ET18/50,0)</f>
        <v>29</v>
      </c>
      <c r="EY18" s="2620">
        <f>SUM(EZ18:EZ20)</f>
        <v>0</v>
      </c>
      <c r="EZ18" s="2638">
        <f>SUM(FA18:FA20)</f>
        <v>0</v>
      </c>
      <c r="FA18" s="2269">
        <v>0</v>
      </c>
      <c r="FB18" s="2620">
        <f>SUM(FC18:FC20)</f>
        <v>0</v>
      </c>
      <c r="FC18" s="2269">
        <v>0</v>
      </c>
      <c r="FD18" s="2620">
        <f>SUM(FE18:FE20)</f>
        <v>0</v>
      </c>
      <c r="FE18" s="2269">
        <v>0</v>
      </c>
      <c r="FF18" s="2620">
        <f>SUM(FG18:FG20)</f>
        <v>46</v>
      </c>
      <c r="FG18" s="148">
        <f>ROUND((DH18+DJ18+DD18+DN18+DT18)/1000,0)</f>
        <v>9</v>
      </c>
      <c r="FH18" s="2620">
        <f>SUM(FI18:FI20)</f>
        <v>0</v>
      </c>
      <c r="FI18" s="148">
        <f>DF18/1000</f>
        <v>0</v>
      </c>
      <c r="FJ18" s="2620">
        <f>SUM(FK18:FK20)</f>
        <v>0</v>
      </c>
      <c r="FK18" s="148">
        <f>((DL18/400)/12)</f>
        <v>0</v>
      </c>
      <c r="FL18" s="2620">
        <f>SUM(FM18:FM20)</f>
        <v>0</v>
      </c>
      <c r="FM18" s="148">
        <v>0</v>
      </c>
      <c r="FN18" s="2620">
        <f>SUM(FO18:FO20)</f>
        <v>0</v>
      </c>
      <c r="FO18" s="148">
        <v>0</v>
      </c>
      <c r="FP18" s="2628">
        <f>SUM(FQ18:FQ20)</f>
        <v>0</v>
      </c>
      <c r="FQ18" s="148">
        <f>DX18/1000</f>
        <v>0</v>
      </c>
      <c r="FR18" s="2620">
        <f>SUM(FS18:FS20)</f>
        <v>115</v>
      </c>
      <c r="FS18" s="2634">
        <v>115</v>
      </c>
      <c r="FT18" s="2636">
        <f>CX18-S18</f>
        <v>67930.5</v>
      </c>
      <c r="FU18" s="2630">
        <f>CY18-U18</f>
        <v>8798.6999999999971</v>
      </c>
      <c r="FV18" s="2632">
        <f>(DC18+DE18+DG18)-(Y18+AA18+AC18+AE18)</f>
        <v>45698.7</v>
      </c>
      <c r="FW18" s="2632">
        <f>DG18-AC18</f>
        <v>45698.7</v>
      </c>
      <c r="FX18" s="2630">
        <f>DE18-AA18</f>
        <v>0</v>
      </c>
      <c r="FY18" s="2630">
        <f>DC18-Y18</f>
        <v>0</v>
      </c>
      <c r="FZ18" s="2630">
        <f>DJ18-AE18</f>
        <v>0</v>
      </c>
      <c r="GA18" s="2630">
        <f>DL18-AL18</f>
        <v>0</v>
      </c>
      <c r="GB18" s="2630">
        <f>DM18-AM18</f>
        <v>0</v>
      </c>
      <c r="GC18" s="2630">
        <f>DP18-AQ18</f>
        <v>-36900</v>
      </c>
      <c r="GD18" s="2630">
        <f>DR18-AS18</f>
        <v>0</v>
      </c>
      <c r="GE18" s="2630">
        <f>DT18-AV18</f>
        <v>0</v>
      </c>
      <c r="GF18" s="2630">
        <f>DV18-AW18</f>
        <v>0</v>
      </c>
      <c r="GG18" s="2630">
        <f>DZ18-BB18</f>
        <v>0</v>
      </c>
      <c r="GH18" s="2630">
        <f>EB18-BD18</f>
        <v>0</v>
      </c>
      <c r="GI18" s="2630">
        <f>ED18-BF18</f>
        <v>0</v>
      </c>
      <c r="GJ18" s="2630">
        <f>EF18-BH18</f>
        <v>0</v>
      </c>
      <c r="GK18" s="2630">
        <f>EH18-BJ18</f>
        <v>0</v>
      </c>
      <c r="GL18" s="2632">
        <f>DW18-AY18</f>
        <v>0</v>
      </c>
      <c r="GM18" s="2632">
        <f>EK18-BM18</f>
        <v>76729.2</v>
      </c>
      <c r="GN18" s="2632">
        <f>EM18-BO18</f>
        <v>69</v>
      </c>
      <c r="GO18" s="2614">
        <f>SUM(GP18:GP20)</f>
        <v>69</v>
      </c>
      <c r="GP18" s="160">
        <f>EP18-BR18</f>
        <v>14</v>
      </c>
      <c r="GQ18" s="2614">
        <f>SUM(GR18:GR20)</f>
        <v>211.14000000000001</v>
      </c>
      <c r="GR18" s="160">
        <f>EV18-BT18</f>
        <v>42.84</v>
      </c>
      <c r="GS18" s="2614">
        <f>SUM(GT18:GT20)</f>
        <v>138</v>
      </c>
      <c r="GT18" s="160">
        <f>EX18-BV18</f>
        <v>29</v>
      </c>
      <c r="GU18" s="160">
        <f>FA18-BX18</f>
        <v>0</v>
      </c>
      <c r="GV18" s="160">
        <f>FI18-CD18</f>
        <v>0</v>
      </c>
      <c r="GW18" s="160">
        <v>0</v>
      </c>
      <c r="GX18" s="160">
        <f>FG18-CB18</f>
        <v>4</v>
      </c>
      <c r="GY18" s="160">
        <f>FK18-CF18</f>
        <v>0</v>
      </c>
      <c r="GZ18" s="160">
        <f>FM18-CH18</f>
        <v>0</v>
      </c>
      <c r="HA18" s="160">
        <f>FO18-CJ18</f>
        <v>0</v>
      </c>
      <c r="HB18" s="160">
        <f>FQ18-CL18</f>
        <v>0</v>
      </c>
      <c r="HC18" s="2640">
        <f>ES18-CM18</f>
        <v>9.1000000000000014</v>
      </c>
      <c r="HD18" s="95"/>
      <c r="HE18" s="95"/>
      <c r="HF18" s="90"/>
      <c r="HG18" s="90"/>
      <c r="HH18" s="90"/>
      <c r="HI18" s="90"/>
      <c r="HJ18" s="90"/>
      <c r="HK18" s="90"/>
    </row>
    <row r="19" spans="1:219" s="205" customFormat="1" ht="15" customHeight="1">
      <c r="A19" s="2645"/>
      <c r="B19" s="198" t="s">
        <v>710</v>
      </c>
      <c r="C19" s="199">
        <v>3186</v>
      </c>
      <c r="D19" s="199">
        <v>12</v>
      </c>
      <c r="E19" s="200">
        <v>2031860012</v>
      </c>
      <c r="F19" s="201">
        <v>7500</v>
      </c>
      <c r="G19" s="202" t="s">
        <v>704</v>
      </c>
      <c r="H19" s="203"/>
      <c r="I19" s="199">
        <v>1</v>
      </c>
      <c r="J19" s="199">
        <v>0</v>
      </c>
      <c r="K19" s="199">
        <v>2</v>
      </c>
      <c r="L19" s="199">
        <v>6.5</v>
      </c>
      <c r="M19" s="201">
        <v>7500</v>
      </c>
      <c r="N19" s="201">
        <v>0</v>
      </c>
      <c r="O19" s="201">
        <v>0</v>
      </c>
      <c r="P19" s="201">
        <v>7500</v>
      </c>
      <c r="Q19" s="204">
        <v>0</v>
      </c>
      <c r="R19" s="205" t="s">
        <v>720</v>
      </c>
      <c r="S19" s="2646"/>
      <c r="T19" s="155">
        <v>0</v>
      </c>
      <c r="U19" s="2646"/>
      <c r="V19" s="178">
        <f>M19</f>
        <v>7500</v>
      </c>
      <c r="W19" s="2646"/>
      <c r="X19" s="155">
        <f>V19-Z19</f>
        <v>7500</v>
      </c>
      <c r="Y19" s="2646"/>
      <c r="Z19" s="155">
        <v>0</v>
      </c>
      <c r="AA19" s="2646"/>
      <c r="AB19" s="155">
        <v>0</v>
      </c>
      <c r="AC19" s="2646"/>
      <c r="AD19" s="150">
        <f>V19-(Z19+AB19+AF19+AL19+AN19+AP19+AZ19+AR19+AT19+AV19+AX19)</f>
        <v>0</v>
      </c>
      <c r="AE19" s="2647"/>
      <c r="AF19" s="150">
        <v>0</v>
      </c>
      <c r="AG19" s="150">
        <v>0</v>
      </c>
      <c r="AH19" s="2647"/>
      <c r="AI19" s="150">
        <v>0</v>
      </c>
      <c r="AJ19" s="2647"/>
      <c r="AK19" s="2647"/>
      <c r="AL19" s="150">
        <v>0</v>
      </c>
      <c r="AM19" s="2647"/>
      <c r="AN19" s="150">
        <v>0</v>
      </c>
      <c r="AO19" s="2648"/>
      <c r="AP19" s="150">
        <v>0</v>
      </c>
      <c r="AQ19" s="2647"/>
      <c r="AR19" s="150">
        <v>7500</v>
      </c>
      <c r="AS19" s="2647"/>
      <c r="AT19" s="150">
        <v>0</v>
      </c>
      <c r="AU19" s="2647"/>
      <c r="AV19" s="150">
        <v>0</v>
      </c>
      <c r="AW19" s="2647"/>
      <c r="AX19" s="150">
        <v>0</v>
      </c>
      <c r="AY19" s="2647"/>
      <c r="AZ19" s="150">
        <f t="shared" si="0"/>
        <v>0</v>
      </c>
      <c r="BA19" s="2648"/>
      <c r="BB19" s="155">
        <v>0</v>
      </c>
      <c r="BC19" s="2648"/>
      <c r="BD19" s="155">
        <v>0</v>
      </c>
      <c r="BE19" s="2648"/>
      <c r="BF19" s="155">
        <v>0</v>
      </c>
      <c r="BG19" s="2648"/>
      <c r="BH19" s="155">
        <v>0</v>
      </c>
      <c r="BI19" s="2648"/>
      <c r="BJ19" s="155">
        <v>0</v>
      </c>
      <c r="BK19" s="2648"/>
      <c r="BL19" s="155">
        <v>0</v>
      </c>
      <c r="BM19" s="2647"/>
      <c r="BN19" s="155">
        <f>ROUND(T19+V19,0)</f>
        <v>7500</v>
      </c>
      <c r="BO19" s="2647"/>
      <c r="BP19" s="155">
        <f>ROUND(T19/EP$141,0)</f>
        <v>0</v>
      </c>
      <c r="BQ19" s="2647"/>
      <c r="BR19" s="155">
        <f>BR$142*BP19</f>
        <v>0</v>
      </c>
      <c r="BS19" s="2647"/>
      <c r="BT19" s="206">
        <f t="shared" si="3"/>
        <v>0</v>
      </c>
      <c r="BU19" s="2647"/>
      <c r="BV19" s="207">
        <f>ROUND((AD19+AB19+Z19)/1000*3,0)+ROUND((AF19+AX19)/1000,0)+ROUND((ROUND(AL19/400,0))/2.67,0)+ROUND(AN19/250,0)+ROUND(AR19/15000,0)+ROUND((BB19+BD19+BF19+BJ19)/1000*3,0)+ROUND(BP19/25,0)+ROUND(CN19/50,0)</f>
        <v>1</v>
      </c>
      <c r="BW19" s="2647"/>
      <c r="BX19" s="155">
        <v>0</v>
      </c>
      <c r="BY19" s="2647"/>
      <c r="BZ19" s="155">
        <v>0</v>
      </c>
      <c r="CA19" s="2647"/>
      <c r="CB19" s="155">
        <f>V19/1000</f>
        <v>7.5</v>
      </c>
      <c r="CC19" s="2647"/>
      <c r="CD19" s="155">
        <f>AB19/1000</f>
        <v>0</v>
      </c>
      <c r="CE19" s="2647"/>
      <c r="CF19" s="155">
        <f>((AL19/400)/12)</f>
        <v>0</v>
      </c>
      <c r="CG19" s="2647"/>
      <c r="CH19" s="208">
        <f>IFERROR(VLOOKUP(E19,#REF!,3,FALSE),0)</f>
        <v>0</v>
      </c>
      <c r="CI19" s="2647"/>
      <c r="CJ19" s="155" t="b">
        <f>IF(G19="M1-2",F19/1000)</f>
        <v>0</v>
      </c>
      <c r="CK19" s="2647"/>
      <c r="CL19" s="155">
        <f>IF(BJ19&gt;0,"Calculate",0)</f>
        <v>0</v>
      </c>
      <c r="CM19" s="2647"/>
      <c r="CN19" s="155">
        <f t="shared" si="1"/>
        <v>7.5</v>
      </c>
      <c r="CO19" s="155"/>
      <c r="CP19" s="209">
        <v>10</v>
      </c>
      <c r="CQ19" s="210" t="s">
        <v>705</v>
      </c>
      <c r="CR19" s="210">
        <v>4.5999999999999996</v>
      </c>
      <c r="CS19" s="210">
        <v>2</v>
      </c>
      <c r="CT19" s="210">
        <v>4.5999999999999996</v>
      </c>
      <c r="CU19" s="211" t="s">
        <v>706</v>
      </c>
      <c r="CV19" s="2650"/>
      <c r="CW19" s="155">
        <f>(CR19*F19)-CZ19</f>
        <v>20625</v>
      </c>
      <c r="CX19" s="2646"/>
      <c r="CY19" s="2651"/>
      <c r="CZ19" s="155">
        <f>2*(F19)-(0.15*1*(F19))</f>
        <v>13875</v>
      </c>
      <c r="DA19" s="2649"/>
      <c r="DB19" s="155">
        <f>CZ19-DD19</f>
        <v>13875</v>
      </c>
      <c r="DC19" s="2646"/>
      <c r="DD19" s="155">
        <v>0</v>
      </c>
      <c r="DE19" s="2646"/>
      <c r="DF19" s="155">
        <v>0</v>
      </c>
      <c r="DG19" s="2646"/>
      <c r="DH19" s="155">
        <f>CZ19-(DD19+DF19+DJ19+DL19+DN19+DT19+DV19+DX19)</f>
        <v>13875</v>
      </c>
      <c r="DI19" s="2646"/>
      <c r="DJ19" s="155">
        <v>0</v>
      </c>
      <c r="DK19" s="2646"/>
      <c r="DL19" s="155">
        <v>0</v>
      </c>
      <c r="DM19" s="2646"/>
      <c r="DN19" s="155">
        <v>0</v>
      </c>
      <c r="DO19" s="2646"/>
      <c r="DP19" s="155">
        <v>0</v>
      </c>
      <c r="DQ19" s="2646"/>
      <c r="DR19" s="155">
        <v>0</v>
      </c>
      <c r="DS19" s="2646"/>
      <c r="DT19" s="155">
        <v>0</v>
      </c>
      <c r="DU19" s="2646"/>
      <c r="DV19" s="155">
        <v>0</v>
      </c>
      <c r="DW19" s="2646"/>
      <c r="DX19" s="150">
        <f t="shared" si="2"/>
        <v>0</v>
      </c>
      <c r="DY19" s="2646"/>
      <c r="DZ19" s="150">
        <v>0</v>
      </c>
      <c r="EA19" s="2646"/>
      <c r="EB19" s="150">
        <v>0</v>
      </c>
      <c r="EC19" s="2646"/>
      <c r="ED19" s="150">
        <v>0</v>
      </c>
      <c r="EE19" s="2646"/>
      <c r="EF19" s="150">
        <v>0</v>
      </c>
      <c r="EG19" s="2646"/>
      <c r="EH19" s="150">
        <v>0</v>
      </c>
      <c r="EI19" s="2646"/>
      <c r="EJ19" s="150">
        <v>0</v>
      </c>
      <c r="EK19" s="2647"/>
      <c r="EL19" s="155">
        <f>CW19+CZ19</f>
        <v>34500</v>
      </c>
      <c r="EM19" s="2653"/>
      <c r="EN19" s="178">
        <f>ROUND(CW19/EP$141,0)</f>
        <v>21</v>
      </c>
      <c r="EO19" s="2653"/>
      <c r="EP19" s="178">
        <f>EV$143*EN19</f>
        <v>21</v>
      </c>
      <c r="EQ19" s="2653"/>
      <c r="ER19" s="178">
        <f t="shared" ref="ER19:ER20" si="4">EP19</f>
        <v>21</v>
      </c>
      <c r="ES19" s="2653"/>
      <c r="ET19" s="178">
        <f>FA19+FG19+FQ19</f>
        <v>14</v>
      </c>
      <c r="EU19" s="2646"/>
      <c r="EV19" s="178">
        <f>3.06*EN19</f>
        <v>64.260000000000005</v>
      </c>
      <c r="EW19" s="2646"/>
      <c r="EX19" s="178">
        <f>ROUND((DH19+DF19+DD19)/1000*3,0)+ROUND((ROUND(DL19/400,0))/2.67,0)+ROUND(DV19/1000,0)+ROUND((DZ19+EB19+ED19+EH19)/1000*3,0)+ROUND(EN19/25,0)+ROUND(ET19/50,0)</f>
        <v>43</v>
      </c>
      <c r="EY19" s="2646"/>
      <c r="EZ19" s="2652"/>
      <c r="FA19" s="2283">
        <v>0</v>
      </c>
      <c r="FB19" s="2646"/>
      <c r="FC19" s="2283">
        <v>0</v>
      </c>
      <c r="FD19" s="2646"/>
      <c r="FE19" s="2283">
        <v>0</v>
      </c>
      <c r="FF19" s="2646"/>
      <c r="FG19" s="178">
        <f>ROUND((DH19+DJ19+DD19+DN19+DT19)/1000,0)</f>
        <v>14</v>
      </c>
      <c r="FH19" s="2646"/>
      <c r="FI19" s="178">
        <f>DF19/1000</f>
        <v>0</v>
      </c>
      <c r="FJ19" s="2646"/>
      <c r="FK19" s="178">
        <f>((DL19/400)/12)</f>
        <v>0</v>
      </c>
      <c r="FL19" s="2646"/>
      <c r="FM19" s="178">
        <v>0</v>
      </c>
      <c r="FN19" s="2646"/>
      <c r="FO19" s="178">
        <v>0</v>
      </c>
      <c r="FP19" s="2653"/>
      <c r="FQ19" s="178">
        <f>DX19/1000</f>
        <v>0</v>
      </c>
      <c r="FR19" s="2646"/>
      <c r="FS19" s="2655"/>
      <c r="FT19" s="2656"/>
      <c r="FU19" s="2654"/>
      <c r="FV19" s="2657"/>
      <c r="FW19" s="2657"/>
      <c r="FX19" s="2654"/>
      <c r="FY19" s="2654"/>
      <c r="FZ19" s="2654"/>
      <c r="GA19" s="2654"/>
      <c r="GB19" s="2654"/>
      <c r="GC19" s="2654"/>
      <c r="GD19" s="2654"/>
      <c r="GE19" s="2654"/>
      <c r="GF19" s="2654"/>
      <c r="GG19" s="2654"/>
      <c r="GH19" s="2654"/>
      <c r="GI19" s="2654"/>
      <c r="GJ19" s="2654"/>
      <c r="GK19" s="2654"/>
      <c r="GL19" s="2657"/>
      <c r="GM19" s="2657"/>
      <c r="GN19" s="2657"/>
      <c r="GO19" s="2648"/>
      <c r="GP19" s="212">
        <f>EP19-BR19</f>
        <v>21</v>
      </c>
      <c r="GQ19" s="2648"/>
      <c r="GR19" s="212">
        <f>EV19-BT19</f>
        <v>64.260000000000005</v>
      </c>
      <c r="GS19" s="2648"/>
      <c r="GT19" s="212">
        <f>EX19-BV19</f>
        <v>42</v>
      </c>
      <c r="GU19" s="212">
        <f>FA19-BX19</f>
        <v>0</v>
      </c>
      <c r="GV19" s="212">
        <f>FI19-CD19</f>
        <v>0</v>
      </c>
      <c r="GW19" s="212">
        <v>0</v>
      </c>
      <c r="GX19" s="212">
        <f>FG19-CB19</f>
        <v>6.5</v>
      </c>
      <c r="GY19" s="212">
        <f>FK19-CF19</f>
        <v>0</v>
      </c>
      <c r="GZ19" s="212">
        <f>FM19-CH19</f>
        <v>0</v>
      </c>
      <c r="HA19" s="212">
        <f>FO19-CJ19</f>
        <v>0</v>
      </c>
      <c r="HB19" s="212">
        <f>FQ19-CL19</f>
        <v>0</v>
      </c>
      <c r="HC19" s="2659"/>
      <c r="HD19" s="95"/>
      <c r="HE19" s="95"/>
      <c r="HF19" s="95"/>
      <c r="HG19" s="95"/>
      <c r="HH19" s="95"/>
      <c r="HI19" s="95"/>
      <c r="HJ19" s="95"/>
      <c r="HK19" s="95"/>
    </row>
    <row r="20" spans="1:219" s="168" customFormat="1" ht="15" customHeight="1">
      <c r="A20" s="2619"/>
      <c r="B20" s="161" t="s">
        <v>721</v>
      </c>
      <c r="C20" s="162">
        <v>3186</v>
      </c>
      <c r="D20" s="162">
        <v>1</v>
      </c>
      <c r="E20" s="163">
        <v>2031860001</v>
      </c>
      <c r="F20" s="164">
        <v>12202</v>
      </c>
      <c r="G20" s="165" t="s">
        <v>704</v>
      </c>
      <c r="H20" s="166"/>
      <c r="I20" s="162">
        <v>2</v>
      </c>
      <c r="J20" s="162">
        <v>0</v>
      </c>
      <c r="K20" s="162">
        <v>2</v>
      </c>
      <c r="L20" s="162">
        <v>6.5</v>
      </c>
      <c r="M20" s="164">
        <v>24400</v>
      </c>
      <c r="N20" s="164">
        <v>0</v>
      </c>
      <c r="O20" s="164">
        <v>0</v>
      </c>
      <c r="P20" s="164">
        <v>24400</v>
      </c>
      <c r="Q20" s="167">
        <v>0</v>
      </c>
      <c r="R20" s="168" t="s">
        <v>722</v>
      </c>
      <c r="S20" s="2621"/>
      <c r="T20" s="169">
        <v>0</v>
      </c>
      <c r="U20" s="2621"/>
      <c r="V20" s="170">
        <f>M20</f>
        <v>24400</v>
      </c>
      <c r="W20" s="2621"/>
      <c r="X20" s="169">
        <f>V20-Z20</f>
        <v>24400</v>
      </c>
      <c r="Y20" s="2621"/>
      <c r="Z20" s="169">
        <v>0</v>
      </c>
      <c r="AA20" s="2621"/>
      <c r="AB20" s="169">
        <v>0</v>
      </c>
      <c r="AC20" s="2621"/>
      <c r="AD20" s="171">
        <f>V20-(Z20+AB20+AF20+AL20+AN20+AP20+AZ20+AR20+AT20+AV20+AX20)</f>
        <v>0</v>
      </c>
      <c r="AE20" s="2613"/>
      <c r="AF20" s="171">
        <v>0</v>
      </c>
      <c r="AG20" s="171">
        <v>0</v>
      </c>
      <c r="AH20" s="2613"/>
      <c r="AI20" s="171">
        <v>0</v>
      </c>
      <c r="AJ20" s="2613"/>
      <c r="AK20" s="2613"/>
      <c r="AL20" s="171">
        <v>0</v>
      </c>
      <c r="AM20" s="2613"/>
      <c r="AN20" s="171">
        <v>0</v>
      </c>
      <c r="AO20" s="2615"/>
      <c r="AP20" s="171">
        <v>0</v>
      </c>
      <c r="AQ20" s="2613"/>
      <c r="AR20" s="171">
        <v>24400</v>
      </c>
      <c r="AS20" s="2613"/>
      <c r="AT20" s="171">
        <v>0</v>
      </c>
      <c r="AU20" s="2613"/>
      <c r="AV20" s="171">
        <v>0</v>
      </c>
      <c r="AW20" s="2613"/>
      <c r="AX20" s="171">
        <v>0</v>
      </c>
      <c r="AY20" s="2613"/>
      <c r="AZ20" s="171">
        <f t="shared" si="0"/>
        <v>0</v>
      </c>
      <c r="BA20" s="2615"/>
      <c r="BB20" s="172">
        <v>0</v>
      </c>
      <c r="BC20" s="2615"/>
      <c r="BD20" s="172">
        <v>0</v>
      </c>
      <c r="BE20" s="2615"/>
      <c r="BF20" s="172">
        <v>0</v>
      </c>
      <c r="BG20" s="2615"/>
      <c r="BH20" s="172">
        <v>0</v>
      </c>
      <c r="BI20" s="2615"/>
      <c r="BJ20" s="172">
        <v>0</v>
      </c>
      <c r="BK20" s="2615"/>
      <c r="BL20" s="172">
        <v>0</v>
      </c>
      <c r="BM20" s="2613"/>
      <c r="BN20" s="169">
        <f>ROUND(T20+V20,0)</f>
        <v>24400</v>
      </c>
      <c r="BO20" s="2613"/>
      <c r="BP20" s="169">
        <f>ROUND(T20/EP$141,0)</f>
        <v>0</v>
      </c>
      <c r="BQ20" s="2613"/>
      <c r="BR20" s="169">
        <f>BR$142*BP20</f>
        <v>0</v>
      </c>
      <c r="BS20" s="2613"/>
      <c r="BT20" s="213">
        <f t="shared" si="3"/>
        <v>0</v>
      </c>
      <c r="BU20" s="2613"/>
      <c r="BV20" s="174">
        <f>ROUND((AD20+AB20+Z20)/1000*3,0)+ROUND((AF20+AX20)/1000,0)+ROUND((ROUND(AL20/400,0))/2.67,0)+ROUND(AN20/250,0)+ROUND(AR20/15000,0)+ROUND((BB20+BD20+BF20+BJ20)/1000*3,0)+ROUND(BP20/25,0)+ROUND(CN20/50,0)</f>
        <v>2</v>
      </c>
      <c r="BW20" s="2613"/>
      <c r="BX20" s="169">
        <v>0</v>
      </c>
      <c r="BY20" s="2613"/>
      <c r="BZ20" s="169">
        <v>0</v>
      </c>
      <c r="CA20" s="2613"/>
      <c r="CB20" s="169">
        <f>V20/1000</f>
        <v>24.4</v>
      </c>
      <c r="CC20" s="2613"/>
      <c r="CD20" s="169">
        <f>AB20/1000</f>
        <v>0</v>
      </c>
      <c r="CE20" s="2613"/>
      <c r="CF20" s="169">
        <f>((AL20/400)/12)</f>
        <v>0</v>
      </c>
      <c r="CG20" s="2613"/>
      <c r="CH20" s="175">
        <f>IFERROR(VLOOKUP(E20,#REF!,3,FALSE),0)</f>
        <v>0</v>
      </c>
      <c r="CI20" s="2613"/>
      <c r="CJ20" s="169" t="b">
        <f>IF(G20="M1-2",F20/1000)</f>
        <v>0</v>
      </c>
      <c r="CK20" s="2613"/>
      <c r="CL20" s="169">
        <f>IF(BJ20&gt;0,"Calculate",0)</f>
        <v>0</v>
      </c>
      <c r="CM20" s="2613"/>
      <c r="CN20" s="169">
        <f t="shared" si="1"/>
        <v>24.4</v>
      </c>
      <c r="CO20" s="169"/>
      <c r="CP20" s="2278">
        <v>25</v>
      </c>
      <c r="CQ20" s="176" t="s">
        <v>705</v>
      </c>
      <c r="CR20" s="176">
        <v>4.5999999999999996</v>
      </c>
      <c r="CS20" s="176">
        <v>2</v>
      </c>
      <c r="CT20" s="176">
        <v>4.5999999999999996</v>
      </c>
      <c r="CU20" s="177" t="s">
        <v>706</v>
      </c>
      <c r="CV20" s="2623"/>
      <c r="CW20" s="169">
        <f>(CR20*F20)-CZ20</f>
        <v>33555.5</v>
      </c>
      <c r="CX20" s="2621"/>
      <c r="CY20" s="2625"/>
      <c r="CZ20" s="155">
        <f>2*(F20)-(0.15*1*(F20))</f>
        <v>22573.7</v>
      </c>
      <c r="DA20" s="2627"/>
      <c r="DB20" s="169">
        <f>CZ20-DD20</f>
        <v>22573.7</v>
      </c>
      <c r="DC20" s="2621"/>
      <c r="DD20" s="169">
        <v>0</v>
      </c>
      <c r="DE20" s="2621"/>
      <c r="DF20" s="169">
        <v>0</v>
      </c>
      <c r="DG20" s="2621"/>
      <c r="DH20" s="169">
        <f>CZ20-(DD20+DF20+DJ20+DL20+DN20+DT20+DV20+DX20)</f>
        <v>22573.7</v>
      </c>
      <c r="DI20" s="2621"/>
      <c r="DJ20" s="169">
        <v>0</v>
      </c>
      <c r="DK20" s="2621"/>
      <c r="DL20" s="169">
        <v>0</v>
      </c>
      <c r="DM20" s="2621"/>
      <c r="DN20" s="169">
        <v>0</v>
      </c>
      <c r="DO20" s="2621"/>
      <c r="DP20" s="169">
        <v>0</v>
      </c>
      <c r="DQ20" s="2621"/>
      <c r="DR20" s="169">
        <v>0</v>
      </c>
      <c r="DS20" s="2621"/>
      <c r="DT20" s="169">
        <v>0</v>
      </c>
      <c r="DU20" s="2621"/>
      <c r="DV20" s="169">
        <v>0</v>
      </c>
      <c r="DW20" s="2621"/>
      <c r="DX20" s="171">
        <f t="shared" si="2"/>
        <v>0</v>
      </c>
      <c r="DY20" s="2621"/>
      <c r="DZ20" s="171">
        <v>0</v>
      </c>
      <c r="EA20" s="2621"/>
      <c r="EB20" s="171">
        <v>0</v>
      </c>
      <c r="EC20" s="2621"/>
      <c r="ED20" s="171">
        <v>0</v>
      </c>
      <c r="EE20" s="2621"/>
      <c r="EF20" s="171">
        <v>0</v>
      </c>
      <c r="EG20" s="2621"/>
      <c r="EH20" s="171">
        <v>0</v>
      </c>
      <c r="EI20" s="2621"/>
      <c r="EJ20" s="171">
        <v>0</v>
      </c>
      <c r="EK20" s="2613"/>
      <c r="EL20" s="169">
        <f>CW20+CZ20</f>
        <v>56129.2</v>
      </c>
      <c r="EM20" s="2629"/>
      <c r="EN20" s="170">
        <f>ROUND(CW20/EP$141,0)</f>
        <v>34</v>
      </c>
      <c r="EO20" s="2629"/>
      <c r="EP20" s="178">
        <f>EV$143*EN20</f>
        <v>34</v>
      </c>
      <c r="EQ20" s="2629"/>
      <c r="ER20" s="170">
        <f t="shared" si="4"/>
        <v>34</v>
      </c>
      <c r="ES20" s="2629"/>
      <c r="ET20" s="170">
        <f>FA20+FG20+FQ20</f>
        <v>23</v>
      </c>
      <c r="EU20" s="2621"/>
      <c r="EV20" s="170">
        <f>3.06*EN20</f>
        <v>104.04</v>
      </c>
      <c r="EW20" s="2621"/>
      <c r="EX20" s="170">
        <f>ROUND((DH20+DF20+DD20)/1000*3,0)+ROUND((ROUND(DL20/400,0))/2.67,0)+ROUND(DV20/1000,0)+ROUND((DZ20+EB20+ED20+EH20)/1000*3,0)+ROUND(EN20/25,0)+ROUND(ET20/50,0)</f>
        <v>69</v>
      </c>
      <c r="EY20" s="2621"/>
      <c r="EZ20" s="2639"/>
      <c r="FA20" s="2270">
        <v>0</v>
      </c>
      <c r="FB20" s="2621"/>
      <c r="FC20" s="2270">
        <v>0</v>
      </c>
      <c r="FD20" s="2621"/>
      <c r="FE20" s="2270">
        <v>0</v>
      </c>
      <c r="FF20" s="2621"/>
      <c r="FG20" s="170">
        <f>ROUND((DH20+DJ20+DD20+DN20+DT20)/1000,0)</f>
        <v>23</v>
      </c>
      <c r="FH20" s="2621"/>
      <c r="FI20" s="170">
        <f>DF20/1000</f>
        <v>0</v>
      </c>
      <c r="FJ20" s="2621"/>
      <c r="FK20" s="170">
        <f>((DL20/400)/12)</f>
        <v>0</v>
      </c>
      <c r="FL20" s="2621"/>
      <c r="FM20" s="170">
        <v>0</v>
      </c>
      <c r="FN20" s="2621"/>
      <c r="FO20" s="170">
        <v>0</v>
      </c>
      <c r="FP20" s="2629"/>
      <c r="FQ20" s="170">
        <f>DX20/1000</f>
        <v>0</v>
      </c>
      <c r="FR20" s="2621"/>
      <c r="FS20" s="2635"/>
      <c r="FT20" s="2637"/>
      <c r="FU20" s="2631"/>
      <c r="FV20" s="2633"/>
      <c r="FW20" s="2633"/>
      <c r="FX20" s="2631"/>
      <c r="FY20" s="2631"/>
      <c r="FZ20" s="2631"/>
      <c r="GA20" s="2631"/>
      <c r="GB20" s="2631"/>
      <c r="GC20" s="2631"/>
      <c r="GD20" s="2631"/>
      <c r="GE20" s="2631"/>
      <c r="GF20" s="2631"/>
      <c r="GG20" s="2631"/>
      <c r="GH20" s="2631"/>
      <c r="GI20" s="2631"/>
      <c r="GJ20" s="2631"/>
      <c r="GK20" s="2631"/>
      <c r="GL20" s="2633"/>
      <c r="GM20" s="2633"/>
      <c r="GN20" s="2633"/>
      <c r="GO20" s="2615"/>
      <c r="GP20" s="181">
        <f>EP20-BR20</f>
        <v>34</v>
      </c>
      <c r="GQ20" s="2615"/>
      <c r="GR20" s="181">
        <f>EV20-BT20</f>
        <v>104.04</v>
      </c>
      <c r="GS20" s="2615"/>
      <c r="GT20" s="181">
        <f>EX20-BV20</f>
        <v>67</v>
      </c>
      <c r="GU20" s="181">
        <f>FA20-BX20</f>
        <v>0</v>
      </c>
      <c r="GV20" s="181">
        <f>FI20-CD20</f>
        <v>0</v>
      </c>
      <c r="GW20" s="181">
        <v>0</v>
      </c>
      <c r="GX20" s="181">
        <f>FG20-CB20</f>
        <v>-1.3999999999999986</v>
      </c>
      <c r="GY20" s="181">
        <f>FK20-CF20</f>
        <v>0</v>
      </c>
      <c r="GZ20" s="181">
        <f>FM20-CH20</f>
        <v>0</v>
      </c>
      <c r="HA20" s="181">
        <f>FO20-CJ20</f>
        <v>0</v>
      </c>
      <c r="HB20" s="181">
        <f>FQ20-CL20</f>
        <v>0</v>
      </c>
      <c r="HC20" s="2641"/>
      <c r="HD20" s="95"/>
      <c r="HE20" s="95"/>
      <c r="HF20" s="72"/>
      <c r="HG20" s="72"/>
      <c r="HH20" s="72"/>
      <c r="HI20" s="72"/>
      <c r="HJ20" s="72"/>
      <c r="HK20" s="72"/>
    </row>
    <row r="21" spans="1:219" s="95" customFormat="1" ht="18.75">
      <c r="A21" s="2263"/>
      <c r="B21" s="131"/>
      <c r="C21" s="132"/>
      <c r="D21" s="132"/>
      <c r="E21" s="133"/>
      <c r="F21" s="134"/>
      <c r="G21" s="135"/>
      <c r="H21" s="136"/>
      <c r="I21" s="132"/>
      <c r="J21" s="132"/>
      <c r="K21" s="132"/>
      <c r="L21" s="132"/>
      <c r="M21" s="134"/>
      <c r="N21" s="134"/>
      <c r="O21" s="134"/>
      <c r="P21" s="134"/>
      <c r="Q21" s="137"/>
      <c r="S21" s="101"/>
      <c r="T21" s="97"/>
      <c r="U21" s="2244"/>
      <c r="V21" s="102"/>
      <c r="W21" s="2244"/>
      <c r="X21" s="97"/>
      <c r="Y21" s="2244"/>
      <c r="Z21" s="97"/>
      <c r="AA21" s="2244"/>
      <c r="AB21" s="97"/>
      <c r="AC21" s="2244"/>
      <c r="AD21" s="103"/>
      <c r="AE21" s="2251"/>
      <c r="AF21" s="103"/>
      <c r="AG21" s="103"/>
      <c r="AH21" s="103"/>
      <c r="AI21" s="103"/>
      <c r="AJ21" s="103"/>
      <c r="AK21" s="2251"/>
      <c r="AL21" s="103"/>
      <c r="AM21" s="2251"/>
      <c r="AN21" s="103"/>
      <c r="AO21" s="2224"/>
      <c r="AP21" s="103"/>
      <c r="AQ21" s="2251"/>
      <c r="AR21" s="103"/>
      <c r="AS21" s="2251"/>
      <c r="AT21" s="103"/>
      <c r="AU21" s="2251"/>
      <c r="AV21" s="103"/>
      <c r="AW21" s="2251"/>
      <c r="AX21" s="103"/>
      <c r="AY21" s="2251"/>
      <c r="AZ21" s="75">
        <f t="shared" si="0"/>
        <v>0</v>
      </c>
      <c r="BA21" s="2224"/>
      <c r="BB21" s="191"/>
      <c r="BC21" s="2224"/>
      <c r="BD21" s="191"/>
      <c r="BE21" s="2224"/>
      <c r="BF21" s="191"/>
      <c r="BG21" s="2224"/>
      <c r="BH21" s="191"/>
      <c r="BI21" s="2224"/>
      <c r="BJ21" s="191"/>
      <c r="BK21" s="2224"/>
      <c r="BL21" s="191"/>
      <c r="BM21" s="2251"/>
      <c r="BN21" s="97"/>
      <c r="BO21" s="2251"/>
      <c r="BP21" s="97"/>
      <c r="BQ21" s="2251"/>
      <c r="BR21" s="97"/>
      <c r="BS21" s="2251"/>
      <c r="BT21" s="185"/>
      <c r="BU21" s="2251"/>
      <c r="BV21" s="138"/>
      <c r="BW21" s="2251"/>
      <c r="BX21" s="97"/>
      <c r="BY21" s="2251"/>
      <c r="BZ21" s="97"/>
      <c r="CA21" s="2251"/>
      <c r="CB21" s="97"/>
      <c r="CC21" s="2251"/>
      <c r="CD21" s="97"/>
      <c r="CE21" s="2251"/>
      <c r="CF21" s="97"/>
      <c r="CG21" s="2251"/>
      <c r="CH21" s="105"/>
      <c r="CI21" s="2251"/>
      <c r="CJ21" s="97"/>
      <c r="CK21" s="2251"/>
      <c r="CL21" s="97"/>
      <c r="CM21" s="2251"/>
      <c r="CN21" s="73">
        <f t="shared" si="1"/>
        <v>0</v>
      </c>
      <c r="CO21" s="97"/>
      <c r="CP21" s="106"/>
      <c r="CQ21" s="139"/>
      <c r="CR21" s="139"/>
      <c r="CS21" s="139"/>
      <c r="CT21" s="139"/>
      <c r="CU21" s="108"/>
      <c r="CV21" s="2258"/>
      <c r="CW21" s="97"/>
      <c r="CX21" s="2244"/>
      <c r="CY21" s="2261"/>
      <c r="CZ21" s="83"/>
      <c r="DA21" s="2253"/>
      <c r="DB21" s="97"/>
      <c r="DC21" s="2244"/>
      <c r="DD21" s="97"/>
      <c r="DE21" s="2244"/>
      <c r="DF21" s="97"/>
      <c r="DG21" s="2244"/>
      <c r="DH21" s="97"/>
      <c r="DI21" s="2244"/>
      <c r="DJ21" s="97"/>
      <c r="DK21" s="2244"/>
      <c r="DL21" s="97"/>
      <c r="DM21" s="214"/>
      <c r="DN21" s="83"/>
      <c r="DO21" s="2244"/>
      <c r="DP21" s="83"/>
      <c r="DQ21" s="2244"/>
      <c r="DR21" s="83"/>
      <c r="DS21" s="2244"/>
      <c r="DT21" s="83"/>
      <c r="DU21" s="2244"/>
      <c r="DV21" s="83"/>
      <c r="DW21" s="214"/>
      <c r="DX21" s="75"/>
      <c r="DY21" s="2244"/>
      <c r="DZ21" s="76"/>
      <c r="EA21" s="2244"/>
      <c r="EB21" s="76"/>
      <c r="EC21" s="2244"/>
      <c r="ED21" s="76"/>
      <c r="EE21" s="2244"/>
      <c r="EF21" s="76"/>
      <c r="EG21" s="2244"/>
      <c r="EH21" s="76"/>
      <c r="EI21" s="2244"/>
      <c r="EJ21" s="76"/>
      <c r="EK21" s="215"/>
      <c r="EL21" s="97"/>
      <c r="EM21" s="2246"/>
      <c r="EN21" s="102"/>
      <c r="EO21" s="2246"/>
      <c r="EP21" s="111"/>
      <c r="EQ21" s="110"/>
      <c r="ER21" s="102"/>
      <c r="ES21" s="110"/>
      <c r="ET21" s="74"/>
      <c r="EU21" s="2244"/>
      <c r="EV21" s="122"/>
      <c r="EW21" s="2244"/>
      <c r="EX21" s="88"/>
      <c r="EY21" s="2244"/>
      <c r="EZ21" s="2248"/>
      <c r="FA21" s="2224"/>
      <c r="FB21" s="2244"/>
      <c r="FC21" s="2224"/>
      <c r="FD21" s="2244"/>
      <c r="FE21" s="2224"/>
      <c r="FF21" s="2244"/>
      <c r="FG21" s="102"/>
      <c r="FH21" s="2244"/>
      <c r="FI21" s="102"/>
      <c r="FJ21" s="2244"/>
      <c r="FK21" s="102"/>
      <c r="FL21" s="2244"/>
      <c r="FM21" s="102"/>
      <c r="FN21" s="2244"/>
      <c r="FO21" s="102"/>
      <c r="FP21" s="110"/>
      <c r="FQ21" s="102"/>
      <c r="FR21" s="2244"/>
      <c r="FS21" s="2244"/>
      <c r="FT21" s="2240"/>
      <c r="FU21" s="2233"/>
      <c r="FV21" s="2235"/>
      <c r="FW21" s="2235"/>
      <c r="FX21" s="2233"/>
      <c r="FY21" s="2233"/>
      <c r="FZ21" s="2233"/>
      <c r="GA21" s="2232"/>
      <c r="GB21" s="2233"/>
      <c r="GC21" s="2233"/>
      <c r="GD21" s="2233"/>
      <c r="GE21" s="2232"/>
      <c r="GF21" s="2233"/>
      <c r="GG21" s="2232"/>
      <c r="GH21" s="2232"/>
      <c r="GI21" s="2232"/>
      <c r="GJ21" s="2232"/>
      <c r="GK21" s="2232"/>
      <c r="GL21" s="2235"/>
      <c r="GM21" s="2235"/>
      <c r="GN21" s="2235"/>
      <c r="GO21" s="194"/>
      <c r="GP21" s="112"/>
      <c r="GQ21" s="194"/>
      <c r="GR21" s="112"/>
      <c r="GS21" s="194"/>
      <c r="GT21" s="112"/>
      <c r="GU21" s="112"/>
      <c r="GV21" s="113"/>
      <c r="GW21" s="113"/>
      <c r="GX21" s="113"/>
      <c r="GY21" s="113"/>
      <c r="GZ21" s="112"/>
      <c r="HA21" s="113"/>
      <c r="HB21" s="113"/>
      <c r="HC21" s="2230"/>
    </row>
    <row r="22" spans="1:219" s="91" customFormat="1" ht="18.75">
      <c r="A22" s="216">
        <v>7</v>
      </c>
      <c r="B22" s="217" t="s">
        <v>703</v>
      </c>
      <c r="C22" s="218">
        <v>3185</v>
      </c>
      <c r="D22" s="218">
        <v>1</v>
      </c>
      <c r="E22" s="219">
        <v>2031850001</v>
      </c>
      <c r="F22" s="220">
        <v>12988</v>
      </c>
      <c r="G22" s="221" t="s">
        <v>704</v>
      </c>
      <c r="H22" s="222"/>
      <c r="I22" s="218">
        <v>0.15</v>
      </c>
      <c r="J22" s="218">
        <v>0</v>
      </c>
      <c r="K22" s="218">
        <v>2</v>
      </c>
      <c r="L22" s="218">
        <v>6.5</v>
      </c>
      <c r="M22" s="220">
        <v>2000</v>
      </c>
      <c r="N22" s="220">
        <f>M22</f>
        <v>2000</v>
      </c>
      <c r="O22" s="220">
        <v>0</v>
      </c>
      <c r="P22" s="220">
        <v>2000</v>
      </c>
      <c r="Q22" s="223">
        <v>0</v>
      </c>
      <c r="R22" s="91" t="s">
        <v>711</v>
      </c>
      <c r="S22" s="214">
        <f>T22</f>
        <v>0</v>
      </c>
      <c r="T22" s="83">
        <v>0</v>
      </c>
      <c r="U22" s="214">
        <f>V22</f>
        <v>2000</v>
      </c>
      <c r="V22" s="111">
        <f>M22</f>
        <v>2000</v>
      </c>
      <c r="W22" s="214">
        <f>X22</f>
        <v>2000</v>
      </c>
      <c r="X22" s="83">
        <f>V22-Z22</f>
        <v>2000</v>
      </c>
      <c r="Y22" s="214">
        <f>Z22</f>
        <v>0</v>
      </c>
      <c r="Z22" s="83">
        <v>0</v>
      </c>
      <c r="AA22" s="214">
        <f>AB22</f>
        <v>0</v>
      </c>
      <c r="AB22" s="83">
        <v>0</v>
      </c>
      <c r="AC22" s="214">
        <f>AD22</f>
        <v>0</v>
      </c>
      <c r="AD22" s="76">
        <f>V22-(Z22+AB22+AF22+AL22+AN22+AP22+AZ22+AR22+AT22+AV22+AX22)</f>
        <v>0</v>
      </c>
      <c r="AE22" s="215">
        <f>AF22</f>
        <v>2000</v>
      </c>
      <c r="AF22" s="76">
        <f>AG22+AI22</f>
        <v>2000</v>
      </c>
      <c r="AG22" s="76">
        <f>0.5*X22</f>
        <v>1000</v>
      </c>
      <c r="AH22" s="76">
        <f>AG22</f>
        <v>1000</v>
      </c>
      <c r="AI22" s="76">
        <f>0.5*X22</f>
        <v>1000</v>
      </c>
      <c r="AJ22" s="76">
        <f>AI22</f>
        <v>1000</v>
      </c>
      <c r="AK22" s="215">
        <f>AL22</f>
        <v>0</v>
      </c>
      <c r="AL22" s="76">
        <v>0</v>
      </c>
      <c r="AM22" s="215">
        <v>0</v>
      </c>
      <c r="AN22" s="76">
        <v>0</v>
      </c>
      <c r="AO22" s="194">
        <f>AP22</f>
        <v>0</v>
      </c>
      <c r="AP22" s="76">
        <v>0</v>
      </c>
      <c r="AQ22" s="215">
        <f>AR22</f>
        <v>0</v>
      </c>
      <c r="AR22" s="76">
        <v>0</v>
      </c>
      <c r="AS22" s="215">
        <f>AT22</f>
        <v>0</v>
      </c>
      <c r="AT22" s="76">
        <v>0</v>
      </c>
      <c r="AU22" s="215">
        <f>AV22</f>
        <v>0</v>
      </c>
      <c r="AV22" s="76">
        <v>0</v>
      </c>
      <c r="AW22" s="215">
        <f>AX22</f>
        <v>0</v>
      </c>
      <c r="AX22" s="76">
        <v>0</v>
      </c>
      <c r="AY22" s="215">
        <f>AZ22</f>
        <v>0</v>
      </c>
      <c r="AZ22" s="75">
        <f t="shared" si="0"/>
        <v>0</v>
      </c>
      <c r="BA22" s="194">
        <f>BB22</f>
        <v>0</v>
      </c>
      <c r="BB22" s="224">
        <v>0</v>
      </c>
      <c r="BC22" s="194">
        <f>BD22</f>
        <v>0</v>
      </c>
      <c r="BD22" s="224">
        <v>0</v>
      </c>
      <c r="BE22" s="194">
        <f>BF22</f>
        <v>0</v>
      </c>
      <c r="BF22" s="224">
        <v>0</v>
      </c>
      <c r="BG22" s="194">
        <f>BH22</f>
        <v>0</v>
      </c>
      <c r="BH22" s="224">
        <v>0</v>
      </c>
      <c r="BI22" s="194">
        <f>BJ22</f>
        <v>0</v>
      </c>
      <c r="BJ22" s="224">
        <v>0</v>
      </c>
      <c r="BK22" s="194">
        <f>BL22</f>
        <v>0</v>
      </c>
      <c r="BL22" s="224">
        <v>0</v>
      </c>
      <c r="BM22" s="215">
        <f>BN22</f>
        <v>2000</v>
      </c>
      <c r="BN22" s="83">
        <f>ROUND(T22+V22+AZ22+BB22,0)</f>
        <v>2000</v>
      </c>
      <c r="BO22" s="215">
        <f>BP22</f>
        <v>0</v>
      </c>
      <c r="BP22" s="83">
        <f>ROUND(T22/EP$141,0)</f>
        <v>0</v>
      </c>
      <c r="BQ22" s="215">
        <f>BR22</f>
        <v>0</v>
      </c>
      <c r="BR22" s="83">
        <f>BR$142*BP22</f>
        <v>0</v>
      </c>
      <c r="BS22" s="215">
        <f>BT22</f>
        <v>0</v>
      </c>
      <c r="BT22" s="185">
        <f t="shared" si="3"/>
        <v>0</v>
      </c>
      <c r="BU22" s="215">
        <f>BV22</f>
        <v>2</v>
      </c>
      <c r="BV22" s="225">
        <f>ROUND((AD22+AB22+Z22)/1000*3,0)+ROUND((AF22+AX22)/1000,0)+ROUND((ROUND(AL22/400,0))/2.67,0)+ROUND(AN22/250,0)+ROUND(AR22/15000,0)+ROUND((BB22+BD22+BF22+BJ22)/1000*3,0)+ROUND(BP22/25,0)+ROUND(CN22/50,0)</f>
        <v>2</v>
      </c>
      <c r="BW22" s="215">
        <f>BX22</f>
        <v>0</v>
      </c>
      <c r="BX22" s="83">
        <v>0</v>
      </c>
      <c r="BY22" s="215">
        <f>BZ22</f>
        <v>0</v>
      </c>
      <c r="BZ22" s="83">
        <v>0</v>
      </c>
      <c r="CA22" s="215">
        <f>CB22</f>
        <v>2</v>
      </c>
      <c r="CB22" s="83">
        <f>V22/1000</f>
        <v>2</v>
      </c>
      <c r="CC22" s="215">
        <f>CD22</f>
        <v>0</v>
      </c>
      <c r="CD22" s="83">
        <f>AB22/1000</f>
        <v>0</v>
      </c>
      <c r="CE22" s="215">
        <f>CF22</f>
        <v>0</v>
      </c>
      <c r="CF22" s="83">
        <f>((AL22/400)/12)</f>
        <v>0</v>
      </c>
      <c r="CG22" s="215">
        <f>CH22</f>
        <v>0</v>
      </c>
      <c r="CH22" s="226">
        <f>IFERROR(VLOOKUP(E22,#REF!,3,FALSE),0)</f>
        <v>0</v>
      </c>
      <c r="CI22" s="215" t="b">
        <f>CJ22</f>
        <v>0</v>
      </c>
      <c r="CJ22" s="83" t="b">
        <f>IF(G22="M1-2",F22/1000)</f>
        <v>0</v>
      </c>
      <c r="CK22" s="215">
        <f>CL22</f>
        <v>0</v>
      </c>
      <c r="CL22" s="83">
        <f>IF(BJ22&gt;0,"Calculate",0)</f>
        <v>0</v>
      </c>
      <c r="CM22" s="215">
        <f>CN22</f>
        <v>2</v>
      </c>
      <c r="CN22" s="73">
        <f t="shared" si="1"/>
        <v>2</v>
      </c>
      <c r="CO22" s="83"/>
      <c r="CP22" s="227">
        <v>10</v>
      </c>
      <c r="CQ22" s="228" t="s">
        <v>705</v>
      </c>
      <c r="CR22" s="228">
        <v>4.5999999999999996</v>
      </c>
      <c r="CS22" s="228">
        <v>2</v>
      </c>
      <c r="CT22" s="228">
        <v>4.5999999999999996</v>
      </c>
      <c r="CU22" s="229" t="s">
        <v>706</v>
      </c>
      <c r="CV22" s="230" t="s">
        <v>716</v>
      </c>
      <c r="CW22" s="83">
        <f>(CR22*F22)-CZ22</f>
        <v>48705</v>
      </c>
      <c r="CX22" s="231">
        <f>CW22</f>
        <v>48705</v>
      </c>
      <c r="CY22" s="232">
        <f>CZ22</f>
        <v>11039.8</v>
      </c>
      <c r="CZ22" s="83">
        <f>1*(F22)-(0.15*1*(F22))</f>
        <v>11039.8</v>
      </c>
      <c r="DA22" s="233">
        <f>DB22</f>
        <v>11039.8</v>
      </c>
      <c r="DB22" s="83">
        <f>CZ22-DD22</f>
        <v>11039.8</v>
      </c>
      <c r="DC22" s="231">
        <f>DD22</f>
        <v>0</v>
      </c>
      <c r="DD22" s="83">
        <v>0</v>
      </c>
      <c r="DE22" s="214">
        <f>DF22</f>
        <v>0</v>
      </c>
      <c r="DF22" s="83">
        <v>0</v>
      </c>
      <c r="DG22" s="214">
        <f>DH22</f>
        <v>11039.8</v>
      </c>
      <c r="DH22" s="83">
        <f>CZ22-(DD22+DF22+DJ22+DL22+DN22+DT22+DV22+DX22)</f>
        <v>11039.8</v>
      </c>
      <c r="DI22" s="214">
        <f>DJ22</f>
        <v>0</v>
      </c>
      <c r="DJ22" s="83">
        <v>0</v>
      </c>
      <c r="DK22" s="214">
        <f>DL22</f>
        <v>0</v>
      </c>
      <c r="DL22" s="83">
        <v>0</v>
      </c>
      <c r="DM22" s="2245">
        <f>DN22</f>
        <v>0</v>
      </c>
      <c r="DN22" s="73">
        <v>0</v>
      </c>
      <c r="DO22" s="214">
        <f>DP22</f>
        <v>0</v>
      </c>
      <c r="DP22" s="73">
        <v>0</v>
      </c>
      <c r="DQ22" s="214">
        <f>DR22</f>
        <v>0</v>
      </c>
      <c r="DR22" s="73">
        <v>0</v>
      </c>
      <c r="DS22" s="214">
        <f>DT22</f>
        <v>0</v>
      </c>
      <c r="DT22" s="73">
        <v>0</v>
      </c>
      <c r="DU22" s="214">
        <f>DV22</f>
        <v>0</v>
      </c>
      <c r="DV22" s="73">
        <v>0</v>
      </c>
      <c r="DW22" s="2245">
        <f>DX22</f>
        <v>0</v>
      </c>
      <c r="DX22" s="75">
        <f t="shared" si="2"/>
        <v>0</v>
      </c>
      <c r="DY22" s="214">
        <f>DZ22</f>
        <v>0</v>
      </c>
      <c r="DZ22" s="75">
        <v>0</v>
      </c>
      <c r="EA22" s="214">
        <f>EB22</f>
        <v>0</v>
      </c>
      <c r="EB22" s="75">
        <v>0</v>
      </c>
      <c r="EC22" s="214">
        <f>ED22</f>
        <v>0</v>
      </c>
      <c r="ED22" s="75">
        <v>0</v>
      </c>
      <c r="EE22" s="214">
        <f>EF22</f>
        <v>0</v>
      </c>
      <c r="EF22" s="75">
        <v>0</v>
      </c>
      <c r="EG22" s="214">
        <f>EH22</f>
        <v>0</v>
      </c>
      <c r="EH22" s="75">
        <v>0</v>
      </c>
      <c r="EI22" s="214">
        <f>EJ22</f>
        <v>0</v>
      </c>
      <c r="EJ22" s="75">
        <v>0</v>
      </c>
      <c r="EK22" s="2252">
        <f>EL22</f>
        <v>59744.800000000003</v>
      </c>
      <c r="EL22" s="83">
        <f>CW22+CZ22</f>
        <v>59744.800000000003</v>
      </c>
      <c r="EM22" s="234">
        <f>SUM(EN22)</f>
        <v>49</v>
      </c>
      <c r="EN22" s="111">
        <f>ROUND(CW22/EP$141,0)</f>
        <v>49</v>
      </c>
      <c r="EO22" s="234">
        <f>EP22</f>
        <v>9.8000000000000007</v>
      </c>
      <c r="EP22" s="111">
        <f>0.2*EN22</f>
        <v>9.8000000000000007</v>
      </c>
      <c r="EQ22" s="192">
        <f>ER22</f>
        <v>12.25</v>
      </c>
      <c r="ER22" s="111">
        <f t="shared" ref="ER22" si="5">0.25*EN22</f>
        <v>12.25</v>
      </c>
      <c r="ES22" s="192">
        <f>ET22</f>
        <v>11</v>
      </c>
      <c r="ET22" s="74">
        <f>FA22+FG22+FQ22</f>
        <v>11</v>
      </c>
      <c r="EU22" s="214">
        <f>EV22</f>
        <v>149.94</v>
      </c>
      <c r="EV22" s="122">
        <f>3.06*EN22</f>
        <v>149.94</v>
      </c>
      <c r="EW22" s="214">
        <f>EX22</f>
        <v>35</v>
      </c>
      <c r="EX22" s="88">
        <f>ROUND((DH22+DF22+DD22)/1000*3,0)+ROUND((ROUND(DL22/400,0))/2.67,0)+ROUND(DV22/1000,0)+ROUND((DZ22+EB22+ED22+EH22)/1000*3,0)+ROUND(EN22/25,0)+ROUND(ET22/50,0)</f>
        <v>35</v>
      </c>
      <c r="EY22" s="214" t="str">
        <f>EZ22</f>
        <v>waived</v>
      </c>
      <c r="EZ22" s="193" t="s">
        <v>713</v>
      </c>
      <c r="FA22" s="2223">
        <v>0</v>
      </c>
      <c r="FB22" s="214">
        <f>FC22</f>
        <v>0</v>
      </c>
      <c r="FC22" s="2223">
        <v>0</v>
      </c>
      <c r="FD22" s="214">
        <f>FE22</f>
        <v>0</v>
      </c>
      <c r="FE22" s="2223">
        <v>0</v>
      </c>
      <c r="FF22" s="214">
        <f>FG22</f>
        <v>11</v>
      </c>
      <c r="FG22" s="111">
        <f>ROUND((DH22+DJ22+DD22+DN22+DT22)/1000,0)</f>
        <v>11</v>
      </c>
      <c r="FH22" s="214">
        <f>FI22</f>
        <v>0</v>
      </c>
      <c r="FI22" s="111">
        <f>DF22/1000</f>
        <v>0</v>
      </c>
      <c r="FJ22" s="214">
        <f>FK22</f>
        <v>0</v>
      </c>
      <c r="FK22" s="111">
        <f>((DL22/400)/12)</f>
        <v>0</v>
      </c>
      <c r="FL22" s="214">
        <f>FM22</f>
        <v>0</v>
      </c>
      <c r="FM22" s="111">
        <v>0</v>
      </c>
      <c r="FN22" s="214">
        <f>FO22</f>
        <v>0</v>
      </c>
      <c r="FO22" s="111">
        <v>0</v>
      </c>
      <c r="FP22" s="192">
        <f>FQ22</f>
        <v>0</v>
      </c>
      <c r="FQ22" s="111">
        <f>DX22/1000</f>
        <v>0</v>
      </c>
      <c r="FR22" s="214">
        <f>FS22</f>
        <v>115</v>
      </c>
      <c r="FS22" s="214">
        <v>115</v>
      </c>
      <c r="FT22" s="2240">
        <f>CX22-S22</f>
        <v>48705</v>
      </c>
      <c r="FU22" s="2233">
        <f>CY22-U22</f>
        <v>9039.7999999999993</v>
      </c>
      <c r="FV22" s="2235">
        <f>(DC22+DE22+DG22)-(Y22+AA22+AC22+AE22)</f>
        <v>9039.7999999999993</v>
      </c>
      <c r="FW22" s="2235">
        <f>DG22-AC22</f>
        <v>11039.8</v>
      </c>
      <c r="FX22" s="2233">
        <f>DE22-AA22</f>
        <v>0</v>
      </c>
      <c r="FY22" s="2233">
        <f>DC22-Y22</f>
        <v>0</v>
      </c>
      <c r="FZ22" s="2233">
        <f>DJ22-AE22</f>
        <v>-2000</v>
      </c>
      <c r="GA22" s="235">
        <f>DL22-AL22</f>
        <v>0</v>
      </c>
      <c r="GB22" s="2233">
        <f>DM22-AM22</f>
        <v>0</v>
      </c>
      <c r="GC22" s="2233">
        <f>DP22-AQ22</f>
        <v>0</v>
      </c>
      <c r="GD22" s="2233">
        <f>DR22-AS22</f>
        <v>0</v>
      </c>
      <c r="GE22" s="235">
        <f>DT22-AV22</f>
        <v>0</v>
      </c>
      <c r="GF22" s="2233">
        <f>DV22-AW22</f>
        <v>0</v>
      </c>
      <c r="GG22" s="235">
        <f>DZ22-BB22</f>
        <v>0</v>
      </c>
      <c r="GH22" s="235">
        <f>EB22-BD22</f>
        <v>0</v>
      </c>
      <c r="GI22" s="235">
        <f>ED22-BF22</f>
        <v>0</v>
      </c>
      <c r="GJ22" s="235">
        <f>EF22-BH22</f>
        <v>0</v>
      </c>
      <c r="GK22" s="235">
        <f>EH22-BJ22</f>
        <v>0</v>
      </c>
      <c r="GL22" s="2235">
        <f>DW22-AY22</f>
        <v>0</v>
      </c>
      <c r="GM22" s="2235">
        <f>EK22-BM22</f>
        <v>57744.800000000003</v>
      </c>
      <c r="GN22" s="2235">
        <f>EM22-BO22</f>
        <v>49</v>
      </c>
      <c r="GO22" s="2225">
        <f>GP22</f>
        <v>9.8000000000000007</v>
      </c>
      <c r="GP22" s="89">
        <f>EP22-BR22</f>
        <v>9.8000000000000007</v>
      </c>
      <c r="GQ22" s="2225">
        <f>GR22</f>
        <v>149.94</v>
      </c>
      <c r="GR22" s="89">
        <f>EV22-BT22</f>
        <v>149.94</v>
      </c>
      <c r="GS22" s="2225">
        <f>GT22</f>
        <v>33</v>
      </c>
      <c r="GT22" s="89">
        <f>EX22-BV22</f>
        <v>33</v>
      </c>
      <c r="GU22" s="113">
        <f>FA22-BX22</f>
        <v>0</v>
      </c>
      <c r="GV22" s="112">
        <f>FI22-CD22</f>
        <v>0</v>
      </c>
      <c r="GW22" s="112">
        <v>0</v>
      </c>
      <c r="GX22" s="112">
        <f>FG22-CB22</f>
        <v>9</v>
      </c>
      <c r="GY22" s="112">
        <f>FK22-CF22</f>
        <v>0</v>
      </c>
      <c r="GZ22" s="112">
        <f>FM22-CH22</f>
        <v>0</v>
      </c>
      <c r="HA22" s="112">
        <f>FO22-CJ22</f>
        <v>0</v>
      </c>
      <c r="HB22" s="112">
        <f>FQ22-CL22</f>
        <v>0</v>
      </c>
      <c r="HC22" s="2230">
        <f>GU22+GV22+GX22+GY22+HA22+HB22</f>
        <v>9</v>
      </c>
      <c r="HD22" s="95"/>
      <c r="HE22" s="95"/>
    </row>
    <row r="23" spans="1:219" s="95" customFormat="1" ht="18.75">
      <c r="A23" s="2263"/>
      <c r="B23" s="131"/>
      <c r="C23" s="132"/>
      <c r="D23" s="132"/>
      <c r="E23" s="133"/>
      <c r="F23" s="134"/>
      <c r="G23" s="135"/>
      <c r="H23" s="136"/>
      <c r="I23" s="132"/>
      <c r="J23" s="132"/>
      <c r="K23" s="132"/>
      <c r="L23" s="132"/>
      <c r="M23" s="134"/>
      <c r="N23" s="134"/>
      <c r="O23" s="134"/>
      <c r="P23" s="134"/>
      <c r="Q23" s="137"/>
      <c r="S23" s="101"/>
      <c r="T23" s="97"/>
      <c r="U23" s="2244"/>
      <c r="V23" s="102"/>
      <c r="W23" s="2244"/>
      <c r="X23" s="97"/>
      <c r="Y23" s="2244"/>
      <c r="Z23" s="97"/>
      <c r="AA23" s="2244"/>
      <c r="AB23" s="97"/>
      <c r="AC23" s="2244"/>
      <c r="AD23" s="103"/>
      <c r="AE23" s="2251"/>
      <c r="AF23" s="103"/>
      <c r="AG23" s="103"/>
      <c r="AH23" s="103"/>
      <c r="AI23" s="103"/>
      <c r="AJ23" s="103"/>
      <c r="AK23" s="2251"/>
      <c r="AL23" s="103"/>
      <c r="AM23" s="2251"/>
      <c r="AN23" s="103"/>
      <c r="AO23" s="2224"/>
      <c r="AP23" s="103"/>
      <c r="AQ23" s="2251"/>
      <c r="AR23" s="103"/>
      <c r="AS23" s="2251"/>
      <c r="AT23" s="103"/>
      <c r="AU23" s="2251"/>
      <c r="AV23" s="103"/>
      <c r="AW23" s="2251"/>
      <c r="AX23" s="103"/>
      <c r="AY23" s="2251"/>
      <c r="AZ23" s="75">
        <f t="shared" si="0"/>
        <v>0</v>
      </c>
      <c r="BA23" s="2224"/>
      <c r="BB23" s="191"/>
      <c r="BC23" s="2224"/>
      <c r="BD23" s="191"/>
      <c r="BE23" s="2224"/>
      <c r="BF23" s="191"/>
      <c r="BG23" s="2224"/>
      <c r="BH23" s="191"/>
      <c r="BI23" s="2224"/>
      <c r="BJ23" s="191"/>
      <c r="BK23" s="2224"/>
      <c r="BL23" s="191"/>
      <c r="BM23" s="2251"/>
      <c r="BN23" s="97"/>
      <c r="BO23" s="2251"/>
      <c r="BP23" s="97"/>
      <c r="BQ23" s="2251"/>
      <c r="BR23" s="97"/>
      <c r="BS23" s="2251"/>
      <c r="BT23" s="185"/>
      <c r="BU23" s="2251"/>
      <c r="BV23" s="138"/>
      <c r="BW23" s="2251"/>
      <c r="BX23" s="97"/>
      <c r="BY23" s="2251"/>
      <c r="BZ23" s="97"/>
      <c r="CA23" s="2251"/>
      <c r="CB23" s="97"/>
      <c r="CC23" s="2251"/>
      <c r="CD23" s="97"/>
      <c r="CE23" s="2251"/>
      <c r="CF23" s="97"/>
      <c r="CG23" s="2251"/>
      <c r="CH23" s="105"/>
      <c r="CI23" s="2251"/>
      <c r="CJ23" s="97"/>
      <c r="CK23" s="2251"/>
      <c r="CL23" s="97"/>
      <c r="CM23" s="2251"/>
      <c r="CN23" s="73">
        <f t="shared" si="1"/>
        <v>0</v>
      </c>
      <c r="CO23" s="97"/>
      <c r="CP23" s="106"/>
      <c r="CQ23" s="139"/>
      <c r="CR23" s="139"/>
      <c r="CS23" s="139"/>
      <c r="CT23" s="139"/>
      <c r="CU23" s="108"/>
      <c r="CV23" s="2258"/>
      <c r="CW23" s="97"/>
      <c r="CX23" s="2244"/>
      <c r="CY23" s="2261"/>
      <c r="CZ23" s="97"/>
      <c r="DA23" s="2253"/>
      <c r="DB23" s="97"/>
      <c r="DC23" s="2244"/>
      <c r="DD23" s="97"/>
      <c r="DE23" s="2244"/>
      <c r="DF23" s="97"/>
      <c r="DG23" s="2244"/>
      <c r="DH23" s="97"/>
      <c r="DI23" s="2244"/>
      <c r="DJ23" s="97"/>
      <c r="DK23" s="2244"/>
      <c r="DL23" s="97"/>
      <c r="DM23" s="2244"/>
      <c r="DN23" s="97"/>
      <c r="DO23" s="2244"/>
      <c r="DP23" s="97"/>
      <c r="DQ23" s="2244"/>
      <c r="DR23" s="97"/>
      <c r="DS23" s="2244"/>
      <c r="DT23" s="97"/>
      <c r="DU23" s="2244"/>
      <c r="DV23" s="97"/>
      <c r="DW23" s="2244"/>
      <c r="DX23" s="75"/>
      <c r="DY23" s="2244"/>
      <c r="DZ23" s="103"/>
      <c r="EA23" s="2244"/>
      <c r="EB23" s="103"/>
      <c r="EC23" s="2244"/>
      <c r="ED23" s="103"/>
      <c r="EE23" s="2244"/>
      <c r="EF23" s="103"/>
      <c r="EG23" s="2244"/>
      <c r="EH23" s="103"/>
      <c r="EI23" s="2244"/>
      <c r="EJ23" s="103"/>
      <c r="EK23" s="2251"/>
      <c r="EL23" s="97"/>
      <c r="EM23" s="2246"/>
      <c r="EN23" s="102"/>
      <c r="EO23" s="2246"/>
      <c r="EP23" s="102"/>
      <c r="EQ23" s="110"/>
      <c r="ER23" s="102"/>
      <c r="ES23" s="110"/>
      <c r="ET23" s="74"/>
      <c r="EU23" s="2244"/>
      <c r="EV23" s="122"/>
      <c r="EW23" s="2244"/>
      <c r="EX23" s="88"/>
      <c r="EY23" s="2244"/>
      <c r="EZ23" s="2248"/>
      <c r="FA23" s="194"/>
      <c r="FB23" s="2244"/>
      <c r="FC23" s="194"/>
      <c r="FD23" s="2244"/>
      <c r="FE23" s="194"/>
      <c r="FF23" s="2244"/>
      <c r="FG23" s="102"/>
      <c r="FH23" s="2244"/>
      <c r="FI23" s="102"/>
      <c r="FJ23" s="2244"/>
      <c r="FK23" s="102"/>
      <c r="FL23" s="2244"/>
      <c r="FM23" s="102"/>
      <c r="FN23" s="2244"/>
      <c r="FO23" s="102"/>
      <c r="FP23" s="110"/>
      <c r="FQ23" s="102"/>
      <c r="FR23" s="2244"/>
      <c r="FS23" s="2244"/>
      <c r="FT23" s="2240"/>
      <c r="FU23" s="2233"/>
      <c r="FV23" s="2235"/>
      <c r="FW23" s="2235"/>
      <c r="FX23" s="2233"/>
      <c r="FY23" s="2233"/>
      <c r="FZ23" s="2233"/>
      <c r="GA23" s="2232"/>
      <c r="GB23" s="2233"/>
      <c r="GC23" s="2233"/>
      <c r="GD23" s="2233"/>
      <c r="GE23" s="2232"/>
      <c r="GF23" s="2233"/>
      <c r="GG23" s="2232"/>
      <c r="GH23" s="2232"/>
      <c r="GI23" s="2232"/>
      <c r="GJ23" s="2232"/>
      <c r="GK23" s="2232"/>
      <c r="GL23" s="2235"/>
      <c r="GM23" s="2235"/>
      <c r="GN23" s="2235"/>
      <c r="GO23" s="2224"/>
      <c r="GP23" s="112"/>
      <c r="GQ23" s="2224"/>
      <c r="GR23" s="112"/>
      <c r="GS23" s="2224"/>
      <c r="GT23" s="113"/>
      <c r="GU23" s="114"/>
      <c r="GV23" s="113"/>
      <c r="GW23" s="113"/>
      <c r="GX23" s="113"/>
      <c r="GY23" s="113"/>
      <c r="GZ23" s="112"/>
      <c r="HA23" s="113"/>
      <c r="HB23" s="113"/>
      <c r="HC23" s="2230"/>
    </row>
    <row r="24" spans="1:219" s="90" customFormat="1" ht="15" customHeight="1">
      <c r="A24" s="2588">
        <v>8</v>
      </c>
      <c r="B24" s="3687" t="s">
        <v>703</v>
      </c>
      <c r="C24" s="115">
        <v>3192</v>
      </c>
      <c r="D24" s="115">
        <v>42</v>
      </c>
      <c r="E24" s="116">
        <v>2031920042</v>
      </c>
      <c r="F24" s="117">
        <v>9688</v>
      </c>
      <c r="G24" s="118" t="s">
        <v>704</v>
      </c>
      <c r="H24" s="119"/>
      <c r="I24" s="115">
        <v>0.12</v>
      </c>
      <c r="J24" s="115">
        <v>0</v>
      </c>
      <c r="K24" s="115">
        <v>2</v>
      </c>
      <c r="L24" s="115">
        <v>6.5</v>
      </c>
      <c r="M24" s="117">
        <v>1168</v>
      </c>
      <c r="N24" s="117">
        <v>1168</v>
      </c>
      <c r="O24" s="117">
        <v>0</v>
      </c>
      <c r="P24" s="117">
        <v>1168</v>
      </c>
      <c r="Q24" s="120">
        <v>0</v>
      </c>
      <c r="R24" s="90" t="s">
        <v>723</v>
      </c>
      <c r="S24" s="2590">
        <f>SUM(T24:T27)</f>
        <v>0</v>
      </c>
      <c r="T24" s="121">
        <v>0</v>
      </c>
      <c r="U24" s="2590">
        <f>SUM(V24:V27)</f>
        <v>3868</v>
      </c>
      <c r="V24" s="122">
        <f>M24</f>
        <v>1168</v>
      </c>
      <c r="W24" s="2590">
        <f>SUM(X24:X27)</f>
        <v>3868</v>
      </c>
      <c r="X24" s="121">
        <f>V24-Z24</f>
        <v>1168</v>
      </c>
      <c r="Y24" s="2590">
        <f>SUM(Z24:Z27)</f>
        <v>0</v>
      </c>
      <c r="Z24" s="121">
        <v>0</v>
      </c>
      <c r="AA24" s="2590">
        <f>SUM(AB24:AB27)</f>
        <v>0</v>
      </c>
      <c r="AB24" s="121">
        <v>0</v>
      </c>
      <c r="AC24" s="2590">
        <f>SUM(AD24:AD25)</f>
        <v>0</v>
      </c>
      <c r="AD24" s="123">
        <f>V24-(Z24+AB24+AF24+AL24+AN24+AP24+AZ24+AR24+AT24+AV24+AX24)</f>
        <v>0</v>
      </c>
      <c r="AE24" s="2580">
        <f>SUM(AF24:AF27)</f>
        <v>3868</v>
      </c>
      <c r="AF24" s="123">
        <f>AG24+AI24</f>
        <v>1168</v>
      </c>
      <c r="AG24" s="123">
        <f>X24</f>
        <v>1168</v>
      </c>
      <c r="AH24" s="2580">
        <f>SUM(AG24:AG27)</f>
        <v>1168</v>
      </c>
      <c r="AI24" s="123">
        <v>0</v>
      </c>
      <c r="AJ24" s="2580">
        <f>SUM(AI24:AI27)</f>
        <v>2700</v>
      </c>
      <c r="AK24" s="2580">
        <f>SUM(AL24:AL27)</f>
        <v>0</v>
      </c>
      <c r="AL24" s="123">
        <v>0</v>
      </c>
      <c r="AM24" s="2580">
        <f>SUM(AN24:AN27)</f>
        <v>0</v>
      </c>
      <c r="AN24" s="123">
        <v>0</v>
      </c>
      <c r="AO24" s="2582">
        <f>SUM(AP24:AP27)</f>
        <v>0</v>
      </c>
      <c r="AP24" s="123">
        <v>0</v>
      </c>
      <c r="AQ24" s="2580">
        <f>SUM(AR24:AR27)</f>
        <v>0</v>
      </c>
      <c r="AR24" s="123">
        <v>0</v>
      </c>
      <c r="AS24" s="2580">
        <f>SUM(AT24:AT27)</f>
        <v>0</v>
      </c>
      <c r="AT24" s="123">
        <v>0</v>
      </c>
      <c r="AU24" s="2580">
        <f>SUM(AV24:AV27)</f>
        <v>0</v>
      </c>
      <c r="AV24" s="123">
        <v>0</v>
      </c>
      <c r="AW24" s="2580">
        <f>SUM(AX24:AX27)</f>
        <v>0</v>
      </c>
      <c r="AX24" s="123">
        <v>0</v>
      </c>
      <c r="AY24" s="2580">
        <f>SUM(AZ24:AZ27)</f>
        <v>0</v>
      </c>
      <c r="AZ24" s="103">
        <f t="shared" si="0"/>
        <v>0</v>
      </c>
      <c r="BA24" s="2582">
        <f>SUM(BB24:BB27)</f>
        <v>0</v>
      </c>
      <c r="BB24" s="121">
        <v>0</v>
      </c>
      <c r="BC24" s="2582">
        <f>SUM(BD24:BD27)</f>
        <v>0</v>
      </c>
      <c r="BD24" s="121">
        <v>0</v>
      </c>
      <c r="BE24" s="2582">
        <f>SUM(BF24:BF27)</f>
        <v>0</v>
      </c>
      <c r="BF24" s="121">
        <v>0</v>
      </c>
      <c r="BG24" s="2582">
        <f>SUM(BH24:BH27)</f>
        <v>0</v>
      </c>
      <c r="BH24" s="121">
        <v>0</v>
      </c>
      <c r="BI24" s="2582">
        <f>SUM(BJ24:BJ27)</f>
        <v>0</v>
      </c>
      <c r="BJ24" s="121">
        <v>0</v>
      </c>
      <c r="BK24" s="2582">
        <f>SUM(BL24:BL27)</f>
        <v>0</v>
      </c>
      <c r="BL24" s="121">
        <v>0</v>
      </c>
      <c r="BM24" s="2580">
        <f>SUM(BN24:BN27)</f>
        <v>3868</v>
      </c>
      <c r="BN24" s="121">
        <f>ROUND(T24+V24,0)</f>
        <v>1168</v>
      </c>
      <c r="BO24" s="2580">
        <f>SUM(BP24:BP27)</f>
        <v>0</v>
      </c>
      <c r="BP24" s="121">
        <f>ROUND(T24/EP$141,0)</f>
        <v>0</v>
      </c>
      <c r="BQ24" s="2580">
        <f>SUM(BR24:BR27)</f>
        <v>0</v>
      </c>
      <c r="BR24" s="121">
        <f>BR$142*BP24</f>
        <v>0</v>
      </c>
      <c r="BS24" s="2580">
        <f>SUM(BT24:BT27)</f>
        <v>0</v>
      </c>
      <c r="BT24" s="185">
        <f t="shared" si="3"/>
        <v>0</v>
      </c>
      <c r="BU24" s="2580">
        <f>SUM(BV24:BV27)</f>
        <v>4</v>
      </c>
      <c r="BV24" s="125">
        <f>ROUND((AD24+AB24+Z24)/1000*3,0)+ROUND((AF24+AX24)/1000,0)+ROUND((ROUND(AL24/400,0))/2.67,0)+ROUND(AN24/250,0)+ROUND(AR24/15000,0)+ROUND((BB24+BD24+BF24+BJ24)/1000*3,0)+ROUND(BP24/25,0)+ROUND(CN24/50,0)</f>
        <v>1</v>
      </c>
      <c r="BW24" s="2580">
        <f>SUM(BX24:BX27)</f>
        <v>0</v>
      </c>
      <c r="BX24" s="121">
        <v>0</v>
      </c>
      <c r="BY24" s="2580">
        <f>SUM(BZ24:BZ27)</f>
        <v>0</v>
      </c>
      <c r="BZ24" s="121">
        <v>0</v>
      </c>
      <c r="CA24" s="2580">
        <f>SUM(CB24:CB27)</f>
        <v>3.8680000000000003</v>
      </c>
      <c r="CB24" s="121">
        <f>V24/1000</f>
        <v>1.1679999999999999</v>
      </c>
      <c r="CC24" s="2580">
        <f>SUM(CD24:CD27)</f>
        <v>0</v>
      </c>
      <c r="CD24" s="121">
        <f>AB24/1000</f>
        <v>0</v>
      </c>
      <c r="CE24" s="2580">
        <f>SUM(CF24:CF27)</f>
        <v>0</v>
      </c>
      <c r="CF24" s="121">
        <f>((AL24/400)/12)</f>
        <v>0</v>
      </c>
      <c r="CG24" s="2580">
        <f>SUM(CH24:CH27)</f>
        <v>0</v>
      </c>
      <c r="CH24" s="126">
        <f>IFERROR(VLOOKUP(E24,#REF!,3,FALSE),0)</f>
        <v>0</v>
      </c>
      <c r="CI24" s="2580">
        <f>SUM(CJ24:CJ27)</f>
        <v>0</v>
      </c>
      <c r="CJ24" s="121" t="b">
        <f>IF(G24="M1-2",F24/1000)</f>
        <v>0</v>
      </c>
      <c r="CK24" s="2580">
        <f>SUM(CL24:CL27)</f>
        <v>0</v>
      </c>
      <c r="CL24" s="121">
        <f>IF(BJ24&gt;0,"Calculate",0)</f>
        <v>0</v>
      </c>
      <c r="CM24" s="2580">
        <f>SUM(CN24:CN27)</f>
        <v>3.8680000000000003</v>
      </c>
      <c r="CN24" s="121">
        <f t="shared" si="1"/>
        <v>1.1679999999999999</v>
      </c>
      <c r="CO24" s="121"/>
      <c r="CP24" s="2265">
        <v>10</v>
      </c>
      <c r="CQ24" s="127" t="s">
        <v>705</v>
      </c>
      <c r="CR24" s="127">
        <v>4.5999999999999996</v>
      </c>
      <c r="CS24" s="127">
        <v>2</v>
      </c>
      <c r="CT24" s="127">
        <v>4.5999999999999996</v>
      </c>
      <c r="CU24" s="128" t="s">
        <v>706</v>
      </c>
      <c r="CV24" s="2596" t="s">
        <v>716</v>
      </c>
      <c r="CW24" s="121">
        <f>(CR24*F24)-CZ24</f>
        <v>36330</v>
      </c>
      <c r="CX24" s="2590">
        <f>SUM(CW24:CW27)</f>
        <v>77628.75</v>
      </c>
      <c r="CY24" s="2598">
        <f>SUM(CZ24:CZ27)</f>
        <v>17595.849999999999</v>
      </c>
      <c r="CZ24" s="121">
        <f>1*(F24)-(0.15*1*(F24))</f>
        <v>8234.7999999999993</v>
      </c>
      <c r="DA24" s="2592">
        <f>SUM(DB24:DB27)</f>
        <v>17595.849999999999</v>
      </c>
      <c r="DB24" s="121">
        <f>CZ24-DD24</f>
        <v>8234.7999999999993</v>
      </c>
      <c r="DC24" s="2590">
        <v>0</v>
      </c>
      <c r="DD24" s="121">
        <v>0</v>
      </c>
      <c r="DE24" s="2590">
        <f>SUM(DF24:DF27)</f>
        <v>0</v>
      </c>
      <c r="DF24" s="121">
        <v>0</v>
      </c>
      <c r="DG24" s="2590">
        <f>SUM(DH24:DH27)</f>
        <v>17595.849999999999</v>
      </c>
      <c r="DH24" s="121">
        <f>CZ24-(DD24+DF24+DJ24+DL24+DN24+DT24+DV24+DX24)</f>
        <v>8234.7999999999993</v>
      </c>
      <c r="DI24" s="2590">
        <f>SUM(DJ24:DJ27)</f>
        <v>0</v>
      </c>
      <c r="DJ24" s="121">
        <v>0</v>
      </c>
      <c r="DK24" s="2590">
        <f>SUM(DL24:DL27)</f>
        <v>0</v>
      </c>
      <c r="DL24" s="121">
        <v>0</v>
      </c>
      <c r="DM24" s="2590">
        <f>SUM(DN24:DN25)</f>
        <v>0</v>
      </c>
      <c r="DN24" s="121">
        <v>0</v>
      </c>
      <c r="DO24" s="2590">
        <f>SUM(DP24:DP27)</f>
        <v>0</v>
      </c>
      <c r="DP24" s="121">
        <v>0</v>
      </c>
      <c r="DQ24" s="2590">
        <f>SUM(DR24:DR27)</f>
        <v>0</v>
      </c>
      <c r="DR24" s="121">
        <v>0</v>
      </c>
      <c r="DS24" s="2590">
        <f>SUM(DT24:DT27)</f>
        <v>0</v>
      </c>
      <c r="DT24" s="121">
        <v>0</v>
      </c>
      <c r="DU24" s="2590">
        <f>SUM(DV24:DV27)</f>
        <v>0</v>
      </c>
      <c r="DV24" s="121">
        <v>0</v>
      </c>
      <c r="DW24" s="2590">
        <f>SUM(DX24:DX25)</f>
        <v>0</v>
      </c>
      <c r="DX24" s="103">
        <f t="shared" si="2"/>
        <v>0</v>
      </c>
      <c r="DY24" s="2590">
        <f>SUM(DZ24:DZ27)</f>
        <v>0</v>
      </c>
      <c r="DZ24" s="123">
        <v>0</v>
      </c>
      <c r="EA24" s="2590">
        <f>SUM(EB24:EB27)</f>
        <v>0</v>
      </c>
      <c r="EB24" s="123">
        <v>0</v>
      </c>
      <c r="EC24" s="2590">
        <f>SUM(ED24:ED27)</f>
        <v>0</v>
      </c>
      <c r="ED24" s="123">
        <v>0</v>
      </c>
      <c r="EE24" s="2590">
        <f>SUM(EF24:EF27)</f>
        <v>0</v>
      </c>
      <c r="EF24" s="123">
        <v>0</v>
      </c>
      <c r="EG24" s="2590">
        <f>SUM(EH24:EH27)</f>
        <v>0</v>
      </c>
      <c r="EH24" s="123">
        <v>0</v>
      </c>
      <c r="EI24" s="2590">
        <f>SUM(EJ24:EJ27)</f>
        <v>0</v>
      </c>
      <c r="EJ24" s="123">
        <v>0</v>
      </c>
      <c r="EK24" s="2580">
        <f>SUM(EL24:EL27)</f>
        <v>95224.6</v>
      </c>
      <c r="EL24" s="121">
        <f>CW24+CZ24</f>
        <v>44564.800000000003</v>
      </c>
      <c r="EM24" s="2600">
        <f>SUM(EN24:EN27)</f>
        <v>78</v>
      </c>
      <c r="EN24" s="122">
        <f>ROUND(CW24/EP$141,0)</f>
        <v>36</v>
      </c>
      <c r="EO24" s="2600">
        <f>SUM(EP24:EP27)</f>
        <v>39</v>
      </c>
      <c r="EP24" s="122">
        <f>0.5*EN24</f>
        <v>18</v>
      </c>
      <c r="EQ24" s="2600">
        <f>SUM(ER24:ER27)</f>
        <v>39</v>
      </c>
      <c r="ER24" s="122">
        <f>0.5*EN24</f>
        <v>18</v>
      </c>
      <c r="ES24" s="2600">
        <f>SUM(ET24:ET27)</f>
        <v>36.5</v>
      </c>
      <c r="ET24" s="102">
        <f>FA24+FG24+FQ24</f>
        <v>17</v>
      </c>
      <c r="EU24" s="2590">
        <f>SUM(EV24:EV27)</f>
        <v>238.68</v>
      </c>
      <c r="EV24" s="122">
        <f>3.06*EN24</f>
        <v>110.16</v>
      </c>
      <c r="EW24" s="2590">
        <f>SUM(EX24:EX27)</f>
        <v>56</v>
      </c>
      <c r="EX24" s="186">
        <f>ROUND((DH24+DF24+DD24)/1000*3,0)+ROUND((ROUND(DL24/400,0))/2.67,0)+ROUND(DV24/1000,0)+ROUND((DZ24+EB24+ED24+EH24)/1000*3,0)+ROUND(EN24/25,0)+ROUND(ET24/50,0)</f>
        <v>26</v>
      </c>
      <c r="EY24" s="2590">
        <f>SUM(EZ24:EZ27)</f>
        <v>19.5</v>
      </c>
      <c r="EZ24" s="2610">
        <f>SUM(FA24:FA27)</f>
        <v>19.5</v>
      </c>
      <c r="FA24" s="2223">
        <f>(0.5*EN24)*0.5</f>
        <v>9</v>
      </c>
      <c r="FB24" s="2590">
        <f>SUM(FC24:FC27)</f>
        <v>0</v>
      </c>
      <c r="FC24" s="2223">
        <v>0</v>
      </c>
      <c r="FD24" s="2590">
        <f>SUM(FE24:FE27)</f>
        <v>0</v>
      </c>
      <c r="FE24" s="2223">
        <v>0</v>
      </c>
      <c r="FF24" s="2590">
        <f>SUM(FG24:FG27)</f>
        <v>17</v>
      </c>
      <c r="FG24" s="122">
        <f>ROUND((DH24+DJ24+DD24+DN24+DT24)/1000,0)</f>
        <v>8</v>
      </c>
      <c r="FH24" s="2590">
        <f>SUM(FI24:FI27)</f>
        <v>0</v>
      </c>
      <c r="FI24" s="122">
        <f>DF24/1000</f>
        <v>0</v>
      </c>
      <c r="FJ24" s="2590">
        <f>SUM(FK24:FK27)</f>
        <v>0</v>
      </c>
      <c r="FK24" s="122">
        <f>((DL24/400)/12)</f>
        <v>0</v>
      </c>
      <c r="FL24" s="2590">
        <f>SUM(FM24:FM27)</f>
        <v>0</v>
      </c>
      <c r="FM24" s="122">
        <v>0</v>
      </c>
      <c r="FN24" s="2590">
        <f>SUM(FO24:FO27)</f>
        <v>0</v>
      </c>
      <c r="FO24" s="122">
        <v>0</v>
      </c>
      <c r="FP24" s="2600">
        <f>SUM(FQ24:FQ27)</f>
        <v>0</v>
      </c>
      <c r="FQ24" s="122">
        <f>DX24/1000</f>
        <v>0</v>
      </c>
      <c r="FR24" s="2590">
        <f>SUM(FS24:FS27)</f>
        <v>115</v>
      </c>
      <c r="FS24" s="2604">
        <v>115</v>
      </c>
      <c r="FT24" s="2606">
        <f>CX24-S24</f>
        <v>77628.75</v>
      </c>
      <c r="FU24" s="2602">
        <f>CY24-U24</f>
        <v>13727.849999999999</v>
      </c>
      <c r="FV24" s="2608">
        <f>(DC24+DE24+DG24)-(Y24+AA24+AC24+AE24)</f>
        <v>13727.849999999999</v>
      </c>
      <c r="FW24" s="2608">
        <f>DG24-AC24</f>
        <v>17595.849999999999</v>
      </c>
      <c r="FX24" s="2602">
        <f>DE24-AA24</f>
        <v>0</v>
      </c>
      <c r="FY24" s="2602">
        <f>DC24-Y24</f>
        <v>0</v>
      </c>
      <c r="FZ24" s="2602">
        <f>DJ24-AE24</f>
        <v>-3868</v>
      </c>
      <c r="GA24" s="2602">
        <f>DL24-AL24</f>
        <v>0</v>
      </c>
      <c r="GB24" s="2602">
        <f>DM24-AM24</f>
        <v>0</v>
      </c>
      <c r="GC24" s="2602">
        <f>DP24-AQ24</f>
        <v>0</v>
      </c>
      <c r="GD24" s="2602">
        <f>DR24-AS24</f>
        <v>0</v>
      </c>
      <c r="GE24" s="2602">
        <f>DT24-AV24</f>
        <v>0</v>
      </c>
      <c r="GF24" s="2602">
        <f>DV24-AW24</f>
        <v>0</v>
      </c>
      <c r="GG24" s="2602">
        <f>DZ24-BB24</f>
        <v>0</v>
      </c>
      <c r="GH24" s="2602">
        <f>EB24-BD24</f>
        <v>0</v>
      </c>
      <c r="GI24" s="2602">
        <f>ED24-BF24</f>
        <v>0</v>
      </c>
      <c r="GJ24" s="2602">
        <f>EF24-BH24</f>
        <v>0</v>
      </c>
      <c r="GK24" s="2602">
        <f>EH24-BJ24</f>
        <v>0</v>
      </c>
      <c r="GL24" s="2608">
        <f>DW24-AY24</f>
        <v>0</v>
      </c>
      <c r="GM24" s="2608">
        <f>EK24-BM24</f>
        <v>91356.6</v>
      </c>
      <c r="GN24" s="2608">
        <f>EM24-BO24</f>
        <v>78</v>
      </c>
      <c r="GO24" s="2582">
        <f>SUM(GP24:GP27)</f>
        <v>39</v>
      </c>
      <c r="GP24" s="114">
        <f>EP24-BR24</f>
        <v>18</v>
      </c>
      <c r="GQ24" s="2582">
        <f>SUM(GR24:GR27)</f>
        <v>238.68</v>
      </c>
      <c r="GR24" s="114">
        <f>EV24-BT24</f>
        <v>110.16</v>
      </c>
      <c r="GS24" s="2582">
        <f>SUM(GT24:GT27)</f>
        <v>52</v>
      </c>
      <c r="GT24" s="114">
        <f>EX24-BV24</f>
        <v>25</v>
      </c>
      <c r="GU24" s="114">
        <f>FA24-BX24</f>
        <v>9</v>
      </c>
      <c r="GV24" s="114">
        <f>FI24-CD24</f>
        <v>0</v>
      </c>
      <c r="GW24" s="114">
        <v>0</v>
      </c>
      <c r="GX24" s="114">
        <f>FG24-CB24</f>
        <v>6.8319999999999999</v>
      </c>
      <c r="GY24" s="114">
        <f>FK24-CF24</f>
        <v>0</v>
      </c>
      <c r="GZ24" s="114">
        <f>FM24-CH24</f>
        <v>0</v>
      </c>
      <c r="HA24" s="114">
        <f>FO24-CJ24</f>
        <v>0</v>
      </c>
      <c r="HB24" s="114">
        <f>FQ24-CL24</f>
        <v>0</v>
      </c>
      <c r="HC24" s="2616">
        <f>ES24-CM24</f>
        <v>32.631999999999998</v>
      </c>
      <c r="HD24" s="95"/>
      <c r="HE24" s="95"/>
    </row>
    <row r="25" spans="1:219" s="95" customFormat="1" ht="15" customHeight="1">
      <c r="A25" s="2660"/>
      <c r="B25" s="131" t="s">
        <v>710</v>
      </c>
      <c r="C25" s="132">
        <v>3192</v>
      </c>
      <c r="D25" s="132">
        <v>39</v>
      </c>
      <c r="E25" s="132">
        <v>2031920039</v>
      </c>
      <c r="F25" s="134">
        <v>188</v>
      </c>
      <c r="G25" s="135" t="s">
        <v>704</v>
      </c>
      <c r="H25" s="136"/>
      <c r="I25" s="132">
        <v>0</v>
      </c>
      <c r="J25" s="132">
        <v>0</v>
      </c>
      <c r="K25" s="132">
        <v>2</v>
      </c>
      <c r="L25" s="132">
        <v>6.5</v>
      </c>
      <c r="M25" s="134">
        <v>0</v>
      </c>
      <c r="N25" s="134"/>
      <c r="O25" s="134">
        <v>0</v>
      </c>
      <c r="P25" s="134">
        <v>0</v>
      </c>
      <c r="Q25" s="137">
        <v>0</v>
      </c>
      <c r="R25" s="95" t="s">
        <v>723</v>
      </c>
      <c r="S25" s="2661"/>
      <c r="T25" s="97">
        <v>0</v>
      </c>
      <c r="U25" s="2661"/>
      <c r="V25" s="102">
        <v>0</v>
      </c>
      <c r="W25" s="2661"/>
      <c r="X25" s="97">
        <v>0</v>
      </c>
      <c r="Y25" s="2661"/>
      <c r="Z25" s="97">
        <v>0</v>
      </c>
      <c r="AA25" s="2661"/>
      <c r="AB25" s="97">
        <v>0</v>
      </c>
      <c r="AC25" s="2661"/>
      <c r="AD25" s="103">
        <f>V25-(Z25+AB25+AF25+AL25+AN25+AP25+AZ25+AR25+AT25+AV25+AX25)</f>
        <v>0</v>
      </c>
      <c r="AE25" s="2658"/>
      <c r="AF25" s="103">
        <v>0</v>
      </c>
      <c r="AG25" s="103">
        <v>0</v>
      </c>
      <c r="AH25" s="2658"/>
      <c r="AI25" s="103">
        <v>0</v>
      </c>
      <c r="AJ25" s="2658"/>
      <c r="AK25" s="2658"/>
      <c r="AL25" s="103">
        <v>0</v>
      </c>
      <c r="AM25" s="2658"/>
      <c r="AN25" s="103">
        <v>0</v>
      </c>
      <c r="AO25" s="2644"/>
      <c r="AP25" s="103">
        <v>0</v>
      </c>
      <c r="AQ25" s="2658"/>
      <c r="AR25" s="103">
        <v>0</v>
      </c>
      <c r="AS25" s="2658"/>
      <c r="AT25" s="103">
        <v>0</v>
      </c>
      <c r="AU25" s="2658"/>
      <c r="AV25" s="103">
        <v>0</v>
      </c>
      <c r="AW25" s="2658"/>
      <c r="AX25" s="103">
        <v>0</v>
      </c>
      <c r="AY25" s="2658"/>
      <c r="AZ25" s="103">
        <f t="shared" si="0"/>
        <v>0</v>
      </c>
      <c r="BA25" s="2644"/>
      <c r="BB25" s="97">
        <v>0</v>
      </c>
      <c r="BC25" s="2644"/>
      <c r="BD25" s="97">
        <v>0</v>
      </c>
      <c r="BE25" s="2644"/>
      <c r="BF25" s="97">
        <v>0</v>
      </c>
      <c r="BG25" s="2644"/>
      <c r="BH25" s="97">
        <v>0</v>
      </c>
      <c r="BI25" s="2644"/>
      <c r="BJ25" s="97">
        <v>0</v>
      </c>
      <c r="BK25" s="2644"/>
      <c r="BL25" s="97">
        <v>0</v>
      </c>
      <c r="BM25" s="2658"/>
      <c r="BN25" s="97">
        <f>ROUND(T25+V25,0)</f>
        <v>0</v>
      </c>
      <c r="BO25" s="2658"/>
      <c r="BP25" s="97">
        <v>0</v>
      </c>
      <c r="BQ25" s="2658"/>
      <c r="BR25" s="97">
        <v>0</v>
      </c>
      <c r="BS25" s="2658"/>
      <c r="BT25" s="196">
        <f t="shared" si="3"/>
        <v>0</v>
      </c>
      <c r="BU25" s="2658"/>
      <c r="BV25" s="97">
        <v>0</v>
      </c>
      <c r="BW25" s="2658"/>
      <c r="BX25" s="97">
        <v>0</v>
      </c>
      <c r="BY25" s="2658"/>
      <c r="BZ25" s="97">
        <v>0</v>
      </c>
      <c r="CA25" s="2658"/>
      <c r="CB25" s="97">
        <v>0</v>
      </c>
      <c r="CC25" s="2658"/>
      <c r="CD25" s="97">
        <v>0</v>
      </c>
      <c r="CE25" s="2658"/>
      <c r="CF25" s="97">
        <v>0</v>
      </c>
      <c r="CG25" s="2658"/>
      <c r="CH25" s="97">
        <v>0</v>
      </c>
      <c r="CI25" s="2658"/>
      <c r="CJ25" s="97">
        <v>0</v>
      </c>
      <c r="CK25" s="2658"/>
      <c r="CL25" s="97">
        <v>0</v>
      </c>
      <c r="CM25" s="2658"/>
      <c r="CN25" s="97">
        <f t="shared" si="1"/>
        <v>0</v>
      </c>
      <c r="CO25" s="97"/>
      <c r="CP25" s="106">
        <v>0</v>
      </c>
      <c r="CQ25" s="95" t="s">
        <v>705</v>
      </c>
      <c r="CR25" s="95">
        <v>4.5999999999999996</v>
      </c>
      <c r="CS25" s="139">
        <v>2</v>
      </c>
      <c r="CT25" s="139">
        <v>4.5999999999999996</v>
      </c>
      <c r="CU25" s="108" t="s">
        <v>706</v>
      </c>
      <c r="CV25" s="2662"/>
      <c r="CW25" s="97">
        <f>(CR25*F25)-CZ25</f>
        <v>705</v>
      </c>
      <c r="CX25" s="2661"/>
      <c r="CY25" s="2663"/>
      <c r="CZ25" s="97">
        <f>1*(F25)-(0.15*1*(F25))</f>
        <v>159.80000000000001</v>
      </c>
      <c r="DA25" s="2664"/>
      <c r="DB25" s="97">
        <f>CZ25-DD25</f>
        <v>159.80000000000001</v>
      </c>
      <c r="DC25" s="2661"/>
      <c r="DD25" s="97">
        <v>0</v>
      </c>
      <c r="DE25" s="2661"/>
      <c r="DF25" s="97">
        <v>0</v>
      </c>
      <c r="DG25" s="2661"/>
      <c r="DH25" s="97">
        <f>CZ25-(DD25+DF25+DJ25+DL25+DN25+DT25+DV25+DX25)</f>
        <v>159.80000000000001</v>
      </c>
      <c r="DI25" s="2661"/>
      <c r="DJ25" s="97">
        <v>0</v>
      </c>
      <c r="DK25" s="2661"/>
      <c r="DL25" s="97">
        <v>0</v>
      </c>
      <c r="DM25" s="2661"/>
      <c r="DN25" s="97">
        <v>0</v>
      </c>
      <c r="DO25" s="2661"/>
      <c r="DP25" s="97">
        <v>0</v>
      </c>
      <c r="DQ25" s="2661"/>
      <c r="DR25" s="97">
        <v>0</v>
      </c>
      <c r="DS25" s="2661"/>
      <c r="DT25" s="97">
        <v>0</v>
      </c>
      <c r="DU25" s="2661"/>
      <c r="DV25" s="97">
        <v>0</v>
      </c>
      <c r="DW25" s="2661"/>
      <c r="DX25" s="103">
        <f t="shared" si="2"/>
        <v>0</v>
      </c>
      <c r="DY25" s="2661"/>
      <c r="DZ25" s="103">
        <v>0</v>
      </c>
      <c r="EA25" s="2661"/>
      <c r="EB25" s="103">
        <v>0</v>
      </c>
      <c r="EC25" s="2661"/>
      <c r="ED25" s="103">
        <v>0</v>
      </c>
      <c r="EE25" s="2661"/>
      <c r="EF25" s="103">
        <v>0</v>
      </c>
      <c r="EG25" s="2661"/>
      <c r="EH25" s="103">
        <v>0</v>
      </c>
      <c r="EI25" s="2661"/>
      <c r="EJ25" s="103">
        <v>0</v>
      </c>
      <c r="EK25" s="2658"/>
      <c r="EL25" s="97">
        <f>CW25+CZ25</f>
        <v>864.8</v>
      </c>
      <c r="EM25" s="2643"/>
      <c r="EN25" s="102">
        <f>ROUND(CW25/EP$141,0)</f>
        <v>1</v>
      </c>
      <c r="EO25" s="2643"/>
      <c r="EP25" s="102">
        <f t="shared" ref="EP25:EP27" si="6">0.5*EN25</f>
        <v>0.5</v>
      </c>
      <c r="EQ25" s="2643"/>
      <c r="ER25" s="102">
        <f t="shared" ref="ER25:ER27" si="7">0.5*EN25</f>
        <v>0.5</v>
      </c>
      <c r="ES25" s="2643"/>
      <c r="ET25" s="102">
        <f>FA25+FG25+FQ25</f>
        <v>0.25</v>
      </c>
      <c r="EU25" s="2661"/>
      <c r="EV25" s="102">
        <f>3.06*EN25</f>
        <v>3.06</v>
      </c>
      <c r="EW25" s="2661"/>
      <c r="EX25" s="186">
        <f>ROUND((DH25+DF25+DD25)/1000*3,0)+ROUND((ROUND(DL25/400,0))/2.67,0)+ROUND(DV25/1000,0)+ROUND((DZ25+EB25+ED25+EH25)/1000*3,0)+ROUND(EN25/25,0)+ROUND(ET25/50,0)</f>
        <v>0</v>
      </c>
      <c r="EY25" s="2661"/>
      <c r="EZ25" s="2642"/>
      <c r="FA25" s="2224">
        <f>(0.5*EN25)*0.5</f>
        <v>0.25</v>
      </c>
      <c r="FB25" s="2661"/>
      <c r="FC25" s="2224">
        <v>0</v>
      </c>
      <c r="FD25" s="2661"/>
      <c r="FE25" s="2224">
        <v>0</v>
      </c>
      <c r="FF25" s="2661"/>
      <c r="FG25" s="102">
        <f>ROUND((DH25+DJ25+DD25+DN25+DT25)/1000,0)</f>
        <v>0</v>
      </c>
      <c r="FH25" s="2661"/>
      <c r="FI25" s="102">
        <f>DF25/1000</f>
        <v>0</v>
      </c>
      <c r="FJ25" s="2661"/>
      <c r="FK25" s="102">
        <f>((DL25/400)/12)</f>
        <v>0</v>
      </c>
      <c r="FL25" s="2661"/>
      <c r="FM25" s="102">
        <v>0</v>
      </c>
      <c r="FN25" s="2661"/>
      <c r="FO25" s="102">
        <v>0</v>
      </c>
      <c r="FP25" s="2643"/>
      <c r="FQ25" s="102">
        <f>DX25/1000</f>
        <v>0</v>
      </c>
      <c r="FR25" s="2661"/>
      <c r="FS25" s="2667"/>
      <c r="FT25" s="2668"/>
      <c r="FU25" s="2665"/>
      <c r="FV25" s="2666"/>
      <c r="FW25" s="2666"/>
      <c r="FX25" s="2665"/>
      <c r="FY25" s="2665"/>
      <c r="FZ25" s="2665"/>
      <c r="GA25" s="2665"/>
      <c r="GB25" s="2665"/>
      <c r="GC25" s="2665"/>
      <c r="GD25" s="2665"/>
      <c r="GE25" s="2665"/>
      <c r="GF25" s="2665"/>
      <c r="GG25" s="2665"/>
      <c r="GH25" s="2665"/>
      <c r="GI25" s="2665"/>
      <c r="GJ25" s="2665"/>
      <c r="GK25" s="2665"/>
      <c r="GL25" s="2666"/>
      <c r="GM25" s="2666"/>
      <c r="GN25" s="2666"/>
      <c r="GO25" s="2644"/>
      <c r="GP25" s="113">
        <f>EP25-BR25</f>
        <v>0.5</v>
      </c>
      <c r="GQ25" s="2644"/>
      <c r="GR25" s="113">
        <f>EV25-BT25</f>
        <v>3.06</v>
      </c>
      <c r="GS25" s="2644"/>
      <c r="GT25" s="113">
        <f>EX25-BV25</f>
        <v>0</v>
      </c>
      <c r="GU25" s="113">
        <f>FA25-BX25</f>
        <v>0.25</v>
      </c>
      <c r="GV25" s="113">
        <f>FI25-CD25</f>
        <v>0</v>
      </c>
      <c r="GW25" s="113">
        <v>0</v>
      </c>
      <c r="GX25" s="113">
        <f>FG25-CB25</f>
        <v>0</v>
      </c>
      <c r="GY25" s="113">
        <f>FK25-CF25</f>
        <v>0</v>
      </c>
      <c r="GZ25" s="113">
        <f>FM25-CH25</f>
        <v>0</v>
      </c>
      <c r="HA25" s="113">
        <f>FO25-CJ25</f>
        <v>0</v>
      </c>
      <c r="HB25" s="113">
        <f>FQ25-CL25</f>
        <v>0</v>
      </c>
      <c r="HC25" s="2669"/>
    </row>
    <row r="26" spans="1:219" s="95" customFormat="1" ht="15" customHeight="1">
      <c r="A26" s="2660"/>
      <c r="B26" s="236" t="s">
        <v>721</v>
      </c>
      <c r="C26" s="132">
        <v>3192</v>
      </c>
      <c r="D26" s="132">
        <v>37</v>
      </c>
      <c r="E26" s="133">
        <v>2031920037</v>
      </c>
      <c r="F26" s="134">
        <v>3422</v>
      </c>
      <c r="G26" s="135" t="s">
        <v>704</v>
      </c>
      <c r="H26" s="136"/>
      <c r="I26" s="132">
        <v>0</v>
      </c>
      <c r="J26" s="132">
        <v>0</v>
      </c>
      <c r="K26" s="132">
        <v>2</v>
      </c>
      <c r="L26" s="132">
        <v>6.5</v>
      </c>
      <c r="M26" s="134">
        <v>0</v>
      </c>
      <c r="N26" s="134">
        <v>0</v>
      </c>
      <c r="O26" s="134">
        <v>0</v>
      </c>
      <c r="P26" s="134">
        <v>0</v>
      </c>
      <c r="Q26" s="137">
        <v>0</v>
      </c>
      <c r="R26" s="95" t="s">
        <v>723</v>
      </c>
      <c r="S26" s="2661"/>
      <c r="T26" s="97">
        <v>0</v>
      </c>
      <c r="U26" s="2661"/>
      <c r="V26" s="102">
        <f>M26</f>
        <v>0</v>
      </c>
      <c r="W26" s="2661"/>
      <c r="X26" s="97">
        <f>V26-Z26</f>
        <v>0</v>
      </c>
      <c r="Y26" s="2661"/>
      <c r="Z26" s="97">
        <v>0</v>
      </c>
      <c r="AA26" s="2661"/>
      <c r="AB26" s="97">
        <v>0</v>
      </c>
      <c r="AC26" s="2661"/>
      <c r="AD26" s="103">
        <f>V26-(Z26+AB26+AF26+AL26+AN26+AP26+AZ26+AR26+AT26+AV26+AX26)</f>
        <v>0</v>
      </c>
      <c r="AE26" s="2658"/>
      <c r="AF26" s="103">
        <v>0</v>
      </c>
      <c r="AG26" s="103">
        <v>0</v>
      </c>
      <c r="AH26" s="2658"/>
      <c r="AI26" s="103">
        <v>0</v>
      </c>
      <c r="AJ26" s="2658"/>
      <c r="AK26" s="2658"/>
      <c r="AL26" s="103">
        <v>0</v>
      </c>
      <c r="AM26" s="2658"/>
      <c r="AN26" s="103">
        <v>0</v>
      </c>
      <c r="AO26" s="2644"/>
      <c r="AP26" s="103">
        <v>0</v>
      </c>
      <c r="AQ26" s="2658"/>
      <c r="AR26" s="103">
        <v>0</v>
      </c>
      <c r="AS26" s="2658"/>
      <c r="AT26" s="103">
        <v>0</v>
      </c>
      <c r="AU26" s="2658"/>
      <c r="AV26" s="103">
        <v>0</v>
      </c>
      <c r="AW26" s="2658"/>
      <c r="AX26" s="103">
        <v>0</v>
      </c>
      <c r="AY26" s="2658"/>
      <c r="AZ26" s="103">
        <f t="shared" si="0"/>
        <v>0</v>
      </c>
      <c r="BA26" s="2644"/>
      <c r="BB26" s="97">
        <v>0</v>
      </c>
      <c r="BC26" s="2644"/>
      <c r="BD26" s="97">
        <v>0</v>
      </c>
      <c r="BE26" s="2644"/>
      <c r="BF26" s="97">
        <v>0</v>
      </c>
      <c r="BG26" s="2644"/>
      <c r="BH26" s="97">
        <v>0</v>
      </c>
      <c r="BI26" s="2644"/>
      <c r="BJ26" s="97">
        <v>0</v>
      </c>
      <c r="BK26" s="2644"/>
      <c r="BL26" s="97">
        <v>0</v>
      </c>
      <c r="BM26" s="2658"/>
      <c r="BN26" s="97">
        <f>ROUND(T26+V26,0)</f>
        <v>0</v>
      </c>
      <c r="BO26" s="2658"/>
      <c r="BP26" s="97">
        <f>ROUND(T26/EP$141,0)</f>
        <v>0</v>
      </c>
      <c r="BQ26" s="2658"/>
      <c r="BR26" s="97">
        <f>BR$142*BP26</f>
        <v>0</v>
      </c>
      <c r="BS26" s="2658"/>
      <c r="BT26" s="196">
        <f t="shared" si="3"/>
        <v>0</v>
      </c>
      <c r="BU26" s="2658"/>
      <c r="BV26" s="138">
        <f>ROUND((AD26+AB26+Z26)/1000*3,0)+ROUND((AF26+AX26)/1000,0)+ROUND((ROUND(AL26/400,0))/2.67,0)+ROUND(AN26/250,0)+ROUND(AR26/15000,0)+ROUND((BB26+BD26+BF26+BJ26)/1000*3,0)+ROUND(BP26/25,0)+ROUND(CN26/50,0)</f>
        <v>0</v>
      </c>
      <c r="BW26" s="2658"/>
      <c r="BX26" s="97">
        <v>0</v>
      </c>
      <c r="BY26" s="2658"/>
      <c r="BZ26" s="97">
        <v>0</v>
      </c>
      <c r="CA26" s="2658"/>
      <c r="CB26" s="97">
        <f>V26/1000</f>
        <v>0</v>
      </c>
      <c r="CC26" s="2658"/>
      <c r="CD26" s="97">
        <f>AB26/1000</f>
        <v>0</v>
      </c>
      <c r="CE26" s="2658"/>
      <c r="CF26" s="97">
        <f>((AL26/400)/12)</f>
        <v>0</v>
      </c>
      <c r="CG26" s="2658"/>
      <c r="CH26" s="105">
        <f>IFERROR(VLOOKUP(E26,#REF!,3,FALSE),0)</f>
        <v>0</v>
      </c>
      <c r="CI26" s="2658"/>
      <c r="CJ26" s="97" t="b">
        <f>IF(G26="M1-2",F26/1000)</f>
        <v>0</v>
      </c>
      <c r="CK26" s="2658"/>
      <c r="CL26" s="97">
        <f>IF(BJ26&gt;0,"Calculate",0)</f>
        <v>0</v>
      </c>
      <c r="CM26" s="2658"/>
      <c r="CN26" s="97">
        <f t="shared" si="1"/>
        <v>0</v>
      </c>
      <c r="CO26" s="97"/>
      <c r="CP26" s="106">
        <v>0</v>
      </c>
      <c r="CQ26" s="139" t="s">
        <v>705</v>
      </c>
      <c r="CR26" s="139">
        <v>4.5999999999999996</v>
      </c>
      <c r="CS26" s="139">
        <v>2</v>
      </c>
      <c r="CT26" s="139">
        <v>4.5999999999999996</v>
      </c>
      <c r="CU26" s="108" t="s">
        <v>706</v>
      </c>
      <c r="CV26" s="2662"/>
      <c r="CW26" s="97">
        <f>(CR26*F26)-CZ26</f>
        <v>12832.5</v>
      </c>
      <c r="CX26" s="2661"/>
      <c r="CY26" s="2663"/>
      <c r="CZ26" s="97">
        <f>1*(F26)-(0.15*1*(F26))</f>
        <v>2908.7</v>
      </c>
      <c r="DA26" s="2664"/>
      <c r="DB26" s="97">
        <f>CZ26-DD26</f>
        <v>2908.7</v>
      </c>
      <c r="DC26" s="2661"/>
      <c r="DD26" s="97">
        <v>0</v>
      </c>
      <c r="DE26" s="2661"/>
      <c r="DF26" s="97">
        <v>0</v>
      </c>
      <c r="DG26" s="2661"/>
      <c r="DH26" s="97">
        <f>CZ26-(DD26+DF26+DJ26+DL26+DN26+DT26+DV26+DX26)</f>
        <v>2908.7</v>
      </c>
      <c r="DI26" s="2661"/>
      <c r="DJ26" s="97">
        <v>0</v>
      </c>
      <c r="DK26" s="2661"/>
      <c r="DL26" s="97">
        <v>0</v>
      </c>
      <c r="DM26" s="2661"/>
      <c r="DN26" s="97">
        <v>0</v>
      </c>
      <c r="DO26" s="2661"/>
      <c r="DP26" s="97">
        <v>0</v>
      </c>
      <c r="DQ26" s="2661"/>
      <c r="DR26" s="97">
        <v>0</v>
      </c>
      <c r="DS26" s="2661"/>
      <c r="DT26" s="97">
        <v>0</v>
      </c>
      <c r="DU26" s="2661"/>
      <c r="DV26" s="97">
        <v>0</v>
      </c>
      <c r="DW26" s="2661"/>
      <c r="DX26" s="103">
        <f t="shared" si="2"/>
        <v>0</v>
      </c>
      <c r="DY26" s="2661"/>
      <c r="DZ26" s="103">
        <v>0</v>
      </c>
      <c r="EA26" s="2661"/>
      <c r="EB26" s="103">
        <v>0</v>
      </c>
      <c r="EC26" s="2661"/>
      <c r="ED26" s="103">
        <v>0</v>
      </c>
      <c r="EE26" s="2661"/>
      <c r="EF26" s="103">
        <v>0</v>
      </c>
      <c r="EG26" s="2661"/>
      <c r="EH26" s="103">
        <v>0</v>
      </c>
      <c r="EI26" s="2661"/>
      <c r="EJ26" s="103">
        <v>0</v>
      </c>
      <c r="EK26" s="2658"/>
      <c r="EL26" s="97">
        <f>CW26+CZ26</f>
        <v>15741.2</v>
      </c>
      <c r="EM26" s="2643"/>
      <c r="EN26" s="102">
        <f>ROUND(CW26/EP$141,0)</f>
        <v>13</v>
      </c>
      <c r="EO26" s="2643"/>
      <c r="EP26" s="102">
        <f t="shared" si="6"/>
        <v>6.5</v>
      </c>
      <c r="EQ26" s="2643"/>
      <c r="ER26" s="102">
        <f t="shared" si="7"/>
        <v>6.5</v>
      </c>
      <c r="ES26" s="2643"/>
      <c r="ET26" s="102">
        <f>FA26+FG26+FQ26</f>
        <v>6.25</v>
      </c>
      <c r="EU26" s="2661"/>
      <c r="EV26" s="102">
        <f>3.06*EN26</f>
        <v>39.78</v>
      </c>
      <c r="EW26" s="2661"/>
      <c r="EX26" s="186">
        <f>ROUND((DH26+DF26+DD26)/1000*3,0)+ROUND((ROUND(DL26/400,0))/2.67,0)+ROUND(DV26/1000,0)+ROUND((DZ26+EB26+ED26+EH26)/1000*3,0)+ROUND(EN26/25,0)+ROUND(ET26/50,0)</f>
        <v>10</v>
      </c>
      <c r="EY26" s="2661"/>
      <c r="EZ26" s="2642"/>
      <c r="FA26" s="2224">
        <f>(0.5*EN26)*0.5</f>
        <v>3.25</v>
      </c>
      <c r="FB26" s="2661"/>
      <c r="FC26" s="2224">
        <v>0</v>
      </c>
      <c r="FD26" s="2661"/>
      <c r="FE26" s="2224">
        <v>0</v>
      </c>
      <c r="FF26" s="2661"/>
      <c r="FG26" s="102">
        <f>ROUND((DH26+DJ26+DD26+DN26+DT26)/1000,0)</f>
        <v>3</v>
      </c>
      <c r="FH26" s="2661"/>
      <c r="FI26" s="102">
        <f>DF26/1000</f>
        <v>0</v>
      </c>
      <c r="FJ26" s="2661"/>
      <c r="FK26" s="102">
        <f>((DL26/400)/12)</f>
        <v>0</v>
      </c>
      <c r="FL26" s="2661"/>
      <c r="FM26" s="102">
        <v>0</v>
      </c>
      <c r="FN26" s="2661"/>
      <c r="FO26" s="102">
        <v>0</v>
      </c>
      <c r="FP26" s="2643"/>
      <c r="FQ26" s="102">
        <f>DX26/1000</f>
        <v>0</v>
      </c>
      <c r="FR26" s="2661"/>
      <c r="FS26" s="2667"/>
      <c r="FT26" s="2668"/>
      <c r="FU26" s="2665"/>
      <c r="FV26" s="2666"/>
      <c r="FW26" s="2666"/>
      <c r="FX26" s="2665"/>
      <c r="FY26" s="2665"/>
      <c r="FZ26" s="2665"/>
      <c r="GA26" s="2665"/>
      <c r="GB26" s="2665"/>
      <c r="GC26" s="2665"/>
      <c r="GD26" s="2665"/>
      <c r="GE26" s="2665"/>
      <c r="GF26" s="2665"/>
      <c r="GG26" s="2665"/>
      <c r="GH26" s="2665"/>
      <c r="GI26" s="2665"/>
      <c r="GJ26" s="2665"/>
      <c r="GK26" s="2665"/>
      <c r="GL26" s="2666"/>
      <c r="GM26" s="2666"/>
      <c r="GN26" s="2666"/>
      <c r="GO26" s="2644"/>
      <c r="GP26" s="113">
        <f>EP26-BR26</f>
        <v>6.5</v>
      </c>
      <c r="GQ26" s="2644"/>
      <c r="GR26" s="113">
        <f>EV26-BT26</f>
        <v>39.78</v>
      </c>
      <c r="GS26" s="2644"/>
      <c r="GT26" s="113">
        <f>EX26-BV26</f>
        <v>10</v>
      </c>
      <c r="GU26" s="113">
        <f>FA26-BX26</f>
        <v>3.25</v>
      </c>
      <c r="GV26" s="113">
        <f>FI26-CD26</f>
        <v>0</v>
      </c>
      <c r="GW26" s="113">
        <v>0</v>
      </c>
      <c r="GX26" s="113">
        <f>FG26-CB26</f>
        <v>3</v>
      </c>
      <c r="GY26" s="113">
        <f>FK26-CF26</f>
        <v>0</v>
      </c>
      <c r="GZ26" s="113">
        <f>FM26-CH26</f>
        <v>0</v>
      </c>
      <c r="HA26" s="113">
        <f>FO26-CJ26</f>
        <v>0</v>
      </c>
      <c r="HB26" s="113">
        <f>FQ26-CL26</f>
        <v>0</v>
      </c>
      <c r="HC26" s="2669"/>
    </row>
    <row r="27" spans="1:219" s="72" customFormat="1" ht="15" customHeight="1">
      <c r="A27" s="2589"/>
      <c r="B27" s="130" t="s">
        <v>724</v>
      </c>
      <c r="C27" s="66">
        <v>3192</v>
      </c>
      <c r="D27" s="66">
        <v>50</v>
      </c>
      <c r="E27" s="67">
        <v>2031920050</v>
      </c>
      <c r="F27" s="68">
        <v>7403</v>
      </c>
      <c r="G27" s="69" t="s">
        <v>704</v>
      </c>
      <c r="H27" s="70"/>
      <c r="I27" s="66">
        <v>0.36</v>
      </c>
      <c r="J27" s="66">
        <v>0</v>
      </c>
      <c r="K27" s="66">
        <v>2</v>
      </c>
      <c r="L27" s="66">
        <v>6.5</v>
      </c>
      <c r="M27" s="68">
        <v>2700</v>
      </c>
      <c r="N27" s="68">
        <f>M27</f>
        <v>2700</v>
      </c>
      <c r="O27" s="68">
        <v>0</v>
      </c>
      <c r="P27" s="68">
        <v>2700</v>
      </c>
      <c r="Q27" s="71">
        <v>0</v>
      </c>
      <c r="R27" s="72" t="s">
        <v>711</v>
      </c>
      <c r="S27" s="2591"/>
      <c r="T27" s="73">
        <v>0</v>
      </c>
      <c r="U27" s="2591"/>
      <c r="V27" s="74">
        <f>M27</f>
        <v>2700</v>
      </c>
      <c r="W27" s="2591"/>
      <c r="X27" s="73">
        <f>V27-Z27</f>
        <v>2700</v>
      </c>
      <c r="Y27" s="2591"/>
      <c r="Z27" s="73">
        <v>0</v>
      </c>
      <c r="AA27" s="2591"/>
      <c r="AB27" s="73">
        <v>0</v>
      </c>
      <c r="AC27" s="2591"/>
      <c r="AD27" s="75">
        <f>V27-(Z27+AB27+AF27+AL27+AN27+AP27+AZ27+AR27+AT27+AV27+AX27)</f>
        <v>0</v>
      </c>
      <c r="AE27" s="2581"/>
      <c r="AF27" s="75">
        <f>AG27+AI27</f>
        <v>2700</v>
      </c>
      <c r="AG27" s="75">
        <v>0</v>
      </c>
      <c r="AH27" s="2581"/>
      <c r="AI27" s="75">
        <f>P27</f>
        <v>2700</v>
      </c>
      <c r="AJ27" s="2581"/>
      <c r="AK27" s="2581"/>
      <c r="AL27" s="75">
        <v>0</v>
      </c>
      <c r="AM27" s="2581"/>
      <c r="AN27" s="75">
        <v>0</v>
      </c>
      <c r="AO27" s="2583"/>
      <c r="AP27" s="75">
        <v>0</v>
      </c>
      <c r="AQ27" s="2581"/>
      <c r="AR27" s="75">
        <v>0</v>
      </c>
      <c r="AS27" s="2581"/>
      <c r="AT27" s="75">
        <v>0</v>
      </c>
      <c r="AU27" s="2581"/>
      <c r="AV27" s="75">
        <v>0</v>
      </c>
      <c r="AW27" s="2581"/>
      <c r="AX27" s="75">
        <v>0</v>
      </c>
      <c r="AY27" s="2581"/>
      <c r="AZ27" s="75">
        <f t="shared" si="0"/>
        <v>0</v>
      </c>
      <c r="BA27" s="2583"/>
      <c r="BB27" s="73">
        <v>0</v>
      </c>
      <c r="BC27" s="2583"/>
      <c r="BD27" s="73">
        <v>0</v>
      </c>
      <c r="BE27" s="2583"/>
      <c r="BF27" s="73">
        <v>0</v>
      </c>
      <c r="BG27" s="2583"/>
      <c r="BH27" s="73">
        <v>0</v>
      </c>
      <c r="BI27" s="2583"/>
      <c r="BJ27" s="73">
        <v>0</v>
      </c>
      <c r="BK27" s="2583"/>
      <c r="BL27" s="73">
        <v>0</v>
      </c>
      <c r="BM27" s="2581"/>
      <c r="BN27" s="73">
        <f>ROUND(T27+V27,0)</f>
        <v>2700</v>
      </c>
      <c r="BO27" s="2581"/>
      <c r="BP27" s="73">
        <f>ROUND(T27/EP$141,0)</f>
        <v>0</v>
      </c>
      <c r="BQ27" s="2581"/>
      <c r="BR27" s="73">
        <f>BR$142*BP27</f>
        <v>0</v>
      </c>
      <c r="BS27" s="2581"/>
      <c r="BT27" s="189">
        <f t="shared" si="3"/>
        <v>0</v>
      </c>
      <c r="BU27" s="2581"/>
      <c r="BV27" s="78">
        <f>ROUND((AD27+AB27+Z27)/1000*3,0)+ROUND((AF27+AX27)/1000,0)+ROUND((ROUND(AL27/400,0))/2.67,0)+ROUND(AN27/250,0)+ROUND(AR27/15000,0)+ROUND((BB27+BD27+BF27+BJ27)/1000*3,0)+ROUND(BP27/25,0)+ROUND(CN27/50,0)</f>
        <v>3</v>
      </c>
      <c r="BW27" s="2581"/>
      <c r="BX27" s="73">
        <v>0</v>
      </c>
      <c r="BY27" s="2581"/>
      <c r="BZ27" s="73">
        <v>0</v>
      </c>
      <c r="CA27" s="2581"/>
      <c r="CB27" s="73">
        <f>V27/1000</f>
        <v>2.7</v>
      </c>
      <c r="CC27" s="2581"/>
      <c r="CD27" s="73">
        <f>AB27/1000</f>
        <v>0</v>
      </c>
      <c r="CE27" s="2581"/>
      <c r="CF27" s="73">
        <f>((AL27/400)/12)</f>
        <v>0</v>
      </c>
      <c r="CG27" s="2581"/>
      <c r="CH27" s="79">
        <f>IFERROR(VLOOKUP(E27,#REF!,3,FALSE),0)</f>
        <v>0</v>
      </c>
      <c r="CI27" s="2581"/>
      <c r="CJ27" s="73" t="b">
        <f>IF(G27="M1-2",F27/1000)</f>
        <v>0</v>
      </c>
      <c r="CK27" s="2581"/>
      <c r="CL27" s="73">
        <f>IF(BJ27&gt;0,"Calculate",0)</f>
        <v>0</v>
      </c>
      <c r="CM27" s="2581"/>
      <c r="CN27" s="73">
        <f t="shared" si="1"/>
        <v>2.7</v>
      </c>
      <c r="CO27" s="73"/>
      <c r="CP27" s="2266">
        <v>10</v>
      </c>
      <c r="CQ27" s="81" t="s">
        <v>705</v>
      </c>
      <c r="CR27" s="81">
        <v>4.5999999999999996</v>
      </c>
      <c r="CS27" s="81">
        <v>2</v>
      </c>
      <c r="CT27" s="81">
        <v>4.5999999999999996</v>
      </c>
      <c r="CU27" s="82" t="s">
        <v>706</v>
      </c>
      <c r="CV27" s="2597"/>
      <c r="CW27" s="73">
        <f>(CR27*F27)-CZ27</f>
        <v>27761.249999999996</v>
      </c>
      <c r="CX27" s="2591"/>
      <c r="CY27" s="2599"/>
      <c r="CZ27" s="73">
        <f>1*(F27)-(0.15*1*(F27))</f>
        <v>6292.55</v>
      </c>
      <c r="DA27" s="2593"/>
      <c r="DB27" s="73">
        <f>CZ27-DD27</f>
        <v>6292.55</v>
      </c>
      <c r="DC27" s="2591"/>
      <c r="DD27" s="73">
        <v>0</v>
      </c>
      <c r="DE27" s="2591"/>
      <c r="DF27" s="73">
        <v>0</v>
      </c>
      <c r="DG27" s="2591"/>
      <c r="DH27" s="73">
        <f>CZ27-(DD27+DF27+DJ27+DL27+DN27+DT27+DV27+DX27)</f>
        <v>6292.55</v>
      </c>
      <c r="DI27" s="2591"/>
      <c r="DJ27" s="73">
        <v>0</v>
      </c>
      <c r="DK27" s="2591"/>
      <c r="DL27" s="73">
        <v>0</v>
      </c>
      <c r="DM27" s="2591"/>
      <c r="DN27" s="73">
        <v>0</v>
      </c>
      <c r="DO27" s="2591"/>
      <c r="DP27" s="73">
        <v>0</v>
      </c>
      <c r="DQ27" s="2591"/>
      <c r="DR27" s="73">
        <v>0</v>
      </c>
      <c r="DS27" s="2591"/>
      <c r="DT27" s="73">
        <v>0</v>
      </c>
      <c r="DU27" s="2591"/>
      <c r="DV27" s="73">
        <v>0</v>
      </c>
      <c r="DW27" s="2591"/>
      <c r="DX27" s="75">
        <f t="shared" si="2"/>
        <v>0</v>
      </c>
      <c r="DY27" s="2591"/>
      <c r="DZ27" s="75">
        <v>0</v>
      </c>
      <c r="EA27" s="2591"/>
      <c r="EB27" s="75">
        <v>0</v>
      </c>
      <c r="EC27" s="2591"/>
      <c r="ED27" s="75">
        <v>0</v>
      </c>
      <c r="EE27" s="2591"/>
      <c r="EF27" s="75">
        <v>0</v>
      </c>
      <c r="EG27" s="2591"/>
      <c r="EH27" s="75">
        <v>0</v>
      </c>
      <c r="EI27" s="2591"/>
      <c r="EJ27" s="75">
        <v>0</v>
      </c>
      <c r="EK27" s="2581"/>
      <c r="EL27" s="73">
        <f>CW27+CZ27</f>
        <v>34053.799999999996</v>
      </c>
      <c r="EM27" s="2601"/>
      <c r="EN27" s="74">
        <f>ROUND(CW27/EP$141,0)</f>
        <v>28</v>
      </c>
      <c r="EO27" s="2601"/>
      <c r="EP27" s="74">
        <f t="shared" si="6"/>
        <v>14</v>
      </c>
      <c r="EQ27" s="2643"/>
      <c r="ER27" s="102">
        <f t="shared" si="7"/>
        <v>14</v>
      </c>
      <c r="ES27" s="2643"/>
      <c r="ET27" s="74">
        <f>FA27+FG27+FQ27</f>
        <v>13</v>
      </c>
      <c r="EU27" s="2591"/>
      <c r="EV27" s="74">
        <f>3.06*EN27</f>
        <v>85.68</v>
      </c>
      <c r="EW27" s="2591"/>
      <c r="EX27" s="88">
        <f>ROUND((DH27+DF27+DD27)/1000*3,0)+ROUND((ROUND(DL27/400,0))/2.67,0)+ROUND(DV27/1000,0)+ROUND((DZ27+EB27+ED27+EH27)/1000*3,0)+ROUND(EN27/25,0)+ROUND(ET27/50,0)</f>
        <v>20</v>
      </c>
      <c r="EY27" s="2591"/>
      <c r="EZ27" s="2611"/>
      <c r="FA27" s="2224">
        <f>(0.5*EN27)*0.5</f>
        <v>7</v>
      </c>
      <c r="FB27" s="2591"/>
      <c r="FC27" s="2225">
        <v>0</v>
      </c>
      <c r="FD27" s="2591"/>
      <c r="FE27" s="2224">
        <v>0</v>
      </c>
      <c r="FF27" s="2591"/>
      <c r="FG27" s="74">
        <f>ROUND((DH27+DJ27+DD27+DN27+DT27)/1000,0)</f>
        <v>6</v>
      </c>
      <c r="FH27" s="2591"/>
      <c r="FI27" s="74">
        <f>DF27/1000</f>
        <v>0</v>
      </c>
      <c r="FJ27" s="2591"/>
      <c r="FK27" s="74">
        <f>((DL27/400)/12)</f>
        <v>0</v>
      </c>
      <c r="FL27" s="2591"/>
      <c r="FM27" s="74">
        <v>0</v>
      </c>
      <c r="FN27" s="2591"/>
      <c r="FO27" s="74">
        <v>0</v>
      </c>
      <c r="FP27" s="2643"/>
      <c r="FQ27" s="74">
        <f>DX27/1000</f>
        <v>0</v>
      </c>
      <c r="FR27" s="2591"/>
      <c r="FS27" s="2605"/>
      <c r="FT27" s="2607"/>
      <c r="FU27" s="2603"/>
      <c r="FV27" s="2609"/>
      <c r="FW27" s="2609"/>
      <c r="FX27" s="2603"/>
      <c r="FY27" s="2603"/>
      <c r="FZ27" s="2603"/>
      <c r="GA27" s="2603"/>
      <c r="GB27" s="2603"/>
      <c r="GC27" s="2603"/>
      <c r="GD27" s="2603"/>
      <c r="GE27" s="2603"/>
      <c r="GF27" s="2603"/>
      <c r="GG27" s="2603"/>
      <c r="GH27" s="2603"/>
      <c r="GI27" s="2603"/>
      <c r="GJ27" s="2603"/>
      <c r="GK27" s="2603"/>
      <c r="GL27" s="2609"/>
      <c r="GM27" s="2609"/>
      <c r="GN27" s="2609"/>
      <c r="GO27" s="2583"/>
      <c r="GP27" s="89">
        <f>EP27-BR27</f>
        <v>14</v>
      </c>
      <c r="GQ27" s="2583"/>
      <c r="GR27" s="89">
        <f>EV27-BT27</f>
        <v>85.68</v>
      </c>
      <c r="GS27" s="2583"/>
      <c r="GT27" s="89">
        <f>EX27-BV27</f>
        <v>17</v>
      </c>
      <c r="GU27" s="89">
        <f>FA27-BX27</f>
        <v>7</v>
      </c>
      <c r="GV27" s="89">
        <f>FI27-CD27</f>
        <v>0</v>
      </c>
      <c r="GW27" s="89">
        <v>0</v>
      </c>
      <c r="GX27" s="89">
        <f>FG27-CB27</f>
        <v>3.3</v>
      </c>
      <c r="GY27" s="89">
        <f>FK27-CF27</f>
        <v>0</v>
      </c>
      <c r="GZ27" s="89">
        <f>FM27-CH27</f>
        <v>0</v>
      </c>
      <c r="HA27" s="89">
        <f>FO27-CJ27</f>
        <v>0</v>
      </c>
      <c r="HB27" s="89">
        <f>FQ27-CL27</f>
        <v>0</v>
      </c>
      <c r="HC27" s="2617"/>
      <c r="HD27" s="95"/>
      <c r="HE27" s="95"/>
    </row>
    <row r="28" spans="1:219" s="95" customFormat="1" ht="18.75">
      <c r="A28" s="2263"/>
      <c r="B28" s="131"/>
      <c r="C28" s="132"/>
      <c r="D28" s="132"/>
      <c r="E28" s="133"/>
      <c r="F28" s="134"/>
      <c r="G28" s="135"/>
      <c r="H28" s="136"/>
      <c r="I28" s="132"/>
      <c r="J28" s="132"/>
      <c r="K28" s="132"/>
      <c r="L28" s="132"/>
      <c r="M28" s="134"/>
      <c r="N28" s="134"/>
      <c r="O28" s="134"/>
      <c r="P28" s="134"/>
      <c r="Q28" s="137"/>
      <c r="S28" s="101"/>
      <c r="T28" s="97"/>
      <c r="U28" s="2244"/>
      <c r="V28" s="102"/>
      <c r="W28" s="2244"/>
      <c r="X28" s="97"/>
      <c r="Y28" s="2244"/>
      <c r="Z28" s="97"/>
      <c r="AA28" s="2244"/>
      <c r="AB28" s="97"/>
      <c r="AC28" s="2244"/>
      <c r="AD28" s="103"/>
      <c r="AE28" s="2251"/>
      <c r="AF28" s="103"/>
      <c r="AG28" s="103"/>
      <c r="AH28" s="103"/>
      <c r="AI28" s="103"/>
      <c r="AJ28" s="103"/>
      <c r="AK28" s="2251"/>
      <c r="AL28" s="103"/>
      <c r="AM28" s="2251"/>
      <c r="AN28" s="103"/>
      <c r="AO28" s="2224"/>
      <c r="AP28" s="103"/>
      <c r="AQ28" s="2251"/>
      <c r="AR28" s="103"/>
      <c r="AS28" s="2251"/>
      <c r="AT28" s="103"/>
      <c r="AU28" s="2251"/>
      <c r="AV28" s="103"/>
      <c r="AW28" s="2251"/>
      <c r="AX28" s="103"/>
      <c r="AY28" s="2251"/>
      <c r="AZ28" s="75">
        <f t="shared" si="0"/>
        <v>0</v>
      </c>
      <c r="BA28" s="2224"/>
      <c r="BB28" s="97"/>
      <c r="BC28" s="2224"/>
      <c r="BD28" s="97"/>
      <c r="BE28" s="2224"/>
      <c r="BF28" s="97"/>
      <c r="BG28" s="2224"/>
      <c r="BH28" s="97"/>
      <c r="BI28" s="2224"/>
      <c r="BJ28" s="97"/>
      <c r="BK28" s="2224"/>
      <c r="BL28" s="97"/>
      <c r="BM28" s="2251"/>
      <c r="BN28" s="97"/>
      <c r="BO28" s="2251"/>
      <c r="BP28" s="97"/>
      <c r="BQ28" s="2251"/>
      <c r="BR28" s="97"/>
      <c r="BS28" s="2251"/>
      <c r="BT28" s="185"/>
      <c r="BU28" s="2251"/>
      <c r="BV28" s="138"/>
      <c r="BW28" s="2251"/>
      <c r="BX28" s="97"/>
      <c r="BY28" s="2251"/>
      <c r="BZ28" s="97"/>
      <c r="CA28" s="2251"/>
      <c r="CB28" s="97"/>
      <c r="CC28" s="2251"/>
      <c r="CD28" s="97"/>
      <c r="CE28" s="2251"/>
      <c r="CF28" s="97"/>
      <c r="CG28" s="2251"/>
      <c r="CH28" s="105"/>
      <c r="CI28" s="2251"/>
      <c r="CJ28" s="97"/>
      <c r="CK28" s="2251"/>
      <c r="CL28" s="97"/>
      <c r="CM28" s="2251"/>
      <c r="CN28" s="73">
        <f t="shared" si="1"/>
        <v>0</v>
      </c>
      <c r="CO28" s="97"/>
      <c r="CP28" s="106"/>
      <c r="CQ28" s="139"/>
      <c r="CR28" s="139"/>
      <c r="CS28" s="139"/>
      <c r="CT28" s="139"/>
      <c r="CU28" s="108"/>
      <c r="CV28" s="2258"/>
      <c r="CW28" s="97"/>
      <c r="CX28" s="2244"/>
      <c r="CY28" s="2261"/>
      <c r="CZ28" s="97"/>
      <c r="DA28" s="2253"/>
      <c r="DB28" s="97"/>
      <c r="DC28" s="2244"/>
      <c r="DD28" s="97"/>
      <c r="DE28" s="2244"/>
      <c r="DF28" s="97"/>
      <c r="DG28" s="2244"/>
      <c r="DH28" s="97"/>
      <c r="DI28" s="2244"/>
      <c r="DJ28" s="97"/>
      <c r="DK28" s="2244"/>
      <c r="DL28" s="97"/>
      <c r="DM28" s="214"/>
      <c r="DN28" s="83"/>
      <c r="DO28" s="2244"/>
      <c r="DP28" s="83"/>
      <c r="DQ28" s="2244"/>
      <c r="DR28" s="83"/>
      <c r="DS28" s="2244"/>
      <c r="DT28" s="83"/>
      <c r="DU28" s="2244"/>
      <c r="DV28" s="83"/>
      <c r="DW28" s="214"/>
      <c r="DX28" s="75"/>
      <c r="DY28" s="2244"/>
      <c r="DZ28" s="76"/>
      <c r="EA28" s="2244"/>
      <c r="EB28" s="76"/>
      <c r="EC28" s="2244"/>
      <c r="ED28" s="76"/>
      <c r="EE28" s="2244"/>
      <c r="EF28" s="76"/>
      <c r="EG28" s="2244"/>
      <c r="EH28" s="76"/>
      <c r="EI28" s="2244"/>
      <c r="EJ28" s="76"/>
      <c r="EK28" s="215"/>
      <c r="EL28" s="97"/>
      <c r="EM28" s="2246"/>
      <c r="EN28" s="102"/>
      <c r="EO28" s="2246"/>
      <c r="EP28" s="102"/>
      <c r="EQ28" s="192"/>
      <c r="ER28" s="111"/>
      <c r="ES28" s="192"/>
      <c r="ET28" s="74"/>
      <c r="EU28" s="2244"/>
      <c r="EV28" s="122"/>
      <c r="EW28" s="2244"/>
      <c r="EX28" s="88"/>
      <c r="EY28" s="2244"/>
      <c r="EZ28" s="2248"/>
      <c r="FA28" s="194"/>
      <c r="FB28" s="2244"/>
      <c r="FC28" s="2224"/>
      <c r="FD28" s="2244"/>
      <c r="FE28" s="194"/>
      <c r="FF28" s="2244"/>
      <c r="FG28" s="102"/>
      <c r="FH28" s="2244"/>
      <c r="FI28" s="102"/>
      <c r="FJ28" s="2244"/>
      <c r="FK28" s="102"/>
      <c r="FL28" s="2244"/>
      <c r="FM28" s="102"/>
      <c r="FN28" s="2244"/>
      <c r="FO28" s="102"/>
      <c r="FP28" s="192"/>
      <c r="FQ28" s="102"/>
      <c r="FR28" s="2244"/>
      <c r="FS28" s="2244"/>
      <c r="FT28" s="2240"/>
      <c r="FU28" s="2233"/>
      <c r="FV28" s="2235"/>
      <c r="FW28" s="2235"/>
      <c r="FX28" s="2233"/>
      <c r="FY28" s="2233"/>
      <c r="FZ28" s="2233"/>
      <c r="GA28" s="2232"/>
      <c r="GB28" s="2233"/>
      <c r="GC28" s="2233"/>
      <c r="GD28" s="2233"/>
      <c r="GE28" s="2232"/>
      <c r="GF28" s="2233"/>
      <c r="GG28" s="2232"/>
      <c r="GH28" s="2232"/>
      <c r="GI28" s="2232"/>
      <c r="GJ28" s="2232"/>
      <c r="GK28" s="2232"/>
      <c r="GL28" s="2235"/>
      <c r="GM28" s="2235"/>
      <c r="GN28" s="2235"/>
      <c r="GO28" s="194"/>
      <c r="GP28" s="112"/>
      <c r="GQ28" s="194"/>
      <c r="GR28" s="112"/>
      <c r="GS28" s="194"/>
      <c r="GT28" s="112"/>
      <c r="GU28" s="112"/>
      <c r="GV28" s="113"/>
      <c r="GW28" s="113"/>
      <c r="GX28" s="113"/>
      <c r="GY28" s="113"/>
      <c r="GZ28" s="112"/>
      <c r="HA28" s="113"/>
      <c r="HB28" s="113"/>
      <c r="HC28" s="2230"/>
    </row>
    <row r="29" spans="1:219" s="91" customFormat="1" ht="18.75">
      <c r="A29" s="216">
        <v>9</v>
      </c>
      <c r="B29" s="217" t="s">
        <v>703</v>
      </c>
      <c r="C29" s="218">
        <v>3179</v>
      </c>
      <c r="D29" s="218">
        <v>20</v>
      </c>
      <c r="E29" s="219">
        <v>2031790020</v>
      </c>
      <c r="F29" s="220">
        <v>12500</v>
      </c>
      <c r="G29" s="221" t="s">
        <v>704</v>
      </c>
      <c r="H29" s="222"/>
      <c r="I29" s="218">
        <v>2</v>
      </c>
      <c r="J29" s="218">
        <v>0</v>
      </c>
      <c r="K29" s="218">
        <v>2</v>
      </c>
      <c r="L29" s="218">
        <v>6.5</v>
      </c>
      <c r="M29" s="220">
        <v>25000</v>
      </c>
      <c r="N29" s="220">
        <v>0</v>
      </c>
      <c r="O29" s="220">
        <v>0</v>
      </c>
      <c r="P29" s="220">
        <v>25000</v>
      </c>
      <c r="Q29" s="223">
        <v>0</v>
      </c>
      <c r="R29" s="91" t="s">
        <v>725</v>
      </c>
      <c r="S29" s="214">
        <f>T29</f>
        <v>0</v>
      </c>
      <c r="T29" s="83">
        <v>0</v>
      </c>
      <c r="U29" s="214">
        <f>V29</f>
        <v>25000</v>
      </c>
      <c r="V29" s="111">
        <f>M29</f>
        <v>25000</v>
      </c>
      <c r="W29" s="214">
        <f>X29</f>
        <v>25000</v>
      </c>
      <c r="X29" s="83">
        <f>V29-Z29</f>
        <v>25000</v>
      </c>
      <c r="Y29" s="214">
        <f>Z29</f>
        <v>0</v>
      </c>
      <c r="Z29" s="83">
        <v>0</v>
      </c>
      <c r="AA29" s="214">
        <f>AB29</f>
        <v>0</v>
      </c>
      <c r="AB29" s="83">
        <v>0</v>
      </c>
      <c r="AC29" s="214">
        <f>AD29</f>
        <v>0</v>
      </c>
      <c r="AD29" s="76">
        <f>V29-(Z29+AB29+AF29+AL29+AN29+AP29+AZ29+AR29+AT29+AV29+AX29)</f>
        <v>0</v>
      </c>
      <c r="AE29" s="215">
        <f>AF29</f>
        <v>0</v>
      </c>
      <c r="AF29" s="76">
        <v>0</v>
      </c>
      <c r="AG29" s="76">
        <v>0</v>
      </c>
      <c r="AH29" s="76">
        <f>AG29</f>
        <v>0</v>
      </c>
      <c r="AI29" s="76">
        <v>0</v>
      </c>
      <c r="AJ29" s="76">
        <f>AI29</f>
        <v>0</v>
      </c>
      <c r="AK29" s="215">
        <f>AL29</f>
        <v>0</v>
      </c>
      <c r="AL29" s="76">
        <v>0</v>
      </c>
      <c r="AM29" s="215">
        <v>0</v>
      </c>
      <c r="AN29" s="76">
        <v>0</v>
      </c>
      <c r="AO29" s="194">
        <f>AP29</f>
        <v>0</v>
      </c>
      <c r="AP29" s="76">
        <v>0</v>
      </c>
      <c r="AQ29" s="215">
        <f>AR29</f>
        <v>25000</v>
      </c>
      <c r="AR29" s="76">
        <v>25000</v>
      </c>
      <c r="AS29" s="215">
        <f>AT29</f>
        <v>0</v>
      </c>
      <c r="AT29" s="76">
        <v>0</v>
      </c>
      <c r="AU29" s="215">
        <f>AV29</f>
        <v>0</v>
      </c>
      <c r="AV29" s="76">
        <v>0</v>
      </c>
      <c r="AW29" s="215">
        <f>AX29</f>
        <v>0</v>
      </c>
      <c r="AX29" s="76">
        <v>0</v>
      </c>
      <c r="AY29" s="215">
        <f>AZ29</f>
        <v>0</v>
      </c>
      <c r="AZ29" s="75">
        <f t="shared" si="0"/>
        <v>0</v>
      </c>
      <c r="BA29" s="194">
        <f>BB29</f>
        <v>0</v>
      </c>
      <c r="BB29" s="224">
        <v>0</v>
      </c>
      <c r="BC29" s="194">
        <f>BD29</f>
        <v>0</v>
      </c>
      <c r="BD29" s="224">
        <v>0</v>
      </c>
      <c r="BE29" s="194">
        <f>BF29</f>
        <v>0</v>
      </c>
      <c r="BF29" s="224">
        <v>0</v>
      </c>
      <c r="BG29" s="194">
        <f>BH29</f>
        <v>0</v>
      </c>
      <c r="BH29" s="224">
        <v>0</v>
      </c>
      <c r="BI29" s="194">
        <f>BJ29</f>
        <v>0</v>
      </c>
      <c r="BJ29" s="224">
        <v>0</v>
      </c>
      <c r="BK29" s="194">
        <f>BL29</f>
        <v>0</v>
      </c>
      <c r="BL29" s="224">
        <v>0</v>
      </c>
      <c r="BM29" s="215">
        <f>BN29</f>
        <v>25000</v>
      </c>
      <c r="BN29" s="83">
        <f>ROUND(T29+V29+AZ29+BB29,0)</f>
        <v>25000</v>
      </c>
      <c r="BO29" s="215">
        <f>BP29</f>
        <v>0</v>
      </c>
      <c r="BP29" s="83">
        <f>ROUND(T29/EP$141,0)</f>
        <v>0</v>
      </c>
      <c r="BQ29" s="215">
        <f>BR29</f>
        <v>0</v>
      </c>
      <c r="BR29" s="83">
        <f>BR$142*BP29</f>
        <v>0</v>
      </c>
      <c r="BS29" s="215">
        <f>BT29</f>
        <v>0</v>
      </c>
      <c r="BT29" s="185">
        <f t="shared" si="3"/>
        <v>0</v>
      </c>
      <c r="BU29" s="215">
        <f>BV29</f>
        <v>3</v>
      </c>
      <c r="BV29" s="225">
        <f>ROUND((AD29+AB29+Z29)/1000*3,0)+ROUND((AF29+AX29)/1000,0)+ROUND((ROUND(AL29/400,0))/2.67,0)+ROUND(AN29/250,0)+ROUND(AR29/15000,0)+ROUND((BB29+BD29+BF29+BJ29)/1000*3,0)+ROUND(BP29/25,0)+ROUND(CN29/50,0)</f>
        <v>3</v>
      </c>
      <c r="BW29" s="215">
        <f>BX29</f>
        <v>0</v>
      </c>
      <c r="BX29" s="83">
        <v>0</v>
      </c>
      <c r="BY29" s="215">
        <f>BZ29</f>
        <v>0</v>
      </c>
      <c r="BZ29" s="83">
        <v>0</v>
      </c>
      <c r="CA29" s="215">
        <f>CB29</f>
        <v>25</v>
      </c>
      <c r="CB29" s="83">
        <f>V29/1000</f>
        <v>25</v>
      </c>
      <c r="CC29" s="215">
        <f>CD29</f>
        <v>0</v>
      </c>
      <c r="CD29" s="83">
        <f>AB29/1000</f>
        <v>0</v>
      </c>
      <c r="CE29" s="215">
        <f>CF29</f>
        <v>0</v>
      </c>
      <c r="CF29" s="83">
        <f>((AL29/400)/12)</f>
        <v>0</v>
      </c>
      <c r="CG29" s="215">
        <f>CH29</f>
        <v>0</v>
      </c>
      <c r="CH29" s="226">
        <f>IFERROR(VLOOKUP(E29,#REF!,3,FALSE),0)</f>
        <v>0</v>
      </c>
      <c r="CI29" s="215" t="b">
        <f>CJ29</f>
        <v>0</v>
      </c>
      <c r="CJ29" s="83" t="b">
        <f>IF(G29="M1-2",F29/1000)</f>
        <v>0</v>
      </c>
      <c r="CK29" s="215">
        <f>CL29</f>
        <v>0</v>
      </c>
      <c r="CL29" s="83">
        <f>IF(BJ29&gt;0,"Calculate",0)</f>
        <v>0</v>
      </c>
      <c r="CM29" s="215">
        <f>CN29</f>
        <v>25</v>
      </c>
      <c r="CN29" s="73">
        <f t="shared" si="1"/>
        <v>25</v>
      </c>
      <c r="CO29" s="83"/>
      <c r="CP29" s="227">
        <v>31</v>
      </c>
      <c r="CQ29" s="228" t="s">
        <v>705</v>
      </c>
      <c r="CR29" s="228">
        <v>4.5999999999999996</v>
      </c>
      <c r="CS29" s="228">
        <v>2</v>
      </c>
      <c r="CT29" s="228">
        <v>4.5999999999999996</v>
      </c>
      <c r="CU29" s="229" t="s">
        <v>706</v>
      </c>
      <c r="CV29" s="230" t="s">
        <v>716</v>
      </c>
      <c r="CW29" s="83">
        <f>(CR29*F29)-CZ29</f>
        <v>46874.999999999993</v>
      </c>
      <c r="CX29" s="231">
        <f t="shared" ref="CX29:CX45" si="8">CW29</f>
        <v>46874.999999999993</v>
      </c>
      <c r="CY29" s="232">
        <f>CZ29</f>
        <v>10625</v>
      </c>
      <c r="CZ29" s="83">
        <f>1*(F29)-(0.15*1*(F29))</f>
        <v>10625</v>
      </c>
      <c r="DA29" s="233">
        <f>DB29</f>
        <v>10625</v>
      </c>
      <c r="DB29" s="83">
        <f>CZ29-DD29</f>
        <v>10625</v>
      </c>
      <c r="DC29" s="231">
        <f>DD29</f>
        <v>0</v>
      </c>
      <c r="DD29" s="83">
        <v>0</v>
      </c>
      <c r="DE29" s="214">
        <f>DF29</f>
        <v>0</v>
      </c>
      <c r="DF29" s="83">
        <v>0</v>
      </c>
      <c r="DG29" s="214">
        <f>DH29</f>
        <v>10625</v>
      </c>
      <c r="DH29" s="83">
        <f>CZ29-(DD29+DF29+DJ29+DL29+DN29+DT29+DV29+DX29)</f>
        <v>10625</v>
      </c>
      <c r="DI29" s="214">
        <f>DJ29</f>
        <v>0</v>
      </c>
      <c r="DJ29" s="83">
        <v>0</v>
      </c>
      <c r="DK29" s="214">
        <f>DL29</f>
        <v>0</v>
      </c>
      <c r="DL29" s="83">
        <v>0</v>
      </c>
      <c r="DM29" s="2245">
        <f>DN29</f>
        <v>0</v>
      </c>
      <c r="DN29" s="73">
        <v>0</v>
      </c>
      <c r="DO29" s="214">
        <f>DP29</f>
        <v>0</v>
      </c>
      <c r="DP29" s="73">
        <v>0</v>
      </c>
      <c r="DQ29" s="214">
        <f>DR29</f>
        <v>0</v>
      </c>
      <c r="DR29" s="73">
        <v>0</v>
      </c>
      <c r="DS29" s="214">
        <f>DT29</f>
        <v>0</v>
      </c>
      <c r="DT29" s="73">
        <v>0</v>
      </c>
      <c r="DU29" s="214">
        <f>DV29</f>
        <v>0</v>
      </c>
      <c r="DV29" s="73">
        <v>0</v>
      </c>
      <c r="DW29" s="2245">
        <f>DX29</f>
        <v>0</v>
      </c>
      <c r="DX29" s="75">
        <f t="shared" si="2"/>
        <v>0</v>
      </c>
      <c r="DY29" s="214">
        <f>DZ29</f>
        <v>0</v>
      </c>
      <c r="DZ29" s="75">
        <v>0</v>
      </c>
      <c r="EA29" s="214">
        <f>EB29</f>
        <v>0</v>
      </c>
      <c r="EB29" s="75">
        <v>0</v>
      </c>
      <c r="EC29" s="214">
        <f>ED29</f>
        <v>0</v>
      </c>
      <c r="ED29" s="75">
        <v>0</v>
      </c>
      <c r="EE29" s="214">
        <f>EF29</f>
        <v>0</v>
      </c>
      <c r="EF29" s="75">
        <v>0</v>
      </c>
      <c r="EG29" s="214">
        <f>EH29</f>
        <v>0</v>
      </c>
      <c r="EH29" s="75">
        <v>0</v>
      </c>
      <c r="EI29" s="214">
        <f>EJ29</f>
        <v>0</v>
      </c>
      <c r="EJ29" s="75">
        <v>0</v>
      </c>
      <c r="EK29" s="2252">
        <f>EL29</f>
        <v>57499.999999999993</v>
      </c>
      <c r="EL29" s="83">
        <f>CW29+CZ29</f>
        <v>57499.999999999993</v>
      </c>
      <c r="EM29" s="234">
        <f>SUM(EN29)</f>
        <v>47</v>
      </c>
      <c r="EN29" s="111">
        <f>ROUND(CW29/EP$141,0)</f>
        <v>47</v>
      </c>
      <c r="EO29" s="234">
        <f>EP29</f>
        <v>9.4</v>
      </c>
      <c r="EP29" s="111">
        <f>0.2*EN29</f>
        <v>9.4</v>
      </c>
      <c r="EQ29" s="111">
        <f>ER29</f>
        <v>11.75</v>
      </c>
      <c r="ER29" s="111">
        <f t="shared" ref="ER29" si="9">0.25*EN29</f>
        <v>11.75</v>
      </c>
      <c r="ES29" s="192">
        <f>ET29</f>
        <v>11</v>
      </c>
      <c r="ET29" s="74">
        <f>FA29+FG29+FQ29</f>
        <v>11</v>
      </c>
      <c r="EU29" s="214">
        <f>EV29</f>
        <v>143.82</v>
      </c>
      <c r="EV29" s="122">
        <f>3.06*EN29</f>
        <v>143.82</v>
      </c>
      <c r="EW29" s="214">
        <f>EX29</f>
        <v>34</v>
      </c>
      <c r="EX29" s="88">
        <f>ROUND((DH29+DF29+DD29)/1000*3,0)+ROUND((ROUND(DL29/400,0))/2.67,0)+ROUND(DV29/1000,0)+ROUND((DZ29+EB29+ED29+EH29)/1000*3,0)+ROUND(EN29/25,0)+ROUND(ET29/50,0)</f>
        <v>34</v>
      </c>
      <c r="EY29" s="214" t="str">
        <f>EZ29</f>
        <v>waived</v>
      </c>
      <c r="EZ29" s="193" t="s">
        <v>713</v>
      </c>
      <c r="FA29" s="194">
        <v>0</v>
      </c>
      <c r="FB29" s="214">
        <f>FC29</f>
        <v>0</v>
      </c>
      <c r="FC29" s="194">
        <v>0</v>
      </c>
      <c r="FD29" s="214">
        <f>FE29</f>
        <v>0</v>
      </c>
      <c r="FE29" s="194">
        <v>0</v>
      </c>
      <c r="FF29" s="214">
        <f>FG29</f>
        <v>11</v>
      </c>
      <c r="FG29" s="111">
        <f>ROUND((DH29+DJ29+DD29+DN29+DT29)/1000,0)</f>
        <v>11</v>
      </c>
      <c r="FH29" s="214">
        <f>FI29</f>
        <v>0</v>
      </c>
      <c r="FI29" s="111">
        <f>DF29/1000</f>
        <v>0</v>
      </c>
      <c r="FJ29" s="214">
        <f>FK29</f>
        <v>0</v>
      </c>
      <c r="FK29" s="111">
        <f>((DL29/400)/12)</f>
        <v>0</v>
      </c>
      <c r="FL29" s="214">
        <f>FM29</f>
        <v>0</v>
      </c>
      <c r="FM29" s="111">
        <v>0</v>
      </c>
      <c r="FN29" s="214">
        <f>FO29</f>
        <v>0</v>
      </c>
      <c r="FO29" s="111">
        <v>0</v>
      </c>
      <c r="FP29" s="111">
        <f>FQ29</f>
        <v>0</v>
      </c>
      <c r="FQ29" s="111">
        <f>DX29/1000</f>
        <v>0</v>
      </c>
      <c r="FR29" s="214">
        <f>FS29</f>
        <v>115</v>
      </c>
      <c r="FS29" s="214">
        <v>115</v>
      </c>
      <c r="FT29" s="2240">
        <f>CX29-S29</f>
        <v>46874.999999999993</v>
      </c>
      <c r="FU29" s="2233">
        <f>CY29-U29</f>
        <v>-14375</v>
      </c>
      <c r="FV29" s="2235">
        <f>(DC29+DE29+DG29)-(Y29+AA29+AC29+AE29)</f>
        <v>10625</v>
      </c>
      <c r="FW29" s="2235">
        <f>DG29-AC29</f>
        <v>10625</v>
      </c>
      <c r="FX29" s="2233">
        <f>DE29-AA29</f>
        <v>0</v>
      </c>
      <c r="FY29" s="2233">
        <f>DC29-Y29</f>
        <v>0</v>
      </c>
      <c r="FZ29" s="2233">
        <f>DJ29-AE29</f>
        <v>0</v>
      </c>
      <c r="GA29" s="235">
        <f>DL29-AL29</f>
        <v>0</v>
      </c>
      <c r="GB29" s="2233">
        <f>DM29-AM29</f>
        <v>0</v>
      </c>
      <c r="GC29" s="2233">
        <f>DP29-AQ29</f>
        <v>-25000</v>
      </c>
      <c r="GD29" s="2233">
        <f>DR29-AS29</f>
        <v>0</v>
      </c>
      <c r="GE29" s="235">
        <f>DT29-AV29</f>
        <v>0</v>
      </c>
      <c r="GF29" s="2233">
        <f>DV29-AW29</f>
        <v>0</v>
      </c>
      <c r="GG29" s="235">
        <f>DZ29-BB29</f>
        <v>0</v>
      </c>
      <c r="GH29" s="235">
        <f>EB29-BD29</f>
        <v>0</v>
      </c>
      <c r="GI29" s="235">
        <f>ED29-BF29</f>
        <v>0</v>
      </c>
      <c r="GJ29" s="235">
        <f>EF29-BH29</f>
        <v>0</v>
      </c>
      <c r="GK29" s="235">
        <f>EH29-BJ29</f>
        <v>0</v>
      </c>
      <c r="GL29" s="2235">
        <f>DW29-AY29</f>
        <v>0</v>
      </c>
      <c r="GM29" s="2235">
        <f>EK29-BM29</f>
        <v>32499.999999999993</v>
      </c>
      <c r="GN29" s="2235">
        <f>EM29-BO29</f>
        <v>47</v>
      </c>
      <c r="GO29" s="2225">
        <f>GP29</f>
        <v>9.4</v>
      </c>
      <c r="GP29" s="89">
        <f>EP29-BR29</f>
        <v>9.4</v>
      </c>
      <c r="GQ29" s="2225">
        <f>GR29</f>
        <v>143.82</v>
      </c>
      <c r="GR29" s="89">
        <f>EV29-BT29</f>
        <v>143.82</v>
      </c>
      <c r="GS29" s="2225">
        <f>GT29</f>
        <v>31</v>
      </c>
      <c r="GT29" s="89">
        <f>EX29-BV29</f>
        <v>31</v>
      </c>
      <c r="GU29" s="113">
        <f>FA29-BX29</f>
        <v>0</v>
      </c>
      <c r="GV29" s="112">
        <f>FI29-CD29</f>
        <v>0</v>
      </c>
      <c r="GW29" s="112">
        <v>0</v>
      </c>
      <c r="GX29" s="112">
        <f>FG29-CB29</f>
        <v>-14</v>
      </c>
      <c r="GY29" s="112">
        <f>FK29-CF29</f>
        <v>0</v>
      </c>
      <c r="GZ29" s="112">
        <f>FM29-CH29</f>
        <v>0</v>
      </c>
      <c r="HA29" s="112">
        <f>FO29-CJ29</f>
        <v>0</v>
      </c>
      <c r="HB29" s="112">
        <f>FQ29-CL29</f>
        <v>0</v>
      </c>
      <c r="HC29" s="2230">
        <f>ES29-CM29</f>
        <v>-14</v>
      </c>
      <c r="HD29" s="95"/>
      <c r="HE29" s="95"/>
    </row>
    <row r="30" spans="1:219" s="95" customFormat="1" ht="18.75">
      <c r="A30" s="2263"/>
      <c r="B30" s="131"/>
      <c r="C30" s="132"/>
      <c r="D30" s="132"/>
      <c r="E30" s="133"/>
      <c r="F30" s="134"/>
      <c r="G30" s="135"/>
      <c r="H30" s="136"/>
      <c r="I30" s="132"/>
      <c r="J30" s="132"/>
      <c r="K30" s="132"/>
      <c r="L30" s="132"/>
      <c r="M30" s="134"/>
      <c r="N30" s="134"/>
      <c r="O30" s="134"/>
      <c r="P30" s="134"/>
      <c r="Q30" s="137"/>
      <c r="S30" s="101"/>
      <c r="T30" s="97"/>
      <c r="U30" s="2244"/>
      <c r="V30" s="102"/>
      <c r="W30" s="2244"/>
      <c r="X30" s="97"/>
      <c r="Y30" s="214"/>
      <c r="Z30" s="97"/>
      <c r="AA30" s="2244"/>
      <c r="AB30" s="97"/>
      <c r="AC30" s="2244"/>
      <c r="AD30" s="103"/>
      <c r="AE30" s="2251"/>
      <c r="AF30" s="103"/>
      <c r="AG30" s="103"/>
      <c r="AH30" s="103"/>
      <c r="AI30" s="103"/>
      <c r="AJ30" s="103"/>
      <c r="AK30" s="2251"/>
      <c r="AL30" s="103"/>
      <c r="AM30" s="2251"/>
      <c r="AN30" s="103"/>
      <c r="AO30" s="2224"/>
      <c r="AP30" s="103"/>
      <c r="AQ30" s="2251"/>
      <c r="AR30" s="103"/>
      <c r="AS30" s="2251"/>
      <c r="AT30" s="103"/>
      <c r="AU30" s="2251"/>
      <c r="AV30" s="103"/>
      <c r="AW30" s="2251"/>
      <c r="AX30" s="103"/>
      <c r="AY30" s="2251"/>
      <c r="AZ30" s="75">
        <f t="shared" si="0"/>
        <v>0</v>
      </c>
      <c r="BA30" s="2224"/>
      <c r="BB30" s="191"/>
      <c r="BC30" s="2224"/>
      <c r="BD30" s="191"/>
      <c r="BE30" s="2224"/>
      <c r="BF30" s="191"/>
      <c r="BG30" s="2224"/>
      <c r="BH30" s="191"/>
      <c r="BI30" s="2224"/>
      <c r="BJ30" s="191"/>
      <c r="BK30" s="2224"/>
      <c r="BL30" s="191"/>
      <c r="BM30" s="2251"/>
      <c r="BN30" s="97"/>
      <c r="BO30" s="2251"/>
      <c r="BP30" s="97"/>
      <c r="BQ30" s="2251"/>
      <c r="BR30" s="97"/>
      <c r="BS30" s="2251"/>
      <c r="BT30" s="185"/>
      <c r="BU30" s="2251"/>
      <c r="BV30" s="138"/>
      <c r="BW30" s="2251"/>
      <c r="BX30" s="97"/>
      <c r="BY30" s="2251"/>
      <c r="BZ30" s="97"/>
      <c r="CA30" s="2251"/>
      <c r="CB30" s="97"/>
      <c r="CC30" s="2251"/>
      <c r="CD30" s="97"/>
      <c r="CE30" s="2251"/>
      <c r="CF30" s="97"/>
      <c r="CG30" s="2251"/>
      <c r="CH30" s="105"/>
      <c r="CI30" s="2251"/>
      <c r="CJ30" s="97"/>
      <c r="CK30" s="2251"/>
      <c r="CL30" s="97"/>
      <c r="CM30" s="2251"/>
      <c r="CN30" s="73">
        <f t="shared" si="1"/>
        <v>0</v>
      </c>
      <c r="CO30" s="97"/>
      <c r="CP30" s="106"/>
      <c r="CQ30" s="139"/>
      <c r="CR30" s="139"/>
      <c r="CS30" s="139"/>
      <c r="CT30" s="139"/>
      <c r="CU30" s="108"/>
      <c r="CV30" s="2258"/>
      <c r="CW30" s="97"/>
      <c r="CX30" s="231"/>
      <c r="CY30" s="237"/>
      <c r="CZ30" s="102"/>
      <c r="DA30" s="237"/>
      <c r="DB30" s="102"/>
      <c r="DC30" s="110"/>
      <c r="DD30" s="102"/>
      <c r="DE30" s="2246"/>
      <c r="DF30" s="102"/>
      <c r="DG30" s="2246"/>
      <c r="DH30" s="102"/>
      <c r="DI30" s="2246"/>
      <c r="DJ30" s="102"/>
      <c r="DK30" s="2246"/>
      <c r="DL30" s="102"/>
      <c r="DM30" s="234"/>
      <c r="DN30" s="111"/>
      <c r="DO30" s="2246"/>
      <c r="DP30" s="111"/>
      <c r="DQ30" s="2246"/>
      <c r="DR30" s="111"/>
      <c r="DS30" s="2246"/>
      <c r="DT30" s="111"/>
      <c r="DU30" s="2246"/>
      <c r="DV30" s="111"/>
      <c r="DW30" s="234"/>
      <c r="DX30" s="75"/>
      <c r="DY30" s="2246"/>
      <c r="DZ30" s="76"/>
      <c r="EA30" s="2246"/>
      <c r="EB30" s="76"/>
      <c r="EC30" s="2246"/>
      <c r="ED30" s="76"/>
      <c r="EE30" s="2246"/>
      <c r="EF30" s="76"/>
      <c r="EG30" s="2246"/>
      <c r="EH30" s="76"/>
      <c r="EI30" s="2246"/>
      <c r="EJ30" s="76"/>
      <c r="EK30" s="215"/>
      <c r="EL30" s="97"/>
      <c r="EM30" s="2246"/>
      <c r="EN30" s="102"/>
      <c r="EO30" s="2246"/>
      <c r="EP30" s="102"/>
      <c r="EQ30" s="102"/>
      <c r="ER30" s="102"/>
      <c r="ES30" s="110"/>
      <c r="ET30" s="74"/>
      <c r="EU30" s="2246"/>
      <c r="EV30" s="122"/>
      <c r="EW30" s="2246"/>
      <c r="EX30" s="88"/>
      <c r="EY30" s="2246"/>
      <c r="EZ30" s="2248"/>
      <c r="FA30" s="2224"/>
      <c r="FB30" s="2246"/>
      <c r="FC30" s="2224"/>
      <c r="FD30" s="2246"/>
      <c r="FE30" s="2224"/>
      <c r="FF30" s="2246"/>
      <c r="FG30" s="102"/>
      <c r="FH30" s="2246"/>
      <c r="FI30" s="102"/>
      <c r="FJ30" s="2246"/>
      <c r="FK30" s="102"/>
      <c r="FL30" s="2246"/>
      <c r="FM30" s="102"/>
      <c r="FN30" s="2246"/>
      <c r="FO30" s="102"/>
      <c r="FP30" s="102"/>
      <c r="FQ30" s="102"/>
      <c r="FR30" s="2246"/>
      <c r="FS30" s="2244"/>
      <c r="FT30" s="2240"/>
      <c r="FU30" s="2233"/>
      <c r="FV30" s="2235"/>
      <c r="FW30" s="2235"/>
      <c r="FX30" s="2233"/>
      <c r="FY30" s="2233"/>
      <c r="FZ30" s="2233"/>
      <c r="GA30" s="2232"/>
      <c r="GB30" s="2233"/>
      <c r="GC30" s="2233"/>
      <c r="GD30" s="2233"/>
      <c r="GE30" s="2232"/>
      <c r="GF30" s="2233"/>
      <c r="GG30" s="2232"/>
      <c r="GH30" s="2232"/>
      <c r="GI30" s="2232"/>
      <c r="GJ30" s="2232"/>
      <c r="GK30" s="2232"/>
      <c r="GL30" s="2235"/>
      <c r="GM30" s="2235"/>
      <c r="GN30" s="2235"/>
      <c r="GO30" s="2224"/>
      <c r="GP30" s="112"/>
      <c r="GQ30" s="2224"/>
      <c r="GR30" s="112"/>
      <c r="GS30" s="2224"/>
      <c r="GT30" s="113"/>
      <c r="GU30" s="114"/>
      <c r="GV30" s="113"/>
      <c r="GW30" s="113"/>
      <c r="GX30" s="113"/>
      <c r="GY30" s="113"/>
      <c r="GZ30" s="112"/>
      <c r="HA30" s="113"/>
      <c r="HB30" s="113"/>
      <c r="HC30" s="2230"/>
    </row>
    <row r="31" spans="1:219" s="91" customFormat="1" ht="18.75">
      <c r="A31" s="216">
        <v>10</v>
      </c>
      <c r="B31" s="217" t="s">
        <v>703</v>
      </c>
      <c r="C31" s="218">
        <v>2870</v>
      </c>
      <c r="D31" s="218">
        <v>26</v>
      </c>
      <c r="E31" s="219">
        <v>2028700026</v>
      </c>
      <c r="F31" s="220">
        <v>10500</v>
      </c>
      <c r="G31" s="221" t="s">
        <v>726</v>
      </c>
      <c r="H31" s="222" t="s">
        <v>727</v>
      </c>
      <c r="I31" s="218">
        <v>1.77</v>
      </c>
      <c r="J31" s="218">
        <v>4</v>
      </c>
      <c r="K31" s="218">
        <v>0</v>
      </c>
      <c r="L31" s="218">
        <v>4.8</v>
      </c>
      <c r="M31" s="220">
        <v>18600</v>
      </c>
      <c r="N31" s="220">
        <v>0</v>
      </c>
      <c r="O31" s="220">
        <v>0</v>
      </c>
      <c r="P31" s="220">
        <v>18600</v>
      </c>
      <c r="Q31" s="223">
        <v>0</v>
      </c>
      <c r="R31" s="91" t="s">
        <v>728</v>
      </c>
      <c r="S31" s="214">
        <f>T31</f>
        <v>22575</v>
      </c>
      <c r="T31" s="83">
        <f>(J31*F31)-V31</f>
        <v>22575</v>
      </c>
      <c r="U31" s="214">
        <f>V31</f>
        <v>19425</v>
      </c>
      <c r="V31" s="111">
        <f>(2*F31)-0.15*(1*F31)</f>
        <v>19425</v>
      </c>
      <c r="W31" s="214">
        <f>X31</f>
        <v>19425</v>
      </c>
      <c r="X31" s="83">
        <f>V31-Z31</f>
        <v>19425</v>
      </c>
      <c r="Y31" s="214">
        <f>Z31</f>
        <v>0</v>
      </c>
      <c r="Z31" s="83">
        <v>0</v>
      </c>
      <c r="AA31" s="214">
        <f>AB31</f>
        <v>19425</v>
      </c>
      <c r="AB31" s="83">
        <f>V31</f>
        <v>19425</v>
      </c>
      <c r="AC31" s="214">
        <f>AD31</f>
        <v>0</v>
      </c>
      <c r="AD31" s="76">
        <f>V31-(Z31+AB31+AF31+AL31+AN31+AP31+AZ31+AR31+AT31+AV31+AX31)</f>
        <v>0</v>
      </c>
      <c r="AE31" s="215">
        <f>AF31</f>
        <v>0</v>
      </c>
      <c r="AF31" s="76">
        <v>0</v>
      </c>
      <c r="AG31" s="76">
        <v>0</v>
      </c>
      <c r="AH31" s="76">
        <f>AG31</f>
        <v>0</v>
      </c>
      <c r="AI31" s="76">
        <v>0</v>
      </c>
      <c r="AJ31" s="76">
        <f>AI31</f>
        <v>0</v>
      </c>
      <c r="AK31" s="215">
        <f>AL31</f>
        <v>0</v>
      </c>
      <c r="AL31" s="76">
        <v>0</v>
      </c>
      <c r="AM31" s="215">
        <v>0</v>
      </c>
      <c r="AN31" s="76">
        <v>0</v>
      </c>
      <c r="AO31" s="194">
        <f>AP31</f>
        <v>0</v>
      </c>
      <c r="AP31" s="76">
        <v>0</v>
      </c>
      <c r="AQ31" s="215">
        <f>AR31</f>
        <v>0</v>
      </c>
      <c r="AR31" s="76">
        <v>0</v>
      </c>
      <c r="AS31" s="215">
        <f>AT31</f>
        <v>0</v>
      </c>
      <c r="AT31" s="76">
        <v>0</v>
      </c>
      <c r="AU31" s="215">
        <f>AV31</f>
        <v>0</v>
      </c>
      <c r="AV31" s="76">
        <v>0</v>
      </c>
      <c r="AW31" s="215">
        <f>AX31</f>
        <v>0</v>
      </c>
      <c r="AX31" s="76">
        <v>0</v>
      </c>
      <c r="AY31" s="215">
        <f>AZ31</f>
        <v>0</v>
      </c>
      <c r="AZ31" s="75">
        <f t="shared" si="0"/>
        <v>0</v>
      </c>
      <c r="BA31" s="194">
        <f>BB31</f>
        <v>0</v>
      </c>
      <c r="BB31" s="224">
        <v>0</v>
      </c>
      <c r="BC31" s="194">
        <f>BD31</f>
        <v>0</v>
      </c>
      <c r="BD31" s="224">
        <v>0</v>
      </c>
      <c r="BE31" s="194">
        <f>BF31</f>
        <v>0</v>
      </c>
      <c r="BF31" s="224">
        <v>0</v>
      </c>
      <c r="BG31" s="194">
        <f>BH31</f>
        <v>0</v>
      </c>
      <c r="BH31" s="224">
        <v>0</v>
      </c>
      <c r="BI31" s="194">
        <f>BJ31</f>
        <v>0</v>
      </c>
      <c r="BJ31" s="224">
        <v>0</v>
      </c>
      <c r="BK31" s="194">
        <f>BL31</f>
        <v>0</v>
      </c>
      <c r="BL31" s="224">
        <v>0</v>
      </c>
      <c r="BM31" s="215">
        <f>BN31</f>
        <v>42000</v>
      </c>
      <c r="BN31" s="83">
        <f>ROUND(T31+V31+AZ31+BB31,0)</f>
        <v>42000</v>
      </c>
      <c r="BO31" s="215">
        <f>BP31</f>
        <v>23</v>
      </c>
      <c r="BP31" s="83">
        <f>ROUND(T31/EP$141,0)</f>
        <v>23</v>
      </c>
      <c r="BQ31" s="215">
        <f>BR31</f>
        <v>0</v>
      </c>
      <c r="BR31" s="83">
        <v>0</v>
      </c>
      <c r="BS31" s="215">
        <f>BT31</f>
        <v>70</v>
      </c>
      <c r="BT31" s="185">
        <f t="shared" si="3"/>
        <v>70</v>
      </c>
      <c r="BU31" s="215">
        <f>BV31</f>
        <v>60</v>
      </c>
      <c r="BV31" s="225">
        <f>ROUND((AD31+AB31+Z31)/1000*3,0)+ROUND((AF31+AX31)/1000,0)+ROUND((ROUND(AL31/400,0))/2.67,0)+ROUND(AN31/250,0)+ROUND(AR31/15000,0)+ROUND((BB31+BD31+BF31+BJ31)/1000*3,0)+ROUND(BP31/25,0)+ROUND(CN31/50,0)</f>
        <v>60</v>
      </c>
      <c r="BW31" s="215">
        <f>BX31</f>
        <v>13.799999999999999</v>
      </c>
      <c r="BX31" s="83">
        <f>(BP31-BR31)*0.6</f>
        <v>13.799999999999999</v>
      </c>
      <c r="BY31" s="215">
        <f>BZ31</f>
        <v>0</v>
      </c>
      <c r="BZ31" s="83">
        <v>0</v>
      </c>
      <c r="CA31" s="215">
        <f>CB31</f>
        <v>19.425000000000001</v>
      </c>
      <c r="CB31" s="83">
        <f>V31/1000</f>
        <v>19.425000000000001</v>
      </c>
      <c r="CC31" s="215">
        <f>CD31</f>
        <v>19.425000000000001</v>
      </c>
      <c r="CD31" s="83">
        <f>AB31/1000</f>
        <v>19.425000000000001</v>
      </c>
      <c r="CE31" s="215">
        <f>CF31</f>
        <v>0</v>
      </c>
      <c r="CF31" s="83">
        <f>((AL31/400)/12)</f>
        <v>0</v>
      </c>
      <c r="CG31" s="215">
        <f>CH31</f>
        <v>0</v>
      </c>
      <c r="CH31" s="226">
        <f>IFERROR(VLOOKUP(E31,#REF!,3,FALSE),0)</f>
        <v>0</v>
      </c>
      <c r="CI31" s="215" t="b">
        <f>CJ31</f>
        <v>0</v>
      </c>
      <c r="CJ31" s="83" t="b">
        <f>IF(G31="M1-2",F31/1000)</f>
        <v>0</v>
      </c>
      <c r="CK31" s="215">
        <f>CL31</f>
        <v>0</v>
      </c>
      <c r="CL31" s="83">
        <f>IF(BJ31&gt;0,"Calculate",0)</f>
        <v>0</v>
      </c>
      <c r="CM31" s="215">
        <f>CN31</f>
        <v>52.650000000000006</v>
      </c>
      <c r="CN31" s="73">
        <f t="shared" si="1"/>
        <v>52.650000000000006</v>
      </c>
      <c r="CO31" s="83"/>
      <c r="CP31" s="227">
        <v>75</v>
      </c>
      <c r="CQ31" s="228" t="s">
        <v>729</v>
      </c>
      <c r="CR31" s="228">
        <v>7.2</v>
      </c>
      <c r="CS31" s="228">
        <v>3.4</v>
      </c>
      <c r="CT31" s="228">
        <v>6.5</v>
      </c>
      <c r="CU31" s="229"/>
      <c r="CV31" s="230" t="s">
        <v>730</v>
      </c>
      <c r="CW31" s="76">
        <f>(CR31*F31)-CZ31</f>
        <v>56175</v>
      </c>
      <c r="CX31" s="231">
        <f t="shared" si="8"/>
        <v>56175</v>
      </c>
      <c r="CY31" s="232">
        <f>CZ31</f>
        <v>19425</v>
      </c>
      <c r="CZ31" s="76">
        <f>2*(F31)-(0.15*1*(F31))</f>
        <v>19425</v>
      </c>
      <c r="DA31" s="238">
        <f>DB31</f>
        <v>19425</v>
      </c>
      <c r="DB31" s="76">
        <f>CZ31-DD31</f>
        <v>19425</v>
      </c>
      <c r="DC31" s="239">
        <f>DD31</f>
        <v>0</v>
      </c>
      <c r="DD31" s="76">
        <v>0</v>
      </c>
      <c r="DE31" s="215">
        <f>DF31</f>
        <v>0</v>
      </c>
      <c r="DF31" s="76">
        <v>0</v>
      </c>
      <c r="DG31" s="215">
        <f>DH31</f>
        <v>19425</v>
      </c>
      <c r="DH31" s="76">
        <f>CZ31-(DD31+DF31+DJ31+DL31+DN31+DT31+DV31+DX31)</f>
        <v>19425</v>
      </c>
      <c r="DI31" s="215">
        <f>DJ31</f>
        <v>0</v>
      </c>
      <c r="DJ31" s="76">
        <v>0</v>
      </c>
      <c r="DK31" s="215">
        <f>DL31</f>
        <v>0</v>
      </c>
      <c r="DL31" s="111">
        <v>0</v>
      </c>
      <c r="DM31" s="2245">
        <f>DN31</f>
        <v>0</v>
      </c>
      <c r="DN31" s="240">
        <v>0</v>
      </c>
      <c r="DO31" s="215">
        <f>DP31</f>
        <v>0</v>
      </c>
      <c r="DP31" s="74">
        <v>0</v>
      </c>
      <c r="DQ31" s="215">
        <f>DR31</f>
        <v>0</v>
      </c>
      <c r="DR31" s="74">
        <v>0</v>
      </c>
      <c r="DS31" s="215">
        <f>DT31</f>
        <v>0</v>
      </c>
      <c r="DT31" s="74">
        <v>0</v>
      </c>
      <c r="DU31" s="215">
        <f>DV31</f>
        <v>0</v>
      </c>
      <c r="DV31" s="74">
        <v>0</v>
      </c>
      <c r="DW31" s="2245">
        <f>DX31</f>
        <v>0</v>
      </c>
      <c r="DX31" s="75">
        <f t="shared" si="2"/>
        <v>0</v>
      </c>
      <c r="DY31" s="215">
        <f>DZ31</f>
        <v>0</v>
      </c>
      <c r="DZ31" s="75">
        <v>0</v>
      </c>
      <c r="EA31" s="215">
        <f>EB31</f>
        <v>0</v>
      </c>
      <c r="EB31" s="75">
        <v>0</v>
      </c>
      <c r="EC31" s="215">
        <f>ED31</f>
        <v>0</v>
      </c>
      <c r="ED31" s="75">
        <v>0</v>
      </c>
      <c r="EE31" s="215">
        <f>EF31</f>
        <v>0</v>
      </c>
      <c r="EF31" s="75">
        <v>0</v>
      </c>
      <c r="EG31" s="215">
        <f>EH31</f>
        <v>0</v>
      </c>
      <c r="EH31" s="75">
        <v>0</v>
      </c>
      <c r="EI31" s="215">
        <f>EJ31</f>
        <v>0</v>
      </c>
      <c r="EJ31" s="75">
        <v>0</v>
      </c>
      <c r="EK31" s="2252">
        <f>EL31</f>
        <v>75600</v>
      </c>
      <c r="EL31" s="83">
        <f>CW31+CZ31</f>
        <v>75600</v>
      </c>
      <c r="EM31" s="234">
        <f>SUM(EN31)</f>
        <v>56</v>
      </c>
      <c r="EN31" s="111">
        <f>ROUND(CW31/EP$141,0)</f>
        <v>56</v>
      </c>
      <c r="EO31" s="234">
        <f>EP31</f>
        <v>56</v>
      </c>
      <c r="EP31" s="111">
        <f>EV$143*EN31</f>
        <v>56</v>
      </c>
      <c r="EQ31" s="111">
        <f>ER31</f>
        <v>56</v>
      </c>
      <c r="ER31" s="111">
        <f>EP31</f>
        <v>56</v>
      </c>
      <c r="ES31" s="192">
        <f>ET31</f>
        <v>19</v>
      </c>
      <c r="ET31" s="74">
        <f>FA31+FG31+FQ31</f>
        <v>19</v>
      </c>
      <c r="EU31" s="215">
        <f>EV31</f>
        <v>171.36</v>
      </c>
      <c r="EV31" s="122">
        <f>3.06*EN31</f>
        <v>171.36</v>
      </c>
      <c r="EW31" s="215">
        <f>EX31</f>
        <v>60</v>
      </c>
      <c r="EX31" s="88">
        <f>ROUND((DH31+DF31+DD31)/1000*3,0)+ROUND((ROUND(DL31/400,0))/2.67,0)+ROUND(DV31/1000,0)+ROUND((DZ31+EB31+ED31+EH31)/1000*3,0)+ROUND(EN31/25,0)+ROUND(ET31/50,0)</f>
        <v>60</v>
      </c>
      <c r="EY31" s="215">
        <f>EZ31</f>
        <v>0</v>
      </c>
      <c r="EZ31" s="193">
        <v>0</v>
      </c>
      <c r="FA31" s="194">
        <v>0</v>
      </c>
      <c r="FB31" s="215">
        <f>FC31</f>
        <v>0</v>
      </c>
      <c r="FC31" s="194">
        <v>0</v>
      </c>
      <c r="FD31" s="215">
        <f>FE31</f>
        <v>0</v>
      </c>
      <c r="FE31" s="194">
        <v>0</v>
      </c>
      <c r="FF31" s="215">
        <f>FG31</f>
        <v>19</v>
      </c>
      <c r="FG31" s="111">
        <f>ROUND((DH31+DJ31+DD31+DN31+DT31)/1000,0)</f>
        <v>19</v>
      </c>
      <c r="FH31" s="215">
        <f>FI31</f>
        <v>0</v>
      </c>
      <c r="FI31" s="111">
        <v>0</v>
      </c>
      <c r="FJ31" s="215">
        <f>FK31</f>
        <v>0</v>
      </c>
      <c r="FK31" s="111">
        <f>((DL31/400)/12)</f>
        <v>0</v>
      </c>
      <c r="FL31" s="215">
        <f>FM31</f>
        <v>0</v>
      </c>
      <c r="FM31" s="111">
        <v>0</v>
      </c>
      <c r="FN31" s="215">
        <f>FO31</f>
        <v>0</v>
      </c>
      <c r="FO31" s="111">
        <v>0</v>
      </c>
      <c r="FP31" s="111">
        <f>FQ31</f>
        <v>0</v>
      </c>
      <c r="FQ31" s="111">
        <f>DX31/1000</f>
        <v>0</v>
      </c>
      <c r="FR31" s="215">
        <f>FS31</f>
        <v>145</v>
      </c>
      <c r="FS31" s="214">
        <v>145</v>
      </c>
      <c r="FT31" s="2240">
        <f>CX31-S31</f>
        <v>33600</v>
      </c>
      <c r="FU31" s="2233">
        <f>CY31-U31</f>
        <v>0</v>
      </c>
      <c r="FV31" s="2235">
        <f>(DC31+DE31+DG31)-(Y31+AA31+AC31+AE31)</f>
        <v>0</v>
      </c>
      <c r="FW31" s="2235">
        <f>DG31-AC31</f>
        <v>19425</v>
      </c>
      <c r="FX31" s="2233">
        <f>DE31-AA31</f>
        <v>-19425</v>
      </c>
      <c r="FY31" s="2233">
        <f>DC31-Y31</f>
        <v>0</v>
      </c>
      <c r="FZ31" s="2233">
        <f>DJ31-AE31</f>
        <v>0</v>
      </c>
      <c r="GA31" s="235">
        <f>DL31-AL31</f>
        <v>0</v>
      </c>
      <c r="GB31" s="2233">
        <f>DM31-AM31</f>
        <v>0</v>
      </c>
      <c r="GC31" s="2233">
        <f>DP31-AQ31</f>
        <v>0</v>
      </c>
      <c r="GD31" s="2233">
        <f>DR31-AS31</f>
        <v>0</v>
      </c>
      <c r="GE31" s="235">
        <f>DT31-AV31</f>
        <v>0</v>
      </c>
      <c r="GF31" s="2233">
        <f>DV31-AW31</f>
        <v>0</v>
      </c>
      <c r="GG31" s="235">
        <f>DZ31-BB31</f>
        <v>0</v>
      </c>
      <c r="GH31" s="235">
        <f>EB31-BD31</f>
        <v>0</v>
      </c>
      <c r="GI31" s="235">
        <f>ED31-BF31</f>
        <v>0</v>
      </c>
      <c r="GJ31" s="235">
        <f>EF31-BH31</f>
        <v>0</v>
      </c>
      <c r="GK31" s="235">
        <f>EH31-BJ31</f>
        <v>0</v>
      </c>
      <c r="GL31" s="2235">
        <f>DW31-AY31</f>
        <v>0</v>
      </c>
      <c r="GM31" s="2235">
        <f>EK31-BM31</f>
        <v>33600</v>
      </c>
      <c r="GN31" s="2235">
        <f>EM31-BO31</f>
        <v>33</v>
      </c>
      <c r="GO31" s="194">
        <f>GP31</f>
        <v>56</v>
      </c>
      <c r="GP31" s="112">
        <f>EP31-BR31</f>
        <v>56</v>
      </c>
      <c r="GQ31" s="194">
        <f>GR31</f>
        <v>101.36000000000001</v>
      </c>
      <c r="GR31" s="112">
        <f>EV31-BT31</f>
        <v>101.36000000000001</v>
      </c>
      <c r="GS31" s="194">
        <f>GT31</f>
        <v>0</v>
      </c>
      <c r="GT31" s="112">
        <f>EX31-BV31</f>
        <v>0</v>
      </c>
      <c r="GU31" s="114">
        <f>FA31-BX31</f>
        <v>-13.799999999999999</v>
      </c>
      <c r="GV31" s="112">
        <f>FI31-CD31</f>
        <v>-19.425000000000001</v>
      </c>
      <c r="GW31" s="112">
        <v>0</v>
      </c>
      <c r="GX31" s="112">
        <f>FG31-CB31</f>
        <v>-0.42500000000000071</v>
      </c>
      <c r="GY31" s="112">
        <f>FK31-CF31</f>
        <v>0</v>
      </c>
      <c r="GZ31" s="112">
        <f>FM31-CH31</f>
        <v>0</v>
      </c>
      <c r="HA31" s="112">
        <f>FO31-CJ31</f>
        <v>0</v>
      </c>
      <c r="HB31" s="112">
        <f>FQ31-CL31</f>
        <v>0</v>
      </c>
      <c r="HC31" s="2230">
        <f>ES31-CM31</f>
        <v>-33.650000000000006</v>
      </c>
      <c r="HD31" s="95"/>
      <c r="HE31" s="95"/>
    </row>
    <row r="32" spans="1:219" s="95" customFormat="1" ht="18.75">
      <c r="A32" s="2263"/>
      <c r="B32" s="131"/>
      <c r="C32" s="132"/>
      <c r="D32" s="132"/>
      <c r="E32" s="133"/>
      <c r="F32" s="134"/>
      <c r="G32" s="135"/>
      <c r="H32" s="136"/>
      <c r="I32" s="132"/>
      <c r="J32" s="132"/>
      <c r="K32" s="132"/>
      <c r="L32" s="132"/>
      <c r="M32" s="134"/>
      <c r="N32" s="134"/>
      <c r="O32" s="134"/>
      <c r="P32" s="134"/>
      <c r="Q32" s="137"/>
      <c r="S32" s="101"/>
      <c r="T32" s="97"/>
      <c r="U32" s="2244"/>
      <c r="V32" s="102"/>
      <c r="W32" s="2244"/>
      <c r="X32" s="97"/>
      <c r="Y32" s="2244"/>
      <c r="Z32" s="97"/>
      <c r="AA32" s="2244"/>
      <c r="AB32" s="97"/>
      <c r="AC32" s="2244"/>
      <c r="AD32" s="103"/>
      <c r="AE32" s="2251"/>
      <c r="AF32" s="103"/>
      <c r="AG32" s="103"/>
      <c r="AH32" s="103"/>
      <c r="AI32" s="103"/>
      <c r="AJ32" s="103"/>
      <c r="AK32" s="2251"/>
      <c r="AL32" s="103"/>
      <c r="AM32" s="2251"/>
      <c r="AN32" s="103"/>
      <c r="AO32" s="2224"/>
      <c r="AP32" s="103"/>
      <c r="AQ32" s="2251"/>
      <c r="AR32" s="103"/>
      <c r="AS32" s="2251"/>
      <c r="AT32" s="103"/>
      <c r="AU32" s="2251"/>
      <c r="AV32" s="103"/>
      <c r="AW32" s="2251"/>
      <c r="AX32" s="103"/>
      <c r="AY32" s="2251"/>
      <c r="AZ32" s="75">
        <f t="shared" si="0"/>
        <v>0</v>
      </c>
      <c r="BA32" s="2224"/>
      <c r="BB32" s="191"/>
      <c r="BC32" s="2224"/>
      <c r="BD32" s="191"/>
      <c r="BE32" s="2224"/>
      <c r="BF32" s="191"/>
      <c r="BG32" s="2224"/>
      <c r="BH32" s="191"/>
      <c r="BI32" s="2224"/>
      <c r="BJ32" s="191"/>
      <c r="BK32" s="2224"/>
      <c r="BL32" s="191"/>
      <c r="BM32" s="2251"/>
      <c r="BN32" s="97"/>
      <c r="BO32" s="2251"/>
      <c r="BP32" s="97"/>
      <c r="BQ32" s="2251"/>
      <c r="BR32" s="97"/>
      <c r="BS32" s="2251"/>
      <c r="BT32" s="185"/>
      <c r="BU32" s="2251"/>
      <c r="BV32" s="138"/>
      <c r="BW32" s="2251"/>
      <c r="BX32" s="97"/>
      <c r="BY32" s="2251"/>
      <c r="BZ32" s="97"/>
      <c r="CA32" s="2251"/>
      <c r="CB32" s="97"/>
      <c r="CC32" s="2251"/>
      <c r="CD32" s="97"/>
      <c r="CE32" s="2251"/>
      <c r="CF32" s="97"/>
      <c r="CG32" s="2251"/>
      <c r="CH32" s="105"/>
      <c r="CI32" s="2251"/>
      <c r="CJ32" s="97"/>
      <c r="CK32" s="2251"/>
      <c r="CL32" s="97"/>
      <c r="CM32" s="2251"/>
      <c r="CN32" s="73">
        <f t="shared" si="1"/>
        <v>0</v>
      </c>
      <c r="CO32" s="97"/>
      <c r="CP32" s="106"/>
      <c r="CQ32" s="139"/>
      <c r="CR32" s="139"/>
      <c r="CS32" s="139"/>
      <c r="CT32" s="139"/>
      <c r="CU32" s="108"/>
      <c r="CV32" s="2258"/>
      <c r="CW32" s="103"/>
      <c r="CX32" s="231"/>
      <c r="CY32" s="237"/>
      <c r="CZ32" s="103"/>
      <c r="DA32" s="241"/>
      <c r="DB32" s="103"/>
      <c r="DC32" s="242"/>
      <c r="DD32" s="103"/>
      <c r="DE32" s="2251"/>
      <c r="DF32" s="103"/>
      <c r="DG32" s="2251"/>
      <c r="DH32" s="76"/>
      <c r="DI32" s="2251"/>
      <c r="DJ32" s="103"/>
      <c r="DK32" s="2251"/>
      <c r="DL32" s="102"/>
      <c r="DM32" s="234"/>
      <c r="DN32" s="243"/>
      <c r="DO32" s="2251"/>
      <c r="DP32" s="111"/>
      <c r="DQ32" s="2251"/>
      <c r="DR32" s="111"/>
      <c r="DS32" s="2251"/>
      <c r="DT32" s="111"/>
      <c r="DU32" s="2251"/>
      <c r="DV32" s="111"/>
      <c r="DW32" s="234"/>
      <c r="DX32" s="75"/>
      <c r="DY32" s="2251"/>
      <c r="DZ32" s="76"/>
      <c r="EA32" s="2251"/>
      <c r="EB32" s="76"/>
      <c r="EC32" s="2251"/>
      <c r="ED32" s="76"/>
      <c r="EE32" s="2251"/>
      <c r="EF32" s="76"/>
      <c r="EG32" s="2251"/>
      <c r="EH32" s="76"/>
      <c r="EI32" s="2251"/>
      <c r="EJ32" s="76"/>
      <c r="EK32" s="215"/>
      <c r="EL32" s="97"/>
      <c r="EM32" s="2246"/>
      <c r="EN32" s="102"/>
      <c r="EO32" s="2246"/>
      <c r="EP32" s="102"/>
      <c r="EQ32" s="102"/>
      <c r="ER32" s="102"/>
      <c r="ES32" s="110"/>
      <c r="ET32" s="74"/>
      <c r="EU32" s="2251"/>
      <c r="EV32" s="122"/>
      <c r="EW32" s="2251"/>
      <c r="EX32" s="88"/>
      <c r="EY32" s="2251"/>
      <c r="EZ32" s="2248"/>
      <c r="FA32" s="2224"/>
      <c r="FB32" s="2251"/>
      <c r="FC32" s="2224"/>
      <c r="FD32" s="2251"/>
      <c r="FE32" s="2224"/>
      <c r="FF32" s="2251"/>
      <c r="FG32" s="102"/>
      <c r="FH32" s="2251"/>
      <c r="FI32" s="102"/>
      <c r="FJ32" s="2251"/>
      <c r="FK32" s="102"/>
      <c r="FL32" s="2251"/>
      <c r="FM32" s="102"/>
      <c r="FN32" s="2251"/>
      <c r="FO32" s="102"/>
      <c r="FP32" s="102"/>
      <c r="FQ32" s="102"/>
      <c r="FR32" s="2251"/>
      <c r="FS32" s="2244"/>
      <c r="FT32" s="2240"/>
      <c r="FU32" s="2233"/>
      <c r="FV32" s="2235"/>
      <c r="FW32" s="2235"/>
      <c r="FX32" s="2233"/>
      <c r="FY32" s="2233"/>
      <c r="FZ32" s="2233"/>
      <c r="GA32" s="2232"/>
      <c r="GB32" s="2233"/>
      <c r="GC32" s="2233"/>
      <c r="GD32" s="2233"/>
      <c r="GE32" s="2232"/>
      <c r="GF32" s="2233"/>
      <c r="GG32" s="2232"/>
      <c r="GH32" s="2232"/>
      <c r="GI32" s="2232"/>
      <c r="GJ32" s="2232"/>
      <c r="GK32" s="2232"/>
      <c r="GL32" s="2235"/>
      <c r="GM32" s="2235"/>
      <c r="GN32" s="2235"/>
      <c r="GO32" s="194"/>
      <c r="GP32" s="112"/>
      <c r="GQ32" s="194"/>
      <c r="GR32" s="112"/>
      <c r="GS32" s="194"/>
      <c r="GT32" s="112"/>
      <c r="GU32" s="114"/>
      <c r="GV32" s="113"/>
      <c r="GW32" s="113"/>
      <c r="GX32" s="113"/>
      <c r="GY32" s="113"/>
      <c r="GZ32" s="112"/>
      <c r="HA32" s="113"/>
      <c r="HB32" s="114"/>
      <c r="HC32" s="2230"/>
    </row>
    <row r="33" spans="1:217" s="91" customFormat="1" ht="18.75">
      <c r="A33" s="216">
        <v>11</v>
      </c>
      <c r="B33" s="217" t="s">
        <v>703</v>
      </c>
      <c r="C33" s="218">
        <v>2863</v>
      </c>
      <c r="D33" s="218">
        <v>42</v>
      </c>
      <c r="E33" s="219">
        <v>2028630042</v>
      </c>
      <c r="F33" s="220">
        <v>10000</v>
      </c>
      <c r="G33" s="221" t="s">
        <v>726</v>
      </c>
      <c r="H33" s="222" t="s">
        <v>706</v>
      </c>
      <c r="I33" s="218">
        <v>0.6</v>
      </c>
      <c r="J33" s="218">
        <v>4</v>
      </c>
      <c r="K33" s="218">
        <v>0</v>
      </c>
      <c r="L33" s="218">
        <v>4.8</v>
      </c>
      <c r="M33" s="220">
        <v>6000</v>
      </c>
      <c r="N33" s="220">
        <v>0</v>
      </c>
      <c r="O33" s="220">
        <v>6000</v>
      </c>
      <c r="P33" s="220">
        <v>6000</v>
      </c>
      <c r="Q33" s="223">
        <v>0</v>
      </c>
      <c r="R33" s="91" t="s">
        <v>731</v>
      </c>
      <c r="S33" s="214">
        <f>T33</f>
        <v>0</v>
      </c>
      <c r="T33" s="83">
        <v>0</v>
      </c>
      <c r="U33" s="214">
        <f>V33</f>
        <v>6000</v>
      </c>
      <c r="V33" s="111">
        <v>6000</v>
      </c>
      <c r="W33" s="214">
        <f>X33</f>
        <v>6000</v>
      </c>
      <c r="X33" s="83">
        <f>V33-Z33</f>
        <v>6000</v>
      </c>
      <c r="Y33" s="214">
        <f>Z33</f>
        <v>0</v>
      </c>
      <c r="Z33" s="83">
        <v>0</v>
      </c>
      <c r="AA33" s="214">
        <f>AB33</f>
        <v>0</v>
      </c>
      <c r="AB33" s="83">
        <v>0</v>
      </c>
      <c r="AC33" s="214">
        <f>AD33</f>
        <v>0</v>
      </c>
      <c r="AD33" s="76">
        <f>V33-(Z33+AB33+AF33+AL33+AN33+AP33+AZ33+AR33+AT33+AV33+AX33)</f>
        <v>0</v>
      </c>
      <c r="AE33" s="215">
        <f>AF33</f>
        <v>0</v>
      </c>
      <c r="AF33" s="76">
        <v>0</v>
      </c>
      <c r="AG33" s="76">
        <v>0</v>
      </c>
      <c r="AH33" s="76">
        <f>AG33</f>
        <v>0</v>
      </c>
      <c r="AI33" s="76">
        <v>0</v>
      </c>
      <c r="AJ33" s="76">
        <f>AI33</f>
        <v>0</v>
      </c>
      <c r="AK33" s="215">
        <f>AL33</f>
        <v>0</v>
      </c>
      <c r="AL33" s="76">
        <v>0</v>
      </c>
      <c r="AM33" s="215">
        <v>0</v>
      </c>
      <c r="AN33" s="76">
        <v>0</v>
      </c>
      <c r="AO33" s="194">
        <f>AP33</f>
        <v>0</v>
      </c>
      <c r="AP33" s="76">
        <v>0</v>
      </c>
      <c r="AQ33" s="215">
        <f>AR33</f>
        <v>0</v>
      </c>
      <c r="AR33" s="76">
        <v>0</v>
      </c>
      <c r="AS33" s="215">
        <f>AT33</f>
        <v>0</v>
      </c>
      <c r="AT33" s="76">
        <v>0</v>
      </c>
      <c r="AU33" s="215">
        <f>AV33</f>
        <v>0</v>
      </c>
      <c r="AV33" s="76">
        <v>0</v>
      </c>
      <c r="AW33" s="215">
        <f>AX33</f>
        <v>0</v>
      </c>
      <c r="AX33" s="76">
        <v>0</v>
      </c>
      <c r="AY33" s="215">
        <f>AZ33</f>
        <v>6000</v>
      </c>
      <c r="AZ33" s="75">
        <f t="shared" si="0"/>
        <v>6000</v>
      </c>
      <c r="BA33" s="194">
        <f>BB33</f>
        <v>6000</v>
      </c>
      <c r="BB33" s="224">
        <v>6000</v>
      </c>
      <c r="BC33" s="194">
        <f>BD33</f>
        <v>0</v>
      </c>
      <c r="BD33" s="224">
        <v>0</v>
      </c>
      <c r="BE33" s="194">
        <f>BF33</f>
        <v>0</v>
      </c>
      <c r="BF33" s="224">
        <v>0</v>
      </c>
      <c r="BG33" s="194">
        <f>BH33</f>
        <v>0</v>
      </c>
      <c r="BH33" s="224">
        <v>0</v>
      </c>
      <c r="BI33" s="194">
        <f>BJ33</f>
        <v>0</v>
      </c>
      <c r="BJ33" s="224">
        <v>0</v>
      </c>
      <c r="BK33" s="194">
        <f>BL33</f>
        <v>0</v>
      </c>
      <c r="BL33" s="224">
        <v>0</v>
      </c>
      <c r="BM33" s="215">
        <f>BN33</f>
        <v>6000</v>
      </c>
      <c r="BN33" s="83">
        <f>T33+V33</f>
        <v>6000</v>
      </c>
      <c r="BO33" s="215">
        <f>BP33</f>
        <v>0</v>
      </c>
      <c r="BP33" s="83">
        <f>ROUND(T33/EP$141,0)</f>
        <v>0</v>
      </c>
      <c r="BQ33" s="215">
        <f>BR33</f>
        <v>0</v>
      </c>
      <c r="BR33" s="83">
        <f>BR$142*BP33</f>
        <v>0</v>
      </c>
      <c r="BS33" s="215">
        <f>BT33</f>
        <v>0</v>
      </c>
      <c r="BT33" s="185">
        <f t="shared" si="3"/>
        <v>0</v>
      </c>
      <c r="BU33" s="215">
        <f>BV33</f>
        <v>18</v>
      </c>
      <c r="BV33" s="225">
        <f>ROUND((AD33+AB33+Z33)/1000*3,0)+ROUND((AF33+AX33)/1000,0)+ROUND((ROUND(AL33/400,0))/2.67,0)+ROUND(AN33/250,0)+ROUND(AR33/15000,0)+ROUND((BB33+BD33+BF33+BJ33)/1000*3,0)+ROUND(BP33/25,0)+ROUND(CN33/50,0)</f>
        <v>18</v>
      </c>
      <c r="BW33" s="215">
        <f>BX33</f>
        <v>0</v>
      </c>
      <c r="BX33" s="83">
        <v>0</v>
      </c>
      <c r="BY33" s="215">
        <f>BZ33</f>
        <v>0</v>
      </c>
      <c r="BZ33" s="83">
        <v>0</v>
      </c>
      <c r="CA33" s="215">
        <f>CB33</f>
        <v>6</v>
      </c>
      <c r="CB33" s="83">
        <f>V33/1000</f>
        <v>6</v>
      </c>
      <c r="CC33" s="215">
        <f>CD33</f>
        <v>0</v>
      </c>
      <c r="CD33" s="83">
        <f>AB33/1000</f>
        <v>0</v>
      </c>
      <c r="CE33" s="215">
        <f>CF33</f>
        <v>0</v>
      </c>
      <c r="CF33" s="83">
        <f>((AL33/400)/12)</f>
        <v>0</v>
      </c>
      <c r="CG33" s="215">
        <f>CH33</f>
        <v>0</v>
      </c>
      <c r="CH33" s="226">
        <f>IFERROR(VLOOKUP(E33,#REF!,3,FALSE),0)</f>
        <v>0</v>
      </c>
      <c r="CI33" s="215" t="b">
        <f>CJ33</f>
        <v>0</v>
      </c>
      <c r="CJ33" s="83" t="b">
        <f>IF(G33="M1-2",F33/1000)</f>
        <v>0</v>
      </c>
      <c r="CK33" s="215">
        <f>CL33</f>
        <v>6</v>
      </c>
      <c r="CL33" s="244">
        <f>AZ33/1000</f>
        <v>6</v>
      </c>
      <c r="CM33" s="215">
        <f>CN33</f>
        <v>12</v>
      </c>
      <c r="CN33" s="73">
        <f t="shared" si="1"/>
        <v>12</v>
      </c>
      <c r="CO33" s="83"/>
      <c r="CP33" s="227">
        <v>10</v>
      </c>
      <c r="CQ33" s="228" t="s">
        <v>729</v>
      </c>
      <c r="CR33" s="228">
        <v>7.2</v>
      </c>
      <c r="CS33" s="228">
        <v>3.4</v>
      </c>
      <c r="CT33" s="228">
        <v>6.5</v>
      </c>
      <c r="CU33" s="229"/>
      <c r="CV33" s="230" t="s">
        <v>732</v>
      </c>
      <c r="CW33" s="76">
        <f>(CR33*F33)-CZ33</f>
        <v>63500</v>
      </c>
      <c r="CX33" s="231">
        <f t="shared" si="8"/>
        <v>63500</v>
      </c>
      <c r="CY33" s="232">
        <f>CZ33</f>
        <v>8500</v>
      </c>
      <c r="CZ33" s="76">
        <f>1*(F33)-(0.15*1*(F33))</f>
        <v>8500</v>
      </c>
      <c r="DA33" s="238">
        <f>DB33</f>
        <v>8500</v>
      </c>
      <c r="DB33" s="76">
        <f>CZ33-DD33</f>
        <v>8500</v>
      </c>
      <c r="DC33" s="239">
        <f>DD33</f>
        <v>0</v>
      </c>
      <c r="DD33" s="76">
        <v>0</v>
      </c>
      <c r="DE33" s="215">
        <f>DF33</f>
        <v>0</v>
      </c>
      <c r="DF33" s="76">
        <v>0</v>
      </c>
      <c r="DG33" s="215">
        <f>DH33</f>
        <v>0</v>
      </c>
      <c r="DH33" s="75">
        <v>0</v>
      </c>
      <c r="DI33" s="215">
        <f>DJ33</f>
        <v>0</v>
      </c>
      <c r="DJ33" s="76">
        <v>0</v>
      </c>
      <c r="DK33" s="215">
        <f>DL33</f>
        <v>0</v>
      </c>
      <c r="DL33" s="111">
        <v>0</v>
      </c>
      <c r="DM33" s="2245">
        <f>DN33</f>
        <v>0</v>
      </c>
      <c r="DN33" s="240">
        <v>0</v>
      </c>
      <c r="DO33" s="215">
        <f>DP33</f>
        <v>0</v>
      </c>
      <c r="DP33" s="74">
        <v>0</v>
      </c>
      <c r="DQ33" s="215">
        <f>DR33</f>
        <v>0</v>
      </c>
      <c r="DR33" s="74">
        <v>0</v>
      </c>
      <c r="DS33" s="215">
        <f>DT33</f>
        <v>0</v>
      </c>
      <c r="DT33" s="74">
        <v>0</v>
      </c>
      <c r="DU33" s="215">
        <f>DV33</f>
        <v>0</v>
      </c>
      <c r="DV33" s="74">
        <v>0</v>
      </c>
      <c r="DW33" s="2245">
        <f>DX33</f>
        <v>8500</v>
      </c>
      <c r="DX33" s="75">
        <f t="shared" si="2"/>
        <v>8500</v>
      </c>
      <c r="DY33" s="215">
        <f>DZ33</f>
        <v>8500</v>
      </c>
      <c r="DZ33" s="75">
        <v>8500</v>
      </c>
      <c r="EA33" s="215">
        <f>EB33</f>
        <v>0</v>
      </c>
      <c r="EB33" s="75">
        <v>0</v>
      </c>
      <c r="EC33" s="215">
        <f>ED33</f>
        <v>0</v>
      </c>
      <c r="ED33" s="75">
        <v>0</v>
      </c>
      <c r="EE33" s="215">
        <f>EF33</f>
        <v>0</v>
      </c>
      <c r="EF33" s="75">
        <v>0</v>
      </c>
      <c r="EG33" s="215">
        <f>EH33</f>
        <v>0</v>
      </c>
      <c r="EH33" s="75">
        <v>0</v>
      </c>
      <c r="EI33" s="215">
        <f>EJ33</f>
        <v>0</v>
      </c>
      <c r="EJ33" s="75">
        <v>0</v>
      </c>
      <c r="EK33" s="2252">
        <f>EL33</f>
        <v>72000</v>
      </c>
      <c r="EL33" s="83">
        <f>CW33+CZ33</f>
        <v>72000</v>
      </c>
      <c r="EM33" s="234">
        <f>SUM(EN33)</f>
        <v>64</v>
      </c>
      <c r="EN33" s="111">
        <f>ROUND(CW33/EP$141,0)</f>
        <v>64</v>
      </c>
      <c r="EO33" s="234">
        <f>EP33</f>
        <v>32</v>
      </c>
      <c r="EP33" s="111">
        <f>0.5*EN33</f>
        <v>32</v>
      </c>
      <c r="EQ33" s="111">
        <f>ER33</f>
        <v>32</v>
      </c>
      <c r="ER33" s="111">
        <f>EP33</f>
        <v>32</v>
      </c>
      <c r="ES33" s="192">
        <f>ET33</f>
        <v>8.5</v>
      </c>
      <c r="ET33" s="74">
        <f>FA33+FG33+FQ33</f>
        <v>8.5</v>
      </c>
      <c r="EU33" s="215">
        <f>EV33</f>
        <v>195.84</v>
      </c>
      <c r="EV33" s="122">
        <f>3.06*EN33</f>
        <v>195.84</v>
      </c>
      <c r="EW33" s="215">
        <f>EX33</f>
        <v>29</v>
      </c>
      <c r="EX33" s="88">
        <f>ROUND((DH33+DF33+DD33)/1000*3,0)+ROUND((ROUND(DL33/400,0))/2.67,0)+ROUND(DV33/1000,0)+ROUND((DZ33+EB33+ED33+EH33)/1000*3,0)+ROUND(EN33/25,0)+ROUND(ET33/50,0)</f>
        <v>29</v>
      </c>
      <c r="EY33" s="215" t="str">
        <f>EZ33</f>
        <v>waived</v>
      </c>
      <c r="EZ33" s="193" t="s">
        <v>713</v>
      </c>
      <c r="FA33" s="2223">
        <v>0</v>
      </c>
      <c r="FB33" s="215">
        <f>FC33</f>
        <v>0</v>
      </c>
      <c r="FC33" s="2223">
        <v>0</v>
      </c>
      <c r="FD33" s="215">
        <f>FE33</f>
        <v>0</v>
      </c>
      <c r="FE33" s="2223">
        <v>0</v>
      </c>
      <c r="FF33" s="215">
        <f>FG33</f>
        <v>0</v>
      </c>
      <c r="FG33" s="111">
        <f>ROUND((DH33+DJ33+DD33+DN33+DT33)/1000,0)</f>
        <v>0</v>
      </c>
      <c r="FH33" s="215">
        <f>FI33</f>
        <v>0</v>
      </c>
      <c r="FI33" s="111">
        <f>DF33/1000</f>
        <v>0</v>
      </c>
      <c r="FJ33" s="215">
        <f>FK33</f>
        <v>0</v>
      </c>
      <c r="FK33" s="111">
        <f>((DL33/400)/12)</f>
        <v>0</v>
      </c>
      <c r="FL33" s="215">
        <f>FM33</f>
        <v>0</v>
      </c>
      <c r="FM33" s="111">
        <v>0</v>
      </c>
      <c r="FN33" s="215">
        <f>FO33</f>
        <v>0</v>
      </c>
      <c r="FO33" s="111">
        <v>0</v>
      </c>
      <c r="FP33" s="111">
        <f>FQ33</f>
        <v>8.5</v>
      </c>
      <c r="FQ33" s="111">
        <f>DX33/1000</f>
        <v>8.5</v>
      </c>
      <c r="FR33" s="215">
        <f>FS33</f>
        <v>165</v>
      </c>
      <c r="FS33" s="214">
        <v>165</v>
      </c>
      <c r="FT33" s="2240">
        <f>CX33-S33</f>
        <v>63500</v>
      </c>
      <c r="FU33" s="2233">
        <f>CY33-U33</f>
        <v>2500</v>
      </c>
      <c r="FV33" s="2235">
        <f>(DC33+DE33+DG33)-(Y33+AA33+AC33+AE33)</f>
        <v>0</v>
      </c>
      <c r="FW33" s="2235">
        <f>DG33-AC33</f>
        <v>0</v>
      </c>
      <c r="FX33" s="2233">
        <f>DE33-AA33</f>
        <v>0</v>
      </c>
      <c r="FY33" s="2233">
        <f>DC33-Y33</f>
        <v>0</v>
      </c>
      <c r="FZ33" s="2233">
        <f>DJ33-AE33</f>
        <v>0</v>
      </c>
      <c r="GA33" s="235">
        <f>DL33-AL33</f>
        <v>0</v>
      </c>
      <c r="GB33" s="2233">
        <f>DM33-AM33</f>
        <v>0</v>
      </c>
      <c r="GC33" s="2233">
        <f>DP33-AQ33</f>
        <v>0</v>
      </c>
      <c r="GD33" s="2233">
        <f>DR33-AS33</f>
        <v>0</v>
      </c>
      <c r="GE33" s="235">
        <f>DT33-AV33</f>
        <v>0</v>
      </c>
      <c r="GF33" s="2233">
        <f>DV33-AW33</f>
        <v>0</v>
      </c>
      <c r="GG33" s="235">
        <f>DZ33-BB33</f>
        <v>2500</v>
      </c>
      <c r="GH33" s="235">
        <f>EB33-BD33</f>
        <v>0</v>
      </c>
      <c r="GI33" s="235">
        <f>ED33-BF33</f>
        <v>0</v>
      </c>
      <c r="GJ33" s="235">
        <f>EF33-BH33</f>
        <v>0</v>
      </c>
      <c r="GK33" s="235">
        <f>EH33-BJ33</f>
        <v>0</v>
      </c>
      <c r="GL33" s="2235">
        <f>DW33-AY33</f>
        <v>2500</v>
      </c>
      <c r="GM33" s="2235">
        <f>EK33-BM33</f>
        <v>66000</v>
      </c>
      <c r="GN33" s="2235">
        <f>EM33-BO33</f>
        <v>64</v>
      </c>
      <c r="GO33" s="2225">
        <f>GP33</f>
        <v>32</v>
      </c>
      <c r="GP33" s="89">
        <f>EP33-BR33</f>
        <v>32</v>
      </c>
      <c r="GQ33" s="2225">
        <f>GR33</f>
        <v>195.84</v>
      </c>
      <c r="GR33" s="89">
        <f>EV33-BT33</f>
        <v>195.84</v>
      </c>
      <c r="GS33" s="2225">
        <f>GT33</f>
        <v>11</v>
      </c>
      <c r="GT33" s="190">
        <f>EX33-BV33</f>
        <v>11</v>
      </c>
      <c r="GU33" s="187">
        <f>FA33-BX33</f>
        <v>0</v>
      </c>
      <c r="GV33" s="245">
        <f>FI33-CD33</f>
        <v>0</v>
      </c>
      <c r="GW33" s="245">
        <v>0</v>
      </c>
      <c r="GX33" s="245">
        <f>FG33-CB33</f>
        <v>-6</v>
      </c>
      <c r="GY33" s="245">
        <f>FK33-CF33</f>
        <v>0</v>
      </c>
      <c r="GZ33" s="245">
        <f>FM33-CH33</f>
        <v>0</v>
      </c>
      <c r="HA33" s="245">
        <f>FO33-CJ33</f>
        <v>0</v>
      </c>
      <c r="HB33" s="245">
        <f>FQ33-CL33</f>
        <v>2.5</v>
      </c>
      <c r="HC33" s="2230">
        <f>ES33-CM33</f>
        <v>-3.5</v>
      </c>
      <c r="HD33" s="95"/>
      <c r="HE33" s="95"/>
    </row>
    <row r="34" spans="1:217" s="95" customFormat="1" ht="18.75">
      <c r="A34" s="2263"/>
      <c r="B34" s="131"/>
      <c r="C34" s="132"/>
      <c r="D34" s="132"/>
      <c r="E34" s="133"/>
      <c r="F34" s="134"/>
      <c r="G34" s="135"/>
      <c r="H34" s="136"/>
      <c r="I34" s="132"/>
      <c r="J34" s="132"/>
      <c r="K34" s="132"/>
      <c r="L34" s="132"/>
      <c r="M34" s="134"/>
      <c r="N34" s="134"/>
      <c r="O34" s="134"/>
      <c r="P34" s="134"/>
      <c r="Q34" s="137"/>
      <c r="S34" s="101"/>
      <c r="T34" s="97"/>
      <c r="U34" s="2244"/>
      <c r="V34" s="102"/>
      <c r="W34" s="2244"/>
      <c r="X34" s="83"/>
      <c r="Y34" s="2244"/>
      <c r="Z34" s="97"/>
      <c r="AA34" s="2244"/>
      <c r="AB34" s="97"/>
      <c r="AC34" s="2244"/>
      <c r="AD34" s="103"/>
      <c r="AE34" s="2251"/>
      <c r="AF34" s="103"/>
      <c r="AG34" s="103"/>
      <c r="AH34" s="103"/>
      <c r="AI34" s="103"/>
      <c r="AJ34" s="103"/>
      <c r="AK34" s="2251"/>
      <c r="AL34" s="103"/>
      <c r="AM34" s="2251"/>
      <c r="AN34" s="103"/>
      <c r="AO34" s="2224"/>
      <c r="AP34" s="103"/>
      <c r="AQ34" s="2251"/>
      <c r="AR34" s="103"/>
      <c r="AS34" s="2251"/>
      <c r="AT34" s="103"/>
      <c r="AU34" s="2251"/>
      <c r="AV34" s="103"/>
      <c r="AW34" s="2251"/>
      <c r="AX34" s="103"/>
      <c r="AY34" s="2251"/>
      <c r="AZ34" s="75">
        <f t="shared" si="0"/>
        <v>0</v>
      </c>
      <c r="BA34" s="2224"/>
      <c r="BB34" s="191"/>
      <c r="BC34" s="2224"/>
      <c r="BD34" s="191"/>
      <c r="BE34" s="2224"/>
      <c r="BF34" s="191"/>
      <c r="BG34" s="2224"/>
      <c r="BH34" s="191"/>
      <c r="BI34" s="2224"/>
      <c r="BJ34" s="191"/>
      <c r="BK34" s="2224"/>
      <c r="BL34" s="191"/>
      <c r="BM34" s="2251"/>
      <c r="BN34" s="97"/>
      <c r="BO34" s="2251"/>
      <c r="BP34" s="97"/>
      <c r="BQ34" s="2251"/>
      <c r="BR34" s="97"/>
      <c r="BS34" s="2251"/>
      <c r="BT34" s="185"/>
      <c r="BU34" s="2251"/>
      <c r="BV34" s="138"/>
      <c r="BW34" s="2251"/>
      <c r="BX34" s="97"/>
      <c r="BY34" s="2251"/>
      <c r="BZ34" s="97"/>
      <c r="CA34" s="2251"/>
      <c r="CB34" s="97"/>
      <c r="CC34" s="2251"/>
      <c r="CD34" s="97"/>
      <c r="CE34" s="2251"/>
      <c r="CF34" s="97"/>
      <c r="CG34" s="2251"/>
      <c r="CH34" s="105"/>
      <c r="CI34" s="2251"/>
      <c r="CJ34" s="97"/>
      <c r="CK34" s="2251"/>
      <c r="CL34" s="246"/>
      <c r="CM34" s="2251"/>
      <c r="CN34" s="73">
        <f t="shared" si="1"/>
        <v>0</v>
      </c>
      <c r="CO34" s="97"/>
      <c r="CP34" s="106"/>
      <c r="CQ34" s="139"/>
      <c r="CR34" s="139"/>
      <c r="CS34" s="139"/>
      <c r="CT34" s="139"/>
      <c r="CU34" s="108"/>
      <c r="CV34" s="2258"/>
      <c r="CW34" s="103"/>
      <c r="CX34" s="231"/>
      <c r="CY34" s="237"/>
      <c r="CZ34" s="103"/>
      <c r="DA34" s="241"/>
      <c r="DB34" s="103"/>
      <c r="DC34" s="242"/>
      <c r="DD34" s="103"/>
      <c r="DE34" s="2251"/>
      <c r="DF34" s="103"/>
      <c r="DG34" s="2251"/>
      <c r="DH34" s="103"/>
      <c r="DI34" s="2251"/>
      <c r="DJ34" s="103"/>
      <c r="DK34" s="2251"/>
      <c r="DL34" s="103"/>
      <c r="DM34" s="215"/>
      <c r="DN34" s="76"/>
      <c r="DO34" s="2251"/>
      <c r="DP34" s="76"/>
      <c r="DQ34" s="2251"/>
      <c r="DR34" s="76"/>
      <c r="DS34" s="2251"/>
      <c r="DT34" s="76"/>
      <c r="DU34" s="2251"/>
      <c r="DV34" s="76"/>
      <c r="DW34" s="215"/>
      <c r="DX34" s="75"/>
      <c r="DY34" s="2251"/>
      <c r="DZ34" s="76"/>
      <c r="EA34" s="2251"/>
      <c r="EB34" s="76"/>
      <c r="EC34" s="2251"/>
      <c r="ED34" s="76"/>
      <c r="EE34" s="2251"/>
      <c r="EF34" s="76"/>
      <c r="EG34" s="2251"/>
      <c r="EH34" s="76"/>
      <c r="EI34" s="2251"/>
      <c r="EJ34" s="76"/>
      <c r="EK34" s="215"/>
      <c r="EL34" s="97"/>
      <c r="EM34" s="2246"/>
      <c r="EN34" s="102"/>
      <c r="EO34" s="2246"/>
      <c r="EP34" s="102"/>
      <c r="EQ34" s="102"/>
      <c r="ER34" s="102"/>
      <c r="ES34" s="110"/>
      <c r="ET34" s="74"/>
      <c r="EU34" s="2251"/>
      <c r="EV34" s="122"/>
      <c r="EW34" s="2251"/>
      <c r="EX34" s="88"/>
      <c r="EY34" s="2251"/>
      <c r="EZ34" s="2248"/>
      <c r="FA34" s="194"/>
      <c r="FB34" s="2251"/>
      <c r="FC34" s="194"/>
      <c r="FD34" s="2251"/>
      <c r="FE34" s="194"/>
      <c r="FF34" s="2251"/>
      <c r="FG34" s="102"/>
      <c r="FH34" s="2251"/>
      <c r="FI34" s="102"/>
      <c r="FJ34" s="2251"/>
      <c r="FK34" s="102"/>
      <c r="FL34" s="2251"/>
      <c r="FM34" s="102"/>
      <c r="FN34" s="2251"/>
      <c r="FO34" s="102"/>
      <c r="FP34" s="102"/>
      <c r="FQ34" s="102"/>
      <c r="FR34" s="2251"/>
      <c r="FS34" s="2244"/>
      <c r="FT34" s="2240"/>
      <c r="FU34" s="2233"/>
      <c r="FV34" s="2235"/>
      <c r="FW34" s="2235"/>
      <c r="FX34" s="2233"/>
      <c r="FY34" s="2233"/>
      <c r="FZ34" s="2233"/>
      <c r="GA34" s="2232"/>
      <c r="GB34" s="2233"/>
      <c r="GC34" s="2233"/>
      <c r="GD34" s="2233"/>
      <c r="GE34" s="2232"/>
      <c r="GF34" s="2233"/>
      <c r="GG34" s="2232"/>
      <c r="GH34" s="2232"/>
      <c r="GI34" s="2232"/>
      <c r="GJ34" s="2232"/>
      <c r="GK34" s="2232"/>
      <c r="GL34" s="2235"/>
      <c r="GM34" s="2235"/>
      <c r="GN34" s="2235"/>
      <c r="GO34" s="2224"/>
      <c r="GP34" s="112"/>
      <c r="GQ34" s="2224"/>
      <c r="GR34" s="112"/>
      <c r="GS34" s="2224"/>
      <c r="GT34" s="195"/>
      <c r="GU34" s="187"/>
      <c r="GV34" s="195"/>
      <c r="GW34" s="195"/>
      <c r="GX34" s="195"/>
      <c r="GY34" s="195"/>
      <c r="GZ34" s="245"/>
      <c r="HA34" s="195"/>
      <c r="HB34" s="195"/>
      <c r="HC34" s="2230"/>
    </row>
    <row r="35" spans="1:217" s="91" customFormat="1" ht="18.75">
      <c r="A35" s="216">
        <v>12</v>
      </c>
      <c r="B35" s="217" t="s">
        <v>703</v>
      </c>
      <c r="C35" s="218">
        <v>3160</v>
      </c>
      <c r="D35" s="218">
        <v>1</v>
      </c>
      <c r="E35" s="219">
        <v>2031600001</v>
      </c>
      <c r="F35" s="220">
        <v>9796</v>
      </c>
      <c r="G35" s="221" t="s">
        <v>733</v>
      </c>
      <c r="H35" s="222" t="s">
        <v>727</v>
      </c>
      <c r="I35" s="218">
        <v>1</v>
      </c>
      <c r="J35" s="218">
        <v>7.2</v>
      </c>
      <c r="K35" s="218">
        <v>0</v>
      </c>
      <c r="L35" s="218">
        <v>6.5</v>
      </c>
      <c r="M35" s="220">
        <v>9788</v>
      </c>
      <c r="N35" s="220">
        <v>0</v>
      </c>
      <c r="O35" s="220">
        <v>0</v>
      </c>
      <c r="P35" s="220">
        <v>9788</v>
      </c>
      <c r="Q35" s="223">
        <v>0</v>
      </c>
      <c r="R35" s="91" t="s">
        <v>637</v>
      </c>
      <c r="S35" s="214">
        <f>T35</f>
        <v>0</v>
      </c>
      <c r="T35" s="91">
        <v>0</v>
      </c>
      <c r="U35" s="214">
        <f>V35</f>
        <v>9788</v>
      </c>
      <c r="V35" s="228">
        <f>M35</f>
        <v>9788</v>
      </c>
      <c r="W35" s="214">
        <f>X35</f>
        <v>9788</v>
      </c>
      <c r="X35" s="83">
        <f t="shared" ref="X35" si="10">V35-Z35</f>
        <v>9788</v>
      </c>
      <c r="Y35" s="214">
        <f>Z35</f>
        <v>0</v>
      </c>
      <c r="Z35" s="91">
        <v>0</v>
      </c>
      <c r="AA35" s="214">
        <f>AB35</f>
        <v>0</v>
      </c>
      <c r="AB35" s="91">
        <v>0</v>
      </c>
      <c r="AC35" s="214">
        <f>AD35</f>
        <v>9788</v>
      </c>
      <c r="AD35" s="247">
        <f>V35-(Z35+AB35+AF35+AL35+AN35+AP35+AZ35+AR35+AT35+AV35+AX35)</f>
        <v>9788</v>
      </c>
      <c r="AE35" s="215">
        <f>AF35</f>
        <v>0</v>
      </c>
      <c r="AF35" s="248">
        <v>0</v>
      </c>
      <c r="AG35" s="248">
        <v>0</v>
      </c>
      <c r="AH35" s="76">
        <f>AG35</f>
        <v>0</v>
      </c>
      <c r="AI35" s="248">
        <v>0</v>
      </c>
      <c r="AJ35" s="76">
        <f>AI35</f>
        <v>0</v>
      </c>
      <c r="AK35" s="215">
        <f>AL35</f>
        <v>0</v>
      </c>
      <c r="AL35" s="248">
        <v>0</v>
      </c>
      <c r="AM35" s="249">
        <v>0</v>
      </c>
      <c r="AN35" s="248">
        <v>0</v>
      </c>
      <c r="AO35" s="194">
        <f>AP35</f>
        <v>0</v>
      </c>
      <c r="AP35" s="248">
        <v>0</v>
      </c>
      <c r="AQ35" s="215">
        <f>AR35</f>
        <v>0</v>
      </c>
      <c r="AR35" s="248">
        <v>0</v>
      </c>
      <c r="AS35" s="215">
        <f>AT35</f>
        <v>0</v>
      </c>
      <c r="AT35" s="248">
        <v>0</v>
      </c>
      <c r="AU35" s="215">
        <f>AV35</f>
        <v>0</v>
      </c>
      <c r="AV35" s="248">
        <v>0</v>
      </c>
      <c r="AW35" s="215">
        <f>AX35</f>
        <v>0</v>
      </c>
      <c r="AX35" s="248">
        <v>0</v>
      </c>
      <c r="AY35" s="215">
        <f>AZ35</f>
        <v>0</v>
      </c>
      <c r="AZ35" s="75">
        <f t="shared" si="0"/>
        <v>0</v>
      </c>
      <c r="BA35" s="194">
        <f>BB35</f>
        <v>0</v>
      </c>
      <c r="BB35" s="250">
        <v>0</v>
      </c>
      <c r="BC35" s="194">
        <f>BD35</f>
        <v>0</v>
      </c>
      <c r="BD35" s="250">
        <v>0</v>
      </c>
      <c r="BE35" s="194">
        <f>BF35</f>
        <v>0</v>
      </c>
      <c r="BF35" s="250">
        <v>0</v>
      </c>
      <c r="BG35" s="194">
        <f>BH35</f>
        <v>0</v>
      </c>
      <c r="BH35" s="250">
        <v>0</v>
      </c>
      <c r="BI35" s="194">
        <f>BJ35</f>
        <v>0</v>
      </c>
      <c r="BJ35" s="91">
        <v>0</v>
      </c>
      <c r="BK35" s="194">
        <f>BL35</f>
        <v>0</v>
      </c>
      <c r="BL35" s="91">
        <v>0</v>
      </c>
      <c r="BM35" s="215">
        <f>BN35</f>
        <v>9788</v>
      </c>
      <c r="BN35" s="91">
        <f>ROUND(T35+V35,0)</f>
        <v>9788</v>
      </c>
      <c r="BO35" s="215">
        <f>BP35</f>
        <v>0</v>
      </c>
      <c r="BP35" s="91">
        <f>ROUND(T35/'A-App Projected Sites '!EP$141,0)</f>
        <v>0</v>
      </c>
      <c r="BQ35" s="215">
        <f>BR35</f>
        <v>0</v>
      </c>
      <c r="BR35" s="91">
        <f>'A-App Projected Sites '!BR$142*BP35</f>
        <v>0</v>
      </c>
      <c r="BS35" s="215">
        <f>BT35</f>
        <v>0</v>
      </c>
      <c r="BT35" s="185">
        <f t="shared" si="3"/>
        <v>0</v>
      </c>
      <c r="BU35" s="215">
        <f>BV35</f>
        <v>29</v>
      </c>
      <c r="BV35" s="251">
        <f>ROUND((AD35+AB35+Z35)/1000*3,0)+ROUND((AF35+AX35)/1000,0)+ROUND((ROUND(AL35/400,0))/2.67,0)+ROUND(AN35/250,0)+ROUND(AR35/15000,0)+ROUND((BB35+BD35+BF35+BJ35)/1000*3,0)+ROUND(BP35/25,0)+ROUND(CN35/50,0)</f>
        <v>29</v>
      </c>
      <c r="BW35" s="215">
        <f>BX35</f>
        <v>0</v>
      </c>
      <c r="BX35" s="91">
        <f>(BP35-BR35)*0.4</f>
        <v>0</v>
      </c>
      <c r="BY35" s="215">
        <f>BZ35</f>
        <v>0</v>
      </c>
      <c r="BZ35" s="91">
        <v>0</v>
      </c>
      <c r="CA35" s="215">
        <f>CB35</f>
        <v>0</v>
      </c>
      <c r="CB35" s="91">
        <v>0</v>
      </c>
      <c r="CC35" s="215">
        <f>CD35</f>
        <v>0</v>
      </c>
      <c r="CD35" s="91">
        <f>AB35/1000</f>
        <v>0</v>
      </c>
      <c r="CE35" s="215">
        <f>CF35</f>
        <v>0</v>
      </c>
      <c r="CF35" s="91">
        <f>((AL35/400)/12)</f>
        <v>0</v>
      </c>
      <c r="CG35" s="215">
        <f>CH35</f>
        <v>0</v>
      </c>
      <c r="CH35" s="252">
        <f>IFERROR(VLOOKUP(E35,#REF!,3,FALSE),0)</f>
        <v>0</v>
      </c>
      <c r="CI35" s="215">
        <f>CJ35</f>
        <v>0</v>
      </c>
      <c r="CJ35" s="91">
        <v>0</v>
      </c>
      <c r="CK35" s="215">
        <f>CL35</f>
        <v>0</v>
      </c>
      <c r="CL35" s="91">
        <f>IF(BJ35&gt;0,"Calculate",0)</f>
        <v>0</v>
      </c>
      <c r="CM35" s="215">
        <f>CN35</f>
        <v>0</v>
      </c>
      <c r="CN35" s="73">
        <f t="shared" si="1"/>
        <v>0</v>
      </c>
      <c r="CP35" s="253">
        <v>10</v>
      </c>
      <c r="CQ35" s="228" t="s">
        <v>729</v>
      </c>
      <c r="CR35" s="228">
        <v>7.2</v>
      </c>
      <c r="CS35" s="228">
        <v>3.4</v>
      </c>
      <c r="CT35" s="228">
        <v>6.5</v>
      </c>
      <c r="CU35" s="229"/>
      <c r="CV35" s="230" t="s">
        <v>734</v>
      </c>
      <c r="CW35" s="76">
        <v>0</v>
      </c>
      <c r="CX35" s="231">
        <f t="shared" si="8"/>
        <v>0</v>
      </c>
      <c r="CY35" s="232">
        <f>CZ35</f>
        <v>33306.400000000001</v>
      </c>
      <c r="CZ35" s="76">
        <f>CS35*F35</f>
        <v>33306.400000000001</v>
      </c>
      <c r="DA35" s="238">
        <f>DB35</f>
        <v>33306.400000000001</v>
      </c>
      <c r="DB35" s="76">
        <f>CZ35-DD35</f>
        <v>33306.400000000001</v>
      </c>
      <c r="DC35" s="239">
        <f>DD35</f>
        <v>0</v>
      </c>
      <c r="DD35" s="76">
        <v>0</v>
      </c>
      <c r="DE35" s="215">
        <f>DF35</f>
        <v>0</v>
      </c>
      <c r="DF35" s="76">
        <v>0</v>
      </c>
      <c r="DG35" s="215">
        <f>DH35</f>
        <v>8326.6</v>
      </c>
      <c r="DH35" s="76">
        <v>8326.6</v>
      </c>
      <c r="DI35" s="215">
        <f>DJ35</f>
        <v>0</v>
      </c>
      <c r="DJ35" s="76">
        <v>0</v>
      </c>
      <c r="DK35" s="215">
        <f>DL35</f>
        <v>0</v>
      </c>
      <c r="DL35" s="76">
        <v>0</v>
      </c>
      <c r="DM35" s="2245">
        <f>DN35</f>
        <v>24979.800000000003</v>
      </c>
      <c r="DN35" s="75">
        <f>CZ35-DH35</f>
        <v>24979.800000000003</v>
      </c>
      <c r="DO35" s="215">
        <f>DP35</f>
        <v>0</v>
      </c>
      <c r="DP35" s="75">
        <v>0</v>
      </c>
      <c r="DQ35" s="215">
        <f>DR35</f>
        <v>0</v>
      </c>
      <c r="DR35" s="75">
        <v>0</v>
      </c>
      <c r="DS35" s="215">
        <f>DT35</f>
        <v>0</v>
      </c>
      <c r="DT35" s="75">
        <v>0</v>
      </c>
      <c r="DU35" s="215">
        <f>DV35</f>
        <v>0</v>
      </c>
      <c r="DV35" s="75">
        <v>0</v>
      </c>
      <c r="DW35" s="2245">
        <f>DX35</f>
        <v>0</v>
      </c>
      <c r="DX35" s="75">
        <f t="shared" si="2"/>
        <v>0</v>
      </c>
      <c r="DY35" s="215">
        <f>DZ35</f>
        <v>0</v>
      </c>
      <c r="DZ35" s="75">
        <v>0</v>
      </c>
      <c r="EA35" s="215">
        <f>EB35</f>
        <v>0</v>
      </c>
      <c r="EB35" s="75">
        <v>0</v>
      </c>
      <c r="EC35" s="215">
        <f>ED35</f>
        <v>0</v>
      </c>
      <c r="ED35" s="75">
        <v>0</v>
      </c>
      <c r="EE35" s="215">
        <f>EF35</f>
        <v>0</v>
      </c>
      <c r="EF35" s="75">
        <v>0</v>
      </c>
      <c r="EG35" s="215">
        <f>EH35</f>
        <v>0</v>
      </c>
      <c r="EH35" s="75">
        <v>0</v>
      </c>
      <c r="EI35" s="215">
        <f>EJ35</f>
        <v>0</v>
      </c>
      <c r="EJ35" s="75">
        <v>0</v>
      </c>
      <c r="EK35" s="2252">
        <f>EL35</f>
        <v>33306.400000000001</v>
      </c>
      <c r="EL35" s="83">
        <f>CW35+CZ35+DV35+DX35</f>
        <v>33306.400000000001</v>
      </c>
      <c r="EM35" s="234">
        <f>SUM(EN35)</f>
        <v>0</v>
      </c>
      <c r="EN35" s="111">
        <v>0</v>
      </c>
      <c r="EO35" s="234">
        <f>EP35</f>
        <v>0</v>
      </c>
      <c r="EP35" s="111">
        <f>'A-App Projected Sites '!EV$143*EN35</f>
        <v>0</v>
      </c>
      <c r="EQ35" s="111">
        <f>ER35</f>
        <v>0</v>
      </c>
      <c r="ER35" s="111">
        <v>0</v>
      </c>
      <c r="ES35" s="192">
        <f>ET35</f>
        <v>33</v>
      </c>
      <c r="ET35" s="74">
        <f>FA35+FG35+FQ35</f>
        <v>33</v>
      </c>
      <c r="EU35" s="215">
        <f>EV35</f>
        <v>0</v>
      </c>
      <c r="EV35" s="111">
        <f>3.06*EN35</f>
        <v>0</v>
      </c>
      <c r="EW35" s="215">
        <f>EX35</f>
        <v>26</v>
      </c>
      <c r="EX35" s="88">
        <f>ROUND((DH35+DF35+DD35)/1000*3,0)+ROUND((ROUND(DL35/400,0))/2.67,0)+ROUND(DV35/1000,0)+ROUND((DZ35+EB35+ED35+EH35)/1000*3,0)+ROUND(EN35/25,0)+ROUND(ET35/50,0)</f>
        <v>26</v>
      </c>
      <c r="EY35" s="215">
        <f>EZ35</f>
        <v>0</v>
      </c>
      <c r="EZ35" s="254">
        <v>0</v>
      </c>
      <c r="FA35" s="194">
        <v>0</v>
      </c>
      <c r="FB35" s="215">
        <f>FC35</f>
        <v>0</v>
      </c>
      <c r="FC35" s="194">
        <v>0</v>
      </c>
      <c r="FD35" s="215">
        <f>FE35</f>
        <v>0</v>
      </c>
      <c r="FE35" s="194">
        <v>0</v>
      </c>
      <c r="FF35" s="215">
        <f>FG35</f>
        <v>33</v>
      </c>
      <c r="FG35" s="111">
        <f>ROUND((DH35+DD35+DN35+DT35)/1000,0)</f>
        <v>33</v>
      </c>
      <c r="FH35" s="215">
        <f>FI35</f>
        <v>0</v>
      </c>
      <c r="FI35" s="111">
        <f>DF35/1000</f>
        <v>0</v>
      </c>
      <c r="FJ35" s="215">
        <f>FK35</f>
        <v>0</v>
      </c>
      <c r="FK35" s="111">
        <f>((DL35/400)/12)</f>
        <v>0</v>
      </c>
      <c r="FL35" s="215">
        <f>FM35</f>
        <v>0</v>
      </c>
      <c r="FM35" s="111">
        <v>0</v>
      </c>
      <c r="FN35" s="215">
        <f>FO35</f>
        <v>0</v>
      </c>
      <c r="FO35" s="111">
        <v>0</v>
      </c>
      <c r="FP35" s="111">
        <f>FQ35</f>
        <v>0</v>
      </c>
      <c r="FQ35" s="111">
        <f>IF(DX35&gt;0,"Calculate",0)</f>
        <v>0</v>
      </c>
      <c r="FR35" s="215">
        <f>FS35</f>
        <v>145</v>
      </c>
      <c r="FS35" s="214">
        <v>145</v>
      </c>
      <c r="FT35" s="2240">
        <f>CX35-S35</f>
        <v>0</v>
      </c>
      <c r="FU35" s="2233">
        <f>CY35-U35</f>
        <v>23518.400000000001</v>
      </c>
      <c r="FV35" s="2235">
        <f>(DC35+DE35+DG35)-(Y35+AA35+AC35+AE35)</f>
        <v>-1461.3999999999996</v>
      </c>
      <c r="FW35" s="2235">
        <f>DG35-AC35</f>
        <v>-1461.3999999999996</v>
      </c>
      <c r="FX35" s="2233">
        <f>DE35-AA35</f>
        <v>0</v>
      </c>
      <c r="FY35" s="2233">
        <f>DC35-Y35</f>
        <v>0</v>
      </c>
      <c r="FZ35" s="2233">
        <f>DJ35-AE35</f>
        <v>0</v>
      </c>
      <c r="GA35" s="235">
        <f>DL35-AL35</f>
        <v>0</v>
      </c>
      <c r="GB35" s="2233">
        <f>DM35-AM35</f>
        <v>24979.800000000003</v>
      </c>
      <c r="GC35" s="2233">
        <f>DP35-AQ35</f>
        <v>0</v>
      </c>
      <c r="GD35" s="2233">
        <f>DR35-AS35</f>
        <v>0</v>
      </c>
      <c r="GE35" s="235">
        <f>DT35-AV35</f>
        <v>0</v>
      </c>
      <c r="GF35" s="2233">
        <f>DV35-AW35</f>
        <v>0</v>
      </c>
      <c r="GG35" s="235">
        <f>DZ35-BB35</f>
        <v>0</v>
      </c>
      <c r="GH35" s="235">
        <f>EB35-BD35</f>
        <v>0</v>
      </c>
      <c r="GI35" s="235">
        <f>ED35-BF35</f>
        <v>0</v>
      </c>
      <c r="GJ35" s="235">
        <f>EF35-BH35</f>
        <v>0</v>
      </c>
      <c r="GK35" s="235">
        <f>EH35-BJ35</f>
        <v>0</v>
      </c>
      <c r="GL35" s="2235">
        <f>DW35-AY35</f>
        <v>0</v>
      </c>
      <c r="GM35" s="2235">
        <f>EK35-BM35</f>
        <v>23518.400000000001</v>
      </c>
      <c r="GN35" s="2235">
        <f>EM35-BO35</f>
        <v>0</v>
      </c>
      <c r="GO35" s="255">
        <v>0</v>
      </c>
      <c r="GP35" s="112">
        <f>EP35-BR35</f>
        <v>0</v>
      </c>
      <c r="GQ35" s="255">
        <f>GR35</f>
        <v>0</v>
      </c>
      <c r="GR35" s="112">
        <f>EV35-BT35</f>
        <v>0</v>
      </c>
      <c r="GS35" s="255">
        <f>GT35</f>
        <v>-3</v>
      </c>
      <c r="GT35" s="245">
        <f>EX35-BV35</f>
        <v>-3</v>
      </c>
      <c r="GU35" s="187">
        <f>FA35-BX35</f>
        <v>0</v>
      </c>
      <c r="GV35" s="245">
        <f>FI35-CD35</f>
        <v>0</v>
      </c>
      <c r="GW35" s="245">
        <v>0</v>
      </c>
      <c r="GX35" s="245">
        <f>FG35-CB35</f>
        <v>33</v>
      </c>
      <c r="GY35" s="245">
        <f>FK35-CF35</f>
        <v>0</v>
      </c>
      <c r="GZ35" s="245">
        <f>FM35-CH35</f>
        <v>0</v>
      </c>
      <c r="HA35" s="245">
        <f>FO35-CJ35</f>
        <v>0</v>
      </c>
      <c r="HB35" s="245">
        <f>FQ35-CL35</f>
        <v>0</v>
      </c>
      <c r="HC35" s="2230">
        <f>ES35-CM35</f>
        <v>33</v>
      </c>
      <c r="HD35" s="95"/>
      <c r="HE35" s="95"/>
    </row>
    <row r="36" spans="1:217" s="95" customFormat="1" ht="18.75">
      <c r="A36" s="2263"/>
      <c r="B36" s="131"/>
      <c r="C36" s="132"/>
      <c r="D36" s="132"/>
      <c r="E36" s="133"/>
      <c r="F36" s="134"/>
      <c r="G36" s="135"/>
      <c r="H36" s="136"/>
      <c r="I36" s="132"/>
      <c r="J36" s="132"/>
      <c r="K36" s="132"/>
      <c r="L36" s="132"/>
      <c r="M36" s="134"/>
      <c r="N36" s="134"/>
      <c r="O36" s="134"/>
      <c r="P36" s="134"/>
      <c r="Q36" s="137"/>
      <c r="S36" s="101"/>
      <c r="T36" s="97"/>
      <c r="U36" s="2244"/>
      <c r="V36" s="102"/>
      <c r="W36" s="2244"/>
      <c r="X36" s="97"/>
      <c r="Y36" s="2244"/>
      <c r="Z36" s="97"/>
      <c r="AA36" s="2244"/>
      <c r="AB36" s="97"/>
      <c r="AC36" s="2244"/>
      <c r="AD36" s="103"/>
      <c r="AE36" s="2251"/>
      <c r="AF36" s="103"/>
      <c r="AG36" s="103"/>
      <c r="AH36" s="103"/>
      <c r="AI36" s="103"/>
      <c r="AJ36" s="103"/>
      <c r="AK36" s="2251"/>
      <c r="AL36" s="103"/>
      <c r="AM36" s="2251"/>
      <c r="AN36" s="103"/>
      <c r="AO36" s="2224"/>
      <c r="AP36" s="103"/>
      <c r="AQ36" s="2251"/>
      <c r="AR36" s="103"/>
      <c r="AS36" s="2251"/>
      <c r="AT36" s="103"/>
      <c r="AU36" s="2251"/>
      <c r="AV36" s="103"/>
      <c r="AW36" s="2251"/>
      <c r="AX36" s="103"/>
      <c r="AY36" s="2251"/>
      <c r="AZ36" s="75">
        <f t="shared" si="0"/>
        <v>0</v>
      </c>
      <c r="BA36" s="2224"/>
      <c r="BB36" s="191"/>
      <c r="BC36" s="2224"/>
      <c r="BD36" s="191"/>
      <c r="BE36" s="2224"/>
      <c r="BF36" s="191"/>
      <c r="BG36" s="2224"/>
      <c r="BH36" s="191"/>
      <c r="BI36" s="2224"/>
      <c r="BJ36" s="191"/>
      <c r="BK36" s="2224"/>
      <c r="BL36" s="191"/>
      <c r="BM36" s="2251"/>
      <c r="BN36" s="97"/>
      <c r="BO36" s="2251"/>
      <c r="BP36" s="97"/>
      <c r="BQ36" s="2251"/>
      <c r="BR36" s="97"/>
      <c r="BS36" s="2251"/>
      <c r="BT36" s="185"/>
      <c r="BU36" s="2251"/>
      <c r="BV36" s="138"/>
      <c r="BW36" s="2251"/>
      <c r="BX36" s="97"/>
      <c r="BY36" s="2251"/>
      <c r="BZ36" s="97"/>
      <c r="CA36" s="2251"/>
      <c r="CB36" s="97"/>
      <c r="CC36" s="2251"/>
      <c r="CD36" s="97"/>
      <c r="CE36" s="2251"/>
      <c r="CF36" s="97"/>
      <c r="CG36" s="2251"/>
      <c r="CH36" s="105"/>
      <c r="CI36" s="2251"/>
      <c r="CJ36" s="97"/>
      <c r="CK36" s="2251"/>
      <c r="CL36" s="246"/>
      <c r="CM36" s="2251"/>
      <c r="CN36" s="73">
        <f t="shared" si="1"/>
        <v>0</v>
      </c>
      <c r="CO36" s="97"/>
      <c r="CP36" s="106"/>
      <c r="CQ36" s="139"/>
      <c r="CR36" s="139"/>
      <c r="CS36" s="139"/>
      <c r="CT36" s="139"/>
      <c r="CU36" s="108"/>
      <c r="CV36" s="2258"/>
      <c r="CW36" s="256"/>
      <c r="CX36" s="231"/>
      <c r="CY36" s="237"/>
      <c r="CZ36" s="103"/>
      <c r="DA36" s="241"/>
      <c r="DB36" s="103"/>
      <c r="DC36" s="242"/>
      <c r="DD36" s="103"/>
      <c r="DE36" s="2251"/>
      <c r="DF36" s="103"/>
      <c r="DG36" s="2251"/>
      <c r="DH36" s="76"/>
      <c r="DI36" s="2251"/>
      <c r="DJ36" s="103"/>
      <c r="DK36" s="2251"/>
      <c r="DL36" s="103"/>
      <c r="DM36" s="215"/>
      <c r="DN36" s="76"/>
      <c r="DO36" s="2251"/>
      <c r="DP36" s="76"/>
      <c r="DQ36" s="2251"/>
      <c r="DR36" s="76"/>
      <c r="DS36" s="2251"/>
      <c r="DT36" s="76"/>
      <c r="DU36" s="2251"/>
      <c r="DV36" s="76"/>
      <c r="DW36" s="215"/>
      <c r="DX36" s="75"/>
      <c r="DY36" s="2251"/>
      <c r="DZ36" s="76"/>
      <c r="EA36" s="2251"/>
      <c r="EB36" s="76"/>
      <c r="EC36" s="2251"/>
      <c r="ED36" s="76"/>
      <c r="EE36" s="2251"/>
      <c r="EF36" s="76"/>
      <c r="EG36" s="2251"/>
      <c r="EH36" s="76"/>
      <c r="EI36" s="2251"/>
      <c r="EJ36" s="76"/>
      <c r="EK36" s="215"/>
      <c r="EL36" s="97"/>
      <c r="EM36" s="2246"/>
      <c r="EN36" s="102"/>
      <c r="EO36" s="2246"/>
      <c r="EP36" s="102"/>
      <c r="EQ36" s="102"/>
      <c r="ER36" s="102"/>
      <c r="ES36" s="110"/>
      <c r="ET36" s="74"/>
      <c r="EU36" s="2251"/>
      <c r="EV36" s="102"/>
      <c r="EW36" s="2251"/>
      <c r="EX36" s="88"/>
      <c r="EY36" s="2251"/>
      <c r="EZ36" s="2248"/>
      <c r="FA36" s="2224"/>
      <c r="FB36" s="2251"/>
      <c r="FC36" s="2224"/>
      <c r="FD36" s="2251"/>
      <c r="FE36" s="2224"/>
      <c r="FF36" s="2251"/>
      <c r="FG36" s="102"/>
      <c r="FH36" s="2251"/>
      <c r="FI36" s="102"/>
      <c r="FJ36" s="2251"/>
      <c r="FK36" s="102"/>
      <c r="FL36" s="2251"/>
      <c r="FM36" s="102"/>
      <c r="FN36" s="2251"/>
      <c r="FO36" s="102"/>
      <c r="FP36" s="102"/>
      <c r="FQ36" s="102"/>
      <c r="FR36" s="2251"/>
      <c r="FS36" s="2244"/>
      <c r="FT36" s="2240"/>
      <c r="FU36" s="2233"/>
      <c r="FV36" s="2235"/>
      <c r="FW36" s="2235"/>
      <c r="FX36" s="2233"/>
      <c r="FY36" s="2233"/>
      <c r="FZ36" s="2233"/>
      <c r="GA36" s="2232"/>
      <c r="GB36" s="2233"/>
      <c r="GC36" s="2233"/>
      <c r="GD36" s="2233"/>
      <c r="GE36" s="2232"/>
      <c r="GF36" s="2233"/>
      <c r="GG36" s="2232"/>
      <c r="GH36" s="2232"/>
      <c r="GI36" s="2232"/>
      <c r="GJ36" s="2232"/>
      <c r="GK36" s="2232"/>
      <c r="GL36" s="2235"/>
      <c r="GM36" s="2235"/>
      <c r="GN36" s="2235"/>
      <c r="GO36" s="2224"/>
      <c r="GP36" s="112"/>
      <c r="GQ36" s="2224"/>
      <c r="GR36" s="112"/>
      <c r="GS36" s="255"/>
      <c r="GT36" s="195"/>
      <c r="GU36" s="187"/>
      <c r="GV36" s="195"/>
      <c r="GW36" s="195"/>
      <c r="GX36" s="195"/>
      <c r="GY36" s="195"/>
      <c r="GZ36" s="245"/>
      <c r="HA36" s="195"/>
      <c r="HB36" s="195"/>
      <c r="HC36" s="2230"/>
    </row>
    <row r="37" spans="1:217" s="91" customFormat="1" ht="18.75">
      <c r="A37" s="216">
        <v>13</v>
      </c>
      <c r="B37" s="217" t="s">
        <v>703</v>
      </c>
      <c r="C37" s="218">
        <v>2863</v>
      </c>
      <c r="D37" s="218">
        <v>50</v>
      </c>
      <c r="E37" s="219">
        <v>2028630050</v>
      </c>
      <c r="F37" s="220">
        <v>10834</v>
      </c>
      <c r="G37" s="221" t="s">
        <v>726</v>
      </c>
      <c r="H37" s="222" t="s">
        <v>706</v>
      </c>
      <c r="I37" s="218">
        <v>0</v>
      </c>
      <c r="J37" s="218">
        <v>4</v>
      </c>
      <c r="K37" s="218">
        <v>0</v>
      </c>
      <c r="L37" s="218">
        <v>4.8</v>
      </c>
      <c r="M37" s="220">
        <v>0</v>
      </c>
      <c r="N37" s="220">
        <v>0</v>
      </c>
      <c r="O37" s="220">
        <v>0</v>
      </c>
      <c r="P37" s="220">
        <v>0</v>
      </c>
      <c r="Q37" s="223">
        <v>0</v>
      </c>
      <c r="R37" s="91" t="s">
        <v>735</v>
      </c>
      <c r="S37" s="214">
        <f>T37</f>
        <v>36835.599999999999</v>
      </c>
      <c r="T37" s="83">
        <f>(J37*F37)-(0.15*(J37*F37))</f>
        <v>36835.599999999999</v>
      </c>
      <c r="U37" s="214">
        <f>V37</f>
        <v>6500.4</v>
      </c>
      <c r="V37" s="111">
        <f>(0.15*(J37*F37))</f>
        <v>6500.4</v>
      </c>
      <c r="W37" s="214">
        <f>X37</f>
        <v>6500.4</v>
      </c>
      <c r="X37" s="83">
        <f>V37-Z37</f>
        <v>6500.4</v>
      </c>
      <c r="Y37" s="214">
        <f>Z37</f>
        <v>0</v>
      </c>
      <c r="Z37" s="83">
        <v>0</v>
      </c>
      <c r="AA37" s="214">
        <f>AB37</f>
        <v>0</v>
      </c>
      <c r="AB37" s="83">
        <v>0</v>
      </c>
      <c r="AC37" s="214">
        <f>AD37</f>
        <v>6500.4</v>
      </c>
      <c r="AD37" s="76">
        <f>V37-(Z37+AB37+AF37+AL37+AN37+AP37+AZ37+AR37+AT37+AV37+AX37)</f>
        <v>6500.4</v>
      </c>
      <c r="AE37" s="215">
        <f>AF37</f>
        <v>0</v>
      </c>
      <c r="AF37" s="76">
        <v>0</v>
      </c>
      <c r="AG37" s="76">
        <v>0</v>
      </c>
      <c r="AH37" s="76">
        <f>AG37</f>
        <v>0</v>
      </c>
      <c r="AI37" s="76">
        <v>0</v>
      </c>
      <c r="AJ37" s="76">
        <f>AI37</f>
        <v>0</v>
      </c>
      <c r="AK37" s="215">
        <f>AL37</f>
        <v>0</v>
      </c>
      <c r="AL37" s="76">
        <v>0</v>
      </c>
      <c r="AM37" s="215">
        <v>0</v>
      </c>
      <c r="AN37" s="76">
        <v>0</v>
      </c>
      <c r="AO37" s="194">
        <f>AP37</f>
        <v>0</v>
      </c>
      <c r="AP37" s="76">
        <v>0</v>
      </c>
      <c r="AQ37" s="215">
        <f>AR37</f>
        <v>0</v>
      </c>
      <c r="AR37" s="76">
        <v>0</v>
      </c>
      <c r="AS37" s="215">
        <f>AT37</f>
        <v>0</v>
      </c>
      <c r="AT37" s="76">
        <v>0</v>
      </c>
      <c r="AU37" s="215">
        <f>AV37</f>
        <v>0</v>
      </c>
      <c r="AV37" s="76">
        <v>0</v>
      </c>
      <c r="AW37" s="215">
        <f>AX37</f>
        <v>0</v>
      </c>
      <c r="AX37" s="76">
        <v>0</v>
      </c>
      <c r="AY37" s="215">
        <f>AZ37</f>
        <v>0</v>
      </c>
      <c r="AZ37" s="75">
        <f t="shared" si="0"/>
        <v>0</v>
      </c>
      <c r="BA37" s="194">
        <f>BB37</f>
        <v>0</v>
      </c>
      <c r="BB37" s="76">
        <v>0</v>
      </c>
      <c r="BC37" s="194">
        <f>BD37</f>
        <v>0</v>
      </c>
      <c r="BD37" s="76">
        <v>0</v>
      </c>
      <c r="BE37" s="194">
        <f>BF37</f>
        <v>0</v>
      </c>
      <c r="BF37" s="76">
        <v>0</v>
      </c>
      <c r="BG37" s="194">
        <f>BH37</f>
        <v>0</v>
      </c>
      <c r="BH37" s="76">
        <v>0</v>
      </c>
      <c r="BI37" s="194">
        <f>BJ37</f>
        <v>0</v>
      </c>
      <c r="BJ37" s="76">
        <v>0</v>
      </c>
      <c r="BK37" s="194">
        <f>BL37</f>
        <v>0</v>
      </c>
      <c r="BL37" s="76">
        <v>0</v>
      </c>
      <c r="BM37" s="215">
        <f>BN37</f>
        <v>43336</v>
      </c>
      <c r="BN37" s="83">
        <f>T37+V37</f>
        <v>43336</v>
      </c>
      <c r="BO37" s="215">
        <f>BP37</f>
        <v>37</v>
      </c>
      <c r="BP37" s="83">
        <f>ROUND(T37/EP$141,0)</f>
        <v>37</v>
      </c>
      <c r="BQ37" s="215">
        <f>BR37</f>
        <v>0</v>
      </c>
      <c r="BR37" s="83">
        <v>0</v>
      </c>
      <c r="BS37" s="215">
        <f>BT37</f>
        <v>113</v>
      </c>
      <c r="BT37" s="185">
        <f t="shared" si="3"/>
        <v>113</v>
      </c>
      <c r="BU37" s="215">
        <f>BV37</f>
        <v>22</v>
      </c>
      <c r="BV37" s="225">
        <f>ROUND((AD37+AB37+Z37)/1000*3,0)+ROUND((AF37+AX37)/1000,0)+ROUND((ROUND(AL37/400,0))/2.67,0)+ROUND(AN37/250,0)+ROUND(AR37/15000,0)+ROUND((BB37+BD37+BF37+BJ37)/1000*3,0)+ROUND(BP37/25,0)+ROUND(CN37/50,0)</f>
        <v>22</v>
      </c>
      <c r="BW37" s="215">
        <f>BX37</f>
        <v>22.2</v>
      </c>
      <c r="BX37" s="83">
        <f>(BP37-BR37)*0.6</f>
        <v>22.2</v>
      </c>
      <c r="BY37" s="215">
        <f>BZ37</f>
        <v>0</v>
      </c>
      <c r="BZ37" s="83">
        <v>0</v>
      </c>
      <c r="CA37" s="215">
        <f>CB37</f>
        <v>6.5004</v>
      </c>
      <c r="CB37" s="83">
        <f>V37/1000</f>
        <v>6.5004</v>
      </c>
      <c r="CC37" s="215">
        <f>CD37</f>
        <v>0</v>
      </c>
      <c r="CD37" s="83">
        <f>AB37/1000</f>
        <v>0</v>
      </c>
      <c r="CE37" s="215">
        <f>CF37</f>
        <v>0</v>
      </c>
      <c r="CF37" s="83">
        <f>((AL37/400)/12)</f>
        <v>0</v>
      </c>
      <c r="CG37" s="215">
        <f>CH37</f>
        <v>0</v>
      </c>
      <c r="CH37" s="226">
        <f>IFERROR(VLOOKUP(E37,#REF!,3,FALSE),0)</f>
        <v>0</v>
      </c>
      <c r="CI37" s="215" t="b">
        <f>CJ37</f>
        <v>0</v>
      </c>
      <c r="CJ37" s="83" t="b">
        <f>IF(G37="M1-2",F37/1000)</f>
        <v>0</v>
      </c>
      <c r="CK37" s="215">
        <f>CL37</f>
        <v>0</v>
      </c>
      <c r="CL37" s="83">
        <f>IF(BJ37&gt;0,"Calculate",0)</f>
        <v>0</v>
      </c>
      <c r="CM37" s="215">
        <f>CN37</f>
        <v>28.700399999999998</v>
      </c>
      <c r="CN37" s="73">
        <f t="shared" si="1"/>
        <v>28.700399999999998</v>
      </c>
      <c r="CO37" s="83"/>
      <c r="CP37" s="227">
        <v>85</v>
      </c>
      <c r="CQ37" s="228" t="s">
        <v>729</v>
      </c>
      <c r="CR37" s="228">
        <v>7.2</v>
      </c>
      <c r="CS37" s="228">
        <v>3.4</v>
      </c>
      <c r="CT37" s="228">
        <v>6.5</v>
      </c>
      <c r="CU37" s="229"/>
      <c r="CV37" s="230" t="s">
        <v>736</v>
      </c>
      <c r="CW37" s="76">
        <f>(CR37*F37)-CZ37</f>
        <v>57961.9</v>
      </c>
      <c r="CX37" s="231">
        <f t="shared" si="8"/>
        <v>57961.9</v>
      </c>
      <c r="CY37" s="232">
        <f>CZ37</f>
        <v>20042.900000000001</v>
      </c>
      <c r="CZ37" s="76">
        <f>2*(F37)-(0.15*1*(F37))</f>
        <v>20042.900000000001</v>
      </c>
      <c r="DA37" s="238">
        <f>DB37</f>
        <v>20042.900000000001</v>
      </c>
      <c r="DB37" s="76">
        <f>CZ37-DD37</f>
        <v>20042.900000000001</v>
      </c>
      <c r="DC37" s="239">
        <f>DD37</f>
        <v>0</v>
      </c>
      <c r="DD37" s="76">
        <v>0</v>
      </c>
      <c r="DE37" s="215">
        <f>DF37</f>
        <v>0</v>
      </c>
      <c r="DF37" s="76">
        <v>0</v>
      </c>
      <c r="DG37" s="215">
        <f>DH37</f>
        <v>20042.900000000001</v>
      </c>
      <c r="DH37" s="75">
        <f>CZ37-(DD37+DF37+DJ37+DL37+DN37+DT37+DV37+DX37)</f>
        <v>20042.900000000001</v>
      </c>
      <c r="DI37" s="215">
        <f>DJ37</f>
        <v>0</v>
      </c>
      <c r="DJ37" s="76">
        <v>0</v>
      </c>
      <c r="DK37" s="215">
        <f>DL37</f>
        <v>0</v>
      </c>
      <c r="DL37" s="76">
        <v>0</v>
      </c>
      <c r="DM37" s="2245">
        <f>DN37</f>
        <v>0</v>
      </c>
      <c r="DN37" s="75">
        <v>0</v>
      </c>
      <c r="DO37" s="215">
        <f>DP37</f>
        <v>0</v>
      </c>
      <c r="DP37" s="75">
        <v>0</v>
      </c>
      <c r="DQ37" s="215">
        <f>DR37</f>
        <v>0</v>
      </c>
      <c r="DR37" s="75">
        <v>0</v>
      </c>
      <c r="DS37" s="215">
        <f>DT37</f>
        <v>0</v>
      </c>
      <c r="DT37" s="75">
        <v>0</v>
      </c>
      <c r="DU37" s="215">
        <f>DV37</f>
        <v>0</v>
      </c>
      <c r="DV37" s="75">
        <v>0</v>
      </c>
      <c r="DW37" s="2245">
        <f>DX37</f>
        <v>0</v>
      </c>
      <c r="DX37" s="75">
        <f t="shared" si="2"/>
        <v>0</v>
      </c>
      <c r="DY37" s="215">
        <f>DZ37</f>
        <v>0</v>
      </c>
      <c r="DZ37" s="75">
        <v>0</v>
      </c>
      <c r="EA37" s="215">
        <f>EB37</f>
        <v>0</v>
      </c>
      <c r="EB37" s="75">
        <v>0</v>
      </c>
      <c r="EC37" s="215">
        <f>ED37</f>
        <v>0</v>
      </c>
      <c r="ED37" s="75">
        <v>0</v>
      </c>
      <c r="EE37" s="215">
        <f>EF37</f>
        <v>0</v>
      </c>
      <c r="EF37" s="75">
        <v>0</v>
      </c>
      <c r="EG37" s="215">
        <f>EH37</f>
        <v>0</v>
      </c>
      <c r="EH37" s="75">
        <v>0</v>
      </c>
      <c r="EI37" s="215">
        <f>EJ37</f>
        <v>0</v>
      </c>
      <c r="EJ37" s="75">
        <v>0</v>
      </c>
      <c r="EK37" s="2252">
        <f>EL37</f>
        <v>78004.800000000003</v>
      </c>
      <c r="EL37" s="83">
        <f>CW37+CZ37</f>
        <v>78004.800000000003</v>
      </c>
      <c r="EM37" s="234">
        <f>SUM(EN37)</f>
        <v>58</v>
      </c>
      <c r="EN37" s="111">
        <f>ROUND(CW37/EP$141,0)</f>
        <v>58</v>
      </c>
      <c r="EO37" s="234">
        <f>EP37</f>
        <v>58</v>
      </c>
      <c r="EP37" s="111">
        <f>EV$143*EN37</f>
        <v>58</v>
      </c>
      <c r="EQ37" s="111">
        <f>ER37</f>
        <v>58</v>
      </c>
      <c r="ER37" s="111">
        <f>EP37</f>
        <v>58</v>
      </c>
      <c r="ES37" s="192">
        <f>ET37</f>
        <v>20</v>
      </c>
      <c r="ET37" s="74">
        <f>FA37+FG37+FQ37</f>
        <v>20</v>
      </c>
      <c r="EU37" s="215">
        <f>EV37</f>
        <v>177.48</v>
      </c>
      <c r="EV37" s="122">
        <f>3.06*EN37</f>
        <v>177.48</v>
      </c>
      <c r="EW37" s="215">
        <f>EX37</f>
        <v>62</v>
      </c>
      <c r="EX37" s="88">
        <f>ROUND((DH37+DF37+DD37)/1000*3,0)+ROUND((ROUND(DL37/400,0))/2.67,0)+ROUND(DV37/1000,0)+ROUND((DZ37+EB37+ED37+EH37)/1000*3,0)+ROUND(EN37/25,0)+ROUND(ET37/50,0)</f>
        <v>62</v>
      </c>
      <c r="EY37" s="215">
        <f>EZ37</f>
        <v>0</v>
      </c>
      <c r="EZ37" s="193">
        <v>0</v>
      </c>
      <c r="FA37" s="194">
        <v>0</v>
      </c>
      <c r="FB37" s="215">
        <f>FC37</f>
        <v>0</v>
      </c>
      <c r="FC37" s="194">
        <v>0</v>
      </c>
      <c r="FD37" s="215">
        <f>FE37</f>
        <v>0</v>
      </c>
      <c r="FE37" s="194">
        <v>0</v>
      </c>
      <c r="FF37" s="215">
        <f>FG37</f>
        <v>20</v>
      </c>
      <c r="FG37" s="111">
        <f>ROUND((DH37+DJ37+DD37+DN37+DT37)/1000,0)</f>
        <v>20</v>
      </c>
      <c r="FH37" s="215">
        <f>FI37</f>
        <v>0</v>
      </c>
      <c r="FI37" s="111">
        <f>DF37/1000</f>
        <v>0</v>
      </c>
      <c r="FJ37" s="215">
        <f>FK37</f>
        <v>0</v>
      </c>
      <c r="FK37" s="111">
        <f>((DL37/400)/12)</f>
        <v>0</v>
      </c>
      <c r="FL37" s="215">
        <f>FM37</f>
        <v>0</v>
      </c>
      <c r="FM37" s="111">
        <v>0</v>
      </c>
      <c r="FN37" s="215">
        <f>FO37</f>
        <v>0</v>
      </c>
      <c r="FO37" s="111">
        <v>0</v>
      </c>
      <c r="FP37" s="111">
        <f>FQ37</f>
        <v>0</v>
      </c>
      <c r="FQ37" s="111">
        <f>DX37/1000</f>
        <v>0</v>
      </c>
      <c r="FR37" s="215">
        <f>FS37</f>
        <v>165</v>
      </c>
      <c r="FS37" s="214">
        <v>165</v>
      </c>
      <c r="FT37" s="2240">
        <f>CX37-S37</f>
        <v>21126.300000000003</v>
      </c>
      <c r="FU37" s="2233">
        <f>CY37-U37</f>
        <v>13542.500000000002</v>
      </c>
      <c r="FV37" s="2235">
        <f>(DC37+DE37+DG37)-(Y37+AA37+AC37+AE37)</f>
        <v>13542.500000000002</v>
      </c>
      <c r="FW37" s="2235">
        <f>DG37-AC37</f>
        <v>13542.500000000002</v>
      </c>
      <c r="FX37" s="2233">
        <f>DE37-AA37</f>
        <v>0</v>
      </c>
      <c r="FY37" s="2233">
        <f>DC37-Y37</f>
        <v>0</v>
      </c>
      <c r="FZ37" s="2233">
        <f>DJ37-AE37</f>
        <v>0</v>
      </c>
      <c r="GA37" s="235">
        <f>DL37-AL37</f>
        <v>0</v>
      </c>
      <c r="GB37" s="2233">
        <f>DM37-AM37</f>
        <v>0</v>
      </c>
      <c r="GC37" s="2233">
        <f>DP37-AQ37</f>
        <v>0</v>
      </c>
      <c r="GD37" s="2233">
        <f>DR37-AS37</f>
        <v>0</v>
      </c>
      <c r="GE37" s="235">
        <f>DT37-AV37</f>
        <v>0</v>
      </c>
      <c r="GF37" s="2233">
        <f>DV37-AW37</f>
        <v>0</v>
      </c>
      <c r="GG37" s="235">
        <f>DZ37-BB37</f>
        <v>0</v>
      </c>
      <c r="GH37" s="235">
        <f>EB37-BD37</f>
        <v>0</v>
      </c>
      <c r="GI37" s="235">
        <f>ED37-BF37</f>
        <v>0</v>
      </c>
      <c r="GJ37" s="235">
        <f>EF37-BH37</f>
        <v>0</v>
      </c>
      <c r="GK37" s="235">
        <f>EH37-BJ37</f>
        <v>0</v>
      </c>
      <c r="GL37" s="2235">
        <f>DW37-AY37</f>
        <v>0</v>
      </c>
      <c r="GM37" s="2235">
        <f>EK37-BM37</f>
        <v>34668.800000000003</v>
      </c>
      <c r="GN37" s="2235">
        <f>EM37-BO37</f>
        <v>21</v>
      </c>
      <c r="GO37" s="194">
        <f>GP37</f>
        <v>58</v>
      </c>
      <c r="GP37" s="112">
        <f>EP37-BR37</f>
        <v>58</v>
      </c>
      <c r="GQ37" s="194">
        <f>GR37</f>
        <v>64.47999999999999</v>
      </c>
      <c r="GR37" s="112">
        <f>EV37-BT37</f>
        <v>64.47999999999999</v>
      </c>
      <c r="GS37" s="255">
        <f t="shared" ref="GS37:GS39" si="11">GT37</f>
        <v>40</v>
      </c>
      <c r="GT37" s="245">
        <f>EX37-BV37</f>
        <v>40</v>
      </c>
      <c r="GU37" s="187">
        <f>FA37-BX37</f>
        <v>-22.2</v>
      </c>
      <c r="GV37" s="245">
        <f>FI37-CD37</f>
        <v>0</v>
      </c>
      <c r="GW37" s="245">
        <v>0</v>
      </c>
      <c r="GX37" s="245">
        <f>FG37-CB37</f>
        <v>13.499600000000001</v>
      </c>
      <c r="GY37" s="245">
        <f>FK37-CF37</f>
        <v>0</v>
      </c>
      <c r="GZ37" s="245">
        <f>FM37-CH37</f>
        <v>0</v>
      </c>
      <c r="HA37" s="245">
        <f>FO37-CJ37</f>
        <v>0</v>
      </c>
      <c r="HB37" s="245">
        <f>FQ37-CL37</f>
        <v>0</v>
      </c>
      <c r="HC37" s="2230">
        <f>ES37-CM37</f>
        <v>-8.7003999999999984</v>
      </c>
      <c r="HD37" s="95"/>
      <c r="HE37" s="95"/>
    </row>
    <row r="38" spans="1:217" s="95" customFormat="1" ht="18.75">
      <c r="A38" s="2263"/>
      <c r="B38" s="131"/>
      <c r="C38" s="132"/>
      <c r="D38" s="132"/>
      <c r="E38" s="133"/>
      <c r="F38" s="134"/>
      <c r="G38" s="135"/>
      <c r="H38" s="136"/>
      <c r="I38" s="132"/>
      <c r="J38" s="132"/>
      <c r="K38" s="132"/>
      <c r="L38" s="132"/>
      <c r="M38" s="134"/>
      <c r="N38" s="134"/>
      <c r="O38" s="134"/>
      <c r="P38" s="134"/>
      <c r="Q38" s="137"/>
      <c r="S38" s="101"/>
      <c r="T38" s="97"/>
      <c r="U38" s="2244"/>
      <c r="V38" s="102"/>
      <c r="W38" s="2244"/>
      <c r="X38" s="97"/>
      <c r="Y38" s="2244"/>
      <c r="Z38" s="97"/>
      <c r="AA38" s="2244"/>
      <c r="AB38" s="97"/>
      <c r="AC38" s="2244"/>
      <c r="AD38" s="103"/>
      <c r="AE38" s="2251"/>
      <c r="AF38" s="103"/>
      <c r="AG38" s="103"/>
      <c r="AH38" s="103"/>
      <c r="AI38" s="103"/>
      <c r="AJ38" s="103"/>
      <c r="AK38" s="2251"/>
      <c r="AL38" s="103"/>
      <c r="AM38" s="2251"/>
      <c r="AN38" s="103"/>
      <c r="AO38" s="2224"/>
      <c r="AP38" s="103"/>
      <c r="AQ38" s="2251"/>
      <c r="AR38" s="103"/>
      <c r="AS38" s="2251"/>
      <c r="AT38" s="103"/>
      <c r="AU38" s="2251"/>
      <c r="AV38" s="103"/>
      <c r="AW38" s="2251"/>
      <c r="AX38" s="103"/>
      <c r="AY38" s="2251"/>
      <c r="AZ38" s="75">
        <f t="shared" si="0"/>
        <v>0</v>
      </c>
      <c r="BA38" s="2224"/>
      <c r="BB38" s="103"/>
      <c r="BC38" s="2224"/>
      <c r="BD38" s="103"/>
      <c r="BE38" s="2224"/>
      <c r="BF38" s="103"/>
      <c r="BG38" s="2224"/>
      <c r="BH38" s="103"/>
      <c r="BI38" s="2224"/>
      <c r="BJ38" s="103"/>
      <c r="BK38" s="2224"/>
      <c r="BL38" s="103"/>
      <c r="BM38" s="2251"/>
      <c r="BN38" s="97"/>
      <c r="BO38" s="2251"/>
      <c r="BP38" s="97"/>
      <c r="BQ38" s="2251"/>
      <c r="BR38" s="97"/>
      <c r="BS38" s="2251"/>
      <c r="BT38" s="185"/>
      <c r="BU38" s="2251"/>
      <c r="BV38" s="138"/>
      <c r="BW38" s="2251"/>
      <c r="BX38" s="97"/>
      <c r="BY38" s="2251"/>
      <c r="BZ38" s="97"/>
      <c r="CA38" s="2251"/>
      <c r="CB38" s="97"/>
      <c r="CC38" s="2251"/>
      <c r="CD38" s="97"/>
      <c r="CE38" s="2251"/>
      <c r="CF38" s="97"/>
      <c r="CG38" s="2251"/>
      <c r="CH38" s="105"/>
      <c r="CI38" s="2251"/>
      <c r="CJ38" s="97"/>
      <c r="CK38" s="2251"/>
      <c r="CL38" s="97"/>
      <c r="CM38" s="2251"/>
      <c r="CN38" s="73">
        <f t="shared" si="1"/>
        <v>0</v>
      </c>
      <c r="CO38" s="97"/>
      <c r="CP38" s="106"/>
      <c r="CQ38" s="139"/>
      <c r="CR38" s="139"/>
      <c r="CS38" s="139"/>
      <c r="CT38" s="139"/>
      <c r="CU38" s="108"/>
      <c r="CV38" s="2258"/>
      <c r="CW38" s="257"/>
      <c r="CX38" s="231"/>
      <c r="CY38" s="237"/>
      <c r="CZ38" s="103"/>
      <c r="DA38" s="241"/>
      <c r="DB38" s="103"/>
      <c r="DC38" s="242"/>
      <c r="DD38" s="103"/>
      <c r="DE38" s="2251"/>
      <c r="DF38" s="103"/>
      <c r="DG38" s="2251"/>
      <c r="DH38" s="103"/>
      <c r="DI38" s="2251"/>
      <c r="DJ38" s="103"/>
      <c r="DK38" s="2251"/>
      <c r="DL38" s="103"/>
      <c r="DM38" s="215"/>
      <c r="DN38" s="76"/>
      <c r="DO38" s="2251"/>
      <c r="DP38" s="76"/>
      <c r="DQ38" s="2251"/>
      <c r="DR38" s="76"/>
      <c r="DS38" s="2251"/>
      <c r="DT38" s="76"/>
      <c r="DU38" s="2251"/>
      <c r="DV38" s="76"/>
      <c r="DW38" s="215"/>
      <c r="DX38" s="75"/>
      <c r="DY38" s="2251"/>
      <c r="DZ38" s="76"/>
      <c r="EA38" s="2251"/>
      <c r="EB38" s="76"/>
      <c r="EC38" s="2251"/>
      <c r="ED38" s="76"/>
      <c r="EE38" s="2251"/>
      <c r="EF38" s="76"/>
      <c r="EG38" s="2251"/>
      <c r="EH38" s="76"/>
      <c r="EI38" s="2251"/>
      <c r="EJ38" s="76"/>
      <c r="EK38" s="215"/>
      <c r="EL38" s="97"/>
      <c r="EM38" s="2246"/>
      <c r="EN38" s="102"/>
      <c r="EO38" s="234"/>
      <c r="EP38" s="102"/>
      <c r="EQ38" s="102"/>
      <c r="ER38" s="102"/>
      <c r="ES38" s="110"/>
      <c r="ET38" s="74"/>
      <c r="EU38" s="2251"/>
      <c r="EV38" s="122"/>
      <c r="EW38" s="2251"/>
      <c r="EX38" s="88"/>
      <c r="EY38" s="2251"/>
      <c r="EZ38" s="2248"/>
      <c r="FA38" s="2224"/>
      <c r="FB38" s="2251"/>
      <c r="FC38" s="2224"/>
      <c r="FD38" s="2251"/>
      <c r="FE38" s="2224"/>
      <c r="FF38" s="2251"/>
      <c r="FG38" s="102"/>
      <c r="FH38" s="2251"/>
      <c r="FI38" s="102"/>
      <c r="FJ38" s="2251"/>
      <c r="FK38" s="102"/>
      <c r="FL38" s="2251"/>
      <c r="FM38" s="102"/>
      <c r="FN38" s="2251"/>
      <c r="FO38" s="102"/>
      <c r="FP38" s="102"/>
      <c r="FQ38" s="102"/>
      <c r="FR38" s="2251"/>
      <c r="FS38" s="2244"/>
      <c r="FT38" s="2240"/>
      <c r="FU38" s="2233"/>
      <c r="FV38" s="2235"/>
      <c r="FW38" s="2235"/>
      <c r="FX38" s="2233"/>
      <c r="FY38" s="2233"/>
      <c r="FZ38" s="2233"/>
      <c r="GA38" s="2232"/>
      <c r="GB38" s="2233"/>
      <c r="GC38" s="2233"/>
      <c r="GD38" s="2233"/>
      <c r="GE38" s="2232"/>
      <c r="GF38" s="2233"/>
      <c r="GG38" s="2232"/>
      <c r="GH38" s="2232"/>
      <c r="GI38" s="2232"/>
      <c r="GJ38" s="2232"/>
      <c r="GK38" s="2232"/>
      <c r="GL38" s="2235"/>
      <c r="GM38" s="2235"/>
      <c r="GN38" s="2235"/>
      <c r="GO38" s="2224"/>
      <c r="GP38" s="112"/>
      <c r="GQ38" s="2224"/>
      <c r="GR38" s="112"/>
      <c r="GS38" s="255"/>
      <c r="GT38" s="195"/>
      <c r="GU38" s="187"/>
      <c r="GV38" s="195"/>
      <c r="GW38" s="195"/>
      <c r="GX38" s="195"/>
      <c r="GY38" s="195"/>
      <c r="GZ38" s="245"/>
      <c r="HA38" s="195"/>
      <c r="HB38" s="195"/>
      <c r="HC38" s="2230"/>
    </row>
    <row r="39" spans="1:217" s="91" customFormat="1" ht="18.75">
      <c r="A39" s="216">
        <v>14</v>
      </c>
      <c r="B39" s="217" t="s">
        <v>703</v>
      </c>
      <c r="C39" s="218">
        <v>2854</v>
      </c>
      <c r="D39" s="218">
        <v>3</v>
      </c>
      <c r="E39" s="219">
        <v>2028540003</v>
      </c>
      <c r="F39" s="220">
        <v>7500</v>
      </c>
      <c r="G39" s="221" t="s">
        <v>726</v>
      </c>
      <c r="H39" s="222" t="s">
        <v>706</v>
      </c>
      <c r="I39" s="218">
        <v>0.57999999999999996</v>
      </c>
      <c r="J39" s="218">
        <v>3.44</v>
      </c>
      <c r="K39" s="218">
        <v>0</v>
      </c>
      <c r="L39" s="218">
        <v>4.8</v>
      </c>
      <c r="M39" s="220">
        <v>4375</v>
      </c>
      <c r="N39" s="220">
        <v>0</v>
      </c>
      <c r="O39" s="220">
        <v>0</v>
      </c>
      <c r="P39" s="220">
        <v>4375</v>
      </c>
      <c r="Q39" s="223">
        <v>0</v>
      </c>
      <c r="R39" s="91" t="s">
        <v>722</v>
      </c>
      <c r="S39" s="214">
        <f>T39</f>
        <v>0</v>
      </c>
      <c r="T39" s="91">
        <v>0</v>
      </c>
      <c r="U39" s="214">
        <f>V39</f>
        <v>4375</v>
      </c>
      <c r="V39" s="228">
        <f>M39</f>
        <v>4375</v>
      </c>
      <c r="W39" s="214">
        <f>X39</f>
        <v>4375</v>
      </c>
      <c r="X39" s="91">
        <f>V39-Z39</f>
        <v>4375</v>
      </c>
      <c r="Y39" s="214">
        <f>Z39</f>
        <v>0</v>
      </c>
      <c r="Z39" s="91">
        <v>0</v>
      </c>
      <c r="AA39" s="214">
        <f>AB39</f>
        <v>0</v>
      </c>
      <c r="AB39" s="91">
        <v>0</v>
      </c>
      <c r="AC39" s="214">
        <f>AD39</f>
        <v>4375</v>
      </c>
      <c r="AD39" s="247">
        <f>V39-(Z39+AB39+AF39+AL39+AN39+AP39+AZ39+AR39+AT39+AV39+AX39)</f>
        <v>4375</v>
      </c>
      <c r="AE39" s="215">
        <f>AF39</f>
        <v>0</v>
      </c>
      <c r="AF39" s="248">
        <v>0</v>
      </c>
      <c r="AG39" s="248">
        <v>0</v>
      </c>
      <c r="AH39" s="76">
        <f>AG39</f>
        <v>0</v>
      </c>
      <c r="AI39" s="248">
        <v>0</v>
      </c>
      <c r="AJ39" s="76">
        <f>AI39</f>
        <v>0</v>
      </c>
      <c r="AK39" s="215">
        <f>AL39</f>
        <v>0</v>
      </c>
      <c r="AL39" s="248">
        <v>0</v>
      </c>
      <c r="AM39" s="249">
        <v>0</v>
      </c>
      <c r="AN39" s="248">
        <v>0</v>
      </c>
      <c r="AO39" s="194">
        <f>AP39</f>
        <v>0</v>
      </c>
      <c r="AP39" s="248">
        <v>0</v>
      </c>
      <c r="AQ39" s="215">
        <f>AR39</f>
        <v>0</v>
      </c>
      <c r="AR39" s="248">
        <v>0</v>
      </c>
      <c r="AS39" s="215">
        <f>AT39</f>
        <v>0</v>
      </c>
      <c r="AT39" s="248">
        <v>0</v>
      </c>
      <c r="AU39" s="215">
        <f>AV39</f>
        <v>0</v>
      </c>
      <c r="AV39" s="248">
        <v>0</v>
      </c>
      <c r="AW39" s="215">
        <f>AX39</f>
        <v>0</v>
      </c>
      <c r="AX39" s="248">
        <v>0</v>
      </c>
      <c r="AY39" s="215">
        <f>AZ39</f>
        <v>0</v>
      </c>
      <c r="AZ39" s="75">
        <f t="shared" si="0"/>
        <v>0</v>
      </c>
      <c r="BA39" s="194">
        <f>BB39</f>
        <v>0</v>
      </c>
      <c r="BB39" s="248">
        <v>0</v>
      </c>
      <c r="BC39" s="194">
        <f>BD39</f>
        <v>0</v>
      </c>
      <c r="BD39" s="248">
        <v>0</v>
      </c>
      <c r="BE39" s="194">
        <f>BF39</f>
        <v>0</v>
      </c>
      <c r="BF39" s="248">
        <v>0</v>
      </c>
      <c r="BG39" s="194">
        <f>BH39</f>
        <v>0</v>
      </c>
      <c r="BH39" s="248">
        <v>0</v>
      </c>
      <c r="BI39" s="194">
        <f>BJ39</f>
        <v>0</v>
      </c>
      <c r="BJ39" s="248">
        <v>0</v>
      </c>
      <c r="BK39" s="194">
        <f>BL39</f>
        <v>0</v>
      </c>
      <c r="BL39" s="248">
        <v>0</v>
      </c>
      <c r="BM39" s="215">
        <f>BN39</f>
        <v>4375</v>
      </c>
      <c r="BN39" s="91">
        <f>ROUND(T39+V39,0)</f>
        <v>4375</v>
      </c>
      <c r="BO39" s="215">
        <f>BP39</f>
        <v>0</v>
      </c>
      <c r="BP39" s="91">
        <f>ROUND(T39/'A-App Projected Sites '!EP$141,0)</f>
        <v>0</v>
      </c>
      <c r="BQ39" s="215">
        <f>BR39</f>
        <v>0</v>
      </c>
      <c r="BR39" s="91">
        <f>BR$142*BP39</f>
        <v>0</v>
      </c>
      <c r="BS39" s="215">
        <f>BT39</f>
        <v>0</v>
      </c>
      <c r="BT39" s="185">
        <f t="shared" si="3"/>
        <v>0</v>
      </c>
      <c r="BU39" s="215">
        <f>BV39</f>
        <v>13</v>
      </c>
      <c r="BV39" s="251">
        <f>ROUND((AD39+AB39+Z39)/1000*3,0)+ROUND((AF39+AX39)/1000,0)+ROUND((ROUND(AL39/400,0))/2.67,0)+ROUND(AN39/250,0)+ROUND(AR39/15000,0)+ROUND((BB39+BD39+BF39+BJ39)/1000*3,0)+ROUND(BP39/25,0)+ROUND(CN39/50,0)</f>
        <v>13</v>
      </c>
      <c r="BW39" s="215">
        <f>BX39</f>
        <v>0</v>
      </c>
      <c r="BX39" s="91">
        <v>0</v>
      </c>
      <c r="BY39" s="215">
        <f>BZ39</f>
        <v>0</v>
      </c>
      <c r="BZ39" s="91">
        <v>0</v>
      </c>
      <c r="CA39" s="215">
        <f>CB39</f>
        <v>0</v>
      </c>
      <c r="CB39" s="91">
        <v>0</v>
      </c>
      <c r="CC39" s="215">
        <f>CD39</f>
        <v>0</v>
      </c>
      <c r="CD39" s="91">
        <f>AB39/1000</f>
        <v>0</v>
      </c>
      <c r="CE39" s="215">
        <f>CF39</f>
        <v>0</v>
      </c>
      <c r="CF39" s="91">
        <f>((AL39/400)/12)</f>
        <v>0</v>
      </c>
      <c r="CG39" s="215">
        <f>CH39</f>
        <v>0</v>
      </c>
      <c r="CH39" s="252">
        <f>IFERROR(VLOOKUP(E39,#REF!,3,FALSE),0)</f>
        <v>0</v>
      </c>
      <c r="CI39" s="215">
        <f>CJ39</f>
        <v>0</v>
      </c>
      <c r="CJ39" s="91">
        <v>0</v>
      </c>
      <c r="CK39" s="215">
        <f>CL39</f>
        <v>0</v>
      </c>
      <c r="CL39" s="91">
        <f>IF(BJ39&gt;0,"Calculate",0)</f>
        <v>0</v>
      </c>
      <c r="CM39" s="215">
        <f>CN39</f>
        <v>0</v>
      </c>
      <c r="CN39" s="73">
        <f t="shared" si="1"/>
        <v>0</v>
      </c>
      <c r="CP39" s="253">
        <v>15</v>
      </c>
      <c r="CQ39" s="228" t="s">
        <v>729</v>
      </c>
      <c r="CR39" s="228">
        <v>7.2</v>
      </c>
      <c r="CS39" s="228">
        <v>3.4</v>
      </c>
      <c r="CT39" s="228">
        <v>6.5</v>
      </c>
      <c r="CU39" s="229"/>
      <c r="CV39" s="230" t="s">
        <v>734</v>
      </c>
      <c r="CW39" s="76">
        <v>0</v>
      </c>
      <c r="CX39" s="231">
        <f t="shared" si="8"/>
        <v>0</v>
      </c>
      <c r="CY39" s="232">
        <f>CZ39</f>
        <v>25500</v>
      </c>
      <c r="CZ39" s="76">
        <f>CS39*F39</f>
        <v>25500</v>
      </c>
      <c r="DA39" s="238">
        <f>DB39</f>
        <v>25500</v>
      </c>
      <c r="DB39" s="76">
        <f>CZ39-DD39</f>
        <v>25500</v>
      </c>
      <c r="DC39" s="239">
        <f>DD39</f>
        <v>0</v>
      </c>
      <c r="DD39" s="76">
        <v>0</v>
      </c>
      <c r="DE39" s="215">
        <f>DF39</f>
        <v>0</v>
      </c>
      <c r="DF39" s="76">
        <v>0</v>
      </c>
      <c r="DG39" s="215">
        <f>DH39</f>
        <v>6375</v>
      </c>
      <c r="DH39" s="76">
        <v>6375</v>
      </c>
      <c r="DI39" s="215">
        <f>DJ39</f>
        <v>0</v>
      </c>
      <c r="DJ39" s="76">
        <v>0</v>
      </c>
      <c r="DK39" s="215">
        <f>DL39</f>
        <v>0</v>
      </c>
      <c r="DL39" s="76">
        <v>0</v>
      </c>
      <c r="DM39" s="2245">
        <f>DN39</f>
        <v>19125</v>
      </c>
      <c r="DN39" s="75">
        <f>CZ39-DH39</f>
        <v>19125</v>
      </c>
      <c r="DO39" s="215">
        <f>DP39</f>
        <v>0</v>
      </c>
      <c r="DP39" s="75">
        <v>0</v>
      </c>
      <c r="DQ39" s="215">
        <f>DR39</f>
        <v>0</v>
      </c>
      <c r="DR39" s="75">
        <v>0</v>
      </c>
      <c r="DS39" s="215">
        <f>DT39</f>
        <v>0</v>
      </c>
      <c r="DT39" s="75">
        <v>0</v>
      </c>
      <c r="DU39" s="215">
        <f>DV39</f>
        <v>0</v>
      </c>
      <c r="DV39" s="75">
        <v>0</v>
      </c>
      <c r="DW39" s="2245">
        <f>DX39</f>
        <v>0</v>
      </c>
      <c r="DX39" s="75">
        <f t="shared" si="2"/>
        <v>0</v>
      </c>
      <c r="DY39" s="215">
        <f>DZ39</f>
        <v>0</v>
      </c>
      <c r="DZ39" s="75">
        <v>0</v>
      </c>
      <c r="EA39" s="215">
        <f>EB39</f>
        <v>0</v>
      </c>
      <c r="EB39" s="75">
        <v>0</v>
      </c>
      <c r="EC39" s="215">
        <f>ED39</f>
        <v>0</v>
      </c>
      <c r="ED39" s="75">
        <v>0</v>
      </c>
      <c r="EE39" s="215">
        <f>EF39</f>
        <v>0</v>
      </c>
      <c r="EF39" s="75">
        <v>0</v>
      </c>
      <c r="EG39" s="215">
        <f>EH39</f>
        <v>0</v>
      </c>
      <c r="EH39" s="75">
        <v>0</v>
      </c>
      <c r="EI39" s="215">
        <f>EJ39</f>
        <v>0</v>
      </c>
      <c r="EJ39" s="75">
        <v>0</v>
      </c>
      <c r="EK39" s="2252">
        <f>EL39</f>
        <v>25500</v>
      </c>
      <c r="EL39" s="83">
        <f>CW39+CZ39+DV39+DX39</f>
        <v>25500</v>
      </c>
      <c r="EM39" s="234">
        <f>SUM(EN39)</f>
        <v>0</v>
      </c>
      <c r="EN39" s="111">
        <v>0</v>
      </c>
      <c r="EO39" s="234">
        <f>EP39</f>
        <v>0</v>
      </c>
      <c r="EP39" s="111">
        <f>EV$143*EN39</f>
        <v>0</v>
      </c>
      <c r="EQ39" s="111">
        <v>0</v>
      </c>
      <c r="ER39" s="111">
        <v>0</v>
      </c>
      <c r="ES39" s="192">
        <f>ET39</f>
        <v>26</v>
      </c>
      <c r="ET39" s="74">
        <f>FA39+FG39+FQ39</f>
        <v>26</v>
      </c>
      <c r="EU39" s="215">
        <f>EV39</f>
        <v>0</v>
      </c>
      <c r="EV39" s="122">
        <f>3.06*EN39</f>
        <v>0</v>
      </c>
      <c r="EW39" s="215">
        <f>EX39</f>
        <v>20</v>
      </c>
      <c r="EX39" s="88">
        <f>ROUND((DH39+DF39+DD39)/1000*3,0)+ROUND((ROUND(DL39/400,0))/2.67,0)+ROUND(DV39/1000,0)+ROUND((DZ39+EB39+ED39+EH39)/1000*3,0)+ROUND(EN39/25,0)+ROUND(ET39/50,0)</f>
        <v>20</v>
      </c>
      <c r="EY39" s="215">
        <f>EZ39</f>
        <v>0</v>
      </c>
      <c r="EZ39" s="254">
        <v>0</v>
      </c>
      <c r="FA39" s="194">
        <v>0</v>
      </c>
      <c r="FB39" s="215">
        <f>FC39</f>
        <v>0</v>
      </c>
      <c r="FC39" s="194">
        <v>0</v>
      </c>
      <c r="FD39" s="215">
        <f>FE39</f>
        <v>0</v>
      </c>
      <c r="FE39" s="194">
        <v>0</v>
      </c>
      <c r="FF39" s="215">
        <f>FG39</f>
        <v>26</v>
      </c>
      <c r="FG39" s="111">
        <f>ROUND((DH39+DD39+DN39+DT39)/1000,0)</f>
        <v>26</v>
      </c>
      <c r="FH39" s="215">
        <f>FI39</f>
        <v>0</v>
      </c>
      <c r="FI39" s="111">
        <f>DF39/1000</f>
        <v>0</v>
      </c>
      <c r="FJ39" s="215">
        <f>FK39</f>
        <v>0</v>
      </c>
      <c r="FK39" s="111">
        <f>((DL39/400)/12)</f>
        <v>0</v>
      </c>
      <c r="FL39" s="215">
        <f>FM39</f>
        <v>0</v>
      </c>
      <c r="FM39" s="111">
        <v>0</v>
      </c>
      <c r="FN39" s="215">
        <f>FO39</f>
        <v>0</v>
      </c>
      <c r="FO39" s="111">
        <v>0</v>
      </c>
      <c r="FP39" s="111">
        <v>0</v>
      </c>
      <c r="FQ39" s="111">
        <f>IF(DX39&gt;0,"Calculate",0)</f>
        <v>0</v>
      </c>
      <c r="FR39" s="215">
        <f>FS39</f>
        <v>165</v>
      </c>
      <c r="FS39" s="214">
        <v>165</v>
      </c>
      <c r="FT39" s="2240">
        <f>CX39-S39</f>
        <v>0</v>
      </c>
      <c r="FU39" s="2233">
        <f>CY39-U39</f>
        <v>21125</v>
      </c>
      <c r="FV39" s="2235">
        <f>(DC39+DE39+DG39)-(Y39+AA39+AC39+AE39)</f>
        <v>2000</v>
      </c>
      <c r="FW39" s="2235">
        <f>DG39-AC39</f>
        <v>2000</v>
      </c>
      <c r="FX39" s="2233">
        <f>DE39-AA39</f>
        <v>0</v>
      </c>
      <c r="FY39" s="2233">
        <f>DC39-Y39</f>
        <v>0</v>
      </c>
      <c r="FZ39" s="2233">
        <f>DJ39-AE39</f>
        <v>0</v>
      </c>
      <c r="GA39" s="235">
        <f>DL39-AL39</f>
        <v>0</v>
      </c>
      <c r="GB39" s="2233">
        <f>DM39-AM39</f>
        <v>19125</v>
      </c>
      <c r="GC39" s="2233">
        <f>DP39-AQ39</f>
        <v>0</v>
      </c>
      <c r="GD39" s="2233">
        <f>DR39-AS39</f>
        <v>0</v>
      </c>
      <c r="GE39" s="235">
        <f>DT39-AV39</f>
        <v>0</v>
      </c>
      <c r="GF39" s="2233">
        <f>DV39-AW39</f>
        <v>0</v>
      </c>
      <c r="GG39" s="235">
        <f>DZ39-BB39</f>
        <v>0</v>
      </c>
      <c r="GH39" s="235">
        <f>EB39-BD39</f>
        <v>0</v>
      </c>
      <c r="GI39" s="235">
        <f>ED39-BF39</f>
        <v>0</v>
      </c>
      <c r="GJ39" s="235">
        <f>EF39-BH39</f>
        <v>0</v>
      </c>
      <c r="GK39" s="235">
        <f>EH39-BJ39</f>
        <v>0</v>
      </c>
      <c r="GL39" s="2235">
        <f>DW39-AY39</f>
        <v>0</v>
      </c>
      <c r="GM39" s="2235">
        <f>EK39-BM39</f>
        <v>21125</v>
      </c>
      <c r="GN39" s="2235">
        <f>EM39-BO39</f>
        <v>0</v>
      </c>
      <c r="GO39" s="255">
        <f>GP39</f>
        <v>0</v>
      </c>
      <c r="GP39" s="112">
        <f>EP39-BR39</f>
        <v>0</v>
      </c>
      <c r="GQ39" s="255">
        <v>0</v>
      </c>
      <c r="GR39" s="112">
        <f>EV39-BT39</f>
        <v>0</v>
      </c>
      <c r="GS39" s="255">
        <f t="shared" si="11"/>
        <v>7</v>
      </c>
      <c r="GT39" s="245">
        <f>EX39-BV39</f>
        <v>7</v>
      </c>
      <c r="GU39" s="187">
        <f>FA39-BX39</f>
        <v>0</v>
      </c>
      <c r="GV39" s="245">
        <f>FI39-CD39</f>
        <v>0</v>
      </c>
      <c r="GW39" s="245">
        <v>0</v>
      </c>
      <c r="GX39" s="245">
        <f>FG39-CB39</f>
        <v>26</v>
      </c>
      <c r="GY39" s="245">
        <f>FK39-CF39</f>
        <v>0</v>
      </c>
      <c r="GZ39" s="245">
        <f>FM39-CH39</f>
        <v>0</v>
      </c>
      <c r="HA39" s="245">
        <f>FO39-CJ39</f>
        <v>0</v>
      </c>
      <c r="HB39" s="245">
        <f>FQ39-CL39</f>
        <v>0</v>
      </c>
      <c r="HC39" s="2230">
        <f>ES39-CM39</f>
        <v>26</v>
      </c>
      <c r="HD39" s="95"/>
      <c r="HE39" s="95"/>
    </row>
    <row r="40" spans="1:217" s="95" customFormat="1" ht="18.75">
      <c r="A40" s="2263"/>
      <c r="B40" s="131"/>
      <c r="C40" s="132"/>
      <c r="D40" s="132"/>
      <c r="E40" s="133"/>
      <c r="F40" s="134"/>
      <c r="G40" s="135"/>
      <c r="H40" s="136"/>
      <c r="I40" s="132"/>
      <c r="J40" s="132"/>
      <c r="K40" s="132"/>
      <c r="L40" s="132"/>
      <c r="M40" s="134"/>
      <c r="N40" s="134"/>
      <c r="O40" s="134"/>
      <c r="P40" s="134"/>
      <c r="Q40" s="137"/>
      <c r="S40" s="101"/>
      <c r="T40" s="97"/>
      <c r="U40" s="2244"/>
      <c r="V40" s="102"/>
      <c r="W40" s="214"/>
      <c r="X40" s="97"/>
      <c r="Y40" s="2244"/>
      <c r="Z40" s="97"/>
      <c r="AA40" s="214"/>
      <c r="AB40" s="97"/>
      <c r="AC40" s="214"/>
      <c r="AD40" s="103"/>
      <c r="AE40" s="2251"/>
      <c r="AF40" s="103"/>
      <c r="AG40" s="103"/>
      <c r="AH40" s="103"/>
      <c r="AI40" s="103"/>
      <c r="AJ40" s="103"/>
      <c r="AK40" s="2251"/>
      <c r="AL40" s="103"/>
      <c r="AM40" s="2251"/>
      <c r="AN40" s="103"/>
      <c r="AO40" s="2224"/>
      <c r="AP40" s="103"/>
      <c r="AQ40" s="2251"/>
      <c r="AR40" s="103"/>
      <c r="AS40" s="2251"/>
      <c r="AT40" s="103"/>
      <c r="AU40" s="2251"/>
      <c r="AV40" s="103"/>
      <c r="AW40" s="2251"/>
      <c r="AX40" s="103"/>
      <c r="AY40" s="2251"/>
      <c r="AZ40" s="75">
        <f t="shared" si="0"/>
        <v>0</v>
      </c>
      <c r="BA40" s="2224"/>
      <c r="BB40" s="103"/>
      <c r="BC40" s="2224"/>
      <c r="BD40" s="103"/>
      <c r="BE40" s="2224"/>
      <c r="BF40" s="103"/>
      <c r="BG40" s="2224"/>
      <c r="BH40" s="103"/>
      <c r="BI40" s="2224"/>
      <c r="BJ40" s="103"/>
      <c r="BK40" s="2224"/>
      <c r="BL40" s="103"/>
      <c r="BM40" s="2251"/>
      <c r="BN40" s="97"/>
      <c r="BO40" s="2251"/>
      <c r="BP40" s="97"/>
      <c r="BQ40" s="2251"/>
      <c r="BR40" s="97"/>
      <c r="BS40" s="2251"/>
      <c r="BT40" s="185"/>
      <c r="BU40" s="2251"/>
      <c r="BV40" s="138"/>
      <c r="BW40" s="2251"/>
      <c r="BX40" s="97"/>
      <c r="BY40" s="2251"/>
      <c r="BZ40" s="97"/>
      <c r="CA40" s="2251"/>
      <c r="CB40" s="97"/>
      <c r="CC40" s="2251"/>
      <c r="CD40" s="97"/>
      <c r="CE40" s="2251"/>
      <c r="CF40" s="97"/>
      <c r="CG40" s="2251"/>
      <c r="CH40" s="105"/>
      <c r="CI40" s="2251"/>
      <c r="CJ40" s="97"/>
      <c r="CK40" s="2251"/>
      <c r="CL40" s="97"/>
      <c r="CM40" s="2251"/>
      <c r="CN40" s="73">
        <f t="shared" si="1"/>
        <v>0</v>
      </c>
      <c r="CO40" s="97"/>
      <c r="CP40" s="106"/>
      <c r="CQ40" s="139"/>
      <c r="CR40" s="139"/>
      <c r="CS40" s="139"/>
      <c r="CT40" s="139"/>
      <c r="CU40" s="108"/>
      <c r="CV40" s="2258"/>
      <c r="CW40" s="257"/>
      <c r="CX40" s="231"/>
      <c r="CY40" s="237"/>
      <c r="CZ40" s="103"/>
      <c r="DA40" s="241"/>
      <c r="DB40" s="103"/>
      <c r="DC40" s="239"/>
      <c r="DD40" s="103"/>
      <c r="DE40" s="2251"/>
      <c r="DF40" s="103"/>
      <c r="DG40" s="2251"/>
      <c r="DH40" s="103"/>
      <c r="DI40" s="2251"/>
      <c r="DJ40" s="103"/>
      <c r="DK40" s="2251"/>
      <c r="DL40" s="103"/>
      <c r="DM40" s="215"/>
      <c r="DN40" s="76"/>
      <c r="DO40" s="2251"/>
      <c r="DP40" s="76"/>
      <c r="DQ40" s="2251"/>
      <c r="DR40" s="76"/>
      <c r="DS40" s="2251"/>
      <c r="DT40" s="76"/>
      <c r="DU40" s="2251"/>
      <c r="DV40" s="76"/>
      <c r="DW40" s="215"/>
      <c r="DX40" s="75"/>
      <c r="DY40" s="2251"/>
      <c r="DZ40" s="76"/>
      <c r="EA40" s="2251"/>
      <c r="EB40" s="76"/>
      <c r="EC40" s="2251"/>
      <c r="ED40" s="76"/>
      <c r="EE40" s="2251"/>
      <c r="EF40" s="76"/>
      <c r="EG40" s="2251"/>
      <c r="EH40" s="76"/>
      <c r="EI40" s="2251"/>
      <c r="EJ40" s="76"/>
      <c r="EK40" s="215"/>
      <c r="EL40" s="97"/>
      <c r="EM40" s="2246"/>
      <c r="EN40" s="102"/>
      <c r="EO40" s="2246"/>
      <c r="EP40" s="102"/>
      <c r="EQ40" s="102"/>
      <c r="ER40" s="102"/>
      <c r="ES40" s="110"/>
      <c r="ET40" s="74"/>
      <c r="EU40" s="2251"/>
      <c r="EV40" s="122"/>
      <c r="EW40" s="2251"/>
      <c r="EX40" s="88"/>
      <c r="EY40" s="2251"/>
      <c r="EZ40" s="2248"/>
      <c r="FA40" s="2224"/>
      <c r="FB40" s="2251"/>
      <c r="FC40" s="2224"/>
      <c r="FD40" s="2251"/>
      <c r="FE40" s="2224"/>
      <c r="FF40" s="2251"/>
      <c r="FG40" s="102"/>
      <c r="FH40" s="2251"/>
      <c r="FI40" s="102"/>
      <c r="FJ40" s="2251"/>
      <c r="FK40" s="102"/>
      <c r="FL40" s="2251"/>
      <c r="FM40" s="102"/>
      <c r="FN40" s="2251"/>
      <c r="FO40" s="102"/>
      <c r="FP40" s="102"/>
      <c r="FQ40" s="102"/>
      <c r="FR40" s="2251"/>
      <c r="FS40" s="2244"/>
      <c r="FT40" s="2240"/>
      <c r="FU40" s="2233"/>
      <c r="FV40" s="2235"/>
      <c r="FW40" s="2235"/>
      <c r="FX40" s="2233"/>
      <c r="FY40" s="2233"/>
      <c r="FZ40" s="2233"/>
      <c r="GA40" s="2232"/>
      <c r="GB40" s="2233"/>
      <c r="GC40" s="2233"/>
      <c r="GD40" s="2233"/>
      <c r="GE40" s="2232"/>
      <c r="GF40" s="2233"/>
      <c r="GG40" s="2232"/>
      <c r="GH40" s="2232"/>
      <c r="GI40" s="2232"/>
      <c r="GJ40" s="2232"/>
      <c r="GK40" s="2232"/>
      <c r="GL40" s="2235"/>
      <c r="GM40" s="2235"/>
      <c r="GN40" s="2235"/>
      <c r="GO40" s="2224"/>
      <c r="GP40" s="112"/>
      <c r="GQ40" s="2224"/>
      <c r="GR40" s="112"/>
      <c r="GS40" s="2224"/>
      <c r="GT40" s="195"/>
      <c r="GU40" s="187"/>
      <c r="GV40" s="195"/>
      <c r="GW40" s="195"/>
      <c r="GX40" s="195"/>
      <c r="GY40" s="195"/>
      <c r="GZ40" s="245"/>
      <c r="HA40" s="195"/>
      <c r="HB40" s="195"/>
      <c r="HC40" s="2230"/>
    </row>
    <row r="41" spans="1:217" s="91" customFormat="1" ht="18.75">
      <c r="A41" s="216">
        <v>15</v>
      </c>
      <c r="B41" s="217" t="s">
        <v>703</v>
      </c>
      <c r="C41" s="218">
        <v>2862</v>
      </c>
      <c r="D41" s="218">
        <v>97</v>
      </c>
      <c r="E41" s="219">
        <v>2028620097</v>
      </c>
      <c r="F41" s="220">
        <v>15039</v>
      </c>
      <c r="G41" s="221" t="s">
        <v>704</v>
      </c>
      <c r="H41" s="222"/>
      <c r="I41" s="218">
        <v>1.99</v>
      </c>
      <c r="J41" s="218">
        <v>0</v>
      </c>
      <c r="K41" s="218">
        <v>2</v>
      </c>
      <c r="L41" s="218">
        <v>6.5</v>
      </c>
      <c r="M41" s="220">
        <v>30000</v>
      </c>
      <c r="N41" s="220">
        <f>0.5*M41</f>
        <v>15000</v>
      </c>
      <c r="O41" s="220">
        <v>0</v>
      </c>
      <c r="P41" s="220">
        <v>30000</v>
      </c>
      <c r="Q41" s="223">
        <v>0</v>
      </c>
      <c r="R41" s="91" t="s">
        <v>737</v>
      </c>
      <c r="S41" s="214">
        <f>T41</f>
        <v>0</v>
      </c>
      <c r="T41" s="83">
        <v>0</v>
      </c>
      <c r="U41" s="214">
        <f>V41</f>
        <v>30000</v>
      </c>
      <c r="V41" s="111">
        <f>M41</f>
        <v>30000</v>
      </c>
      <c r="W41" s="214">
        <f>X41</f>
        <v>30000</v>
      </c>
      <c r="X41" s="83">
        <f>V41-Z41</f>
        <v>30000</v>
      </c>
      <c r="Y41" s="214">
        <f>Z41</f>
        <v>0</v>
      </c>
      <c r="Z41" s="83">
        <v>0</v>
      </c>
      <c r="AA41" s="214">
        <f>AB41</f>
        <v>0</v>
      </c>
      <c r="AB41" s="83">
        <v>0</v>
      </c>
      <c r="AC41" s="214">
        <f>AD41</f>
        <v>0</v>
      </c>
      <c r="AD41" s="76">
        <f>V41-(Z41+AB41+AF41+AL41+AN41+AP41+AZ41+AR41+AT41+AV41+AX41)</f>
        <v>0</v>
      </c>
      <c r="AE41" s="215">
        <f>AF41</f>
        <v>15000</v>
      </c>
      <c r="AF41" s="76">
        <f>AG41+AI41</f>
        <v>15000</v>
      </c>
      <c r="AG41" s="76">
        <v>0</v>
      </c>
      <c r="AH41" s="76">
        <f>AG41</f>
        <v>0</v>
      </c>
      <c r="AI41" s="76">
        <f>N41</f>
        <v>15000</v>
      </c>
      <c r="AJ41" s="76">
        <f>AI41</f>
        <v>15000</v>
      </c>
      <c r="AK41" s="215">
        <f>AL41</f>
        <v>0</v>
      </c>
      <c r="AL41" s="76">
        <v>0</v>
      </c>
      <c r="AM41" s="215">
        <v>0</v>
      </c>
      <c r="AN41" s="76">
        <v>0</v>
      </c>
      <c r="AO41" s="194">
        <f>AP41</f>
        <v>0</v>
      </c>
      <c r="AP41" s="76">
        <v>0</v>
      </c>
      <c r="AQ41" s="215">
        <f>AR41</f>
        <v>0</v>
      </c>
      <c r="AR41" s="76">
        <v>0</v>
      </c>
      <c r="AS41" s="215">
        <f>AT41</f>
        <v>15000</v>
      </c>
      <c r="AT41" s="76">
        <f>0.5*M41</f>
        <v>15000</v>
      </c>
      <c r="AU41" s="215">
        <f>AV41</f>
        <v>0</v>
      </c>
      <c r="AV41" s="76">
        <v>0</v>
      </c>
      <c r="AW41" s="215">
        <f>AX41</f>
        <v>0</v>
      </c>
      <c r="AX41" s="76">
        <v>0</v>
      </c>
      <c r="AY41" s="215">
        <f>AZ41</f>
        <v>0</v>
      </c>
      <c r="AZ41" s="75">
        <f t="shared" si="0"/>
        <v>0</v>
      </c>
      <c r="BA41" s="194">
        <f>BB41</f>
        <v>0</v>
      </c>
      <c r="BB41" s="224">
        <v>0</v>
      </c>
      <c r="BC41" s="194">
        <f>BD41</f>
        <v>0</v>
      </c>
      <c r="BD41" s="224">
        <v>0</v>
      </c>
      <c r="BE41" s="194">
        <f>BF41</f>
        <v>0</v>
      </c>
      <c r="BF41" s="224">
        <v>0</v>
      </c>
      <c r="BG41" s="194">
        <f>BH41</f>
        <v>0</v>
      </c>
      <c r="BH41" s="224">
        <v>0</v>
      </c>
      <c r="BI41" s="194">
        <f>BJ41</f>
        <v>0</v>
      </c>
      <c r="BJ41" s="224">
        <v>0</v>
      </c>
      <c r="BK41" s="194">
        <f>BL41</f>
        <v>0</v>
      </c>
      <c r="BL41" s="224">
        <v>0</v>
      </c>
      <c r="BM41" s="215">
        <f>BN41</f>
        <v>30000</v>
      </c>
      <c r="BN41" s="83">
        <f>ROUND(T41+V41+AZ41+BB41,0)</f>
        <v>30000</v>
      </c>
      <c r="BO41" s="215">
        <f>BP41</f>
        <v>0</v>
      </c>
      <c r="BP41" s="83">
        <f>ROUND(T41/EP$141,0)</f>
        <v>0</v>
      </c>
      <c r="BQ41" s="215">
        <f>BR41</f>
        <v>0</v>
      </c>
      <c r="BR41" s="83">
        <f>BR$142*BP41</f>
        <v>0</v>
      </c>
      <c r="BS41" s="215">
        <f>BT41</f>
        <v>0</v>
      </c>
      <c r="BT41" s="185">
        <f t="shared" si="3"/>
        <v>0</v>
      </c>
      <c r="BU41" s="215">
        <f>BV41</f>
        <v>16</v>
      </c>
      <c r="BV41" s="225">
        <f>ROUND((AD41+AB41+Z41)/1000*3,0)+ROUND((AF41+AX41)/1000,0)+ROUND((ROUND(AL41/400,0))/2.67,0)+ROUND(AN41/250,0)+ROUND(AR41/15000,0)+ROUND((BB41+BD41+BF41+BJ41)/1000*3,0)+ROUND(BP41/25,0)+ROUND(CN41/50,0)</f>
        <v>16</v>
      </c>
      <c r="BW41" s="215">
        <f>BX41</f>
        <v>0</v>
      </c>
      <c r="BX41" s="83">
        <v>0</v>
      </c>
      <c r="BY41" s="215">
        <f>BZ41</f>
        <v>0</v>
      </c>
      <c r="BZ41" s="83">
        <v>0</v>
      </c>
      <c r="CA41" s="215">
        <f>CB41</f>
        <v>30</v>
      </c>
      <c r="CB41" s="83">
        <f>V41/1000</f>
        <v>30</v>
      </c>
      <c r="CC41" s="215">
        <f>CD41</f>
        <v>0</v>
      </c>
      <c r="CD41" s="83">
        <f>AB41/1000</f>
        <v>0</v>
      </c>
      <c r="CE41" s="215">
        <f>CF41</f>
        <v>0</v>
      </c>
      <c r="CF41" s="83">
        <f>((AL41/400)/12)</f>
        <v>0</v>
      </c>
      <c r="CG41" s="215">
        <f>CH41</f>
        <v>0</v>
      </c>
      <c r="CH41" s="226">
        <f>IFERROR(VLOOKUP(E41,#REF!,3,FALSE),0)</f>
        <v>0</v>
      </c>
      <c r="CI41" s="215" t="b">
        <f>CJ41</f>
        <v>0</v>
      </c>
      <c r="CJ41" s="83" t="b">
        <f>IF(G41="M1-2",F41/1000)</f>
        <v>0</v>
      </c>
      <c r="CK41" s="215">
        <f>CL41</f>
        <v>0</v>
      </c>
      <c r="CL41" s="83">
        <f>IF(BJ41&gt;0,"Calculate",0)</f>
        <v>0</v>
      </c>
      <c r="CM41" s="215">
        <f>CN41</f>
        <v>30</v>
      </c>
      <c r="CN41" s="73">
        <f t="shared" si="1"/>
        <v>30</v>
      </c>
      <c r="CO41" s="83"/>
      <c r="CP41" s="227">
        <v>20</v>
      </c>
      <c r="CQ41" s="228" t="s">
        <v>729</v>
      </c>
      <c r="CR41" s="228">
        <v>7.2</v>
      </c>
      <c r="CS41" s="228">
        <v>3.4</v>
      </c>
      <c r="CT41" s="228">
        <v>6.5</v>
      </c>
      <c r="CU41" s="229"/>
      <c r="CV41" s="230" t="s">
        <v>738</v>
      </c>
      <c r="CW41" s="83">
        <f>(CR41*F41)-CZ41</f>
        <v>95497.650000000009</v>
      </c>
      <c r="CX41" s="231">
        <f t="shared" si="8"/>
        <v>95497.650000000009</v>
      </c>
      <c r="CY41" s="232">
        <f>CZ41</f>
        <v>12783.15</v>
      </c>
      <c r="CZ41" s="76">
        <f>DX41</f>
        <v>12783.15</v>
      </c>
      <c r="DA41" s="233">
        <f>DB41</f>
        <v>12783.15</v>
      </c>
      <c r="DB41" s="76">
        <f>CZ41-DD41</f>
        <v>12783.15</v>
      </c>
      <c r="DC41" s="84">
        <f>DD41</f>
        <v>0</v>
      </c>
      <c r="DD41" s="76">
        <v>0</v>
      </c>
      <c r="DE41" s="214">
        <f>DF41</f>
        <v>0</v>
      </c>
      <c r="DF41" s="76">
        <v>0</v>
      </c>
      <c r="DG41" s="214">
        <f>DH41</f>
        <v>0</v>
      </c>
      <c r="DH41" s="76">
        <f>CZ41-(DD41+DF41+DJ41+DL41+DN41+DT41+DV41+DX41)</f>
        <v>0</v>
      </c>
      <c r="DI41" s="214">
        <f>DJ41</f>
        <v>0</v>
      </c>
      <c r="DJ41" s="76">
        <v>0</v>
      </c>
      <c r="DK41" s="214">
        <f>DL41</f>
        <v>0</v>
      </c>
      <c r="DL41" s="76">
        <v>0</v>
      </c>
      <c r="DM41" s="2245">
        <f>DN41</f>
        <v>0</v>
      </c>
      <c r="DN41" s="75">
        <v>0</v>
      </c>
      <c r="DO41" s="214">
        <f>DP41</f>
        <v>0</v>
      </c>
      <c r="DP41" s="75">
        <v>0</v>
      </c>
      <c r="DQ41" s="214">
        <f>DR41</f>
        <v>0</v>
      </c>
      <c r="DR41" s="75">
        <v>0</v>
      </c>
      <c r="DS41" s="214">
        <f>DT41</f>
        <v>0</v>
      </c>
      <c r="DT41" s="75">
        <v>0</v>
      </c>
      <c r="DU41" s="214">
        <f>DV41</f>
        <v>0</v>
      </c>
      <c r="DV41" s="75">
        <v>0</v>
      </c>
      <c r="DW41" s="2245">
        <f>DX41</f>
        <v>12783.15</v>
      </c>
      <c r="DX41" s="75">
        <f t="shared" si="2"/>
        <v>12783.15</v>
      </c>
      <c r="DY41" s="214">
        <f>DZ41</f>
        <v>0</v>
      </c>
      <c r="DZ41" s="75">
        <v>0</v>
      </c>
      <c r="EA41" s="214">
        <f>EB41</f>
        <v>0</v>
      </c>
      <c r="EB41" s="75">
        <v>0</v>
      </c>
      <c r="EC41" s="214">
        <f>ED41</f>
        <v>12783.15</v>
      </c>
      <c r="ED41" s="75">
        <f>1*(F41)-(0.15*1*(F41))</f>
        <v>12783.15</v>
      </c>
      <c r="EE41" s="214">
        <f>EF41</f>
        <v>0</v>
      </c>
      <c r="EF41" s="75">
        <v>0</v>
      </c>
      <c r="EG41" s="214">
        <f>EH41</f>
        <v>0</v>
      </c>
      <c r="EH41" s="75">
        <v>0</v>
      </c>
      <c r="EI41" s="214">
        <f>EJ41</f>
        <v>0</v>
      </c>
      <c r="EJ41" s="75">
        <v>0</v>
      </c>
      <c r="EK41" s="2252">
        <f>EL41</f>
        <v>108280.8</v>
      </c>
      <c r="EL41" s="83">
        <f>CW41+CZ41</f>
        <v>108280.8</v>
      </c>
      <c r="EM41" s="234">
        <f>SUM(EN41)</f>
        <v>95</v>
      </c>
      <c r="EN41" s="111">
        <f>ROUND(CW41/EP$141,0)</f>
        <v>95</v>
      </c>
      <c r="EO41" s="234">
        <f>EP41</f>
        <v>47.5</v>
      </c>
      <c r="EP41" s="122">
        <f>0.5*EN41</f>
        <v>47.5</v>
      </c>
      <c r="EQ41" s="122">
        <f>ER41</f>
        <v>47.5</v>
      </c>
      <c r="ER41" s="122">
        <f>0.5*EN41</f>
        <v>47.5</v>
      </c>
      <c r="ES41" s="258">
        <f>ET41</f>
        <v>31.783149999999999</v>
      </c>
      <c r="ET41" s="74">
        <f>FA41+FG41+FQ41</f>
        <v>31.783149999999999</v>
      </c>
      <c r="EU41" s="214">
        <f>EV41</f>
        <v>290.7</v>
      </c>
      <c r="EV41" s="122">
        <f>3.06*EN41</f>
        <v>290.7</v>
      </c>
      <c r="EW41" s="214">
        <f>EX41</f>
        <v>43</v>
      </c>
      <c r="EX41" s="88">
        <f>ROUND((DH41+DF41+DD41)/1000*3,0)+ROUND((ROUND(DL41/400,0))/2.67,0)+ROUND(DV41/1000,0)+ROUND((DZ41+EB41+ED41+EH41)/1000*3,0)+ROUND(EN41/25,0)+ROUND(ET41/50,0)</f>
        <v>43</v>
      </c>
      <c r="EY41" s="214">
        <f>EZ41</f>
        <v>19</v>
      </c>
      <c r="EZ41" s="193">
        <f>FA41</f>
        <v>19</v>
      </c>
      <c r="FA41" s="194">
        <f>(0.5*EN41)*0.4</f>
        <v>19</v>
      </c>
      <c r="FB41" s="214">
        <f>FC41</f>
        <v>0</v>
      </c>
      <c r="FC41" s="194">
        <v>0</v>
      </c>
      <c r="FD41" s="214">
        <f>FE41</f>
        <v>0</v>
      </c>
      <c r="FE41" s="194">
        <v>0</v>
      </c>
      <c r="FF41" s="214">
        <f>FG41</f>
        <v>0</v>
      </c>
      <c r="FG41" s="111">
        <f>ROUND((DH41+DJ41+DD41+DN41+DT41)/1000,0)</f>
        <v>0</v>
      </c>
      <c r="FH41" s="214">
        <f>FI41</f>
        <v>0</v>
      </c>
      <c r="FI41" s="111">
        <f>DF41/1000</f>
        <v>0</v>
      </c>
      <c r="FJ41" s="214">
        <f>FK41</f>
        <v>0</v>
      </c>
      <c r="FK41" s="111">
        <f>((DL41/400)/12)</f>
        <v>0</v>
      </c>
      <c r="FL41" s="214">
        <f>FM41</f>
        <v>0</v>
      </c>
      <c r="FM41" s="111">
        <v>0</v>
      </c>
      <c r="FN41" s="214">
        <f>FO41</f>
        <v>0</v>
      </c>
      <c r="FO41" s="111">
        <v>0</v>
      </c>
      <c r="FP41" s="122">
        <f>FQ41</f>
        <v>12.783149999999999</v>
      </c>
      <c r="FQ41" s="111">
        <f>DX41/1000</f>
        <v>12.783149999999999</v>
      </c>
      <c r="FR41" s="214">
        <f>FS41</f>
        <v>165</v>
      </c>
      <c r="FS41" s="214">
        <v>165</v>
      </c>
      <c r="FT41" s="2240">
        <f>CX41-S41</f>
        <v>95497.650000000009</v>
      </c>
      <c r="FU41" s="2233">
        <f>CY41-U41</f>
        <v>-17216.849999999999</v>
      </c>
      <c r="FV41" s="2235">
        <f>(DC41+DE41+DG41)-(Y41+AA41+AC41+AE41)</f>
        <v>-15000</v>
      </c>
      <c r="FW41" s="2235">
        <f>DG41-AC41</f>
        <v>0</v>
      </c>
      <c r="FX41" s="2233">
        <f>DE41-AA41</f>
        <v>0</v>
      </c>
      <c r="FY41" s="2233">
        <f>DC41-Y41</f>
        <v>0</v>
      </c>
      <c r="FZ41" s="2233">
        <f>DJ41-AE41</f>
        <v>-15000</v>
      </c>
      <c r="GA41" s="235">
        <f>DL41-AL41</f>
        <v>0</v>
      </c>
      <c r="GB41" s="2233">
        <f>DM41-AM41</f>
        <v>0</v>
      </c>
      <c r="GC41" s="2233">
        <f>DP41-AQ41</f>
        <v>0</v>
      </c>
      <c r="GD41" s="2233">
        <f>DR41-AS41</f>
        <v>-15000</v>
      </c>
      <c r="GE41" s="235">
        <f>DT41-AV41</f>
        <v>0</v>
      </c>
      <c r="GF41" s="2233">
        <f>DV41-AW41</f>
        <v>0</v>
      </c>
      <c r="GG41" s="235">
        <f>DZ41-BB41</f>
        <v>0</v>
      </c>
      <c r="GH41" s="235">
        <f>EB41-BD41</f>
        <v>0</v>
      </c>
      <c r="GI41" s="235">
        <f>ED41-BF41</f>
        <v>12783.15</v>
      </c>
      <c r="GJ41" s="235">
        <f>EF41-BH41</f>
        <v>0</v>
      </c>
      <c r="GK41" s="235">
        <f>EH41-BJ41</f>
        <v>0</v>
      </c>
      <c r="GL41" s="2235">
        <f>DW41-AY41</f>
        <v>12783.15</v>
      </c>
      <c r="GM41" s="2235">
        <f>EK41-BM41</f>
        <v>78280.800000000003</v>
      </c>
      <c r="GN41" s="2235">
        <f>EM41-BO41</f>
        <v>95</v>
      </c>
      <c r="GO41" s="194">
        <f>GP41</f>
        <v>47.5</v>
      </c>
      <c r="GP41" s="112">
        <f>EP41-BR41</f>
        <v>47.5</v>
      </c>
      <c r="GQ41" s="194">
        <f>GR41</f>
        <v>290.7</v>
      </c>
      <c r="GR41" s="112">
        <f>EV41-BT41</f>
        <v>290.7</v>
      </c>
      <c r="GS41" s="194">
        <f>GT41</f>
        <v>27</v>
      </c>
      <c r="GT41" s="245">
        <f>EX41-BV41</f>
        <v>27</v>
      </c>
      <c r="GU41" s="187">
        <f>FA41-BX41</f>
        <v>19</v>
      </c>
      <c r="GV41" s="245">
        <f>FI41-CD41</f>
        <v>0</v>
      </c>
      <c r="GW41" s="245">
        <v>0</v>
      </c>
      <c r="GX41" s="245">
        <f>FG41-CB41</f>
        <v>-30</v>
      </c>
      <c r="GY41" s="245">
        <f>FK41-CF41</f>
        <v>0</v>
      </c>
      <c r="GZ41" s="245">
        <f>FM41-CH41</f>
        <v>0</v>
      </c>
      <c r="HA41" s="245">
        <f>FO41-CJ41</f>
        <v>0</v>
      </c>
      <c r="HB41" s="245">
        <f>FQ41-CL41</f>
        <v>12.783149999999999</v>
      </c>
      <c r="HC41" s="2230">
        <f>ES41-CM41</f>
        <v>1.7831499999999991</v>
      </c>
      <c r="HD41" s="95"/>
      <c r="HE41" s="95"/>
    </row>
    <row r="42" spans="1:217" s="95" customFormat="1" ht="18.75">
      <c r="A42" s="2263"/>
      <c r="B42" s="131"/>
      <c r="C42" s="132"/>
      <c r="D42" s="132"/>
      <c r="E42" s="133"/>
      <c r="F42" s="134"/>
      <c r="G42" s="135"/>
      <c r="H42" s="136"/>
      <c r="I42" s="132"/>
      <c r="J42" s="132"/>
      <c r="K42" s="132"/>
      <c r="L42" s="132"/>
      <c r="M42" s="134"/>
      <c r="N42" s="134"/>
      <c r="O42" s="134"/>
      <c r="P42" s="134"/>
      <c r="Q42" s="137"/>
      <c r="S42" s="101"/>
      <c r="T42" s="97"/>
      <c r="U42" s="2244"/>
      <c r="V42" s="102"/>
      <c r="W42" s="2244"/>
      <c r="X42" s="97"/>
      <c r="Y42" s="2244"/>
      <c r="Z42" s="97"/>
      <c r="AA42" s="2244"/>
      <c r="AB42" s="97"/>
      <c r="AC42" s="2244"/>
      <c r="AD42" s="103"/>
      <c r="AE42" s="2251"/>
      <c r="AF42" s="103"/>
      <c r="AG42" s="103"/>
      <c r="AH42" s="103"/>
      <c r="AI42" s="103"/>
      <c r="AJ42" s="103"/>
      <c r="AK42" s="2251"/>
      <c r="AL42" s="103"/>
      <c r="AM42" s="2251"/>
      <c r="AN42" s="103"/>
      <c r="AO42" s="2224"/>
      <c r="AP42" s="103"/>
      <c r="AQ42" s="2251"/>
      <c r="AR42" s="103"/>
      <c r="AS42" s="2251"/>
      <c r="AT42" s="103"/>
      <c r="AU42" s="2251"/>
      <c r="AV42" s="103"/>
      <c r="AW42" s="2251"/>
      <c r="AX42" s="103"/>
      <c r="AY42" s="2251"/>
      <c r="AZ42" s="75">
        <f t="shared" si="0"/>
        <v>0</v>
      </c>
      <c r="BA42" s="2224"/>
      <c r="BB42" s="103"/>
      <c r="BC42" s="2224"/>
      <c r="BD42" s="103"/>
      <c r="BE42" s="2224"/>
      <c r="BF42" s="103"/>
      <c r="BG42" s="2224"/>
      <c r="BH42" s="103"/>
      <c r="BI42" s="2224"/>
      <c r="BJ42" s="103"/>
      <c r="BK42" s="2224"/>
      <c r="BL42" s="103"/>
      <c r="BM42" s="2251"/>
      <c r="BN42" s="97"/>
      <c r="BO42" s="2251"/>
      <c r="BP42" s="97"/>
      <c r="BQ42" s="2251"/>
      <c r="BR42" s="97"/>
      <c r="BS42" s="2251"/>
      <c r="BT42" s="185"/>
      <c r="BU42" s="2251"/>
      <c r="BV42" s="138"/>
      <c r="BW42" s="2251"/>
      <c r="BX42" s="97"/>
      <c r="BY42" s="2251"/>
      <c r="BZ42" s="97"/>
      <c r="CA42" s="2251"/>
      <c r="CB42" s="97"/>
      <c r="CC42" s="2251"/>
      <c r="CD42" s="97"/>
      <c r="CE42" s="2251"/>
      <c r="CF42" s="97"/>
      <c r="CG42" s="2251"/>
      <c r="CH42" s="105"/>
      <c r="CI42" s="2251"/>
      <c r="CJ42" s="97"/>
      <c r="CK42" s="2251"/>
      <c r="CL42" s="97"/>
      <c r="CM42" s="2251"/>
      <c r="CN42" s="73">
        <f t="shared" si="1"/>
        <v>0</v>
      </c>
      <c r="CO42" s="97"/>
      <c r="CP42" s="106"/>
      <c r="CQ42" s="139"/>
      <c r="CR42" s="139"/>
      <c r="CS42" s="139"/>
      <c r="CT42" s="139"/>
      <c r="CU42" s="108"/>
      <c r="CV42" s="2258"/>
      <c r="CW42" s="246"/>
      <c r="CX42" s="231"/>
      <c r="CY42" s="259"/>
      <c r="CZ42" s="257"/>
      <c r="DA42" s="260"/>
      <c r="DB42" s="103"/>
      <c r="DC42" s="261"/>
      <c r="DD42" s="103"/>
      <c r="DE42" s="2251"/>
      <c r="DF42" s="103"/>
      <c r="DG42" s="2251"/>
      <c r="DH42" s="103"/>
      <c r="DI42" s="2251"/>
      <c r="DJ42" s="103"/>
      <c r="DK42" s="2251"/>
      <c r="DL42" s="103"/>
      <c r="DM42" s="215"/>
      <c r="DN42" s="76"/>
      <c r="DO42" s="2251"/>
      <c r="DP42" s="76"/>
      <c r="DQ42" s="2251"/>
      <c r="DR42" s="76"/>
      <c r="DS42" s="2251"/>
      <c r="DT42" s="76"/>
      <c r="DU42" s="2251"/>
      <c r="DV42" s="76"/>
      <c r="DW42" s="215"/>
      <c r="DX42" s="75"/>
      <c r="DY42" s="2251"/>
      <c r="DZ42" s="76"/>
      <c r="EA42" s="2251"/>
      <c r="EB42" s="76"/>
      <c r="EC42" s="2251"/>
      <c r="ED42" s="76"/>
      <c r="EE42" s="2251"/>
      <c r="EF42" s="76"/>
      <c r="EG42" s="2251"/>
      <c r="EH42" s="76"/>
      <c r="EI42" s="2251"/>
      <c r="EJ42" s="76"/>
      <c r="EK42" s="215"/>
      <c r="EL42" s="97"/>
      <c r="EM42" s="2246"/>
      <c r="EN42" s="102"/>
      <c r="EO42" s="2246"/>
      <c r="EP42" s="111"/>
      <c r="EQ42" s="122"/>
      <c r="ER42" s="122"/>
      <c r="ES42" s="258"/>
      <c r="ET42" s="74"/>
      <c r="EU42" s="2251"/>
      <c r="EV42" s="122"/>
      <c r="EW42" s="2251"/>
      <c r="EX42" s="88"/>
      <c r="EY42" s="2251"/>
      <c r="EZ42" s="193"/>
      <c r="FA42" s="2224"/>
      <c r="FB42" s="2251"/>
      <c r="FC42" s="2224"/>
      <c r="FD42" s="2251"/>
      <c r="FE42" s="2224"/>
      <c r="FF42" s="2251"/>
      <c r="FG42" s="102"/>
      <c r="FH42" s="2251"/>
      <c r="FI42" s="102"/>
      <c r="FJ42" s="2251"/>
      <c r="FK42" s="102"/>
      <c r="FL42" s="2251"/>
      <c r="FM42" s="102"/>
      <c r="FN42" s="2251"/>
      <c r="FO42" s="102"/>
      <c r="FP42" s="122"/>
      <c r="FQ42" s="102"/>
      <c r="FR42" s="2251"/>
      <c r="FS42" s="2244"/>
      <c r="FT42" s="2240"/>
      <c r="FU42" s="2233"/>
      <c r="FV42" s="2235"/>
      <c r="FW42" s="2235"/>
      <c r="FX42" s="2233"/>
      <c r="FY42" s="2233"/>
      <c r="FZ42" s="2233"/>
      <c r="GA42" s="2232"/>
      <c r="GB42" s="2233"/>
      <c r="GC42" s="2233"/>
      <c r="GD42" s="2233"/>
      <c r="GE42" s="2232"/>
      <c r="GF42" s="2233"/>
      <c r="GG42" s="2232"/>
      <c r="GH42" s="2232"/>
      <c r="GI42" s="2232"/>
      <c r="GJ42" s="2232"/>
      <c r="GK42" s="2232"/>
      <c r="GL42" s="2235"/>
      <c r="GM42" s="2235"/>
      <c r="GN42" s="2235"/>
      <c r="GO42" s="194"/>
      <c r="GP42" s="112"/>
      <c r="GQ42" s="194"/>
      <c r="GR42" s="112"/>
      <c r="GS42" s="194"/>
      <c r="GT42" s="113"/>
      <c r="GU42" s="114"/>
      <c r="GV42" s="113"/>
      <c r="GW42" s="113"/>
      <c r="GX42" s="113"/>
      <c r="GY42" s="113"/>
      <c r="GZ42" s="112"/>
      <c r="HA42" s="113"/>
      <c r="HB42" s="113"/>
      <c r="HC42" s="2230"/>
    </row>
    <row r="43" spans="1:217" s="91" customFormat="1" ht="18.75">
      <c r="A43" s="216">
        <v>16</v>
      </c>
      <c r="B43" s="262" t="s">
        <v>703</v>
      </c>
      <c r="C43" s="218">
        <v>2853</v>
      </c>
      <c r="D43" s="218">
        <v>22</v>
      </c>
      <c r="E43" s="263">
        <v>2028530022</v>
      </c>
      <c r="F43" s="220">
        <v>10369</v>
      </c>
      <c r="G43" s="221" t="s">
        <v>704</v>
      </c>
      <c r="H43" s="222"/>
      <c r="I43" s="218">
        <v>1.99</v>
      </c>
      <c r="J43" s="218">
        <v>0</v>
      </c>
      <c r="K43" s="218">
        <v>2</v>
      </c>
      <c r="L43" s="218">
        <v>6.5</v>
      </c>
      <c r="M43" s="220">
        <v>20600</v>
      </c>
      <c r="N43" s="220">
        <v>0</v>
      </c>
      <c r="O43" s="220">
        <v>0</v>
      </c>
      <c r="P43" s="220">
        <v>20600</v>
      </c>
      <c r="Q43" s="223">
        <v>0</v>
      </c>
      <c r="R43" s="91" t="s">
        <v>739</v>
      </c>
      <c r="S43" s="214">
        <f>T43</f>
        <v>0</v>
      </c>
      <c r="T43" s="83">
        <v>0</v>
      </c>
      <c r="U43" s="214">
        <f>V43</f>
        <v>20600</v>
      </c>
      <c r="V43" s="111">
        <f>M43</f>
        <v>20600</v>
      </c>
      <c r="W43" s="214">
        <f>X43</f>
        <v>20600</v>
      </c>
      <c r="X43" s="83">
        <f>V43-Z43</f>
        <v>20600</v>
      </c>
      <c r="Y43" s="214">
        <f>Z43</f>
        <v>0</v>
      </c>
      <c r="Z43" s="83">
        <v>0</v>
      </c>
      <c r="AA43" s="214">
        <f>AB43</f>
        <v>0</v>
      </c>
      <c r="AB43" s="83">
        <v>0</v>
      </c>
      <c r="AC43" s="214">
        <f>AD43</f>
        <v>12305</v>
      </c>
      <c r="AD43" s="76">
        <f>V43-(Z43+AB43+AF43+AL43+AN43+AP43+AZ43+AR43+AT43+AV43+AX43)</f>
        <v>12305</v>
      </c>
      <c r="AE43" s="215">
        <f>AF43</f>
        <v>0</v>
      </c>
      <c r="AF43" s="76">
        <f>AI43+AG43</f>
        <v>0</v>
      </c>
      <c r="AG43" s="76">
        <v>0</v>
      </c>
      <c r="AH43" s="76">
        <f>AG43</f>
        <v>0</v>
      </c>
      <c r="AI43" s="76">
        <v>0</v>
      </c>
      <c r="AJ43" s="76">
        <f>AI43</f>
        <v>0</v>
      </c>
      <c r="AK43" s="215">
        <f>AL43</f>
        <v>0</v>
      </c>
      <c r="AL43" s="76">
        <v>0</v>
      </c>
      <c r="AM43" s="215">
        <v>0</v>
      </c>
      <c r="AN43" s="76">
        <v>0</v>
      </c>
      <c r="AO43" s="194">
        <f>AP43</f>
        <v>0</v>
      </c>
      <c r="AP43" s="76">
        <v>0</v>
      </c>
      <c r="AQ43" s="215">
        <f>AR43</f>
        <v>0</v>
      </c>
      <c r="AR43" s="76">
        <v>0</v>
      </c>
      <c r="AS43" s="215">
        <f>AT43</f>
        <v>0</v>
      </c>
      <c r="AT43" s="76">
        <v>0</v>
      </c>
      <c r="AU43" s="215">
        <f>AV43</f>
        <v>0</v>
      </c>
      <c r="AV43" s="76">
        <v>0</v>
      </c>
      <c r="AW43" s="215">
        <f>AX43</f>
        <v>8295</v>
      </c>
      <c r="AX43" s="76">
        <v>8295</v>
      </c>
      <c r="AY43" s="215">
        <f>AZ43</f>
        <v>0</v>
      </c>
      <c r="AZ43" s="75">
        <f t="shared" si="0"/>
        <v>0</v>
      </c>
      <c r="BA43" s="194">
        <f>BB43</f>
        <v>0</v>
      </c>
      <c r="BB43" s="83">
        <v>0</v>
      </c>
      <c r="BC43" s="194">
        <f>BD43</f>
        <v>0</v>
      </c>
      <c r="BD43" s="83">
        <v>0</v>
      </c>
      <c r="BE43" s="194">
        <f>BF43</f>
        <v>0</v>
      </c>
      <c r="BF43" s="83">
        <v>0</v>
      </c>
      <c r="BG43" s="194">
        <f>BH43</f>
        <v>0</v>
      </c>
      <c r="BH43" s="83">
        <v>0</v>
      </c>
      <c r="BI43" s="194">
        <f>BJ43</f>
        <v>0</v>
      </c>
      <c r="BJ43" s="83">
        <v>0</v>
      </c>
      <c r="BK43" s="194">
        <f>BL43</f>
        <v>0</v>
      </c>
      <c r="BL43" s="83">
        <v>0</v>
      </c>
      <c r="BM43" s="215">
        <f>BN43</f>
        <v>20600</v>
      </c>
      <c r="BN43" s="83">
        <f>T43+V43</f>
        <v>20600</v>
      </c>
      <c r="BO43" s="215">
        <f>BP43</f>
        <v>0</v>
      </c>
      <c r="BP43" s="83">
        <f>T43/1000</f>
        <v>0</v>
      </c>
      <c r="BQ43" s="215">
        <f>BR43</f>
        <v>0</v>
      </c>
      <c r="BR43" s="83">
        <v>0</v>
      </c>
      <c r="BS43" s="215">
        <f>BT43</f>
        <v>0</v>
      </c>
      <c r="BT43" s="185">
        <f t="shared" si="3"/>
        <v>0</v>
      </c>
      <c r="BU43" s="215">
        <f>BV43</f>
        <v>70</v>
      </c>
      <c r="BV43" s="225">
        <f>ROUND((X43+AB43+Z43)/1000*3,0)+ROUND((AF43+AX43)/1000,0)+ROUND((ROUND(AL43/400,0))/2.67,0)+ROUND(AP43/250,0)+ROUND(AR43/15000,0)+ROUND((BB43+BD43+BF43+BJ43)/1000*3,0)+ROUND(BP43/25,0)+ROUND('[1]Potential Development Sites'!BS172/50,0)</f>
        <v>70</v>
      </c>
      <c r="BW43" s="215">
        <f>BX43</f>
        <v>0</v>
      </c>
      <c r="BX43" s="83">
        <v>0</v>
      </c>
      <c r="BY43" s="215">
        <f>BZ43</f>
        <v>0</v>
      </c>
      <c r="BZ43" s="83">
        <v>0</v>
      </c>
      <c r="CA43" s="215">
        <f>CB43</f>
        <v>0</v>
      </c>
      <c r="CB43" s="83">
        <v>0</v>
      </c>
      <c r="CC43" s="215">
        <f>CD43</f>
        <v>0</v>
      </c>
      <c r="CD43" s="83">
        <f>AB43/1000</f>
        <v>0</v>
      </c>
      <c r="CE43" s="215">
        <f>CF43</f>
        <v>0</v>
      </c>
      <c r="CF43" s="83">
        <f>AL43/1000</f>
        <v>0</v>
      </c>
      <c r="CG43" s="215">
        <f>CH43</f>
        <v>0</v>
      </c>
      <c r="CH43" s="83">
        <v>0</v>
      </c>
      <c r="CI43" s="215">
        <f>CJ43</f>
        <v>0</v>
      </c>
      <c r="CJ43" s="83">
        <v>0</v>
      </c>
      <c r="CK43" s="215">
        <f>CL43</f>
        <v>0</v>
      </c>
      <c r="CL43" s="83">
        <v>0</v>
      </c>
      <c r="CM43" s="215">
        <f>CN43</f>
        <v>0</v>
      </c>
      <c r="CN43" s="73">
        <f t="shared" si="1"/>
        <v>0</v>
      </c>
      <c r="CO43" s="264"/>
      <c r="CP43" s="227">
        <v>25</v>
      </c>
      <c r="CQ43" s="228" t="s">
        <v>729</v>
      </c>
      <c r="CR43" s="228">
        <v>7.2</v>
      </c>
      <c r="CS43" s="228">
        <v>3.4</v>
      </c>
      <c r="CT43" s="228">
        <v>6.5</v>
      </c>
      <c r="CU43" s="229"/>
      <c r="CV43" s="230" t="s">
        <v>716</v>
      </c>
      <c r="CW43" s="83">
        <f>(CR43*F43)-CZ43</f>
        <v>65843.150000000009</v>
      </c>
      <c r="CX43" s="231">
        <f t="shared" si="8"/>
        <v>65843.150000000009</v>
      </c>
      <c r="CY43" s="232">
        <f>CZ43</f>
        <v>8813.65</v>
      </c>
      <c r="CZ43" s="83">
        <f>1*(F43)-(0.15*1*(F43))</f>
        <v>8813.65</v>
      </c>
      <c r="DA43" s="233">
        <f>DB43</f>
        <v>8813.65</v>
      </c>
      <c r="DB43" s="83">
        <f>CZ43-DD43</f>
        <v>8813.65</v>
      </c>
      <c r="DC43" s="231">
        <f>DD43</f>
        <v>0</v>
      </c>
      <c r="DD43" s="83">
        <v>0</v>
      </c>
      <c r="DE43" s="214">
        <f>DF43</f>
        <v>0</v>
      </c>
      <c r="DF43" s="83">
        <v>0</v>
      </c>
      <c r="DG43" s="214">
        <f>DH43</f>
        <v>8813.65</v>
      </c>
      <c r="DH43" s="83">
        <f>CZ43-(DD43+DF43+DJ43+DL43+DN43+DT43+DV43+DX43)</f>
        <v>8813.65</v>
      </c>
      <c r="DI43" s="214">
        <f>DJ43</f>
        <v>0</v>
      </c>
      <c r="DJ43" s="83">
        <v>0</v>
      </c>
      <c r="DK43" s="214">
        <f>DL43</f>
        <v>0</v>
      </c>
      <c r="DL43" s="83">
        <v>0</v>
      </c>
      <c r="DM43" s="2245">
        <f>DN43</f>
        <v>0</v>
      </c>
      <c r="DN43" s="73">
        <v>0</v>
      </c>
      <c r="DO43" s="214">
        <f>DP43</f>
        <v>0</v>
      </c>
      <c r="DP43" s="73">
        <v>0</v>
      </c>
      <c r="DQ43" s="214">
        <f>DR43</f>
        <v>0</v>
      </c>
      <c r="DR43" s="73">
        <v>0</v>
      </c>
      <c r="DS43" s="214">
        <f>DT43</f>
        <v>0</v>
      </c>
      <c r="DT43" s="73">
        <v>0</v>
      </c>
      <c r="DU43" s="214">
        <f>DV43</f>
        <v>0</v>
      </c>
      <c r="DV43" s="73">
        <v>0</v>
      </c>
      <c r="DW43" s="2245">
        <f>DX43</f>
        <v>0</v>
      </c>
      <c r="DX43" s="75">
        <f t="shared" si="2"/>
        <v>0</v>
      </c>
      <c r="DY43" s="214">
        <f>DZ43</f>
        <v>0</v>
      </c>
      <c r="DZ43" s="75">
        <f>BB43</f>
        <v>0</v>
      </c>
      <c r="EA43" s="214">
        <f>EB43</f>
        <v>0</v>
      </c>
      <c r="EB43" s="75">
        <f>BD43</f>
        <v>0</v>
      </c>
      <c r="EC43" s="214">
        <f>ED43</f>
        <v>0</v>
      </c>
      <c r="ED43" s="75">
        <f>BF43</f>
        <v>0</v>
      </c>
      <c r="EE43" s="214">
        <f>EF43</f>
        <v>0</v>
      </c>
      <c r="EF43" s="75">
        <f>BH43</f>
        <v>0</v>
      </c>
      <c r="EG43" s="214">
        <f>EH43</f>
        <v>0</v>
      </c>
      <c r="EH43" s="75">
        <f>BJ43</f>
        <v>0</v>
      </c>
      <c r="EI43" s="214">
        <f>EJ43</f>
        <v>0</v>
      </c>
      <c r="EJ43" s="75">
        <v>0</v>
      </c>
      <c r="EK43" s="2252">
        <f>EL43</f>
        <v>74656.800000000003</v>
      </c>
      <c r="EL43" s="83">
        <f>CW43+CZ43</f>
        <v>74656.800000000003</v>
      </c>
      <c r="EM43" s="234">
        <f>SUM(EN43)</f>
        <v>65.843150000000009</v>
      </c>
      <c r="EN43" s="111">
        <f>CW43/'A-App Projected Sites '!EP$141</f>
        <v>65.843150000000009</v>
      </c>
      <c r="EO43" s="234">
        <f>EP43</f>
        <v>13.168630000000002</v>
      </c>
      <c r="EP43" s="111">
        <f>0.2*EN43</f>
        <v>13.168630000000002</v>
      </c>
      <c r="EQ43" s="111">
        <f>ER43</f>
        <v>16.460787500000002</v>
      </c>
      <c r="ER43" s="111">
        <f t="shared" ref="ER43" si="12">0.25*EN43</f>
        <v>16.460787500000002</v>
      </c>
      <c r="ES43" s="192">
        <f>ET43</f>
        <v>9</v>
      </c>
      <c r="ET43" s="74">
        <f>FA43+FG43+FQ43</f>
        <v>9</v>
      </c>
      <c r="EU43" s="214">
        <f>EV43</f>
        <v>201.48003900000003</v>
      </c>
      <c r="EV43" s="122">
        <f>3.06*EN43</f>
        <v>201.48003900000003</v>
      </c>
      <c r="EW43" s="214">
        <f>EX43</f>
        <v>29</v>
      </c>
      <c r="EX43" s="88">
        <f>ROUND((DH43+DF43+DD43)/1000*3,0)+ROUND((ROUND(DL43/400,0))/2.67,0)+ROUND(DV43/1000,0)+ROUND((DZ43+EB43+ED43+EH43)/1000*3,0)+ROUND(EN43/25,0)+ROUND(ET43/50,0)</f>
        <v>29</v>
      </c>
      <c r="EY43" s="214" t="str">
        <f>EZ43</f>
        <v>waived</v>
      </c>
      <c r="EZ43" s="193" t="s">
        <v>713</v>
      </c>
      <c r="FA43" s="2223">
        <v>0</v>
      </c>
      <c r="FB43" s="214">
        <f>FC43</f>
        <v>0</v>
      </c>
      <c r="FC43" s="2223">
        <v>0</v>
      </c>
      <c r="FD43" s="214">
        <f>FE43</f>
        <v>0</v>
      </c>
      <c r="FE43" s="2223">
        <v>0</v>
      </c>
      <c r="FF43" s="214">
        <f>FG43</f>
        <v>9</v>
      </c>
      <c r="FG43" s="111">
        <f>ROUND((DH43+DJ43+DD43+DN43+DT43)/1000,0)</f>
        <v>9</v>
      </c>
      <c r="FH43" s="214">
        <f>FI43</f>
        <v>0</v>
      </c>
      <c r="FI43" s="111">
        <f>DF43/1000</f>
        <v>0</v>
      </c>
      <c r="FJ43" s="214">
        <f>FK43</f>
        <v>0</v>
      </c>
      <c r="FK43" s="111">
        <f>((DL43/400)/12)</f>
        <v>0</v>
      </c>
      <c r="FL43" s="214">
        <f>FM43</f>
        <v>0</v>
      </c>
      <c r="FM43" s="111">
        <v>0</v>
      </c>
      <c r="FN43" s="214">
        <f>FO43</f>
        <v>0</v>
      </c>
      <c r="FO43" s="111">
        <v>0</v>
      </c>
      <c r="FP43" s="111">
        <f>FQ43</f>
        <v>0</v>
      </c>
      <c r="FQ43" s="111">
        <f>DX43/1000</f>
        <v>0</v>
      </c>
      <c r="FR43" s="214">
        <f>FS43</f>
        <v>165</v>
      </c>
      <c r="FS43" s="214">
        <v>165</v>
      </c>
      <c r="FT43" s="2240">
        <f>CX43-S43</f>
        <v>65843.150000000009</v>
      </c>
      <c r="FU43" s="2233">
        <f>CY43-U43</f>
        <v>-11786.35</v>
      </c>
      <c r="FV43" s="2235">
        <f>(DC43+DE43+DG43)-(Y43+AA43+AC43+AE43)</f>
        <v>-3491.3500000000004</v>
      </c>
      <c r="FW43" s="2235">
        <f>DG43-AC43</f>
        <v>-3491.3500000000004</v>
      </c>
      <c r="FX43" s="2233">
        <f>DE43-AA43</f>
        <v>0</v>
      </c>
      <c r="FY43" s="2233">
        <f>DC43-Y43</f>
        <v>0</v>
      </c>
      <c r="FZ43" s="2233">
        <f>DJ43-AE43</f>
        <v>0</v>
      </c>
      <c r="GA43" s="235">
        <f>DL43-AL43</f>
        <v>0</v>
      </c>
      <c r="GB43" s="2233">
        <f>DM43-AM43</f>
        <v>0</v>
      </c>
      <c r="GC43" s="2233">
        <f>DP43-AQ43</f>
        <v>0</v>
      </c>
      <c r="GD43" s="2233">
        <f>DR43-AS43</f>
        <v>0</v>
      </c>
      <c r="GE43" s="235">
        <f>DT43-AV43</f>
        <v>0</v>
      </c>
      <c r="GF43" s="2233">
        <f>DV43-AW43</f>
        <v>-8295</v>
      </c>
      <c r="GG43" s="235">
        <f>DZ43-BB43</f>
        <v>0</v>
      </c>
      <c r="GH43" s="235">
        <f>EB43-BD43</f>
        <v>0</v>
      </c>
      <c r="GI43" s="235">
        <f>ED43-BF43</f>
        <v>0</v>
      </c>
      <c r="GJ43" s="235">
        <f>EF43-BH43</f>
        <v>0</v>
      </c>
      <c r="GK43" s="235">
        <f>EH43-BJ43</f>
        <v>0</v>
      </c>
      <c r="GL43" s="2235">
        <f>DW43-AY43</f>
        <v>0</v>
      </c>
      <c r="GM43" s="2235">
        <f>EK43-BM43</f>
        <v>54056.800000000003</v>
      </c>
      <c r="GN43" s="2235">
        <f>EM43-BO43</f>
        <v>65.843150000000009</v>
      </c>
      <c r="GO43" s="2225">
        <f>GP43</f>
        <v>13.168630000000002</v>
      </c>
      <c r="GP43" s="112">
        <f>EP43-BR43</f>
        <v>13.168630000000002</v>
      </c>
      <c r="GQ43" s="2225">
        <f>GR43</f>
        <v>201.48003900000003</v>
      </c>
      <c r="GR43" s="112">
        <f>EV43-BT43</f>
        <v>201.48003900000003</v>
      </c>
      <c r="GS43" s="2225">
        <f>GT43</f>
        <v>-41</v>
      </c>
      <c r="GT43" s="245">
        <f>EX43-BV43</f>
        <v>-41</v>
      </c>
      <c r="GU43" s="114">
        <f>FA43-BX43</f>
        <v>0</v>
      </c>
      <c r="GV43" s="245">
        <f>FI43-CD43</f>
        <v>0</v>
      </c>
      <c r="GW43" s="245">
        <v>0</v>
      </c>
      <c r="GX43" s="245">
        <f>FG43-CB43</f>
        <v>9</v>
      </c>
      <c r="GY43" s="245">
        <f>FK43-CF43</f>
        <v>0</v>
      </c>
      <c r="GZ43" s="112">
        <f>FM43-CH43</f>
        <v>0</v>
      </c>
      <c r="HA43" s="245">
        <f>FO43-CJ43</f>
        <v>0</v>
      </c>
      <c r="HB43" s="245">
        <f>FQ43-CL43</f>
        <v>0</v>
      </c>
      <c r="HC43" s="2230">
        <f>ES43-CM43</f>
        <v>9</v>
      </c>
      <c r="HD43" s="139"/>
      <c r="HE43" s="139"/>
      <c r="HF43" s="228"/>
      <c r="HG43" s="228"/>
      <c r="HH43" s="228"/>
      <c r="HI43" s="228"/>
    </row>
    <row r="44" spans="1:217" s="95" customFormat="1" ht="18.75">
      <c r="A44" s="2263"/>
      <c r="B44" s="236"/>
      <c r="C44" s="132"/>
      <c r="D44" s="132"/>
      <c r="E44" s="265"/>
      <c r="F44" s="134"/>
      <c r="G44" s="135"/>
      <c r="H44" s="136"/>
      <c r="I44" s="132"/>
      <c r="J44" s="132"/>
      <c r="K44" s="132"/>
      <c r="L44" s="132"/>
      <c r="M44" s="134"/>
      <c r="N44" s="134"/>
      <c r="O44" s="134"/>
      <c r="P44" s="134"/>
      <c r="Q44" s="137"/>
      <c r="S44" s="101"/>
      <c r="T44" s="97"/>
      <c r="U44" s="2244"/>
      <c r="V44" s="102"/>
      <c r="W44" s="2244"/>
      <c r="X44" s="97"/>
      <c r="Y44" s="2244"/>
      <c r="Z44" s="97"/>
      <c r="AA44" s="2244"/>
      <c r="AB44" s="97"/>
      <c r="AC44" s="2244"/>
      <c r="AD44" s="103"/>
      <c r="AE44" s="2251"/>
      <c r="AF44" s="103"/>
      <c r="AG44" s="103"/>
      <c r="AH44" s="103"/>
      <c r="AI44" s="103"/>
      <c r="AJ44" s="103"/>
      <c r="AK44" s="2251"/>
      <c r="AL44" s="103"/>
      <c r="AM44" s="2251"/>
      <c r="AN44" s="103"/>
      <c r="AO44" s="2224"/>
      <c r="AP44" s="103"/>
      <c r="AQ44" s="2251"/>
      <c r="AR44" s="103"/>
      <c r="AS44" s="2251"/>
      <c r="AT44" s="103"/>
      <c r="AU44" s="2251"/>
      <c r="AV44" s="103"/>
      <c r="AW44" s="2251"/>
      <c r="AX44" s="103"/>
      <c r="AY44" s="2251"/>
      <c r="AZ44" s="75">
        <f t="shared" si="0"/>
        <v>0</v>
      </c>
      <c r="BA44" s="2224"/>
      <c r="BB44" s="97"/>
      <c r="BC44" s="2224"/>
      <c r="BD44" s="97"/>
      <c r="BE44" s="2224"/>
      <c r="BF44" s="97"/>
      <c r="BG44" s="2224"/>
      <c r="BH44" s="97"/>
      <c r="BI44" s="2224"/>
      <c r="BJ44" s="97"/>
      <c r="BK44" s="2224"/>
      <c r="BL44" s="97"/>
      <c r="BM44" s="2251"/>
      <c r="BN44" s="97"/>
      <c r="BO44" s="2251"/>
      <c r="BP44" s="97"/>
      <c r="BQ44" s="2251"/>
      <c r="BR44" s="97"/>
      <c r="BS44" s="2251"/>
      <c r="BT44" s="185"/>
      <c r="BU44" s="2251"/>
      <c r="BV44" s="138"/>
      <c r="BW44" s="2251"/>
      <c r="BX44" s="97"/>
      <c r="BY44" s="2251"/>
      <c r="BZ44" s="97"/>
      <c r="CA44" s="2251"/>
      <c r="CB44" s="97"/>
      <c r="CC44" s="2251"/>
      <c r="CD44" s="97"/>
      <c r="CE44" s="2251"/>
      <c r="CF44" s="97"/>
      <c r="CG44" s="2251"/>
      <c r="CH44" s="97"/>
      <c r="CI44" s="2251"/>
      <c r="CJ44" s="97"/>
      <c r="CK44" s="2251"/>
      <c r="CL44" s="97"/>
      <c r="CM44" s="2251"/>
      <c r="CN44" s="73">
        <f t="shared" si="1"/>
        <v>0</v>
      </c>
      <c r="CO44" s="266"/>
      <c r="CP44" s="106"/>
      <c r="CQ44" s="139"/>
      <c r="CR44" s="139"/>
      <c r="CS44" s="139"/>
      <c r="CT44" s="139"/>
      <c r="CU44" s="108"/>
      <c r="CV44" s="109"/>
      <c r="CW44" s="97"/>
      <c r="CX44" s="231"/>
      <c r="CY44" s="237"/>
      <c r="CZ44" s="97"/>
      <c r="DA44" s="267"/>
      <c r="DB44" s="97"/>
      <c r="DC44" s="268"/>
      <c r="DD44" s="97"/>
      <c r="DE44" s="2244"/>
      <c r="DF44" s="97"/>
      <c r="DG44" s="2244"/>
      <c r="DH44" s="97"/>
      <c r="DI44" s="2244"/>
      <c r="DJ44" s="97"/>
      <c r="DK44" s="2244"/>
      <c r="DL44" s="97"/>
      <c r="DM44" s="214"/>
      <c r="DN44" s="83"/>
      <c r="DO44" s="2244"/>
      <c r="DP44" s="83"/>
      <c r="DQ44" s="2244"/>
      <c r="DR44" s="83"/>
      <c r="DS44" s="2244"/>
      <c r="DT44" s="83"/>
      <c r="DU44" s="2244"/>
      <c r="DV44" s="83"/>
      <c r="DW44" s="214"/>
      <c r="DX44" s="75"/>
      <c r="DY44" s="2244"/>
      <c r="DZ44" s="76"/>
      <c r="EA44" s="2244"/>
      <c r="EB44" s="76"/>
      <c r="EC44" s="2244"/>
      <c r="ED44" s="76"/>
      <c r="EE44" s="2244"/>
      <c r="EF44" s="76"/>
      <c r="EG44" s="2244"/>
      <c r="EH44" s="76"/>
      <c r="EI44" s="2244"/>
      <c r="EJ44" s="76"/>
      <c r="EK44" s="215"/>
      <c r="EL44" s="97"/>
      <c r="EM44" s="2246"/>
      <c r="EN44" s="102"/>
      <c r="EO44" s="2246"/>
      <c r="EP44" s="102"/>
      <c r="EQ44" s="102"/>
      <c r="ER44" s="102"/>
      <c r="ES44" s="110"/>
      <c r="ET44" s="74"/>
      <c r="EU44" s="2244"/>
      <c r="EV44" s="122"/>
      <c r="EW44" s="2244"/>
      <c r="EX44" s="88"/>
      <c r="EY44" s="2244"/>
      <c r="EZ44" s="2248"/>
      <c r="FA44" s="194"/>
      <c r="FB44" s="2244"/>
      <c r="FC44" s="194"/>
      <c r="FD44" s="2244"/>
      <c r="FE44" s="194"/>
      <c r="FF44" s="2244"/>
      <c r="FG44" s="111"/>
      <c r="FH44" s="2244"/>
      <c r="FI44" s="102"/>
      <c r="FJ44" s="2244"/>
      <c r="FK44" s="102"/>
      <c r="FL44" s="2244"/>
      <c r="FM44" s="102"/>
      <c r="FN44" s="2244"/>
      <c r="FO44" s="102"/>
      <c r="FP44" s="102"/>
      <c r="FQ44" s="102"/>
      <c r="FR44" s="2244"/>
      <c r="FS44" s="2244"/>
      <c r="FT44" s="2240"/>
      <c r="FU44" s="2233"/>
      <c r="FV44" s="2235"/>
      <c r="FW44" s="2235"/>
      <c r="FX44" s="2233"/>
      <c r="FY44" s="2233"/>
      <c r="FZ44" s="2233"/>
      <c r="GA44" s="2232"/>
      <c r="GB44" s="2233"/>
      <c r="GC44" s="2233"/>
      <c r="GD44" s="2233"/>
      <c r="GE44" s="2232"/>
      <c r="GF44" s="2233"/>
      <c r="GG44" s="2232"/>
      <c r="GH44" s="2232"/>
      <c r="GI44" s="2232"/>
      <c r="GJ44" s="2232"/>
      <c r="GK44" s="2232"/>
      <c r="GL44" s="2235"/>
      <c r="GM44" s="2235"/>
      <c r="GN44" s="2235"/>
      <c r="GO44" s="2224"/>
      <c r="GP44" s="112"/>
      <c r="GQ44" s="2224"/>
      <c r="GR44" s="112"/>
      <c r="GS44" s="2224"/>
      <c r="GT44" s="195"/>
      <c r="GU44" s="114"/>
      <c r="GV44" s="195"/>
      <c r="GW44" s="195"/>
      <c r="GX44" s="195"/>
      <c r="GY44" s="195"/>
      <c r="GZ44" s="112"/>
      <c r="HA44" s="195"/>
      <c r="HB44" s="195"/>
      <c r="HC44" s="2230"/>
      <c r="HD44" s="139"/>
      <c r="HE44" s="139"/>
      <c r="HF44" s="139"/>
      <c r="HG44" s="139"/>
      <c r="HH44" s="139"/>
      <c r="HI44" s="139"/>
    </row>
    <row r="45" spans="1:217" s="91" customFormat="1" ht="18.75">
      <c r="A45" s="216">
        <v>17</v>
      </c>
      <c r="B45" s="217" t="s">
        <v>703</v>
      </c>
      <c r="C45" s="218">
        <v>2853</v>
      </c>
      <c r="D45" s="218">
        <v>27</v>
      </c>
      <c r="E45" s="219">
        <v>2028530027</v>
      </c>
      <c r="F45" s="220">
        <v>9631</v>
      </c>
      <c r="G45" s="221" t="s">
        <v>733</v>
      </c>
      <c r="H45" s="222" t="s">
        <v>727</v>
      </c>
      <c r="I45" s="218">
        <v>1</v>
      </c>
      <c r="J45" s="218">
        <v>7.2</v>
      </c>
      <c r="K45" s="218">
        <v>0</v>
      </c>
      <c r="L45" s="218">
        <v>6.5</v>
      </c>
      <c r="M45" s="220">
        <v>9631</v>
      </c>
      <c r="N45" s="220">
        <v>0</v>
      </c>
      <c r="O45" s="220">
        <v>0</v>
      </c>
      <c r="P45" s="220">
        <v>9631</v>
      </c>
      <c r="Q45" s="223">
        <v>0</v>
      </c>
      <c r="R45" s="91" t="s">
        <v>735</v>
      </c>
      <c r="S45" s="214">
        <f>T45</f>
        <v>59712.2</v>
      </c>
      <c r="T45" s="83">
        <f>(J45*F45)-V45</f>
        <v>59712.2</v>
      </c>
      <c r="U45" s="214">
        <f>V45</f>
        <v>9631</v>
      </c>
      <c r="V45" s="228">
        <f>M45</f>
        <v>9631</v>
      </c>
      <c r="W45" s="214">
        <f>X45</f>
        <v>9631</v>
      </c>
      <c r="X45" s="91">
        <f>V45-Z45</f>
        <v>9631</v>
      </c>
      <c r="Y45" s="214">
        <f>Z45</f>
        <v>0</v>
      </c>
      <c r="Z45" s="91">
        <v>0</v>
      </c>
      <c r="AA45" s="214">
        <f>AB45</f>
        <v>0</v>
      </c>
      <c r="AB45" s="91">
        <v>0</v>
      </c>
      <c r="AC45" s="214">
        <f>AD45</f>
        <v>9631</v>
      </c>
      <c r="AD45" s="247">
        <f>V45-(Z45+AB45+AF45+AL45+AN45+AP45+AZ45+AR45+AT45+AV45+AX45)</f>
        <v>9631</v>
      </c>
      <c r="AE45" s="215">
        <f>AF45</f>
        <v>0</v>
      </c>
      <c r="AF45" s="248">
        <v>0</v>
      </c>
      <c r="AG45" s="248">
        <v>0</v>
      </c>
      <c r="AH45" s="76">
        <f>AG45</f>
        <v>0</v>
      </c>
      <c r="AI45" s="248">
        <v>0</v>
      </c>
      <c r="AJ45" s="76">
        <f>AI45</f>
        <v>0</v>
      </c>
      <c r="AK45" s="215">
        <f>AL45</f>
        <v>0</v>
      </c>
      <c r="AL45" s="248">
        <v>0</v>
      </c>
      <c r="AM45" s="249">
        <v>0</v>
      </c>
      <c r="AN45" s="248">
        <v>0</v>
      </c>
      <c r="AO45" s="194">
        <f>AP45</f>
        <v>0</v>
      </c>
      <c r="AP45" s="248">
        <v>0</v>
      </c>
      <c r="AQ45" s="215">
        <f>AR45</f>
        <v>0</v>
      </c>
      <c r="AR45" s="248">
        <v>0</v>
      </c>
      <c r="AS45" s="215">
        <f>AT45</f>
        <v>0</v>
      </c>
      <c r="AT45" s="248">
        <v>0</v>
      </c>
      <c r="AU45" s="215">
        <f>AV45</f>
        <v>0</v>
      </c>
      <c r="AV45" s="248">
        <v>0</v>
      </c>
      <c r="AW45" s="215">
        <f>AX45</f>
        <v>0</v>
      </c>
      <c r="AX45" s="248">
        <v>0</v>
      </c>
      <c r="AY45" s="215">
        <f>AZ45</f>
        <v>0</v>
      </c>
      <c r="AZ45" s="75">
        <f t="shared" si="0"/>
        <v>0</v>
      </c>
      <c r="BA45" s="194">
        <f>BB45</f>
        <v>0</v>
      </c>
      <c r="BB45" s="250">
        <v>0</v>
      </c>
      <c r="BC45" s="194">
        <f>BD45</f>
        <v>0</v>
      </c>
      <c r="BD45" s="250">
        <v>0</v>
      </c>
      <c r="BE45" s="194">
        <f>BF45</f>
        <v>0</v>
      </c>
      <c r="BF45" s="250">
        <v>0</v>
      </c>
      <c r="BG45" s="194">
        <f>BH45</f>
        <v>0</v>
      </c>
      <c r="BH45" s="250">
        <v>0</v>
      </c>
      <c r="BI45" s="194">
        <f>BJ45</f>
        <v>0</v>
      </c>
      <c r="BJ45" s="250">
        <v>0</v>
      </c>
      <c r="BK45" s="194">
        <f>BL45</f>
        <v>0</v>
      </c>
      <c r="BL45" s="250">
        <v>0</v>
      </c>
      <c r="BM45" s="215">
        <f>BN45</f>
        <v>69343</v>
      </c>
      <c r="BN45" s="91">
        <f>ROUND(T45+V45,0)</f>
        <v>69343</v>
      </c>
      <c r="BO45" s="215">
        <f>BP45</f>
        <v>60</v>
      </c>
      <c r="BP45" s="91">
        <f>ROUND(T45/'A-App Projected Sites '!EP$141,0)</f>
        <v>60</v>
      </c>
      <c r="BQ45" s="215">
        <f>BR45</f>
        <v>0</v>
      </c>
      <c r="BR45" s="91">
        <v>0</v>
      </c>
      <c r="BS45" s="215">
        <f>BT45</f>
        <v>184</v>
      </c>
      <c r="BT45" s="185">
        <f t="shared" si="3"/>
        <v>184</v>
      </c>
      <c r="BU45" s="215">
        <f>BV45</f>
        <v>31</v>
      </c>
      <c r="BV45" s="251">
        <f>ROUND((AD45+AB45+Z45)/1000*3,0)+ROUND((AF45+AX45)/1000,0)+ROUND((ROUND(AL45/400,0))/2.67,0)+ROUND(AN45/250,0)+ROUND(AR45/15000,0)+ROUND((BB45+BD45+BF45+BJ45)/1000*3,0)+ROUND(BP45/25,0)+ROUND(CN45/50,0)</f>
        <v>31</v>
      </c>
      <c r="BW45" s="215">
        <f>BX45</f>
        <v>0</v>
      </c>
      <c r="BX45" s="91">
        <v>0</v>
      </c>
      <c r="BY45" s="215">
        <f>BZ45</f>
        <v>0</v>
      </c>
      <c r="BZ45" s="91">
        <v>0</v>
      </c>
      <c r="CA45" s="215">
        <f>CB45</f>
        <v>0</v>
      </c>
      <c r="CB45" s="91">
        <v>0</v>
      </c>
      <c r="CC45" s="215">
        <f>CD45</f>
        <v>0</v>
      </c>
      <c r="CD45" s="91">
        <f>AB45/1000</f>
        <v>0</v>
      </c>
      <c r="CE45" s="215">
        <f>CF45</f>
        <v>0</v>
      </c>
      <c r="CF45" s="91">
        <f>((AL45/400)/12)</f>
        <v>0</v>
      </c>
      <c r="CG45" s="215">
        <f>CH45</f>
        <v>0</v>
      </c>
      <c r="CH45" s="252">
        <f>IFERROR(VLOOKUP(E45,#REF!,3,FALSE),0)</f>
        <v>0</v>
      </c>
      <c r="CI45" s="215">
        <f>CJ45</f>
        <v>0</v>
      </c>
      <c r="CJ45" s="91">
        <v>0</v>
      </c>
      <c r="CK45" s="215">
        <f>CL45</f>
        <v>0</v>
      </c>
      <c r="CL45" s="91">
        <f>IF(BJ45&gt;0,"Calculate",0)</f>
        <v>0</v>
      </c>
      <c r="CM45" s="215">
        <f>CN45</f>
        <v>0</v>
      </c>
      <c r="CN45" s="73">
        <f t="shared" si="1"/>
        <v>0</v>
      </c>
      <c r="CP45" s="253">
        <v>115</v>
      </c>
      <c r="CQ45" s="228" t="s">
        <v>729</v>
      </c>
      <c r="CR45" s="228">
        <v>7.2</v>
      </c>
      <c r="CS45" s="228">
        <v>3.4</v>
      </c>
      <c r="CT45" s="228">
        <v>6.5</v>
      </c>
      <c r="CU45" s="229"/>
      <c r="CV45" s="230" t="s">
        <v>740</v>
      </c>
      <c r="CW45" s="83">
        <f>(CR45*F45)-CZ45</f>
        <v>51525.85</v>
      </c>
      <c r="CX45" s="231">
        <f t="shared" si="8"/>
        <v>51525.85</v>
      </c>
      <c r="CY45" s="232">
        <f>CZ45</f>
        <v>17817.349999999999</v>
      </c>
      <c r="CZ45" s="83">
        <f>2*(F45)-(0.15*1*(F45))</f>
        <v>17817.349999999999</v>
      </c>
      <c r="DA45" s="233">
        <f>DB45</f>
        <v>0.34999999999854481</v>
      </c>
      <c r="DB45" s="83">
        <f>CZ45-DF45</f>
        <v>0.34999999999854481</v>
      </c>
      <c r="DC45" s="231">
        <f>DD45</f>
        <v>0</v>
      </c>
      <c r="DD45" s="91">
        <v>0</v>
      </c>
      <c r="DE45" s="214">
        <f>DF45</f>
        <v>17817</v>
      </c>
      <c r="DF45" s="83">
        <v>17817</v>
      </c>
      <c r="DG45" s="214">
        <f>DH45</f>
        <v>0.34999999999854481</v>
      </c>
      <c r="DH45" s="83">
        <f>CZ45-(DD45+DF45+DJ45+DL45+DN45+DT45+DV45+DX45)</f>
        <v>0.34999999999854481</v>
      </c>
      <c r="DI45" s="214">
        <f>DJ45</f>
        <v>0</v>
      </c>
      <c r="DJ45" s="83">
        <v>0</v>
      </c>
      <c r="DK45" s="214">
        <f>DL45</f>
        <v>0</v>
      </c>
      <c r="DL45" s="83">
        <v>0</v>
      </c>
      <c r="DM45" s="2245">
        <f>DN45</f>
        <v>0</v>
      </c>
      <c r="DN45" s="73">
        <v>0</v>
      </c>
      <c r="DO45" s="214">
        <f>DP45</f>
        <v>0</v>
      </c>
      <c r="DP45" s="73">
        <v>0</v>
      </c>
      <c r="DQ45" s="214">
        <f>DR45</f>
        <v>0</v>
      </c>
      <c r="DR45" s="73">
        <v>0</v>
      </c>
      <c r="DS45" s="214">
        <f>DT45</f>
        <v>0</v>
      </c>
      <c r="DT45" s="73">
        <v>0</v>
      </c>
      <c r="DU45" s="214">
        <f>DV45</f>
        <v>0</v>
      </c>
      <c r="DV45" s="73">
        <v>0</v>
      </c>
      <c r="DW45" s="2245">
        <f>DX45</f>
        <v>0</v>
      </c>
      <c r="DX45" s="75">
        <f t="shared" si="2"/>
        <v>0</v>
      </c>
      <c r="DY45" s="214">
        <f>DZ45</f>
        <v>0</v>
      </c>
      <c r="DZ45" s="75">
        <v>0</v>
      </c>
      <c r="EA45" s="214">
        <f>EB45</f>
        <v>0</v>
      </c>
      <c r="EB45" s="75">
        <v>0</v>
      </c>
      <c r="EC45" s="214">
        <f>ED45</f>
        <v>0</v>
      </c>
      <c r="ED45" s="75">
        <v>0</v>
      </c>
      <c r="EE45" s="214">
        <f>EF45</f>
        <v>0</v>
      </c>
      <c r="EF45" s="75">
        <v>0</v>
      </c>
      <c r="EG45" s="214">
        <f>EH45</f>
        <v>0</v>
      </c>
      <c r="EH45" s="75">
        <v>0</v>
      </c>
      <c r="EI45" s="214">
        <f>EJ45</f>
        <v>0</v>
      </c>
      <c r="EJ45" s="75">
        <v>0</v>
      </c>
      <c r="EK45" s="2252">
        <f>EL45</f>
        <v>69343</v>
      </c>
      <c r="EL45" s="83">
        <f>ROUND(CW45+CZ45,0)</f>
        <v>69343</v>
      </c>
      <c r="EM45" s="234">
        <f>SUM(EN45)</f>
        <v>60</v>
      </c>
      <c r="EN45" s="111">
        <v>60</v>
      </c>
      <c r="EO45" s="234">
        <f>EP45</f>
        <v>60</v>
      </c>
      <c r="EP45" s="111">
        <f>EV$143*EN45</f>
        <v>60</v>
      </c>
      <c r="EQ45" s="111">
        <f>ER45</f>
        <v>60</v>
      </c>
      <c r="ER45" s="111">
        <f>EP45</f>
        <v>60</v>
      </c>
      <c r="ES45" s="192">
        <f>ET45</f>
        <v>0</v>
      </c>
      <c r="ET45" s="74">
        <f>FA45+FG45+FQ45</f>
        <v>0</v>
      </c>
      <c r="EU45" s="214">
        <f>EV45</f>
        <v>183.6</v>
      </c>
      <c r="EV45" s="122">
        <f>3.06*EN45</f>
        <v>183.6</v>
      </c>
      <c r="EW45" s="214">
        <f>EX45</f>
        <v>55</v>
      </c>
      <c r="EX45" s="88">
        <f>ROUND((DH45+DF45+DD45)/1000*3,0)+ROUND((ROUND(DL45/400,0))/2.67,0)+ROUND(DV45/1000,0)+ROUND((DZ45+EB45+ED45+EH45)/1000*3,0)+ROUND(EN45/25,0)+ROUND(ET45/50,0)</f>
        <v>55</v>
      </c>
      <c r="EY45" s="214">
        <f>EZ45</f>
        <v>0</v>
      </c>
      <c r="EZ45" s="254">
        <f>FA45</f>
        <v>0</v>
      </c>
      <c r="FA45" s="194">
        <v>0</v>
      </c>
      <c r="FB45" s="214">
        <f>FC45</f>
        <v>0</v>
      </c>
      <c r="FC45" s="194">
        <v>0</v>
      </c>
      <c r="FD45" s="214">
        <f>FE45</f>
        <v>0</v>
      </c>
      <c r="FE45" s="194">
        <v>0</v>
      </c>
      <c r="FF45" s="214">
        <f>FG45</f>
        <v>0</v>
      </c>
      <c r="FG45" s="111">
        <f>ROUND((DH45+DJ45+DD45+DN45+DT45)/1000,0)</f>
        <v>0</v>
      </c>
      <c r="FH45" s="214">
        <f>FI45</f>
        <v>0</v>
      </c>
      <c r="FI45" s="111">
        <v>0</v>
      </c>
      <c r="FJ45" s="214">
        <f>FK45</f>
        <v>0</v>
      </c>
      <c r="FK45" s="111">
        <f>((DL45/400)/12)</f>
        <v>0</v>
      </c>
      <c r="FL45" s="214">
        <f>FM45</f>
        <v>0</v>
      </c>
      <c r="FM45" s="111">
        <v>0</v>
      </c>
      <c r="FN45" s="214">
        <f>FO45</f>
        <v>0</v>
      </c>
      <c r="FO45" s="111">
        <v>0</v>
      </c>
      <c r="FP45" s="111">
        <f>FQ45</f>
        <v>0</v>
      </c>
      <c r="FQ45" s="111">
        <f>IF(DX45&gt;0,"Calculate",0)</f>
        <v>0</v>
      </c>
      <c r="FR45" s="214">
        <f>FS45</f>
        <v>145</v>
      </c>
      <c r="FS45" s="214">
        <v>145</v>
      </c>
      <c r="FT45" s="2240">
        <f>CX45-S45</f>
        <v>-8186.3499999999985</v>
      </c>
      <c r="FU45" s="2233">
        <f>CY45-U45</f>
        <v>8186.3499999999985</v>
      </c>
      <c r="FV45" s="2235">
        <f>(DC45+DE45+DG45)-(Y45+AA45+AC45+AE45)</f>
        <v>8186.3499999999985</v>
      </c>
      <c r="FW45" s="2235">
        <f>DG45-AC45</f>
        <v>-9630.6500000000015</v>
      </c>
      <c r="FX45" s="2233">
        <f>DE45-AA45</f>
        <v>17817</v>
      </c>
      <c r="FY45" s="2233">
        <f>DC45-Y45</f>
        <v>0</v>
      </c>
      <c r="FZ45" s="2233">
        <f>DJ45-AE45</f>
        <v>0</v>
      </c>
      <c r="GA45" s="235">
        <f>DL45-AL45</f>
        <v>0</v>
      </c>
      <c r="GB45" s="2233">
        <f>DM45-AM45</f>
        <v>0</v>
      </c>
      <c r="GC45" s="2233">
        <f>DP45-AQ45</f>
        <v>0</v>
      </c>
      <c r="GD45" s="2233">
        <f>DR45-AS45</f>
        <v>0</v>
      </c>
      <c r="GE45" s="235">
        <f>DT45-AV45</f>
        <v>0</v>
      </c>
      <c r="GF45" s="2233">
        <f>DV45-AW45</f>
        <v>0</v>
      </c>
      <c r="GG45" s="235">
        <f>DZ45-BB45</f>
        <v>0</v>
      </c>
      <c r="GH45" s="235">
        <f>EB45-BD45</f>
        <v>0</v>
      </c>
      <c r="GI45" s="235">
        <f>ED45-BF45</f>
        <v>0</v>
      </c>
      <c r="GJ45" s="235">
        <f>EF45-BH45</f>
        <v>0</v>
      </c>
      <c r="GK45" s="235">
        <f>EH45-BJ45</f>
        <v>0</v>
      </c>
      <c r="GL45" s="2235">
        <f>DW45-AY45</f>
        <v>0</v>
      </c>
      <c r="GM45" s="2235">
        <f>EK45-BM45</f>
        <v>0</v>
      </c>
      <c r="GN45" s="2235">
        <f>EM45-BO45</f>
        <v>0</v>
      </c>
      <c r="GO45" s="255">
        <f>GP45</f>
        <v>60</v>
      </c>
      <c r="GP45" s="112">
        <f>EP45-BR45</f>
        <v>60</v>
      </c>
      <c r="GQ45" s="255">
        <f>GR45</f>
        <v>-0.40000000000000568</v>
      </c>
      <c r="GR45" s="245">
        <f>EV45-BT45</f>
        <v>-0.40000000000000568</v>
      </c>
      <c r="GS45" s="255">
        <f>GT45</f>
        <v>24</v>
      </c>
      <c r="GT45" s="245">
        <f>EX45-BV45</f>
        <v>24</v>
      </c>
      <c r="GU45" s="187">
        <f>FA45-BX45</f>
        <v>0</v>
      </c>
      <c r="GV45" s="245">
        <f>FI45-CD45</f>
        <v>0</v>
      </c>
      <c r="GW45" s="245">
        <v>0</v>
      </c>
      <c r="GX45" s="245">
        <f>FG45-CB45</f>
        <v>0</v>
      </c>
      <c r="GY45" s="245">
        <f>FK45-CF45</f>
        <v>0</v>
      </c>
      <c r="GZ45" s="245">
        <f>FM45-CH45</f>
        <v>0</v>
      </c>
      <c r="HA45" s="269">
        <f>FO45-CJ45</f>
        <v>0</v>
      </c>
      <c r="HB45" s="269">
        <f>FQ45-CL45</f>
        <v>0</v>
      </c>
      <c r="HC45" s="2230">
        <f>ES45-CM45</f>
        <v>0</v>
      </c>
      <c r="HD45" s="95"/>
      <c r="HE45" s="95"/>
    </row>
    <row r="46" spans="1:217" s="95" customFormat="1" ht="18.75">
      <c r="A46" s="216"/>
      <c r="B46" s="217"/>
      <c r="C46" s="132"/>
      <c r="D46" s="132"/>
      <c r="E46" s="133"/>
      <c r="F46" s="134"/>
      <c r="G46" s="135"/>
      <c r="H46" s="136"/>
      <c r="I46" s="132"/>
      <c r="J46" s="132"/>
      <c r="K46" s="132"/>
      <c r="L46" s="132"/>
      <c r="M46" s="134"/>
      <c r="N46" s="134"/>
      <c r="O46" s="134"/>
      <c r="P46" s="134"/>
      <c r="Q46" s="137"/>
      <c r="S46" s="101"/>
      <c r="T46" s="97"/>
      <c r="U46" s="2244"/>
      <c r="V46" s="139"/>
      <c r="W46" s="214"/>
      <c r="Y46" s="101"/>
      <c r="AA46" s="214"/>
      <c r="AC46" s="101"/>
      <c r="AD46" s="270"/>
      <c r="AE46" s="271"/>
      <c r="AF46" s="270"/>
      <c r="AG46" s="270"/>
      <c r="AH46" s="270"/>
      <c r="AI46" s="270"/>
      <c r="AJ46" s="270"/>
      <c r="AK46" s="271"/>
      <c r="AL46" s="270"/>
      <c r="AM46" s="271"/>
      <c r="AN46" s="270"/>
      <c r="AO46" s="272"/>
      <c r="AP46" s="270"/>
      <c r="AQ46" s="271"/>
      <c r="AR46" s="270"/>
      <c r="AS46" s="271"/>
      <c r="AT46" s="270"/>
      <c r="AU46" s="271"/>
      <c r="AV46" s="270"/>
      <c r="AW46" s="271"/>
      <c r="AX46" s="270"/>
      <c r="AY46" s="271"/>
      <c r="AZ46" s="75">
        <f t="shared" si="0"/>
        <v>0</v>
      </c>
      <c r="BA46" s="272"/>
      <c r="BB46" s="273"/>
      <c r="BC46" s="272"/>
      <c r="BD46" s="273"/>
      <c r="BE46" s="272"/>
      <c r="BF46" s="273"/>
      <c r="BG46" s="272"/>
      <c r="BH46" s="273"/>
      <c r="BI46" s="272"/>
      <c r="BJ46" s="273"/>
      <c r="BK46" s="272"/>
      <c r="BL46" s="273"/>
      <c r="BM46" s="271"/>
      <c r="BO46" s="271"/>
      <c r="BQ46" s="271"/>
      <c r="BS46" s="271"/>
      <c r="BT46" s="185"/>
      <c r="BU46" s="271"/>
      <c r="BV46" s="274"/>
      <c r="BW46" s="271"/>
      <c r="BY46" s="271"/>
      <c r="CA46" s="271"/>
      <c r="CC46" s="271"/>
      <c r="CE46" s="271"/>
      <c r="CG46" s="271"/>
      <c r="CH46" s="275"/>
      <c r="CI46" s="271"/>
      <c r="CK46" s="271"/>
      <c r="CM46" s="271"/>
      <c r="CN46" s="73">
        <f t="shared" si="1"/>
        <v>0</v>
      </c>
      <c r="CP46" s="2255"/>
      <c r="CQ46" s="139"/>
      <c r="CR46" s="139"/>
      <c r="CS46" s="139"/>
      <c r="CT46" s="139"/>
      <c r="CU46" s="108"/>
      <c r="CV46" s="2258"/>
      <c r="CW46" s="97"/>
      <c r="CX46" s="231"/>
      <c r="CY46" s="237"/>
      <c r="CZ46" s="97"/>
      <c r="DA46" s="267"/>
      <c r="DB46" s="97"/>
      <c r="DC46" s="231"/>
      <c r="DE46" s="101"/>
      <c r="DF46" s="97"/>
      <c r="DG46" s="101"/>
      <c r="DH46" s="97"/>
      <c r="DI46" s="101"/>
      <c r="DJ46" s="97"/>
      <c r="DK46" s="101"/>
      <c r="DL46" s="97"/>
      <c r="DM46" s="214"/>
      <c r="DN46" s="83"/>
      <c r="DO46" s="101"/>
      <c r="DP46" s="83"/>
      <c r="DQ46" s="101"/>
      <c r="DR46" s="83"/>
      <c r="DS46" s="101"/>
      <c r="DT46" s="83"/>
      <c r="DU46" s="101"/>
      <c r="DV46" s="83"/>
      <c r="DW46" s="214"/>
      <c r="DX46" s="75"/>
      <c r="DY46" s="101"/>
      <c r="DZ46" s="76"/>
      <c r="EA46" s="101"/>
      <c r="EB46" s="76"/>
      <c r="EC46" s="101"/>
      <c r="ED46" s="76"/>
      <c r="EE46" s="101"/>
      <c r="EF46" s="76"/>
      <c r="EG46" s="101"/>
      <c r="EH46" s="76"/>
      <c r="EI46" s="101"/>
      <c r="EJ46" s="76"/>
      <c r="EK46" s="215"/>
      <c r="EL46" s="97"/>
      <c r="EM46" s="2246"/>
      <c r="EN46" s="102"/>
      <c r="EO46" s="2246"/>
      <c r="EP46" s="102"/>
      <c r="EQ46" s="102"/>
      <c r="ER46" s="102"/>
      <c r="ES46" s="110"/>
      <c r="ET46" s="74"/>
      <c r="EU46" s="101"/>
      <c r="EV46" s="122"/>
      <c r="EW46" s="101"/>
      <c r="EX46" s="88"/>
      <c r="EY46" s="101"/>
      <c r="EZ46" s="276"/>
      <c r="FA46" s="2224"/>
      <c r="FB46" s="101"/>
      <c r="FC46" s="2224"/>
      <c r="FD46" s="101"/>
      <c r="FE46" s="2224"/>
      <c r="FF46" s="101"/>
      <c r="FG46" s="102"/>
      <c r="FH46" s="101"/>
      <c r="FI46" s="102"/>
      <c r="FJ46" s="101"/>
      <c r="FK46" s="102"/>
      <c r="FL46" s="101"/>
      <c r="FM46" s="102"/>
      <c r="FN46" s="101"/>
      <c r="FO46" s="102"/>
      <c r="FP46" s="102"/>
      <c r="FQ46" s="102"/>
      <c r="FR46" s="101"/>
      <c r="FS46" s="2244"/>
      <c r="FT46" s="2240"/>
      <c r="FU46" s="2233"/>
      <c r="FV46" s="2235"/>
      <c r="FW46" s="2235"/>
      <c r="FX46" s="2233"/>
      <c r="FY46" s="2233"/>
      <c r="FZ46" s="2233"/>
      <c r="GA46" s="2232"/>
      <c r="GB46" s="2233"/>
      <c r="GC46" s="2233"/>
      <c r="GD46" s="2233"/>
      <c r="GE46" s="2232"/>
      <c r="GF46" s="2233"/>
      <c r="GG46" s="2232"/>
      <c r="GH46" s="2232"/>
      <c r="GI46" s="2232"/>
      <c r="GJ46" s="2232"/>
      <c r="GK46" s="2232"/>
      <c r="GL46" s="2235"/>
      <c r="GM46" s="2235"/>
      <c r="GN46" s="2235"/>
      <c r="GO46" s="277"/>
      <c r="GP46" s="112"/>
      <c r="GQ46" s="277"/>
      <c r="GR46" s="245"/>
      <c r="GS46" s="277"/>
      <c r="GT46" s="195"/>
      <c r="GU46" s="187"/>
      <c r="GV46" s="195"/>
      <c r="GW46" s="195"/>
      <c r="GX46" s="195"/>
      <c r="GY46" s="195"/>
      <c r="GZ46" s="245"/>
      <c r="HA46" s="278"/>
      <c r="HB46" s="278"/>
      <c r="HC46" s="2230"/>
    </row>
    <row r="47" spans="1:217" s="91" customFormat="1" ht="18.75">
      <c r="A47" s="216">
        <v>18</v>
      </c>
      <c r="B47" s="217" t="s">
        <v>703</v>
      </c>
      <c r="C47" s="218">
        <v>2861</v>
      </c>
      <c r="D47" s="218">
        <v>163</v>
      </c>
      <c r="E47" s="218">
        <v>2028610163</v>
      </c>
      <c r="F47" s="220">
        <v>15635</v>
      </c>
      <c r="G47" s="221" t="s">
        <v>726</v>
      </c>
      <c r="H47" s="222" t="s">
        <v>706</v>
      </c>
      <c r="I47" s="218">
        <v>1.1499999999999999</v>
      </c>
      <c r="J47" s="218">
        <v>3.44</v>
      </c>
      <c r="K47" s="218">
        <v>0</v>
      </c>
      <c r="L47" s="218">
        <v>4.8</v>
      </c>
      <c r="M47" s="220">
        <v>800</v>
      </c>
      <c r="N47" s="220">
        <v>0</v>
      </c>
      <c r="O47" s="220">
        <v>0</v>
      </c>
      <c r="P47" s="220">
        <v>18000</v>
      </c>
      <c r="Q47" s="223">
        <v>40</v>
      </c>
      <c r="R47" s="91" t="s">
        <v>731</v>
      </c>
      <c r="S47" s="214">
        <f>T47</f>
        <v>17200</v>
      </c>
      <c r="T47" s="111">
        <v>17200</v>
      </c>
      <c r="U47" s="214">
        <f>V47</f>
        <v>800</v>
      </c>
      <c r="V47" s="228">
        <v>800</v>
      </c>
      <c r="W47" s="214">
        <f>X47</f>
        <v>800</v>
      </c>
      <c r="X47" s="83">
        <v>800</v>
      </c>
      <c r="Y47" s="214">
        <f>Z47</f>
        <v>0</v>
      </c>
      <c r="Z47" s="248">
        <v>0</v>
      </c>
      <c r="AA47" s="214">
        <f>AB47</f>
        <v>0</v>
      </c>
      <c r="AB47" s="248">
        <v>0</v>
      </c>
      <c r="AC47" s="214">
        <f>AD47</f>
        <v>0</v>
      </c>
      <c r="AD47" s="248">
        <v>0</v>
      </c>
      <c r="AE47" s="215">
        <f>AF47</f>
        <v>0</v>
      </c>
      <c r="AF47" s="248">
        <v>0</v>
      </c>
      <c r="AG47" s="248">
        <v>0</v>
      </c>
      <c r="AH47" s="76">
        <f>AG47</f>
        <v>0</v>
      </c>
      <c r="AI47" s="248">
        <v>0</v>
      </c>
      <c r="AJ47" s="76">
        <f>AI47</f>
        <v>0</v>
      </c>
      <c r="AK47" s="215">
        <f>AL47</f>
        <v>0</v>
      </c>
      <c r="AL47" s="248">
        <v>0</v>
      </c>
      <c r="AM47" s="249">
        <v>0</v>
      </c>
      <c r="AN47" s="248">
        <v>0</v>
      </c>
      <c r="AO47" s="194">
        <f>AP47</f>
        <v>0</v>
      </c>
      <c r="AP47" s="248">
        <v>0</v>
      </c>
      <c r="AQ47" s="215">
        <f>AR47</f>
        <v>0</v>
      </c>
      <c r="AR47" s="248">
        <v>0</v>
      </c>
      <c r="AS47" s="215">
        <f>AT47</f>
        <v>0</v>
      </c>
      <c r="AT47" s="248">
        <v>0</v>
      </c>
      <c r="AU47" s="215">
        <f>AV47</f>
        <v>0</v>
      </c>
      <c r="AV47" s="248">
        <v>0</v>
      </c>
      <c r="AW47" s="215">
        <f>AX47</f>
        <v>0</v>
      </c>
      <c r="AX47" s="248">
        <v>0</v>
      </c>
      <c r="AY47" s="215">
        <f>AZ47</f>
        <v>800</v>
      </c>
      <c r="AZ47" s="75">
        <f t="shared" si="0"/>
        <v>800</v>
      </c>
      <c r="BA47" s="194">
        <f>BB47</f>
        <v>0</v>
      </c>
      <c r="BB47" s="91">
        <v>0</v>
      </c>
      <c r="BC47" s="194">
        <f>BD47</f>
        <v>0</v>
      </c>
      <c r="BD47" s="91">
        <v>0</v>
      </c>
      <c r="BE47" s="194">
        <f>BF47</f>
        <v>0</v>
      </c>
      <c r="BF47" s="91">
        <v>0</v>
      </c>
      <c r="BG47" s="194">
        <f>BH47</f>
        <v>800</v>
      </c>
      <c r="BH47" s="91">
        <v>800</v>
      </c>
      <c r="BI47" s="194">
        <f>BJ47</f>
        <v>0</v>
      </c>
      <c r="BJ47" s="91">
        <v>0</v>
      </c>
      <c r="BK47" s="194">
        <f>BL47</f>
        <v>0</v>
      </c>
      <c r="BL47" s="91">
        <v>0</v>
      </c>
      <c r="BM47" s="215">
        <f>BN47</f>
        <v>18000</v>
      </c>
      <c r="BN47" s="83">
        <f>T47+V47</f>
        <v>18000</v>
      </c>
      <c r="BO47" s="215">
        <f>BP47</f>
        <v>40</v>
      </c>
      <c r="BP47" s="91">
        <v>40</v>
      </c>
      <c r="BQ47" s="215">
        <f>BR47</f>
        <v>0</v>
      </c>
      <c r="BR47" s="91">
        <v>0</v>
      </c>
      <c r="BS47" s="215">
        <f>BT47</f>
        <v>122</v>
      </c>
      <c r="BT47" s="185">
        <f t="shared" si="3"/>
        <v>122</v>
      </c>
      <c r="BU47" s="215">
        <f>BV47</f>
        <v>2</v>
      </c>
      <c r="BV47" s="225">
        <f>ROUND((AF47+AB47+Z47)/1000*3,0)+ROUND((AG47+AX47)/1000,0)+ROUND((ROUND(AN47/400,0))/2.67,0)+ROUND(AD47/250,0)+ROUND(AR47/15000,0)+ROUND((BB47+BD47+BF47+BJ47)/1000*3,0)+ROUND(BP47/25,0)+ROUND(CN47/50,0)</f>
        <v>2</v>
      </c>
      <c r="BW47" s="215">
        <f>BX47</f>
        <v>0</v>
      </c>
      <c r="BX47" s="91">
        <v>0</v>
      </c>
      <c r="BY47" s="215">
        <f>BZ47</f>
        <v>0</v>
      </c>
      <c r="BZ47" s="91">
        <v>0</v>
      </c>
      <c r="CA47" s="215">
        <f>CB47</f>
        <v>0</v>
      </c>
      <c r="CB47" s="91">
        <v>0</v>
      </c>
      <c r="CC47" s="215">
        <f>CD47</f>
        <v>0</v>
      </c>
      <c r="CD47" s="91">
        <v>0</v>
      </c>
      <c r="CE47" s="215">
        <f>CF47</f>
        <v>0</v>
      </c>
      <c r="CF47" s="91">
        <v>0</v>
      </c>
      <c r="CG47" s="215">
        <f>CH47</f>
        <v>0</v>
      </c>
      <c r="CH47" s="91">
        <v>0</v>
      </c>
      <c r="CI47" s="215">
        <f>CJ47</f>
        <v>0</v>
      </c>
      <c r="CJ47" s="91">
        <v>0</v>
      </c>
      <c r="CK47" s="215">
        <f>CL47</f>
        <v>0</v>
      </c>
      <c r="CL47" s="91">
        <v>0</v>
      </c>
      <c r="CM47" s="215">
        <f>CN47</f>
        <v>0</v>
      </c>
      <c r="CN47" s="73">
        <f t="shared" si="1"/>
        <v>0</v>
      </c>
      <c r="CP47" s="253">
        <v>20</v>
      </c>
      <c r="CQ47" s="228" t="s">
        <v>741</v>
      </c>
      <c r="CR47" s="228">
        <v>7.2</v>
      </c>
      <c r="CS47" s="228">
        <v>2</v>
      </c>
      <c r="CT47" s="228">
        <v>4.2</v>
      </c>
      <c r="CU47" s="229" t="s">
        <v>706</v>
      </c>
      <c r="CV47" s="230" t="s">
        <v>716</v>
      </c>
      <c r="CW47" s="83">
        <f>(CR47*F47)-CZ47</f>
        <v>99282.25</v>
      </c>
      <c r="CX47" s="231">
        <f>CW47</f>
        <v>99282.25</v>
      </c>
      <c r="CY47" s="232">
        <f>CZ47</f>
        <v>13289.75</v>
      </c>
      <c r="CZ47" s="83">
        <f>1*(F47)-(0.15*1*(F47))</f>
        <v>13289.75</v>
      </c>
      <c r="DA47" s="233">
        <f>DB47</f>
        <v>13289.75</v>
      </c>
      <c r="DB47" s="83">
        <f>CZ47-DD47</f>
        <v>13289.75</v>
      </c>
      <c r="DC47" s="84">
        <f>DD47</f>
        <v>0</v>
      </c>
      <c r="DD47" s="83">
        <v>0</v>
      </c>
      <c r="DE47" s="214">
        <f>DF47</f>
        <v>0</v>
      </c>
      <c r="DF47" s="83">
        <v>0</v>
      </c>
      <c r="DG47" s="214">
        <f>DH47</f>
        <v>12489.75</v>
      </c>
      <c r="DH47" s="83">
        <f>CZ47-(DD47+DF47+DJ47+DL47+DN47+DT47+DV47+DX47)</f>
        <v>12489.75</v>
      </c>
      <c r="DI47" s="214">
        <f>DJ47</f>
        <v>0</v>
      </c>
      <c r="DJ47" s="83">
        <v>0</v>
      </c>
      <c r="DK47" s="214">
        <f>DL47</f>
        <v>0</v>
      </c>
      <c r="DL47" s="83">
        <v>0</v>
      </c>
      <c r="DM47" s="2245">
        <f>DN47</f>
        <v>0</v>
      </c>
      <c r="DN47" s="73">
        <v>0</v>
      </c>
      <c r="DO47" s="214">
        <f>DP47</f>
        <v>0</v>
      </c>
      <c r="DP47" s="73">
        <v>0</v>
      </c>
      <c r="DQ47" s="214">
        <f>DR47</f>
        <v>0</v>
      </c>
      <c r="DR47" s="73">
        <v>0</v>
      </c>
      <c r="DS47" s="214">
        <f>DT47</f>
        <v>0</v>
      </c>
      <c r="DT47" s="73">
        <v>0</v>
      </c>
      <c r="DU47" s="214">
        <f>DV47</f>
        <v>0</v>
      </c>
      <c r="DV47" s="73">
        <v>0</v>
      </c>
      <c r="DW47" s="2245">
        <f>DX47</f>
        <v>800</v>
      </c>
      <c r="DX47" s="75">
        <f t="shared" si="2"/>
        <v>800</v>
      </c>
      <c r="DY47" s="214">
        <f>DZ47</f>
        <v>0</v>
      </c>
      <c r="DZ47" s="75">
        <f>BB47</f>
        <v>0</v>
      </c>
      <c r="EA47" s="214">
        <f>EB47</f>
        <v>0</v>
      </c>
      <c r="EB47" s="75">
        <f>BD47</f>
        <v>0</v>
      </c>
      <c r="EC47" s="214">
        <f>ED47</f>
        <v>0</v>
      </c>
      <c r="ED47" s="75">
        <f>BF47</f>
        <v>0</v>
      </c>
      <c r="EE47" s="214">
        <f>EF47</f>
        <v>800</v>
      </c>
      <c r="EF47" s="75">
        <f>BH47</f>
        <v>800</v>
      </c>
      <c r="EG47" s="214">
        <f>EH47</f>
        <v>0</v>
      </c>
      <c r="EH47" s="75">
        <f>BJ47</f>
        <v>0</v>
      </c>
      <c r="EI47" s="214">
        <f>EJ47</f>
        <v>0</v>
      </c>
      <c r="EJ47" s="75">
        <v>0</v>
      </c>
      <c r="EK47" s="2252">
        <f>EL47</f>
        <v>112572</v>
      </c>
      <c r="EL47" s="83">
        <f>CW47+CZ47</f>
        <v>112572</v>
      </c>
      <c r="EM47" s="234">
        <f>SUM(EN47)</f>
        <v>99.282250000000005</v>
      </c>
      <c r="EN47" s="111">
        <f>CW47/1000</f>
        <v>99.282250000000005</v>
      </c>
      <c r="EO47" s="234">
        <f>EP47</f>
        <v>49.641125000000002</v>
      </c>
      <c r="EP47" s="111">
        <f>0.5*EN47</f>
        <v>49.641125000000002</v>
      </c>
      <c r="EQ47" s="111">
        <f>ER47</f>
        <v>49.641125000000002</v>
      </c>
      <c r="ER47" s="111">
        <f>EP47</f>
        <v>49.641125000000002</v>
      </c>
      <c r="ES47" s="192">
        <f>ET47</f>
        <v>32.346200000000003</v>
      </c>
      <c r="ET47" s="74">
        <f>FA47+FG47+FQ47</f>
        <v>32.346200000000003</v>
      </c>
      <c r="EU47" s="214">
        <f>EV47</f>
        <v>303.80368500000003</v>
      </c>
      <c r="EV47" s="122">
        <f>3.06*EN47</f>
        <v>303.80368500000003</v>
      </c>
      <c r="EW47" s="214">
        <f>EX47</f>
        <v>42</v>
      </c>
      <c r="EX47" s="88">
        <f>ROUND((DH47+DF47+DD47)/1000*3,0)+ROUND((ROUND(DL47/400,0))/2.67,0)+ROUND(DV47/1000,0)+ROUND((DZ47+EB47+ED47+EH47)/1000*3,0)+ROUND(EN47/25,0)+ROUND(ET47/50,0)</f>
        <v>42</v>
      </c>
      <c r="EY47" s="214">
        <f>EZ47</f>
        <v>19.856450000000002</v>
      </c>
      <c r="EZ47" s="254">
        <f>FA47</f>
        <v>19.856450000000002</v>
      </c>
      <c r="FA47" s="194">
        <f>(0.5*EN47)*0.4</f>
        <v>19.856450000000002</v>
      </c>
      <c r="FB47" s="214">
        <f>FC47</f>
        <v>0</v>
      </c>
      <c r="FC47" s="194">
        <v>0</v>
      </c>
      <c r="FD47" s="214">
        <f>FE47</f>
        <v>0</v>
      </c>
      <c r="FE47" s="194">
        <v>0</v>
      </c>
      <c r="FF47" s="214">
        <f>FG47</f>
        <v>12.489750000000001</v>
      </c>
      <c r="FG47" s="279">
        <f>SUM(DJ47,DD47,DH47,DN47,DT47)/1000</f>
        <v>12.489750000000001</v>
      </c>
      <c r="FH47" s="214">
        <f>FI47</f>
        <v>0</v>
      </c>
      <c r="FI47" s="111">
        <v>0</v>
      </c>
      <c r="FJ47" s="214">
        <f>FK47</f>
        <v>0</v>
      </c>
      <c r="FK47" s="111">
        <v>0</v>
      </c>
      <c r="FL47" s="214">
        <f>FM47</f>
        <v>0</v>
      </c>
      <c r="FM47" s="111">
        <v>0</v>
      </c>
      <c r="FN47" s="214">
        <f>FO47</f>
        <v>0</v>
      </c>
      <c r="FO47" s="111">
        <v>0</v>
      </c>
      <c r="FP47" s="111">
        <f>FQ47</f>
        <v>0</v>
      </c>
      <c r="FQ47" s="111">
        <v>0</v>
      </c>
      <c r="FR47" s="214">
        <f>FS47</f>
        <v>165</v>
      </c>
      <c r="FS47" s="214">
        <v>165</v>
      </c>
      <c r="FT47" s="2240">
        <f>CX47-S47</f>
        <v>82082.25</v>
      </c>
      <c r="FU47" s="2233">
        <f>CY47-U47</f>
        <v>12489.75</v>
      </c>
      <c r="FV47" s="2235">
        <f>(DC47+DE47+DG47)-(Y47+AA47+AC47+AE47)</f>
        <v>12489.75</v>
      </c>
      <c r="FW47" s="2235">
        <f>DG47-AC47</f>
        <v>12489.75</v>
      </c>
      <c r="FX47" s="2233">
        <f>DE47-AA47</f>
        <v>0</v>
      </c>
      <c r="FY47" s="2233">
        <f>DC47-Y47</f>
        <v>0</v>
      </c>
      <c r="FZ47" s="2233">
        <f>DJ47-AE47</f>
        <v>0</v>
      </c>
      <c r="GA47" s="235">
        <f>DL47-AL47</f>
        <v>0</v>
      </c>
      <c r="GB47" s="2233">
        <f>DM47-AM47</f>
        <v>0</v>
      </c>
      <c r="GC47" s="2233">
        <f>DP47-AQ47</f>
        <v>0</v>
      </c>
      <c r="GD47" s="2233">
        <f>DR47-AS47</f>
        <v>0</v>
      </c>
      <c r="GE47" s="235">
        <f>DT47-AV47</f>
        <v>0</v>
      </c>
      <c r="GF47" s="2233">
        <f>DV47-AW47</f>
        <v>0</v>
      </c>
      <c r="GG47" s="235">
        <f>DZ47-BB47</f>
        <v>0</v>
      </c>
      <c r="GH47" s="235">
        <f>EB47-BD47</f>
        <v>0</v>
      </c>
      <c r="GI47" s="235">
        <f>ED47-BF47</f>
        <v>0</v>
      </c>
      <c r="GJ47" s="235">
        <f>EF47-BH47</f>
        <v>0</v>
      </c>
      <c r="GK47" s="235">
        <f>EH47-BJ47</f>
        <v>0</v>
      </c>
      <c r="GL47" s="2235">
        <f>DW47-AY47</f>
        <v>0</v>
      </c>
      <c r="GM47" s="2235">
        <f>EK47-BM47</f>
        <v>94572</v>
      </c>
      <c r="GN47" s="2235">
        <f>EM47-BO47</f>
        <v>59.282250000000005</v>
      </c>
      <c r="GO47" s="255">
        <f>GP47</f>
        <v>49.641125000000002</v>
      </c>
      <c r="GP47" s="112">
        <f>EP47-BR47</f>
        <v>49.641125000000002</v>
      </c>
      <c r="GQ47" s="255">
        <f>GR47</f>
        <v>181.80368500000003</v>
      </c>
      <c r="GR47" s="245">
        <f>EV47-BT47</f>
        <v>181.80368500000003</v>
      </c>
      <c r="GS47" s="255">
        <f>GT47</f>
        <v>40</v>
      </c>
      <c r="GT47" s="245">
        <f>EX47-BV47</f>
        <v>40</v>
      </c>
      <c r="GU47" s="187">
        <f>FA47-BX47</f>
        <v>19.856450000000002</v>
      </c>
      <c r="GV47" s="245">
        <f>FI47-CD47</f>
        <v>0</v>
      </c>
      <c r="GW47" s="245">
        <v>0</v>
      </c>
      <c r="GX47" s="245">
        <f>FG47-CB47</f>
        <v>12.489750000000001</v>
      </c>
      <c r="GY47" s="245">
        <f>FK47-CF47</f>
        <v>0</v>
      </c>
      <c r="GZ47" s="245">
        <f>FM47-CH47</f>
        <v>0</v>
      </c>
      <c r="HA47" s="269">
        <f>FO47-CJ47</f>
        <v>0</v>
      </c>
      <c r="HB47" s="269">
        <f>FQ47-CL47</f>
        <v>0</v>
      </c>
      <c r="HC47" s="2230">
        <f>ES47-CM47</f>
        <v>32.346200000000003</v>
      </c>
      <c r="HD47" s="95"/>
      <c r="HE47" s="95"/>
    </row>
    <row r="48" spans="1:217" s="95" customFormat="1" ht="18.75">
      <c r="A48" s="2263"/>
      <c r="B48" s="131"/>
      <c r="C48" s="132"/>
      <c r="D48" s="132"/>
      <c r="E48" s="133"/>
      <c r="F48" s="134"/>
      <c r="G48" s="135"/>
      <c r="H48" s="136"/>
      <c r="I48" s="132"/>
      <c r="J48" s="132"/>
      <c r="K48" s="132"/>
      <c r="L48" s="132"/>
      <c r="M48" s="134"/>
      <c r="N48" s="134"/>
      <c r="O48" s="134"/>
      <c r="P48" s="134"/>
      <c r="Q48" s="71"/>
      <c r="S48" s="101"/>
      <c r="T48" s="97"/>
      <c r="U48" s="2244"/>
      <c r="V48" s="102"/>
      <c r="W48" s="2251"/>
      <c r="X48" s="97"/>
      <c r="Y48" s="2244"/>
      <c r="Z48" s="103"/>
      <c r="AA48" s="2251"/>
      <c r="AB48" s="103"/>
      <c r="AC48" s="2251"/>
      <c r="AD48" s="103"/>
      <c r="AE48" s="2251"/>
      <c r="AF48" s="103"/>
      <c r="AG48" s="103"/>
      <c r="AH48" s="103"/>
      <c r="AI48" s="103"/>
      <c r="AJ48" s="103"/>
      <c r="AK48" s="2251"/>
      <c r="AL48" s="103"/>
      <c r="AM48" s="2251"/>
      <c r="AN48" s="103"/>
      <c r="AO48" s="2224"/>
      <c r="AP48" s="103"/>
      <c r="AQ48" s="2251"/>
      <c r="AR48" s="103"/>
      <c r="AS48" s="2251"/>
      <c r="AT48" s="103"/>
      <c r="AU48" s="2251"/>
      <c r="AV48" s="103"/>
      <c r="AW48" s="2251"/>
      <c r="AX48" s="103"/>
      <c r="AY48" s="2251"/>
      <c r="AZ48" s="75">
        <f t="shared" si="0"/>
        <v>0</v>
      </c>
      <c r="BA48" s="2224"/>
      <c r="BB48" s="191"/>
      <c r="BC48" s="2224"/>
      <c r="BD48" s="191"/>
      <c r="BE48" s="2224"/>
      <c r="BF48" s="191"/>
      <c r="BG48" s="2224"/>
      <c r="BH48" s="191"/>
      <c r="BI48" s="2224"/>
      <c r="BJ48" s="191"/>
      <c r="BK48" s="2224"/>
      <c r="BL48" s="191"/>
      <c r="BM48" s="2251"/>
      <c r="BN48" s="97"/>
      <c r="BO48" s="2251"/>
      <c r="BP48" s="97"/>
      <c r="BQ48" s="2251"/>
      <c r="BR48" s="97"/>
      <c r="BS48" s="2251"/>
      <c r="BT48" s="185"/>
      <c r="BU48" s="2251"/>
      <c r="BV48" s="138"/>
      <c r="BW48" s="2251"/>
      <c r="BX48" s="97"/>
      <c r="BY48" s="2251"/>
      <c r="BZ48" s="97"/>
      <c r="CA48" s="2251"/>
      <c r="CB48" s="97"/>
      <c r="CC48" s="2251"/>
      <c r="CD48" s="97"/>
      <c r="CE48" s="2251"/>
      <c r="CF48" s="97"/>
      <c r="CG48" s="2251"/>
      <c r="CH48" s="105"/>
      <c r="CI48" s="2251"/>
      <c r="CJ48" s="97"/>
      <c r="CK48" s="2251"/>
      <c r="CL48" s="97"/>
      <c r="CM48" s="2251"/>
      <c r="CN48" s="73">
        <f t="shared" si="1"/>
        <v>0</v>
      </c>
      <c r="CO48" s="97"/>
      <c r="CP48" s="2266"/>
      <c r="CQ48" s="139"/>
      <c r="CR48" s="139"/>
      <c r="CS48" s="139"/>
      <c r="CT48" s="139"/>
      <c r="CU48" s="108"/>
      <c r="CV48" s="2258"/>
      <c r="CW48" s="97"/>
      <c r="CX48" s="2244"/>
      <c r="CY48" s="2261"/>
      <c r="CZ48" s="83"/>
      <c r="DA48" s="2253"/>
      <c r="DB48" s="97"/>
      <c r="DC48" s="2244"/>
      <c r="DD48" s="97"/>
      <c r="DE48" s="2244"/>
      <c r="DF48" s="97"/>
      <c r="DG48" s="2244"/>
      <c r="DH48" s="97"/>
      <c r="DI48" s="2244"/>
      <c r="DJ48" s="97"/>
      <c r="DK48" s="2244"/>
      <c r="DL48" s="97"/>
      <c r="DM48" s="2244"/>
      <c r="DN48" s="97"/>
      <c r="DO48" s="2244"/>
      <c r="DP48" s="97"/>
      <c r="DQ48" s="2244"/>
      <c r="DR48" s="97"/>
      <c r="DS48" s="2244"/>
      <c r="DT48" s="97"/>
      <c r="DU48" s="2244"/>
      <c r="DV48" s="97"/>
      <c r="DW48" s="2244"/>
      <c r="DX48" s="75"/>
      <c r="DY48" s="2244"/>
      <c r="DZ48" s="103"/>
      <c r="EA48" s="2244"/>
      <c r="EB48" s="103"/>
      <c r="EC48" s="2244"/>
      <c r="ED48" s="103"/>
      <c r="EE48" s="2244"/>
      <c r="EF48" s="103"/>
      <c r="EG48" s="2244"/>
      <c r="EH48" s="103"/>
      <c r="EI48" s="2244"/>
      <c r="EJ48" s="103"/>
      <c r="EK48" s="2251"/>
      <c r="EL48" s="97"/>
      <c r="EM48" s="2246"/>
      <c r="EN48" s="102"/>
      <c r="EO48" s="2246"/>
      <c r="EP48" s="102"/>
      <c r="EQ48" s="102"/>
      <c r="ER48" s="102"/>
      <c r="ES48" s="110"/>
      <c r="ET48" s="74"/>
      <c r="EU48" s="2244"/>
      <c r="EV48" s="122"/>
      <c r="EW48" s="2244"/>
      <c r="EX48" s="88"/>
      <c r="EY48" s="2244"/>
      <c r="EZ48" s="2248"/>
      <c r="FA48" s="2224"/>
      <c r="FB48" s="2244"/>
      <c r="FC48" s="2224"/>
      <c r="FD48" s="2244"/>
      <c r="FE48" s="2224"/>
      <c r="FF48" s="2244"/>
      <c r="FG48" s="102"/>
      <c r="FH48" s="2244"/>
      <c r="FI48" s="102"/>
      <c r="FJ48" s="2244"/>
      <c r="FK48" s="102"/>
      <c r="FL48" s="2244"/>
      <c r="FM48" s="102"/>
      <c r="FN48" s="2244"/>
      <c r="FO48" s="102"/>
      <c r="FP48" s="102"/>
      <c r="FQ48" s="102"/>
      <c r="FR48" s="2244"/>
      <c r="FS48" s="2244"/>
      <c r="FT48" s="2240"/>
      <c r="FU48" s="2233"/>
      <c r="FV48" s="2235"/>
      <c r="FW48" s="2235"/>
      <c r="FX48" s="2233"/>
      <c r="FY48" s="2233"/>
      <c r="FZ48" s="2233"/>
      <c r="GA48" s="2232"/>
      <c r="GB48" s="2233"/>
      <c r="GC48" s="2233"/>
      <c r="GD48" s="2233"/>
      <c r="GE48" s="2232"/>
      <c r="GF48" s="2233"/>
      <c r="GG48" s="2232"/>
      <c r="GH48" s="2232"/>
      <c r="GI48" s="2232"/>
      <c r="GJ48" s="2232"/>
      <c r="GK48" s="2232"/>
      <c r="GL48" s="2235"/>
      <c r="GM48" s="2235"/>
      <c r="GN48" s="2235"/>
      <c r="GO48" s="2224"/>
      <c r="GP48" s="112"/>
      <c r="GQ48" s="2224"/>
      <c r="GR48" s="245"/>
      <c r="GS48" s="2224"/>
      <c r="GT48" s="195"/>
      <c r="GU48" s="187"/>
      <c r="GV48" s="195"/>
      <c r="GW48" s="195"/>
      <c r="GX48" s="195"/>
      <c r="GY48" s="195"/>
      <c r="GZ48" s="245"/>
      <c r="HA48" s="113"/>
      <c r="HB48" s="113"/>
      <c r="HC48" s="2230"/>
    </row>
    <row r="49" spans="1:221" s="146" customFormat="1" ht="15" customHeight="1">
      <c r="A49" s="2618">
        <v>19</v>
      </c>
      <c r="B49" s="3690" t="s">
        <v>703</v>
      </c>
      <c r="C49" s="140">
        <v>2850</v>
      </c>
      <c r="D49" s="140">
        <v>7</v>
      </c>
      <c r="E49" s="140">
        <v>2028500007</v>
      </c>
      <c r="F49" s="142">
        <v>5000</v>
      </c>
      <c r="G49" s="143" t="s">
        <v>726</v>
      </c>
      <c r="H49" s="144" t="s">
        <v>742</v>
      </c>
      <c r="I49" s="140">
        <v>0.9</v>
      </c>
      <c r="J49" s="140">
        <v>4</v>
      </c>
      <c r="K49" s="140">
        <v>0</v>
      </c>
      <c r="L49" s="140">
        <v>4.8</v>
      </c>
      <c r="M49" s="142">
        <v>4500</v>
      </c>
      <c r="N49" s="142">
        <v>0</v>
      </c>
      <c r="O49" s="142">
        <v>0</v>
      </c>
      <c r="P49" s="142">
        <v>4500</v>
      </c>
      <c r="Q49" s="145">
        <v>0</v>
      </c>
      <c r="R49" s="146" t="s">
        <v>720</v>
      </c>
      <c r="S49" s="2620">
        <f>SUM(T49:T51)</f>
        <v>0</v>
      </c>
      <c r="T49" s="147">
        <v>0</v>
      </c>
      <c r="U49" s="2620">
        <f>SUM(V49:V51)</f>
        <v>27500</v>
      </c>
      <c r="V49" s="148">
        <v>4500</v>
      </c>
      <c r="W49" s="2620">
        <f>SUM(X49:X51)</f>
        <v>27500</v>
      </c>
      <c r="X49" s="147">
        <f>V49-Z49</f>
        <v>4500</v>
      </c>
      <c r="Y49" s="2620">
        <f>SUM(Z49:Z51)</f>
        <v>0</v>
      </c>
      <c r="Z49" s="149">
        <v>0</v>
      </c>
      <c r="AA49" s="2620">
        <f>SUM(AB49:AB51)</f>
        <v>0</v>
      </c>
      <c r="AB49" s="149">
        <v>0</v>
      </c>
      <c r="AC49" s="2620">
        <f>SUM(AD49:AD51)</f>
        <v>5000</v>
      </c>
      <c r="AD49" s="149">
        <f>V49-(Z49+AB49+AF49+AL49+AN49+AP49+AZ49+AR49+AT49+AV49+AX49)</f>
        <v>0</v>
      </c>
      <c r="AE49" s="2612">
        <f>SUM(AF49:AF51)</f>
        <v>0</v>
      </c>
      <c r="AF49" s="149">
        <v>0</v>
      </c>
      <c r="AG49" s="149">
        <v>0</v>
      </c>
      <c r="AH49" s="2612">
        <f>SUM(AG49:AG51)</f>
        <v>0</v>
      </c>
      <c r="AI49" s="149">
        <v>0</v>
      </c>
      <c r="AJ49" s="2612">
        <f>SUM(AI49:AI51)</f>
        <v>0</v>
      </c>
      <c r="AK49" s="2612">
        <f>SUM(AL49:AL50)</f>
        <v>0</v>
      </c>
      <c r="AL49" s="149">
        <v>0</v>
      </c>
      <c r="AM49" s="2612">
        <f>SUM(AN49:AN50)</f>
        <v>0</v>
      </c>
      <c r="AN49" s="149">
        <v>0</v>
      </c>
      <c r="AO49" s="2614">
        <f>SUM(AP49:AP51)</f>
        <v>0</v>
      </c>
      <c r="AP49" s="149">
        <v>0</v>
      </c>
      <c r="AQ49" s="2612">
        <f>SUM(AR49:AR51)</f>
        <v>4500</v>
      </c>
      <c r="AR49" s="149">
        <v>4500</v>
      </c>
      <c r="AS49" s="2612">
        <f>SUM(AT49:AT51)</f>
        <v>0</v>
      </c>
      <c r="AT49" s="149">
        <v>0</v>
      </c>
      <c r="AU49" s="2612">
        <f>SUM(AV49:AV51)</f>
        <v>0</v>
      </c>
      <c r="AV49" s="149">
        <v>0</v>
      </c>
      <c r="AW49" s="2612">
        <f>SUM(AX49:AX51)</f>
        <v>18000</v>
      </c>
      <c r="AX49" s="149">
        <v>0</v>
      </c>
      <c r="AY49" s="2612">
        <f>SUM(AZ49:AZ51)</f>
        <v>0</v>
      </c>
      <c r="AZ49" s="150">
        <f t="shared" si="0"/>
        <v>0</v>
      </c>
      <c r="BA49" s="2614">
        <f>SUM(BB49:BB51)</f>
        <v>0</v>
      </c>
      <c r="BB49" s="147">
        <v>0</v>
      </c>
      <c r="BC49" s="2614">
        <f>SUM(BD49:BD51)</f>
        <v>0</v>
      </c>
      <c r="BD49" s="147">
        <v>0</v>
      </c>
      <c r="BE49" s="2614">
        <f>SUM(BF49:BF51)</f>
        <v>0</v>
      </c>
      <c r="BF49" s="147">
        <v>0</v>
      </c>
      <c r="BG49" s="2614">
        <f>SUM(BH49:BH51)</f>
        <v>0</v>
      </c>
      <c r="BH49" s="147">
        <v>0</v>
      </c>
      <c r="BI49" s="2614">
        <f>SUM(BJ49:BJ51)</f>
        <v>0</v>
      </c>
      <c r="BJ49" s="147">
        <v>0</v>
      </c>
      <c r="BK49" s="2614">
        <f>SUM(BL49:BL51)</f>
        <v>0</v>
      </c>
      <c r="BL49" s="147">
        <v>0</v>
      </c>
      <c r="BM49" s="2612">
        <f>SUM(BN49:BN51)</f>
        <v>27500</v>
      </c>
      <c r="BN49" s="147">
        <f>ROUND(T49+V49,0)</f>
        <v>4500</v>
      </c>
      <c r="BO49" s="2612">
        <f>SUM(BP49:BP51)</f>
        <v>0</v>
      </c>
      <c r="BP49" s="147">
        <f>ROUND(T49/EP$141,0)</f>
        <v>0</v>
      </c>
      <c r="BQ49" s="2612">
        <f>SUM(BR49:BR51)</f>
        <v>0</v>
      </c>
      <c r="BR49" s="147">
        <f>BR$142*BP49</f>
        <v>0</v>
      </c>
      <c r="BS49" s="2612">
        <f>SUM(BT49:BT51)</f>
        <v>0</v>
      </c>
      <c r="BT49" s="197">
        <f t="shared" si="3"/>
        <v>0</v>
      </c>
      <c r="BU49" s="2612">
        <f>SUM(BV49:BV51)</f>
        <v>33</v>
      </c>
      <c r="BV49" s="153">
        <f>ROUND((AD49+AB49+Z49)/1000*3,0)+ROUND((AF49+AX49)/1000,0)+ROUND((ROUND(AL49/400,0))/2.67,0)+ROUND(AN49/250,0)+ROUND(AR49/15000,0)+ROUND((BB49+BD49+BF49+BJ49)/1000*3,0)+ROUND(BP49/25,0)+ROUND(CN49/50,0)</f>
        <v>0</v>
      </c>
      <c r="BW49" s="2612">
        <f>SUM(BX49:BX51)</f>
        <v>0</v>
      </c>
      <c r="BX49" s="147">
        <v>0</v>
      </c>
      <c r="BY49" s="2612">
        <f>SUM(BZ49:BZ51)</f>
        <v>0</v>
      </c>
      <c r="BZ49" s="147">
        <v>0</v>
      </c>
      <c r="CA49" s="2612">
        <f>SUM(CB49:CB51)</f>
        <v>27.5</v>
      </c>
      <c r="CB49" s="147">
        <f>V49/1000</f>
        <v>4.5</v>
      </c>
      <c r="CC49" s="2612">
        <f>SUM(CD49:CD51)</f>
        <v>0</v>
      </c>
      <c r="CD49" s="147">
        <f>AB49/1000</f>
        <v>0</v>
      </c>
      <c r="CE49" s="2612">
        <f>SUM(CF49:CF51)</f>
        <v>0</v>
      </c>
      <c r="CF49" s="147">
        <f>((AL49/400)/12)</f>
        <v>0</v>
      </c>
      <c r="CG49" s="2612">
        <f>SUM(CH49:CH51)</f>
        <v>0</v>
      </c>
      <c r="CH49" s="154">
        <f>IFERROR(VLOOKUP(E49,#REF!,3,FALSE),0)</f>
        <v>0</v>
      </c>
      <c r="CI49" s="2612">
        <f>SUM(CJ49:CJ51)</f>
        <v>0</v>
      </c>
      <c r="CJ49" s="147" t="b">
        <f>IF(G49="M1-2",F49/1000)</f>
        <v>0</v>
      </c>
      <c r="CK49" s="2612">
        <f>SUM(CL49:CL51)</f>
        <v>0</v>
      </c>
      <c r="CL49" s="147">
        <f>IF(BJ49&gt;0,"Calculate",0)</f>
        <v>0</v>
      </c>
      <c r="CM49" s="2612">
        <f>SUM(CN49:CN51)</f>
        <v>27.5</v>
      </c>
      <c r="CN49" s="155">
        <f t="shared" si="1"/>
        <v>4.5</v>
      </c>
      <c r="CO49" s="147"/>
      <c r="CP49" s="2277">
        <v>15</v>
      </c>
      <c r="CQ49" s="156" t="s">
        <v>741</v>
      </c>
      <c r="CR49" s="156">
        <v>7.2</v>
      </c>
      <c r="CS49" s="156">
        <v>2</v>
      </c>
      <c r="CT49" s="156">
        <v>4.2</v>
      </c>
      <c r="CU49" s="157" t="s">
        <v>706</v>
      </c>
      <c r="CV49" s="2622" t="s">
        <v>719</v>
      </c>
      <c r="CW49" s="147">
        <f>(CR49*F49)-CZ49</f>
        <v>26750</v>
      </c>
      <c r="CX49" s="2620">
        <f>SUM(CW49:CW51)</f>
        <v>101650</v>
      </c>
      <c r="CY49" s="2624">
        <f>SUM(CZ49:CZ51)</f>
        <v>35150</v>
      </c>
      <c r="CZ49" s="147">
        <f>2*(F49)-(0.15*1*(F49))</f>
        <v>9250</v>
      </c>
      <c r="DA49" s="2626">
        <f>SUM(DB49:DB51)</f>
        <v>35150</v>
      </c>
      <c r="DB49" s="147">
        <f>CZ49-DD49</f>
        <v>9250</v>
      </c>
      <c r="DC49" s="2620">
        <v>0</v>
      </c>
      <c r="DD49" s="147">
        <v>0</v>
      </c>
      <c r="DE49" s="2620">
        <f>SUM(DF49:DF51)</f>
        <v>0</v>
      </c>
      <c r="DF49" s="147">
        <v>0</v>
      </c>
      <c r="DG49" s="2620">
        <f>SUM(DH49:DH51)</f>
        <v>35150</v>
      </c>
      <c r="DH49" s="147">
        <f>CZ49-(DD49+DF49+DJ49+DL49+DN49+DT49+DV49+DX49)</f>
        <v>9250</v>
      </c>
      <c r="DI49" s="2620">
        <f>SUM(DJ49:DJ51)</f>
        <v>0</v>
      </c>
      <c r="DJ49" s="147">
        <v>0</v>
      </c>
      <c r="DK49" s="2620">
        <f>SUM(DL49:DL51)</f>
        <v>0</v>
      </c>
      <c r="DL49" s="147">
        <v>0</v>
      </c>
      <c r="DM49" s="2620">
        <f>SUM(DN49:DN50)</f>
        <v>0</v>
      </c>
      <c r="DN49" s="147">
        <v>0</v>
      </c>
      <c r="DO49" s="2620">
        <f>SUM(DP49:DP51)</f>
        <v>0</v>
      </c>
      <c r="DP49" s="147">
        <v>0</v>
      </c>
      <c r="DQ49" s="2620">
        <f>SUM(DR49:DR51)</f>
        <v>0</v>
      </c>
      <c r="DR49" s="147">
        <v>0</v>
      </c>
      <c r="DS49" s="2620">
        <f>SUM(DT49:DT51)</f>
        <v>0</v>
      </c>
      <c r="DT49" s="147">
        <v>0</v>
      </c>
      <c r="DU49" s="2620">
        <f>SUM(DV49:DV51)</f>
        <v>0</v>
      </c>
      <c r="DV49" s="147">
        <v>0</v>
      </c>
      <c r="DW49" s="2620">
        <f>SUM(DX49:EH51)</f>
        <v>0</v>
      </c>
      <c r="DX49" s="149">
        <f t="shared" si="2"/>
        <v>0</v>
      </c>
      <c r="DY49" s="2620">
        <f>SUM(DZ49:DZ51)</f>
        <v>0</v>
      </c>
      <c r="DZ49" s="149">
        <v>0</v>
      </c>
      <c r="EA49" s="2620">
        <f>SUM(EB49:EB51)</f>
        <v>0</v>
      </c>
      <c r="EB49" s="149">
        <v>0</v>
      </c>
      <c r="EC49" s="2620">
        <f>SUM(ED49:ED51)</f>
        <v>0</v>
      </c>
      <c r="ED49" s="149">
        <v>0</v>
      </c>
      <c r="EE49" s="2620">
        <f>SUM(EF49:EF51)</f>
        <v>0</v>
      </c>
      <c r="EF49" s="149">
        <v>0</v>
      </c>
      <c r="EG49" s="2620">
        <f>SUM(EH49:EH51)</f>
        <v>0</v>
      </c>
      <c r="EH49" s="149">
        <v>0</v>
      </c>
      <c r="EI49" s="2620">
        <f>SUM(EJ49:EJ51)</f>
        <v>0</v>
      </c>
      <c r="EJ49" s="149">
        <v>0</v>
      </c>
      <c r="EK49" s="2612">
        <f>SUM(EL49:EL51)</f>
        <v>136800</v>
      </c>
      <c r="EL49" s="147">
        <f>CW49+CZ49</f>
        <v>36000</v>
      </c>
      <c r="EM49" s="2628">
        <f>SUM(EN49:EN51)</f>
        <v>101.65</v>
      </c>
      <c r="EN49" s="148">
        <f>CW49/1000</f>
        <v>26.75</v>
      </c>
      <c r="EO49" s="2628">
        <f>SUM(EP49:EP51)</f>
        <v>50.825000000000003</v>
      </c>
      <c r="EP49" s="148">
        <f>0.5*EN49</f>
        <v>13.375</v>
      </c>
      <c r="EQ49" s="2628">
        <f>SUM(ER49:ER51)</f>
        <v>50.825000000000003</v>
      </c>
      <c r="ER49" s="148">
        <f>0.5*EN49</f>
        <v>13.375</v>
      </c>
      <c r="ES49" s="2628">
        <f>SUM(ET49:ET51)</f>
        <v>55.330000000000005</v>
      </c>
      <c r="ET49" s="148">
        <f>FA49+FG49+FQ49</f>
        <v>14.350000000000001</v>
      </c>
      <c r="EU49" s="2620">
        <f>SUM(EV49:EV51)</f>
        <v>311.04900000000004</v>
      </c>
      <c r="EV49" s="148">
        <f>3.06*EN49</f>
        <v>81.855000000000004</v>
      </c>
      <c r="EW49" s="2620">
        <f>SUM(EX49:EX51)</f>
        <v>111</v>
      </c>
      <c r="EX49" s="148">
        <f>ROUND((DH49+DF49+DD49)/1000*3,0)+ROUND((ROUND(DL49/400,0))/2.67,0)+ROUND(DV49/1000,0)+ROUND((DZ49+EB49+ED49+EH49)/1000*3,0)+ROUND(EN49/25,0)+ROUND(ET49/50,0)</f>
        <v>29</v>
      </c>
      <c r="EY49" s="2620">
        <f>SUM(EZ49:EZ51)</f>
        <v>20.330000000000002</v>
      </c>
      <c r="EZ49" s="2638">
        <f>SUM(FA49:FA51)</f>
        <v>20.330000000000002</v>
      </c>
      <c r="FA49" s="280">
        <f>(0.5*EN49)*0.4</f>
        <v>5.3500000000000005</v>
      </c>
      <c r="FB49" s="2620">
        <f>SUM(FC49:FC51)</f>
        <v>0</v>
      </c>
      <c r="FC49" s="280">
        <v>0</v>
      </c>
      <c r="FD49" s="2620">
        <f>SUM(FE49:FE51)</f>
        <v>0</v>
      </c>
      <c r="FE49" s="280">
        <v>0</v>
      </c>
      <c r="FF49" s="2620">
        <f>SUM(FG49:FG51)</f>
        <v>35</v>
      </c>
      <c r="FG49" s="148">
        <f>ROUND((DH49+DJ49+DD49+DN49+DT49)/1000,0)</f>
        <v>9</v>
      </c>
      <c r="FH49" s="2620">
        <f>SUM(FI49:FI51)</f>
        <v>0</v>
      </c>
      <c r="FI49" s="148">
        <f>DF49/1000</f>
        <v>0</v>
      </c>
      <c r="FJ49" s="2620">
        <f>SUM(FK49:FK51)</f>
        <v>0</v>
      </c>
      <c r="FK49" s="148">
        <f>((DL49/400)/12)</f>
        <v>0</v>
      </c>
      <c r="FL49" s="2620">
        <f>SUM(FM49:FM51)</f>
        <v>0</v>
      </c>
      <c r="FM49" s="148">
        <v>0</v>
      </c>
      <c r="FN49" s="2620">
        <f>SUM(FO49:FO51)</f>
        <v>0</v>
      </c>
      <c r="FO49" s="148">
        <v>0</v>
      </c>
      <c r="FP49" s="2628">
        <f>SUM(FQ49:FQ51)</f>
        <v>0</v>
      </c>
      <c r="FQ49" s="148">
        <f>DX49/1000</f>
        <v>0</v>
      </c>
      <c r="FR49" s="2620">
        <f>SUM(FS49:FS51)</f>
        <v>165</v>
      </c>
      <c r="FS49" s="2634">
        <v>165</v>
      </c>
      <c r="FT49" s="2636">
        <f>CX49-S49</f>
        <v>101650</v>
      </c>
      <c r="FU49" s="2630">
        <f>CY49-U49</f>
        <v>7650</v>
      </c>
      <c r="FV49" s="2632">
        <f>(DC49+DE49+DG49)-(Y49+AA49+AC49+AE49)</f>
        <v>30150</v>
      </c>
      <c r="FW49" s="2632">
        <f>DG49-AC49</f>
        <v>30150</v>
      </c>
      <c r="FX49" s="2630">
        <f>DE49-AA49</f>
        <v>0</v>
      </c>
      <c r="FY49" s="2630">
        <f>DC49-Y49</f>
        <v>0</v>
      </c>
      <c r="FZ49" s="2630">
        <f>DJ49-AE49</f>
        <v>0</v>
      </c>
      <c r="GA49" s="2630">
        <f>DL49-AL49</f>
        <v>0</v>
      </c>
      <c r="GB49" s="2630">
        <f>DM49-AM49</f>
        <v>0</v>
      </c>
      <c r="GC49" s="2630">
        <f>DP49-AQ49</f>
        <v>-4500</v>
      </c>
      <c r="GD49" s="2630">
        <f>DR49-AS49</f>
        <v>0</v>
      </c>
      <c r="GE49" s="2630">
        <f>DT49-AV49</f>
        <v>0</v>
      </c>
      <c r="GF49" s="2630">
        <f>DV49-AW49</f>
        <v>-18000</v>
      </c>
      <c r="GG49" s="2630">
        <f>DZ49-BB49</f>
        <v>0</v>
      </c>
      <c r="GH49" s="2630">
        <f>EB49-BD49</f>
        <v>0</v>
      </c>
      <c r="GI49" s="2630">
        <f>ED49-BF49</f>
        <v>0</v>
      </c>
      <c r="GJ49" s="2630">
        <f>EF49-BH49</f>
        <v>0</v>
      </c>
      <c r="GK49" s="2630">
        <f>EH49-BJ49</f>
        <v>0</v>
      </c>
      <c r="GL49" s="2632">
        <f>DW49-AY49</f>
        <v>0</v>
      </c>
      <c r="GM49" s="2632">
        <f>EK49-BM49</f>
        <v>109300</v>
      </c>
      <c r="GN49" s="2632">
        <f>EM49-BO49</f>
        <v>101.65</v>
      </c>
      <c r="GO49" s="2614">
        <f>SUM(GP49:GP51)</f>
        <v>50.825000000000003</v>
      </c>
      <c r="GP49" s="160">
        <f>EP49-BR49</f>
        <v>13.375</v>
      </c>
      <c r="GQ49" s="2614">
        <f>SUM(GR49:GR51)</f>
        <v>311.04900000000004</v>
      </c>
      <c r="GR49" s="160">
        <f>EV49-BT49</f>
        <v>81.855000000000004</v>
      </c>
      <c r="GS49" s="2614">
        <f>SUM(GT49:GT51)</f>
        <v>78</v>
      </c>
      <c r="GT49" s="281">
        <f>EX49-BV49</f>
        <v>29</v>
      </c>
      <c r="GU49" s="160">
        <f>FA49-BX49</f>
        <v>5.3500000000000005</v>
      </c>
      <c r="GV49" s="281">
        <f>FI49-CD49</f>
        <v>0</v>
      </c>
      <c r="GW49" s="281">
        <v>0</v>
      </c>
      <c r="GX49" s="281">
        <f>FG49-CB49</f>
        <v>4.5</v>
      </c>
      <c r="GY49" s="281">
        <f>FK49-CF49</f>
        <v>0</v>
      </c>
      <c r="GZ49" s="160">
        <f>FM49-CH49</f>
        <v>0</v>
      </c>
      <c r="HA49" s="281">
        <f>FO49-CJ49</f>
        <v>0</v>
      </c>
      <c r="HB49" s="281">
        <f>FQ49-CL49</f>
        <v>0</v>
      </c>
      <c r="HC49" s="2640">
        <f>ES49-CM49</f>
        <v>27.830000000000005</v>
      </c>
      <c r="HD49" s="95"/>
      <c r="HE49" s="95"/>
    </row>
    <row r="50" spans="1:221" s="205" customFormat="1" ht="15" customHeight="1">
      <c r="A50" s="2645"/>
      <c r="B50" s="282" t="s">
        <v>710</v>
      </c>
      <c r="C50" s="199">
        <v>2850</v>
      </c>
      <c r="D50" s="199">
        <v>3</v>
      </c>
      <c r="E50" s="199">
        <v>2028500003</v>
      </c>
      <c r="F50" s="201">
        <v>9000</v>
      </c>
      <c r="G50" s="202" t="s">
        <v>726</v>
      </c>
      <c r="H50" s="203" t="s">
        <v>742</v>
      </c>
      <c r="I50" s="199">
        <v>2</v>
      </c>
      <c r="J50" s="199">
        <v>4</v>
      </c>
      <c r="K50" s="199">
        <v>0</v>
      </c>
      <c r="L50" s="199">
        <v>4.8</v>
      </c>
      <c r="M50" s="201">
        <v>18000</v>
      </c>
      <c r="N50" s="201">
        <v>0</v>
      </c>
      <c r="O50" s="201">
        <v>0</v>
      </c>
      <c r="P50" s="201">
        <v>18000</v>
      </c>
      <c r="Q50" s="204">
        <v>0</v>
      </c>
      <c r="R50" s="205" t="s">
        <v>725</v>
      </c>
      <c r="S50" s="2646"/>
      <c r="T50" s="155">
        <v>0</v>
      </c>
      <c r="U50" s="2646"/>
      <c r="V50" s="178">
        <v>18000</v>
      </c>
      <c r="W50" s="2646"/>
      <c r="X50" s="155">
        <f>V50-Z50</f>
        <v>18000</v>
      </c>
      <c r="Y50" s="2646"/>
      <c r="Z50" s="150">
        <v>0</v>
      </c>
      <c r="AA50" s="2646"/>
      <c r="AB50" s="150">
        <v>0</v>
      </c>
      <c r="AC50" s="2646"/>
      <c r="AD50" s="150">
        <f>V50-(Z50+AB50+AF50+AL50+AN50+AP50+AZ50+AR50+AT50+AV50+AX50)</f>
        <v>0</v>
      </c>
      <c r="AE50" s="2647"/>
      <c r="AF50" s="150">
        <v>0</v>
      </c>
      <c r="AG50" s="150">
        <v>0</v>
      </c>
      <c r="AH50" s="2647"/>
      <c r="AI50" s="150">
        <v>0</v>
      </c>
      <c r="AJ50" s="2647"/>
      <c r="AK50" s="2647"/>
      <c r="AL50" s="150">
        <v>0</v>
      </c>
      <c r="AM50" s="2647"/>
      <c r="AN50" s="150">
        <v>0</v>
      </c>
      <c r="AO50" s="2648"/>
      <c r="AP50" s="150">
        <v>0</v>
      </c>
      <c r="AQ50" s="2647"/>
      <c r="AR50" s="150"/>
      <c r="AS50" s="2647"/>
      <c r="AT50" s="150">
        <v>0</v>
      </c>
      <c r="AU50" s="2647"/>
      <c r="AV50" s="150">
        <v>0</v>
      </c>
      <c r="AW50" s="2647"/>
      <c r="AX50" s="150">
        <v>18000</v>
      </c>
      <c r="AY50" s="2647"/>
      <c r="AZ50" s="150">
        <f t="shared" si="0"/>
        <v>0</v>
      </c>
      <c r="BA50" s="2648"/>
      <c r="BB50" s="155">
        <v>0</v>
      </c>
      <c r="BC50" s="2648"/>
      <c r="BD50" s="155">
        <v>0</v>
      </c>
      <c r="BE50" s="2648"/>
      <c r="BF50" s="155">
        <v>0</v>
      </c>
      <c r="BG50" s="2648"/>
      <c r="BH50" s="155">
        <v>0</v>
      </c>
      <c r="BI50" s="2648"/>
      <c r="BJ50" s="155">
        <v>0</v>
      </c>
      <c r="BK50" s="2648"/>
      <c r="BL50" s="155">
        <v>0</v>
      </c>
      <c r="BM50" s="2647"/>
      <c r="BN50" s="155">
        <f>ROUND(T50+V50,0)</f>
        <v>18000</v>
      </c>
      <c r="BO50" s="2647"/>
      <c r="BP50" s="155">
        <f>ROUND(T50/EP$141,0)</f>
        <v>0</v>
      </c>
      <c r="BQ50" s="2647"/>
      <c r="BR50" s="155">
        <f>BR$142*BP50</f>
        <v>0</v>
      </c>
      <c r="BS50" s="2647"/>
      <c r="BT50" s="206">
        <f t="shared" si="3"/>
        <v>0</v>
      </c>
      <c r="BU50" s="2647"/>
      <c r="BV50" s="207">
        <f>ROUND((AD50+AB50+Z50)/1000*3,0)+ROUND((AF50+AX50)/1000,0)+ROUND((ROUND(AL50/400,0))/2.67,0)+ROUND(AN50/250,0)+ROUND(AR50/15000,0)+ROUND((BB50+BD50+BF50+BJ50)/1000*3,0)+ROUND(BP50/25,0)+ROUND(CN50/50,0)</f>
        <v>18</v>
      </c>
      <c r="BW50" s="2647"/>
      <c r="BX50" s="155">
        <v>0</v>
      </c>
      <c r="BY50" s="2647"/>
      <c r="BZ50" s="155">
        <v>0</v>
      </c>
      <c r="CA50" s="2647"/>
      <c r="CB50" s="155">
        <f>V50/1000</f>
        <v>18</v>
      </c>
      <c r="CC50" s="2647"/>
      <c r="CD50" s="155">
        <f>AB50/1000</f>
        <v>0</v>
      </c>
      <c r="CE50" s="2647"/>
      <c r="CF50" s="155">
        <f>((AL50/400)/12)</f>
        <v>0</v>
      </c>
      <c r="CG50" s="2647"/>
      <c r="CH50" s="208">
        <f>IFERROR(VLOOKUP(E50,#REF!,3,FALSE),0)</f>
        <v>0</v>
      </c>
      <c r="CI50" s="2647"/>
      <c r="CJ50" s="155" t="b">
        <f>IF(G50="M1-2",F50/1000)</f>
        <v>0</v>
      </c>
      <c r="CK50" s="2647"/>
      <c r="CL50" s="155">
        <f>IF(BJ50&gt;0,"Calculate",0)</f>
        <v>0</v>
      </c>
      <c r="CM50" s="2647"/>
      <c r="CN50" s="155">
        <f t="shared" si="1"/>
        <v>18</v>
      </c>
      <c r="CO50" s="155"/>
      <c r="CP50" s="209">
        <v>30</v>
      </c>
      <c r="CQ50" s="210" t="s">
        <v>741</v>
      </c>
      <c r="CR50" s="210">
        <v>7.2</v>
      </c>
      <c r="CS50" s="210">
        <v>2</v>
      </c>
      <c r="CT50" s="210">
        <v>4.2</v>
      </c>
      <c r="CU50" s="211" t="s">
        <v>706</v>
      </c>
      <c r="CV50" s="2650"/>
      <c r="CW50" s="155">
        <f>(CR50*F50)-CZ50</f>
        <v>48150</v>
      </c>
      <c r="CX50" s="2646"/>
      <c r="CY50" s="2651"/>
      <c r="CZ50" s="155">
        <f>2*(F50)-(0.15*1*(F50))</f>
        <v>16650</v>
      </c>
      <c r="DA50" s="2649"/>
      <c r="DB50" s="155">
        <f>CZ50-DD50</f>
        <v>16650</v>
      </c>
      <c r="DC50" s="2646"/>
      <c r="DD50" s="155">
        <v>0</v>
      </c>
      <c r="DE50" s="2646"/>
      <c r="DF50" s="155">
        <v>0</v>
      </c>
      <c r="DG50" s="2646"/>
      <c r="DH50" s="155">
        <f>CZ50-(DD50+DF50+DJ50+DL50+DN50+DT50+DV50+DX50)</f>
        <v>16650</v>
      </c>
      <c r="DI50" s="2646"/>
      <c r="DJ50" s="155">
        <v>0</v>
      </c>
      <c r="DK50" s="2646"/>
      <c r="DL50" s="155">
        <v>0</v>
      </c>
      <c r="DM50" s="2646"/>
      <c r="DN50" s="155">
        <v>0</v>
      </c>
      <c r="DO50" s="2646"/>
      <c r="DP50" s="155">
        <v>0</v>
      </c>
      <c r="DQ50" s="2646"/>
      <c r="DR50" s="155">
        <v>0</v>
      </c>
      <c r="DS50" s="2646"/>
      <c r="DT50" s="155">
        <v>0</v>
      </c>
      <c r="DU50" s="2646"/>
      <c r="DV50" s="155">
        <v>0</v>
      </c>
      <c r="DW50" s="2646"/>
      <c r="DX50" s="150">
        <f t="shared" si="2"/>
        <v>0</v>
      </c>
      <c r="DY50" s="2646"/>
      <c r="DZ50" s="150">
        <v>0</v>
      </c>
      <c r="EA50" s="2646"/>
      <c r="EB50" s="150">
        <v>0</v>
      </c>
      <c r="EC50" s="2646"/>
      <c r="ED50" s="150">
        <v>0</v>
      </c>
      <c r="EE50" s="2646"/>
      <c r="EF50" s="150">
        <v>0</v>
      </c>
      <c r="EG50" s="2646"/>
      <c r="EH50" s="150">
        <v>0</v>
      </c>
      <c r="EI50" s="2646"/>
      <c r="EJ50" s="150">
        <v>0</v>
      </c>
      <c r="EK50" s="2647"/>
      <c r="EL50" s="155">
        <f>CW50+CZ50</f>
        <v>64800</v>
      </c>
      <c r="EM50" s="2653"/>
      <c r="EN50" s="178">
        <f>CW50/1000</f>
        <v>48.15</v>
      </c>
      <c r="EO50" s="2653"/>
      <c r="EP50" s="178">
        <f t="shared" ref="EP50:EP51" si="13">0.5*EN50</f>
        <v>24.074999999999999</v>
      </c>
      <c r="EQ50" s="2653"/>
      <c r="ER50" s="178">
        <f t="shared" ref="ER50:ER51" si="14">0.5*EN50</f>
        <v>24.074999999999999</v>
      </c>
      <c r="ES50" s="2653"/>
      <c r="ET50" s="178">
        <f>FA50+FG50+FQ50</f>
        <v>26.630000000000003</v>
      </c>
      <c r="EU50" s="2646"/>
      <c r="EV50" s="178">
        <f>3.06*EN50</f>
        <v>147.339</v>
      </c>
      <c r="EW50" s="2646"/>
      <c r="EX50" s="178">
        <f>ROUND((DH50+DF50+DD50)/1000*3,0)+ROUND((ROUND(DL50/400,0))/2.67,0)+ROUND(DV50/1000,0)+ROUND((DZ50+EB50+ED50+EH50)/1000*3,0)+ROUND(EN50/25,0)+ROUND(ET50/50,0)</f>
        <v>53</v>
      </c>
      <c r="EY50" s="2646"/>
      <c r="EZ50" s="2652"/>
      <c r="FA50" s="283">
        <f>(0.5*EN50)*0.4</f>
        <v>9.6300000000000008</v>
      </c>
      <c r="FB50" s="2646"/>
      <c r="FC50" s="283">
        <v>0</v>
      </c>
      <c r="FD50" s="2646"/>
      <c r="FE50" s="283">
        <v>0</v>
      </c>
      <c r="FF50" s="2646"/>
      <c r="FG50" s="178">
        <f>ROUND((DH50+DJ50+DD50+DN50+DT50)/1000,0)</f>
        <v>17</v>
      </c>
      <c r="FH50" s="2646"/>
      <c r="FI50" s="178">
        <f>DF50/1000</f>
        <v>0</v>
      </c>
      <c r="FJ50" s="2646"/>
      <c r="FK50" s="178">
        <f>((DL50/400)/12)</f>
        <v>0</v>
      </c>
      <c r="FL50" s="2646"/>
      <c r="FM50" s="178">
        <v>0</v>
      </c>
      <c r="FN50" s="2646"/>
      <c r="FO50" s="178">
        <v>0</v>
      </c>
      <c r="FP50" s="2653"/>
      <c r="FQ50" s="178">
        <f>DX50/1000</f>
        <v>0</v>
      </c>
      <c r="FR50" s="2646"/>
      <c r="FS50" s="2655"/>
      <c r="FT50" s="2656"/>
      <c r="FU50" s="2654"/>
      <c r="FV50" s="2657"/>
      <c r="FW50" s="2657"/>
      <c r="FX50" s="2654"/>
      <c r="FY50" s="2654"/>
      <c r="FZ50" s="2654"/>
      <c r="GA50" s="2654"/>
      <c r="GB50" s="2654"/>
      <c r="GC50" s="2654"/>
      <c r="GD50" s="2654"/>
      <c r="GE50" s="2654"/>
      <c r="GF50" s="2654"/>
      <c r="GG50" s="2654"/>
      <c r="GH50" s="2654"/>
      <c r="GI50" s="2654"/>
      <c r="GJ50" s="2654"/>
      <c r="GK50" s="2654"/>
      <c r="GL50" s="2657"/>
      <c r="GM50" s="2657"/>
      <c r="GN50" s="2657"/>
      <c r="GO50" s="2648"/>
      <c r="GP50" s="212">
        <f>EP50-BR50</f>
        <v>24.074999999999999</v>
      </c>
      <c r="GQ50" s="2648"/>
      <c r="GR50" s="212">
        <f>EV50-BT50</f>
        <v>147.339</v>
      </c>
      <c r="GS50" s="2648"/>
      <c r="GT50" s="284">
        <f>EX50-BV50</f>
        <v>35</v>
      </c>
      <c r="GU50" s="212">
        <f>FA50-BX50</f>
        <v>9.6300000000000008</v>
      </c>
      <c r="GV50" s="284">
        <f>FI50-CD50</f>
        <v>0</v>
      </c>
      <c r="GW50" s="284">
        <v>0</v>
      </c>
      <c r="GX50" s="284">
        <f>FG50-CB50</f>
        <v>-1</v>
      </c>
      <c r="GY50" s="284">
        <f>FK50-CF50</f>
        <v>0</v>
      </c>
      <c r="GZ50" s="212">
        <f>FM50-CH50</f>
        <v>0</v>
      </c>
      <c r="HA50" s="284">
        <f>FO50-CJ50</f>
        <v>0</v>
      </c>
      <c r="HB50" s="284">
        <f>FQ50-CL50</f>
        <v>0</v>
      </c>
      <c r="HC50" s="2659"/>
      <c r="HD50" s="95"/>
      <c r="HE50" s="95"/>
    </row>
    <row r="51" spans="1:221" s="168" customFormat="1" ht="15" customHeight="1">
      <c r="A51" s="2619"/>
      <c r="B51" s="285" t="s">
        <v>721</v>
      </c>
      <c r="C51" s="162">
        <v>2850</v>
      </c>
      <c r="D51" s="162">
        <v>1</v>
      </c>
      <c r="E51" s="162">
        <v>2028500001</v>
      </c>
      <c r="F51" s="164">
        <v>5000</v>
      </c>
      <c r="G51" s="165" t="s">
        <v>726</v>
      </c>
      <c r="H51" s="166" t="s">
        <v>742</v>
      </c>
      <c r="I51" s="162">
        <v>1</v>
      </c>
      <c r="J51" s="162">
        <v>4</v>
      </c>
      <c r="K51" s="162">
        <v>0</v>
      </c>
      <c r="L51" s="162">
        <v>4.8</v>
      </c>
      <c r="M51" s="164">
        <v>5000</v>
      </c>
      <c r="N51" s="164">
        <v>0</v>
      </c>
      <c r="O51" s="164">
        <v>0</v>
      </c>
      <c r="P51" s="164">
        <v>5000</v>
      </c>
      <c r="Q51" s="167">
        <v>0</v>
      </c>
      <c r="R51" s="168" t="s">
        <v>637</v>
      </c>
      <c r="S51" s="2621"/>
      <c r="T51" s="169">
        <v>0</v>
      </c>
      <c r="U51" s="2621"/>
      <c r="V51" s="170">
        <v>5000</v>
      </c>
      <c r="W51" s="2621"/>
      <c r="X51" s="169">
        <f>V51-Z51</f>
        <v>5000</v>
      </c>
      <c r="Y51" s="2621"/>
      <c r="Z51" s="171">
        <v>0</v>
      </c>
      <c r="AA51" s="2621"/>
      <c r="AB51" s="171">
        <v>0</v>
      </c>
      <c r="AC51" s="2621"/>
      <c r="AD51" s="171">
        <f>V51-(Z51+AB51+AF51+AL51+AN51+AP51+AZ51+AR51+AT51+AV51+AX51)</f>
        <v>5000</v>
      </c>
      <c r="AE51" s="2613"/>
      <c r="AF51" s="171">
        <v>0</v>
      </c>
      <c r="AG51" s="171">
        <v>0</v>
      </c>
      <c r="AH51" s="2613"/>
      <c r="AI51" s="171">
        <v>0</v>
      </c>
      <c r="AJ51" s="2613"/>
      <c r="AK51" s="2613"/>
      <c r="AL51" s="171">
        <v>0</v>
      </c>
      <c r="AM51" s="2613"/>
      <c r="AN51" s="171">
        <v>0</v>
      </c>
      <c r="AO51" s="2615"/>
      <c r="AP51" s="171">
        <v>0</v>
      </c>
      <c r="AQ51" s="2613"/>
      <c r="AR51" s="171">
        <v>0</v>
      </c>
      <c r="AS51" s="2613"/>
      <c r="AT51" s="171">
        <v>0</v>
      </c>
      <c r="AU51" s="2613"/>
      <c r="AV51" s="171">
        <v>0</v>
      </c>
      <c r="AW51" s="2613"/>
      <c r="AX51" s="171">
        <v>0</v>
      </c>
      <c r="AY51" s="2613"/>
      <c r="AZ51" s="171">
        <f t="shared" si="0"/>
        <v>0</v>
      </c>
      <c r="BA51" s="2615"/>
      <c r="BB51" s="169">
        <v>0</v>
      </c>
      <c r="BC51" s="2615"/>
      <c r="BD51" s="169">
        <v>0</v>
      </c>
      <c r="BE51" s="2615"/>
      <c r="BF51" s="169">
        <v>0</v>
      </c>
      <c r="BG51" s="2615"/>
      <c r="BH51" s="169">
        <v>0</v>
      </c>
      <c r="BI51" s="2615"/>
      <c r="BJ51" s="169">
        <v>0</v>
      </c>
      <c r="BK51" s="2615"/>
      <c r="BL51" s="169">
        <v>0</v>
      </c>
      <c r="BM51" s="2613"/>
      <c r="BN51" s="169">
        <f>ROUND(T51+V51,0)</f>
        <v>5000</v>
      </c>
      <c r="BO51" s="2613"/>
      <c r="BP51" s="169">
        <f>ROUND(T51/EP$141,0)</f>
        <v>0</v>
      </c>
      <c r="BQ51" s="2613"/>
      <c r="BR51" s="169">
        <f>BR$142*BP51</f>
        <v>0</v>
      </c>
      <c r="BS51" s="2613"/>
      <c r="BT51" s="213">
        <f t="shared" si="3"/>
        <v>0</v>
      </c>
      <c r="BU51" s="2613"/>
      <c r="BV51" s="174">
        <f>ROUND((AD51+AB51+Z51)/1000*3,0)+ROUND((AF51+AX51)/1000,0)+ROUND((ROUND(AL51/400,0))/2.67,0)+ROUND(AN51/250,0)+ROUND(AR51/15000,0)+ROUND((BB51+BD51+BF51+BJ51)/1000*3,0)+ROUND(BP51/25,0)+ROUND(CN51/50,0)</f>
        <v>15</v>
      </c>
      <c r="BW51" s="2613"/>
      <c r="BX51" s="169">
        <v>0</v>
      </c>
      <c r="BY51" s="2613"/>
      <c r="BZ51" s="169">
        <v>0</v>
      </c>
      <c r="CA51" s="2613"/>
      <c r="CB51" s="169">
        <f>V51/1000</f>
        <v>5</v>
      </c>
      <c r="CC51" s="2613"/>
      <c r="CD51" s="169">
        <f>AB51/1000</f>
        <v>0</v>
      </c>
      <c r="CE51" s="2613"/>
      <c r="CF51" s="169">
        <f>((AL51/400)/12)</f>
        <v>0</v>
      </c>
      <c r="CG51" s="2613"/>
      <c r="CH51" s="175">
        <f>IFERROR(VLOOKUP(E51,#REF!,3,FALSE),0)</f>
        <v>0</v>
      </c>
      <c r="CI51" s="2613"/>
      <c r="CJ51" s="169" t="b">
        <f>IF(G51="M1-2",F51/1000)</f>
        <v>0</v>
      </c>
      <c r="CK51" s="2613"/>
      <c r="CL51" s="169">
        <f>IF(BJ51&gt;0,"Calculate",0)</f>
        <v>0</v>
      </c>
      <c r="CM51" s="2613"/>
      <c r="CN51" s="169">
        <f t="shared" si="1"/>
        <v>5</v>
      </c>
      <c r="CO51" s="169"/>
      <c r="CP51" s="2278">
        <v>15</v>
      </c>
      <c r="CQ51" s="176" t="s">
        <v>741</v>
      </c>
      <c r="CR51" s="176">
        <v>7.2</v>
      </c>
      <c r="CS51" s="176">
        <v>2</v>
      </c>
      <c r="CT51" s="176">
        <v>4.2</v>
      </c>
      <c r="CU51" s="177" t="s">
        <v>706</v>
      </c>
      <c r="CV51" s="2623"/>
      <c r="CW51" s="169">
        <f>(CR51*F51)-CZ51</f>
        <v>26750</v>
      </c>
      <c r="CX51" s="2621"/>
      <c r="CY51" s="2625"/>
      <c r="CZ51" s="155">
        <f>2*(F51)-(0.15*1*(F51))</f>
        <v>9250</v>
      </c>
      <c r="DA51" s="2627"/>
      <c r="DB51" s="169">
        <f>CZ51-DD51</f>
        <v>9250</v>
      </c>
      <c r="DC51" s="2621"/>
      <c r="DD51" s="169">
        <v>0</v>
      </c>
      <c r="DE51" s="2621"/>
      <c r="DF51" s="169">
        <v>0</v>
      </c>
      <c r="DG51" s="2621"/>
      <c r="DH51" s="169">
        <f>CZ51-(DD51+DF51+DJ51+DL51+DN51+DT51+DV51+DX51)</f>
        <v>9250</v>
      </c>
      <c r="DI51" s="2621"/>
      <c r="DJ51" s="169">
        <v>0</v>
      </c>
      <c r="DK51" s="2621"/>
      <c r="DL51" s="169">
        <v>0</v>
      </c>
      <c r="DM51" s="2621"/>
      <c r="DN51" s="169">
        <v>0</v>
      </c>
      <c r="DO51" s="2621"/>
      <c r="DP51" s="169">
        <v>0</v>
      </c>
      <c r="DQ51" s="2621"/>
      <c r="DR51" s="169">
        <v>0</v>
      </c>
      <c r="DS51" s="2621"/>
      <c r="DT51" s="169">
        <v>0</v>
      </c>
      <c r="DU51" s="2621"/>
      <c r="DV51" s="169">
        <v>0</v>
      </c>
      <c r="DW51" s="2621"/>
      <c r="DX51" s="171">
        <f t="shared" si="2"/>
        <v>0</v>
      </c>
      <c r="DY51" s="2621"/>
      <c r="DZ51" s="171">
        <v>0</v>
      </c>
      <c r="EA51" s="2621"/>
      <c r="EB51" s="171">
        <v>0</v>
      </c>
      <c r="EC51" s="2621"/>
      <c r="ED51" s="171">
        <v>0</v>
      </c>
      <c r="EE51" s="2621"/>
      <c r="EF51" s="171">
        <v>0</v>
      </c>
      <c r="EG51" s="2621"/>
      <c r="EH51" s="171">
        <v>0</v>
      </c>
      <c r="EI51" s="2621"/>
      <c r="EJ51" s="171">
        <v>0</v>
      </c>
      <c r="EK51" s="2613"/>
      <c r="EL51" s="169">
        <f>CW51+CZ51</f>
        <v>36000</v>
      </c>
      <c r="EM51" s="2629"/>
      <c r="EN51" s="170">
        <f>CW51/1000</f>
        <v>26.75</v>
      </c>
      <c r="EO51" s="2629"/>
      <c r="EP51" s="170">
        <f t="shared" si="13"/>
        <v>13.375</v>
      </c>
      <c r="EQ51" s="2629"/>
      <c r="ER51" s="170">
        <f t="shared" si="14"/>
        <v>13.375</v>
      </c>
      <c r="ES51" s="2629"/>
      <c r="ET51" s="170">
        <f>FA51+FG51+FQ51</f>
        <v>14.350000000000001</v>
      </c>
      <c r="EU51" s="2621"/>
      <c r="EV51" s="170">
        <f>3.06*EN51</f>
        <v>81.855000000000004</v>
      </c>
      <c r="EW51" s="2621"/>
      <c r="EX51" s="170">
        <f>ROUND((DH51+DF51+DD51)/1000*3,0)+ROUND((ROUND(DL51/400,0))/2.67,0)+ROUND(DV51/1000,0)+ROUND((DZ51+EB51+ED51+EH51)/1000*3,0)+ROUND(EN51/25,0)+ROUND(ET51/50,0)</f>
        <v>29</v>
      </c>
      <c r="EY51" s="2621"/>
      <c r="EZ51" s="2639"/>
      <c r="FA51" s="286">
        <f>(0.5*EN51)*0.4</f>
        <v>5.3500000000000005</v>
      </c>
      <c r="FB51" s="2621"/>
      <c r="FC51" s="286">
        <v>0</v>
      </c>
      <c r="FD51" s="2621"/>
      <c r="FE51" s="286">
        <v>0</v>
      </c>
      <c r="FF51" s="2621"/>
      <c r="FG51" s="170">
        <f>ROUND((DH51+DJ51+DD51+DN51+DT51)/1000,0)</f>
        <v>9</v>
      </c>
      <c r="FH51" s="2621"/>
      <c r="FI51" s="170">
        <f>DF51/1000</f>
        <v>0</v>
      </c>
      <c r="FJ51" s="2621"/>
      <c r="FK51" s="170">
        <f>((DL51/400)/12)</f>
        <v>0</v>
      </c>
      <c r="FL51" s="2621"/>
      <c r="FM51" s="170">
        <v>0</v>
      </c>
      <c r="FN51" s="2621"/>
      <c r="FO51" s="170">
        <v>0</v>
      </c>
      <c r="FP51" s="2629"/>
      <c r="FQ51" s="170">
        <f>DX51/1000</f>
        <v>0</v>
      </c>
      <c r="FR51" s="2621"/>
      <c r="FS51" s="2635"/>
      <c r="FT51" s="2637"/>
      <c r="FU51" s="2631"/>
      <c r="FV51" s="2633"/>
      <c r="FW51" s="2633"/>
      <c r="FX51" s="2631"/>
      <c r="FY51" s="2631"/>
      <c r="FZ51" s="2631"/>
      <c r="GA51" s="2631"/>
      <c r="GB51" s="2631"/>
      <c r="GC51" s="2631"/>
      <c r="GD51" s="2631"/>
      <c r="GE51" s="2631"/>
      <c r="GF51" s="2631"/>
      <c r="GG51" s="2631"/>
      <c r="GH51" s="2631"/>
      <c r="GI51" s="2631"/>
      <c r="GJ51" s="2631"/>
      <c r="GK51" s="2631"/>
      <c r="GL51" s="2633"/>
      <c r="GM51" s="2633"/>
      <c r="GN51" s="2633"/>
      <c r="GO51" s="2615"/>
      <c r="GP51" s="181">
        <f>EP51-BR51</f>
        <v>13.375</v>
      </c>
      <c r="GQ51" s="2615"/>
      <c r="GR51" s="181">
        <f>EV51-BT51</f>
        <v>81.855000000000004</v>
      </c>
      <c r="GS51" s="2615"/>
      <c r="GT51" s="287">
        <f>EX51-BV51</f>
        <v>14</v>
      </c>
      <c r="GU51" s="181">
        <f>FA51-BX51</f>
        <v>5.3500000000000005</v>
      </c>
      <c r="GV51" s="287">
        <f>FI51-CD51</f>
        <v>0</v>
      </c>
      <c r="GW51" s="287">
        <v>0</v>
      </c>
      <c r="GX51" s="287">
        <f>FG51-CB51</f>
        <v>4</v>
      </c>
      <c r="GY51" s="287">
        <f>FK51-CF51</f>
        <v>0</v>
      </c>
      <c r="GZ51" s="181">
        <f>FM51-CH51</f>
        <v>0</v>
      </c>
      <c r="HA51" s="287">
        <f>FO51-CJ51</f>
        <v>0</v>
      </c>
      <c r="HB51" s="287">
        <f>FQ51-CL51</f>
        <v>0</v>
      </c>
      <c r="HC51" s="2641"/>
      <c r="HD51" s="95"/>
      <c r="HE51" s="95"/>
    </row>
    <row r="52" spans="1:221" s="95" customFormat="1" ht="18.75">
      <c r="A52" s="2263"/>
      <c r="B52" s="236"/>
      <c r="C52" s="132"/>
      <c r="D52" s="132"/>
      <c r="E52" s="132"/>
      <c r="F52" s="134"/>
      <c r="G52" s="135"/>
      <c r="H52" s="136"/>
      <c r="I52" s="132"/>
      <c r="J52" s="132"/>
      <c r="K52" s="132"/>
      <c r="L52" s="132"/>
      <c r="M52" s="134"/>
      <c r="N52" s="134"/>
      <c r="O52" s="134"/>
      <c r="P52" s="134"/>
      <c r="Q52" s="137"/>
      <c r="S52" s="101"/>
      <c r="T52" s="97"/>
      <c r="U52" s="2244"/>
      <c r="V52" s="102"/>
      <c r="W52" s="2251"/>
      <c r="X52" s="97"/>
      <c r="Y52" s="2244"/>
      <c r="Z52" s="103"/>
      <c r="AA52" s="2251"/>
      <c r="AB52" s="103"/>
      <c r="AC52" s="2251"/>
      <c r="AD52" s="103"/>
      <c r="AE52" s="2251"/>
      <c r="AF52" s="103"/>
      <c r="AG52" s="103"/>
      <c r="AH52" s="103"/>
      <c r="AI52" s="103"/>
      <c r="AJ52" s="103"/>
      <c r="AK52" s="2251"/>
      <c r="AL52" s="103"/>
      <c r="AM52" s="2251"/>
      <c r="AN52" s="103"/>
      <c r="AO52" s="2224"/>
      <c r="AP52" s="103"/>
      <c r="AQ52" s="2251"/>
      <c r="AR52" s="103"/>
      <c r="AS52" s="2251"/>
      <c r="AT52" s="103"/>
      <c r="AU52" s="2251"/>
      <c r="AV52" s="103"/>
      <c r="AW52" s="2251"/>
      <c r="AX52" s="103"/>
      <c r="AY52" s="2251"/>
      <c r="AZ52" s="75">
        <f t="shared" si="0"/>
        <v>0</v>
      </c>
      <c r="BA52" s="2224"/>
      <c r="BB52" s="97"/>
      <c r="BC52" s="2224"/>
      <c r="BD52" s="97"/>
      <c r="BE52" s="2224"/>
      <c r="BF52" s="97"/>
      <c r="BG52" s="2224"/>
      <c r="BH52" s="97"/>
      <c r="BI52" s="2224"/>
      <c r="BJ52" s="97"/>
      <c r="BK52" s="2224"/>
      <c r="BL52" s="97"/>
      <c r="BM52" s="2251"/>
      <c r="BN52" s="97"/>
      <c r="BO52" s="2251"/>
      <c r="BP52" s="97"/>
      <c r="BQ52" s="2251"/>
      <c r="BR52" s="97"/>
      <c r="BS52" s="2251"/>
      <c r="BT52" s="185"/>
      <c r="BU52" s="2251"/>
      <c r="BV52" s="138"/>
      <c r="BW52" s="2251"/>
      <c r="BX52" s="97"/>
      <c r="BY52" s="2251"/>
      <c r="BZ52" s="97"/>
      <c r="CA52" s="2251"/>
      <c r="CB52" s="97"/>
      <c r="CC52" s="2251"/>
      <c r="CD52" s="97"/>
      <c r="CE52" s="2251"/>
      <c r="CF52" s="97"/>
      <c r="CG52" s="2251"/>
      <c r="CH52" s="105"/>
      <c r="CI52" s="2251"/>
      <c r="CJ52" s="97"/>
      <c r="CK52" s="2251"/>
      <c r="CL52" s="97"/>
      <c r="CM52" s="2251"/>
      <c r="CN52" s="73">
        <f t="shared" si="1"/>
        <v>0</v>
      </c>
      <c r="CO52" s="97"/>
      <c r="CP52" s="106"/>
      <c r="CQ52" s="139"/>
      <c r="CR52" s="139"/>
      <c r="CS52" s="139"/>
      <c r="CT52" s="139"/>
      <c r="CU52" s="108"/>
      <c r="CV52" s="2258"/>
      <c r="CW52" s="97"/>
      <c r="CX52" s="2244"/>
      <c r="CY52" s="2261"/>
      <c r="CZ52" s="83"/>
      <c r="DA52" s="2253"/>
      <c r="DB52" s="97"/>
      <c r="DC52" s="2244"/>
      <c r="DD52" s="97"/>
      <c r="DE52" s="2244"/>
      <c r="DF52" s="97"/>
      <c r="DG52" s="2244"/>
      <c r="DH52" s="97"/>
      <c r="DI52" s="2244"/>
      <c r="DJ52" s="97"/>
      <c r="DK52" s="2244"/>
      <c r="DL52" s="97"/>
      <c r="DM52" s="2244"/>
      <c r="DN52" s="97"/>
      <c r="DO52" s="2244"/>
      <c r="DP52" s="97"/>
      <c r="DQ52" s="2244"/>
      <c r="DR52" s="97"/>
      <c r="DS52" s="2244"/>
      <c r="DT52" s="97"/>
      <c r="DU52" s="2244"/>
      <c r="DV52" s="97"/>
      <c r="DW52" s="2244"/>
      <c r="DX52" s="75"/>
      <c r="DY52" s="2244"/>
      <c r="DZ52" s="103"/>
      <c r="EA52" s="2244"/>
      <c r="EB52" s="103"/>
      <c r="EC52" s="2244"/>
      <c r="ED52" s="103"/>
      <c r="EE52" s="2244"/>
      <c r="EF52" s="103"/>
      <c r="EG52" s="2244"/>
      <c r="EH52" s="103"/>
      <c r="EI52" s="2244"/>
      <c r="EJ52" s="103"/>
      <c r="EK52" s="2251"/>
      <c r="EL52" s="97"/>
      <c r="EM52" s="2246"/>
      <c r="EN52" s="102"/>
      <c r="EO52" s="2246"/>
      <c r="EP52" s="102"/>
      <c r="EQ52" s="110"/>
      <c r="ER52" s="102"/>
      <c r="ES52" s="110"/>
      <c r="ET52" s="74"/>
      <c r="EU52" s="2244"/>
      <c r="EV52" s="122"/>
      <c r="EW52" s="2244"/>
      <c r="EX52" s="88"/>
      <c r="EY52" s="2244"/>
      <c r="EZ52" s="2248"/>
      <c r="FA52" s="2224"/>
      <c r="FB52" s="2244"/>
      <c r="FC52" s="194"/>
      <c r="FD52" s="2244"/>
      <c r="FE52" s="2224"/>
      <c r="FF52" s="2244"/>
      <c r="FG52" s="74"/>
      <c r="FH52" s="2244"/>
      <c r="FI52" s="74"/>
      <c r="FJ52" s="2244"/>
      <c r="FK52" s="102"/>
      <c r="FL52" s="2244"/>
      <c r="FM52" s="102"/>
      <c r="FN52" s="2244"/>
      <c r="FO52" s="102"/>
      <c r="FP52" s="110"/>
      <c r="FQ52" s="102"/>
      <c r="FR52" s="2244"/>
      <c r="FS52" s="2244"/>
      <c r="FT52" s="2240"/>
      <c r="FU52" s="2233"/>
      <c r="FV52" s="2235"/>
      <c r="FW52" s="2235"/>
      <c r="FX52" s="2233"/>
      <c r="FY52" s="2233"/>
      <c r="FZ52" s="2233"/>
      <c r="GA52" s="2232"/>
      <c r="GB52" s="2233"/>
      <c r="GC52" s="2233"/>
      <c r="GD52" s="2233"/>
      <c r="GE52" s="2232"/>
      <c r="GF52" s="2233"/>
      <c r="GG52" s="2232"/>
      <c r="GH52" s="2232"/>
      <c r="GI52" s="2232"/>
      <c r="GJ52" s="2232"/>
      <c r="GK52" s="2232"/>
      <c r="GL52" s="2235"/>
      <c r="GM52" s="2235"/>
      <c r="GN52" s="2235"/>
      <c r="GO52" s="2224"/>
      <c r="GP52" s="112"/>
      <c r="GQ52" s="2224"/>
      <c r="GR52" s="112"/>
      <c r="GS52" s="2224"/>
      <c r="GT52" s="195"/>
      <c r="GU52" s="114"/>
      <c r="GV52" s="195"/>
      <c r="GW52" s="195"/>
      <c r="GX52" s="195"/>
      <c r="GY52" s="195"/>
      <c r="GZ52" s="112"/>
      <c r="HA52" s="195"/>
      <c r="HB52" s="195"/>
      <c r="HC52" s="2230"/>
    </row>
    <row r="53" spans="1:221" s="90" customFormat="1" ht="15" customHeight="1">
      <c r="A53" s="2588">
        <v>20</v>
      </c>
      <c r="B53" s="3689" t="s">
        <v>721</v>
      </c>
      <c r="C53" s="115">
        <v>2849</v>
      </c>
      <c r="D53" s="115">
        <v>13</v>
      </c>
      <c r="E53" s="183">
        <v>2028490013</v>
      </c>
      <c r="F53" s="117">
        <v>7200</v>
      </c>
      <c r="G53" s="118" t="s">
        <v>704</v>
      </c>
      <c r="H53" s="119"/>
      <c r="I53" s="115">
        <v>0.08</v>
      </c>
      <c r="J53" s="115">
        <v>0</v>
      </c>
      <c r="K53" s="115">
        <v>2</v>
      </c>
      <c r="L53" s="115">
        <v>6.5</v>
      </c>
      <c r="M53" s="117">
        <v>600</v>
      </c>
      <c r="N53" s="117">
        <v>0</v>
      </c>
      <c r="O53" s="117">
        <v>0</v>
      </c>
      <c r="P53" s="117">
        <v>600</v>
      </c>
      <c r="Q53" s="120">
        <v>0</v>
      </c>
      <c r="R53" s="90" t="s">
        <v>711</v>
      </c>
      <c r="S53" s="2590">
        <f>SUM(T53:T54)</f>
        <v>0</v>
      </c>
      <c r="T53" s="121">
        <v>0</v>
      </c>
      <c r="U53" s="2590">
        <f>SUM(V53:V54)</f>
        <v>1100</v>
      </c>
      <c r="V53" s="122">
        <f>M53</f>
        <v>600</v>
      </c>
      <c r="W53" s="2590">
        <f>SUM(X53:X54)</f>
        <v>1100</v>
      </c>
      <c r="X53" s="121">
        <f>V53-Z53</f>
        <v>600</v>
      </c>
      <c r="Y53" s="2590">
        <f>SUM(Z53:Z54)</f>
        <v>0</v>
      </c>
      <c r="Z53" s="123">
        <v>0</v>
      </c>
      <c r="AA53" s="2590">
        <f>SUM(AB53:AB54)</f>
        <v>0</v>
      </c>
      <c r="AB53" s="123">
        <v>0</v>
      </c>
      <c r="AC53" s="2590">
        <f>SUM(AD53:AD54)</f>
        <v>0</v>
      </c>
      <c r="AD53" s="123">
        <f>V53-(Z53+AB53+AF53+AL53+AN53+AP53+AZ53+AR53+AT53+AV53+AX53)</f>
        <v>0</v>
      </c>
      <c r="AE53" s="2580">
        <f>SUM(AF53:AF54)</f>
        <v>0</v>
      </c>
      <c r="AF53" s="123">
        <f>AI53+AG53</f>
        <v>0</v>
      </c>
      <c r="AG53" s="123">
        <v>0</v>
      </c>
      <c r="AH53" s="2580">
        <f>SUM(AG53:AG54)</f>
        <v>0</v>
      </c>
      <c r="AI53" s="123">
        <v>0</v>
      </c>
      <c r="AJ53" s="2580">
        <f>SUM(AI53:AI54)</f>
        <v>0</v>
      </c>
      <c r="AK53" s="2580">
        <f>SUM(AL53:AL54)</f>
        <v>0</v>
      </c>
      <c r="AL53" s="123">
        <v>0</v>
      </c>
      <c r="AM53" s="2580">
        <f>SUM(AN53:AN54)</f>
        <v>0</v>
      </c>
      <c r="AN53" s="123">
        <v>0</v>
      </c>
      <c r="AO53" s="2582">
        <f>SUM(AP53:AP54)</f>
        <v>0</v>
      </c>
      <c r="AP53" s="123">
        <v>0</v>
      </c>
      <c r="AQ53" s="2580">
        <f>SUM(AR53:AR54)</f>
        <v>0</v>
      </c>
      <c r="AR53" s="123">
        <v>0</v>
      </c>
      <c r="AS53" s="2580">
        <f>SUM(AT53:AT54)</f>
        <v>500</v>
      </c>
      <c r="AT53" s="123">
        <v>0</v>
      </c>
      <c r="AU53" s="2580">
        <f>SUM(AV53:AV54)</f>
        <v>600</v>
      </c>
      <c r="AV53" s="123">
        <v>600</v>
      </c>
      <c r="AW53" s="2580">
        <f>SUM(AX53:AX54)</f>
        <v>0</v>
      </c>
      <c r="AX53" s="123">
        <v>0</v>
      </c>
      <c r="AY53" s="2580">
        <f>SUM(AZ53:AZ54)</f>
        <v>0</v>
      </c>
      <c r="AZ53" s="103">
        <f t="shared" si="0"/>
        <v>0</v>
      </c>
      <c r="BA53" s="2582">
        <f>SUM(BB53:BB54)</f>
        <v>0</v>
      </c>
      <c r="BB53" s="184">
        <v>0</v>
      </c>
      <c r="BC53" s="2582">
        <f>SUM(BD53:BD54)</f>
        <v>0</v>
      </c>
      <c r="BD53" s="184">
        <v>0</v>
      </c>
      <c r="BE53" s="2582">
        <f>SUM(BF53:BF54)</f>
        <v>0</v>
      </c>
      <c r="BF53" s="184">
        <v>0</v>
      </c>
      <c r="BG53" s="2582">
        <f>SUM(BH53:BH54)</f>
        <v>0</v>
      </c>
      <c r="BH53" s="184">
        <v>0</v>
      </c>
      <c r="BI53" s="2582">
        <f>SUM(BJ53:BJ54)</f>
        <v>0</v>
      </c>
      <c r="BJ53" s="184">
        <v>0</v>
      </c>
      <c r="BK53" s="2582">
        <f>SUM(BL53:BL54)</f>
        <v>0</v>
      </c>
      <c r="BL53" s="184">
        <v>0</v>
      </c>
      <c r="BM53" s="2580">
        <f>SUM(BN53:BN54)</f>
        <v>1100</v>
      </c>
      <c r="BN53" s="121">
        <f>ROUND(T53+V53,0)</f>
        <v>600</v>
      </c>
      <c r="BO53" s="2580">
        <f>SUM(BP53:BP54)</f>
        <v>0</v>
      </c>
      <c r="BP53" s="121">
        <f>T53/1000</f>
        <v>0</v>
      </c>
      <c r="BQ53" s="2580">
        <f>SUM(BR53:BR54)</f>
        <v>0</v>
      </c>
      <c r="BR53" s="124">
        <v>0</v>
      </c>
      <c r="BS53" s="2580">
        <f>SUM(BT53:BT54)</f>
        <v>0</v>
      </c>
      <c r="BT53" s="185">
        <f t="shared" si="3"/>
        <v>0</v>
      </c>
      <c r="BU53" s="2580">
        <f>SUM(BV53:BV54)</f>
        <v>2</v>
      </c>
      <c r="BV53" s="125">
        <f>ROUND((X53+AB53+Z53)/1000*3,0)+ROUND((AF53+AX53)/1000,0)+ROUND((ROUND(AL53/400,0))/2.67,0)+ROUND(AP53/250,0)+ROUND(AR53/15000,0)+ROUND((BB53+BD53+BF53+BJ53)/1000*3,0)+ROUND(BP53/25,0)+ROUND('[1]Potential Development Sites'!BS160/50,0)</f>
        <v>2</v>
      </c>
      <c r="BW53" s="2580">
        <f>SUM(BX53:BX54)</f>
        <v>0</v>
      </c>
      <c r="BX53" s="121">
        <v>0</v>
      </c>
      <c r="BY53" s="2580">
        <f>SUM(BZ53:BZ54)</f>
        <v>0</v>
      </c>
      <c r="BZ53" s="121">
        <v>0</v>
      </c>
      <c r="CA53" s="2580">
        <f>SUM(CB53:CB54)</f>
        <v>6.5</v>
      </c>
      <c r="CB53" s="121">
        <v>6</v>
      </c>
      <c r="CC53" s="2580">
        <f>SUM(CD53:CD54)</f>
        <v>0</v>
      </c>
      <c r="CD53" s="121">
        <f>AB53/1000</f>
        <v>0</v>
      </c>
      <c r="CE53" s="2580">
        <f>SUM(CF53:CF54)</f>
        <v>0</v>
      </c>
      <c r="CF53" s="121">
        <f>AL53/1000</f>
        <v>0</v>
      </c>
      <c r="CG53" s="2580">
        <f>SUM(CH53:CH54)</f>
        <v>0</v>
      </c>
      <c r="CH53" s="121">
        <v>0</v>
      </c>
      <c r="CI53" s="2580">
        <f>SUM(CJ53:CJ54)</f>
        <v>0</v>
      </c>
      <c r="CJ53" s="121">
        <v>0</v>
      </c>
      <c r="CK53" s="2580">
        <f>SUM(CL53:CL54)</f>
        <v>0</v>
      </c>
      <c r="CL53" s="121">
        <v>0</v>
      </c>
      <c r="CM53" s="2580">
        <f>SUM(CN53:CN54)</f>
        <v>6.5</v>
      </c>
      <c r="CN53" s="97">
        <f t="shared" si="1"/>
        <v>6</v>
      </c>
      <c r="CO53" s="288"/>
      <c r="CP53" s="2265">
        <v>15</v>
      </c>
      <c r="CQ53" s="127" t="s">
        <v>705</v>
      </c>
      <c r="CR53" s="127">
        <v>4.5999999999999996</v>
      </c>
      <c r="CS53" s="127">
        <v>2</v>
      </c>
      <c r="CT53" s="127">
        <v>4.5999999999999996</v>
      </c>
      <c r="CU53" s="128" t="s">
        <v>706</v>
      </c>
      <c r="CV53" s="2596" t="s">
        <v>716</v>
      </c>
      <c r="CW53" s="121">
        <f>(CR53*F53)-CZ53</f>
        <v>27000</v>
      </c>
      <c r="CX53" s="2590">
        <f>SUM(CW53:CW54)</f>
        <v>64507.5</v>
      </c>
      <c r="CY53" s="2598">
        <f>SUM(CZ53:CZ54)</f>
        <v>14621.7</v>
      </c>
      <c r="CZ53" s="121">
        <f>1*(F53)-(0.15*1*(F53))</f>
        <v>6120</v>
      </c>
      <c r="DA53" s="2592">
        <f>SUM(DB53:DB54)</f>
        <v>14621.7</v>
      </c>
      <c r="DB53" s="121">
        <f>CZ53-DD53</f>
        <v>6120</v>
      </c>
      <c r="DC53" s="2590">
        <f>SUM(DD53:DD54)</f>
        <v>0</v>
      </c>
      <c r="DD53" s="121">
        <v>0</v>
      </c>
      <c r="DE53" s="2590">
        <f>SUM(DF53:DF54)</f>
        <v>6120</v>
      </c>
      <c r="DF53" s="289">
        <f>CZ53</f>
        <v>6120</v>
      </c>
      <c r="DG53" s="2590">
        <f>SUM(DH53:DH54)</f>
        <v>8501.7000000000007</v>
      </c>
      <c r="DH53" s="121">
        <f>CZ53-(DD53+DF53+DJ53+DL53+DN53+DT53+DV53+DX53)</f>
        <v>0</v>
      </c>
      <c r="DI53" s="2590">
        <f>SUM(DJ53:DJ54)</f>
        <v>0</v>
      </c>
      <c r="DJ53" s="121">
        <v>0</v>
      </c>
      <c r="DK53" s="2590">
        <f>SUM(DL53:DL54)</f>
        <v>0</v>
      </c>
      <c r="DL53" s="121">
        <v>0</v>
      </c>
      <c r="DM53" s="2590">
        <f>SUM(DN53:DN54)</f>
        <v>0</v>
      </c>
      <c r="DN53" s="121">
        <v>0</v>
      </c>
      <c r="DO53" s="2590">
        <f>SUM(DP53:DP54)</f>
        <v>0</v>
      </c>
      <c r="DP53" s="121">
        <v>0</v>
      </c>
      <c r="DQ53" s="2590">
        <f>SUM(DR53:DR54)</f>
        <v>0</v>
      </c>
      <c r="DR53" s="121">
        <v>0</v>
      </c>
      <c r="DS53" s="2590">
        <f>SUM(DT53:DT54)</f>
        <v>0</v>
      </c>
      <c r="DT53" s="121">
        <v>0</v>
      </c>
      <c r="DU53" s="2590">
        <f>SUM(DV53:DV54)</f>
        <v>0</v>
      </c>
      <c r="DV53" s="121">
        <v>0</v>
      </c>
      <c r="DW53" s="2590">
        <f>SUM(DX53:DX54)</f>
        <v>0</v>
      </c>
      <c r="DX53" s="103">
        <f t="shared" si="2"/>
        <v>0</v>
      </c>
      <c r="DY53" s="2590">
        <f>SUM(DZ53:DZ54)</f>
        <v>0</v>
      </c>
      <c r="DZ53" s="123">
        <f>BB53</f>
        <v>0</v>
      </c>
      <c r="EA53" s="2590">
        <f>SUM(EB53:EB54)</f>
        <v>0</v>
      </c>
      <c r="EB53" s="123">
        <f>BD53</f>
        <v>0</v>
      </c>
      <c r="EC53" s="2590">
        <f>SUM(ED53:ED54)</f>
        <v>0</v>
      </c>
      <c r="ED53" s="123">
        <f>BF53</f>
        <v>0</v>
      </c>
      <c r="EE53" s="2590">
        <f>SUM(EF53:EF54)</f>
        <v>0</v>
      </c>
      <c r="EF53" s="123">
        <f>BH53</f>
        <v>0</v>
      </c>
      <c r="EG53" s="2590">
        <f>SUM(EH53:EH54)</f>
        <v>0</v>
      </c>
      <c r="EH53" s="123">
        <f>BJ53</f>
        <v>0</v>
      </c>
      <c r="EI53" s="2590">
        <f>SUM(EJ53:EJ54)</f>
        <v>0</v>
      </c>
      <c r="EJ53" s="123">
        <v>0</v>
      </c>
      <c r="EK53" s="2580">
        <f>SUM(EL53:EL54)</f>
        <v>79129.2</v>
      </c>
      <c r="EL53" s="121">
        <f>CW53+CZ53</f>
        <v>33120</v>
      </c>
      <c r="EM53" s="2600">
        <f>SUM(EN53:EN54)</f>
        <v>65</v>
      </c>
      <c r="EN53" s="122">
        <f>CW53/'A-App Projected Sites '!EP$141</f>
        <v>27</v>
      </c>
      <c r="EO53" s="2600">
        <f>SUM(EP53:EP54)</f>
        <v>65</v>
      </c>
      <c r="EP53" s="122">
        <f>EN53</f>
        <v>27</v>
      </c>
      <c r="EQ53" s="2600">
        <f>SUM(ER53:ER54)</f>
        <v>65</v>
      </c>
      <c r="ER53" s="122">
        <f>EP53</f>
        <v>27</v>
      </c>
      <c r="ES53" s="2600">
        <f>SUM(ET53:ET54)</f>
        <v>15</v>
      </c>
      <c r="ET53" s="122">
        <f>FA53+FG53+FQ53</f>
        <v>6</v>
      </c>
      <c r="EU53" s="2590">
        <f>SUM(EV53:EV54)</f>
        <v>198.9</v>
      </c>
      <c r="EV53" s="122">
        <f>3.06*EN53</f>
        <v>82.62</v>
      </c>
      <c r="EW53" s="2590">
        <f>SUM(EX53:EX54)</f>
        <v>47</v>
      </c>
      <c r="EX53" s="186">
        <f>ROUND((DH53+DF53+DD53)/1000*3,0)+ROUND((ROUND(DL53/400,0))/2.67,0)+ROUND(DV53/1000,0)+ROUND((DZ53+EB53+ED53+EH53)/1000*3,0)+ROUND(EN53/25,0)+ROUND(ET53/50,0)</f>
        <v>19</v>
      </c>
      <c r="EY53" s="2590">
        <f>SUM(EZ53:EZ54)</f>
        <v>0</v>
      </c>
      <c r="EZ53" s="2610">
        <f>SUM(FA53:FA54)</f>
        <v>0</v>
      </c>
      <c r="FA53" s="2223">
        <v>0</v>
      </c>
      <c r="FB53" s="2590">
        <f>SUM(FC53:FC54)</f>
        <v>0</v>
      </c>
      <c r="FC53" s="2224">
        <v>0</v>
      </c>
      <c r="FD53" s="2590">
        <f>SUM(FE53:FE54)</f>
        <v>0</v>
      </c>
      <c r="FE53" s="2223">
        <v>0</v>
      </c>
      <c r="FF53" s="2590">
        <f>SUM(FG53:FG54)</f>
        <v>15</v>
      </c>
      <c r="FG53" s="102">
        <v>6</v>
      </c>
      <c r="FH53" s="2590">
        <f>SUM(FI53:FI54)</f>
        <v>6.12</v>
      </c>
      <c r="FI53" s="102">
        <f>DF53/1000</f>
        <v>6.12</v>
      </c>
      <c r="FJ53" s="2590">
        <f>SUM(FK53:FK54)</f>
        <v>0</v>
      </c>
      <c r="FK53" s="122">
        <f>((DL53/400)/12)</f>
        <v>0</v>
      </c>
      <c r="FL53" s="2590">
        <f>SUM(FM53:FM54)</f>
        <v>0</v>
      </c>
      <c r="FM53" s="122">
        <v>0</v>
      </c>
      <c r="FN53" s="2590">
        <f>SUM(FO53:FO54)</f>
        <v>0</v>
      </c>
      <c r="FO53" s="122">
        <v>0</v>
      </c>
      <c r="FP53" s="2600">
        <f>SUM(FQ53:FQ54)</f>
        <v>0</v>
      </c>
      <c r="FQ53" s="122">
        <f>DX53/1000</f>
        <v>0</v>
      </c>
      <c r="FR53" s="2590">
        <f>SUM(FS53:FS54)</f>
        <v>115</v>
      </c>
      <c r="FS53" s="2604">
        <v>115</v>
      </c>
      <c r="FT53" s="2606">
        <f>CX53-S53</f>
        <v>64507.5</v>
      </c>
      <c r="FU53" s="2602">
        <f>CY53-U53</f>
        <v>13521.7</v>
      </c>
      <c r="FV53" s="2608">
        <f>(DC53+DE53+DG53)-(Y53+AA53+AC53+AE53)</f>
        <v>14621.7</v>
      </c>
      <c r="FW53" s="2608">
        <f>DG53-AC53</f>
        <v>8501.7000000000007</v>
      </c>
      <c r="FX53" s="2602">
        <f>DE53-AA53</f>
        <v>6120</v>
      </c>
      <c r="FY53" s="2602">
        <f>DC53-Y53</f>
        <v>0</v>
      </c>
      <c r="FZ53" s="2602">
        <f>DJ53-AE53</f>
        <v>0</v>
      </c>
      <c r="GA53" s="2602">
        <f>DL53-AL53</f>
        <v>0</v>
      </c>
      <c r="GB53" s="2602">
        <f>DM53-AM53</f>
        <v>0</v>
      </c>
      <c r="GC53" s="2602">
        <f>DP53-AQ53</f>
        <v>0</v>
      </c>
      <c r="GD53" s="2602">
        <f>DR53-AS53</f>
        <v>-500</v>
      </c>
      <c r="GE53" s="2602">
        <f>DT53-AV53</f>
        <v>-600</v>
      </c>
      <c r="GF53" s="2602">
        <f>DV53-AW53</f>
        <v>0</v>
      </c>
      <c r="GG53" s="2602">
        <f>DZ53-BB53</f>
        <v>0</v>
      </c>
      <c r="GH53" s="2602">
        <f>EB53-BD53</f>
        <v>0</v>
      </c>
      <c r="GI53" s="2602">
        <f>ED53-BF53</f>
        <v>0</v>
      </c>
      <c r="GJ53" s="2602">
        <f>EF53-BH53</f>
        <v>0</v>
      </c>
      <c r="GK53" s="2602">
        <f>EH53-BJ53</f>
        <v>0</v>
      </c>
      <c r="GL53" s="2608">
        <f>DW53-AY53</f>
        <v>0</v>
      </c>
      <c r="GM53" s="2608">
        <f>EK53-BM53</f>
        <v>78029.2</v>
      </c>
      <c r="GN53" s="2608">
        <f>EM53-BO53</f>
        <v>65</v>
      </c>
      <c r="GO53" s="2582">
        <f>SUM(GP53:GP54)</f>
        <v>65</v>
      </c>
      <c r="GP53" s="113">
        <f>EP53-BR53</f>
        <v>27</v>
      </c>
      <c r="GQ53" s="2582">
        <f>SUM(GR53:GR54)</f>
        <v>198.9</v>
      </c>
      <c r="GR53" s="114">
        <f>EV53-BT53</f>
        <v>82.62</v>
      </c>
      <c r="GS53" s="2582">
        <f>SUM(GT53:GT54)</f>
        <v>45</v>
      </c>
      <c r="GT53" s="187">
        <f>EX53-BV53</f>
        <v>17</v>
      </c>
      <c r="GU53" s="114">
        <f>FA53-BX53</f>
        <v>0</v>
      </c>
      <c r="GV53" s="187">
        <f>FI53-CD53</f>
        <v>6.12</v>
      </c>
      <c r="GW53" s="187">
        <v>0</v>
      </c>
      <c r="GX53" s="187">
        <f>FG53-CB53</f>
        <v>0</v>
      </c>
      <c r="GY53" s="187">
        <f>FK53-CF53</f>
        <v>0</v>
      </c>
      <c r="GZ53" s="114">
        <f>FM53-CH53</f>
        <v>0</v>
      </c>
      <c r="HA53" s="187">
        <f>FO53-CJ53</f>
        <v>0</v>
      </c>
      <c r="HB53" s="187">
        <f>FQ53-CL53</f>
        <v>0</v>
      </c>
      <c r="HC53" s="2616">
        <f>ES53-CM53</f>
        <v>8.5</v>
      </c>
      <c r="HD53" s="95"/>
      <c r="HE53" s="95"/>
    </row>
    <row r="54" spans="1:221" s="72" customFormat="1" ht="15" customHeight="1">
      <c r="A54" s="2589"/>
      <c r="B54" s="130" t="s">
        <v>703</v>
      </c>
      <c r="C54" s="66">
        <v>2849</v>
      </c>
      <c r="D54" s="66">
        <v>9</v>
      </c>
      <c r="E54" s="67">
        <v>2028490009</v>
      </c>
      <c r="F54" s="68">
        <v>10002</v>
      </c>
      <c r="G54" s="69" t="s">
        <v>704</v>
      </c>
      <c r="H54" s="70"/>
      <c r="I54" s="66">
        <v>0.05</v>
      </c>
      <c r="J54" s="66">
        <v>0</v>
      </c>
      <c r="K54" s="66">
        <v>2</v>
      </c>
      <c r="L54" s="66">
        <v>6.5</v>
      </c>
      <c r="M54" s="68">
        <v>500</v>
      </c>
      <c r="N54" s="68">
        <v>0</v>
      </c>
      <c r="O54" s="68">
        <v>0</v>
      </c>
      <c r="P54" s="68">
        <v>500</v>
      </c>
      <c r="Q54" s="71">
        <v>0</v>
      </c>
      <c r="R54" s="72" t="s">
        <v>723</v>
      </c>
      <c r="S54" s="2591"/>
      <c r="T54" s="73">
        <v>0</v>
      </c>
      <c r="U54" s="2591"/>
      <c r="V54" s="74">
        <f>M54</f>
        <v>500</v>
      </c>
      <c r="W54" s="2591"/>
      <c r="X54" s="73">
        <f>V54-Z54</f>
        <v>500</v>
      </c>
      <c r="Y54" s="2591"/>
      <c r="Z54" s="75">
        <v>0</v>
      </c>
      <c r="AA54" s="2591"/>
      <c r="AB54" s="75">
        <v>0</v>
      </c>
      <c r="AC54" s="2591"/>
      <c r="AD54" s="75">
        <f>V54-(Z54+AB54+AF54+AL54+AN54+AP54+AZ54+AR54+AT54+AV54+AX54)</f>
        <v>0</v>
      </c>
      <c r="AE54" s="2581"/>
      <c r="AF54" s="75">
        <v>0</v>
      </c>
      <c r="AG54" s="75">
        <v>0</v>
      </c>
      <c r="AH54" s="2581"/>
      <c r="AI54" s="75">
        <v>0</v>
      </c>
      <c r="AJ54" s="2581"/>
      <c r="AK54" s="2581"/>
      <c r="AL54" s="75">
        <v>0</v>
      </c>
      <c r="AM54" s="2581"/>
      <c r="AN54" s="75">
        <v>0</v>
      </c>
      <c r="AO54" s="2583"/>
      <c r="AP54" s="75">
        <v>0</v>
      </c>
      <c r="AQ54" s="2581"/>
      <c r="AR54" s="75">
        <v>0</v>
      </c>
      <c r="AS54" s="2581"/>
      <c r="AT54" s="75">
        <v>500</v>
      </c>
      <c r="AU54" s="2581"/>
      <c r="AV54" s="75">
        <v>0</v>
      </c>
      <c r="AW54" s="2581"/>
      <c r="AX54" s="75">
        <v>0</v>
      </c>
      <c r="AY54" s="2581"/>
      <c r="AZ54" s="75">
        <f t="shared" si="0"/>
        <v>0</v>
      </c>
      <c r="BA54" s="2583"/>
      <c r="BB54" s="188">
        <v>0</v>
      </c>
      <c r="BC54" s="2583"/>
      <c r="BD54" s="188">
        <v>0</v>
      </c>
      <c r="BE54" s="2583"/>
      <c r="BF54" s="188">
        <v>0</v>
      </c>
      <c r="BG54" s="2583"/>
      <c r="BH54" s="188">
        <v>0</v>
      </c>
      <c r="BI54" s="2583"/>
      <c r="BJ54" s="188">
        <v>0</v>
      </c>
      <c r="BK54" s="2583"/>
      <c r="BL54" s="188">
        <v>0</v>
      </c>
      <c r="BM54" s="2581"/>
      <c r="BN54" s="73">
        <f>ROUND(T54+V54,0)</f>
        <v>500</v>
      </c>
      <c r="BO54" s="2581"/>
      <c r="BP54" s="73">
        <f>ROUND(T54/EP$141,0)</f>
        <v>0</v>
      </c>
      <c r="BQ54" s="2581"/>
      <c r="BR54" s="73">
        <f>BR$142*BP54</f>
        <v>0</v>
      </c>
      <c r="BS54" s="2581"/>
      <c r="BT54" s="189">
        <f t="shared" si="3"/>
        <v>0</v>
      </c>
      <c r="BU54" s="2581"/>
      <c r="BV54" s="78">
        <f>ROUND((AD54+AB54+Z54)/1000*3,0)+ROUND((AF54+AX54)/1000,0)+ROUND((ROUND(AL54/400,0))/2.67,0)+ROUND(AN54/250,0)+ROUND(AR54/15000,0)+ROUND((BB54+BD54+BF54+BJ54)/1000*3,0)+ROUND(BP54/25,0)+ROUND(CN54/50,0)</f>
        <v>0</v>
      </c>
      <c r="BW54" s="2581"/>
      <c r="BX54" s="73">
        <v>0</v>
      </c>
      <c r="BY54" s="2581"/>
      <c r="BZ54" s="73">
        <v>0</v>
      </c>
      <c r="CA54" s="2581"/>
      <c r="CB54" s="73">
        <f>V54/1000</f>
        <v>0.5</v>
      </c>
      <c r="CC54" s="2581"/>
      <c r="CD54" s="73">
        <f>AB54/1000</f>
        <v>0</v>
      </c>
      <c r="CE54" s="2581"/>
      <c r="CF54" s="73">
        <f>((AL54/400)/12)</f>
        <v>0</v>
      </c>
      <c r="CG54" s="2581"/>
      <c r="CH54" s="79">
        <f>IFERROR(VLOOKUP(E54,#REF!,3,FALSE),0)</f>
        <v>0</v>
      </c>
      <c r="CI54" s="2581"/>
      <c r="CJ54" s="73" t="b">
        <f>IF(G54="M1-2",F54/1000)</f>
        <v>0</v>
      </c>
      <c r="CK54" s="2581"/>
      <c r="CL54" s="73">
        <f>IF(BJ54&gt;0,"Calculate",0)</f>
        <v>0</v>
      </c>
      <c r="CM54" s="2581"/>
      <c r="CN54" s="73">
        <f t="shared" si="1"/>
        <v>0.5</v>
      </c>
      <c r="CO54" s="73"/>
      <c r="CP54" s="2266">
        <v>10</v>
      </c>
      <c r="CQ54" s="81" t="s">
        <v>705</v>
      </c>
      <c r="CR54" s="81">
        <v>4.5999999999999996</v>
      </c>
      <c r="CS54" s="81">
        <v>2</v>
      </c>
      <c r="CT54" s="81">
        <v>4.5999999999999996</v>
      </c>
      <c r="CU54" s="82" t="s">
        <v>706</v>
      </c>
      <c r="CV54" s="2662"/>
      <c r="CW54" s="73">
        <f>(CR54*F54)-CZ54</f>
        <v>37507.5</v>
      </c>
      <c r="CX54" s="2591"/>
      <c r="CY54" s="2599"/>
      <c r="CZ54" s="73">
        <f>1*(F54)-(0.15*1*(F54))</f>
        <v>8501.7000000000007</v>
      </c>
      <c r="DA54" s="2593"/>
      <c r="DB54" s="73">
        <f>CZ54-DD54</f>
        <v>8501.7000000000007</v>
      </c>
      <c r="DC54" s="2591"/>
      <c r="DD54" s="73">
        <v>0</v>
      </c>
      <c r="DE54" s="2591"/>
      <c r="DF54" s="84">
        <v>0</v>
      </c>
      <c r="DG54" s="2591"/>
      <c r="DH54" s="73">
        <f>CZ54-(DD54+DF54+DJ54+DL54+DN54+DT54+DV54+DX54)</f>
        <v>8501.7000000000007</v>
      </c>
      <c r="DI54" s="2591"/>
      <c r="DJ54" s="73">
        <v>0</v>
      </c>
      <c r="DK54" s="2591"/>
      <c r="DL54" s="73">
        <v>0</v>
      </c>
      <c r="DM54" s="2591"/>
      <c r="DN54" s="73">
        <v>0</v>
      </c>
      <c r="DO54" s="2591"/>
      <c r="DP54" s="73">
        <v>0</v>
      </c>
      <c r="DQ54" s="2591"/>
      <c r="DR54" s="73">
        <v>0</v>
      </c>
      <c r="DS54" s="2591"/>
      <c r="DT54" s="73">
        <v>0</v>
      </c>
      <c r="DU54" s="2591"/>
      <c r="DV54" s="73">
        <v>0</v>
      </c>
      <c r="DW54" s="2591"/>
      <c r="DX54" s="75">
        <f t="shared" si="2"/>
        <v>0</v>
      </c>
      <c r="DY54" s="2591"/>
      <c r="DZ54" s="75">
        <v>0</v>
      </c>
      <c r="EA54" s="2591"/>
      <c r="EB54" s="75">
        <v>0</v>
      </c>
      <c r="EC54" s="2591"/>
      <c r="ED54" s="75">
        <v>0</v>
      </c>
      <c r="EE54" s="2591"/>
      <c r="EF54" s="75">
        <v>0</v>
      </c>
      <c r="EG54" s="2591"/>
      <c r="EH54" s="75">
        <v>0</v>
      </c>
      <c r="EI54" s="2591"/>
      <c r="EJ54" s="75">
        <v>0</v>
      </c>
      <c r="EK54" s="2581"/>
      <c r="EL54" s="73">
        <f>CW54+CZ54</f>
        <v>46009.2</v>
      </c>
      <c r="EM54" s="2601"/>
      <c r="EN54" s="74">
        <f>ROUND(CW54/EP$141,0)</f>
        <v>38</v>
      </c>
      <c r="EO54" s="2601"/>
      <c r="EP54" s="74">
        <f>EN54</f>
        <v>38</v>
      </c>
      <c r="EQ54" s="2601"/>
      <c r="ER54" s="74">
        <f>EP54</f>
        <v>38</v>
      </c>
      <c r="ES54" s="2601"/>
      <c r="ET54" s="74">
        <f>FA54+FG54+FQ54</f>
        <v>9</v>
      </c>
      <c r="EU54" s="2591"/>
      <c r="EV54" s="74">
        <f>3.06*EN54</f>
        <v>116.28</v>
      </c>
      <c r="EW54" s="2591"/>
      <c r="EX54" s="88">
        <f>ROUND((DH54+DF54+DD54)/1000*3,0)+ROUND((ROUND(DL54/400,0))/2.67,0)+ROUND(DV54/1000,0)+ROUND((DZ54+EB54+ED54+EH54)/1000*3,0)+ROUND(EN54/25,0)+ROUND(ET54/50,0)</f>
        <v>28</v>
      </c>
      <c r="EY54" s="2591"/>
      <c r="EZ54" s="2611"/>
      <c r="FA54" s="2225">
        <v>0</v>
      </c>
      <c r="FB54" s="2591"/>
      <c r="FC54" s="2225">
        <v>0</v>
      </c>
      <c r="FD54" s="2591"/>
      <c r="FE54" s="2225">
        <v>0</v>
      </c>
      <c r="FF54" s="2591"/>
      <c r="FG54" s="74">
        <f>ROUND((DH54+DJ54+DD54+DN54+DT54)/1000,0)</f>
        <v>9</v>
      </c>
      <c r="FH54" s="2591"/>
      <c r="FI54" s="74">
        <f>DF54/1000</f>
        <v>0</v>
      </c>
      <c r="FJ54" s="2591"/>
      <c r="FK54" s="74">
        <f>((DL54/400)/12)</f>
        <v>0</v>
      </c>
      <c r="FL54" s="2591"/>
      <c r="FM54" s="74">
        <v>0</v>
      </c>
      <c r="FN54" s="2591"/>
      <c r="FO54" s="74">
        <v>0</v>
      </c>
      <c r="FP54" s="2601"/>
      <c r="FQ54" s="74">
        <f>DX54/1000</f>
        <v>0</v>
      </c>
      <c r="FR54" s="2591"/>
      <c r="FS54" s="2605"/>
      <c r="FT54" s="2607"/>
      <c r="FU54" s="2603"/>
      <c r="FV54" s="2609"/>
      <c r="FW54" s="2609"/>
      <c r="FX54" s="2603"/>
      <c r="FY54" s="2603"/>
      <c r="FZ54" s="2603"/>
      <c r="GA54" s="2603"/>
      <c r="GB54" s="2603"/>
      <c r="GC54" s="2603"/>
      <c r="GD54" s="2603"/>
      <c r="GE54" s="2603"/>
      <c r="GF54" s="2603"/>
      <c r="GG54" s="2603"/>
      <c r="GH54" s="2603"/>
      <c r="GI54" s="2603"/>
      <c r="GJ54" s="2603"/>
      <c r="GK54" s="2603"/>
      <c r="GL54" s="2609"/>
      <c r="GM54" s="2609"/>
      <c r="GN54" s="2609"/>
      <c r="GO54" s="2583"/>
      <c r="GP54" s="89">
        <f>EP54-BR54</f>
        <v>38</v>
      </c>
      <c r="GQ54" s="2583"/>
      <c r="GR54" s="89">
        <f>EV54-BT54</f>
        <v>116.28</v>
      </c>
      <c r="GS54" s="2583"/>
      <c r="GT54" s="89">
        <f>EX54-BV54</f>
        <v>28</v>
      </c>
      <c r="GU54" s="113">
        <f>FA54-BX54</f>
        <v>0</v>
      </c>
      <c r="GV54" s="89">
        <f>FI54-CD54</f>
        <v>0</v>
      </c>
      <c r="GW54" s="89">
        <v>0</v>
      </c>
      <c r="GX54" s="89">
        <f>FG54-CB54</f>
        <v>8.5</v>
      </c>
      <c r="GY54" s="89">
        <f>FK54-CF54</f>
        <v>0</v>
      </c>
      <c r="GZ54" s="89">
        <f>FM54-CH54</f>
        <v>0</v>
      </c>
      <c r="HA54" s="89">
        <f>FO54-CJ54</f>
        <v>0</v>
      </c>
      <c r="HB54" s="89">
        <f>FQ54-CL54</f>
        <v>0</v>
      </c>
      <c r="HC54" s="2617"/>
      <c r="HD54" s="95"/>
      <c r="HE54" s="95"/>
    </row>
    <row r="55" spans="1:221" s="95" customFormat="1" ht="18.75">
      <c r="A55" s="2263"/>
      <c r="B55" s="131"/>
      <c r="C55" s="132"/>
      <c r="D55" s="132"/>
      <c r="E55" s="133"/>
      <c r="F55" s="134"/>
      <c r="G55" s="135"/>
      <c r="H55" s="136"/>
      <c r="I55" s="132"/>
      <c r="J55" s="132"/>
      <c r="K55" s="132"/>
      <c r="L55" s="132"/>
      <c r="M55" s="134"/>
      <c r="N55" s="134"/>
      <c r="O55" s="134"/>
      <c r="P55" s="134"/>
      <c r="Q55" s="120"/>
      <c r="S55" s="101"/>
      <c r="T55" s="97"/>
      <c r="U55" s="2244"/>
      <c r="V55" s="102"/>
      <c r="W55" s="2244"/>
      <c r="X55" s="97"/>
      <c r="Y55" s="2244"/>
      <c r="Z55" s="97"/>
      <c r="AA55" s="2244"/>
      <c r="AB55" s="97"/>
      <c r="AC55" s="2244"/>
      <c r="AD55" s="103"/>
      <c r="AE55" s="2251"/>
      <c r="AF55" s="103"/>
      <c r="AG55" s="103"/>
      <c r="AH55" s="103"/>
      <c r="AI55" s="103"/>
      <c r="AJ55" s="103"/>
      <c r="AK55" s="2251"/>
      <c r="AL55" s="103"/>
      <c r="AM55" s="2251"/>
      <c r="AN55" s="103"/>
      <c r="AO55" s="2224"/>
      <c r="AP55" s="103"/>
      <c r="AQ55" s="2251"/>
      <c r="AR55" s="103"/>
      <c r="AS55" s="2251"/>
      <c r="AT55" s="103"/>
      <c r="AU55" s="2251"/>
      <c r="AV55" s="103"/>
      <c r="AW55" s="2251"/>
      <c r="AX55" s="103"/>
      <c r="AY55" s="2251"/>
      <c r="AZ55" s="75">
        <f t="shared" si="0"/>
        <v>0</v>
      </c>
      <c r="BA55" s="2224"/>
      <c r="BB55" s="191"/>
      <c r="BC55" s="2224"/>
      <c r="BD55" s="191"/>
      <c r="BE55" s="2224"/>
      <c r="BF55" s="191"/>
      <c r="BG55" s="2224"/>
      <c r="BH55" s="191"/>
      <c r="BI55" s="2224"/>
      <c r="BJ55" s="191"/>
      <c r="BK55" s="2224"/>
      <c r="BL55" s="191"/>
      <c r="BM55" s="2251"/>
      <c r="BN55" s="97"/>
      <c r="BO55" s="2251"/>
      <c r="BP55" s="97"/>
      <c r="BQ55" s="2251"/>
      <c r="BR55" s="97"/>
      <c r="BS55" s="2251"/>
      <c r="BT55" s="104"/>
      <c r="BU55" s="2251"/>
      <c r="BV55" s="138"/>
      <c r="BW55" s="2251"/>
      <c r="BX55" s="97"/>
      <c r="BY55" s="2251"/>
      <c r="BZ55" s="97"/>
      <c r="CA55" s="2251"/>
      <c r="CB55" s="97"/>
      <c r="CC55" s="2251"/>
      <c r="CD55" s="97"/>
      <c r="CE55" s="2251"/>
      <c r="CF55" s="97"/>
      <c r="CG55" s="2251"/>
      <c r="CH55" s="105"/>
      <c r="CI55" s="2251"/>
      <c r="CJ55" s="97"/>
      <c r="CK55" s="2251"/>
      <c r="CL55" s="97"/>
      <c r="CM55" s="2251"/>
      <c r="CN55" s="73">
        <f t="shared" si="1"/>
        <v>0</v>
      </c>
      <c r="CO55" s="97"/>
      <c r="CP55" s="106"/>
      <c r="CQ55" s="139"/>
      <c r="CR55" s="139"/>
      <c r="CS55" s="139"/>
      <c r="CT55" s="139"/>
      <c r="CU55" s="108"/>
      <c r="CV55" s="230"/>
      <c r="CW55" s="97"/>
      <c r="CX55" s="2244"/>
      <c r="CY55" s="2261"/>
      <c r="CZ55" s="97"/>
      <c r="DA55" s="2253"/>
      <c r="DB55" s="97"/>
      <c r="DC55" s="2244"/>
      <c r="DD55" s="97"/>
      <c r="DE55" s="2244"/>
      <c r="DF55" s="97"/>
      <c r="DG55" s="2244"/>
      <c r="DH55" s="83"/>
      <c r="DI55" s="2244"/>
      <c r="DJ55" s="97"/>
      <c r="DK55" s="2244"/>
      <c r="DL55" s="97"/>
      <c r="DM55" s="2244"/>
      <c r="DN55" s="97"/>
      <c r="DO55" s="2244"/>
      <c r="DP55" s="97"/>
      <c r="DQ55" s="2244"/>
      <c r="DR55" s="97"/>
      <c r="DS55" s="2244"/>
      <c r="DT55" s="97"/>
      <c r="DU55" s="2244"/>
      <c r="DV55" s="97"/>
      <c r="DW55" s="2244"/>
      <c r="DX55" s="75"/>
      <c r="DY55" s="2244"/>
      <c r="DZ55" s="103"/>
      <c r="EA55" s="2244"/>
      <c r="EB55" s="103"/>
      <c r="EC55" s="2244"/>
      <c r="ED55" s="103"/>
      <c r="EE55" s="2244"/>
      <c r="EF55" s="103"/>
      <c r="EG55" s="2244"/>
      <c r="EH55" s="103"/>
      <c r="EI55" s="2244"/>
      <c r="EJ55" s="103"/>
      <c r="EK55" s="2251"/>
      <c r="EL55" s="97"/>
      <c r="EM55" s="2246"/>
      <c r="EN55" s="102"/>
      <c r="EO55" s="2246"/>
      <c r="EP55" s="102"/>
      <c r="EQ55" s="110"/>
      <c r="ER55" s="102"/>
      <c r="ES55" s="110"/>
      <c r="ET55" s="74"/>
      <c r="EU55" s="2244"/>
      <c r="EV55" s="111"/>
      <c r="EW55" s="2244"/>
      <c r="EX55" s="88"/>
      <c r="EY55" s="2244"/>
      <c r="EZ55" s="2248"/>
      <c r="FA55" s="2224"/>
      <c r="FB55" s="2244"/>
      <c r="FC55" s="2224"/>
      <c r="FD55" s="2244"/>
      <c r="FE55" s="2224"/>
      <c r="FF55" s="2244"/>
      <c r="FG55" s="102"/>
      <c r="FH55" s="2244"/>
      <c r="FI55" s="102"/>
      <c r="FJ55" s="2244"/>
      <c r="FK55" s="102"/>
      <c r="FL55" s="2244"/>
      <c r="FM55" s="102"/>
      <c r="FN55" s="2244"/>
      <c r="FO55" s="102"/>
      <c r="FP55" s="110"/>
      <c r="FQ55" s="102"/>
      <c r="FR55" s="2244"/>
      <c r="FS55" s="2244"/>
      <c r="FT55" s="2240"/>
      <c r="FU55" s="2233"/>
      <c r="FV55" s="2235"/>
      <c r="FW55" s="2235"/>
      <c r="FX55" s="2233"/>
      <c r="FY55" s="2233"/>
      <c r="FZ55" s="2233"/>
      <c r="GA55" s="2232"/>
      <c r="GB55" s="2233"/>
      <c r="GC55" s="2233"/>
      <c r="GD55" s="2233"/>
      <c r="GE55" s="2232"/>
      <c r="GF55" s="2233"/>
      <c r="GG55" s="2232"/>
      <c r="GH55" s="2232"/>
      <c r="GI55" s="2232"/>
      <c r="GJ55" s="2232"/>
      <c r="GK55" s="2232"/>
      <c r="GL55" s="2235"/>
      <c r="GM55" s="2235"/>
      <c r="GN55" s="2235"/>
      <c r="GO55" s="2224"/>
      <c r="GP55" s="89"/>
      <c r="GQ55" s="2224"/>
      <c r="GR55" s="112"/>
      <c r="GS55" s="2224"/>
      <c r="GT55" s="113"/>
      <c r="GU55" s="114"/>
      <c r="GV55" s="113"/>
      <c r="GW55" s="113"/>
      <c r="GX55" s="113"/>
      <c r="GY55" s="113"/>
      <c r="GZ55" s="112"/>
      <c r="HA55" s="113"/>
      <c r="HB55" s="113"/>
      <c r="HC55" s="2230"/>
    </row>
    <row r="56" spans="1:221" s="90" customFormat="1" ht="15" customHeight="1">
      <c r="A56" s="2588">
        <v>21</v>
      </c>
      <c r="B56" s="3689" t="s">
        <v>703</v>
      </c>
      <c r="C56" s="115">
        <v>2859</v>
      </c>
      <c r="D56" s="115">
        <v>33</v>
      </c>
      <c r="E56" s="183">
        <v>2028590033</v>
      </c>
      <c r="F56" s="290">
        <v>3250</v>
      </c>
      <c r="G56" s="115" t="s">
        <v>704</v>
      </c>
      <c r="H56" s="119"/>
      <c r="I56" s="115">
        <v>0.85</v>
      </c>
      <c r="J56" s="115">
        <v>0</v>
      </c>
      <c r="K56" s="115">
        <v>2</v>
      </c>
      <c r="L56" s="115">
        <v>6.5</v>
      </c>
      <c r="M56" s="115">
        <v>0</v>
      </c>
      <c r="N56" s="117">
        <v>0</v>
      </c>
      <c r="O56" s="115">
        <v>0</v>
      </c>
      <c r="P56" s="115">
        <v>2772</v>
      </c>
      <c r="Q56" s="120">
        <v>3</v>
      </c>
      <c r="R56" s="90" t="s">
        <v>743</v>
      </c>
      <c r="S56" s="2590">
        <f>SUM(T56:T60)</f>
        <v>2772</v>
      </c>
      <c r="T56" s="121">
        <v>2772</v>
      </c>
      <c r="U56" s="2590">
        <f>SUM(V56:V60)</f>
        <v>11300</v>
      </c>
      <c r="V56" s="122">
        <f>M56</f>
        <v>0</v>
      </c>
      <c r="W56" s="2590">
        <f>SUM(X56:X60)</f>
        <v>10400</v>
      </c>
      <c r="X56" s="121">
        <f>V56-Z56</f>
        <v>0</v>
      </c>
      <c r="Y56" s="2590">
        <f>SUM(Z56:Z60)</f>
        <v>900</v>
      </c>
      <c r="Z56" s="121">
        <v>0</v>
      </c>
      <c r="AA56" s="2590">
        <f>SUM(AB56:AB60)</f>
        <v>0</v>
      </c>
      <c r="AB56" s="121">
        <v>0</v>
      </c>
      <c r="AC56" s="2590">
        <f>SUM(AD56:AD60)</f>
        <v>1350</v>
      </c>
      <c r="AD56" s="123">
        <f>V56-(Z56+AB56+AF56+AL56+AN56+AP56+AZ56+AR56+AT56+AV56+AX56)</f>
        <v>0</v>
      </c>
      <c r="AE56" s="2580">
        <f>SUM(AF56:AF60)</f>
        <v>9050</v>
      </c>
      <c r="AF56" s="123">
        <f>AI56+AG56</f>
        <v>0</v>
      </c>
      <c r="AG56" s="123">
        <v>0</v>
      </c>
      <c r="AH56" s="2580">
        <f>SUM(AG56:AG60)</f>
        <v>9050</v>
      </c>
      <c r="AI56" s="123">
        <v>0</v>
      </c>
      <c r="AJ56" s="2580">
        <f>SUM(AI56:AI60)</f>
        <v>0</v>
      </c>
      <c r="AK56" s="2580">
        <f>SUM(AL56:AN60)</f>
        <v>0</v>
      </c>
      <c r="AL56" s="123">
        <v>0</v>
      </c>
      <c r="AM56" s="2580">
        <f>SUM(AN56:AP60)</f>
        <v>0</v>
      </c>
      <c r="AN56" s="123">
        <v>0</v>
      </c>
      <c r="AO56" s="2582">
        <f>SUM(AP56:AP60)</f>
        <v>0</v>
      </c>
      <c r="AP56" s="123">
        <v>0</v>
      </c>
      <c r="AQ56" s="2580">
        <f>SUM(AR56:AR60)</f>
        <v>0</v>
      </c>
      <c r="AR56" s="123">
        <v>0</v>
      </c>
      <c r="AS56" s="2580">
        <f>SUM(AT56:AT60)</f>
        <v>0</v>
      </c>
      <c r="AT56" s="123">
        <v>0</v>
      </c>
      <c r="AU56" s="2580">
        <f>SUM(AV56:AV60)</f>
        <v>0</v>
      </c>
      <c r="AV56" s="123">
        <v>0</v>
      </c>
      <c r="AW56" s="2580">
        <f>SUM(AX56:AX60)</f>
        <v>0</v>
      </c>
      <c r="AX56" s="123">
        <v>0</v>
      </c>
      <c r="AY56" s="2580">
        <f>SUM(AZ56:AZ60)</f>
        <v>0</v>
      </c>
      <c r="AZ56" s="123">
        <f t="shared" si="0"/>
        <v>0</v>
      </c>
      <c r="BA56" s="2582">
        <f>SUM(BB56:BB60)</f>
        <v>0</v>
      </c>
      <c r="BB56" s="121">
        <v>0</v>
      </c>
      <c r="BC56" s="2582">
        <f>SUM(BD56:BD60)</f>
        <v>0</v>
      </c>
      <c r="BD56" s="121">
        <v>0</v>
      </c>
      <c r="BE56" s="2582">
        <f>SUM(BF56:BF60)</f>
        <v>0</v>
      </c>
      <c r="BF56" s="121">
        <v>0</v>
      </c>
      <c r="BG56" s="2582">
        <f>SUM(BH56:BH60)</f>
        <v>0</v>
      </c>
      <c r="BH56" s="121">
        <v>0</v>
      </c>
      <c r="BI56" s="2582">
        <f>SUM(BJ56:BJ60)</f>
        <v>0</v>
      </c>
      <c r="BJ56" s="121">
        <v>0</v>
      </c>
      <c r="BK56" s="2582">
        <f>SUM(BL56:BL60)</f>
        <v>0</v>
      </c>
      <c r="BL56" s="121">
        <v>0</v>
      </c>
      <c r="BM56" s="2580">
        <f>SUM(BN56:BN60)</f>
        <v>14072</v>
      </c>
      <c r="BN56" s="121">
        <f>T56+V56</f>
        <v>2772</v>
      </c>
      <c r="BO56" s="2580">
        <f>SUM(BP56:BP60)</f>
        <v>2.7719999999999998</v>
      </c>
      <c r="BP56" s="121">
        <f>T56/1000</f>
        <v>2.7719999999999998</v>
      </c>
      <c r="BQ56" s="2580">
        <f>SUM(BR56:BR60)</f>
        <v>0</v>
      </c>
      <c r="BR56" s="121"/>
      <c r="BS56" s="2580">
        <f>SUM(BT56:BT60)</f>
        <v>8</v>
      </c>
      <c r="BT56" s="124">
        <f>ROUND(BP56*2.87,0)</f>
        <v>8</v>
      </c>
      <c r="BU56" s="2580">
        <f>SUM(BV56:BV60)</f>
        <v>16</v>
      </c>
      <c r="BV56" s="125">
        <f>ROUND((AD56+AB56+Z56)/1000*3,0)+ROUND((AF56+AX56)/1000,0)+ROUND((ROUND(AL56/400,0))/2.67,0)+ROUND(AN56/250,0)+ROUND(AR56/15000,0)+ROUND((BB56+BD56+BF56+BJ56)/1000*3,0)+ROUND(BP56/25,0)+ROUND(CN56/50,0)</f>
        <v>0</v>
      </c>
      <c r="BW56" s="2580">
        <f>SUM(BX56:BX60)</f>
        <v>0</v>
      </c>
      <c r="BX56" s="121">
        <v>0</v>
      </c>
      <c r="BY56" s="2580">
        <f>SUM(BZ56:BZ60)</f>
        <v>0</v>
      </c>
      <c r="BZ56" s="121">
        <v>0</v>
      </c>
      <c r="CA56" s="2580">
        <f>SUM(CB56:CB60)</f>
        <v>5.8</v>
      </c>
      <c r="CB56" s="121">
        <v>0</v>
      </c>
      <c r="CC56" s="2580">
        <f>SUM(CD56:CD60)</f>
        <v>0</v>
      </c>
      <c r="CD56" s="121">
        <f>AB56/1000</f>
        <v>0</v>
      </c>
      <c r="CE56" s="2580">
        <f>SUM(CF56:CF60)</f>
        <v>0</v>
      </c>
      <c r="CF56" s="121">
        <f>AL56/1000</f>
        <v>0</v>
      </c>
      <c r="CG56" s="2580">
        <f>SUM(CH56:CH60)</f>
        <v>0</v>
      </c>
      <c r="CH56" s="121">
        <v>0</v>
      </c>
      <c r="CI56" s="2580">
        <f>SUM(CJ56:CJ60)</f>
        <v>0</v>
      </c>
      <c r="CJ56" s="121">
        <v>0</v>
      </c>
      <c r="CK56" s="2580">
        <f>SUM(CL56:CL60)</f>
        <v>0</v>
      </c>
      <c r="CL56" s="121">
        <v>0</v>
      </c>
      <c r="CM56" s="2580">
        <f>SUM(CN56:CN60)</f>
        <v>5.8</v>
      </c>
      <c r="CN56" s="121">
        <f t="shared" si="1"/>
        <v>0</v>
      </c>
      <c r="CO56" s="288"/>
      <c r="CP56" s="2255">
        <v>25</v>
      </c>
      <c r="CQ56" s="127" t="s">
        <v>705</v>
      </c>
      <c r="CR56" s="127">
        <v>4.5999999999999996</v>
      </c>
      <c r="CS56" s="127">
        <v>0</v>
      </c>
      <c r="CT56" s="127">
        <v>4.5999999999999996</v>
      </c>
      <c r="CU56" s="128"/>
      <c r="CV56" s="2596" t="s">
        <v>744</v>
      </c>
      <c r="CW56" s="121">
        <f>(CR56*(F56))-F56</f>
        <v>11699.999999999998</v>
      </c>
      <c r="CX56" s="2590">
        <f>SUM(CW56:CW60)</f>
        <v>81900</v>
      </c>
      <c r="CY56" s="2598">
        <f>SUM(CZ56:DB60)</f>
        <v>0</v>
      </c>
      <c r="CZ56" s="90">
        <v>0</v>
      </c>
      <c r="DA56" s="2592">
        <f>SUM(DB56:DD60)</f>
        <v>0</v>
      </c>
      <c r="DB56" s="90">
        <v>0</v>
      </c>
      <c r="DC56" s="2590">
        <v>0</v>
      </c>
      <c r="DD56" s="90">
        <v>0</v>
      </c>
      <c r="DE56" s="2590">
        <f>SUM(DF56:DF60)</f>
        <v>0</v>
      </c>
      <c r="DF56" s="90">
        <v>0</v>
      </c>
      <c r="DG56" s="2590">
        <f>SUM(DH56:DH60)</f>
        <v>0</v>
      </c>
      <c r="DH56" s="95">
        <f>CZ56-(DD56+DF56+DJ56+DL56+DN56+DT56+DV56+DX56)</f>
        <v>0</v>
      </c>
      <c r="DI56" s="2590">
        <f>SUM(DJ56:DJ60)</f>
        <v>0</v>
      </c>
      <c r="DJ56" s="90">
        <v>0</v>
      </c>
      <c r="DK56" s="2590">
        <f>SUM(DL56:DL60)</f>
        <v>0</v>
      </c>
      <c r="DL56" s="90">
        <v>0</v>
      </c>
      <c r="DM56" s="2590">
        <f>SUM(DN56:DN57)</f>
        <v>0</v>
      </c>
      <c r="DN56" s="90">
        <v>0</v>
      </c>
      <c r="DO56" s="2590">
        <f>SUM(DP56:DP60)</f>
        <v>0</v>
      </c>
      <c r="DP56" s="90">
        <v>0</v>
      </c>
      <c r="DQ56" s="2590">
        <f>SUM(DR56:DR60)</f>
        <v>0</v>
      </c>
      <c r="DR56" s="90">
        <v>0</v>
      </c>
      <c r="DS56" s="2590">
        <f>SUM(DT56:DT60)</f>
        <v>0</v>
      </c>
      <c r="DT56" s="90">
        <v>0</v>
      </c>
      <c r="DU56" s="2590">
        <f>SUM(DV56:DV60)</f>
        <v>0</v>
      </c>
      <c r="DV56" s="90">
        <v>0</v>
      </c>
      <c r="DW56" s="2590">
        <f>SUM(DX56:DX57)</f>
        <v>0</v>
      </c>
      <c r="DX56" s="123">
        <f t="shared" si="2"/>
        <v>0</v>
      </c>
      <c r="DY56" s="2590">
        <f>SUM(DZ56:DZ60)</f>
        <v>0</v>
      </c>
      <c r="DZ56" s="291">
        <f>BB56</f>
        <v>0</v>
      </c>
      <c r="EA56" s="2590">
        <f>SUM(EB56:EB60)</f>
        <v>0</v>
      </c>
      <c r="EB56" s="291">
        <f>BD56</f>
        <v>0</v>
      </c>
      <c r="EC56" s="2590">
        <f>SUM(ED56:ED60)</f>
        <v>0</v>
      </c>
      <c r="ED56" s="291">
        <f>BF56</f>
        <v>0</v>
      </c>
      <c r="EE56" s="2590">
        <f>SUM(EF56:EF60)</f>
        <v>0</v>
      </c>
      <c r="EF56" s="291">
        <f>BH56</f>
        <v>0</v>
      </c>
      <c r="EG56" s="2590">
        <f>SUM(EH56:EH60)</f>
        <v>0</v>
      </c>
      <c r="EH56" s="291">
        <f>BJ56</f>
        <v>0</v>
      </c>
      <c r="EI56" s="2590">
        <f>SUM(EJ56:EJ60)</f>
        <v>0</v>
      </c>
      <c r="EJ56" s="291">
        <v>0</v>
      </c>
      <c r="EK56" s="2580">
        <f>SUM(EL56:EL60)</f>
        <v>81900</v>
      </c>
      <c r="EL56" s="292">
        <f>CW56+CZ56</f>
        <v>11699.999999999998</v>
      </c>
      <c r="EM56" s="2600">
        <f>SUM(EN56:EN60)</f>
        <v>81.5</v>
      </c>
      <c r="EN56" s="122">
        <f>CW56/'A-App Projected Sites '!EP$141</f>
        <v>11.699999999999998</v>
      </c>
      <c r="EO56" s="2600">
        <f>SUM(EP56:EP60)</f>
        <v>16.3</v>
      </c>
      <c r="EP56" s="293">
        <f>0.2*EN56</f>
        <v>2.3399999999999994</v>
      </c>
      <c r="EQ56" s="2670">
        <f>SUM(ER56:ER60)</f>
        <v>20.375</v>
      </c>
      <c r="ER56" s="122">
        <f t="shared" ref="ER56:ER63" si="15">0.25*EN56</f>
        <v>2.9249999999999994</v>
      </c>
      <c r="ES56" s="2670">
        <f>SUM(ET56:ET60)</f>
        <v>30.562499999999996</v>
      </c>
      <c r="ET56" s="122">
        <f>FA56+FG56+FQ56</f>
        <v>4.3874999999999993</v>
      </c>
      <c r="EU56" s="2590">
        <f>SUM(EV56:EV60)</f>
        <v>233.90500000000003</v>
      </c>
      <c r="EV56" s="293">
        <f>2.87*EN56</f>
        <v>33.578999999999994</v>
      </c>
      <c r="EW56" s="2590">
        <f>SUM(EX56:EX60)</f>
        <v>2</v>
      </c>
      <c r="EX56" s="186">
        <f>ROUND((DH56+DF56+DD56)/1000*3,0)+ROUND((ROUND(DL56/400,0))/2.67,0)+ROUND(DV56/1000,0)+ROUND((DZ56+EB56+ED56+EH56)/1000*3,0)+ROUND(EN56/25,0)+ROUND(ET56/50,0)</f>
        <v>0</v>
      </c>
      <c r="EY56" s="2590">
        <f>SUM(EZ56:EZ60)</f>
        <v>30.562499999999996</v>
      </c>
      <c r="EZ56" s="2673">
        <f>SUM(FA56:FA60)</f>
        <v>30.562499999999996</v>
      </c>
      <c r="FA56" s="2223">
        <f>(0.75*EN56)*0.5</f>
        <v>4.3874999999999993</v>
      </c>
      <c r="FB56" s="2590">
        <f>SUM(FC56:FC60)</f>
        <v>0</v>
      </c>
      <c r="FC56" s="2223">
        <v>0</v>
      </c>
      <c r="FD56" s="2590">
        <f>SUM(FE56:FE60)</f>
        <v>0</v>
      </c>
      <c r="FE56" s="2223"/>
      <c r="FF56" s="2590">
        <f>SUM(FG56:FG60)</f>
        <v>0</v>
      </c>
      <c r="FG56" s="122">
        <f>SUM(DJ56,DD56,DH56,DN56,DT56)/1000</f>
        <v>0</v>
      </c>
      <c r="FH56" s="2590">
        <f>SUM(FI56:FI60)</f>
        <v>0</v>
      </c>
      <c r="FI56" s="122">
        <f>DF56/1000</f>
        <v>0</v>
      </c>
      <c r="FJ56" s="2590">
        <f>SUM(FK56:FK60)</f>
        <v>0</v>
      </c>
      <c r="FK56" s="122">
        <f>((DL56/400)/12)</f>
        <v>0</v>
      </c>
      <c r="FL56" s="2590">
        <f>SUM(FM56:FM60)</f>
        <v>0</v>
      </c>
      <c r="FM56" s="122">
        <f>IF(DX56&gt;0,"Calculate",0)</f>
        <v>0</v>
      </c>
      <c r="FN56" s="2590">
        <f>SUM(FO56:FO60)</f>
        <v>0</v>
      </c>
      <c r="FO56" s="122">
        <v>0</v>
      </c>
      <c r="FP56" s="2670">
        <f>SUM(FQ56:FQ60)</f>
        <v>0</v>
      </c>
      <c r="FQ56" s="122">
        <f>DX56/1000</f>
        <v>0</v>
      </c>
      <c r="FR56" s="2590">
        <f>SUM(FS56:FS60)</f>
        <v>95</v>
      </c>
      <c r="FS56" s="2682">
        <v>95</v>
      </c>
      <c r="FT56" s="2606">
        <f>CX56-S56</f>
        <v>79128</v>
      </c>
      <c r="FU56" s="2602">
        <f>CY56-U56</f>
        <v>-11300</v>
      </c>
      <c r="FV56" s="2608">
        <f>(DC56+DE56+DG56)-(Y56+AA56+AC56+AE56)</f>
        <v>-11300</v>
      </c>
      <c r="FW56" s="2608">
        <f>DG56-AC56</f>
        <v>-1350</v>
      </c>
      <c r="FX56" s="2602">
        <f>DE56-AA56</f>
        <v>0</v>
      </c>
      <c r="FY56" s="2602">
        <f>DC56-Y56</f>
        <v>-900</v>
      </c>
      <c r="FZ56" s="2602">
        <f>DJ56-AE56</f>
        <v>-9050</v>
      </c>
      <c r="GA56" s="2602">
        <f>DL56-AL56</f>
        <v>0</v>
      </c>
      <c r="GB56" s="2602">
        <f>DM56-AM56</f>
        <v>0</v>
      </c>
      <c r="GC56" s="2602">
        <f>DP56-AQ56</f>
        <v>0</v>
      </c>
      <c r="GD56" s="2602">
        <f>DR56-AS56</f>
        <v>0</v>
      </c>
      <c r="GE56" s="2602">
        <f>DT56-AV56</f>
        <v>0</v>
      </c>
      <c r="GF56" s="2602">
        <f>DV56-AW56</f>
        <v>0</v>
      </c>
      <c r="GG56" s="2602">
        <f>DZ56-BB56</f>
        <v>0</v>
      </c>
      <c r="GH56" s="2602">
        <f>EB56-BD56</f>
        <v>0</v>
      </c>
      <c r="GI56" s="2602">
        <f>ED56-BF56</f>
        <v>0</v>
      </c>
      <c r="GJ56" s="2602">
        <f>EF56-BH56</f>
        <v>0</v>
      </c>
      <c r="GK56" s="2602">
        <f>EH56-BJ56</f>
        <v>0</v>
      </c>
      <c r="GL56" s="2608">
        <f>DW56-AY56</f>
        <v>0</v>
      </c>
      <c r="GM56" s="2608">
        <f>EK56-BM56</f>
        <v>67828</v>
      </c>
      <c r="GN56" s="2608">
        <f>EM56-BO56</f>
        <v>78.727999999999994</v>
      </c>
      <c r="GO56" s="2679">
        <f>SUM(GP56:GP60)</f>
        <v>16.3</v>
      </c>
      <c r="GP56" s="114">
        <f>EP56-BR56</f>
        <v>2.3399999999999994</v>
      </c>
      <c r="GQ56" s="2679">
        <f>SUM(GR56:GR60)</f>
        <v>225.90500000000003</v>
      </c>
      <c r="GR56" s="114">
        <f>EV56-BT56</f>
        <v>25.578999999999994</v>
      </c>
      <c r="GS56" s="2676">
        <f>SUM(GT56:GT60)</f>
        <v>-14</v>
      </c>
      <c r="GT56" s="114">
        <f>EX56-BV56</f>
        <v>0</v>
      </c>
      <c r="GU56" s="114">
        <f>FA56-BX56</f>
        <v>4.3874999999999993</v>
      </c>
      <c r="GV56" s="114">
        <f>FI56-CD56</f>
        <v>0</v>
      </c>
      <c r="GW56" s="114">
        <v>0</v>
      </c>
      <c r="GX56" s="114">
        <f>FG56-CB56</f>
        <v>0</v>
      </c>
      <c r="GY56" s="114">
        <f>FK56-CF56</f>
        <v>0</v>
      </c>
      <c r="GZ56" s="114">
        <f>FM56-CH56</f>
        <v>0</v>
      </c>
      <c r="HA56" s="114">
        <f>FO56-CJ56</f>
        <v>0</v>
      </c>
      <c r="HB56" s="114">
        <f>FQ56-CL56</f>
        <v>0</v>
      </c>
      <c r="HC56" s="2616">
        <f>ES56-CM56</f>
        <v>24.762499999999996</v>
      </c>
      <c r="HD56" s="95"/>
      <c r="HE56" s="95"/>
      <c r="HF56" s="127"/>
      <c r="HG56" s="127"/>
      <c r="HH56" s="127"/>
      <c r="HI56" s="127"/>
      <c r="HJ56" s="127"/>
      <c r="HK56" s="127"/>
      <c r="HL56" s="127"/>
      <c r="HM56" s="127"/>
    </row>
    <row r="57" spans="1:221" s="72" customFormat="1" ht="15" customHeight="1">
      <c r="A57" s="2660"/>
      <c r="B57" s="131" t="s">
        <v>710</v>
      </c>
      <c r="C57" s="132">
        <v>2859</v>
      </c>
      <c r="D57" s="132">
        <v>38</v>
      </c>
      <c r="E57" s="133">
        <v>2028590038</v>
      </c>
      <c r="F57" s="294">
        <v>7500</v>
      </c>
      <c r="G57" s="132" t="s">
        <v>704</v>
      </c>
      <c r="H57" s="136"/>
      <c r="I57" s="132">
        <v>0.77</v>
      </c>
      <c r="J57" s="132">
        <v>0</v>
      </c>
      <c r="K57" s="132">
        <v>2</v>
      </c>
      <c r="L57" s="132">
        <v>6.5</v>
      </c>
      <c r="M57" s="132">
        <v>5800</v>
      </c>
      <c r="N57" s="132">
        <v>5800</v>
      </c>
      <c r="O57" s="132">
        <v>0</v>
      </c>
      <c r="P57" s="132">
        <v>5800</v>
      </c>
      <c r="Q57" s="137">
        <v>0</v>
      </c>
      <c r="R57" s="95" t="s">
        <v>711</v>
      </c>
      <c r="S57" s="2661"/>
      <c r="T57" s="97">
        <v>0</v>
      </c>
      <c r="U57" s="2661"/>
      <c r="V57" s="102">
        <f>M57</f>
        <v>5800</v>
      </c>
      <c r="W57" s="2661"/>
      <c r="X57" s="97">
        <f>V57-Z57</f>
        <v>5800</v>
      </c>
      <c r="Y57" s="2661"/>
      <c r="Z57" s="97">
        <v>0</v>
      </c>
      <c r="AA57" s="2661"/>
      <c r="AB57" s="97">
        <v>0</v>
      </c>
      <c r="AC57" s="2661"/>
      <c r="AD57" s="103">
        <f>V57-(Z57+AB57+AF57+AL57+AN57+AP57+AZ57+AR57+AT57+AV57+AX57)</f>
        <v>0</v>
      </c>
      <c r="AE57" s="2658"/>
      <c r="AF57" s="103">
        <f>AG57+AI57</f>
        <v>5800</v>
      </c>
      <c r="AG57" s="103">
        <f>P57</f>
        <v>5800</v>
      </c>
      <c r="AH57" s="2658"/>
      <c r="AI57" s="103">
        <v>0</v>
      </c>
      <c r="AJ57" s="2658"/>
      <c r="AK57" s="2658"/>
      <c r="AL57" s="103">
        <v>0</v>
      </c>
      <c r="AM57" s="2658"/>
      <c r="AN57" s="103">
        <v>0</v>
      </c>
      <c r="AO57" s="2644"/>
      <c r="AP57" s="103">
        <v>0</v>
      </c>
      <c r="AQ57" s="2658"/>
      <c r="AR57" s="103">
        <v>0</v>
      </c>
      <c r="AS57" s="2658"/>
      <c r="AT57" s="103">
        <v>0</v>
      </c>
      <c r="AU57" s="2658"/>
      <c r="AV57" s="103">
        <v>0</v>
      </c>
      <c r="AW57" s="2658"/>
      <c r="AX57" s="103">
        <v>0</v>
      </c>
      <c r="AY57" s="2658"/>
      <c r="AZ57" s="103">
        <f t="shared" si="0"/>
        <v>0</v>
      </c>
      <c r="BA57" s="2644"/>
      <c r="BB57" s="97">
        <v>0</v>
      </c>
      <c r="BC57" s="2644"/>
      <c r="BD57" s="97">
        <v>0</v>
      </c>
      <c r="BE57" s="2644"/>
      <c r="BF57" s="97">
        <v>0</v>
      </c>
      <c r="BG57" s="2644"/>
      <c r="BH57" s="97">
        <v>0</v>
      </c>
      <c r="BI57" s="2644"/>
      <c r="BJ57" s="97">
        <v>0</v>
      </c>
      <c r="BK57" s="2644"/>
      <c r="BL57" s="97">
        <v>0</v>
      </c>
      <c r="BM57" s="2658"/>
      <c r="BN57" s="97">
        <f>ROUND(T57+V57,0)</f>
        <v>5800</v>
      </c>
      <c r="BO57" s="2658"/>
      <c r="BP57" s="97">
        <f>ROUND(T57/'A-App Projected Sites '!EP$141,0)</f>
        <v>0</v>
      </c>
      <c r="BQ57" s="2658"/>
      <c r="BR57" s="97">
        <f>'A-App Projected Sites '!BR$142*BP57</f>
        <v>0</v>
      </c>
      <c r="BS57" s="2658"/>
      <c r="BT57" s="182">
        <f t="shared" ref="BT57:BT119" si="16">ROUND(BP57*2.87,0)</f>
        <v>0</v>
      </c>
      <c r="BU57" s="2658"/>
      <c r="BV57" s="138">
        <f>ROUND((AD57+AB57+Z57)/1000*3,0)+ROUND((AF57+AX57)/1000,0)+ROUND((ROUND(AL57/400,0))/2.67,0)+ROUND(AN57/250,0)+ROUND(AR57/15000,0)+ROUND((BB57+BD57+BF57+BJ57)/1000*3,0)+ROUND(BP57/25,0)+ROUND(CN57/50,0)</f>
        <v>6</v>
      </c>
      <c r="BW57" s="2658"/>
      <c r="BX57" s="97">
        <v>0</v>
      </c>
      <c r="BY57" s="2658"/>
      <c r="BZ57" s="97">
        <v>0</v>
      </c>
      <c r="CA57" s="2658"/>
      <c r="CB57" s="97">
        <f>V57/1000</f>
        <v>5.8</v>
      </c>
      <c r="CC57" s="2658"/>
      <c r="CD57" s="97">
        <f>AB57/1000</f>
        <v>0</v>
      </c>
      <c r="CE57" s="2658"/>
      <c r="CF57" s="97">
        <f>((AL57/400)/12)</f>
        <v>0</v>
      </c>
      <c r="CG57" s="2658"/>
      <c r="CH57" s="105">
        <f>IFERROR(VLOOKUP(E57,#REF!,3,FALSE),0)</f>
        <v>0</v>
      </c>
      <c r="CI57" s="2658"/>
      <c r="CJ57" s="97">
        <v>0</v>
      </c>
      <c r="CK57" s="2658"/>
      <c r="CL57" s="97">
        <f>IF(BJ57&gt;0,"Calculate",0)</f>
        <v>0</v>
      </c>
      <c r="CM57" s="2658"/>
      <c r="CN57" s="97">
        <f t="shared" si="1"/>
        <v>5.8</v>
      </c>
      <c r="CO57" s="97"/>
      <c r="CP57" s="2256">
        <v>0</v>
      </c>
      <c r="CQ57" s="139" t="s">
        <v>705</v>
      </c>
      <c r="CR57" s="139">
        <v>4.5999999999999996</v>
      </c>
      <c r="CS57" s="139">
        <v>0</v>
      </c>
      <c r="CT57" s="139">
        <v>4.5999999999999996</v>
      </c>
      <c r="CU57" s="108"/>
      <c r="CV57" s="2662"/>
      <c r="CW57" s="97">
        <f>(CR57*(F57))-F57</f>
        <v>27000</v>
      </c>
      <c r="CX57" s="2661"/>
      <c r="CY57" s="2663"/>
      <c r="CZ57" s="95">
        <v>0</v>
      </c>
      <c r="DA57" s="2664"/>
      <c r="DB57" s="95">
        <f>CZ57-DD57</f>
        <v>0</v>
      </c>
      <c r="DC57" s="2661"/>
      <c r="DD57" s="95">
        <v>0</v>
      </c>
      <c r="DE57" s="2661"/>
      <c r="DF57" s="95">
        <v>0</v>
      </c>
      <c r="DG57" s="2661"/>
      <c r="DH57" s="95">
        <f>CZ57-(DD57+DF57+DJ57+DL57+DN57+DT57+DV57+DX57)</f>
        <v>0</v>
      </c>
      <c r="DI57" s="2661"/>
      <c r="DJ57" s="95">
        <v>0</v>
      </c>
      <c r="DK57" s="2661"/>
      <c r="DL57" s="95">
        <v>0</v>
      </c>
      <c r="DM57" s="2661"/>
      <c r="DN57" s="95">
        <v>0</v>
      </c>
      <c r="DO57" s="2661"/>
      <c r="DP57" s="95">
        <v>0</v>
      </c>
      <c r="DQ57" s="2661"/>
      <c r="DR57" s="95">
        <v>0</v>
      </c>
      <c r="DS57" s="2661"/>
      <c r="DT57" s="95">
        <v>0</v>
      </c>
      <c r="DU57" s="2661"/>
      <c r="DV57" s="95">
        <v>0</v>
      </c>
      <c r="DW57" s="2661"/>
      <c r="DX57" s="103">
        <f t="shared" si="2"/>
        <v>0</v>
      </c>
      <c r="DY57" s="2661"/>
      <c r="DZ57" s="270">
        <v>0</v>
      </c>
      <c r="EA57" s="2661"/>
      <c r="EB57" s="270">
        <v>0</v>
      </c>
      <c r="EC57" s="2661"/>
      <c r="ED57" s="270">
        <v>0</v>
      </c>
      <c r="EE57" s="2661"/>
      <c r="EF57" s="270">
        <v>0</v>
      </c>
      <c r="EG57" s="2661"/>
      <c r="EH57" s="270">
        <v>0</v>
      </c>
      <c r="EI57" s="2661"/>
      <c r="EJ57" s="270">
        <v>0</v>
      </c>
      <c r="EK57" s="2658"/>
      <c r="EL57" s="295">
        <f>ROUND(CW57+CZ57,0)</f>
        <v>27000</v>
      </c>
      <c r="EM57" s="2643"/>
      <c r="EN57" s="102">
        <f>ROUND(CW57/'A-App Projected Sites '!EP$141,0)</f>
        <v>27</v>
      </c>
      <c r="EO57" s="2643"/>
      <c r="EP57" s="296">
        <f t="shared" ref="EP57:EP60" si="17">0.2*EN57</f>
        <v>5.4</v>
      </c>
      <c r="EQ57" s="2671"/>
      <c r="ER57" s="102">
        <f t="shared" si="15"/>
        <v>6.75</v>
      </c>
      <c r="ES57" s="2671"/>
      <c r="ET57" s="102">
        <f>FA57+FG57+FQ57</f>
        <v>10.125</v>
      </c>
      <c r="EU57" s="2661"/>
      <c r="EV57" s="296">
        <f>2.87*EN57</f>
        <v>77.490000000000009</v>
      </c>
      <c r="EW57" s="2661"/>
      <c r="EX57" s="186">
        <f>ROUND((DH57+DF57+DD57)/1000*3,0)+ROUND((ROUND(DL57/400,0))/2.67,0)+ROUND(DV57/1000,0)+ROUND((DZ57+EB57+ED57+EH57)/1000*3,0)+ROUND(EN57/25,0)+ROUND(ET57/50,0)</f>
        <v>1</v>
      </c>
      <c r="EY57" s="2661"/>
      <c r="EZ57" s="2674"/>
      <c r="FA57" s="2224">
        <f>(0.75*EN57)*0.5</f>
        <v>10.125</v>
      </c>
      <c r="FB57" s="2661"/>
      <c r="FC57" s="2224">
        <v>0</v>
      </c>
      <c r="FD57" s="2661"/>
      <c r="FE57" s="2224">
        <v>0</v>
      </c>
      <c r="FF57" s="2661"/>
      <c r="FG57" s="102">
        <f>SUM(DJ57,DD57,DH57,DN57,DT57)/1000</f>
        <v>0</v>
      </c>
      <c r="FH57" s="2661"/>
      <c r="FI57" s="102">
        <f>DF57/1000</f>
        <v>0</v>
      </c>
      <c r="FJ57" s="2661"/>
      <c r="FK57" s="102">
        <f>((DL57/400)/12)</f>
        <v>0</v>
      </c>
      <c r="FL57" s="2661"/>
      <c r="FM57" s="102">
        <f>IF(DX57&gt;0,"Calculate",0)</f>
        <v>0</v>
      </c>
      <c r="FN57" s="2661"/>
      <c r="FO57" s="102">
        <v>0</v>
      </c>
      <c r="FP57" s="2671"/>
      <c r="FQ57" s="102">
        <f>DX57/1000</f>
        <v>0</v>
      </c>
      <c r="FR57" s="2661"/>
      <c r="FS57" s="2683"/>
      <c r="FT57" s="2668"/>
      <c r="FU57" s="2665"/>
      <c r="FV57" s="2666"/>
      <c r="FW57" s="2666"/>
      <c r="FX57" s="2665"/>
      <c r="FY57" s="2665"/>
      <c r="FZ57" s="2665"/>
      <c r="GA57" s="2665"/>
      <c r="GB57" s="2665"/>
      <c r="GC57" s="2665"/>
      <c r="GD57" s="2665"/>
      <c r="GE57" s="2665"/>
      <c r="GF57" s="2665"/>
      <c r="GG57" s="2665"/>
      <c r="GH57" s="2665"/>
      <c r="GI57" s="2665"/>
      <c r="GJ57" s="2665"/>
      <c r="GK57" s="2665"/>
      <c r="GL57" s="2666"/>
      <c r="GM57" s="2666"/>
      <c r="GN57" s="2666"/>
      <c r="GO57" s="2680"/>
      <c r="GP57" s="113">
        <f>EP57-BR57</f>
        <v>5.4</v>
      </c>
      <c r="GQ57" s="2680"/>
      <c r="GR57" s="113">
        <f>EV57-BT57</f>
        <v>77.490000000000009</v>
      </c>
      <c r="GS57" s="2677"/>
      <c r="GT57" s="113">
        <f>EX57-BV57</f>
        <v>-5</v>
      </c>
      <c r="GU57" s="113">
        <f>FA57-BX57</f>
        <v>10.125</v>
      </c>
      <c r="GV57" s="113">
        <f>FI57-CD57</f>
        <v>0</v>
      </c>
      <c r="GW57" s="113">
        <v>0</v>
      </c>
      <c r="GX57" s="113">
        <f>FG57-CB57</f>
        <v>-5.8</v>
      </c>
      <c r="GY57" s="113">
        <f>FK57-CF57</f>
        <v>0</v>
      </c>
      <c r="GZ57" s="113">
        <f>FM57-CH57</f>
        <v>0</v>
      </c>
      <c r="HA57" s="113">
        <f>FO57-CJ57</f>
        <v>0</v>
      </c>
      <c r="HB57" s="113">
        <f>FQ57-CL57</f>
        <v>0</v>
      </c>
      <c r="HC57" s="2669"/>
      <c r="HD57" s="95"/>
      <c r="HE57" s="95"/>
      <c r="HF57" s="95"/>
    </row>
    <row r="58" spans="1:221" s="90" customFormat="1" ht="15" customHeight="1">
      <c r="A58" s="2660"/>
      <c r="B58" s="131" t="s">
        <v>721</v>
      </c>
      <c r="C58" s="132">
        <v>2859</v>
      </c>
      <c r="D58" s="132">
        <v>35</v>
      </c>
      <c r="E58" s="133">
        <v>2028590035</v>
      </c>
      <c r="F58" s="294">
        <v>6500</v>
      </c>
      <c r="G58" s="132" t="s">
        <v>704</v>
      </c>
      <c r="H58" s="136"/>
      <c r="I58" s="132">
        <v>0</v>
      </c>
      <c r="J58" s="132">
        <v>0</v>
      </c>
      <c r="K58" s="132">
        <v>2</v>
      </c>
      <c r="L58" s="132">
        <v>6.5</v>
      </c>
      <c r="M58" s="132">
        <v>0</v>
      </c>
      <c r="N58" s="132"/>
      <c r="O58" s="132">
        <v>0</v>
      </c>
      <c r="P58" s="132">
        <v>0</v>
      </c>
      <c r="Q58" s="137">
        <v>0</v>
      </c>
      <c r="R58" s="95" t="s">
        <v>711</v>
      </c>
      <c r="S58" s="2661"/>
      <c r="T58" s="97">
        <v>0</v>
      </c>
      <c r="U58" s="2661"/>
      <c r="V58" s="102">
        <f>M58</f>
        <v>0</v>
      </c>
      <c r="W58" s="2661"/>
      <c r="X58" s="97">
        <f>V58-Z58</f>
        <v>0</v>
      </c>
      <c r="Y58" s="2661"/>
      <c r="Z58" s="97">
        <v>0</v>
      </c>
      <c r="AA58" s="2661"/>
      <c r="AB58" s="97">
        <v>0</v>
      </c>
      <c r="AC58" s="2661"/>
      <c r="AD58" s="103">
        <f>V58-(Z58+AB58+AF58+AL58+AN58+AP58+AZ58+AR58+AT58+AV58+AX58)</f>
        <v>0</v>
      </c>
      <c r="AE58" s="2658"/>
      <c r="AF58" s="103">
        <f>AG58+AI58</f>
        <v>0</v>
      </c>
      <c r="AG58" s="103">
        <v>0</v>
      </c>
      <c r="AH58" s="2658"/>
      <c r="AI58" s="103">
        <v>0</v>
      </c>
      <c r="AJ58" s="2658"/>
      <c r="AK58" s="2658"/>
      <c r="AL58" s="103">
        <v>0</v>
      </c>
      <c r="AM58" s="2658"/>
      <c r="AN58" s="103">
        <v>0</v>
      </c>
      <c r="AO58" s="2644"/>
      <c r="AP58" s="103">
        <v>0</v>
      </c>
      <c r="AQ58" s="2658"/>
      <c r="AR58" s="103">
        <v>0</v>
      </c>
      <c r="AS58" s="2658"/>
      <c r="AT58" s="103">
        <v>0</v>
      </c>
      <c r="AU58" s="2658"/>
      <c r="AV58" s="103">
        <v>0</v>
      </c>
      <c r="AW58" s="2658"/>
      <c r="AX58" s="103">
        <v>0</v>
      </c>
      <c r="AY58" s="2658"/>
      <c r="AZ58" s="103">
        <f t="shared" si="0"/>
        <v>0</v>
      </c>
      <c r="BA58" s="2644"/>
      <c r="BB58" s="97">
        <v>0</v>
      </c>
      <c r="BC58" s="2644"/>
      <c r="BD58" s="97">
        <v>0</v>
      </c>
      <c r="BE58" s="2644"/>
      <c r="BF58" s="97">
        <v>0</v>
      </c>
      <c r="BG58" s="2644"/>
      <c r="BH58" s="97">
        <v>0</v>
      </c>
      <c r="BI58" s="2644"/>
      <c r="BJ58" s="97">
        <v>0</v>
      </c>
      <c r="BK58" s="2644"/>
      <c r="BL58" s="97">
        <v>0</v>
      </c>
      <c r="BM58" s="2658"/>
      <c r="BN58" s="97">
        <f>ROUND(T58+V58,0)</f>
        <v>0</v>
      </c>
      <c r="BO58" s="2658"/>
      <c r="BP58" s="97">
        <f>ROUND(T58/'A-App Projected Sites '!EP$141,0)</f>
        <v>0</v>
      </c>
      <c r="BQ58" s="2658"/>
      <c r="BR58" s="97">
        <f>'A-App Projected Sites '!BR$142*BP58</f>
        <v>0</v>
      </c>
      <c r="BS58" s="2658"/>
      <c r="BT58" s="182">
        <f t="shared" si="16"/>
        <v>0</v>
      </c>
      <c r="BU58" s="2658"/>
      <c r="BV58" s="138">
        <f>ROUND((AD58+AB58+Z58)/1000*3,0)+ROUND((AF58+AX58)/1000,0)+ROUND((ROUND(AL58/400,0))/2.67,0)+ROUND(AN58/250,0)+ROUND(AR58/15000,0)+ROUND((BB58+BD58+BF58+BJ58)/1000*3,0)+ROUND(BP58/25,0)+ROUND(CN58/50,0)</f>
        <v>0</v>
      </c>
      <c r="BW58" s="2658"/>
      <c r="BX58" s="97">
        <v>0</v>
      </c>
      <c r="BY58" s="2658"/>
      <c r="BZ58" s="97">
        <v>0</v>
      </c>
      <c r="CA58" s="2658"/>
      <c r="CB58" s="97">
        <f>V58/1000</f>
        <v>0</v>
      </c>
      <c r="CC58" s="2658"/>
      <c r="CD58" s="97">
        <f>AB58/1000</f>
        <v>0</v>
      </c>
      <c r="CE58" s="2658"/>
      <c r="CF58" s="97">
        <f>((AL58/400)/12)</f>
        <v>0</v>
      </c>
      <c r="CG58" s="2658"/>
      <c r="CH58" s="105">
        <f>IFERROR(VLOOKUP(E58,#REF!,3,FALSE),0)</f>
        <v>0</v>
      </c>
      <c r="CI58" s="2658"/>
      <c r="CJ58" s="97">
        <v>0</v>
      </c>
      <c r="CK58" s="2658"/>
      <c r="CL58" s="97">
        <f>IF(BJ58&gt;0,"Calculate",0)</f>
        <v>0</v>
      </c>
      <c r="CM58" s="2658"/>
      <c r="CN58" s="97">
        <f t="shared" si="1"/>
        <v>0</v>
      </c>
      <c r="CO58" s="97"/>
      <c r="CP58" s="2256">
        <v>0</v>
      </c>
      <c r="CQ58" s="139" t="s">
        <v>705</v>
      </c>
      <c r="CR58" s="139">
        <v>4.5999999999999996</v>
      </c>
      <c r="CS58" s="139">
        <v>0</v>
      </c>
      <c r="CT58" s="139">
        <v>4.5999999999999996</v>
      </c>
      <c r="CU58" s="108"/>
      <c r="CV58" s="2662"/>
      <c r="CW58" s="97">
        <f>(CR58*(F58))-F58</f>
        <v>23399.999999999996</v>
      </c>
      <c r="CX58" s="2661"/>
      <c r="CY58" s="2663"/>
      <c r="CZ58" s="95">
        <v>0</v>
      </c>
      <c r="DA58" s="2664"/>
      <c r="DB58" s="95">
        <f>CZ58-DD58</f>
        <v>0</v>
      </c>
      <c r="DC58" s="2661"/>
      <c r="DD58" s="95">
        <v>0</v>
      </c>
      <c r="DE58" s="2661"/>
      <c r="DF58" s="95">
        <v>0</v>
      </c>
      <c r="DG58" s="2661"/>
      <c r="DH58" s="95">
        <f>CZ58-(DD58+DF58+DJ58+DL58+DN58+DT58+DV58+DX58)</f>
        <v>0</v>
      </c>
      <c r="DI58" s="2661"/>
      <c r="DJ58" s="95">
        <v>0</v>
      </c>
      <c r="DK58" s="2661"/>
      <c r="DL58" s="95">
        <v>0</v>
      </c>
      <c r="DM58" s="2661"/>
      <c r="DN58" s="95">
        <v>0</v>
      </c>
      <c r="DO58" s="2661"/>
      <c r="DP58" s="95">
        <v>0</v>
      </c>
      <c r="DQ58" s="2661"/>
      <c r="DR58" s="95">
        <v>0</v>
      </c>
      <c r="DS58" s="2661"/>
      <c r="DT58" s="95">
        <v>0</v>
      </c>
      <c r="DU58" s="2661"/>
      <c r="DV58" s="95">
        <v>0</v>
      </c>
      <c r="DW58" s="2661"/>
      <c r="DX58" s="103">
        <f t="shared" si="2"/>
        <v>0</v>
      </c>
      <c r="DY58" s="2661"/>
      <c r="DZ58" s="270">
        <v>0</v>
      </c>
      <c r="EA58" s="2661"/>
      <c r="EB58" s="270">
        <v>0</v>
      </c>
      <c r="EC58" s="2661"/>
      <c r="ED58" s="270">
        <v>0</v>
      </c>
      <c r="EE58" s="2661"/>
      <c r="EF58" s="270">
        <v>0</v>
      </c>
      <c r="EG58" s="2661"/>
      <c r="EH58" s="270">
        <v>0</v>
      </c>
      <c r="EI58" s="2661"/>
      <c r="EJ58" s="270">
        <v>0</v>
      </c>
      <c r="EK58" s="2658"/>
      <c r="EL58" s="295">
        <f>ROUND(CW58+CZ58,0)</f>
        <v>23400</v>
      </c>
      <c r="EM58" s="2643"/>
      <c r="EN58" s="102">
        <f>ROUND(CW58/'A-App Projected Sites '!EP$141,0)</f>
        <v>23</v>
      </c>
      <c r="EO58" s="2643"/>
      <c r="EP58" s="296">
        <f t="shared" si="17"/>
        <v>4.6000000000000005</v>
      </c>
      <c r="EQ58" s="2671"/>
      <c r="ER58" s="102">
        <f t="shared" si="15"/>
        <v>5.75</v>
      </c>
      <c r="ES58" s="2671"/>
      <c r="ET58" s="102">
        <f>FA58+FG58+FQ58</f>
        <v>8.625</v>
      </c>
      <c r="EU58" s="2661"/>
      <c r="EV58" s="296">
        <f>2.87*EN58</f>
        <v>66.010000000000005</v>
      </c>
      <c r="EW58" s="2661"/>
      <c r="EX58" s="186">
        <f>ROUND((DH58+DF58+DD58)/1000*3,0)+ROUND((ROUND(DL58/400,0))/2.67,0)+ROUND(DV58/1000,0)+ROUND((DZ58+EB58+ED58+EH58)/1000*3,0)+ROUND(EN58/25,0)+ROUND(ET58/50,0)</f>
        <v>1</v>
      </c>
      <c r="EY58" s="2661"/>
      <c r="EZ58" s="2674"/>
      <c r="FA58" s="2224">
        <f>(0.75*EN58)*0.5</f>
        <v>8.625</v>
      </c>
      <c r="FB58" s="2661"/>
      <c r="FC58" s="2224">
        <v>0</v>
      </c>
      <c r="FD58" s="2661"/>
      <c r="FE58" s="2224">
        <v>0</v>
      </c>
      <c r="FF58" s="2661"/>
      <c r="FG58" s="102">
        <f>SUM(DJ58,DD58,DH58,DN58,DT58)/1000</f>
        <v>0</v>
      </c>
      <c r="FH58" s="2661"/>
      <c r="FI58" s="102">
        <f>DF58/1000</f>
        <v>0</v>
      </c>
      <c r="FJ58" s="2661"/>
      <c r="FK58" s="102">
        <f>((DL58/400)/12)</f>
        <v>0</v>
      </c>
      <c r="FL58" s="2661"/>
      <c r="FM58" s="102">
        <f>IF(DX58&gt;0,"Calculate",0)</f>
        <v>0</v>
      </c>
      <c r="FN58" s="2661"/>
      <c r="FO58" s="102">
        <v>0</v>
      </c>
      <c r="FP58" s="2671"/>
      <c r="FQ58" s="102">
        <f>DX58/1000</f>
        <v>0</v>
      </c>
      <c r="FR58" s="2661"/>
      <c r="FS58" s="2683"/>
      <c r="FT58" s="2668"/>
      <c r="FU58" s="2665"/>
      <c r="FV58" s="2666"/>
      <c r="FW58" s="2666"/>
      <c r="FX58" s="2665"/>
      <c r="FY58" s="2665"/>
      <c r="FZ58" s="2665"/>
      <c r="GA58" s="2665"/>
      <c r="GB58" s="2665"/>
      <c r="GC58" s="2665"/>
      <c r="GD58" s="2665"/>
      <c r="GE58" s="2665"/>
      <c r="GF58" s="2665"/>
      <c r="GG58" s="2665"/>
      <c r="GH58" s="2665"/>
      <c r="GI58" s="2665"/>
      <c r="GJ58" s="2665"/>
      <c r="GK58" s="2665"/>
      <c r="GL58" s="2666"/>
      <c r="GM58" s="2666"/>
      <c r="GN58" s="2666"/>
      <c r="GO58" s="2680"/>
      <c r="GP58" s="113">
        <f>EP58-BR58</f>
        <v>4.6000000000000005</v>
      </c>
      <c r="GQ58" s="2680"/>
      <c r="GR58" s="113">
        <f>EV58-BT58</f>
        <v>66.010000000000005</v>
      </c>
      <c r="GS58" s="2677"/>
      <c r="GT58" s="113">
        <f>EX58-BV58</f>
        <v>1</v>
      </c>
      <c r="GU58" s="113">
        <f>FA58-BX58</f>
        <v>8.625</v>
      </c>
      <c r="GV58" s="113">
        <f>FI58-CD58</f>
        <v>0</v>
      </c>
      <c r="GW58" s="113">
        <v>0</v>
      </c>
      <c r="GX58" s="113">
        <f>FG58-CB58</f>
        <v>0</v>
      </c>
      <c r="GY58" s="113">
        <f>FK58-CF58</f>
        <v>0</v>
      </c>
      <c r="GZ58" s="113">
        <f>FM58-CH58</f>
        <v>0</v>
      </c>
      <c r="HA58" s="113">
        <f>FO58-CJ58</f>
        <v>0</v>
      </c>
      <c r="HB58" s="113">
        <f>FQ58-CL58</f>
        <v>0</v>
      </c>
      <c r="HC58" s="2669"/>
      <c r="HD58" s="95"/>
      <c r="HE58" s="95"/>
      <c r="HF58" s="95"/>
    </row>
    <row r="59" spans="1:221" s="95" customFormat="1" ht="15" customHeight="1">
      <c r="A59" s="2660"/>
      <c r="B59" s="236" t="s">
        <v>724</v>
      </c>
      <c r="C59" s="132">
        <v>2859</v>
      </c>
      <c r="D59" s="132">
        <v>41</v>
      </c>
      <c r="E59" s="132">
        <v>2028590041</v>
      </c>
      <c r="F59" s="294">
        <v>2250</v>
      </c>
      <c r="G59" s="132" t="s">
        <v>704</v>
      </c>
      <c r="H59" s="136"/>
      <c r="I59" s="132">
        <v>1</v>
      </c>
      <c r="J59" s="132">
        <v>0</v>
      </c>
      <c r="K59" s="132">
        <v>2</v>
      </c>
      <c r="L59" s="132">
        <v>6.5</v>
      </c>
      <c r="M59" s="132">
        <v>2250</v>
      </c>
      <c r="N59" s="132">
        <v>0</v>
      </c>
      <c r="O59" s="132">
        <v>0</v>
      </c>
      <c r="P59" s="132">
        <v>2250</v>
      </c>
      <c r="Q59" s="137">
        <v>0</v>
      </c>
      <c r="R59" s="95" t="s">
        <v>745</v>
      </c>
      <c r="S59" s="2661"/>
      <c r="T59" s="97">
        <v>0</v>
      </c>
      <c r="U59" s="2661"/>
      <c r="V59" s="102">
        <f>M59</f>
        <v>2250</v>
      </c>
      <c r="W59" s="2661"/>
      <c r="X59" s="97">
        <f>V59-Z59</f>
        <v>1350</v>
      </c>
      <c r="Y59" s="2661"/>
      <c r="Z59" s="97">
        <f>0.4*V59</f>
        <v>900</v>
      </c>
      <c r="AA59" s="2661"/>
      <c r="AB59" s="97">
        <v>0</v>
      </c>
      <c r="AC59" s="2661"/>
      <c r="AD59" s="103">
        <f>V59-(Z59+AB59+AF59+AL59+AN59+AP59+AZ59+AR59+AT59+AV59+AX59)</f>
        <v>1350</v>
      </c>
      <c r="AE59" s="2658"/>
      <c r="AF59" s="103">
        <f>AI59+AG59</f>
        <v>0</v>
      </c>
      <c r="AG59" s="103">
        <v>0</v>
      </c>
      <c r="AH59" s="2658"/>
      <c r="AI59" s="103">
        <v>0</v>
      </c>
      <c r="AJ59" s="2658"/>
      <c r="AK59" s="2658"/>
      <c r="AL59" s="103">
        <v>0</v>
      </c>
      <c r="AM59" s="2658"/>
      <c r="AN59" s="103">
        <v>0</v>
      </c>
      <c r="AO59" s="2644"/>
      <c r="AP59" s="103">
        <v>0</v>
      </c>
      <c r="AQ59" s="2658"/>
      <c r="AR59" s="103">
        <v>0</v>
      </c>
      <c r="AS59" s="2658"/>
      <c r="AT59" s="103">
        <v>0</v>
      </c>
      <c r="AU59" s="2658"/>
      <c r="AV59" s="103">
        <v>0</v>
      </c>
      <c r="AW59" s="2658"/>
      <c r="AX59" s="103">
        <v>0</v>
      </c>
      <c r="AY59" s="2658"/>
      <c r="AZ59" s="103">
        <f t="shared" si="0"/>
        <v>0</v>
      </c>
      <c r="BA59" s="2644"/>
      <c r="BB59" s="97">
        <v>0</v>
      </c>
      <c r="BC59" s="2644"/>
      <c r="BD59" s="97">
        <v>0</v>
      </c>
      <c r="BE59" s="2644"/>
      <c r="BF59" s="97">
        <v>0</v>
      </c>
      <c r="BG59" s="2644"/>
      <c r="BH59" s="97">
        <v>0</v>
      </c>
      <c r="BI59" s="2644"/>
      <c r="BJ59" s="97">
        <v>0</v>
      </c>
      <c r="BK59" s="2644"/>
      <c r="BL59" s="97">
        <v>0</v>
      </c>
      <c r="BM59" s="2658"/>
      <c r="BN59" s="97">
        <f>T59+V59</f>
        <v>2250</v>
      </c>
      <c r="BO59" s="2658"/>
      <c r="BP59" s="97">
        <v>0</v>
      </c>
      <c r="BQ59" s="2658"/>
      <c r="BR59" s="97">
        <v>0</v>
      </c>
      <c r="BS59" s="2658"/>
      <c r="BT59" s="182">
        <f t="shared" si="16"/>
        <v>0</v>
      </c>
      <c r="BU59" s="2658"/>
      <c r="BV59" s="138">
        <f>ROUND((AD59+AB59+Z59)/1000*3,0)+ROUND((AF59+AX59)/1000,0)+ROUND((ROUND(AL59/400,0))/2.67,0)+ROUND(AN59/250,0)+ROUND(AR59/15000,0)+ROUND((BB59+BD59+BF59+BJ59)/1000*3,0)+ROUND(BP59/25,0)+ROUND(CN59/50,0)</f>
        <v>7</v>
      </c>
      <c r="BW59" s="2658"/>
      <c r="BX59" s="97">
        <v>0</v>
      </c>
      <c r="BY59" s="2658"/>
      <c r="BZ59" s="97">
        <v>0</v>
      </c>
      <c r="CA59" s="2658"/>
      <c r="CB59" s="97">
        <v>0</v>
      </c>
      <c r="CC59" s="2658"/>
      <c r="CD59" s="97">
        <f>AB59/1000</f>
        <v>0</v>
      </c>
      <c r="CE59" s="2658"/>
      <c r="CF59" s="97">
        <f>AL59/1000</f>
        <v>0</v>
      </c>
      <c r="CG59" s="2658"/>
      <c r="CH59" s="97">
        <v>0</v>
      </c>
      <c r="CI59" s="2658"/>
      <c r="CJ59" s="97">
        <v>0</v>
      </c>
      <c r="CK59" s="2658"/>
      <c r="CL59" s="97">
        <v>0</v>
      </c>
      <c r="CM59" s="2658"/>
      <c r="CN59" s="97">
        <f t="shared" si="1"/>
        <v>0</v>
      </c>
      <c r="CO59" s="266"/>
      <c r="CP59" s="2256">
        <v>15</v>
      </c>
      <c r="CQ59" s="95" t="s">
        <v>705</v>
      </c>
      <c r="CR59" s="95">
        <v>4.5999999999999996</v>
      </c>
      <c r="CS59" s="139">
        <v>0</v>
      </c>
      <c r="CT59" s="139">
        <v>4.5999999999999996</v>
      </c>
      <c r="CU59" s="108"/>
      <c r="CV59" s="2662"/>
      <c r="CW59" s="97">
        <f>(CR59*(F59))-F59</f>
        <v>8100</v>
      </c>
      <c r="CX59" s="2661"/>
      <c r="CY59" s="2663"/>
      <c r="CZ59" s="95">
        <v>0</v>
      </c>
      <c r="DA59" s="2664"/>
      <c r="DB59" s="95">
        <f>CZ59-DD59</f>
        <v>0</v>
      </c>
      <c r="DC59" s="2661"/>
      <c r="DD59" s="95">
        <v>0</v>
      </c>
      <c r="DE59" s="2661"/>
      <c r="DF59" s="95">
        <v>0</v>
      </c>
      <c r="DG59" s="2661"/>
      <c r="DH59" s="95">
        <f>CZ59-(DD59+DF59+DJ59+DL59+DN59+DT59+DV59+DX59)</f>
        <v>0</v>
      </c>
      <c r="DI59" s="2661"/>
      <c r="DJ59" s="95">
        <v>0</v>
      </c>
      <c r="DK59" s="2661"/>
      <c r="DL59" s="95">
        <v>0</v>
      </c>
      <c r="DM59" s="2661"/>
      <c r="DN59" s="95">
        <v>0</v>
      </c>
      <c r="DO59" s="2661"/>
      <c r="DP59" s="95">
        <v>0</v>
      </c>
      <c r="DQ59" s="2661"/>
      <c r="DR59" s="95">
        <v>0</v>
      </c>
      <c r="DS59" s="2661"/>
      <c r="DT59" s="95">
        <v>0</v>
      </c>
      <c r="DU59" s="2661"/>
      <c r="DV59" s="95">
        <v>0</v>
      </c>
      <c r="DW59" s="2661"/>
      <c r="DX59" s="103">
        <f t="shared" si="2"/>
        <v>0</v>
      </c>
      <c r="DY59" s="2661"/>
      <c r="DZ59" s="270">
        <v>0</v>
      </c>
      <c r="EA59" s="2661"/>
      <c r="EB59" s="270">
        <v>0</v>
      </c>
      <c r="EC59" s="2661"/>
      <c r="ED59" s="270">
        <v>0</v>
      </c>
      <c r="EE59" s="2661"/>
      <c r="EF59" s="270">
        <v>0</v>
      </c>
      <c r="EG59" s="2661"/>
      <c r="EH59" s="270">
        <v>0</v>
      </c>
      <c r="EI59" s="2661"/>
      <c r="EJ59" s="270">
        <v>0</v>
      </c>
      <c r="EK59" s="2658"/>
      <c r="EL59" s="295">
        <f>CW59+CZ59</f>
        <v>8100</v>
      </c>
      <c r="EM59" s="2643"/>
      <c r="EN59" s="102">
        <f>CW59/'A-App Projected Sites '!EP$141</f>
        <v>8.1</v>
      </c>
      <c r="EO59" s="2643"/>
      <c r="EP59" s="296">
        <f t="shared" si="17"/>
        <v>1.62</v>
      </c>
      <c r="EQ59" s="2671"/>
      <c r="ER59" s="102">
        <f t="shared" si="15"/>
        <v>2.0249999999999999</v>
      </c>
      <c r="ES59" s="2671"/>
      <c r="ET59" s="102">
        <f>FA59+FG59+FQ59</f>
        <v>3.0374999999999996</v>
      </c>
      <c r="EU59" s="2661"/>
      <c r="EV59" s="296">
        <f>2.87*EN59</f>
        <v>23.247</v>
      </c>
      <c r="EW59" s="2661"/>
      <c r="EX59" s="186">
        <f>ROUND((DH59+DF59+DD59)/1000*3,0)+ROUND((ROUND(DL59/400,0))/2.67,0)+ROUND(DV59/1000,0)+ROUND((DZ59+EB59+ED59+EH59)/1000*3,0)+ROUND(EN59/25,0)+ROUND(ET59/50,0)</f>
        <v>0</v>
      </c>
      <c r="EY59" s="2661"/>
      <c r="EZ59" s="2674"/>
      <c r="FA59" s="2224">
        <f>(0.75*EN59)*0.5</f>
        <v>3.0374999999999996</v>
      </c>
      <c r="FB59" s="2661"/>
      <c r="FC59" s="2224">
        <v>0</v>
      </c>
      <c r="FD59" s="2661"/>
      <c r="FE59" s="2224">
        <v>0</v>
      </c>
      <c r="FF59" s="2661"/>
      <c r="FG59" s="102">
        <f>SUM(DJ59,DD59,DH59,DN59,DT59)/1000</f>
        <v>0</v>
      </c>
      <c r="FH59" s="2661"/>
      <c r="FI59" s="102">
        <f>DF59/1000</f>
        <v>0</v>
      </c>
      <c r="FJ59" s="2661"/>
      <c r="FK59" s="102">
        <f>((DL59/400)/12)</f>
        <v>0</v>
      </c>
      <c r="FL59" s="2661"/>
      <c r="FM59" s="102">
        <f>IF(DX59&gt;0,"Calculate",0)</f>
        <v>0</v>
      </c>
      <c r="FN59" s="2661"/>
      <c r="FO59" s="102">
        <v>0</v>
      </c>
      <c r="FP59" s="2671"/>
      <c r="FQ59" s="102">
        <f>DX59/1000</f>
        <v>0</v>
      </c>
      <c r="FR59" s="2661"/>
      <c r="FS59" s="2683"/>
      <c r="FT59" s="2668"/>
      <c r="FU59" s="2665"/>
      <c r="FV59" s="2666"/>
      <c r="FW59" s="2666"/>
      <c r="FX59" s="2665"/>
      <c r="FY59" s="2665"/>
      <c r="FZ59" s="2665"/>
      <c r="GA59" s="2665"/>
      <c r="GB59" s="2665"/>
      <c r="GC59" s="2665"/>
      <c r="GD59" s="2665"/>
      <c r="GE59" s="2665"/>
      <c r="GF59" s="2665"/>
      <c r="GG59" s="2665"/>
      <c r="GH59" s="2665"/>
      <c r="GI59" s="2665"/>
      <c r="GJ59" s="2665"/>
      <c r="GK59" s="2665"/>
      <c r="GL59" s="2666"/>
      <c r="GM59" s="2666"/>
      <c r="GN59" s="2666"/>
      <c r="GO59" s="2680"/>
      <c r="GP59" s="113">
        <f>EP59-BR59</f>
        <v>1.62</v>
      </c>
      <c r="GQ59" s="2680"/>
      <c r="GR59" s="113">
        <f>EV59-BT59</f>
        <v>23.247</v>
      </c>
      <c r="GS59" s="2677"/>
      <c r="GT59" s="113">
        <f>EX59-BV59</f>
        <v>-7</v>
      </c>
      <c r="GU59" s="113">
        <f>FA59-BX59</f>
        <v>3.0374999999999996</v>
      </c>
      <c r="GV59" s="113">
        <f>FI59-CD59</f>
        <v>0</v>
      </c>
      <c r="GW59" s="113">
        <v>0</v>
      </c>
      <c r="GX59" s="113">
        <f>FG59-CB59</f>
        <v>0</v>
      </c>
      <c r="GY59" s="113">
        <f>FK59-CF59</f>
        <v>0</v>
      </c>
      <c r="GZ59" s="113">
        <f>FM59-CH59</f>
        <v>0</v>
      </c>
      <c r="HA59" s="113">
        <f>FO59-CJ59</f>
        <v>0</v>
      </c>
      <c r="HB59" s="113">
        <f>FQ59-CL59</f>
        <v>0</v>
      </c>
      <c r="HC59" s="2669"/>
      <c r="HD59" s="139"/>
      <c r="HE59" s="139"/>
      <c r="HF59" s="139"/>
      <c r="HG59" s="139"/>
      <c r="HH59" s="139"/>
      <c r="HI59" s="139"/>
      <c r="HJ59" s="139"/>
      <c r="HK59" s="139"/>
    </row>
    <row r="60" spans="1:221" s="72" customFormat="1" ht="15" customHeight="1">
      <c r="A60" s="2589"/>
      <c r="B60" s="297" t="s">
        <v>746</v>
      </c>
      <c r="C60" s="66">
        <v>2859</v>
      </c>
      <c r="D60" s="66">
        <v>34</v>
      </c>
      <c r="E60" s="298">
        <v>2028590034</v>
      </c>
      <c r="F60" s="299">
        <v>3250</v>
      </c>
      <c r="G60" s="66" t="s">
        <v>704</v>
      </c>
      <c r="H60" s="70"/>
      <c r="I60" s="66">
        <v>0</v>
      </c>
      <c r="J60" s="66">
        <v>0</v>
      </c>
      <c r="K60" s="66">
        <v>2</v>
      </c>
      <c r="L60" s="66">
        <v>6.5</v>
      </c>
      <c r="M60" s="68">
        <v>3250</v>
      </c>
      <c r="N60" s="68">
        <f>F60</f>
        <v>3250</v>
      </c>
      <c r="O60" s="66">
        <v>0</v>
      </c>
      <c r="P60" s="68">
        <v>3250</v>
      </c>
      <c r="Q60" s="71">
        <v>0</v>
      </c>
      <c r="R60" s="72" t="s">
        <v>711</v>
      </c>
      <c r="S60" s="2591"/>
      <c r="T60" s="73">
        <v>0</v>
      </c>
      <c r="U60" s="2591"/>
      <c r="V60" s="74">
        <f>N60</f>
        <v>3250</v>
      </c>
      <c r="W60" s="2591"/>
      <c r="X60" s="73">
        <f>V60-Z60</f>
        <v>3250</v>
      </c>
      <c r="Y60" s="2591"/>
      <c r="Z60" s="73">
        <v>0</v>
      </c>
      <c r="AA60" s="2591"/>
      <c r="AB60" s="73">
        <v>0</v>
      </c>
      <c r="AC60" s="2591"/>
      <c r="AD60" s="75">
        <f>V60-(Z60+AB60+AF60+AL60+AN60+AP60+AZ60+AR60+AT60+AV60+AX60)</f>
        <v>0</v>
      </c>
      <c r="AE60" s="2581"/>
      <c r="AF60" s="75">
        <f>AI60+AG60</f>
        <v>3250</v>
      </c>
      <c r="AG60" s="75">
        <f>V60</f>
        <v>3250</v>
      </c>
      <c r="AH60" s="2581"/>
      <c r="AI60" s="75">
        <v>0</v>
      </c>
      <c r="AJ60" s="2581"/>
      <c r="AK60" s="2581"/>
      <c r="AL60" s="75">
        <v>0</v>
      </c>
      <c r="AM60" s="2581"/>
      <c r="AN60" s="75">
        <v>0</v>
      </c>
      <c r="AO60" s="2583"/>
      <c r="AP60" s="75">
        <v>0</v>
      </c>
      <c r="AQ60" s="2581"/>
      <c r="AR60" s="75">
        <v>0</v>
      </c>
      <c r="AS60" s="2581"/>
      <c r="AT60" s="75">
        <v>0</v>
      </c>
      <c r="AU60" s="2581"/>
      <c r="AV60" s="75">
        <v>0</v>
      </c>
      <c r="AW60" s="2581"/>
      <c r="AX60" s="75">
        <v>0</v>
      </c>
      <c r="AY60" s="2581"/>
      <c r="AZ60" s="75">
        <f t="shared" si="0"/>
        <v>0</v>
      </c>
      <c r="BA60" s="2583"/>
      <c r="BB60" s="73">
        <v>0</v>
      </c>
      <c r="BC60" s="2583"/>
      <c r="BD60" s="73">
        <v>0</v>
      </c>
      <c r="BE60" s="2583"/>
      <c r="BF60" s="73">
        <v>0</v>
      </c>
      <c r="BG60" s="2583"/>
      <c r="BH60" s="73">
        <v>0</v>
      </c>
      <c r="BI60" s="2583"/>
      <c r="BJ60" s="73">
        <v>0</v>
      </c>
      <c r="BK60" s="2583"/>
      <c r="BL60" s="73">
        <v>0</v>
      </c>
      <c r="BM60" s="2581"/>
      <c r="BN60" s="73">
        <f>ROUND(T60+V60,0)</f>
        <v>3250</v>
      </c>
      <c r="BO60" s="2581"/>
      <c r="BP60" s="73">
        <f>T60/1000</f>
        <v>0</v>
      </c>
      <c r="BQ60" s="2581"/>
      <c r="BR60" s="73">
        <v>0</v>
      </c>
      <c r="BS60" s="2581"/>
      <c r="BT60" s="77">
        <f t="shared" si="16"/>
        <v>0</v>
      </c>
      <c r="BU60" s="2581"/>
      <c r="BV60" s="78">
        <f>ROUND((AD60+AB60+Z60)/1000*3,0)+ROUND((AF60+AX60)/1000,0)+ROUND((ROUND(AL60/400,0))/2.67,0)+ROUND(AN60/250,0)+ROUND(AR60/15000,0)+ROUND((BB60+BD60+BF60+BJ60)/1000*3,0)+ROUND(BP60/25,0)+ROUND(CN60/50,0)</f>
        <v>3</v>
      </c>
      <c r="BW60" s="2581"/>
      <c r="BX60" s="73">
        <v>0</v>
      </c>
      <c r="BY60" s="2581"/>
      <c r="BZ60" s="73">
        <v>0</v>
      </c>
      <c r="CA60" s="2581"/>
      <c r="CB60" s="73">
        <v>0</v>
      </c>
      <c r="CC60" s="2581"/>
      <c r="CD60" s="73">
        <f>AB60/1000</f>
        <v>0</v>
      </c>
      <c r="CE60" s="2581"/>
      <c r="CF60" s="73">
        <f>AL60/1000</f>
        <v>0</v>
      </c>
      <c r="CG60" s="2581"/>
      <c r="CH60" s="73">
        <v>0</v>
      </c>
      <c r="CI60" s="2581"/>
      <c r="CJ60" s="73">
        <v>0</v>
      </c>
      <c r="CK60" s="2581"/>
      <c r="CL60" s="73">
        <v>0</v>
      </c>
      <c r="CM60" s="2581"/>
      <c r="CN60" s="73">
        <f t="shared" si="1"/>
        <v>0</v>
      </c>
      <c r="CO60" s="300"/>
      <c r="CP60" s="2257">
        <v>0</v>
      </c>
      <c r="CQ60" s="81" t="s">
        <v>705</v>
      </c>
      <c r="CR60" s="81">
        <v>4.5999999999999996</v>
      </c>
      <c r="CS60" s="81">
        <v>0</v>
      </c>
      <c r="CT60" s="81">
        <v>4.5999999999999996</v>
      </c>
      <c r="CU60" s="82"/>
      <c r="CV60" s="2597"/>
      <c r="CW60" s="73">
        <f>(CR60*(F60))-F60</f>
        <v>11699.999999999998</v>
      </c>
      <c r="CX60" s="2591"/>
      <c r="CY60" s="2599"/>
      <c r="CZ60" s="72">
        <v>0</v>
      </c>
      <c r="DA60" s="2593"/>
      <c r="DB60" s="72">
        <v>0</v>
      </c>
      <c r="DC60" s="2591"/>
      <c r="DD60" s="72">
        <v>0</v>
      </c>
      <c r="DE60" s="2591"/>
      <c r="DF60" s="72">
        <v>0</v>
      </c>
      <c r="DG60" s="2591"/>
      <c r="DH60" s="72">
        <f>CZ60-(DD60+DF60+DJ60+DL60+DN60+DT60+DV60+DX60)</f>
        <v>0</v>
      </c>
      <c r="DI60" s="2591"/>
      <c r="DJ60" s="72">
        <v>0</v>
      </c>
      <c r="DK60" s="2591"/>
      <c r="DL60" s="72">
        <v>0</v>
      </c>
      <c r="DM60" s="2591"/>
      <c r="DN60" s="72">
        <v>0</v>
      </c>
      <c r="DO60" s="2591"/>
      <c r="DP60" s="72">
        <v>0</v>
      </c>
      <c r="DQ60" s="2591"/>
      <c r="DR60" s="72">
        <v>0</v>
      </c>
      <c r="DS60" s="2591"/>
      <c r="DT60" s="72">
        <v>0</v>
      </c>
      <c r="DU60" s="2591"/>
      <c r="DV60" s="72">
        <v>0</v>
      </c>
      <c r="DW60" s="2591"/>
      <c r="DX60" s="75">
        <f t="shared" si="2"/>
        <v>0</v>
      </c>
      <c r="DY60" s="2591"/>
      <c r="DZ60" s="301">
        <f>BB60</f>
        <v>0</v>
      </c>
      <c r="EA60" s="2591"/>
      <c r="EB60" s="301">
        <f>BD60</f>
        <v>0</v>
      </c>
      <c r="EC60" s="2591"/>
      <c r="ED60" s="301">
        <f>BF60</f>
        <v>0</v>
      </c>
      <c r="EE60" s="2591"/>
      <c r="EF60" s="301">
        <f>BH60</f>
        <v>0</v>
      </c>
      <c r="EG60" s="2591"/>
      <c r="EH60" s="301">
        <f>BJ60</f>
        <v>0</v>
      </c>
      <c r="EI60" s="2591"/>
      <c r="EJ60" s="301">
        <v>0</v>
      </c>
      <c r="EK60" s="2581"/>
      <c r="EL60" s="302">
        <f>ROUND(CW60+CZ60,0)</f>
        <v>11700</v>
      </c>
      <c r="EM60" s="2601"/>
      <c r="EN60" s="74">
        <f>CW60/'A-App Projected Sites '!EP$141</f>
        <v>11.699999999999998</v>
      </c>
      <c r="EO60" s="2601"/>
      <c r="EP60" s="303">
        <f t="shared" si="17"/>
        <v>2.3399999999999994</v>
      </c>
      <c r="EQ60" s="2672"/>
      <c r="ER60" s="74">
        <f t="shared" si="15"/>
        <v>2.9249999999999994</v>
      </c>
      <c r="ES60" s="2672"/>
      <c r="ET60" s="74">
        <f>FA60+FG60+FQ60</f>
        <v>4.3874999999999993</v>
      </c>
      <c r="EU60" s="2591"/>
      <c r="EV60" s="303">
        <f>2.87*EN60</f>
        <v>33.578999999999994</v>
      </c>
      <c r="EW60" s="2591"/>
      <c r="EX60" s="88">
        <f>ROUND((DH60+DF60+DD60)/1000*3,0)+ROUND((ROUND(DL60/400,0))/2.67,0)+ROUND(DV60/1000,0)+ROUND((DZ60+EB60+ED60+EH60)/1000*3,0)+ROUND(EN60/25,0)+ROUND(ET60/50,0)</f>
        <v>0</v>
      </c>
      <c r="EY60" s="2591"/>
      <c r="EZ60" s="2675"/>
      <c r="FA60" s="2224">
        <f>(0.75*EN60)*0.5</f>
        <v>4.3874999999999993</v>
      </c>
      <c r="FB60" s="2591"/>
      <c r="FC60" s="2224">
        <v>0</v>
      </c>
      <c r="FD60" s="2591"/>
      <c r="FE60" s="2224">
        <v>0</v>
      </c>
      <c r="FF60" s="2591"/>
      <c r="FG60" s="74">
        <f>SUM(DJ60,DD60,DH60,DN60,DT60)/1000</f>
        <v>0</v>
      </c>
      <c r="FH60" s="2591"/>
      <c r="FI60" s="74">
        <f>DF60/1000</f>
        <v>0</v>
      </c>
      <c r="FJ60" s="2591"/>
      <c r="FK60" s="74">
        <f>((DL60/400)/12)</f>
        <v>0</v>
      </c>
      <c r="FL60" s="2591"/>
      <c r="FM60" s="74">
        <f>IF(DX60&gt;0,"Calculate",0)</f>
        <v>0</v>
      </c>
      <c r="FN60" s="2591"/>
      <c r="FO60" s="74">
        <v>0</v>
      </c>
      <c r="FP60" s="2672"/>
      <c r="FQ60" s="74">
        <f>DX60/1000</f>
        <v>0</v>
      </c>
      <c r="FR60" s="2591"/>
      <c r="FS60" s="2684"/>
      <c r="FT60" s="2607"/>
      <c r="FU60" s="2603"/>
      <c r="FV60" s="2609"/>
      <c r="FW60" s="2609"/>
      <c r="FX60" s="2603"/>
      <c r="FY60" s="2603"/>
      <c r="FZ60" s="2603"/>
      <c r="GA60" s="2603"/>
      <c r="GB60" s="2603"/>
      <c r="GC60" s="2603"/>
      <c r="GD60" s="2603"/>
      <c r="GE60" s="2603"/>
      <c r="GF60" s="2603"/>
      <c r="GG60" s="2603"/>
      <c r="GH60" s="2603"/>
      <c r="GI60" s="2603"/>
      <c r="GJ60" s="2603"/>
      <c r="GK60" s="2603"/>
      <c r="GL60" s="2609"/>
      <c r="GM60" s="2609"/>
      <c r="GN60" s="2609"/>
      <c r="GO60" s="2681"/>
      <c r="GP60" s="89">
        <f>EP60-BR60</f>
        <v>2.3399999999999994</v>
      </c>
      <c r="GQ60" s="2681"/>
      <c r="GR60" s="89">
        <f>EV60-BT60</f>
        <v>33.578999999999994</v>
      </c>
      <c r="GS60" s="2678"/>
      <c r="GT60" s="89">
        <f>EX60-BV60</f>
        <v>-3</v>
      </c>
      <c r="GU60" s="89">
        <f>FA60-BX60</f>
        <v>4.3874999999999993</v>
      </c>
      <c r="GV60" s="89">
        <f>FI60-CD60</f>
        <v>0</v>
      </c>
      <c r="GW60" s="89">
        <v>0</v>
      </c>
      <c r="GX60" s="89">
        <f>FG60-CB60</f>
        <v>0</v>
      </c>
      <c r="GY60" s="89">
        <f>FK60-CF60</f>
        <v>0</v>
      </c>
      <c r="GZ60" s="89">
        <f>FM60-CH60</f>
        <v>0</v>
      </c>
      <c r="HA60" s="89">
        <f>FO60-CJ60</f>
        <v>0</v>
      </c>
      <c r="HB60" s="89">
        <f>FQ60-CL60</f>
        <v>0</v>
      </c>
      <c r="HC60" s="2617"/>
      <c r="HD60" s="95"/>
      <c r="HE60" s="95"/>
    </row>
    <row r="61" spans="1:221" s="91" customFormat="1" ht="18.75">
      <c r="A61" s="216"/>
      <c r="B61" s="217"/>
      <c r="C61" s="218"/>
      <c r="D61" s="218"/>
      <c r="E61" s="218"/>
      <c r="F61" s="220"/>
      <c r="G61" s="69"/>
      <c r="H61" s="70"/>
      <c r="I61" s="66"/>
      <c r="J61" s="66"/>
      <c r="K61" s="66"/>
      <c r="L61" s="66"/>
      <c r="M61" s="68"/>
      <c r="N61" s="68"/>
      <c r="O61" s="68"/>
      <c r="P61" s="68"/>
      <c r="Q61" s="71"/>
      <c r="R61" s="72"/>
      <c r="S61" s="304"/>
      <c r="T61" s="73"/>
      <c r="U61" s="2245"/>
      <c r="V61" s="74"/>
      <c r="W61" s="2245"/>
      <c r="X61" s="73"/>
      <c r="Y61" s="2245"/>
      <c r="Z61" s="73"/>
      <c r="AA61" s="2245"/>
      <c r="AB61" s="73"/>
      <c r="AC61" s="2245"/>
      <c r="AD61" s="75"/>
      <c r="AE61" s="2252"/>
      <c r="AF61" s="75"/>
      <c r="AG61" s="75"/>
      <c r="AH61" s="75"/>
      <c r="AI61" s="75"/>
      <c r="AJ61" s="75"/>
      <c r="AK61" s="2252"/>
      <c r="AL61" s="75"/>
      <c r="AM61" s="2252"/>
      <c r="AN61" s="75"/>
      <c r="AO61" s="2225"/>
      <c r="AP61" s="75"/>
      <c r="AQ61" s="2252"/>
      <c r="AR61" s="75"/>
      <c r="AS61" s="2252"/>
      <c r="AT61" s="75"/>
      <c r="AU61" s="2252"/>
      <c r="AV61" s="75"/>
      <c r="AW61" s="2252"/>
      <c r="AX61" s="75"/>
      <c r="AY61" s="2252"/>
      <c r="AZ61" s="75">
        <f t="shared" si="0"/>
        <v>0</v>
      </c>
      <c r="BA61" s="2225"/>
      <c r="BB61" s="73"/>
      <c r="BC61" s="2225"/>
      <c r="BD61" s="73"/>
      <c r="BE61" s="2225"/>
      <c r="BF61" s="73"/>
      <c r="BG61" s="2225"/>
      <c r="BH61" s="73"/>
      <c r="BI61" s="2225"/>
      <c r="BJ61" s="73"/>
      <c r="BK61" s="2225"/>
      <c r="BL61" s="73"/>
      <c r="BM61" s="2252"/>
      <c r="BN61" s="73"/>
      <c r="BO61" s="2252"/>
      <c r="BP61" s="73"/>
      <c r="BQ61" s="2252"/>
      <c r="BR61" s="73"/>
      <c r="BS61" s="2252"/>
      <c r="BT61" s="124"/>
      <c r="BU61" s="2252"/>
      <c r="BV61" s="78"/>
      <c r="BW61" s="2252"/>
      <c r="BX61" s="73"/>
      <c r="BY61" s="2252"/>
      <c r="BZ61" s="73"/>
      <c r="CA61" s="2252"/>
      <c r="CB61" s="73"/>
      <c r="CC61" s="2252"/>
      <c r="CD61" s="73"/>
      <c r="CE61" s="2252"/>
      <c r="CF61" s="73"/>
      <c r="CG61" s="2252"/>
      <c r="CH61" s="73"/>
      <c r="CI61" s="2252"/>
      <c r="CJ61" s="73"/>
      <c r="CK61" s="2252"/>
      <c r="CL61" s="73"/>
      <c r="CM61" s="2252"/>
      <c r="CN61" s="73">
        <f t="shared" si="1"/>
        <v>0</v>
      </c>
      <c r="CO61" s="300"/>
      <c r="CP61" s="2266"/>
      <c r="CQ61" s="81"/>
      <c r="CR61" s="81"/>
      <c r="CS61" s="81"/>
      <c r="CT61" s="81"/>
      <c r="CU61" s="82"/>
      <c r="CV61" s="305"/>
      <c r="CW61" s="83"/>
      <c r="CX61" s="2245"/>
      <c r="CY61" s="2262"/>
      <c r="CZ61" s="83"/>
      <c r="DA61" s="2254"/>
      <c r="DB61" s="83"/>
      <c r="DC61" s="2245"/>
      <c r="DD61" s="83"/>
      <c r="DE61" s="214"/>
      <c r="DF61" s="83"/>
      <c r="DG61" s="214"/>
      <c r="DH61" s="83"/>
      <c r="DI61" s="214"/>
      <c r="DJ61" s="83"/>
      <c r="DK61" s="214"/>
      <c r="DL61" s="83"/>
      <c r="DM61" s="214"/>
      <c r="DN61" s="83"/>
      <c r="DO61" s="214"/>
      <c r="DP61" s="83"/>
      <c r="DQ61" s="214"/>
      <c r="DR61" s="83"/>
      <c r="DS61" s="214"/>
      <c r="DT61" s="83"/>
      <c r="DU61" s="214"/>
      <c r="DV61" s="83"/>
      <c r="DW61" s="214"/>
      <c r="DX61" s="75"/>
      <c r="DY61" s="214"/>
      <c r="DZ61" s="76"/>
      <c r="EA61" s="214"/>
      <c r="EB61" s="76"/>
      <c r="EC61" s="214"/>
      <c r="ED61" s="76"/>
      <c r="EE61" s="214"/>
      <c r="EF61" s="76"/>
      <c r="EG61" s="214"/>
      <c r="EH61" s="76"/>
      <c r="EI61" s="214"/>
      <c r="EJ61" s="75"/>
      <c r="EK61" s="2252"/>
      <c r="EL61" s="73"/>
      <c r="EM61" s="2247"/>
      <c r="EN61" s="74"/>
      <c r="EO61" s="2246"/>
      <c r="EP61" s="102"/>
      <c r="EQ61" s="110"/>
      <c r="ER61" s="102"/>
      <c r="ES61" s="110"/>
      <c r="ET61" s="74"/>
      <c r="EU61" s="214"/>
      <c r="EV61" s="306"/>
      <c r="EW61" s="214"/>
      <c r="EX61" s="88"/>
      <c r="EY61" s="214"/>
      <c r="EZ61" s="2249"/>
      <c r="FA61" s="194"/>
      <c r="FB61" s="214"/>
      <c r="FC61" s="194"/>
      <c r="FD61" s="214"/>
      <c r="FE61" s="194"/>
      <c r="FF61" s="214"/>
      <c r="FG61" s="74"/>
      <c r="FH61" s="214"/>
      <c r="FI61" s="74"/>
      <c r="FJ61" s="214"/>
      <c r="FK61" s="111"/>
      <c r="FL61" s="214"/>
      <c r="FM61" s="111"/>
      <c r="FN61" s="214"/>
      <c r="FO61" s="111"/>
      <c r="FP61" s="110"/>
      <c r="FQ61" s="111"/>
      <c r="FR61" s="214"/>
      <c r="FS61" s="214"/>
      <c r="FT61" s="2240"/>
      <c r="FU61" s="2233"/>
      <c r="FV61" s="2235"/>
      <c r="FW61" s="2235"/>
      <c r="FX61" s="2233"/>
      <c r="FY61" s="2233"/>
      <c r="FZ61" s="2233"/>
      <c r="GA61" s="235"/>
      <c r="GB61" s="2233"/>
      <c r="GC61" s="2233"/>
      <c r="GD61" s="2233"/>
      <c r="GE61" s="235"/>
      <c r="GF61" s="2233"/>
      <c r="GG61" s="235"/>
      <c r="GH61" s="235"/>
      <c r="GI61" s="235"/>
      <c r="GJ61" s="235"/>
      <c r="GK61" s="235"/>
      <c r="GL61" s="2235"/>
      <c r="GM61" s="2235"/>
      <c r="GN61" s="2235"/>
      <c r="GO61" s="2225"/>
      <c r="GP61" s="112"/>
      <c r="GQ61" s="2225"/>
      <c r="GR61" s="112"/>
      <c r="GS61" s="2225"/>
      <c r="GT61" s="245"/>
      <c r="GU61" s="114"/>
      <c r="GV61" s="245"/>
      <c r="GW61" s="245"/>
      <c r="GX61" s="245"/>
      <c r="GY61" s="245"/>
      <c r="GZ61" s="112"/>
      <c r="HA61" s="245"/>
      <c r="HB61" s="245"/>
      <c r="HC61" s="2230"/>
      <c r="HD61" s="139"/>
      <c r="HE61" s="139"/>
      <c r="HF61" s="127"/>
      <c r="HG61" s="127"/>
      <c r="HH61" s="228"/>
      <c r="HI61" s="228"/>
      <c r="HJ61" s="228"/>
    </row>
    <row r="62" spans="1:221" s="146" customFormat="1" ht="15" customHeight="1">
      <c r="A62" s="2618">
        <v>22</v>
      </c>
      <c r="B62" s="3688" t="s">
        <v>703</v>
      </c>
      <c r="C62" s="140">
        <v>2846</v>
      </c>
      <c r="D62" s="140">
        <v>14</v>
      </c>
      <c r="E62" s="141">
        <v>2028460014</v>
      </c>
      <c r="F62" s="142">
        <v>17500</v>
      </c>
      <c r="G62" s="143" t="s">
        <v>704</v>
      </c>
      <c r="H62" s="144"/>
      <c r="I62" s="140">
        <v>0</v>
      </c>
      <c r="J62" s="140">
        <v>0</v>
      </c>
      <c r="K62" s="140">
        <v>2</v>
      </c>
      <c r="L62" s="140">
        <v>6.5</v>
      </c>
      <c r="M62" s="142">
        <v>0</v>
      </c>
      <c r="N62" s="142">
        <v>0</v>
      </c>
      <c r="O62" s="142">
        <v>0</v>
      </c>
      <c r="P62" s="142">
        <v>0</v>
      </c>
      <c r="Q62" s="145">
        <v>0</v>
      </c>
      <c r="R62" s="146" t="s">
        <v>720</v>
      </c>
      <c r="S62" s="2620">
        <f>SUM(T62:T63)</f>
        <v>0</v>
      </c>
      <c r="T62" s="147">
        <v>0</v>
      </c>
      <c r="U62" s="2620">
        <f>SUM(V62:V63)</f>
        <v>1700</v>
      </c>
      <c r="V62" s="148">
        <f>M62</f>
        <v>0</v>
      </c>
      <c r="W62" s="2620">
        <f>SUM(X62:X63)</f>
        <v>1700</v>
      </c>
      <c r="X62" s="147">
        <f>V62-Z62</f>
        <v>0</v>
      </c>
      <c r="Y62" s="2620">
        <f>SUM(Z62:Z63)</f>
        <v>0</v>
      </c>
      <c r="Z62" s="147">
        <v>0</v>
      </c>
      <c r="AA62" s="2620">
        <f>SUM(AB62:AB63)</f>
        <v>0</v>
      </c>
      <c r="AB62" s="147">
        <v>0</v>
      </c>
      <c r="AC62" s="2620">
        <f>SUM(AD62:AD63)</f>
        <v>0</v>
      </c>
      <c r="AD62" s="149">
        <f>V62-(Z62+AB62+AF62+AL62+AN62+AP62+AZ62+AR62+AT62+AV62+AX62)</f>
        <v>0</v>
      </c>
      <c r="AE62" s="2612">
        <f>SUM(AF62:AF63)</f>
        <v>1700</v>
      </c>
      <c r="AF62" s="149">
        <v>0</v>
      </c>
      <c r="AG62" s="149">
        <v>0</v>
      </c>
      <c r="AH62" s="2612">
        <f>SUM(AG62:AG63)</f>
        <v>0</v>
      </c>
      <c r="AI62" s="149">
        <v>0</v>
      </c>
      <c r="AJ62" s="2612">
        <f>SUM(AI62:AI63)</f>
        <v>1700</v>
      </c>
      <c r="AK62" s="2612">
        <f>SUM(AL62:AL63)</f>
        <v>0</v>
      </c>
      <c r="AL62" s="149">
        <v>0</v>
      </c>
      <c r="AM62" s="2612">
        <f>SUM(AN62:AN63)</f>
        <v>0</v>
      </c>
      <c r="AN62" s="149">
        <v>0</v>
      </c>
      <c r="AO62" s="2614">
        <f>SUM(AP62:AP63)</f>
        <v>0</v>
      </c>
      <c r="AP62" s="149">
        <v>0</v>
      </c>
      <c r="AQ62" s="2612">
        <f>SUM(AR62:AR63)</f>
        <v>0</v>
      </c>
      <c r="AR62" s="149">
        <v>0</v>
      </c>
      <c r="AS62" s="2612">
        <f>SUM(AT62:AT63)</f>
        <v>0</v>
      </c>
      <c r="AT62" s="149">
        <v>0</v>
      </c>
      <c r="AU62" s="2612">
        <f>SUM(AV62:AV63)</f>
        <v>0</v>
      </c>
      <c r="AV62" s="149">
        <v>0</v>
      </c>
      <c r="AW62" s="2612">
        <f>SUM(AX62:AX63)</f>
        <v>0</v>
      </c>
      <c r="AX62" s="149">
        <v>0</v>
      </c>
      <c r="AY62" s="2612">
        <f>SUM(AZ62:AZ63)</f>
        <v>0</v>
      </c>
      <c r="AZ62" s="149">
        <f t="shared" si="0"/>
        <v>0</v>
      </c>
      <c r="BA62" s="2614">
        <f>SUM(BB62:BB63)</f>
        <v>0</v>
      </c>
      <c r="BB62" s="151">
        <v>0</v>
      </c>
      <c r="BC62" s="2614">
        <f>SUM(BD62:BD63)</f>
        <v>0</v>
      </c>
      <c r="BD62" s="151">
        <v>0</v>
      </c>
      <c r="BE62" s="2614">
        <f>SUM(BF62:BF63)</f>
        <v>0</v>
      </c>
      <c r="BF62" s="151">
        <v>0</v>
      </c>
      <c r="BG62" s="2614">
        <f>SUM(BH62:BH63)</f>
        <v>0</v>
      </c>
      <c r="BH62" s="151">
        <v>0</v>
      </c>
      <c r="BI62" s="2614">
        <f>SUM(BJ62:BJ63)</f>
        <v>0</v>
      </c>
      <c r="BJ62" s="151">
        <v>0</v>
      </c>
      <c r="BK62" s="2614">
        <f>SUM(BL62:BL63)</f>
        <v>0</v>
      </c>
      <c r="BL62" s="151">
        <v>0</v>
      </c>
      <c r="BM62" s="2612">
        <f>SUM(BN62:BN63)</f>
        <v>1700</v>
      </c>
      <c r="BN62" s="147">
        <f>ROUND(T62+V62,0)</f>
        <v>0</v>
      </c>
      <c r="BO62" s="2612">
        <f>SUM(BP62:BP63)</f>
        <v>0</v>
      </c>
      <c r="BP62" s="147">
        <f>ROUND(T62/EP$141,0)</f>
        <v>0</v>
      </c>
      <c r="BQ62" s="2612">
        <f>SUM(BR62:BR63)</f>
        <v>0</v>
      </c>
      <c r="BR62" s="147">
        <f>BR$142*BP62</f>
        <v>0</v>
      </c>
      <c r="BS62" s="2612">
        <f>SUM(BT62:BT63)</f>
        <v>0</v>
      </c>
      <c r="BT62" s="152">
        <f t="shared" si="16"/>
        <v>0</v>
      </c>
      <c r="BU62" s="2612">
        <f>SUM(BV62:BV63)</f>
        <v>2</v>
      </c>
      <c r="BV62" s="153">
        <f>ROUND((AD62+AB62+Z62)/1000*3,0)+ROUND((AF62+AX62)/1000,0)+ROUND((ROUND(AL62/400,0))/2.67,0)+ROUND(AN62/250,0)+ROUND(AR62/15000,0)+ROUND((BB62+BD62+BF62+BJ62)/1000*3,0)+ROUND(BP62/25,0)+ROUND(CN62/50,0)</f>
        <v>0</v>
      </c>
      <c r="BW62" s="2612">
        <f>SUM(BX62:BX63)</f>
        <v>0</v>
      </c>
      <c r="BX62" s="147">
        <v>0</v>
      </c>
      <c r="BY62" s="2612">
        <f>SUM(BZ62:BZ63)</f>
        <v>0</v>
      </c>
      <c r="BZ62" s="147">
        <v>0</v>
      </c>
      <c r="CA62" s="2612">
        <f>SUM(CB62:CB63)</f>
        <v>1.7</v>
      </c>
      <c r="CB62" s="147">
        <f>V62/1000</f>
        <v>0</v>
      </c>
      <c r="CC62" s="2612">
        <f>SUM(CD62:CD63)</f>
        <v>0</v>
      </c>
      <c r="CD62" s="147">
        <f>AB62/1000</f>
        <v>0</v>
      </c>
      <c r="CE62" s="2612">
        <f>SUM(CF62:CF63)</f>
        <v>0</v>
      </c>
      <c r="CF62" s="147">
        <f>((AL62/400)/12)</f>
        <v>0</v>
      </c>
      <c r="CG62" s="2612">
        <f>SUM(CH62:CH63)</f>
        <v>0</v>
      </c>
      <c r="CH62" s="154">
        <f>IFERROR(VLOOKUP(E62,#REF!,3,FALSE),0)</f>
        <v>0</v>
      </c>
      <c r="CI62" s="2612">
        <f>SUM(CJ62:CJ63)</f>
        <v>0</v>
      </c>
      <c r="CJ62" s="147" t="b">
        <f>IF(G62="M1-2",F62/1000)</f>
        <v>0</v>
      </c>
      <c r="CK62" s="2612">
        <f>SUM(CL62:CL63)</f>
        <v>0</v>
      </c>
      <c r="CL62" s="147">
        <f>IF(BJ62&gt;0,"Calculate",0)</f>
        <v>0</v>
      </c>
      <c r="CM62" s="2612">
        <f>SUM(CN62:CN63)</f>
        <v>1.7</v>
      </c>
      <c r="CN62" s="155">
        <f t="shared" si="1"/>
        <v>0</v>
      </c>
      <c r="CO62" s="147"/>
      <c r="CP62" s="2685">
        <v>10</v>
      </c>
      <c r="CQ62" s="156" t="s">
        <v>705</v>
      </c>
      <c r="CR62" s="156">
        <v>4.5999999999999996</v>
      </c>
      <c r="CS62" s="156">
        <v>2</v>
      </c>
      <c r="CT62" s="156">
        <v>4.5999999999999996</v>
      </c>
      <c r="CU62" s="157" t="s">
        <v>706</v>
      </c>
      <c r="CV62" s="2622" t="s">
        <v>719</v>
      </c>
      <c r="CW62" s="147">
        <f>(CR62*F62)-CZ62</f>
        <v>48125</v>
      </c>
      <c r="CX62" s="2620">
        <f>SUM(CW62:CW63)</f>
        <v>89375</v>
      </c>
      <c r="CY62" s="2628">
        <f>SUM(CZ62:CZ63)</f>
        <v>60125</v>
      </c>
      <c r="CZ62" s="147">
        <f>2*(F62)-(0.15*1*(F62))</f>
        <v>32375</v>
      </c>
      <c r="DA62" s="2620">
        <f>SUM(DB62:DB63)</f>
        <v>60125</v>
      </c>
      <c r="DB62" s="147">
        <f>CZ62-DD62</f>
        <v>32375</v>
      </c>
      <c r="DC62" s="2620">
        <f>SUM(DD62:DD63)</f>
        <v>0</v>
      </c>
      <c r="DD62" s="147">
        <v>0</v>
      </c>
      <c r="DE62" s="2620">
        <f>SUM(DF62:DF63)</f>
        <v>0</v>
      </c>
      <c r="DF62" s="147">
        <v>0</v>
      </c>
      <c r="DG62" s="2620">
        <f>SUM(DH62:DH63)</f>
        <v>60125</v>
      </c>
      <c r="DH62" s="147">
        <f>CZ62-(DD62+DF62+DJ62+DL62+DN62+DT62+DV62+DX62)</f>
        <v>32375</v>
      </c>
      <c r="DI62" s="2620">
        <f>SUM(DJ62:DJ63)</f>
        <v>0</v>
      </c>
      <c r="DJ62" s="147">
        <v>0</v>
      </c>
      <c r="DK62" s="2620">
        <f>SUM(DL62:DL63)</f>
        <v>0</v>
      </c>
      <c r="DL62" s="147">
        <v>0</v>
      </c>
      <c r="DM62" s="2620">
        <f>SUM(DN62:DN63)</f>
        <v>0</v>
      </c>
      <c r="DN62" s="147">
        <v>0</v>
      </c>
      <c r="DO62" s="2620">
        <f>SUM(DP62:DP63)</f>
        <v>0</v>
      </c>
      <c r="DP62" s="147">
        <v>0</v>
      </c>
      <c r="DQ62" s="2620">
        <f>SUM(DR62:DR63)</f>
        <v>0</v>
      </c>
      <c r="DR62" s="147">
        <v>0</v>
      </c>
      <c r="DS62" s="2620">
        <f>SUM(DT62:DT63)</f>
        <v>0</v>
      </c>
      <c r="DT62" s="147">
        <v>0</v>
      </c>
      <c r="DU62" s="2620">
        <f>SUM(DV62:DV63)</f>
        <v>0</v>
      </c>
      <c r="DV62" s="147">
        <v>0</v>
      </c>
      <c r="DW62" s="2620">
        <f>SUM(DX62:DX63)</f>
        <v>0</v>
      </c>
      <c r="DX62" s="150">
        <f t="shared" si="2"/>
        <v>0</v>
      </c>
      <c r="DY62" s="2620">
        <f>SUM(DZ62:DZ63)</f>
        <v>0</v>
      </c>
      <c r="DZ62" s="149">
        <v>0</v>
      </c>
      <c r="EA62" s="2620">
        <f>SUM(EB62:EB63)</f>
        <v>0</v>
      </c>
      <c r="EB62" s="149">
        <v>0</v>
      </c>
      <c r="EC62" s="2620">
        <f>SUM(ED62:ED63)</f>
        <v>0</v>
      </c>
      <c r="ED62" s="149">
        <v>0</v>
      </c>
      <c r="EE62" s="2620">
        <f>SUM(EF62:EF63)</f>
        <v>0</v>
      </c>
      <c r="EF62" s="149">
        <v>0</v>
      </c>
      <c r="EG62" s="2620">
        <f>SUM(EH62:EH63)</f>
        <v>0</v>
      </c>
      <c r="EH62" s="149">
        <v>0</v>
      </c>
      <c r="EI62" s="2620">
        <f>SUM(EJ62:EJ63)</f>
        <v>0</v>
      </c>
      <c r="EJ62" s="149">
        <v>0</v>
      </c>
      <c r="EK62" s="2612">
        <f>SUM(EL62:EL63)</f>
        <v>149500</v>
      </c>
      <c r="EL62" s="147">
        <f>CW62+CZ62</f>
        <v>80500</v>
      </c>
      <c r="EM62" s="2628">
        <f>SUM(EN62:EN63)</f>
        <v>89</v>
      </c>
      <c r="EN62" s="148">
        <f>ROUND(CW62/EP$141,0)</f>
        <v>48</v>
      </c>
      <c r="EO62" s="2628">
        <f>SUM(EP62:EP63)</f>
        <v>17.800000000000004</v>
      </c>
      <c r="EP62" s="148">
        <f>0.2*EN62</f>
        <v>9.6000000000000014</v>
      </c>
      <c r="EQ62" s="2628">
        <f>SUM(ER62:ER63)</f>
        <v>22.25</v>
      </c>
      <c r="ER62" s="148">
        <f t="shared" si="15"/>
        <v>12</v>
      </c>
      <c r="ES62" s="2628">
        <f>SUM(ET62:ET63)</f>
        <v>93.375</v>
      </c>
      <c r="ET62" s="148">
        <f>FA62+FG62+FQ62</f>
        <v>50</v>
      </c>
      <c r="EU62" s="2620">
        <f>SUM(EV62:EV63)</f>
        <v>255.43</v>
      </c>
      <c r="EV62" s="148">
        <f>2.87*EN62</f>
        <v>137.76</v>
      </c>
      <c r="EW62" s="2620">
        <f>SUM(EX62:EX63)</f>
        <v>186</v>
      </c>
      <c r="EX62" s="148">
        <f>ROUND((DH62+DF62+DD62)/1000*3,0)+ROUND((ROUND(DL62/400,0))/2.67,0)+ROUND(DV62/1000,0)+ROUND((DZ62+EB62+ED62+EH62)/1000*3,0)+ROUND(EN62/25,0)+ROUND(ET62/50,0)</f>
        <v>100</v>
      </c>
      <c r="EY62" s="2620">
        <f>SUM(EZ62:EZ63)</f>
        <v>33.375</v>
      </c>
      <c r="EZ62" s="2638">
        <f>SUM(FA62:FA63)</f>
        <v>33.375</v>
      </c>
      <c r="FA62" s="280">
        <f>(0.75*EN62)*0.5</f>
        <v>18</v>
      </c>
      <c r="FB62" s="2620">
        <f>SUM(FC62:FC63)</f>
        <v>0</v>
      </c>
      <c r="FC62" s="280">
        <v>0</v>
      </c>
      <c r="FD62" s="2620">
        <f>SUM(FE62:FE63)</f>
        <v>0</v>
      </c>
      <c r="FE62" s="280">
        <v>0</v>
      </c>
      <c r="FF62" s="2620">
        <f>SUM(FG62:FG63)</f>
        <v>60</v>
      </c>
      <c r="FG62" s="148">
        <f>ROUND((DH62+DJ62+DD62+DN62+DT62)/1000,0)</f>
        <v>32</v>
      </c>
      <c r="FH62" s="2620">
        <f>SUM(FI62:FI63)</f>
        <v>0</v>
      </c>
      <c r="FI62" s="148">
        <f>DF62/1000</f>
        <v>0</v>
      </c>
      <c r="FJ62" s="2620">
        <f>SUM(FK62:FK63)</f>
        <v>0</v>
      </c>
      <c r="FK62" s="148">
        <f>((DL62/400)/12)</f>
        <v>0</v>
      </c>
      <c r="FL62" s="2620">
        <f>SUM(FM62:FM63)</f>
        <v>0</v>
      </c>
      <c r="FM62" s="148">
        <v>0</v>
      </c>
      <c r="FN62" s="2620">
        <f>SUM(FO62:FO63)</f>
        <v>0</v>
      </c>
      <c r="FO62" s="148">
        <v>0</v>
      </c>
      <c r="FP62" s="2628">
        <f>SUM(FQ62:FQ63)</f>
        <v>0</v>
      </c>
      <c r="FQ62" s="148">
        <f>DX62/1000</f>
        <v>0</v>
      </c>
      <c r="FR62" s="2620">
        <f>SUM(FS62:FS63)</f>
        <v>115</v>
      </c>
      <c r="FS62" s="2634">
        <v>115</v>
      </c>
      <c r="FT62" s="2636">
        <f>CX62-S62</f>
        <v>89375</v>
      </c>
      <c r="FU62" s="2630">
        <f>CY62-U62</f>
        <v>58425</v>
      </c>
      <c r="FV62" s="2632">
        <f>(DC62+DE62+DG62)-(Y62+AA62+AC62+AE62)</f>
        <v>58425</v>
      </c>
      <c r="FW62" s="2632">
        <f>DG62-AC62</f>
        <v>60125</v>
      </c>
      <c r="FX62" s="2630">
        <f>DE62-AA62</f>
        <v>0</v>
      </c>
      <c r="FY62" s="2630">
        <f>DC62-Y62</f>
        <v>0</v>
      </c>
      <c r="FZ62" s="2630">
        <f>DJ62-AE62</f>
        <v>-1700</v>
      </c>
      <c r="GA62" s="2630">
        <f>DL62-AL62</f>
        <v>0</v>
      </c>
      <c r="GB62" s="2630">
        <f>DM62-AM62</f>
        <v>0</v>
      </c>
      <c r="GC62" s="2630">
        <f>DP62-AQ62</f>
        <v>0</v>
      </c>
      <c r="GD62" s="2630">
        <f>DR62-AS62</f>
        <v>0</v>
      </c>
      <c r="GE62" s="2630">
        <f>DT62-AV62</f>
        <v>0</v>
      </c>
      <c r="GF62" s="2630">
        <f>DV62-AW62</f>
        <v>0</v>
      </c>
      <c r="GG62" s="2630">
        <f>DZ62-BB62</f>
        <v>0</v>
      </c>
      <c r="GH62" s="2630">
        <f>EB62-BD62</f>
        <v>0</v>
      </c>
      <c r="GI62" s="2630">
        <f>ED62-BF62</f>
        <v>0</v>
      </c>
      <c r="GJ62" s="2630">
        <f>EF62-BH62</f>
        <v>0</v>
      </c>
      <c r="GK62" s="2630">
        <f>EH62-BJ62</f>
        <v>0</v>
      </c>
      <c r="GL62" s="2632">
        <f>DW62-AY62</f>
        <v>0</v>
      </c>
      <c r="GM62" s="2632">
        <f>EK62-BM62</f>
        <v>147800</v>
      </c>
      <c r="GN62" s="2632">
        <f>EM62-BO62</f>
        <v>89</v>
      </c>
      <c r="GO62" s="2614">
        <f>SUM(GP62:GP63)</f>
        <v>17.800000000000004</v>
      </c>
      <c r="GP62" s="160">
        <f>EP62-BR62</f>
        <v>9.6000000000000014</v>
      </c>
      <c r="GQ62" s="2614">
        <f>SUM(GR62:GR63)</f>
        <v>255.43</v>
      </c>
      <c r="GR62" s="160">
        <f>EV62-BT62</f>
        <v>137.76</v>
      </c>
      <c r="GS62" s="2614">
        <f>SUM(GT62:GT63)</f>
        <v>184</v>
      </c>
      <c r="GT62" s="160">
        <f>EX62-BV62</f>
        <v>100</v>
      </c>
      <c r="GU62" s="160">
        <f>FA62-BX62</f>
        <v>18</v>
      </c>
      <c r="GV62" s="160">
        <f>FI62-CD62</f>
        <v>0</v>
      </c>
      <c r="GW62" s="160">
        <v>0</v>
      </c>
      <c r="GX62" s="160">
        <f>FG62-CB62</f>
        <v>32</v>
      </c>
      <c r="GY62" s="160">
        <f>FK62-CF62</f>
        <v>0</v>
      </c>
      <c r="GZ62" s="160">
        <f>FM62-CH62</f>
        <v>0</v>
      </c>
      <c r="HA62" s="160">
        <f>FO62-CJ62</f>
        <v>0</v>
      </c>
      <c r="HB62" s="160">
        <f>FQ62-CL62</f>
        <v>0</v>
      </c>
      <c r="HC62" s="2640">
        <f>ES62-CM62</f>
        <v>91.674999999999997</v>
      </c>
      <c r="HD62" s="95"/>
      <c r="HE62" s="95"/>
      <c r="HF62" s="205"/>
      <c r="HG62" s="205"/>
    </row>
    <row r="63" spans="1:221" s="168" customFormat="1" ht="15" customHeight="1">
      <c r="A63" s="2619"/>
      <c r="B63" s="161" t="s">
        <v>710</v>
      </c>
      <c r="C63" s="162">
        <v>2846</v>
      </c>
      <c r="D63" s="162">
        <v>6</v>
      </c>
      <c r="E63" s="163">
        <v>2028460006</v>
      </c>
      <c r="F63" s="164">
        <v>15000</v>
      </c>
      <c r="G63" s="165" t="s">
        <v>704</v>
      </c>
      <c r="H63" s="166"/>
      <c r="I63" s="162">
        <v>0.11</v>
      </c>
      <c r="J63" s="162">
        <v>0</v>
      </c>
      <c r="K63" s="162">
        <v>2</v>
      </c>
      <c r="L63" s="162">
        <v>6.5</v>
      </c>
      <c r="M63" s="164">
        <v>1700</v>
      </c>
      <c r="N63" s="164">
        <f>M63</f>
        <v>1700</v>
      </c>
      <c r="O63" s="164">
        <v>0</v>
      </c>
      <c r="P63" s="164">
        <v>1700</v>
      </c>
      <c r="Q63" s="167">
        <v>0</v>
      </c>
      <c r="R63" s="168" t="s">
        <v>711</v>
      </c>
      <c r="S63" s="2621"/>
      <c r="T63" s="169">
        <v>0</v>
      </c>
      <c r="U63" s="2621"/>
      <c r="V63" s="170">
        <f>M63</f>
        <v>1700</v>
      </c>
      <c r="W63" s="2621"/>
      <c r="X63" s="169">
        <f>V63-Z63</f>
        <v>1700</v>
      </c>
      <c r="Y63" s="2621"/>
      <c r="Z63" s="169">
        <v>0</v>
      </c>
      <c r="AA63" s="2621"/>
      <c r="AB63" s="169">
        <v>0</v>
      </c>
      <c r="AC63" s="2621"/>
      <c r="AD63" s="171">
        <f>V63-(Z63+AB63+AF63+AL63+AN63+AP63+AZ63+AR63+AT63+AV63+AX63)</f>
        <v>0</v>
      </c>
      <c r="AE63" s="2613"/>
      <c r="AF63" s="171">
        <f>AG63+AI63</f>
        <v>1700</v>
      </c>
      <c r="AG63" s="171">
        <v>0</v>
      </c>
      <c r="AH63" s="2613"/>
      <c r="AI63" s="171">
        <f>N63</f>
        <v>1700</v>
      </c>
      <c r="AJ63" s="2613"/>
      <c r="AK63" s="2613"/>
      <c r="AL63" s="171">
        <v>0</v>
      </c>
      <c r="AM63" s="2613"/>
      <c r="AN63" s="171">
        <v>0</v>
      </c>
      <c r="AO63" s="2615"/>
      <c r="AP63" s="171">
        <v>0</v>
      </c>
      <c r="AQ63" s="2613"/>
      <c r="AR63" s="171">
        <v>0</v>
      </c>
      <c r="AS63" s="2613"/>
      <c r="AT63" s="171">
        <v>0</v>
      </c>
      <c r="AU63" s="2613"/>
      <c r="AV63" s="171">
        <v>0</v>
      </c>
      <c r="AW63" s="2613"/>
      <c r="AX63" s="171">
        <v>0</v>
      </c>
      <c r="AY63" s="2613"/>
      <c r="AZ63" s="171">
        <f t="shared" si="0"/>
        <v>0</v>
      </c>
      <c r="BA63" s="2615"/>
      <c r="BB63" s="172">
        <v>0</v>
      </c>
      <c r="BC63" s="2615"/>
      <c r="BD63" s="172">
        <v>0</v>
      </c>
      <c r="BE63" s="2615"/>
      <c r="BF63" s="172">
        <v>0</v>
      </c>
      <c r="BG63" s="2615"/>
      <c r="BH63" s="172">
        <v>0</v>
      </c>
      <c r="BI63" s="2615"/>
      <c r="BJ63" s="172">
        <v>0</v>
      </c>
      <c r="BK63" s="2615"/>
      <c r="BL63" s="172">
        <v>0</v>
      </c>
      <c r="BM63" s="2613"/>
      <c r="BN63" s="169">
        <f>ROUND(T63+V63,0)</f>
        <v>1700</v>
      </c>
      <c r="BO63" s="2613"/>
      <c r="BP63" s="169">
        <f>ROUND(T63/EP$141,0)</f>
        <v>0</v>
      </c>
      <c r="BQ63" s="2613"/>
      <c r="BR63" s="169">
        <f>BR$142*BP63</f>
        <v>0</v>
      </c>
      <c r="BS63" s="2613"/>
      <c r="BT63" s="173">
        <f t="shared" si="16"/>
        <v>0</v>
      </c>
      <c r="BU63" s="2613"/>
      <c r="BV63" s="174">
        <f>ROUND((AD63+AB63+Z63)/1000*3,0)+ROUND((AF63+AX63)/1000,0)+ROUND((ROUND(AL63/400,0))/2.67,0)+ROUND(AN63/250,0)+ROUND(AR63/15000,0)+ROUND((BB63+BD63+BF63+BJ63)/1000*3,0)+ROUND(BP63/25,0)+ROUND(CN63/50,0)</f>
        <v>2</v>
      </c>
      <c r="BW63" s="2613"/>
      <c r="BX63" s="169">
        <v>0</v>
      </c>
      <c r="BY63" s="2613"/>
      <c r="BZ63" s="169">
        <v>0</v>
      </c>
      <c r="CA63" s="2613"/>
      <c r="CB63" s="169">
        <f>V63/1000</f>
        <v>1.7</v>
      </c>
      <c r="CC63" s="2613"/>
      <c r="CD63" s="169">
        <f>AB63/1000</f>
        <v>0</v>
      </c>
      <c r="CE63" s="2613"/>
      <c r="CF63" s="169">
        <f>((AL63/400)/12)</f>
        <v>0</v>
      </c>
      <c r="CG63" s="2613"/>
      <c r="CH63" s="175">
        <f>IFERROR(VLOOKUP(E63,#REF!,3,FALSE),0)</f>
        <v>0</v>
      </c>
      <c r="CI63" s="2613"/>
      <c r="CJ63" s="169" t="b">
        <f>IF(G63="M1-2",F63/1000)</f>
        <v>0</v>
      </c>
      <c r="CK63" s="2613"/>
      <c r="CL63" s="169">
        <f>IF(BJ63&gt;0,"Calculate",0)</f>
        <v>0</v>
      </c>
      <c r="CM63" s="2613"/>
      <c r="CN63" s="169">
        <f t="shared" si="1"/>
        <v>1.7</v>
      </c>
      <c r="CO63" s="169"/>
      <c r="CP63" s="2686"/>
      <c r="CQ63" s="176" t="s">
        <v>705</v>
      </c>
      <c r="CR63" s="176">
        <v>4.5999999999999996</v>
      </c>
      <c r="CS63" s="176">
        <v>2</v>
      </c>
      <c r="CT63" s="176">
        <v>4.5999999999999996</v>
      </c>
      <c r="CU63" s="177" t="s">
        <v>706</v>
      </c>
      <c r="CV63" s="2623"/>
      <c r="CW63" s="169">
        <f>(CR63*F63)-CZ63</f>
        <v>41250</v>
      </c>
      <c r="CX63" s="2621"/>
      <c r="CY63" s="2629"/>
      <c r="CZ63" s="155">
        <f>2*(F63)-(0.15*1*(F63))</f>
        <v>27750</v>
      </c>
      <c r="DA63" s="2621"/>
      <c r="DB63" s="169">
        <f>CZ63-DD63</f>
        <v>27750</v>
      </c>
      <c r="DC63" s="2621"/>
      <c r="DD63" s="169">
        <v>0</v>
      </c>
      <c r="DE63" s="2621"/>
      <c r="DF63" s="169">
        <v>0</v>
      </c>
      <c r="DG63" s="2621"/>
      <c r="DH63" s="169">
        <f>CZ63-(DD63+DF63+DJ63+DL63+DN63+DT63+DV63+DX63)</f>
        <v>27750</v>
      </c>
      <c r="DI63" s="2621"/>
      <c r="DJ63" s="169">
        <v>0</v>
      </c>
      <c r="DK63" s="2621"/>
      <c r="DL63" s="169">
        <v>0</v>
      </c>
      <c r="DM63" s="2621"/>
      <c r="DN63" s="169">
        <v>0</v>
      </c>
      <c r="DO63" s="2621"/>
      <c r="DP63" s="169">
        <v>0</v>
      </c>
      <c r="DQ63" s="2621"/>
      <c r="DR63" s="169">
        <v>0</v>
      </c>
      <c r="DS63" s="2621"/>
      <c r="DT63" s="169">
        <v>0</v>
      </c>
      <c r="DU63" s="2621"/>
      <c r="DV63" s="169">
        <v>0</v>
      </c>
      <c r="DW63" s="2621"/>
      <c r="DX63" s="171">
        <f t="shared" si="2"/>
        <v>0</v>
      </c>
      <c r="DY63" s="2621"/>
      <c r="DZ63" s="171">
        <v>0</v>
      </c>
      <c r="EA63" s="2621"/>
      <c r="EB63" s="171">
        <v>0</v>
      </c>
      <c r="EC63" s="2621"/>
      <c r="ED63" s="171">
        <v>0</v>
      </c>
      <c r="EE63" s="2621"/>
      <c r="EF63" s="171">
        <v>0</v>
      </c>
      <c r="EG63" s="2621"/>
      <c r="EH63" s="171">
        <v>0</v>
      </c>
      <c r="EI63" s="2621"/>
      <c r="EJ63" s="171">
        <v>0</v>
      </c>
      <c r="EK63" s="2613"/>
      <c r="EL63" s="169">
        <f>CW63+CZ63</f>
        <v>69000</v>
      </c>
      <c r="EM63" s="2629"/>
      <c r="EN63" s="170">
        <f>ROUND(CW63/EP$141,0)</f>
        <v>41</v>
      </c>
      <c r="EO63" s="2629"/>
      <c r="EP63" s="178">
        <f>0.2*EN63</f>
        <v>8.2000000000000011</v>
      </c>
      <c r="EQ63" s="2629"/>
      <c r="ER63" s="178">
        <f t="shared" si="15"/>
        <v>10.25</v>
      </c>
      <c r="ES63" s="2629"/>
      <c r="ET63" s="170">
        <f>FA63+FG63+FQ63</f>
        <v>43.375</v>
      </c>
      <c r="EU63" s="2621"/>
      <c r="EV63" s="170">
        <f>2.87*EN63</f>
        <v>117.67</v>
      </c>
      <c r="EW63" s="2621"/>
      <c r="EX63" s="170">
        <f>ROUND((DH63+DF63+DD63)/1000*3,0)+ROUND((ROUND(DL63/400,0))/2.67,0)+ROUND(DV63/1000,0)+ROUND((DZ63+EB63+ED63+EH63)/1000*3,0)+ROUND(EN63/25,0)+ROUND(ET63/50,0)</f>
        <v>86</v>
      </c>
      <c r="EY63" s="2621"/>
      <c r="EZ63" s="2639"/>
      <c r="FA63" s="286">
        <f>(0.75*EN63)*0.5</f>
        <v>15.375</v>
      </c>
      <c r="FB63" s="2621"/>
      <c r="FC63" s="286">
        <v>0</v>
      </c>
      <c r="FD63" s="2621"/>
      <c r="FE63" s="286">
        <v>0</v>
      </c>
      <c r="FF63" s="2621"/>
      <c r="FG63" s="170">
        <f>ROUND((DH63+DJ63+DD63+DN63+DT63)/1000,0)</f>
        <v>28</v>
      </c>
      <c r="FH63" s="2621"/>
      <c r="FI63" s="170">
        <f>DF63/1000</f>
        <v>0</v>
      </c>
      <c r="FJ63" s="2621"/>
      <c r="FK63" s="170">
        <f>((DL63/400)/12)</f>
        <v>0</v>
      </c>
      <c r="FL63" s="2621"/>
      <c r="FM63" s="170">
        <v>0</v>
      </c>
      <c r="FN63" s="2621"/>
      <c r="FO63" s="170">
        <v>0</v>
      </c>
      <c r="FP63" s="2629"/>
      <c r="FQ63" s="170">
        <f>DX63/1000</f>
        <v>0</v>
      </c>
      <c r="FR63" s="2621"/>
      <c r="FS63" s="2635"/>
      <c r="FT63" s="2637"/>
      <c r="FU63" s="2631"/>
      <c r="FV63" s="2633"/>
      <c r="FW63" s="2633"/>
      <c r="FX63" s="2631"/>
      <c r="FY63" s="2631"/>
      <c r="FZ63" s="2631"/>
      <c r="GA63" s="2631"/>
      <c r="GB63" s="2631"/>
      <c r="GC63" s="2631"/>
      <c r="GD63" s="2631"/>
      <c r="GE63" s="2631"/>
      <c r="GF63" s="2631"/>
      <c r="GG63" s="2631"/>
      <c r="GH63" s="2631"/>
      <c r="GI63" s="2631"/>
      <c r="GJ63" s="2631"/>
      <c r="GK63" s="2631"/>
      <c r="GL63" s="2633"/>
      <c r="GM63" s="2633"/>
      <c r="GN63" s="2633"/>
      <c r="GO63" s="2615"/>
      <c r="GP63" s="181">
        <f>EP63-BR63</f>
        <v>8.2000000000000011</v>
      </c>
      <c r="GQ63" s="2615"/>
      <c r="GR63" s="181">
        <f>EV63-BT63</f>
        <v>117.67</v>
      </c>
      <c r="GS63" s="2615"/>
      <c r="GT63" s="181">
        <f>EX63-BV63</f>
        <v>84</v>
      </c>
      <c r="GU63" s="181">
        <f>FA63-BX63</f>
        <v>15.375</v>
      </c>
      <c r="GV63" s="181">
        <f>FI63-CD63</f>
        <v>0</v>
      </c>
      <c r="GW63" s="181">
        <v>0</v>
      </c>
      <c r="GX63" s="181">
        <f>FG63-CB63</f>
        <v>26.3</v>
      </c>
      <c r="GY63" s="181">
        <f>FK63-CF63</f>
        <v>0</v>
      </c>
      <c r="GZ63" s="181">
        <f>FM63-CH63</f>
        <v>0</v>
      </c>
      <c r="HA63" s="181">
        <f>FO63-CJ63</f>
        <v>0</v>
      </c>
      <c r="HB63" s="181">
        <f>FQ63-CL63</f>
        <v>0</v>
      </c>
      <c r="HC63" s="2641"/>
      <c r="HD63" s="95"/>
      <c r="HE63" s="95"/>
      <c r="HF63" s="205"/>
    </row>
    <row r="64" spans="1:221" s="95" customFormat="1" ht="18.75">
      <c r="A64" s="2263"/>
      <c r="B64" s="131"/>
      <c r="C64" s="132"/>
      <c r="D64" s="132"/>
      <c r="E64" s="133"/>
      <c r="F64" s="134"/>
      <c r="G64" s="135"/>
      <c r="H64" s="136"/>
      <c r="I64" s="132"/>
      <c r="J64" s="132"/>
      <c r="K64" s="132"/>
      <c r="L64" s="132"/>
      <c r="M64" s="134"/>
      <c r="N64" s="134"/>
      <c r="O64" s="134"/>
      <c r="P64" s="134"/>
      <c r="Q64" s="137"/>
      <c r="S64" s="101"/>
      <c r="T64" s="97"/>
      <c r="U64" s="2244"/>
      <c r="V64" s="102"/>
      <c r="W64" s="2244"/>
      <c r="X64" s="97"/>
      <c r="Y64" s="2244"/>
      <c r="Z64" s="97"/>
      <c r="AA64" s="2244"/>
      <c r="AB64" s="97"/>
      <c r="AC64" s="2244"/>
      <c r="AD64" s="103"/>
      <c r="AE64" s="2251"/>
      <c r="AF64" s="103"/>
      <c r="AG64" s="103"/>
      <c r="AH64" s="103"/>
      <c r="AI64" s="103"/>
      <c r="AJ64" s="103"/>
      <c r="AK64" s="2251"/>
      <c r="AL64" s="103"/>
      <c r="AM64" s="2251"/>
      <c r="AN64" s="103"/>
      <c r="AO64" s="2224"/>
      <c r="AP64" s="103"/>
      <c r="AQ64" s="2251"/>
      <c r="AR64" s="103"/>
      <c r="AS64" s="2251"/>
      <c r="AT64" s="103"/>
      <c r="AU64" s="2251"/>
      <c r="AV64" s="103"/>
      <c r="AW64" s="2251"/>
      <c r="AX64" s="103"/>
      <c r="AY64" s="2251"/>
      <c r="AZ64" s="75">
        <f t="shared" si="0"/>
        <v>0</v>
      </c>
      <c r="BA64" s="2224"/>
      <c r="BB64" s="191"/>
      <c r="BC64" s="2224"/>
      <c r="BD64" s="191"/>
      <c r="BE64" s="2224"/>
      <c r="BF64" s="191"/>
      <c r="BG64" s="2224"/>
      <c r="BH64" s="191"/>
      <c r="BI64" s="2224"/>
      <c r="BJ64" s="191"/>
      <c r="BK64" s="2224"/>
      <c r="BL64" s="191"/>
      <c r="BM64" s="2251"/>
      <c r="BN64" s="97"/>
      <c r="BO64" s="2251"/>
      <c r="BP64" s="97"/>
      <c r="BQ64" s="2251"/>
      <c r="BR64" s="97"/>
      <c r="BS64" s="2251"/>
      <c r="BT64" s="124"/>
      <c r="BU64" s="2251"/>
      <c r="BV64" s="138"/>
      <c r="BW64" s="2251"/>
      <c r="BX64" s="97"/>
      <c r="BY64" s="2251"/>
      <c r="BZ64" s="97"/>
      <c r="CA64" s="2251"/>
      <c r="CB64" s="97"/>
      <c r="CC64" s="2251"/>
      <c r="CD64" s="97"/>
      <c r="CE64" s="2251"/>
      <c r="CF64" s="97"/>
      <c r="CG64" s="2251"/>
      <c r="CH64" s="105"/>
      <c r="CI64" s="2251"/>
      <c r="CJ64" s="97"/>
      <c r="CK64" s="2251"/>
      <c r="CL64" s="97"/>
      <c r="CM64" s="2251"/>
      <c r="CN64" s="73">
        <f t="shared" si="1"/>
        <v>0</v>
      </c>
      <c r="CO64" s="97"/>
      <c r="CP64" s="106"/>
      <c r="CQ64" s="139"/>
      <c r="CR64" s="139"/>
      <c r="CS64" s="139"/>
      <c r="CT64" s="139"/>
      <c r="CU64" s="108"/>
      <c r="CV64" s="2258"/>
      <c r="CW64" s="97"/>
      <c r="CX64" s="2244"/>
      <c r="CY64" s="2261"/>
      <c r="CZ64" s="83"/>
      <c r="DA64" s="2253"/>
      <c r="DB64" s="97"/>
      <c r="DC64" s="2244"/>
      <c r="DD64" s="97"/>
      <c r="DE64" s="2244"/>
      <c r="DF64" s="97"/>
      <c r="DG64" s="2244"/>
      <c r="DH64" s="97"/>
      <c r="DI64" s="2244"/>
      <c r="DJ64" s="97"/>
      <c r="DK64" s="2244"/>
      <c r="DL64" s="97"/>
      <c r="DM64" s="2244"/>
      <c r="DN64" s="97"/>
      <c r="DO64" s="2244"/>
      <c r="DP64" s="97"/>
      <c r="DQ64" s="2244"/>
      <c r="DR64" s="97"/>
      <c r="DS64" s="2244"/>
      <c r="DT64" s="97"/>
      <c r="DU64" s="2244"/>
      <c r="DV64" s="97"/>
      <c r="DW64" s="2244"/>
      <c r="DX64" s="75"/>
      <c r="DY64" s="2244"/>
      <c r="DZ64" s="103"/>
      <c r="EA64" s="2244"/>
      <c r="EB64" s="103"/>
      <c r="EC64" s="2244"/>
      <c r="ED64" s="103"/>
      <c r="EE64" s="2244"/>
      <c r="EF64" s="103"/>
      <c r="EG64" s="2244"/>
      <c r="EH64" s="103"/>
      <c r="EI64" s="2244"/>
      <c r="EJ64" s="103"/>
      <c r="EK64" s="2251"/>
      <c r="EL64" s="97"/>
      <c r="EM64" s="2246"/>
      <c r="EN64" s="102"/>
      <c r="EO64" s="2246"/>
      <c r="EP64" s="111"/>
      <c r="EQ64" s="258"/>
      <c r="ER64" s="122"/>
      <c r="ES64" s="258"/>
      <c r="ET64" s="74"/>
      <c r="EU64" s="2244"/>
      <c r="EV64" s="122"/>
      <c r="EW64" s="2244"/>
      <c r="EX64" s="88"/>
      <c r="EY64" s="2244"/>
      <c r="EZ64" s="2248"/>
      <c r="FA64" s="2224"/>
      <c r="FB64" s="2244"/>
      <c r="FC64" s="2224"/>
      <c r="FD64" s="2244"/>
      <c r="FE64" s="2224"/>
      <c r="FF64" s="2244"/>
      <c r="FG64" s="102"/>
      <c r="FH64" s="2244"/>
      <c r="FI64" s="102"/>
      <c r="FJ64" s="2244"/>
      <c r="FK64" s="102"/>
      <c r="FL64" s="2244"/>
      <c r="FM64" s="102"/>
      <c r="FN64" s="2244"/>
      <c r="FO64" s="102"/>
      <c r="FP64" s="258"/>
      <c r="FQ64" s="102"/>
      <c r="FR64" s="2244"/>
      <c r="FS64" s="2244"/>
      <c r="FT64" s="2240"/>
      <c r="FU64" s="2233"/>
      <c r="FV64" s="2235"/>
      <c r="FW64" s="2235"/>
      <c r="FX64" s="2233"/>
      <c r="FY64" s="2233"/>
      <c r="FZ64" s="2233"/>
      <c r="GA64" s="2232"/>
      <c r="GB64" s="2233"/>
      <c r="GC64" s="2233"/>
      <c r="GD64" s="2233"/>
      <c r="GE64" s="2232"/>
      <c r="GF64" s="2233"/>
      <c r="GG64" s="2232"/>
      <c r="GH64" s="2232"/>
      <c r="GI64" s="2232"/>
      <c r="GJ64" s="2232"/>
      <c r="GK64" s="2232"/>
      <c r="GL64" s="2235"/>
      <c r="GM64" s="2235"/>
      <c r="GN64" s="2235"/>
      <c r="GO64" s="2224"/>
      <c r="GP64" s="112"/>
      <c r="GQ64" s="2224"/>
      <c r="GR64" s="112"/>
      <c r="GS64" s="2224"/>
      <c r="GT64" s="113"/>
      <c r="GU64" s="114"/>
      <c r="GV64" s="113"/>
      <c r="GW64" s="113"/>
      <c r="GX64" s="113"/>
      <c r="GY64" s="113"/>
      <c r="GZ64" s="112"/>
      <c r="HA64" s="113"/>
      <c r="HB64" s="113"/>
      <c r="HC64" s="2230"/>
    </row>
    <row r="65" spans="1:217" s="90" customFormat="1" ht="15" customHeight="1">
      <c r="A65" s="2588">
        <v>23</v>
      </c>
      <c r="B65" s="3687" t="s">
        <v>703</v>
      </c>
      <c r="C65" s="115">
        <v>2865</v>
      </c>
      <c r="D65" s="115">
        <v>88</v>
      </c>
      <c r="E65" s="116">
        <v>2028650088</v>
      </c>
      <c r="F65" s="117">
        <v>11057</v>
      </c>
      <c r="G65" s="118" t="s">
        <v>704</v>
      </c>
      <c r="H65" s="119"/>
      <c r="I65" s="115">
        <v>0.27</v>
      </c>
      <c r="J65" s="115">
        <v>0</v>
      </c>
      <c r="K65" s="115">
        <v>2</v>
      </c>
      <c r="L65" s="115">
        <v>6.5</v>
      </c>
      <c r="M65" s="117">
        <v>3028</v>
      </c>
      <c r="N65" s="117">
        <f>M65</f>
        <v>3028</v>
      </c>
      <c r="O65" s="117">
        <v>0</v>
      </c>
      <c r="P65" s="117">
        <v>3028</v>
      </c>
      <c r="Q65" s="120">
        <v>0</v>
      </c>
      <c r="R65" s="90" t="s">
        <v>711</v>
      </c>
      <c r="S65" s="2590">
        <f>SUM(T65:T66)</f>
        <v>0</v>
      </c>
      <c r="T65" s="121">
        <v>0</v>
      </c>
      <c r="U65" s="2590">
        <f>SUM(V65:V66)</f>
        <v>29028</v>
      </c>
      <c r="V65" s="122">
        <f>M65</f>
        <v>3028</v>
      </c>
      <c r="W65" s="2590">
        <f>SUM(X65:X66)</f>
        <v>29028</v>
      </c>
      <c r="X65" s="121">
        <f>V65-Z65</f>
        <v>3028</v>
      </c>
      <c r="Y65" s="2590">
        <f>SUM(Z65:Z66)</f>
        <v>0</v>
      </c>
      <c r="Z65" s="121">
        <v>0</v>
      </c>
      <c r="AA65" s="2590">
        <f>SUM(AB65:AB66)</f>
        <v>0</v>
      </c>
      <c r="AB65" s="121">
        <v>0</v>
      </c>
      <c r="AC65" s="2590">
        <f>SUM(AD65:AD66)</f>
        <v>0</v>
      </c>
      <c r="AD65" s="123">
        <f>V65-(Z65+AB65+AF65+AL65+AN65+AP65+AZ65+AR65+AT65+AV65+AX65)</f>
        <v>0</v>
      </c>
      <c r="AE65" s="2580">
        <f>SUM(AF65:AF66)</f>
        <v>3028</v>
      </c>
      <c r="AF65" s="123">
        <f>AG65+AI65</f>
        <v>3028</v>
      </c>
      <c r="AG65" s="123">
        <v>0</v>
      </c>
      <c r="AH65" s="2580">
        <f>SUM(AG65:AG66)</f>
        <v>0</v>
      </c>
      <c r="AI65" s="123">
        <f>N65</f>
        <v>3028</v>
      </c>
      <c r="AJ65" s="2580">
        <f>SUM(AI65:AI66)</f>
        <v>3028</v>
      </c>
      <c r="AK65" s="2580">
        <f>SUM(AL65:AL66)</f>
        <v>0</v>
      </c>
      <c r="AL65" s="123">
        <v>0</v>
      </c>
      <c r="AM65" s="2580">
        <f>SUM(AN65:AN66)</f>
        <v>0</v>
      </c>
      <c r="AN65" s="123">
        <v>0</v>
      </c>
      <c r="AO65" s="2582">
        <f>SUM(AP65:AP66)</f>
        <v>0</v>
      </c>
      <c r="AP65" s="123">
        <v>0</v>
      </c>
      <c r="AQ65" s="2580">
        <f>SUM(AR65:AR66)</f>
        <v>26000</v>
      </c>
      <c r="AR65" s="123">
        <v>0</v>
      </c>
      <c r="AS65" s="2580">
        <f>SUM(AT65:AT66)</f>
        <v>0</v>
      </c>
      <c r="AT65" s="123">
        <v>0</v>
      </c>
      <c r="AU65" s="2580">
        <f>SUM(AV65:AV66)</f>
        <v>0</v>
      </c>
      <c r="AV65" s="123">
        <v>0</v>
      </c>
      <c r="AW65" s="2580">
        <f>SUM(AX65:AX66)</f>
        <v>0</v>
      </c>
      <c r="AX65" s="123">
        <v>0</v>
      </c>
      <c r="AY65" s="2580">
        <f>SUM(AZ65:AZ66)</f>
        <v>0</v>
      </c>
      <c r="AZ65" s="123">
        <f t="shared" si="0"/>
        <v>0</v>
      </c>
      <c r="BA65" s="2582">
        <f>SUM(BB65:BB66)</f>
        <v>0</v>
      </c>
      <c r="BB65" s="121">
        <v>0</v>
      </c>
      <c r="BC65" s="2582">
        <f>SUM(BD65:BD66)</f>
        <v>0</v>
      </c>
      <c r="BD65" s="121">
        <v>0</v>
      </c>
      <c r="BE65" s="2582">
        <f>SUM(BF65:BF66)</f>
        <v>0</v>
      </c>
      <c r="BF65" s="121">
        <v>0</v>
      </c>
      <c r="BG65" s="2582">
        <f>SUM(BH65:BH66)</f>
        <v>0</v>
      </c>
      <c r="BH65" s="121">
        <v>0</v>
      </c>
      <c r="BI65" s="2582">
        <f>SUM(BJ65:BJ66)</f>
        <v>0</v>
      </c>
      <c r="BJ65" s="121">
        <v>0</v>
      </c>
      <c r="BK65" s="2582">
        <f>SUM(BL65:BL66)</f>
        <v>0</v>
      </c>
      <c r="BL65" s="121">
        <v>0</v>
      </c>
      <c r="BM65" s="2580">
        <f>SUM(BN65:BN66)</f>
        <v>29028</v>
      </c>
      <c r="BN65" s="121">
        <f>ROUND(T65+V65,0)</f>
        <v>3028</v>
      </c>
      <c r="BO65" s="2580">
        <f>SUM(BP65:BP66)</f>
        <v>0</v>
      </c>
      <c r="BP65" s="121">
        <f>ROUND(T65/EP$141,0)</f>
        <v>0</v>
      </c>
      <c r="BQ65" s="2580">
        <f>SUM(BR65:BR66)</f>
        <v>0</v>
      </c>
      <c r="BR65" s="121">
        <f>BR$142*BP65</f>
        <v>0</v>
      </c>
      <c r="BS65" s="2580">
        <f>SUM(BT65:BT66)</f>
        <v>0</v>
      </c>
      <c r="BT65" s="124">
        <f t="shared" si="16"/>
        <v>0</v>
      </c>
      <c r="BU65" s="2580">
        <f>SUM(BV65:BV66)</f>
        <v>6</v>
      </c>
      <c r="BV65" s="125">
        <f>ROUND((AD65+AB65+Z65)/1000*3,0)+ROUND((AF65+AX65)/1000,0)+ROUND((ROUND(AL65/400,0))/2.67,0)+ROUND(AN65/250,0)+ROUND(AR65/15000,0)+ROUND((BB65+BD65+BF65+BJ65)/1000*3,0)+ROUND(BP65/25,0)+ROUND(CN65/50,0)</f>
        <v>3</v>
      </c>
      <c r="BW65" s="2580">
        <f>SUM(BX65:BX66)</f>
        <v>0</v>
      </c>
      <c r="BX65" s="121">
        <v>0</v>
      </c>
      <c r="BY65" s="2580">
        <f>SUM(BZ65:BZ66)</f>
        <v>0</v>
      </c>
      <c r="BZ65" s="121">
        <v>0</v>
      </c>
      <c r="CA65" s="2580">
        <f>SUM(CB65:CB66)</f>
        <v>29.027999999999999</v>
      </c>
      <c r="CB65" s="121">
        <f>V65/1000</f>
        <v>3.028</v>
      </c>
      <c r="CC65" s="2580">
        <f>SUM(CD65:CD66)</f>
        <v>0</v>
      </c>
      <c r="CD65" s="121">
        <f>AB65/1000</f>
        <v>0</v>
      </c>
      <c r="CE65" s="2580">
        <f>SUM(CF65:CF66)</f>
        <v>0</v>
      </c>
      <c r="CF65" s="121">
        <f>((AL65/400)/12)</f>
        <v>0</v>
      </c>
      <c r="CG65" s="2580">
        <f>SUM(CH65:CH66)</f>
        <v>0</v>
      </c>
      <c r="CH65" s="126">
        <f>IFERROR(VLOOKUP(E65,#REF!,3,FALSE),0)</f>
        <v>0</v>
      </c>
      <c r="CI65" s="2580">
        <f>SUM(CJ65:CJ66)</f>
        <v>0</v>
      </c>
      <c r="CJ65" s="121" t="b">
        <f>IF(G65="M1-2",F65/1000)</f>
        <v>0</v>
      </c>
      <c r="CK65" s="2580">
        <f>SUM(CL65:CL66)</f>
        <v>0</v>
      </c>
      <c r="CL65" s="121">
        <f>IF(BJ65&gt;0,"Calculate",0)</f>
        <v>0</v>
      </c>
      <c r="CM65" s="2580">
        <f>SUM(CN65:CN66)</f>
        <v>29.027999999999999</v>
      </c>
      <c r="CN65" s="97">
        <f t="shared" si="1"/>
        <v>3.028</v>
      </c>
      <c r="CO65" s="121"/>
      <c r="CP65" s="2265">
        <v>10</v>
      </c>
      <c r="CQ65" s="127" t="s">
        <v>741</v>
      </c>
      <c r="CR65" s="127">
        <v>7.2</v>
      </c>
      <c r="CS65" s="127">
        <v>0</v>
      </c>
      <c r="CT65" s="127">
        <v>6.5</v>
      </c>
      <c r="CU65" s="128"/>
      <c r="CV65" s="2596" t="s">
        <v>744</v>
      </c>
      <c r="CW65" s="121">
        <f>(CR65*(F65))-F65</f>
        <v>68553.400000000009</v>
      </c>
      <c r="CX65" s="2590">
        <f>SUM(CW65:CW66)</f>
        <v>147020.6</v>
      </c>
      <c r="CY65" s="2598">
        <f>SUM(CZ65:CZ66)</f>
        <v>0</v>
      </c>
      <c r="CZ65" s="121">
        <v>0</v>
      </c>
      <c r="DA65" s="2592">
        <f>SUM(DB65:DB66)</f>
        <v>0</v>
      </c>
      <c r="DB65" s="121">
        <f>CZ65-DD65</f>
        <v>0</v>
      </c>
      <c r="DC65" s="2590">
        <f>SUM(DD65:DD66)</f>
        <v>0</v>
      </c>
      <c r="DD65" s="121">
        <v>0</v>
      </c>
      <c r="DE65" s="2590">
        <f>SUM(DF65:DF66)</f>
        <v>0</v>
      </c>
      <c r="DF65" s="121">
        <v>0</v>
      </c>
      <c r="DG65" s="2590">
        <f>SUM(DH65:DH66)</f>
        <v>0</v>
      </c>
      <c r="DH65" s="121">
        <f>CZ65-(DD65+DF65+DJ65+DL65+DN65+DT65+DV65+DX65)</f>
        <v>0</v>
      </c>
      <c r="DI65" s="2590">
        <f>SUM(DJ65:DJ66)</f>
        <v>0</v>
      </c>
      <c r="DJ65" s="121">
        <v>0</v>
      </c>
      <c r="DK65" s="2590">
        <f>SUM(DL65:DL66)</f>
        <v>0</v>
      </c>
      <c r="DL65" s="121">
        <v>0</v>
      </c>
      <c r="DM65" s="2590">
        <f>SUM(DN65:DN66)</f>
        <v>0</v>
      </c>
      <c r="DN65" s="121">
        <v>0</v>
      </c>
      <c r="DO65" s="2590">
        <f>SUM(DP65:DP66)</f>
        <v>0</v>
      </c>
      <c r="DP65" s="121">
        <v>0</v>
      </c>
      <c r="DQ65" s="2590">
        <f>SUM(DR65:DR66)</f>
        <v>0</v>
      </c>
      <c r="DR65" s="121">
        <v>0</v>
      </c>
      <c r="DS65" s="2590">
        <f>SUM(DT65:DT66)</f>
        <v>0</v>
      </c>
      <c r="DT65" s="121">
        <v>0</v>
      </c>
      <c r="DU65" s="2590">
        <f>SUM(DV65:DV66)</f>
        <v>0</v>
      </c>
      <c r="DV65" s="121">
        <v>0</v>
      </c>
      <c r="DW65" s="2590">
        <f>SUM(DX65:DX66)</f>
        <v>0</v>
      </c>
      <c r="DX65" s="103">
        <f t="shared" si="2"/>
        <v>0</v>
      </c>
      <c r="DY65" s="2590">
        <f>SUM(DZ65:DZ66)</f>
        <v>0</v>
      </c>
      <c r="DZ65" s="123">
        <v>0</v>
      </c>
      <c r="EA65" s="2590">
        <f>SUM(EB65:EB66)</f>
        <v>0</v>
      </c>
      <c r="EB65" s="123">
        <v>0</v>
      </c>
      <c r="EC65" s="2590">
        <f>SUM(ED65:ED66)</f>
        <v>0</v>
      </c>
      <c r="ED65" s="123">
        <v>0</v>
      </c>
      <c r="EE65" s="2590">
        <f>SUM(EF65:EF66)</f>
        <v>0</v>
      </c>
      <c r="EF65" s="123">
        <v>0</v>
      </c>
      <c r="EG65" s="2590">
        <f>SUM(EH65:EH66)</f>
        <v>0</v>
      </c>
      <c r="EH65" s="123">
        <v>0</v>
      </c>
      <c r="EI65" s="2590">
        <f>SUM(EJ65:EJ66)</f>
        <v>0</v>
      </c>
      <c r="EJ65" s="123"/>
      <c r="EK65" s="2580">
        <f>SUM(EL65:EL66)</f>
        <v>147020.6</v>
      </c>
      <c r="EL65" s="121">
        <f>CW65+CZ65</f>
        <v>68553.400000000009</v>
      </c>
      <c r="EM65" s="2600">
        <f>SUM(EN65:EN66)</f>
        <v>147</v>
      </c>
      <c r="EN65" s="122">
        <f>ROUND(CW65/EP$141,0)</f>
        <v>69</v>
      </c>
      <c r="EO65" s="2600">
        <f>SUM(EP65:EP66)</f>
        <v>147</v>
      </c>
      <c r="EP65" s="122">
        <f>EN65</f>
        <v>69</v>
      </c>
      <c r="EQ65" s="2600">
        <f>SUM(ER65:ER66)</f>
        <v>147</v>
      </c>
      <c r="ER65" s="122">
        <f>EP65</f>
        <v>69</v>
      </c>
      <c r="ES65" s="2600">
        <f>SUM(ET65:ET66)</f>
        <v>0</v>
      </c>
      <c r="ET65" s="102">
        <f>FA65+FG65+FQ65</f>
        <v>0</v>
      </c>
      <c r="EU65" s="2590">
        <f>SUM(EV65:EV66)</f>
        <v>421.89</v>
      </c>
      <c r="EV65" s="122">
        <f>2.87*EN65</f>
        <v>198.03</v>
      </c>
      <c r="EW65" s="2590">
        <f>SUM(EX65:EX66)</f>
        <v>6</v>
      </c>
      <c r="EX65" s="129">
        <f>ROUND((DH65+DF65+DD65)/1000*3,0)+ROUND((ROUND(DL65/400,0))/2.67,0)+ROUND(DV65/1000,0)+ROUND((DZ65+EB65+ED65+EH65)/1000*3,0)+ROUND(EN65/25,0)+ROUND(ET65/50,0)</f>
        <v>3</v>
      </c>
      <c r="EY65" s="2590">
        <f>SUM(EZ65:EZ66)</f>
        <v>0</v>
      </c>
      <c r="EZ65" s="2610">
        <f>SUM(FA65:FA66)</f>
        <v>0</v>
      </c>
      <c r="FA65" s="2223">
        <v>0</v>
      </c>
      <c r="FB65" s="2590">
        <f>SUM(FC65:FC66)</f>
        <v>0</v>
      </c>
      <c r="FC65" s="2223">
        <v>0</v>
      </c>
      <c r="FD65" s="2590">
        <f>SUM(FE65:FE66)</f>
        <v>0</v>
      </c>
      <c r="FE65" s="2223">
        <v>0</v>
      </c>
      <c r="FF65" s="2590">
        <f>SUM(FG65:FG66)</f>
        <v>0</v>
      </c>
      <c r="FG65" s="122">
        <f>ROUND((DH65+DJ65+DD65+DN65+DT65)/1000,0)</f>
        <v>0</v>
      </c>
      <c r="FH65" s="2590">
        <f>SUM(FI65:FI66)</f>
        <v>0</v>
      </c>
      <c r="FI65" s="122">
        <f>DF65/1000</f>
        <v>0</v>
      </c>
      <c r="FJ65" s="2590">
        <f>SUM(FK65:FK66)</f>
        <v>0</v>
      </c>
      <c r="FK65" s="122">
        <f>((DL65/400)/12)</f>
        <v>0</v>
      </c>
      <c r="FL65" s="2590">
        <f>SUM(FM65:FM66)</f>
        <v>0</v>
      </c>
      <c r="FM65" s="122">
        <v>0</v>
      </c>
      <c r="FN65" s="2590">
        <f>SUM(FO65:FO66)</f>
        <v>0</v>
      </c>
      <c r="FO65" s="122">
        <v>0</v>
      </c>
      <c r="FP65" s="2600">
        <f>SUM(FQ65:FQ66)</f>
        <v>0</v>
      </c>
      <c r="FQ65" s="122">
        <f>DX65/1000</f>
        <v>0</v>
      </c>
      <c r="FR65" s="2590">
        <f>SUM(FS65:FS66)</f>
        <v>95</v>
      </c>
      <c r="FS65" s="2604">
        <v>95</v>
      </c>
      <c r="FT65" s="2606">
        <f>CX65-S65</f>
        <v>147020.6</v>
      </c>
      <c r="FU65" s="2602">
        <f>CY65-U65</f>
        <v>-29028</v>
      </c>
      <c r="FV65" s="2608">
        <f>(DC65+DE65+DG65)-(Y65+AA65+AC65+AE65)</f>
        <v>-3028</v>
      </c>
      <c r="FW65" s="2608">
        <f>DG65-AC65</f>
        <v>0</v>
      </c>
      <c r="FX65" s="2602">
        <f>DE65-AA65</f>
        <v>0</v>
      </c>
      <c r="FY65" s="2602">
        <f>DC65-Y65</f>
        <v>0</v>
      </c>
      <c r="FZ65" s="2602">
        <f>DJ65-AE65</f>
        <v>-3028</v>
      </c>
      <c r="GA65" s="2602">
        <f>DL65-AL65</f>
        <v>0</v>
      </c>
      <c r="GB65" s="2602">
        <f>DM65-AM65</f>
        <v>0</v>
      </c>
      <c r="GC65" s="2602">
        <f>DP65-AQ65</f>
        <v>-26000</v>
      </c>
      <c r="GD65" s="2602">
        <f>DR65-AS65</f>
        <v>0</v>
      </c>
      <c r="GE65" s="2602">
        <f>DT65-AV65</f>
        <v>0</v>
      </c>
      <c r="GF65" s="2602">
        <f>DV65-AW65</f>
        <v>0</v>
      </c>
      <c r="GG65" s="2602">
        <f>DZ65-BB65</f>
        <v>0</v>
      </c>
      <c r="GH65" s="2602">
        <f>EB65-BD65</f>
        <v>0</v>
      </c>
      <c r="GI65" s="2602">
        <f>ED65-BF65</f>
        <v>0</v>
      </c>
      <c r="GJ65" s="2602">
        <f>EF65-BH65</f>
        <v>0</v>
      </c>
      <c r="GK65" s="2602">
        <f>EH65-BJ65</f>
        <v>0</v>
      </c>
      <c r="GL65" s="2608">
        <f>DW65-AY65</f>
        <v>0</v>
      </c>
      <c r="GM65" s="2608">
        <f>EK65-BM65</f>
        <v>117992.6</v>
      </c>
      <c r="GN65" s="2608">
        <f>EM65-BO65</f>
        <v>147</v>
      </c>
      <c r="GO65" s="2582">
        <f>SUM(GP65:GP66)</f>
        <v>147</v>
      </c>
      <c r="GP65" s="114">
        <f>EP65-BR65</f>
        <v>69</v>
      </c>
      <c r="GQ65" s="2582">
        <f>SUM(GR65:GR66)</f>
        <v>421.89</v>
      </c>
      <c r="GR65" s="114">
        <f>EV65-BT65</f>
        <v>198.03</v>
      </c>
      <c r="GS65" s="2582">
        <f>SUM(GT65:GT66)</f>
        <v>0</v>
      </c>
      <c r="GT65" s="114">
        <f>EX65-BV65</f>
        <v>0</v>
      </c>
      <c r="GU65" s="114">
        <f>FA65-BX65</f>
        <v>0</v>
      </c>
      <c r="GV65" s="114">
        <f>FI65-CD65</f>
        <v>0</v>
      </c>
      <c r="GW65" s="114">
        <v>0</v>
      </c>
      <c r="GX65" s="114">
        <f>FG65-CB65</f>
        <v>-3.028</v>
      </c>
      <c r="GY65" s="114">
        <f>FK65-CF65</f>
        <v>0</v>
      </c>
      <c r="GZ65" s="114">
        <f>FM65-CH65</f>
        <v>0</v>
      </c>
      <c r="HA65" s="114">
        <f>FO65-CJ65</f>
        <v>0</v>
      </c>
      <c r="HB65" s="114">
        <f>FQ65-CL65</f>
        <v>0</v>
      </c>
      <c r="HC65" s="2616">
        <f>ES65-CM65</f>
        <v>-29.027999999999999</v>
      </c>
      <c r="HD65" s="95"/>
      <c r="HE65" s="95"/>
      <c r="HF65" s="95"/>
    </row>
    <row r="66" spans="1:217" s="72" customFormat="1" ht="15" customHeight="1">
      <c r="A66" s="2589"/>
      <c r="B66" s="130" t="s">
        <v>710</v>
      </c>
      <c r="C66" s="66">
        <v>2865</v>
      </c>
      <c r="D66" s="66">
        <v>15</v>
      </c>
      <c r="E66" s="67">
        <v>2028650015</v>
      </c>
      <c r="F66" s="68">
        <v>12656</v>
      </c>
      <c r="G66" s="69" t="s">
        <v>704</v>
      </c>
      <c r="H66" s="70"/>
      <c r="I66" s="66">
        <v>2.0499999999999998</v>
      </c>
      <c r="J66" s="66">
        <v>0</v>
      </c>
      <c r="K66" s="66">
        <v>2</v>
      </c>
      <c r="L66" s="66">
        <v>6.5</v>
      </c>
      <c r="M66" s="68">
        <v>26000</v>
      </c>
      <c r="N66" s="68">
        <v>0</v>
      </c>
      <c r="O66" s="68">
        <v>0</v>
      </c>
      <c r="P66" s="68">
        <v>26000</v>
      </c>
      <c r="Q66" s="71">
        <v>0</v>
      </c>
      <c r="R66" s="72" t="s">
        <v>747</v>
      </c>
      <c r="S66" s="2591"/>
      <c r="T66" s="73">
        <v>0</v>
      </c>
      <c r="U66" s="2591"/>
      <c r="V66" s="74">
        <f>M66</f>
        <v>26000</v>
      </c>
      <c r="W66" s="2591"/>
      <c r="X66" s="73">
        <f>V66-Z66</f>
        <v>26000</v>
      </c>
      <c r="Y66" s="2591"/>
      <c r="Z66" s="73">
        <v>0</v>
      </c>
      <c r="AA66" s="2591"/>
      <c r="AB66" s="73">
        <v>0</v>
      </c>
      <c r="AC66" s="2591"/>
      <c r="AD66" s="75">
        <f>V66-(Z66+AB66+AF66+AL66+AN66+AP66+AZ66+AR66+AT66+AV66+AX66)</f>
        <v>0</v>
      </c>
      <c r="AE66" s="2581"/>
      <c r="AF66" s="75">
        <f>AG66+AI66</f>
        <v>0</v>
      </c>
      <c r="AG66" s="75">
        <v>0</v>
      </c>
      <c r="AH66" s="2581"/>
      <c r="AI66" s="75">
        <f>N66</f>
        <v>0</v>
      </c>
      <c r="AJ66" s="2581"/>
      <c r="AK66" s="2581"/>
      <c r="AL66" s="75">
        <v>0</v>
      </c>
      <c r="AM66" s="2581"/>
      <c r="AN66" s="75">
        <v>0</v>
      </c>
      <c r="AO66" s="2583"/>
      <c r="AP66" s="75">
        <v>0</v>
      </c>
      <c r="AQ66" s="2581"/>
      <c r="AR66" s="75">
        <v>26000</v>
      </c>
      <c r="AS66" s="2581"/>
      <c r="AT66" s="75">
        <v>0</v>
      </c>
      <c r="AU66" s="2581"/>
      <c r="AV66" s="75">
        <v>0</v>
      </c>
      <c r="AW66" s="2581"/>
      <c r="AX66" s="301">
        <v>0</v>
      </c>
      <c r="AY66" s="2581"/>
      <c r="AZ66" s="75">
        <f t="shared" si="0"/>
        <v>0</v>
      </c>
      <c r="BA66" s="2583"/>
      <c r="BB66" s="73">
        <v>0</v>
      </c>
      <c r="BC66" s="2583"/>
      <c r="BD66" s="73">
        <v>0</v>
      </c>
      <c r="BE66" s="2583"/>
      <c r="BF66" s="73">
        <v>0</v>
      </c>
      <c r="BG66" s="2583"/>
      <c r="BH66" s="73">
        <v>0</v>
      </c>
      <c r="BI66" s="2583"/>
      <c r="BJ66" s="73">
        <v>0</v>
      </c>
      <c r="BK66" s="2583"/>
      <c r="BL66" s="73">
        <v>0</v>
      </c>
      <c r="BM66" s="2581"/>
      <c r="BN66" s="73">
        <f>ROUND(T66+V66,0)</f>
        <v>26000</v>
      </c>
      <c r="BO66" s="2581"/>
      <c r="BP66" s="73">
        <f>ROUND(T66/EP$141,0)</f>
        <v>0</v>
      </c>
      <c r="BQ66" s="2581"/>
      <c r="BR66" s="73">
        <f>BR$142*BP66</f>
        <v>0</v>
      </c>
      <c r="BS66" s="2581"/>
      <c r="BT66" s="77">
        <f t="shared" si="16"/>
        <v>0</v>
      </c>
      <c r="BU66" s="2581"/>
      <c r="BV66" s="78">
        <f>ROUND((AD66+AB66+Z66)/1000*3,0)+ROUND((AF66+AV66)/1000,0)+ROUND((ROUND(AL66/400,0))/2.67,0)+ROUND(AN66/250,0)+ROUND(AR66/15000,0)+ROUND((BB66+BD66+BF66+BJ66)/1000*3,0)+ROUND(BP66/25,0)+ROUND(CN66/50,0)</f>
        <v>3</v>
      </c>
      <c r="BW66" s="2581"/>
      <c r="BX66" s="73"/>
      <c r="BY66" s="2581"/>
      <c r="BZ66" s="73">
        <v>0</v>
      </c>
      <c r="CA66" s="2581"/>
      <c r="CB66" s="73">
        <f>V66/1000</f>
        <v>26</v>
      </c>
      <c r="CC66" s="2581"/>
      <c r="CD66" s="73">
        <f>AB66/1000</f>
        <v>0</v>
      </c>
      <c r="CE66" s="2581"/>
      <c r="CF66" s="73">
        <f>((AL66/400)/12)</f>
        <v>0</v>
      </c>
      <c r="CG66" s="2581"/>
      <c r="CH66" s="79">
        <f>IFERROR(VLOOKUP(E66,#REF!,3,FALSE),0)</f>
        <v>0</v>
      </c>
      <c r="CI66" s="2581"/>
      <c r="CJ66" s="73" t="b">
        <f>IF(G66="M1-2",F66/1000)</f>
        <v>0</v>
      </c>
      <c r="CK66" s="2581"/>
      <c r="CL66" s="73">
        <f>IF(BJ66&gt;0,"Calculate",0)</f>
        <v>0</v>
      </c>
      <c r="CM66" s="2581"/>
      <c r="CN66" s="73">
        <f t="shared" si="1"/>
        <v>26</v>
      </c>
      <c r="CO66" s="73"/>
      <c r="CP66" s="2266">
        <v>20</v>
      </c>
      <c r="CQ66" s="81" t="s">
        <v>741</v>
      </c>
      <c r="CR66" s="81">
        <v>7.2</v>
      </c>
      <c r="CS66" s="81">
        <v>0</v>
      </c>
      <c r="CT66" s="81">
        <v>6.5</v>
      </c>
      <c r="CU66" s="82"/>
      <c r="CV66" s="2597"/>
      <c r="CW66" s="73">
        <f>(CR66*(F66))-F66</f>
        <v>78467.199999999997</v>
      </c>
      <c r="CX66" s="2591"/>
      <c r="CY66" s="2599"/>
      <c r="CZ66" s="73">
        <v>0</v>
      </c>
      <c r="DA66" s="2593"/>
      <c r="DB66" s="73">
        <f>CZ66-DD66</f>
        <v>0</v>
      </c>
      <c r="DC66" s="2591"/>
      <c r="DD66" s="73">
        <v>0</v>
      </c>
      <c r="DE66" s="2591"/>
      <c r="DF66" s="73">
        <v>0</v>
      </c>
      <c r="DG66" s="2591"/>
      <c r="DH66" s="73">
        <f>CZ66-(DD66+DF66+DJ66+DL66+DN66+DT66+DV66+DX66)</f>
        <v>0</v>
      </c>
      <c r="DI66" s="2591"/>
      <c r="DJ66" s="73">
        <v>0</v>
      </c>
      <c r="DK66" s="2591"/>
      <c r="DL66" s="73">
        <v>0</v>
      </c>
      <c r="DM66" s="2591"/>
      <c r="DN66" s="73">
        <v>0</v>
      </c>
      <c r="DO66" s="2591"/>
      <c r="DP66" s="73">
        <v>0</v>
      </c>
      <c r="DQ66" s="2591"/>
      <c r="DR66" s="73">
        <v>0</v>
      </c>
      <c r="DS66" s="2591"/>
      <c r="DT66" s="73">
        <v>0</v>
      </c>
      <c r="DU66" s="2591"/>
      <c r="DV66" s="73">
        <v>0</v>
      </c>
      <c r="DW66" s="2591"/>
      <c r="DX66" s="75">
        <f t="shared" si="2"/>
        <v>0</v>
      </c>
      <c r="DY66" s="2591"/>
      <c r="DZ66" s="75">
        <v>0</v>
      </c>
      <c r="EA66" s="2591"/>
      <c r="EB66" s="75">
        <v>0</v>
      </c>
      <c r="EC66" s="2591"/>
      <c r="ED66" s="75">
        <v>0</v>
      </c>
      <c r="EE66" s="2591"/>
      <c r="EF66" s="75">
        <v>0</v>
      </c>
      <c r="EG66" s="2591"/>
      <c r="EH66" s="75">
        <v>0</v>
      </c>
      <c r="EI66" s="2591"/>
      <c r="EJ66" s="75"/>
      <c r="EK66" s="2581"/>
      <c r="EL66" s="73">
        <f>CW66+CZ66</f>
        <v>78467.199999999997</v>
      </c>
      <c r="EM66" s="2601"/>
      <c r="EN66" s="74">
        <f>ROUND(CW66/EP$141,0)</f>
        <v>78</v>
      </c>
      <c r="EO66" s="2601"/>
      <c r="EP66" s="74">
        <f>EN66</f>
        <v>78</v>
      </c>
      <c r="EQ66" s="2601"/>
      <c r="ER66" s="74">
        <f>EP66</f>
        <v>78</v>
      </c>
      <c r="ES66" s="2601"/>
      <c r="ET66" s="74">
        <f>FA66+FG66+FQ66</f>
        <v>0</v>
      </c>
      <c r="EU66" s="2591"/>
      <c r="EV66" s="74">
        <f>2.87*EN66</f>
        <v>223.86</v>
      </c>
      <c r="EW66" s="2591"/>
      <c r="EX66" s="88">
        <f>ROUND((DH66+DF66+DD66)/1000*3,0)+ROUND((ROUND(DL66/400,0))/2.67,0)+ROUND(DV66/1000,0)+ROUND((DZ66+EB66+ED66+EH66)/1000*3,0)+ROUND(EN66/25,0)+ROUND(ET66/50,0)</f>
        <v>3</v>
      </c>
      <c r="EY66" s="2591"/>
      <c r="EZ66" s="2611"/>
      <c r="FA66" s="2225">
        <v>0</v>
      </c>
      <c r="FB66" s="2591"/>
      <c r="FC66" s="2225">
        <v>0</v>
      </c>
      <c r="FD66" s="2591"/>
      <c r="FE66" s="2225">
        <v>0</v>
      </c>
      <c r="FF66" s="2591"/>
      <c r="FG66" s="74">
        <f>ROUND((DH66+DJ66+DD66+DN66+DT66)/1000,0)</f>
        <v>0</v>
      </c>
      <c r="FH66" s="2591"/>
      <c r="FI66" s="74">
        <f>DF66/1000</f>
        <v>0</v>
      </c>
      <c r="FJ66" s="2591"/>
      <c r="FK66" s="74">
        <f>((DL66/400)/12)</f>
        <v>0</v>
      </c>
      <c r="FL66" s="2591"/>
      <c r="FM66" s="74">
        <v>0</v>
      </c>
      <c r="FN66" s="2591"/>
      <c r="FO66" s="74">
        <v>0</v>
      </c>
      <c r="FP66" s="2601"/>
      <c r="FQ66" s="74">
        <f>DX66/1000</f>
        <v>0</v>
      </c>
      <c r="FR66" s="2591"/>
      <c r="FS66" s="2605"/>
      <c r="FT66" s="2607"/>
      <c r="FU66" s="2603"/>
      <c r="FV66" s="2609"/>
      <c r="FW66" s="2609"/>
      <c r="FX66" s="2603"/>
      <c r="FY66" s="2603"/>
      <c r="FZ66" s="2603"/>
      <c r="GA66" s="2603"/>
      <c r="GB66" s="2603"/>
      <c r="GC66" s="2603"/>
      <c r="GD66" s="2603"/>
      <c r="GE66" s="2603"/>
      <c r="GF66" s="2603"/>
      <c r="GG66" s="2603"/>
      <c r="GH66" s="2603"/>
      <c r="GI66" s="2603"/>
      <c r="GJ66" s="2603"/>
      <c r="GK66" s="2603"/>
      <c r="GL66" s="2609"/>
      <c r="GM66" s="2609"/>
      <c r="GN66" s="2609"/>
      <c r="GO66" s="2583"/>
      <c r="GP66" s="89">
        <f>EP66-BR66</f>
        <v>78</v>
      </c>
      <c r="GQ66" s="2583"/>
      <c r="GR66" s="89">
        <f>EV66-BT66</f>
        <v>223.86</v>
      </c>
      <c r="GS66" s="2583"/>
      <c r="GT66" s="89">
        <f>EX66-BV66</f>
        <v>0</v>
      </c>
      <c r="GU66" s="89">
        <f>FA66-BX66</f>
        <v>0</v>
      </c>
      <c r="GV66" s="89">
        <f>FI66-CD66</f>
        <v>0</v>
      </c>
      <c r="GW66" s="89">
        <v>0</v>
      </c>
      <c r="GX66" s="89">
        <f>FG66-CB66</f>
        <v>-26</v>
      </c>
      <c r="GY66" s="89">
        <f>FK66-CF66</f>
        <v>0</v>
      </c>
      <c r="GZ66" s="89">
        <f>FM66-CH66</f>
        <v>0</v>
      </c>
      <c r="HA66" s="89">
        <f>FO66-CJ66</f>
        <v>0</v>
      </c>
      <c r="HB66" s="89">
        <f>FQ66-CL66</f>
        <v>0</v>
      </c>
      <c r="HC66" s="2617"/>
      <c r="HD66" s="95"/>
      <c r="HE66" s="95"/>
      <c r="HF66" s="95"/>
    </row>
    <row r="67" spans="1:217" s="95" customFormat="1" ht="18.75">
      <c r="A67" s="2263"/>
      <c r="B67" s="131"/>
      <c r="C67" s="132"/>
      <c r="D67" s="132"/>
      <c r="E67" s="133"/>
      <c r="F67" s="134"/>
      <c r="G67" s="135"/>
      <c r="H67" s="136"/>
      <c r="I67" s="132"/>
      <c r="J67" s="132"/>
      <c r="K67" s="132"/>
      <c r="L67" s="132"/>
      <c r="M67" s="134"/>
      <c r="N67" s="134"/>
      <c r="O67" s="134"/>
      <c r="P67" s="134"/>
      <c r="Q67" s="137"/>
      <c r="S67" s="101"/>
      <c r="T67" s="97"/>
      <c r="U67" s="2244"/>
      <c r="V67" s="102"/>
      <c r="W67" s="2244"/>
      <c r="X67" s="97"/>
      <c r="Y67" s="2244"/>
      <c r="Z67" s="97"/>
      <c r="AA67" s="2244"/>
      <c r="AB67" s="97"/>
      <c r="AC67" s="2244"/>
      <c r="AD67" s="103"/>
      <c r="AE67" s="2251"/>
      <c r="AF67" s="103"/>
      <c r="AG67" s="103"/>
      <c r="AH67" s="103"/>
      <c r="AI67" s="103"/>
      <c r="AJ67" s="103"/>
      <c r="AK67" s="2251"/>
      <c r="AL67" s="103"/>
      <c r="AM67" s="2251"/>
      <c r="AN67" s="103"/>
      <c r="AO67" s="2224"/>
      <c r="AP67" s="103"/>
      <c r="AQ67" s="2251"/>
      <c r="AR67" s="103"/>
      <c r="AS67" s="2251"/>
      <c r="AT67" s="103"/>
      <c r="AU67" s="2251"/>
      <c r="AV67" s="103"/>
      <c r="AW67" s="2251"/>
      <c r="AX67" s="270"/>
      <c r="AY67" s="2251"/>
      <c r="AZ67" s="75">
        <f t="shared" si="0"/>
        <v>0</v>
      </c>
      <c r="BA67" s="2224"/>
      <c r="BB67" s="97"/>
      <c r="BC67" s="2224"/>
      <c r="BD67" s="97"/>
      <c r="BE67" s="2224"/>
      <c r="BF67" s="97"/>
      <c r="BG67" s="2224"/>
      <c r="BH67" s="97"/>
      <c r="BI67" s="2224"/>
      <c r="BJ67" s="97"/>
      <c r="BK67" s="2224"/>
      <c r="BL67" s="97"/>
      <c r="BM67" s="2251"/>
      <c r="BN67" s="97"/>
      <c r="BO67" s="2251"/>
      <c r="BP67" s="97"/>
      <c r="BQ67" s="2251"/>
      <c r="BR67" s="97"/>
      <c r="BS67" s="2251"/>
      <c r="BT67" s="124"/>
      <c r="BU67" s="2251"/>
      <c r="BV67" s="138"/>
      <c r="BW67" s="2251"/>
      <c r="BX67" s="97"/>
      <c r="BY67" s="2251"/>
      <c r="BZ67" s="97"/>
      <c r="CA67" s="2251"/>
      <c r="CB67" s="97"/>
      <c r="CC67" s="2251"/>
      <c r="CD67" s="97"/>
      <c r="CE67" s="2251"/>
      <c r="CF67" s="97"/>
      <c r="CG67" s="2251"/>
      <c r="CH67" s="105"/>
      <c r="CI67" s="2251"/>
      <c r="CJ67" s="97"/>
      <c r="CK67" s="2251"/>
      <c r="CL67" s="97"/>
      <c r="CM67" s="2251"/>
      <c r="CN67" s="73">
        <f t="shared" si="1"/>
        <v>0</v>
      </c>
      <c r="CO67" s="97"/>
      <c r="CP67" s="106"/>
      <c r="CQ67" s="139"/>
      <c r="CR67" s="139"/>
      <c r="CS67" s="139"/>
      <c r="CT67" s="139"/>
      <c r="CU67" s="108"/>
      <c r="CV67" s="2258"/>
      <c r="CW67" s="121"/>
      <c r="CX67" s="2244"/>
      <c r="CY67" s="2261"/>
      <c r="CZ67" s="97"/>
      <c r="DA67" s="2253"/>
      <c r="DB67" s="97"/>
      <c r="DC67" s="2244"/>
      <c r="DD67" s="97"/>
      <c r="DE67" s="2244"/>
      <c r="DF67" s="97"/>
      <c r="DG67" s="2244"/>
      <c r="DH67" s="97"/>
      <c r="DI67" s="2244"/>
      <c r="DJ67" s="97"/>
      <c r="DK67" s="2244"/>
      <c r="DL67" s="97"/>
      <c r="DM67" s="2244"/>
      <c r="DN67" s="97"/>
      <c r="DO67" s="2244"/>
      <c r="DP67" s="97"/>
      <c r="DQ67" s="2244"/>
      <c r="DR67" s="97"/>
      <c r="DS67" s="2244"/>
      <c r="DT67" s="97"/>
      <c r="DU67" s="2244"/>
      <c r="DV67" s="97"/>
      <c r="DW67" s="2244"/>
      <c r="DX67" s="75"/>
      <c r="DY67" s="2244"/>
      <c r="DZ67" s="103"/>
      <c r="EA67" s="2244"/>
      <c r="EB67" s="103"/>
      <c r="EC67" s="2244"/>
      <c r="ED67" s="103"/>
      <c r="EE67" s="2244"/>
      <c r="EF67" s="103"/>
      <c r="EG67" s="2244"/>
      <c r="EH67" s="103"/>
      <c r="EI67" s="2244"/>
      <c r="EJ67" s="103"/>
      <c r="EK67" s="2251"/>
      <c r="EL67" s="97"/>
      <c r="EM67" s="2246"/>
      <c r="EN67" s="102"/>
      <c r="EO67" s="2246"/>
      <c r="EP67" s="102"/>
      <c r="EQ67" s="110"/>
      <c r="ER67" s="102"/>
      <c r="ES67" s="110"/>
      <c r="ET67" s="74"/>
      <c r="EU67" s="2244"/>
      <c r="EV67" s="122"/>
      <c r="EW67" s="2244"/>
      <c r="EX67" s="88"/>
      <c r="EY67" s="2244"/>
      <c r="EZ67" s="2248"/>
      <c r="FA67" s="2224"/>
      <c r="FB67" s="2244"/>
      <c r="FC67" s="2224"/>
      <c r="FD67" s="2244"/>
      <c r="FE67" s="2224"/>
      <c r="FF67" s="2244"/>
      <c r="FG67" s="102"/>
      <c r="FH67" s="2244"/>
      <c r="FI67" s="102"/>
      <c r="FJ67" s="2244"/>
      <c r="FK67" s="102"/>
      <c r="FL67" s="2244"/>
      <c r="FM67" s="102"/>
      <c r="FN67" s="2244"/>
      <c r="FO67" s="102"/>
      <c r="FP67" s="110"/>
      <c r="FQ67" s="102"/>
      <c r="FR67" s="2244"/>
      <c r="FS67" s="2244"/>
      <c r="FT67" s="2240"/>
      <c r="FU67" s="2233"/>
      <c r="FV67" s="2235"/>
      <c r="FW67" s="2235"/>
      <c r="FX67" s="2233"/>
      <c r="FY67" s="2233"/>
      <c r="FZ67" s="2233"/>
      <c r="GA67" s="2232"/>
      <c r="GB67" s="2233"/>
      <c r="GC67" s="2233"/>
      <c r="GD67" s="2233"/>
      <c r="GE67" s="2232"/>
      <c r="GF67" s="2233"/>
      <c r="GG67" s="2232"/>
      <c r="GH67" s="2232"/>
      <c r="GI67" s="2232"/>
      <c r="GJ67" s="2232"/>
      <c r="GK67" s="2232"/>
      <c r="GL67" s="2235"/>
      <c r="GM67" s="2235"/>
      <c r="GN67" s="2235"/>
      <c r="GO67" s="2224"/>
      <c r="GP67" s="112"/>
      <c r="GQ67" s="2224"/>
      <c r="GR67" s="112"/>
      <c r="GS67" s="2224"/>
      <c r="GT67" s="113"/>
      <c r="GU67" s="114"/>
      <c r="GV67" s="113"/>
      <c r="GW67" s="113"/>
      <c r="GX67" s="113"/>
      <c r="GY67" s="113"/>
      <c r="GZ67" s="112"/>
      <c r="HA67" s="113"/>
      <c r="HB67" s="113"/>
      <c r="HC67" s="2230"/>
    </row>
    <row r="68" spans="1:217" s="90" customFormat="1" ht="15" customHeight="1">
      <c r="A68" s="2588">
        <v>24</v>
      </c>
      <c r="B68" s="3687" t="s">
        <v>710</v>
      </c>
      <c r="C68" s="115">
        <v>2857</v>
      </c>
      <c r="D68" s="115">
        <v>22</v>
      </c>
      <c r="E68" s="116">
        <v>2028570022</v>
      </c>
      <c r="F68" s="117">
        <v>2775</v>
      </c>
      <c r="G68" s="118" t="s">
        <v>704</v>
      </c>
      <c r="H68" s="119"/>
      <c r="I68" s="115">
        <v>0</v>
      </c>
      <c r="J68" s="115">
        <v>0</v>
      </c>
      <c r="K68" s="115">
        <v>2</v>
      </c>
      <c r="L68" s="115">
        <v>6.5</v>
      </c>
      <c r="M68" s="117">
        <v>0</v>
      </c>
      <c r="N68" s="117">
        <v>0</v>
      </c>
      <c r="O68" s="117">
        <v>0</v>
      </c>
      <c r="P68" s="117">
        <v>0</v>
      </c>
      <c r="Q68" s="120">
        <v>0</v>
      </c>
      <c r="R68" s="90" t="s">
        <v>720</v>
      </c>
      <c r="S68" s="2590">
        <f>SUM(T68:T70)</f>
        <v>0</v>
      </c>
      <c r="T68" s="121">
        <v>0</v>
      </c>
      <c r="U68" s="2590">
        <f>SUM(V68:V70)</f>
        <v>3500</v>
      </c>
      <c r="V68" s="122">
        <f>M68</f>
        <v>0</v>
      </c>
      <c r="W68" s="2590">
        <f>SUM(X68:X70)</f>
        <v>3500</v>
      </c>
      <c r="X68" s="121">
        <f>V68-Z68</f>
        <v>0</v>
      </c>
      <c r="Y68" s="2590">
        <f>SUM(Z68:Z70)</f>
        <v>0</v>
      </c>
      <c r="Z68" s="121">
        <v>0</v>
      </c>
      <c r="AA68" s="2590">
        <f>SUM(AB68:AB70)</f>
        <v>0</v>
      </c>
      <c r="AB68" s="121">
        <v>0</v>
      </c>
      <c r="AC68" s="2590">
        <f>SUM(AD68:AD69)</f>
        <v>0</v>
      </c>
      <c r="AD68" s="123">
        <f>V68-(Z68+AB68+AF68+AL68+AN68+AP68+AZ68+AR68+AT68+AV68+AX68)</f>
        <v>0</v>
      </c>
      <c r="AE68" s="2580">
        <f>SUM(AF68:AF70)</f>
        <v>3500</v>
      </c>
      <c r="AF68" s="123">
        <f>AG68+AI68</f>
        <v>0</v>
      </c>
      <c r="AG68" s="123">
        <v>0</v>
      </c>
      <c r="AH68" s="2580">
        <f>SUM(AG68:AG70)</f>
        <v>0</v>
      </c>
      <c r="AI68" s="123">
        <v>0</v>
      </c>
      <c r="AJ68" s="2580">
        <f>SUM(AI68:AI70)</f>
        <v>3500</v>
      </c>
      <c r="AK68" s="2580">
        <f>SUM(AL68:AL70)</f>
        <v>0</v>
      </c>
      <c r="AL68" s="123">
        <v>0</v>
      </c>
      <c r="AM68" s="2580">
        <f>SUM(AN68:AN70)</f>
        <v>0</v>
      </c>
      <c r="AN68" s="123">
        <v>0</v>
      </c>
      <c r="AO68" s="2582">
        <f>SUM(AP68:AP70)</f>
        <v>0</v>
      </c>
      <c r="AP68" s="123">
        <v>0</v>
      </c>
      <c r="AQ68" s="2580">
        <f>SUM(AR68:AR70)</f>
        <v>0</v>
      </c>
      <c r="AR68" s="123">
        <v>0</v>
      </c>
      <c r="AS68" s="2580">
        <f>SUM(AT68:AT70)</f>
        <v>0</v>
      </c>
      <c r="AT68" s="123">
        <v>0</v>
      </c>
      <c r="AU68" s="2580">
        <f>SUM(AV68:AV70)</f>
        <v>0</v>
      </c>
      <c r="AV68" s="123">
        <v>0</v>
      </c>
      <c r="AW68" s="2580">
        <f>SUM(AX68:AX70)</f>
        <v>0</v>
      </c>
      <c r="AX68" s="123">
        <v>0</v>
      </c>
      <c r="AY68" s="2580">
        <f>SUM(AZ68:AZ70)</f>
        <v>0</v>
      </c>
      <c r="AZ68" s="123">
        <f t="shared" si="0"/>
        <v>0</v>
      </c>
      <c r="BA68" s="2582">
        <f>SUM(BB68:BB70)</f>
        <v>0</v>
      </c>
      <c r="BB68" s="184">
        <v>0</v>
      </c>
      <c r="BC68" s="2582">
        <f>SUM(BD68:BD70)</f>
        <v>0</v>
      </c>
      <c r="BD68" s="184">
        <v>0</v>
      </c>
      <c r="BE68" s="2582">
        <f>SUM(BF68:BF70)</f>
        <v>0</v>
      </c>
      <c r="BF68" s="184">
        <v>0</v>
      </c>
      <c r="BG68" s="2582">
        <f>SUM(BH68:BH70)</f>
        <v>0</v>
      </c>
      <c r="BH68" s="184">
        <v>0</v>
      </c>
      <c r="BI68" s="2582">
        <f>SUM(BJ68:BJ70)</f>
        <v>0</v>
      </c>
      <c r="BJ68" s="184">
        <v>0</v>
      </c>
      <c r="BK68" s="2582">
        <f>SUM(BL68:BL70)</f>
        <v>0</v>
      </c>
      <c r="BL68" s="184">
        <v>0</v>
      </c>
      <c r="BM68" s="2580">
        <f>SUM(BN68:BN70)</f>
        <v>3500</v>
      </c>
      <c r="BN68" s="121">
        <f>ROUND(T68+V68,0)</f>
        <v>0</v>
      </c>
      <c r="BO68" s="2580">
        <f>SUM(BP68:BP70)</f>
        <v>0</v>
      </c>
      <c r="BP68" s="121">
        <f>ROUND(T68/EP$141,0)</f>
        <v>0</v>
      </c>
      <c r="BQ68" s="2580">
        <f>SUM(BR68:BR70)</f>
        <v>0</v>
      </c>
      <c r="BR68" s="121">
        <f>BR$142*BP68</f>
        <v>0</v>
      </c>
      <c r="BS68" s="2580">
        <f>SUM(BT68:BT70)</f>
        <v>0</v>
      </c>
      <c r="BT68" s="124">
        <f t="shared" si="16"/>
        <v>0</v>
      </c>
      <c r="BU68" s="2580">
        <f>SUM(BV68:BV70)</f>
        <v>4</v>
      </c>
      <c r="BV68" s="125">
        <f>ROUND((AD68+AB68+Z68)/1000*3,0)+ROUND((AF68+AX68)/1000,0)+ROUND((ROUND(AL68/400,0))/2.67,0)+ROUND(AN68/250,0)+ROUND(AR68/15000,0)+ROUND((BB68+BD68+BF68+BJ68)/1000*3,0)+ROUND(BP68/25,0)+ROUND(CN68/50,0)</f>
        <v>0</v>
      </c>
      <c r="BW68" s="2580">
        <f>SUM(BX68:BX70)</f>
        <v>0</v>
      </c>
      <c r="BX68" s="121">
        <v>0</v>
      </c>
      <c r="BY68" s="2580">
        <f>SUM(BZ68:BZ70)</f>
        <v>0</v>
      </c>
      <c r="BZ68" s="121">
        <v>0</v>
      </c>
      <c r="CA68" s="2580">
        <f>SUM(CB68:CB70)</f>
        <v>3.5</v>
      </c>
      <c r="CB68" s="121">
        <f>V68/1000</f>
        <v>0</v>
      </c>
      <c r="CC68" s="2580">
        <f>SUM(CD68:CD70)</f>
        <v>0</v>
      </c>
      <c r="CD68" s="121">
        <f>AB68/1000</f>
        <v>0</v>
      </c>
      <c r="CE68" s="2580">
        <f>SUM(CF68:CF70)</f>
        <v>0</v>
      </c>
      <c r="CF68" s="121">
        <f>((AL68/400)/12)</f>
        <v>0</v>
      </c>
      <c r="CG68" s="2580">
        <f>SUM(CH68:CH70)</f>
        <v>0</v>
      </c>
      <c r="CH68" s="126">
        <f>IFERROR(VLOOKUP(E68,#REF!,3,FALSE),0)</f>
        <v>0</v>
      </c>
      <c r="CI68" s="2580">
        <f>SUM(CJ68:CJ70)</f>
        <v>0</v>
      </c>
      <c r="CJ68" s="121" t="b">
        <f>IF(G68="M1-2",F68/1000)</f>
        <v>0</v>
      </c>
      <c r="CK68" s="2580">
        <f>SUM(CL68:CL70)</f>
        <v>0</v>
      </c>
      <c r="CL68" s="121">
        <f>IF(BJ68&gt;0,"Calculate",0)</f>
        <v>0</v>
      </c>
      <c r="CM68" s="2580">
        <f>SUM(CN68:CN70)</f>
        <v>3.5</v>
      </c>
      <c r="CN68" s="121">
        <f t="shared" si="1"/>
        <v>0</v>
      </c>
      <c r="CO68" s="121"/>
      <c r="CP68" s="2265">
        <v>0</v>
      </c>
      <c r="CQ68" s="127" t="s">
        <v>741</v>
      </c>
      <c r="CR68" s="127">
        <v>7.2</v>
      </c>
      <c r="CS68" s="127">
        <v>0</v>
      </c>
      <c r="CT68" s="127">
        <v>6.5</v>
      </c>
      <c r="CU68" s="128"/>
      <c r="CV68" s="2596" t="s">
        <v>744</v>
      </c>
      <c r="CW68" s="121">
        <f>(CR68*(F68))-F68</f>
        <v>17205</v>
      </c>
      <c r="CX68" s="2590">
        <f>SUM(CW68:CW70)</f>
        <v>58614.8</v>
      </c>
      <c r="CY68" s="2598">
        <f>SUM(CZ68:CZ70)</f>
        <v>0</v>
      </c>
      <c r="CZ68" s="121">
        <v>0</v>
      </c>
      <c r="DA68" s="2592">
        <f>SUM(DB68:DB70)</f>
        <v>0</v>
      </c>
      <c r="DB68" s="121">
        <f>CZ68-DD68</f>
        <v>0</v>
      </c>
      <c r="DC68" s="2590">
        <f>SUM(DD68:DD70)</f>
        <v>0</v>
      </c>
      <c r="DD68" s="121">
        <v>0</v>
      </c>
      <c r="DE68" s="2590">
        <f>SUM(DF68:DF70)</f>
        <v>0</v>
      </c>
      <c r="DF68" s="121">
        <v>0</v>
      </c>
      <c r="DG68" s="2590">
        <f>SUM(DH68:DH70)</f>
        <v>0</v>
      </c>
      <c r="DH68" s="121">
        <f>CZ68-(DD68+DF68+DJ68+DL68+DN68+DT68+DV68+DX68)</f>
        <v>0</v>
      </c>
      <c r="DI68" s="2590">
        <f>SUM(DJ68:DJ70)</f>
        <v>0</v>
      </c>
      <c r="DJ68" s="121">
        <v>0</v>
      </c>
      <c r="DK68" s="2590">
        <f>SUM(DL68:DL70)</f>
        <v>0</v>
      </c>
      <c r="DL68" s="121">
        <v>0</v>
      </c>
      <c r="DM68" s="2590">
        <f>SUM(DN68:DN69)</f>
        <v>0</v>
      </c>
      <c r="DN68" s="121">
        <v>0</v>
      </c>
      <c r="DO68" s="2590">
        <f>SUM(DP68:DP70)</f>
        <v>0</v>
      </c>
      <c r="DP68" s="121">
        <v>0</v>
      </c>
      <c r="DQ68" s="2590">
        <f>SUM(DR68:DR70)</f>
        <v>0</v>
      </c>
      <c r="DR68" s="121">
        <v>0</v>
      </c>
      <c r="DS68" s="2590">
        <f>SUM(DT68:DT70)</f>
        <v>0</v>
      </c>
      <c r="DT68" s="121">
        <v>0</v>
      </c>
      <c r="DU68" s="2590">
        <f>SUM(DV68:DV70)</f>
        <v>0</v>
      </c>
      <c r="DV68" s="121">
        <v>0</v>
      </c>
      <c r="DW68" s="2590">
        <f>SUM(DX68:DX69)</f>
        <v>0</v>
      </c>
      <c r="DX68" s="103">
        <f t="shared" si="2"/>
        <v>0</v>
      </c>
      <c r="DY68" s="2590">
        <f>SUM(DZ68:DZ70)</f>
        <v>0</v>
      </c>
      <c r="DZ68" s="123">
        <v>0</v>
      </c>
      <c r="EA68" s="2590">
        <f>SUM(EB68:EB70)</f>
        <v>0</v>
      </c>
      <c r="EB68" s="123">
        <v>0</v>
      </c>
      <c r="EC68" s="2590">
        <f>SUM(ED68:ED70)</f>
        <v>0</v>
      </c>
      <c r="ED68" s="123">
        <v>0</v>
      </c>
      <c r="EE68" s="2590">
        <f>SUM(EF68:EF70)</f>
        <v>0</v>
      </c>
      <c r="EF68" s="123">
        <v>0</v>
      </c>
      <c r="EG68" s="2590">
        <f>SUM(EH68:EH70)</f>
        <v>0</v>
      </c>
      <c r="EH68" s="123">
        <v>0</v>
      </c>
      <c r="EI68" s="2590">
        <f>SUM(EJ68:EJ70)</f>
        <v>0</v>
      </c>
      <c r="EJ68" s="123"/>
      <c r="EK68" s="2580">
        <f>SUM(EL68:EL70)</f>
        <v>58614.8</v>
      </c>
      <c r="EL68" s="121">
        <f>CW68+CZ68</f>
        <v>17205</v>
      </c>
      <c r="EM68" s="2600">
        <f>SUM(EN68:EN70)</f>
        <v>58</v>
      </c>
      <c r="EN68" s="122">
        <f>ROUND(CW68/EP$141,0)</f>
        <v>17</v>
      </c>
      <c r="EO68" s="2600">
        <f>SUM(EP68:EP70)</f>
        <v>29</v>
      </c>
      <c r="EP68" s="122">
        <f>0.5*EN68</f>
        <v>8.5</v>
      </c>
      <c r="EQ68" s="2600">
        <f>SUM(ER68:ER70)</f>
        <v>29</v>
      </c>
      <c r="ER68" s="122">
        <f>EP68</f>
        <v>8.5</v>
      </c>
      <c r="ES68" s="2600">
        <f>SUM(ET68:ET70)</f>
        <v>0</v>
      </c>
      <c r="ET68" s="102">
        <f>FA68+FG68+FQ68</f>
        <v>0</v>
      </c>
      <c r="EU68" s="2590">
        <f>SUM(EV68:EV70)</f>
        <v>166.45999999999998</v>
      </c>
      <c r="EV68" s="122">
        <f>2.87*EN68</f>
        <v>48.79</v>
      </c>
      <c r="EW68" s="2590">
        <f>SUM(EX68:EX70)</f>
        <v>3</v>
      </c>
      <c r="EX68" s="186">
        <f>ROUND((DH68+DF68+DD68)/1000*3,0)+ROUND((ROUND(DL68/400,0))/2.67,0)+ROUND(DV68/1000,0)+ROUND((DZ68+EB68+ED68+EH68)/1000*3,0)+ROUND(EN68/25,0)+ROUND(ET68/50,0)</f>
        <v>1</v>
      </c>
      <c r="EY68" s="2590">
        <f>SUM(EZ68:EZ70)</f>
        <v>0</v>
      </c>
      <c r="EZ68" s="2610" t="s">
        <v>713</v>
      </c>
      <c r="FA68" s="2223">
        <v>0</v>
      </c>
      <c r="FB68" s="2590">
        <f>SUM(FC68:FC70)</f>
        <v>0</v>
      </c>
      <c r="FC68" s="2223">
        <v>0</v>
      </c>
      <c r="FD68" s="2590">
        <f>SUM(FE68:FE70)</f>
        <v>0</v>
      </c>
      <c r="FE68" s="2223">
        <v>0</v>
      </c>
      <c r="FF68" s="2590">
        <f>SUM(FG68:FG70)</f>
        <v>0</v>
      </c>
      <c r="FG68" s="122">
        <f>ROUND((DH68+DJ68+DD68+DN68+DT68)/1000,0)</f>
        <v>0</v>
      </c>
      <c r="FH68" s="2590">
        <f>SUM(FI68:FI70)</f>
        <v>0</v>
      </c>
      <c r="FI68" s="122">
        <f>DF68/1000</f>
        <v>0</v>
      </c>
      <c r="FJ68" s="2590">
        <f>SUM(FK68:FK70)</f>
        <v>0</v>
      </c>
      <c r="FK68" s="122">
        <f>((DL68/400)/12)</f>
        <v>0</v>
      </c>
      <c r="FL68" s="2590">
        <f>SUM(FM68:FM70)</f>
        <v>0</v>
      </c>
      <c r="FM68" s="122">
        <v>0</v>
      </c>
      <c r="FN68" s="2590">
        <f>SUM(FO68:FO70)</f>
        <v>0</v>
      </c>
      <c r="FO68" s="122">
        <v>0</v>
      </c>
      <c r="FP68" s="2600">
        <f>SUM(FQ68:FQ70)</f>
        <v>0</v>
      </c>
      <c r="FQ68" s="122">
        <f>DX68/1000</f>
        <v>0</v>
      </c>
      <c r="FR68" s="2590">
        <f>SUM(FS68:FS70)</f>
        <v>165</v>
      </c>
      <c r="FS68" s="2604">
        <v>165</v>
      </c>
      <c r="FT68" s="2606">
        <f>CX68-S68</f>
        <v>58614.8</v>
      </c>
      <c r="FU68" s="2602">
        <f>CY68-U68</f>
        <v>-3500</v>
      </c>
      <c r="FV68" s="2608">
        <f>(DC68+DE68+DG68)-(Y68+AA68+AC68+AE68)</f>
        <v>-3500</v>
      </c>
      <c r="FW68" s="2608">
        <f>DG68-AC68</f>
        <v>0</v>
      </c>
      <c r="FX68" s="2602">
        <f>DE68-AA68</f>
        <v>0</v>
      </c>
      <c r="FY68" s="2602">
        <f>DC68-Y68</f>
        <v>0</v>
      </c>
      <c r="FZ68" s="2602">
        <f>DJ68-AE68</f>
        <v>-3500</v>
      </c>
      <c r="GA68" s="2602">
        <f>DL68-AL68</f>
        <v>0</v>
      </c>
      <c r="GB68" s="2602">
        <f>DM68-AM68</f>
        <v>0</v>
      </c>
      <c r="GC68" s="2602">
        <f>DP68-AQ68</f>
        <v>0</v>
      </c>
      <c r="GD68" s="2602">
        <f>DR68-AS68</f>
        <v>0</v>
      </c>
      <c r="GE68" s="2602">
        <f>DT68-AV68</f>
        <v>0</v>
      </c>
      <c r="GF68" s="2687">
        <f>DV68-AW68</f>
        <v>0</v>
      </c>
      <c r="GG68" s="2602">
        <f>DZ68-BB68</f>
        <v>0</v>
      </c>
      <c r="GH68" s="2602">
        <f>EB68-BD68</f>
        <v>0</v>
      </c>
      <c r="GI68" s="2602">
        <f>ED68-BF68</f>
        <v>0</v>
      </c>
      <c r="GJ68" s="2602">
        <f>EF68-BH68</f>
        <v>0</v>
      </c>
      <c r="GK68" s="2602">
        <f>EH68-BJ68</f>
        <v>0</v>
      </c>
      <c r="GL68" s="2608">
        <f>DW68-AY68</f>
        <v>0</v>
      </c>
      <c r="GM68" s="2608">
        <f>EK68-BM68</f>
        <v>55114.8</v>
      </c>
      <c r="GN68" s="2608">
        <f>EM68-BO68</f>
        <v>58</v>
      </c>
      <c r="GO68" s="2582">
        <f>SUM(GP68:GP70)</f>
        <v>29</v>
      </c>
      <c r="GP68" s="114">
        <f>EP68-BR68</f>
        <v>8.5</v>
      </c>
      <c r="GQ68" s="2582">
        <f>SUM(GR68:GR70)</f>
        <v>166.45999999999998</v>
      </c>
      <c r="GR68" s="114">
        <f>EV68-BT68</f>
        <v>48.79</v>
      </c>
      <c r="GS68" s="2582">
        <f>SUM(GT68:GT70)</f>
        <v>-1</v>
      </c>
      <c r="GT68" s="114">
        <f>EX68-BV68</f>
        <v>1</v>
      </c>
      <c r="GU68" s="114">
        <f>FA68-BX68</f>
        <v>0</v>
      </c>
      <c r="GV68" s="114">
        <f>FI68-CD68</f>
        <v>0</v>
      </c>
      <c r="GW68" s="114">
        <v>0</v>
      </c>
      <c r="GX68" s="114">
        <f>FG68-CB68</f>
        <v>0</v>
      </c>
      <c r="GY68" s="114">
        <f>FK68-CF68</f>
        <v>0</v>
      </c>
      <c r="GZ68" s="114">
        <f>FM68-CH68</f>
        <v>0</v>
      </c>
      <c r="HA68" s="114">
        <f>FO68-CJ68</f>
        <v>0</v>
      </c>
      <c r="HB68" s="114">
        <f>FQ68-CL68</f>
        <v>0</v>
      </c>
      <c r="HC68" s="2616">
        <f>ES68-CM68</f>
        <v>-3.5</v>
      </c>
      <c r="HD68" s="95"/>
      <c r="HE68" s="95"/>
      <c r="HF68" s="95"/>
    </row>
    <row r="69" spans="1:217" s="95" customFormat="1" ht="15" customHeight="1">
      <c r="A69" s="2660"/>
      <c r="B69" s="131" t="s">
        <v>721</v>
      </c>
      <c r="C69" s="132">
        <v>2857</v>
      </c>
      <c r="D69" s="132">
        <v>21</v>
      </c>
      <c r="E69" s="133">
        <v>2028570021</v>
      </c>
      <c r="F69" s="134">
        <v>2750</v>
      </c>
      <c r="G69" s="135" t="s">
        <v>704</v>
      </c>
      <c r="H69" s="136"/>
      <c r="I69" s="132">
        <v>0</v>
      </c>
      <c r="J69" s="132">
        <v>0</v>
      </c>
      <c r="K69" s="132">
        <v>2</v>
      </c>
      <c r="L69" s="132">
        <v>6.5</v>
      </c>
      <c r="M69" s="134">
        <v>0</v>
      </c>
      <c r="N69" s="134">
        <v>0</v>
      </c>
      <c r="O69" s="134">
        <v>0</v>
      </c>
      <c r="P69" s="134">
        <v>0</v>
      </c>
      <c r="Q69" s="137">
        <v>0</v>
      </c>
      <c r="R69" s="95" t="s">
        <v>720</v>
      </c>
      <c r="S69" s="2661"/>
      <c r="T69" s="97">
        <v>0</v>
      </c>
      <c r="U69" s="2661"/>
      <c r="V69" s="102">
        <f>M69</f>
        <v>0</v>
      </c>
      <c r="W69" s="2661"/>
      <c r="X69" s="97">
        <f>V69-Z69</f>
        <v>0</v>
      </c>
      <c r="Y69" s="2661"/>
      <c r="Z69" s="97">
        <v>0</v>
      </c>
      <c r="AA69" s="2661"/>
      <c r="AB69" s="97">
        <v>0</v>
      </c>
      <c r="AC69" s="2661"/>
      <c r="AD69" s="103">
        <f>V69-(Z69+AB69+AF69+AL69+AN69+AP69+AZ69+AR69+AT69+AV69+AX69)</f>
        <v>0</v>
      </c>
      <c r="AE69" s="2658"/>
      <c r="AF69" s="103">
        <f>AG69+AI69</f>
        <v>0</v>
      </c>
      <c r="AG69" s="103">
        <v>0</v>
      </c>
      <c r="AH69" s="2658"/>
      <c r="AI69" s="103">
        <v>0</v>
      </c>
      <c r="AJ69" s="2658"/>
      <c r="AK69" s="2658"/>
      <c r="AL69" s="103">
        <v>0</v>
      </c>
      <c r="AM69" s="2658"/>
      <c r="AN69" s="103">
        <v>0</v>
      </c>
      <c r="AO69" s="2644"/>
      <c r="AP69" s="103">
        <v>0</v>
      </c>
      <c r="AQ69" s="2658"/>
      <c r="AR69" s="103">
        <v>0</v>
      </c>
      <c r="AS69" s="2658"/>
      <c r="AT69" s="103">
        <v>0</v>
      </c>
      <c r="AU69" s="2658"/>
      <c r="AV69" s="103">
        <v>0</v>
      </c>
      <c r="AW69" s="2658"/>
      <c r="AX69" s="103">
        <v>0</v>
      </c>
      <c r="AY69" s="2658"/>
      <c r="AZ69" s="103">
        <f t="shared" ref="AZ69:AZ131" si="18">BB69+BD69+BF69+BH69+BJ69+BL69</f>
        <v>0</v>
      </c>
      <c r="BA69" s="2644"/>
      <c r="BB69" s="191">
        <v>0</v>
      </c>
      <c r="BC69" s="2644"/>
      <c r="BD69" s="191">
        <v>0</v>
      </c>
      <c r="BE69" s="2644"/>
      <c r="BF69" s="191">
        <v>0</v>
      </c>
      <c r="BG69" s="2644"/>
      <c r="BH69" s="191">
        <v>0</v>
      </c>
      <c r="BI69" s="2644"/>
      <c r="BJ69" s="191">
        <v>0</v>
      </c>
      <c r="BK69" s="2644"/>
      <c r="BL69" s="191">
        <v>0</v>
      </c>
      <c r="BM69" s="2658"/>
      <c r="BN69" s="97">
        <f>ROUND(T69+V69,0)</f>
        <v>0</v>
      </c>
      <c r="BO69" s="2658"/>
      <c r="BP69" s="97">
        <f>ROUND(T69/EP$141,0)</f>
        <v>0</v>
      </c>
      <c r="BQ69" s="2658"/>
      <c r="BR69" s="97">
        <f>BR$142*BP69</f>
        <v>0</v>
      </c>
      <c r="BS69" s="2658"/>
      <c r="BT69" s="182">
        <f t="shared" si="16"/>
        <v>0</v>
      </c>
      <c r="BU69" s="2658"/>
      <c r="BV69" s="138">
        <f>ROUND((AD69+AB69+Z69)/1000*3,0)+ROUND((AF69+AX69)/1000,0)+ROUND((ROUND(AL69/400,0))/2.67,0)+ROUND(AN69/250,0)+ROUND(AR69/15000,0)+ROUND((BB69+BD69+BF69+BJ69)/1000*3,0)+ROUND(BP69/25,0)+ROUND(CN69/50,0)</f>
        <v>0</v>
      </c>
      <c r="BW69" s="2658"/>
      <c r="BX69" s="97">
        <v>0</v>
      </c>
      <c r="BY69" s="2658"/>
      <c r="BZ69" s="97">
        <v>0</v>
      </c>
      <c r="CA69" s="2658"/>
      <c r="CB69" s="97">
        <f>V69/1000</f>
        <v>0</v>
      </c>
      <c r="CC69" s="2658"/>
      <c r="CD69" s="97">
        <f>AB69/1000</f>
        <v>0</v>
      </c>
      <c r="CE69" s="2658"/>
      <c r="CF69" s="97">
        <f>((AL69/400)/12)</f>
        <v>0</v>
      </c>
      <c r="CG69" s="2658"/>
      <c r="CH69" s="105">
        <f>IFERROR(VLOOKUP(E69,#REF!,3,FALSE),0)</f>
        <v>0</v>
      </c>
      <c r="CI69" s="2658"/>
      <c r="CJ69" s="97" t="b">
        <f>IF(G69="M1-2",F69/1000)</f>
        <v>0</v>
      </c>
      <c r="CK69" s="2658"/>
      <c r="CL69" s="97">
        <f>IF(BJ69&gt;0,"Calculate",0)</f>
        <v>0</v>
      </c>
      <c r="CM69" s="2658"/>
      <c r="CN69" s="97">
        <f t="shared" ref="CN69:CN132" si="19">SUM(BX69,BZ69,CB69,CD69,CF69,CH69,CJ69,CL69)</f>
        <v>0</v>
      </c>
      <c r="CO69" s="97"/>
      <c r="CP69" s="106">
        <v>0</v>
      </c>
      <c r="CQ69" s="139" t="s">
        <v>741</v>
      </c>
      <c r="CR69" s="139">
        <v>7.2</v>
      </c>
      <c r="CS69" s="139">
        <v>0</v>
      </c>
      <c r="CT69" s="139">
        <v>6.5</v>
      </c>
      <c r="CU69" s="108"/>
      <c r="CV69" s="2662"/>
      <c r="CW69" s="97">
        <f>(CR69*(F69))-F69</f>
        <v>17050</v>
      </c>
      <c r="CX69" s="2661"/>
      <c r="CY69" s="2663"/>
      <c r="CZ69" s="97">
        <v>0</v>
      </c>
      <c r="DA69" s="2664"/>
      <c r="DB69" s="97">
        <f>CZ69-DD69</f>
        <v>0</v>
      </c>
      <c r="DC69" s="2661"/>
      <c r="DD69" s="97">
        <v>0</v>
      </c>
      <c r="DE69" s="2661"/>
      <c r="DF69" s="97">
        <v>0</v>
      </c>
      <c r="DG69" s="2661"/>
      <c r="DH69" s="97">
        <f>CZ69-(DD69+DF69+DJ69+DL69+DN69+DT69+DV69+DX69)</f>
        <v>0</v>
      </c>
      <c r="DI69" s="2661"/>
      <c r="DJ69" s="97">
        <v>0</v>
      </c>
      <c r="DK69" s="2661"/>
      <c r="DL69" s="97">
        <v>0</v>
      </c>
      <c r="DM69" s="2661"/>
      <c r="DN69" s="97">
        <v>0</v>
      </c>
      <c r="DO69" s="2661"/>
      <c r="DP69" s="97">
        <v>0</v>
      </c>
      <c r="DQ69" s="2661"/>
      <c r="DR69" s="97">
        <v>0</v>
      </c>
      <c r="DS69" s="2661"/>
      <c r="DT69" s="97">
        <v>0</v>
      </c>
      <c r="DU69" s="2661"/>
      <c r="DV69" s="97">
        <v>0</v>
      </c>
      <c r="DW69" s="2661"/>
      <c r="DX69" s="103">
        <f t="shared" si="2"/>
        <v>0</v>
      </c>
      <c r="DY69" s="2661"/>
      <c r="DZ69" s="103">
        <v>0</v>
      </c>
      <c r="EA69" s="2661"/>
      <c r="EB69" s="103">
        <v>0</v>
      </c>
      <c r="EC69" s="2661"/>
      <c r="ED69" s="103">
        <v>0</v>
      </c>
      <c r="EE69" s="2661"/>
      <c r="EF69" s="103">
        <v>0</v>
      </c>
      <c r="EG69" s="2661"/>
      <c r="EH69" s="103">
        <v>0</v>
      </c>
      <c r="EI69" s="2661"/>
      <c r="EJ69" s="103"/>
      <c r="EK69" s="2658"/>
      <c r="EL69" s="97">
        <f>CW69+CZ69</f>
        <v>17050</v>
      </c>
      <c r="EM69" s="2643"/>
      <c r="EN69" s="102">
        <f>ROUND(CW69/EP$141,0)</f>
        <v>17</v>
      </c>
      <c r="EO69" s="2643"/>
      <c r="EP69" s="102">
        <f t="shared" ref="EP69:EP70" si="20">0.5*EN69</f>
        <v>8.5</v>
      </c>
      <c r="EQ69" s="2643"/>
      <c r="ER69" s="102">
        <f t="shared" ref="ER69:ER70" si="21">EP69</f>
        <v>8.5</v>
      </c>
      <c r="ES69" s="2643"/>
      <c r="ET69" s="102">
        <f>FA69+FG69+FQ69</f>
        <v>0</v>
      </c>
      <c r="EU69" s="2661"/>
      <c r="EV69" s="102">
        <f>2.87*EN69</f>
        <v>48.79</v>
      </c>
      <c r="EW69" s="2661"/>
      <c r="EX69" s="186">
        <f>ROUND((DH69+DF69+DD69)/1000*3,0)+ROUND((ROUND(DL69/400,0))/2.67,0)+ROUND(DV69/1000,0)+ROUND((DZ69+EB69+ED69+EH69)/1000*3,0)+ROUND(EN69/25,0)+ROUND(ET69/50,0)</f>
        <v>1</v>
      </c>
      <c r="EY69" s="2661"/>
      <c r="EZ69" s="2642"/>
      <c r="FA69" s="2224">
        <v>0</v>
      </c>
      <c r="FB69" s="2661"/>
      <c r="FC69" s="2224">
        <v>0</v>
      </c>
      <c r="FD69" s="2661"/>
      <c r="FE69" s="2224">
        <v>0</v>
      </c>
      <c r="FF69" s="2661"/>
      <c r="FG69" s="102">
        <f>ROUND((DH69+DJ69+DD69+DN69+DT69)/1000,0)</f>
        <v>0</v>
      </c>
      <c r="FH69" s="2661"/>
      <c r="FI69" s="102">
        <f>DF69/1000</f>
        <v>0</v>
      </c>
      <c r="FJ69" s="2661"/>
      <c r="FK69" s="102">
        <f>((DL69/400)/12)</f>
        <v>0</v>
      </c>
      <c r="FL69" s="2661"/>
      <c r="FM69" s="102">
        <v>0</v>
      </c>
      <c r="FN69" s="2661"/>
      <c r="FO69" s="102">
        <v>0</v>
      </c>
      <c r="FP69" s="2643"/>
      <c r="FQ69" s="102">
        <f>DX69/1000</f>
        <v>0</v>
      </c>
      <c r="FR69" s="2661"/>
      <c r="FS69" s="2667"/>
      <c r="FT69" s="2668"/>
      <c r="FU69" s="2665"/>
      <c r="FV69" s="2666"/>
      <c r="FW69" s="2666"/>
      <c r="FX69" s="2665"/>
      <c r="FY69" s="2665"/>
      <c r="FZ69" s="2665"/>
      <c r="GA69" s="2665"/>
      <c r="GB69" s="2665"/>
      <c r="GC69" s="2665"/>
      <c r="GD69" s="2665"/>
      <c r="GE69" s="2665"/>
      <c r="GF69" s="2688"/>
      <c r="GG69" s="2665"/>
      <c r="GH69" s="2665"/>
      <c r="GI69" s="2665"/>
      <c r="GJ69" s="2665"/>
      <c r="GK69" s="2665"/>
      <c r="GL69" s="2666"/>
      <c r="GM69" s="2666"/>
      <c r="GN69" s="2666"/>
      <c r="GO69" s="2644"/>
      <c r="GP69" s="113">
        <f>EP69-BR69</f>
        <v>8.5</v>
      </c>
      <c r="GQ69" s="2644"/>
      <c r="GR69" s="113">
        <f>EV69-BT69</f>
        <v>48.79</v>
      </c>
      <c r="GS69" s="2644"/>
      <c r="GT69" s="113">
        <f>EX69-BV69</f>
        <v>1</v>
      </c>
      <c r="GU69" s="113">
        <f>FA69-BX69</f>
        <v>0</v>
      </c>
      <c r="GV69" s="113">
        <f>FI69-CD69</f>
        <v>0</v>
      </c>
      <c r="GW69" s="113">
        <v>0</v>
      </c>
      <c r="GX69" s="113">
        <f>FG69-CB69</f>
        <v>0</v>
      </c>
      <c r="GY69" s="113">
        <f>FK69-CF69</f>
        <v>0</v>
      </c>
      <c r="GZ69" s="113">
        <f>FM69-CH69</f>
        <v>0</v>
      </c>
      <c r="HA69" s="113">
        <f>FO69-CJ69</f>
        <v>0</v>
      </c>
      <c r="HB69" s="113">
        <f>FQ69-CL69</f>
        <v>0</v>
      </c>
      <c r="HC69" s="2669"/>
    </row>
    <row r="70" spans="1:217" s="72" customFormat="1" ht="15" customHeight="1">
      <c r="A70" s="2589"/>
      <c r="B70" s="130" t="s">
        <v>746</v>
      </c>
      <c r="C70" s="66">
        <v>2857</v>
      </c>
      <c r="D70" s="66">
        <v>43</v>
      </c>
      <c r="E70" s="67">
        <v>2028570043</v>
      </c>
      <c r="F70" s="68">
        <v>3929</v>
      </c>
      <c r="G70" s="69" t="s">
        <v>704</v>
      </c>
      <c r="H70" s="70"/>
      <c r="I70" s="66">
        <v>0.89</v>
      </c>
      <c r="J70" s="66">
        <v>0</v>
      </c>
      <c r="K70" s="66">
        <v>2</v>
      </c>
      <c r="L70" s="66">
        <v>6.5</v>
      </c>
      <c r="M70" s="68">
        <v>3500</v>
      </c>
      <c r="N70" s="68">
        <f>M70</f>
        <v>3500</v>
      </c>
      <c r="O70" s="68">
        <v>0</v>
      </c>
      <c r="P70" s="68">
        <v>3500</v>
      </c>
      <c r="Q70" s="71">
        <v>0</v>
      </c>
      <c r="R70" s="72" t="s">
        <v>725</v>
      </c>
      <c r="S70" s="2591"/>
      <c r="T70" s="73">
        <v>0</v>
      </c>
      <c r="U70" s="2591"/>
      <c r="V70" s="74">
        <f>M70</f>
        <v>3500</v>
      </c>
      <c r="W70" s="2591"/>
      <c r="X70" s="73">
        <f>V70-Z70</f>
        <v>3500</v>
      </c>
      <c r="Y70" s="2591"/>
      <c r="Z70" s="73">
        <v>0</v>
      </c>
      <c r="AA70" s="2591"/>
      <c r="AB70" s="73">
        <v>0</v>
      </c>
      <c r="AC70" s="2591"/>
      <c r="AD70" s="75">
        <f>V70-(Z70+AB70+AF70+AL70+AN70+AP70+AZ70+AR70+AT70+AV70+AX70)</f>
        <v>0</v>
      </c>
      <c r="AE70" s="2581"/>
      <c r="AF70" s="75">
        <f>AG70+AI70</f>
        <v>3500</v>
      </c>
      <c r="AG70" s="75">
        <v>0</v>
      </c>
      <c r="AH70" s="2581"/>
      <c r="AI70" s="75">
        <f>N70</f>
        <v>3500</v>
      </c>
      <c r="AJ70" s="2581"/>
      <c r="AK70" s="2581"/>
      <c r="AL70" s="75">
        <v>0</v>
      </c>
      <c r="AM70" s="2581"/>
      <c r="AN70" s="75">
        <v>0</v>
      </c>
      <c r="AO70" s="2583"/>
      <c r="AP70" s="75">
        <v>0</v>
      </c>
      <c r="AQ70" s="2581"/>
      <c r="AR70" s="75">
        <v>0</v>
      </c>
      <c r="AS70" s="2581"/>
      <c r="AT70" s="75">
        <v>0</v>
      </c>
      <c r="AU70" s="2581"/>
      <c r="AV70" s="75">
        <v>0</v>
      </c>
      <c r="AW70" s="2581"/>
      <c r="AX70" s="75">
        <v>0</v>
      </c>
      <c r="AY70" s="2581"/>
      <c r="AZ70" s="75">
        <f t="shared" si="18"/>
        <v>0</v>
      </c>
      <c r="BA70" s="2583"/>
      <c r="BB70" s="73">
        <v>0</v>
      </c>
      <c r="BC70" s="2583"/>
      <c r="BD70" s="73">
        <v>0</v>
      </c>
      <c r="BE70" s="2583"/>
      <c r="BF70" s="73">
        <v>0</v>
      </c>
      <c r="BG70" s="2583"/>
      <c r="BH70" s="73">
        <v>0</v>
      </c>
      <c r="BI70" s="2583"/>
      <c r="BJ70" s="73">
        <v>0</v>
      </c>
      <c r="BK70" s="2583"/>
      <c r="BL70" s="73">
        <v>0</v>
      </c>
      <c r="BM70" s="2581"/>
      <c r="BN70" s="73">
        <f>ROUND(T70+V70,0)</f>
        <v>3500</v>
      </c>
      <c r="BO70" s="2581"/>
      <c r="BP70" s="73">
        <f>ROUND(T70/EP$141,0)</f>
        <v>0</v>
      </c>
      <c r="BQ70" s="2581"/>
      <c r="BR70" s="73">
        <f>BR$142*BP70</f>
        <v>0</v>
      </c>
      <c r="BS70" s="2581"/>
      <c r="BT70" s="77">
        <f t="shared" si="16"/>
        <v>0</v>
      </c>
      <c r="BU70" s="2581"/>
      <c r="BV70" s="78">
        <f>ROUND((AD70+AB70+Z70)/1000*3,0)+ROUND((AF70+AX70)/1000,0)+ROUND((ROUND(AL70/400,0))/2.67,0)+ROUND(AN70/250,0)+ROUND(AR70/15000,0)+ROUND((BB70+BD70+BF70+BJ70)/1000*3,0)+ROUND(BP70/25,0)+ROUND(CN70/50,0)</f>
        <v>4</v>
      </c>
      <c r="BW70" s="2581"/>
      <c r="BX70" s="73">
        <v>0</v>
      </c>
      <c r="BY70" s="2581"/>
      <c r="BZ70" s="73">
        <v>0</v>
      </c>
      <c r="CA70" s="2581"/>
      <c r="CB70" s="73">
        <f>V70/1000</f>
        <v>3.5</v>
      </c>
      <c r="CC70" s="2581"/>
      <c r="CD70" s="73">
        <f>AB70/1000</f>
        <v>0</v>
      </c>
      <c r="CE70" s="2581"/>
      <c r="CF70" s="73">
        <f>((AL70/400)/12)</f>
        <v>0</v>
      </c>
      <c r="CG70" s="2581"/>
      <c r="CH70" s="79">
        <v>0</v>
      </c>
      <c r="CI70" s="2581"/>
      <c r="CJ70" s="73" t="b">
        <f>IF(G70="M1-2",F70/1000)</f>
        <v>0</v>
      </c>
      <c r="CK70" s="2581"/>
      <c r="CL70" s="73">
        <f>IF(BJ70&gt;0,"Calculate",0)</f>
        <v>0</v>
      </c>
      <c r="CM70" s="2581"/>
      <c r="CN70" s="73">
        <f t="shared" si="19"/>
        <v>3.5</v>
      </c>
      <c r="CO70" s="73"/>
      <c r="CP70" s="2266">
        <v>10</v>
      </c>
      <c r="CQ70" s="81" t="s">
        <v>741</v>
      </c>
      <c r="CR70" s="81">
        <v>7.2</v>
      </c>
      <c r="CS70" s="81">
        <v>0</v>
      </c>
      <c r="CT70" s="81">
        <v>6.5</v>
      </c>
      <c r="CU70" s="82"/>
      <c r="CV70" s="2597"/>
      <c r="CW70" s="97">
        <f>(CR70*(F70))-F70</f>
        <v>24359.8</v>
      </c>
      <c r="CX70" s="2591"/>
      <c r="CY70" s="2599"/>
      <c r="CZ70" s="73">
        <v>0</v>
      </c>
      <c r="DA70" s="2593"/>
      <c r="DB70" s="73">
        <f>CZ70-DD70</f>
        <v>0</v>
      </c>
      <c r="DC70" s="2591"/>
      <c r="DD70" s="73">
        <v>0</v>
      </c>
      <c r="DE70" s="2591"/>
      <c r="DF70" s="73">
        <v>0</v>
      </c>
      <c r="DG70" s="2591"/>
      <c r="DH70" s="73">
        <f>CZ70-(DD70+DF70+DJ70+DL70+DN70+DT70+DV70+DX70)</f>
        <v>0</v>
      </c>
      <c r="DI70" s="2591"/>
      <c r="DJ70" s="73">
        <v>0</v>
      </c>
      <c r="DK70" s="2591"/>
      <c r="DL70" s="73">
        <v>0</v>
      </c>
      <c r="DM70" s="2591"/>
      <c r="DN70" s="73">
        <v>0</v>
      </c>
      <c r="DO70" s="2591"/>
      <c r="DP70" s="73">
        <v>0</v>
      </c>
      <c r="DQ70" s="2591"/>
      <c r="DR70" s="73">
        <v>0</v>
      </c>
      <c r="DS70" s="2591"/>
      <c r="DT70" s="73">
        <v>0</v>
      </c>
      <c r="DU70" s="2591"/>
      <c r="DV70" s="73">
        <v>0</v>
      </c>
      <c r="DW70" s="2591"/>
      <c r="DX70" s="75">
        <f t="shared" ref="DX70:DX131" si="22">SUM(DZ70,EB70,ED70,EF70,EH70,EJ70)</f>
        <v>0</v>
      </c>
      <c r="DY70" s="2591"/>
      <c r="DZ70" s="75">
        <v>0</v>
      </c>
      <c r="EA70" s="2591"/>
      <c r="EB70" s="75">
        <v>0</v>
      </c>
      <c r="EC70" s="2591"/>
      <c r="ED70" s="75">
        <v>0</v>
      </c>
      <c r="EE70" s="2591"/>
      <c r="EF70" s="75">
        <v>0</v>
      </c>
      <c r="EG70" s="2591"/>
      <c r="EH70" s="75">
        <v>0</v>
      </c>
      <c r="EI70" s="2591"/>
      <c r="EJ70" s="75"/>
      <c r="EK70" s="2581"/>
      <c r="EL70" s="73">
        <f>CW70+CZ70</f>
        <v>24359.8</v>
      </c>
      <c r="EM70" s="2601"/>
      <c r="EN70" s="74">
        <f>ROUND(CW70/EP$141,0)</f>
        <v>24</v>
      </c>
      <c r="EO70" s="2601"/>
      <c r="EP70" s="74">
        <f t="shared" si="20"/>
        <v>12</v>
      </c>
      <c r="EQ70" s="2601"/>
      <c r="ER70" s="74">
        <f t="shared" si="21"/>
        <v>12</v>
      </c>
      <c r="ES70" s="2601"/>
      <c r="ET70" s="74">
        <f>FA70+FG70+FQ70</f>
        <v>0</v>
      </c>
      <c r="EU70" s="2591"/>
      <c r="EV70" s="74">
        <f>2.87*EN70</f>
        <v>68.88</v>
      </c>
      <c r="EW70" s="2591"/>
      <c r="EX70" s="88">
        <f>ROUND((DH70+DF70+DD70)/1000*3,0)+ROUND((ROUND(DL70/400,0))/2.67,0)+ROUND(DV70/1000,0)+ROUND((DZ70+EB70+ED70+EH70)/1000*3,0)+ROUND(EN70/25,0)+ROUND(ET70/50,0)</f>
        <v>1</v>
      </c>
      <c r="EY70" s="2591"/>
      <c r="EZ70" s="2611"/>
      <c r="FA70" s="2225">
        <v>0</v>
      </c>
      <c r="FB70" s="2591"/>
      <c r="FC70" s="2225">
        <v>0</v>
      </c>
      <c r="FD70" s="2591"/>
      <c r="FE70" s="2225">
        <v>0</v>
      </c>
      <c r="FF70" s="2591"/>
      <c r="FG70" s="74">
        <f>ROUND((DH70+DJ70+DD70+DN70+DT70)/1000,0)</f>
        <v>0</v>
      </c>
      <c r="FH70" s="2591"/>
      <c r="FI70" s="74">
        <f>DF70/1000</f>
        <v>0</v>
      </c>
      <c r="FJ70" s="2591"/>
      <c r="FK70" s="74">
        <f>((DL70/400)/12)</f>
        <v>0</v>
      </c>
      <c r="FL70" s="2591"/>
      <c r="FM70" s="74">
        <v>0</v>
      </c>
      <c r="FN70" s="2591"/>
      <c r="FO70" s="74">
        <v>0</v>
      </c>
      <c r="FP70" s="2601"/>
      <c r="FQ70" s="74">
        <f>DX70/1000</f>
        <v>0</v>
      </c>
      <c r="FR70" s="2591"/>
      <c r="FS70" s="2605"/>
      <c r="FT70" s="2607"/>
      <c r="FU70" s="2603"/>
      <c r="FV70" s="2609"/>
      <c r="FW70" s="2609"/>
      <c r="FX70" s="2603"/>
      <c r="FY70" s="2603"/>
      <c r="FZ70" s="2603"/>
      <c r="GA70" s="2603"/>
      <c r="GB70" s="2603"/>
      <c r="GC70" s="2603"/>
      <c r="GD70" s="2603"/>
      <c r="GE70" s="2603"/>
      <c r="GF70" s="2689"/>
      <c r="GG70" s="2603"/>
      <c r="GH70" s="2603"/>
      <c r="GI70" s="2603"/>
      <c r="GJ70" s="2603"/>
      <c r="GK70" s="2603"/>
      <c r="GL70" s="2609"/>
      <c r="GM70" s="2609"/>
      <c r="GN70" s="2609"/>
      <c r="GO70" s="2583"/>
      <c r="GP70" s="89">
        <f>EP70-BR70</f>
        <v>12</v>
      </c>
      <c r="GQ70" s="2583"/>
      <c r="GR70" s="89">
        <f>EV70-BT70</f>
        <v>68.88</v>
      </c>
      <c r="GS70" s="2583"/>
      <c r="GT70" s="89">
        <f>EX70-BV70</f>
        <v>-3</v>
      </c>
      <c r="GU70" s="89">
        <f>FA70-BX70</f>
        <v>0</v>
      </c>
      <c r="GV70" s="89">
        <f>FI70-CD70</f>
        <v>0</v>
      </c>
      <c r="GW70" s="89">
        <v>0</v>
      </c>
      <c r="GX70" s="89">
        <f>FG70-CB70</f>
        <v>-3.5</v>
      </c>
      <c r="GY70" s="89">
        <f>FK70-CF70</f>
        <v>0</v>
      </c>
      <c r="GZ70" s="113">
        <f>FM70-CH70</f>
        <v>0</v>
      </c>
      <c r="HA70" s="89">
        <f>FO70-CJ70</f>
        <v>0</v>
      </c>
      <c r="HB70" s="89">
        <f>FQ70-CL70</f>
        <v>0</v>
      </c>
      <c r="HC70" s="2617"/>
      <c r="HD70" s="95"/>
      <c r="HE70" s="95"/>
      <c r="HF70" s="95"/>
      <c r="HG70" s="95"/>
    </row>
    <row r="71" spans="1:217" s="95" customFormat="1" ht="18.75">
      <c r="A71" s="2263"/>
      <c r="B71" s="131"/>
      <c r="C71" s="132"/>
      <c r="D71" s="132"/>
      <c r="E71" s="133"/>
      <c r="F71" s="134"/>
      <c r="G71" s="135"/>
      <c r="H71" s="136"/>
      <c r="I71" s="132"/>
      <c r="J71" s="132"/>
      <c r="K71" s="132"/>
      <c r="L71" s="132"/>
      <c r="M71" s="134"/>
      <c r="N71" s="134"/>
      <c r="O71" s="134"/>
      <c r="P71" s="134"/>
      <c r="Q71" s="137"/>
      <c r="S71" s="101"/>
      <c r="T71" s="97"/>
      <c r="U71" s="2244"/>
      <c r="V71" s="102"/>
      <c r="W71" s="2244"/>
      <c r="X71" s="97"/>
      <c r="Y71" s="2244"/>
      <c r="Z71" s="97"/>
      <c r="AA71" s="2244"/>
      <c r="AB71" s="97"/>
      <c r="AC71" s="2244"/>
      <c r="AD71" s="103"/>
      <c r="AE71" s="2251"/>
      <c r="AF71" s="103"/>
      <c r="AG71" s="103"/>
      <c r="AH71" s="103"/>
      <c r="AI71" s="103"/>
      <c r="AJ71" s="103"/>
      <c r="AK71" s="2251"/>
      <c r="AL71" s="103"/>
      <c r="AM71" s="2251"/>
      <c r="AN71" s="103"/>
      <c r="AO71" s="2224"/>
      <c r="AP71" s="103"/>
      <c r="AQ71" s="2251"/>
      <c r="AR71" s="103"/>
      <c r="AS71" s="2251"/>
      <c r="AT71" s="103"/>
      <c r="AU71" s="2251"/>
      <c r="AV71" s="103"/>
      <c r="AW71" s="2251"/>
      <c r="AX71" s="103"/>
      <c r="AY71" s="2251"/>
      <c r="AZ71" s="75">
        <f t="shared" si="18"/>
        <v>0</v>
      </c>
      <c r="BA71" s="2224"/>
      <c r="BB71" s="97"/>
      <c r="BC71" s="2224"/>
      <c r="BD71" s="97"/>
      <c r="BE71" s="2224"/>
      <c r="BF71" s="97"/>
      <c r="BG71" s="2224"/>
      <c r="BH71" s="97"/>
      <c r="BI71" s="2224"/>
      <c r="BJ71" s="97"/>
      <c r="BK71" s="2224"/>
      <c r="BL71" s="97"/>
      <c r="BM71" s="2251"/>
      <c r="BN71" s="97"/>
      <c r="BO71" s="2251"/>
      <c r="BP71" s="97"/>
      <c r="BQ71" s="2251"/>
      <c r="BR71" s="97"/>
      <c r="BS71" s="2251"/>
      <c r="BT71" s="124"/>
      <c r="BU71" s="2251"/>
      <c r="BV71" s="138"/>
      <c r="BW71" s="2251"/>
      <c r="BX71" s="97"/>
      <c r="BY71" s="2251"/>
      <c r="BZ71" s="97"/>
      <c r="CA71" s="2251"/>
      <c r="CB71" s="97"/>
      <c r="CC71" s="2251"/>
      <c r="CD71" s="97"/>
      <c r="CE71" s="2251"/>
      <c r="CF71" s="97"/>
      <c r="CG71" s="2251"/>
      <c r="CH71" s="105"/>
      <c r="CI71" s="2251"/>
      <c r="CJ71" s="97"/>
      <c r="CK71" s="2251"/>
      <c r="CL71" s="97"/>
      <c r="CM71" s="2251"/>
      <c r="CN71" s="73">
        <f t="shared" si="19"/>
        <v>0</v>
      </c>
      <c r="CO71" s="97"/>
      <c r="CP71" s="106"/>
      <c r="CQ71" s="139"/>
      <c r="CR71" s="139"/>
      <c r="CS71" s="139"/>
      <c r="CT71" s="139"/>
      <c r="CU71" s="108"/>
      <c r="CV71" s="2258"/>
      <c r="CW71" s="83"/>
      <c r="CX71" s="2244"/>
      <c r="CY71" s="2261"/>
      <c r="CZ71" s="97"/>
      <c r="DA71" s="2253"/>
      <c r="DB71" s="97"/>
      <c r="DC71" s="2244"/>
      <c r="DD71" s="97"/>
      <c r="DE71" s="2244"/>
      <c r="DF71" s="97"/>
      <c r="DG71" s="2244"/>
      <c r="DH71" s="97"/>
      <c r="DI71" s="2244"/>
      <c r="DJ71" s="97"/>
      <c r="DK71" s="2244"/>
      <c r="DL71" s="97"/>
      <c r="DM71" s="2244"/>
      <c r="DN71" s="97"/>
      <c r="DO71" s="2244"/>
      <c r="DP71" s="97"/>
      <c r="DQ71" s="2244"/>
      <c r="DR71" s="97"/>
      <c r="DS71" s="2244"/>
      <c r="DT71" s="97"/>
      <c r="DU71" s="2244"/>
      <c r="DV71" s="97"/>
      <c r="DW71" s="2244"/>
      <c r="DX71" s="75"/>
      <c r="DY71" s="2244"/>
      <c r="DZ71" s="103"/>
      <c r="EA71" s="2244"/>
      <c r="EB71" s="103"/>
      <c r="EC71" s="2244"/>
      <c r="ED71" s="103"/>
      <c r="EE71" s="2244"/>
      <c r="EF71" s="103"/>
      <c r="EG71" s="2244"/>
      <c r="EH71" s="103"/>
      <c r="EI71" s="2244"/>
      <c r="EJ71" s="103"/>
      <c r="EK71" s="2251"/>
      <c r="EL71" s="97"/>
      <c r="EM71" s="2246"/>
      <c r="EN71" s="102"/>
      <c r="EO71" s="2246"/>
      <c r="EP71" s="102"/>
      <c r="EQ71" s="110"/>
      <c r="ER71" s="102"/>
      <c r="ES71" s="110"/>
      <c r="ET71" s="74"/>
      <c r="EU71" s="2244"/>
      <c r="EV71" s="122"/>
      <c r="EW71" s="2244"/>
      <c r="EX71" s="88"/>
      <c r="EY71" s="2244"/>
      <c r="EZ71" s="2248"/>
      <c r="FA71" s="2224"/>
      <c r="FB71" s="2244"/>
      <c r="FC71" s="2224"/>
      <c r="FD71" s="2244"/>
      <c r="FE71" s="2224"/>
      <c r="FF71" s="2244"/>
      <c r="FG71" s="102"/>
      <c r="FH71" s="2244"/>
      <c r="FI71" s="102"/>
      <c r="FJ71" s="2244"/>
      <c r="FK71" s="102"/>
      <c r="FL71" s="2244"/>
      <c r="FM71" s="102"/>
      <c r="FN71" s="2244"/>
      <c r="FO71" s="102"/>
      <c r="FP71" s="110"/>
      <c r="FQ71" s="102"/>
      <c r="FR71" s="2244"/>
      <c r="FS71" s="2244"/>
      <c r="FT71" s="2240"/>
      <c r="FU71" s="2233"/>
      <c r="FV71" s="2235"/>
      <c r="FW71" s="2235"/>
      <c r="FX71" s="2233"/>
      <c r="FY71" s="2233"/>
      <c r="FZ71" s="2233"/>
      <c r="GA71" s="2232"/>
      <c r="GB71" s="2233"/>
      <c r="GC71" s="2233"/>
      <c r="GD71" s="2233"/>
      <c r="GE71" s="2232"/>
      <c r="GF71" s="2233"/>
      <c r="GG71" s="2232"/>
      <c r="GH71" s="2232"/>
      <c r="GI71" s="2232"/>
      <c r="GJ71" s="2232"/>
      <c r="GK71" s="2232"/>
      <c r="GL71" s="2235"/>
      <c r="GM71" s="2235"/>
      <c r="GN71" s="2235"/>
      <c r="GO71" s="2224"/>
      <c r="GP71" s="112"/>
      <c r="GQ71" s="2224"/>
      <c r="GR71" s="112"/>
      <c r="GS71" s="2224"/>
      <c r="GT71" s="113"/>
      <c r="GU71" s="114"/>
      <c r="GV71" s="113"/>
      <c r="GW71" s="113"/>
      <c r="GX71" s="113"/>
      <c r="GY71" s="113"/>
      <c r="GZ71" s="112"/>
      <c r="HA71" s="113"/>
      <c r="HB71" s="113"/>
      <c r="HC71" s="2230"/>
    </row>
    <row r="72" spans="1:217" s="90" customFormat="1" ht="15" customHeight="1">
      <c r="A72" s="2588">
        <v>25</v>
      </c>
      <c r="B72" s="3687" t="s">
        <v>703</v>
      </c>
      <c r="C72" s="115">
        <v>2858</v>
      </c>
      <c r="D72" s="115">
        <v>15</v>
      </c>
      <c r="E72" s="116">
        <v>2028580015</v>
      </c>
      <c r="F72" s="117">
        <v>10000</v>
      </c>
      <c r="G72" s="118" t="s">
        <v>704</v>
      </c>
      <c r="H72" s="119"/>
      <c r="I72" s="115">
        <v>1</v>
      </c>
      <c r="J72" s="115">
        <v>0</v>
      </c>
      <c r="K72" s="115">
        <v>2</v>
      </c>
      <c r="L72" s="115">
        <v>6.5</v>
      </c>
      <c r="M72" s="117">
        <v>10000</v>
      </c>
      <c r="N72" s="117">
        <v>10000</v>
      </c>
      <c r="O72" s="117">
        <v>0</v>
      </c>
      <c r="P72" s="117">
        <v>10000</v>
      </c>
      <c r="Q72" s="120">
        <v>0</v>
      </c>
      <c r="R72" s="90" t="s">
        <v>711</v>
      </c>
      <c r="S72" s="2590">
        <f>SUM(T72:T73)</f>
        <v>0</v>
      </c>
      <c r="T72" s="121">
        <v>0</v>
      </c>
      <c r="U72" s="2590">
        <f>SUM(V72:V73)</f>
        <v>20000</v>
      </c>
      <c r="V72" s="122">
        <f>M72</f>
        <v>10000</v>
      </c>
      <c r="W72" s="2590">
        <f>SUM(X72:X73)</f>
        <v>20000</v>
      </c>
      <c r="X72" s="121">
        <f>V72-Z72</f>
        <v>10000</v>
      </c>
      <c r="Y72" s="2590">
        <f>SUM(Z72:Z73)</f>
        <v>0</v>
      </c>
      <c r="Z72" s="121">
        <v>0</v>
      </c>
      <c r="AA72" s="2590">
        <f>SUM(AB72:AB73)</f>
        <v>0</v>
      </c>
      <c r="AB72" s="121">
        <v>0</v>
      </c>
      <c r="AC72" s="2590">
        <f>SUM(AD72:AD73)</f>
        <v>0</v>
      </c>
      <c r="AD72" s="123">
        <f>V72-(Z72+AB72+AF72+AL72+AN72+AP72+AZ72+AR72+AT72+AV72+AX72)</f>
        <v>0</v>
      </c>
      <c r="AE72" s="2580">
        <f>SUM(AF72:AF73)</f>
        <v>20000</v>
      </c>
      <c r="AF72" s="123">
        <f>AG72+AI72</f>
        <v>10000</v>
      </c>
      <c r="AG72" s="123">
        <v>0</v>
      </c>
      <c r="AH72" s="2580">
        <f>SUM(AG72:AG73)</f>
        <v>0</v>
      </c>
      <c r="AI72" s="123">
        <f>N72</f>
        <v>10000</v>
      </c>
      <c r="AJ72" s="2580">
        <f>SUM(AI72:AI73)</f>
        <v>20000</v>
      </c>
      <c r="AK72" s="2580">
        <f>SUM(AL72:AL73)</f>
        <v>0</v>
      </c>
      <c r="AL72" s="123">
        <v>0</v>
      </c>
      <c r="AM72" s="2580">
        <f>SUM(AN72:AN73)</f>
        <v>0</v>
      </c>
      <c r="AN72" s="123">
        <v>0</v>
      </c>
      <c r="AO72" s="2582">
        <f>SUM(AP72:AP73)</f>
        <v>0</v>
      </c>
      <c r="AP72" s="123">
        <v>0</v>
      </c>
      <c r="AQ72" s="2580">
        <f>SUM(AR72:AR73)</f>
        <v>0</v>
      </c>
      <c r="AR72" s="123">
        <v>0</v>
      </c>
      <c r="AS72" s="2580">
        <f>SUM(AT72:AT73)</f>
        <v>0</v>
      </c>
      <c r="AT72" s="123">
        <v>0</v>
      </c>
      <c r="AU72" s="2580">
        <f>SUM(AV72:AV73)</f>
        <v>0</v>
      </c>
      <c r="AV72" s="123">
        <v>0</v>
      </c>
      <c r="AW72" s="2580">
        <f>SUM(AX72:AX73)</f>
        <v>0</v>
      </c>
      <c r="AX72" s="123">
        <v>0</v>
      </c>
      <c r="AY72" s="2580">
        <f>SUM(AZ72:AZ73)</f>
        <v>0</v>
      </c>
      <c r="AZ72" s="103">
        <f t="shared" si="18"/>
        <v>0</v>
      </c>
      <c r="BA72" s="2582">
        <f>SUM(BB72:BB73)</f>
        <v>0</v>
      </c>
      <c r="BB72" s="121">
        <v>0</v>
      </c>
      <c r="BC72" s="2582">
        <f>SUM(BD72:BD73)</f>
        <v>0</v>
      </c>
      <c r="BD72" s="121">
        <v>0</v>
      </c>
      <c r="BE72" s="2582">
        <f>SUM(BF72:BF73)</f>
        <v>0</v>
      </c>
      <c r="BF72" s="121">
        <v>0</v>
      </c>
      <c r="BG72" s="2582">
        <f>SUM(BH72:BH73)</f>
        <v>0</v>
      </c>
      <c r="BH72" s="121">
        <v>0</v>
      </c>
      <c r="BI72" s="2582">
        <f>SUM(BJ72:BJ73)</f>
        <v>0</v>
      </c>
      <c r="BJ72" s="121">
        <v>0</v>
      </c>
      <c r="BK72" s="2582">
        <f>SUM(BL72:BL73)</f>
        <v>0</v>
      </c>
      <c r="BL72" s="121">
        <v>0</v>
      </c>
      <c r="BM72" s="2580">
        <f>SUM(BN72:BN73)</f>
        <v>20000</v>
      </c>
      <c r="BN72" s="121">
        <f>ROUND(T72+V72,0)</f>
        <v>10000</v>
      </c>
      <c r="BO72" s="2580">
        <f>SUM(BP72:BP73)</f>
        <v>0</v>
      </c>
      <c r="BP72" s="121">
        <f>ROUND(T72/EP$141,0)</f>
        <v>0</v>
      </c>
      <c r="BQ72" s="2580">
        <f>SUM(BR72:BR73)</f>
        <v>0</v>
      </c>
      <c r="BR72" s="121">
        <f>BR$142*BP72</f>
        <v>0</v>
      </c>
      <c r="BS72" s="2580">
        <f>SUM(BT72:BT73)</f>
        <v>0</v>
      </c>
      <c r="BT72" s="124">
        <f t="shared" si="16"/>
        <v>0</v>
      </c>
      <c r="BU72" s="2580">
        <f>SUM(BV72:BV73)</f>
        <v>20</v>
      </c>
      <c r="BV72" s="125">
        <f>ROUND((AD72+AB72+Z72)/1000*3,0)+ROUND((AF72+AX72)/1000,0)+ROUND((ROUND(AL72/400,0))/2.67,0)+ROUND(AN72/250,0)+ROUND(AR72/15000,0)+ROUND((BB72+BD72+BF72+BJ72)/1000*3,0)+ROUND(BP72/25,0)+ROUND(CN72/50,0)</f>
        <v>10</v>
      </c>
      <c r="BW72" s="2580">
        <f>SUM(BX72:BX73)</f>
        <v>0</v>
      </c>
      <c r="BX72" s="121">
        <v>0</v>
      </c>
      <c r="BY72" s="2580">
        <f>SUM(BZ72:BZ73)</f>
        <v>0</v>
      </c>
      <c r="BZ72" s="121">
        <v>0</v>
      </c>
      <c r="CA72" s="2580">
        <f>SUM(CB72:CB73)</f>
        <v>20</v>
      </c>
      <c r="CB72" s="121">
        <f>V72/1000</f>
        <v>10</v>
      </c>
      <c r="CC72" s="2580">
        <f>SUM(CD72:CD73)</f>
        <v>0</v>
      </c>
      <c r="CD72" s="121">
        <f>AB72/1000</f>
        <v>0</v>
      </c>
      <c r="CE72" s="2580">
        <f>SUM(CF72:CF73)</f>
        <v>0</v>
      </c>
      <c r="CF72" s="121">
        <f>((AL72/400)/12)</f>
        <v>0</v>
      </c>
      <c r="CG72" s="2580">
        <f>SUM(CH72:CH73)</f>
        <v>0</v>
      </c>
      <c r="CH72" s="126">
        <f>IFERROR(VLOOKUP(E72,#REF!,3,FALSE),0)</f>
        <v>0</v>
      </c>
      <c r="CI72" s="2580">
        <f>SUM(CJ72:CJ73)</f>
        <v>0</v>
      </c>
      <c r="CJ72" s="121" t="b">
        <f>IF(G72="M1-2",F72/1000)</f>
        <v>0</v>
      </c>
      <c r="CK72" s="2580">
        <f>SUM(CL72:CL73)</f>
        <v>0</v>
      </c>
      <c r="CL72" s="121">
        <f>IF(BJ72&gt;0,"Calculate",0)</f>
        <v>0</v>
      </c>
      <c r="CM72" s="2580">
        <f>SUM(CN72:CN73)</f>
        <v>20</v>
      </c>
      <c r="CN72" s="97">
        <f t="shared" si="19"/>
        <v>10</v>
      </c>
      <c r="CO72" s="121"/>
      <c r="CP72" s="2594">
        <v>10</v>
      </c>
      <c r="CQ72" s="127" t="s">
        <v>741</v>
      </c>
      <c r="CR72" s="127">
        <v>7.2</v>
      </c>
      <c r="CS72" s="127">
        <v>2</v>
      </c>
      <c r="CT72" s="127">
        <v>6.5</v>
      </c>
      <c r="CU72" s="128" t="s">
        <v>706</v>
      </c>
      <c r="CV72" s="2596" t="s">
        <v>748</v>
      </c>
      <c r="CW72" s="121">
        <f>(CR72*F72)-CZ72</f>
        <v>63500</v>
      </c>
      <c r="CX72" s="2590">
        <f>SUM(CW72:CW73)</f>
        <v>127000</v>
      </c>
      <c r="CY72" s="2598">
        <f>SUM(CZ72:CZ73)</f>
        <v>17000</v>
      </c>
      <c r="CZ72" s="121">
        <f>1*(F72)-(0.15*1*(F72))</f>
        <v>8500</v>
      </c>
      <c r="DA72" s="2592">
        <f>SUM(DB72:DB73)</f>
        <v>17000</v>
      </c>
      <c r="DB72" s="121">
        <f>CZ72-DD72</f>
        <v>8500</v>
      </c>
      <c r="DC72" s="2590">
        <f>SUM(DD72:DD73)</f>
        <v>0</v>
      </c>
      <c r="DD72" s="121">
        <v>0</v>
      </c>
      <c r="DE72" s="2590">
        <f>SUM(DF72:DF73)</f>
        <v>17000</v>
      </c>
      <c r="DF72" s="121">
        <f>DB72</f>
        <v>8500</v>
      </c>
      <c r="DG72" s="2590">
        <f>SUM(DH72:DH73)</f>
        <v>0</v>
      </c>
      <c r="DH72" s="121">
        <f>CZ72-(DD72+DF72+DJ72+DL72+DN72+DT72+DV72+DX72)</f>
        <v>0</v>
      </c>
      <c r="DI72" s="2590">
        <f>SUM(DJ72:DJ73)</f>
        <v>0</v>
      </c>
      <c r="DJ72" s="121">
        <v>0</v>
      </c>
      <c r="DK72" s="2590">
        <f>SUM(DL72:DL73)</f>
        <v>0</v>
      </c>
      <c r="DL72" s="121">
        <v>0</v>
      </c>
      <c r="DM72" s="2590">
        <f>SUM(DN72:DN73)</f>
        <v>0</v>
      </c>
      <c r="DN72" s="121">
        <v>0</v>
      </c>
      <c r="DO72" s="2590">
        <f>SUM(DP72:DP73)</f>
        <v>0</v>
      </c>
      <c r="DP72" s="121">
        <v>0</v>
      </c>
      <c r="DQ72" s="2590">
        <f>SUM(DR72:DR73)</f>
        <v>0</v>
      </c>
      <c r="DR72" s="121">
        <v>0</v>
      </c>
      <c r="DS72" s="2590">
        <f>SUM(DT72:DT73)</f>
        <v>0</v>
      </c>
      <c r="DT72" s="121">
        <v>0</v>
      </c>
      <c r="DU72" s="2590">
        <f>SUM(DV72:DV73)</f>
        <v>0</v>
      </c>
      <c r="DV72" s="121">
        <v>0</v>
      </c>
      <c r="DW72" s="2590">
        <f>SUM(DX72:DX73)</f>
        <v>0</v>
      </c>
      <c r="DX72" s="103">
        <f t="shared" si="22"/>
        <v>0</v>
      </c>
      <c r="DY72" s="2590">
        <f>SUM(DZ72:DZ73)</f>
        <v>0</v>
      </c>
      <c r="DZ72" s="123">
        <v>0</v>
      </c>
      <c r="EA72" s="2590">
        <f>SUM(EB72:EB73)</f>
        <v>0</v>
      </c>
      <c r="EB72" s="123">
        <v>0</v>
      </c>
      <c r="EC72" s="2590">
        <f>SUM(ED72:ED73)</f>
        <v>0</v>
      </c>
      <c r="ED72" s="123">
        <v>0</v>
      </c>
      <c r="EE72" s="2590">
        <f>SUM(EF72:EF73)</f>
        <v>0</v>
      </c>
      <c r="EF72" s="123">
        <v>0</v>
      </c>
      <c r="EG72" s="2590">
        <f>SUM(EH72:EH73)</f>
        <v>0</v>
      </c>
      <c r="EH72" s="123">
        <v>0</v>
      </c>
      <c r="EI72" s="2590">
        <f>SUM(EJ72:EJ73)</f>
        <v>0</v>
      </c>
      <c r="EJ72" s="123"/>
      <c r="EK72" s="2580">
        <f>SUM(EL72:EL73)</f>
        <v>144000</v>
      </c>
      <c r="EL72" s="121">
        <f>CW72+CZ72</f>
        <v>72000</v>
      </c>
      <c r="EM72" s="2600">
        <f>SUM(EN72:EN73)</f>
        <v>128</v>
      </c>
      <c r="EN72" s="122">
        <f>ROUND(CW72/EP$141,0)</f>
        <v>64</v>
      </c>
      <c r="EO72" s="2600">
        <f>SUM(EP72:EP73)</f>
        <v>128</v>
      </c>
      <c r="EP72" s="122">
        <f>EN72</f>
        <v>64</v>
      </c>
      <c r="EQ72" s="2600">
        <f>SUM(ER72:ER73)</f>
        <v>128</v>
      </c>
      <c r="ER72" s="122">
        <f>EP72</f>
        <v>64</v>
      </c>
      <c r="ES72" s="2600">
        <f>SUM(ET72:ET73)</f>
        <v>0</v>
      </c>
      <c r="ET72" s="102">
        <f>FA72+FG72+FQ72</f>
        <v>0</v>
      </c>
      <c r="EU72" s="2590">
        <f>SUM(EV72:EV73)</f>
        <v>367.36</v>
      </c>
      <c r="EV72" s="122">
        <f>2.87*EN72</f>
        <v>183.68</v>
      </c>
      <c r="EW72" s="2590">
        <f>SUM(EX72:EX73)</f>
        <v>58</v>
      </c>
      <c r="EX72" s="186">
        <f>ROUND((DH72+DF72+DD72)/1000*3,0)+ROUND((ROUND(DL72/400,0))/2.67,0)+ROUND(DV72/1000,0)+ROUND((DZ72+EB72+ED72+EH72)/1000*3,0)+ROUND(EN72/25,0)+ROUND(ET72/50,0)</f>
        <v>29</v>
      </c>
      <c r="EY72" s="2590">
        <f>SUM(EZ72:EZ73)</f>
        <v>0</v>
      </c>
      <c r="EZ72" s="2610">
        <f>SUM(FA72:FA73)</f>
        <v>0</v>
      </c>
      <c r="FA72" s="2223">
        <v>0</v>
      </c>
      <c r="FB72" s="2590">
        <f>SUM(FC72:FC73)</f>
        <v>0</v>
      </c>
      <c r="FC72" s="2223">
        <v>0</v>
      </c>
      <c r="FD72" s="2590">
        <f>SUM(FE72:FE73)</f>
        <v>0</v>
      </c>
      <c r="FE72" s="2223">
        <v>0</v>
      </c>
      <c r="FF72" s="2590">
        <f>SUM(FG72:FG73)</f>
        <v>0</v>
      </c>
      <c r="FG72" s="122">
        <f>ROUND((DH72+DJ72+DD72+DN72+DT72)/1000,0)</f>
        <v>0</v>
      </c>
      <c r="FH72" s="2590">
        <f>SUM(FI72:FI73)</f>
        <v>0</v>
      </c>
      <c r="FI72" s="122">
        <v>0</v>
      </c>
      <c r="FJ72" s="2590">
        <f>SUM(FK72:FK73)</f>
        <v>0</v>
      </c>
      <c r="FK72" s="122">
        <f>((DL72/400)/12)</f>
        <v>0</v>
      </c>
      <c r="FL72" s="2590">
        <f>SUM(FM72:FM73)</f>
        <v>0</v>
      </c>
      <c r="FM72" s="122">
        <v>0</v>
      </c>
      <c r="FN72" s="2590">
        <f>SUM(FO72:FO73)</f>
        <v>0</v>
      </c>
      <c r="FO72" s="122">
        <v>0</v>
      </c>
      <c r="FP72" s="2600">
        <f>SUM(FQ72:FQ73)</f>
        <v>0</v>
      </c>
      <c r="FQ72" s="122">
        <f>DX72/1000</f>
        <v>0</v>
      </c>
      <c r="FR72" s="2590">
        <f>SUM(FS72:FS73)</f>
        <v>165</v>
      </c>
      <c r="FS72" s="2604">
        <v>165</v>
      </c>
      <c r="FT72" s="2606">
        <f>CX72-S72</f>
        <v>127000</v>
      </c>
      <c r="FU72" s="2602">
        <f>CY72-U72</f>
        <v>-3000</v>
      </c>
      <c r="FV72" s="2608">
        <f>(DC72+DE72+DG72)-(Y72+AA72+AC72+AE72)</f>
        <v>-3000</v>
      </c>
      <c r="FW72" s="2608">
        <f>DG72-AC72</f>
        <v>0</v>
      </c>
      <c r="FX72" s="2602">
        <f>DE72-AA72</f>
        <v>17000</v>
      </c>
      <c r="FY72" s="2602">
        <f>DC72-Y72</f>
        <v>0</v>
      </c>
      <c r="FZ72" s="2602">
        <f>DJ72-AE72</f>
        <v>-20000</v>
      </c>
      <c r="GA72" s="2602">
        <f>DL72-AL72</f>
        <v>0</v>
      </c>
      <c r="GB72" s="2602">
        <f>DM72-AM72</f>
        <v>0</v>
      </c>
      <c r="GC72" s="2602">
        <f>DP72-AQ72</f>
        <v>0</v>
      </c>
      <c r="GD72" s="2602">
        <f>DR72-AS72</f>
        <v>0</v>
      </c>
      <c r="GE72" s="2602">
        <f>DT72-AV72</f>
        <v>0</v>
      </c>
      <c r="GF72" s="2602">
        <f>DV72-AW72</f>
        <v>0</v>
      </c>
      <c r="GG72" s="2602">
        <f>DZ72-BB72</f>
        <v>0</v>
      </c>
      <c r="GH72" s="2602">
        <f>EB72-BD72</f>
        <v>0</v>
      </c>
      <c r="GI72" s="2602">
        <f>ED72-BF72</f>
        <v>0</v>
      </c>
      <c r="GJ72" s="2602">
        <f>EF72-BH72</f>
        <v>0</v>
      </c>
      <c r="GK72" s="2602">
        <f>EH72-BJ72</f>
        <v>0</v>
      </c>
      <c r="GL72" s="2608">
        <f>DW72-AY72</f>
        <v>0</v>
      </c>
      <c r="GM72" s="2608">
        <f>EK72-BM72</f>
        <v>124000</v>
      </c>
      <c r="GN72" s="2608">
        <f>EM72-BO72</f>
        <v>128</v>
      </c>
      <c r="GO72" s="2582">
        <f>SUM(GP72:GP73)</f>
        <v>128</v>
      </c>
      <c r="GP72" s="114">
        <f>EP72-BR72</f>
        <v>64</v>
      </c>
      <c r="GQ72" s="2582">
        <f>SUM(GR72:GR73)</f>
        <v>367.36</v>
      </c>
      <c r="GR72" s="114">
        <f>EV72-BT72</f>
        <v>183.68</v>
      </c>
      <c r="GS72" s="2582">
        <f>SUM(GT72:GT73)</f>
        <v>38</v>
      </c>
      <c r="GT72" s="114">
        <f>EX72-BV72</f>
        <v>19</v>
      </c>
      <c r="GU72" s="114">
        <f>FA72-BX72</f>
        <v>0</v>
      </c>
      <c r="GV72" s="114">
        <f>FI72-CD72</f>
        <v>0</v>
      </c>
      <c r="GW72" s="114">
        <v>0</v>
      </c>
      <c r="GX72" s="114">
        <f>FG72-CB72</f>
        <v>-10</v>
      </c>
      <c r="GY72" s="114">
        <f>FK72-CF72</f>
        <v>0</v>
      </c>
      <c r="GZ72" s="114">
        <f>FM72-CH72</f>
        <v>0</v>
      </c>
      <c r="HA72" s="114">
        <f>FO72-CJ72</f>
        <v>0</v>
      </c>
      <c r="HB72" s="114">
        <f>FQ72-CL72</f>
        <v>0</v>
      </c>
      <c r="HC72" s="2616">
        <f>ES72-CM72</f>
        <v>-20</v>
      </c>
      <c r="HD72" s="95"/>
      <c r="HE72" s="95"/>
      <c r="HF72" s="95"/>
      <c r="HG72" s="95"/>
    </row>
    <row r="73" spans="1:217" s="72" customFormat="1" ht="15" customHeight="1">
      <c r="A73" s="2589"/>
      <c r="B73" s="130" t="s">
        <v>710</v>
      </c>
      <c r="C73" s="66">
        <v>2858</v>
      </c>
      <c r="D73" s="66">
        <v>19</v>
      </c>
      <c r="E73" s="67">
        <v>2028580019</v>
      </c>
      <c r="F73" s="68">
        <v>10000</v>
      </c>
      <c r="G73" s="69" t="s">
        <v>704</v>
      </c>
      <c r="H73" s="70"/>
      <c r="I73" s="66">
        <v>1</v>
      </c>
      <c r="J73" s="66">
        <v>0</v>
      </c>
      <c r="K73" s="66">
        <v>2</v>
      </c>
      <c r="L73" s="66">
        <v>6.5</v>
      </c>
      <c r="M73" s="68">
        <v>10000</v>
      </c>
      <c r="N73" s="68">
        <v>10000</v>
      </c>
      <c r="O73" s="68">
        <v>0</v>
      </c>
      <c r="P73" s="68">
        <v>10000</v>
      </c>
      <c r="Q73" s="71">
        <v>0</v>
      </c>
      <c r="R73" s="72" t="s">
        <v>711</v>
      </c>
      <c r="S73" s="2591"/>
      <c r="T73" s="73">
        <v>0</v>
      </c>
      <c r="U73" s="2591"/>
      <c r="V73" s="74">
        <f>M73</f>
        <v>10000</v>
      </c>
      <c r="W73" s="2591"/>
      <c r="X73" s="73">
        <f>V73-Z73</f>
        <v>10000</v>
      </c>
      <c r="Y73" s="2591"/>
      <c r="Z73" s="73">
        <v>0</v>
      </c>
      <c r="AA73" s="2591"/>
      <c r="AB73" s="73">
        <v>0</v>
      </c>
      <c r="AC73" s="2591"/>
      <c r="AD73" s="75">
        <f>V73-(Z73+AB73+AF73+AL73+AN73+AP73+AZ73+AR73+AT73+AV73+AX73)</f>
        <v>0</v>
      </c>
      <c r="AE73" s="2581"/>
      <c r="AF73" s="75">
        <f>AG73+AI73</f>
        <v>10000</v>
      </c>
      <c r="AG73" s="75">
        <v>0</v>
      </c>
      <c r="AH73" s="2581"/>
      <c r="AI73" s="75">
        <f>10000</f>
        <v>10000</v>
      </c>
      <c r="AJ73" s="2581"/>
      <c r="AK73" s="2581"/>
      <c r="AL73" s="75">
        <v>0</v>
      </c>
      <c r="AM73" s="2581"/>
      <c r="AN73" s="75">
        <v>0</v>
      </c>
      <c r="AO73" s="2583"/>
      <c r="AP73" s="75">
        <v>0</v>
      </c>
      <c r="AQ73" s="2581"/>
      <c r="AR73" s="75">
        <v>0</v>
      </c>
      <c r="AS73" s="2581"/>
      <c r="AT73" s="75">
        <v>0</v>
      </c>
      <c r="AU73" s="2581"/>
      <c r="AV73" s="75">
        <v>0</v>
      </c>
      <c r="AW73" s="2581"/>
      <c r="AX73" s="75">
        <v>0</v>
      </c>
      <c r="AY73" s="2581"/>
      <c r="AZ73" s="75">
        <f t="shared" si="18"/>
        <v>0</v>
      </c>
      <c r="BA73" s="2583"/>
      <c r="BB73" s="188">
        <v>0</v>
      </c>
      <c r="BC73" s="2583"/>
      <c r="BD73" s="188">
        <v>0</v>
      </c>
      <c r="BE73" s="2583"/>
      <c r="BF73" s="188">
        <v>0</v>
      </c>
      <c r="BG73" s="2583"/>
      <c r="BH73" s="188">
        <v>0</v>
      </c>
      <c r="BI73" s="2583"/>
      <c r="BJ73" s="188">
        <v>0</v>
      </c>
      <c r="BK73" s="2583"/>
      <c r="BL73" s="188">
        <v>0</v>
      </c>
      <c r="BM73" s="2581"/>
      <c r="BN73" s="73">
        <f>ROUND(T73+V73,0)</f>
        <v>10000</v>
      </c>
      <c r="BO73" s="2581"/>
      <c r="BP73" s="73">
        <f>ROUND(T73/EP$141,0)</f>
        <v>0</v>
      </c>
      <c r="BQ73" s="2581"/>
      <c r="BR73" s="73">
        <f>BR$142*BP73</f>
        <v>0</v>
      </c>
      <c r="BS73" s="2581"/>
      <c r="BT73" s="77">
        <f t="shared" si="16"/>
        <v>0</v>
      </c>
      <c r="BU73" s="2581"/>
      <c r="BV73" s="78">
        <f>ROUND((AD73+AB73+Z73)/1000*3,0)+ROUND((AF73+AX73)/1000,0)+ROUND((ROUND(AL73/400,0))/2.67,0)+ROUND(AN73/250,0)+ROUND(AR73/15000,0)+ROUND((BB73+BD73+BF73+BJ73)/1000*3,0)+ROUND(BP73/25,0)+ROUND(CN73/50,0)</f>
        <v>10</v>
      </c>
      <c r="BW73" s="2581"/>
      <c r="BX73" s="73">
        <v>0</v>
      </c>
      <c r="BY73" s="2581"/>
      <c r="BZ73" s="73">
        <v>0</v>
      </c>
      <c r="CA73" s="2581"/>
      <c r="CB73" s="73">
        <f>V73/1000</f>
        <v>10</v>
      </c>
      <c r="CC73" s="2581"/>
      <c r="CD73" s="73">
        <f>AB73/1000</f>
        <v>0</v>
      </c>
      <c r="CE73" s="2581"/>
      <c r="CF73" s="73">
        <f>((AL73/400)/12)</f>
        <v>0</v>
      </c>
      <c r="CG73" s="2581"/>
      <c r="CH73" s="79">
        <f>IFERROR(VLOOKUP(E73,#REF!,3,FALSE),0)</f>
        <v>0</v>
      </c>
      <c r="CI73" s="2581"/>
      <c r="CJ73" s="73" t="b">
        <f>IF(G73="M1-2",F73/1000)</f>
        <v>0</v>
      </c>
      <c r="CK73" s="2581"/>
      <c r="CL73" s="73">
        <f>IF(BJ73&gt;0,"Calculate",0)</f>
        <v>0</v>
      </c>
      <c r="CM73" s="2581"/>
      <c r="CN73" s="73">
        <f t="shared" si="19"/>
        <v>10</v>
      </c>
      <c r="CO73" s="73"/>
      <c r="CP73" s="2595"/>
      <c r="CQ73" s="81" t="s">
        <v>741</v>
      </c>
      <c r="CR73" s="81">
        <v>7.2</v>
      </c>
      <c r="CS73" s="81">
        <v>2</v>
      </c>
      <c r="CT73" s="81">
        <v>6.5</v>
      </c>
      <c r="CU73" s="82" t="s">
        <v>706</v>
      </c>
      <c r="CV73" s="2597"/>
      <c r="CW73" s="73">
        <f>(CR73*F73)-CZ73</f>
        <v>63500</v>
      </c>
      <c r="CX73" s="2591"/>
      <c r="CY73" s="2599"/>
      <c r="CZ73" s="73">
        <f>1*(F73)-(0.15*1*(F73))</f>
        <v>8500</v>
      </c>
      <c r="DA73" s="2593"/>
      <c r="DB73" s="73">
        <f>CZ73-DD73</f>
        <v>8500</v>
      </c>
      <c r="DC73" s="2591"/>
      <c r="DD73" s="73">
        <v>0</v>
      </c>
      <c r="DE73" s="2591"/>
      <c r="DF73" s="73">
        <v>8500</v>
      </c>
      <c r="DG73" s="2591"/>
      <c r="DH73" s="73">
        <f>CZ73-(DD73+DF73+DJ73+DL73+DN73+DT73+DV73+DX73)</f>
        <v>0</v>
      </c>
      <c r="DI73" s="2591"/>
      <c r="DJ73" s="73">
        <v>0</v>
      </c>
      <c r="DK73" s="2591"/>
      <c r="DL73" s="73">
        <v>0</v>
      </c>
      <c r="DM73" s="2591"/>
      <c r="DN73" s="73">
        <v>0</v>
      </c>
      <c r="DO73" s="2591"/>
      <c r="DP73" s="73">
        <v>0</v>
      </c>
      <c r="DQ73" s="2591"/>
      <c r="DR73" s="73">
        <v>0</v>
      </c>
      <c r="DS73" s="2591"/>
      <c r="DT73" s="73">
        <v>0</v>
      </c>
      <c r="DU73" s="2591"/>
      <c r="DV73" s="73">
        <v>0</v>
      </c>
      <c r="DW73" s="2591"/>
      <c r="DX73" s="75">
        <f t="shared" si="22"/>
        <v>0</v>
      </c>
      <c r="DY73" s="2591"/>
      <c r="DZ73" s="75">
        <v>0</v>
      </c>
      <c r="EA73" s="2591"/>
      <c r="EB73" s="75">
        <v>0</v>
      </c>
      <c r="EC73" s="2591"/>
      <c r="ED73" s="75">
        <v>0</v>
      </c>
      <c r="EE73" s="2591"/>
      <c r="EF73" s="75">
        <v>0</v>
      </c>
      <c r="EG73" s="2591"/>
      <c r="EH73" s="75">
        <v>0</v>
      </c>
      <c r="EI73" s="2591"/>
      <c r="EJ73" s="75"/>
      <c r="EK73" s="2581"/>
      <c r="EL73" s="73">
        <f>CW73+CZ73</f>
        <v>72000</v>
      </c>
      <c r="EM73" s="2601"/>
      <c r="EN73" s="74">
        <f>ROUND(CW73/EP$141,0)</f>
        <v>64</v>
      </c>
      <c r="EO73" s="2601"/>
      <c r="EP73" s="74">
        <f>EN73</f>
        <v>64</v>
      </c>
      <c r="EQ73" s="2601"/>
      <c r="ER73" s="102">
        <f>EP73</f>
        <v>64</v>
      </c>
      <c r="ES73" s="2601"/>
      <c r="ET73" s="74">
        <f>FA73+FG73+FQ73</f>
        <v>0</v>
      </c>
      <c r="EU73" s="2591"/>
      <c r="EV73" s="74">
        <f>2.87*EN73</f>
        <v>183.68</v>
      </c>
      <c r="EW73" s="2591"/>
      <c r="EX73" s="88">
        <f>ROUND((DH73+DF73+DD73)/1000*3,0)+ROUND((ROUND(DL73/400,0))/2.67,0)+ROUND(DV73/1000,0)+ROUND((DZ73+EB73+ED73+EH73)/1000*3,0)+ROUND(EN73/25,0)+ROUND(ET73/50,0)</f>
        <v>29</v>
      </c>
      <c r="EY73" s="2591"/>
      <c r="EZ73" s="2611"/>
      <c r="FA73" s="2225">
        <v>0</v>
      </c>
      <c r="FB73" s="2591"/>
      <c r="FC73" s="2225">
        <v>0</v>
      </c>
      <c r="FD73" s="2591"/>
      <c r="FE73" s="2225">
        <v>0</v>
      </c>
      <c r="FF73" s="2591"/>
      <c r="FG73" s="74">
        <f>ROUND((DH73+DJ73+DD73+DN73+DT73)/1000,0)</f>
        <v>0</v>
      </c>
      <c r="FH73" s="2591"/>
      <c r="FI73" s="74">
        <v>0</v>
      </c>
      <c r="FJ73" s="2591"/>
      <c r="FK73" s="74">
        <f>((DL73/400)/12)</f>
        <v>0</v>
      </c>
      <c r="FL73" s="2591"/>
      <c r="FM73" s="74">
        <v>0</v>
      </c>
      <c r="FN73" s="2591"/>
      <c r="FO73" s="74">
        <v>0</v>
      </c>
      <c r="FP73" s="2601"/>
      <c r="FQ73" s="74">
        <f>DX73/1000</f>
        <v>0</v>
      </c>
      <c r="FR73" s="2591"/>
      <c r="FS73" s="2605"/>
      <c r="FT73" s="2607"/>
      <c r="FU73" s="2603"/>
      <c r="FV73" s="2609"/>
      <c r="FW73" s="2609"/>
      <c r="FX73" s="2603"/>
      <c r="FY73" s="2603"/>
      <c r="FZ73" s="2603"/>
      <c r="GA73" s="2603"/>
      <c r="GB73" s="2603"/>
      <c r="GC73" s="2603"/>
      <c r="GD73" s="2603"/>
      <c r="GE73" s="2603"/>
      <c r="GF73" s="2603"/>
      <c r="GG73" s="2603"/>
      <c r="GH73" s="2603"/>
      <c r="GI73" s="2603"/>
      <c r="GJ73" s="2603"/>
      <c r="GK73" s="2603"/>
      <c r="GL73" s="2609"/>
      <c r="GM73" s="2609"/>
      <c r="GN73" s="2609"/>
      <c r="GO73" s="2583"/>
      <c r="GP73" s="89">
        <f>EP73-BR73</f>
        <v>64</v>
      </c>
      <c r="GQ73" s="2583"/>
      <c r="GR73" s="89">
        <f>EV73-BT73</f>
        <v>183.68</v>
      </c>
      <c r="GS73" s="2583"/>
      <c r="GT73" s="89">
        <f>EX73-BV73</f>
        <v>19</v>
      </c>
      <c r="GU73" s="89">
        <f>FA73-BX73</f>
        <v>0</v>
      </c>
      <c r="GV73" s="89">
        <f>FI73-CD73</f>
        <v>0</v>
      </c>
      <c r="GW73" s="89">
        <v>0</v>
      </c>
      <c r="GX73" s="89">
        <f>FG73-CB73</f>
        <v>-10</v>
      </c>
      <c r="GY73" s="89">
        <f>FK73-CF73</f>
        <v>0</v>
      </c>
      <c r="GZ73" s="89">
        <f>FM73-CH73</f>
        <v>0</v>
      </c>
      <c r="HA73" s="89">
        <f>FO73-CJ73</f>
        <v>0</v>
      </c>
      <c r="HB73" s="89">
        <f>FQ73-CL73</f>
        <v>0</v>
      </c>
      <c r="HC73" s="2617"/>
      <c r="HD73" s="95"/>
      <c r="HE73" s="95"/>
      <c r="HF73" s="95"/>
    </row>
    <row r="74" spans="1:217" s="95" customFormat="1" ht="18.75">
      <c r="A74" s="2263"/>
      <c r="B74" s="131"/>
      <c r="C74" s="132"/>
      <c r="D74" s="132"/>
      <c r="E74" s="133"/>
      <c r="F74" s="134"/>
      <c r="G74" s="135"/>
      <c r="H74" s="136"/>
      <c r="I74" s="132"/>
      <c r="J74" s="132"/>
      <c r="K74" s="132"/>
      <c r="L74" s="132"/>
      <c r="M74" s="134"/>
      <c r="N74" s="134"/>
      <c r="O74" s="134"/>
      <c r="P74" s="134"/>
      <c r="Q74" s="137"/>
      <c r="S74" s="101"/>
      <c r="T74" s="97"/>
      <c r="U74" s="2244"/>
      <c r="V74" s="102"/>
      <c r="W74" s="2244"/>
      <c r="X74" s="97"/>
      <c r="Y74" s="2244"/>
      <c r="Z74" s="97"/>
      <c r="AA74" s="2244"/>
      <c r="AB74" s="97"/>
      <c r="AC74" s="2244"/>
      <c r="AD74" s="103"/>
      <c r="AE74" s="2251"/>
      <c r="AF74" s="103"/>
      <c r="AG74" s="103"/>
      <c r="AH74" s="103"/>
      <c r="AI74" s="103"/>
      <c r="AJ74" s="103"/>
      <c r="AK74" s="2251"/>
      <c r="AL74" s="103"/>
      <c r="AM74" s="2251"/>
      <c r="AN74" s="103"/>
      <c r="AO74" s="2224"/>
      <c r="AP74" s="103"/>
      <c r="AQ74" s="2251"/>
      <c r="AR74" s="103"/>
      <c r="AS74" s="2251"/>
      <c r="AT74" s="103"/>
      <c r="AU74" s="2251"/>
      <c r="AV74" s="103"/>
      <c r="AW74" s="2251"/>
      <c r="AX74" s="103"/>
      <c r="AY74" s="2251"/>
      <c r="AZ74" s="75">
        <f t="shared" si="18"/>
        <v>0</v>
      </c>
      <c r="BA74" s="2224"/>
      <c r="BB74" s="97"/>
      <c r="BC74" s="2224"/>
      <c r="BD74" s="97"/>
      <c r="BE74" s="2224"/>
      <c r="BF74" s="97"/>
      <c r="BG74" s="2224"/>
      <c r="BH74" s="97"/>
      <c r="BI74" s="2224"/>
      <c r="BJ74" s="97"/>
      <c r="BK74" s="2224"/>
      <c r="BL74" s="97"/>
      <c r="BM74" s="2251"/>
      <c r="BN74" s="97"/>
      <c r="BO74" s="2251"/>
      <c r="BP74" s="97"/>
      <c r="BQ74" s="2251"/>
      <c r="BR74" s="97"/>
      <c r="BS74" s="2251"/>
      <c r="BT74" s="124"/>
      <c r="BU74" s="2251"/>
      <c r="BV74" s="138"/>
      <c r="BW74" s="2251"/>
      <c r="BX74" s="97"/>
      <c r="BY74" s="2251"/>
      <c r="BZ74" s="97"/>
      <c r="CA74" s="2251"/>
      <c r="CB74" s="97"/>
      <c r="CC74" s="2251"/>
      <c r="CD74" s="97"/>
      <c r="CE74" s="2251"/>
      <c r="CF74" s="97"/>
      <c r="CG74" s="2251"/>
      <c r="CH74" s="105"/>
      <c r="CI74" s="2251"/>
      <c r="CJ74" s="97"/>
      <c r="CK74" s="2251"/>
      <c r="CL74" s="97"/>
      <c r="CM74" s="2251"/>
      <c r="CN74" s="73">
        <f t="shared" si="19"/>
        <v>0</v>
      </c>
      <c r="CO74" s="97"/>
      <c r="CP74" s="106"/>
      <c r="CQ74" s="139"/>
      <c r="CR74" s="139"/>
      <c r="CS74" s="139"/>
      <c r="CT74" s="139"/>
      <c r="CU74" s="108"/>
      <c r="CV74" s="2258"/>
      <c r="CW74" s="97"/>
      <c r="CX74" s="2244"/>
      <c r="CY74" s="2261"/>
      <c r="CZ74" s="97"/>
      <c r="DA74" s="2253"/>
      <c r="DB74" s="97"/>
      <c r="DC74" s="2244"/>
      <c r="DD74" s="97"/>
      <c r="DE74" s="2244"/>
      <c r="DF74" s="97"/>
      <c r="DG74" s="2244"/>
      <c r="DH74" s="97"/>
      <c r="DI74" s="2244"/>
      <c r="DJ74" s="97"/>
      <c r="DK74" s="2244"/>
      <c r="DL74" s="97"/>
      <c r="DM74" s="2244"/>
      <c r="DN74" s="97"/>
      <c r="DO74" s="2244"/>
      <c r="DP74" s="97"/>
      <c r="DQ74" s="2244"/>
      <c r="DR74" s="97"/>
      <c r="DS74" s="2244"/>
      <c r="DT74" s="97"/>
      <c r="DU74" s="2244"/>
      <c r="DV74" s="97"/>
      <c r="DW74" s="2244"/>
      <c r="DX74" s="75"/>
      <c r="DY74" s="2244"/>
      <c r="DZ74" s="103"/>
      <c r="EA74" s="2244"/>
      <c r="EB74" s="103"/>
      <c r="EC74" s="2244"/>
      <c r="ED74" s="103"/>
      <c r="EE74" s="2244"/>
      <c r="EF74" s="103"/>
      <c r="EG74" s="2244"/>
      <c r="EH74" s="103"/>
      <c r="EI74" s="2244"/>
      <c r="EJ74" s="103"/>
      <c r="EK74" s="2251"/>
      <c r="EL74" s="97"/>
      <c r="EM74" s="2246"/>
      <c r="EN74" s="102"/>
      <c r="EO74" s="2246"/>
      <c r="EP74" s="102"/>
      <c r="EQ74" s="110"/>
      <c r="ER74" s="111"/>
      <c r="ES74" s="110"/>
      <c r="ET74" s="74"/>
      <c r="EU74" s="2244"/>
      <c r="EV74" s="122"/>
      <c r="EW74" s="2244"/>
      <c r="EX74" s="88"/>
      <c r="EY74" s="2244"/>
      <c r="EZ74" s="2248"/>
      <c r="FA74" s="2224"/>
      <c r="FB74" s="2244"/>
      <c r="FC74" s="2224"/>
      <c r="FD74" s="2244"/>
      <c r="FE74" s="2224"/>
      <c r="FF74" s="2244"/>
      <c r="FG74" s="102"/>
      <c r="FH74" s="2244"/>
      <c r="FI74" s="102"/>
      <c r="FJ74" s="2244"/>
      <c r="FK74" s="102"/>
      <c r="FL74" s="2244"/>
      <c r="FM74" s="102"/>
      <c r="FN74" s="2244"/>
      <c r="FO74" s="102"/>
      <c r="FP74" s="110"/>
      <c r="FQ74" s="102"/>
      <c r="FR74" s="2244"/>
      <c r="FS74" s="2244"/>
      <c r="FT74" s="2240"/>
      <c r="FU74" s="2233"/>
      <c r="FV74" s="2235"/>
      <c r="FW74" s="2235"/>
      <c r="FX74" s="2233"/>
      <c r="FY74" s="2233"/>
      <c r="FZ74" s="2233"/>
      <c r="GA74" s="2232"/>
      <c r="GB74" s="2233"/>
      <c r="GC74" s="2233"/>
      <c r="GD74" s="2233"/>
      <c r="GE74" s="2232"/>
      <c r="GF74" s="2233"/>
      <c r="GG74" s="2232"/>
      <c r="GH74" s="2232"/>
      <c r="GI74" s="2232"/>
      <c r="GJ74" s="2232"/>
      <c r="GK74" s="2232"/>
      <c r="GL74" s="2235"/>
      <c r="GM74" s="2235"/>
      <c r="GN74" s="2235"/>
      <c r="GO74" s="2224"/>
      <c r="GP74" s="112"/>
      <c r="GQ74" s="2224"/>
      <c r="GR74" s="112"/>
      <c r="GS74" s="2224"/>
      <c r="GT74" s="113"/>
      <c r="GU74" s="114"/>
      <c r="GV74" s="113"/>
      <c r="GW74" s="113"/>
      <c r="GX74" s="113"/>
      <c r="GY74" s="113"/>
      <c r="GZ74" s="112"/>
      <c r="HA74" s="113"/>
      <c r="HB74" s="112"/>
      <c r="HC74" s="2230"/>
    </row>
    <row r="75" spans="1:217" s="127" customFormat="1" ht="15" customHeight="1">
      <c r="A75" s="2588">
        <v>26</v>
      </c>
      <c r="B75" s="3687" t="s">
        <v>703</v>
      </c>
      <c r="C75" s="115">
        <v>2844</v>
      </c>
      <c r="D75" s="115">
        <v>9</v>
      </c>
      <c r="E75" s="116">
        <v>2028440009</v>
      </c>
      <c r="F75" s="117">
        <v>9723</v>
      </c>
      <c r="G75" s="118" t="s">
        <v>704</v>
      </c>
      <c r="H75" s="119"/>
      <c r="I75" s="115">
        <v>0.51</v>
      </c>
      <c r="J75" s="115">
        <v>0</v>
      </c>
      <c r="K75" s="115">
        <v>2</v>
      </c>
      <c r="L75" s="115">
        <v>6.5</v>
      </c>
      <c r="M75" s="117">
        <v>5000</v>
      </c>
      <c r="N75" s="117">
        <v>5000</v>
      </c>
      <c r="O75" s="117">
        <v>0</v>
      </c>
      <c r="P75" s="117">
        <v>5000</v>
      </c>
      <c r="Q75" s="120">
        <v>0</v>
      </c>
      <c r="R75" s="127" t="s">
        <v>711</v>
      </c>
      <c r="S75" s="2590">
        <f>SUM(T75:T78)</f>
        <v>0</v>
      </c>
      <c r="T75" s="122">
        <v>0</v>
      </c>
      <c r="U75" s="2590">
        <f>SUM(V75:V78)</f>
        <v>10000</v>
      </c>
      <c r="V75" s="122">
        <f>M75</f>
        <v>5000</v>
      </c>
      <c r="W75" s="2590">
        <f>SUM(X75:X78)</f>
        <v>10000</v>
      </c>
      <c r="X75" s="121">
        <f>V75-Z75</f>
        <v>5000</v>
      </c>
      <c r="Y75" s="2590">
        <f>SUM(Z75:Z78)</f>
        <v>0</v>
      </c>
      <c r="Z75" s="122">
        <v>0</v>
      </c>
      <c r="AA75" s="2590">
        <f>SUM(AB75:AB78)</f>
        <v>0</v>
      </c>
      <c r="AB75" s="122">
        <v>0</v>
      </c>
      <c r="AC75" s="2590">
        <f>SUM(AD75:AD76)</f>
        <v>2500</v>
      </c>
      <c r="AD75" s="123">
        <f>V75-(Z75+AB75+AF75+AL75+AN75+AP75+AZ75+AR75+AT75+AV75+AX75)</f>
        <v>0</v>
      </c>
      <c r="AE75" s="2580">
        <f>SUM(AF75:AF78)</f>
        <v>7500</v>
      </c>
      <c r="AF75" s="123">
        <f>AG75+AI75</f>
        <v>5000</v>
      </c>
      <c r="AG75" s="123">
        <v>0</v>
      </c>
      <c r="AH75" s="2580">
        <f>SUM(AG75:AG78)</f>
        <v>0</v>
      </c>
      <c r="AI75" s="123">
        <f>N75</f>
        <v>5000</v>
      </c>
      <c r="AJ75" s="2580">
        <f>SUM(AI75:AI78)</f>
        <v>7500</v>
      </c>
      <c r="AK75" s="2580">
        <f>SUM(AL75:AN78)</f>
        <v>0</v>
      </c>
      <c r="AL75" s="123">
        <v>0</v>
      </c>
      <c r="AM75" s="2580">
        <f>SUM(AN75:AP78)</f>
        <v>0</v>
      </c>
      <c r="AN75" s="123">
        <v>0</v>
      </c>
      <c r="AO75" s="2582">
        <f>SUM(AP75:AP78)</f>
        <v>0</v>
      </c>
      <c r="AP75" s="123">
        <v>0</v>
      </c>
      <c r="AQ75" s="2580">
        <f>SUM(AR75:AR78)</f>
        <v>0</v>
      </c>
      <c r="AR75" s="123">
        <v>0</v>
      </c>
      <c r="AS75" s="2580">
        <f>SUM(AT75:AT78)</f>
        <v>0</v>
      </c>
      <c r="AT75" s="123">
        <v>0</v>
      </c>
      <c r="AU75" s="2580">
        <f>SUM(AV75:AV78)</f>
        <v>0</v>
      </c>
      <c r="AV75" s="123">
        <v>0</v>
      </c>
      <c r="AW75" s="2580">
        <f>SUM(AX75:AX78)</f>
        <v>0</v>
      </c>
      <c r="AX75" s="123">
        <v>0</v>
      </c>
      <c r="AY75" s="2580">
        <f>SUM(AZ75:AZ78)</f>
        <v>0</v>
      </c>
      <c r="AZ75" s="123">
        <f t="shared" si="18"/>
        <v>0</v>
      </c>
      <c r="BA75" s="2582">
        <f>SUM(BB75:BB78)</f>
        <v>0</v>
      </c>
      <c r="BB75" s="122">
        <v>0</v>
      </c>
      <c r="BC75" s="2582">
        <f>SUM(BD75:BD78)</f>
        <v>0</v>
      </c>
      <c r="BD75" s="122">
        <v>0</v>
      </c>
      <c r="BE75" s="2582">
        <f>SUM(BF75:BF78)</f>
        <v>0</v>
      </c>
      <c r="BF75" s="122">
        <v>0</v>
      </c>
      <c r="BG75" s="2582">
        <f>SUM(BH75:BH78)</f>
        <v>0</v>
      </c>
      <c r="BH75" s="122">
        <v>0</v>
      </c>
      <c r="BI75" s="2582">
        <f>SUM(BJ75:BJ78)</f>
        <v>0</v>
      </c>
      <c r="BJ75" s="122">
        <v>0</v>
      </c>
      <c r="BK75" s="2582">
        <f>SUM(BL75:BL78)</f>
        <v>0</v>
      </c>
      <c r="BL75" s="122">
        <v>0</v>
      </c>
      <c r="BM75" s="2580">
        <f>SUM(BN75:BN78)</f>
        <v>10000</v>
      </c>
      <c r="BN75" s="121">
        <f>ROUND(T75+V75,0)</f>
        <v>5000</v>
      </c>
      <c r="BO75" s="2580">
        <f>SUM(BP75:BP78)</f>
        <v>0</v>
      </c>
      <c r="BP75" s="121">
        <f>ROUND(T75/EP$141,0)</f>
        <v>0</v>
      </c>
      <c r="BQ75" s="2580">
        <f>SUM(BR75:BR78)</f>
        <v>0</v>
      </c>
      <c r="BR75" s="121">
        <f>BR$142*BP75</f>
        <v>0</v>
      </c>
      <c r="BS75" s="2580">
        <f>SUM(BT75:BT78)</f>
        <v>0</v>
      </c>
      <c r="BT75" s="124">
        <f t="shared" si="16"/>
        <v>0</v>
      </c>
      <c r="BU75" s="2580">
        <f>SUM(BV75:BV78)</f>
        <v>16</v>
      </c>
      <c r="BV75" s="125">
        <f>ROUND((AD75+AB75+Z75)/1000*3,0)+ROUND((AF75+AX75)/1000,0)+ROUND((ROUND(AL75/400,0))/2.67,0)+ROUND(AN75/250,0)+ROUND(AR75/15000,0)+ROUND((BB75+BD75+BF75+BJ75)/1000*3,0)+ROUND(BP75/25,0)+ROUND(CN75/50,0)</f>
        <v>5</v>
      </c>
      <c r="BW75" s="2580">
        <f>SUM(BX75:BX78)</f>
        <v>0</v>
      </c>
      <c r="BX75" s="122">
        <v>0</v>
      </c>
      <c r="BY75" s="2580">
        <f>SUM(BZ75:BZ78)</f>
        <v>0</v>
      </c>
      <c r="BZ75" s="121">
        <v>0</v>
      </c>
      <c r="CA75" s="2580">
        <f>SUM(CB75:CB78)</f>
        <v>10</v>
      </c>
      <c r="CB75" s="121">
        <f>V75/1000</f>
        <v>5</v>
      </c>
      <c r="CC75" s="2580">
        <f>SUM(CD75:CD78)</f>
        <v>0</v>
      </c>
      <c r="CD75" s="121">
        <f>AB75/1000</f>
        <v>0</v>
      </c>
      <c r="CE75" s="2580">
        <f>SUM(CF75:CF78)</f>
        <v>0</v>
      </c>
      <c r="CF75" s="121">
        <f>((AL75/400)/12)</f>
        <v>0</v>
      </c>
      <c r="CG75" s="2580">
        <f>SUM(CH75:CH78)</f>
        <v>0</v>
      </c>
      <c r="CH75" s="126">
        <f>IFERROR(VLOOKUP(E75,#REF!,3,FALSE),0)</f>
        <v>0</v>
      </c>
      <c r="CI75" s="2580">
        <f>SUM(CJ75:CJ78)</f>
        <v>0</v>
      </c>
      <c r="CJ75" s="121" t="b">
        <f>IF(G75="M1-2",F75/1000)</f>
        <v>0</v>
      </c>
      <c r="CK75" s="2580">
        <f>SUM(CL75:CL78)</f>
        <v>0</v>
      </c>
      <c r="CL75" s="121">
        <f>IF(BJ75&gt;0,"Calculate",0)</f>
        <v>0</v>
      </c>
      <c r="CM75" s="2580">
        <f>SUM(CN75:CN78)</f>
        <v>10</v>
      </c>
      <c r="CN75" s="121">
        <f t="shared" si="19"/>
        <v>5</v>
      </c>
      <c r="CO75" s="121"/>
      <c r="CP75" s="307">
        <v>10</v>
      </c>
      <c r="CQ75" s="127" t="s">
        <v>705</v>
      </c>
      <c r="CR75" s="127">
        <v>4.5999999999999996</v>
      </c>
      <c r="CS75" s="127">
        <v>2</v>
      </c>
      <c r="CT75" s="127">
        <v>4.5999999999999996</v>
      </c>
      <c r="CU75" s="128" t="s">
        <v>706</v>
      </c>
      <c r="CV75" s="2596" t="s">
        <v>716</v>
      </c>
      <c r="CW75" s="121">
        <f>(CR75*F75)-CZ75</f>
        <v>36461.25</v>
      </c>
      <c r="CX75" s="2590">
        <f>SUM(CW75:CW76)</f>
        <v>56287.5</v>
      </c>
      <c r="CY75" s="2598">
        <f>SUM(CZ75:CZ78)</f>
        <v>12758.5</v>
      </c>
      <c r="CZ75" s="121">
        <f>1*(F75)-(0.15*1*(F75))</f>
        <v>8264.5499999999993</v>
      </c>
      <c r="DA75" s="2592">
        <f>SUM(DB75:DB78)</f>
        <v>12758.5</v>
      </c>
      <c r="DB75" s="121">
        <f>CZ75-DD75</f>
        <v>8264.5499999999993</v>
      </c>
      <c r="DC75" s="2590">
        <f>SUM(DD75:DD78)</f>
        <v>0</v>
      </c>
      <c r="DD75" s="122">
        <v>0</v>
      </c>
      <c r="DE75" s="2590">
        <f>SUM(DF75:DF78)</f>
        <v>0</v>
      </c>
      <c r="DF75" s="122">
        <v>0</v>
      </c>
      <c r="DG75" s="2590">
        <f>SUM(DH75:DH78)</f>
        <v>12758.5</v>
      </c>
      <c r="DH75" s="121">
        <f>CZ75-(DD75+DF75+DJ75+DL75+DN75+DT75+DV75+DX75)</f>
        <v>8264.5499999999993</v>
      </c>
      <c r="DI75" s="2590">
        <f>SUM(DJ75:DJ78)</f>
        <v>0</v>
      </c>
      <c r="DJ75" s="122">
        <v>0</v>
      </c>
      <c r="DK75" s="2590">
        <f>SUM(DL75:DL78)</f>
        <v>0</v>
      </c>
      <c r="DL75" s="122">
        <v>0</v>
      </c>
      <c r="DM75" s="2590">
        <f>SUM(DN75:DN76)</f>
        <v>0</v>
      </c>
      <c r="DN75" s="122">
        <v>0</v>
      </c>
      <c r="DO75" s="2590">
        <f>SUM(DP75:DP78)</f>
        <v>0</v>
      </c>
      <c r="DP75" s="122">
        <v>0</v>
      </c>
      <c r="DQ75" s="2590">
        <f>SUM(DR75:DR78)</f>
        <v>0</v>
      </c>
      <c r="DR75" s="122">
        <v>0</v>
      </c>
      <c r="DS75" s="2590">
        <f>SUM(DT75:DT78)</f>
        <v>0</v>
      </c>
      <c r="DT75" s="122">
        <v>0</v>
      </c>
      <c r="DU75" s="2590">
        <f>SUM(DV75:DV78)</f>
        <v>0</v>
      </c>
      <c r="DV75" s="122">
        <v>0</v>
      </c>
      <c r="DW75" s="2590">
        <f>SUM(DX75:DX76)</f>
        <v>0</v>
      </c>
      <c r="DX75" s="103">
        <f t="shared" si="22"/>
        <v>0</v>
      </c>
      <c r="DY75" s="2590">
        <f>SUM(DZ75:DZ78)</f>
        <v>0</v>
      </c>
      <c r="DZ75" s="123">
        <v>0</v>
      </c>
      <c r="EA75" s="2590">
        <f>SUM(EB75:EB78)</f>
        <v>0</v>
      </c>
      <c r="EB75" s="123">
        <v>0</v>
      </c>
      <c r="EC75" s="2590">
        <f>SUM(ED75:ED78)</f>
        <v>0</v>
      </c>
      <c r="ED75" s="123">
        <v>0</v>
      </c>
      <c r="EE75" s="2590">
        <f>SUM(EF75:EF78)</f>
        <v>0</v>
      </c>
      <c r="EF75" s="123">
        <v>0</v>
      </c>
      <c r="EG75" s="2590">
        <f>SUM(EH75:EH78)</f>
        <v>0</v>
      </c>
      <c r="EH75" s="123">
        <v>0</v>
      </c>
      <c r="EI75" s="2590">
        <f>SUM(EJ75:EJ78)</f>
        <v>0</v>
      </c>
      <c r="EJ75" s="123"/>
      <c r="EK75" s="2580">
        <f>SUM(EL75:EL78)</f>
        <v>69046</v>
      </c>
      <c r="EL75" s="121">
        <f>CW75+CZ75</f>
        <v>44725.8</v>
      </c>
      <c r="EM75" s="2600">
        <f>SUM(EN75:EN78)</f>
        <v>56</v>
      </c>
      <c r="EN75" s="122">
        <f>ROUND(CW75/EP$141,0)</f>
        <v>36</v>
      </c>
      <c r="EO75" s="2600">
        <f>SUM(EP75:EP78)</f>
        <v>28</v>
      </c>
      <c r="EP75" s="122">
        <f t="shared" ref="EP75:EP78" si="23">0.5*EN75</f>
        <v>18</v>
      </c>
      <c r="EQ75" s="2600">
        <f>SUM(ER75:ER78)</f>
        <v>28</v>
      </c>
      <c r="ER75" s="122">
        <f>0.5*EN75</f>
        <v>18</v>
      </c>
      <c r="ES75" s="2600">
        <f>SUM(ET75:ET78)</f>
        <v>12</v>
      </c>
      <c r="ET75" s="102">
        <f>FA75+FG75+FQ75</f>
        <v>8</v>
      </c>
      <c r="EU75" s="2590">
        <f>SUM(EV75:EV78)</f>
        <v>160.72000000000003</v>
      </c>
      <c r="EV75" s="122">
        <f>2.87*EN75</f>
        <v>103.32000000000001</v>
      </c>
      <c r="EW75" s="2590">
        <f>SUM(EX75:EX78)</f>
        <v>40</v>
      </c>
      <c r="EX75" s="186">
        <f>ROUND((DH75+DF75+DD75)/1000*3,0)+ROUND((ROUND(DL75/400,0))/2.67,0)+ROUND(DV75/1000,0)+ROUND((DZ75+EB75+ED75+EH75)/1000*3,0)+ROUND(EN75/25,0)+ROUND(ET75/50,0)</f>
        <v>26</v>
      </c>
      <c r="EY75" s="2590">
        <f>SUM(EZ75:EZ78)</f>
        <v>0</v>
      </c>
      <c r="EZ75" s="2610" t="s">
        <v>713</v>
      </c>
      <c r="FA75" s="2223">
        <v>0</v>
      </c>
      <c r="FB75" s="2590">
        <f>SUM(FC75:FC78)</f>
        <v>0</v>
      </c>
      <c r="FC75" s="2223">
        <v>0</v>
      </c>
      <c r="FD75" s="2590">
        <f>SUM(FE75:FE78)</f>
        <v>0</v>
      </c>
      <c r="FE75" s="2223">
        <v>0</v>
      </c>
      <c r="FF75" s="2590">
        <f>SUM(FG75:FG78)</f>
        <v>12</v>
      </c>
      <c r="FG75" s="122">
        <f>ROUND((DH75+DJ75+DD75+DN75+DT75)/1000,0)</f>
        <v>8</v>
      </c>
      <c r="FH75" s="2590">
        <f>SUM(FI75:FI78)</f>
        <v>0</v>
      </c>
      <c r="FI75" s="122">
        <f>DF75/1000</f>
        <v>0</v>
      </c>
      <c r="FJ75" s="2590">
        <f>SUM(FK75:FK78)</f>
        <v>0</v>
      </c>
      <c r="FK75" s="122">
        <f>((DL75/400)/12)</f>
        <v>0</v>
      </c>
      <c r="FL75" s="2590">
        <f>SUM(FM75:FM78)</f>
        <v>0</v>
      </c>
      <c r="FM75" s="122">
        <v>0</v>
      </c>
      <c r="FN75" s="2590">
        <f>SUM(FO75:FO78)</f>
        <v>0</v>
      </c>
      <c r="FO75" s="122">
        <v>0</v>
      </c>
      <c r="FP75" s="2600">
        <f>SUM(FQ75:FQ78)</f>
        <v>0</v>
      </c>
      <c r="FQ75" s="122">
        <f>DX75/1000</f>
        <v>0</v>
      </c>
      <c r="FR75" s="2590">
        <f>SUM(FS75:FS78)</f>
        <v>115</v>
      </c>
      <c r="FS75" s="2690">
        <v>115</v>
      </c>
      <c r="FT75" s="2606">
        <f>CX75-S75</f>
        <v>56287.5</v>
      </c>
      <c r="FU75" s="2602">
        <f>CY75-U75</f>
        <v>2758.5</v>
      </c>
      <c r="FV75" s="2608">
        <f>(DC75+DE75+DG75)-(Y75+AA75+AC75+AE75)</f>
        <v>2758.5</v>
      </c>
      <c r="FW75" s="2608">
        <f>DG75-AC75</f>
        <v>10258.5</v>
      </c>
      <c r="FX75" s="2602">
        <f>DE75-AA75</f>
        <v>0</v>
      </c>
      <c r="FY75" s="2602">
        <f>DC75-Y75</f>
        <v>0</v>
      </c>
      <c r="FZ75" s="2602">
        <f>DJ75-AE75</f>
        <v>-7500</v>
      </c>
      <c r="GA75" s="2602">
        <f>DL75-AL75</f>
        <v>0</v>
      </c>
      <c r="GB75" s="2602">
        <f>DM75-AM75</f>
        <v>0</v>
      </c>
      <c r="GC75" s="2602">
        <f>DP75-AQ75</f>
        <v>0</v>
      </c>
      <c r="GD75" s="2602">
        <f>DR75-AS75</f>
        <v>0</v>
      </c>
      <c r="GE75" s="2602">
        <f>DT75-AV75</f>
        <v>0</v>
      </c>
      <c r="GF75" s="2602">
        <f>DV75-AW75</f>
        <v>0</v>
      </c>
      <c r="GG75" s="2602">
        <f>DZ75-BB75</f>
        <v>0</v>
      </c>
      <c r="GH75" s="2602">
        <f>EB75-BD75</f>
        <v>0</v>
      </c>
      <c r="GI75" s="2602">
        <f>ED75-BF75</f>
        <v>0</v>
      </c>
      <c r="GJ75" s="2602">
        <f>EF75-BH75</f>
        <v>0</v>
      </c>
      <c r="GK75" s="2602">
        <f>EH75-BJ75</f>
        <v>0</v>
      </c>
      <c r="GL75" s="2608">
        <f>DW75-AY75</f>
        <v>0</v>
      </c>
      <c r="GM75" s="2608">
        <f>EK75-BM75</f>
        <v>59046</v>
      </c>
      <c r="GN75" s="2608">
        <f>EM75-BO75</f>
        <v>56</v>
      </c>
      <c r="GO75" s="2582">
        <f>SUM(GP75:GP78)</f>
        <v>28</v>
      </c>
      <c r="GP75" s="114">
        <f>EP75-BR75</f>
        <v>18</v>
      </c>
      <c r="GQ75" s="2582">
        <f>SUM(GR75:GR78)</f>
        <v>160.72000000000003</v>
      </c>
      <c r="GR75" s="114">
        <f>EV75-BT75</f>
        <v>103.32000000000001</v>
      </c>
      <c r="GS75" s="2582">
        <f>SUM(GT75:GT78)</f>
        <v>24</v>
      </c>
      <c r="GT75" s="114">
        <f>EX75-BV75</f>
        <v>21</v>
      </c>
      <c r="GU75" s="114">
        <f>FA75-BX75</f>
        <v>0</v>
      </c>
      <c r="GV75" s="114">
        <f>FI75-CD75</f>
        <v>0</v>
      </c>
      <c r="GW75" s="114">
        <v>0</v>
      </c>
      <c r="GX75" s="114">
        <f>FG75-CB75</f>
        <v>3</v>
      </c>
      <c r="GY75" s="114">
        <f>FK75-CF75</f>
        <v>0</v>
      </c>
      <c r="GZ75" s="114">
        <f>FM75-CH75</f>
        <v>0</v>
      </c>
      <c r="HA75" s="114">
        <f>FO75-CJ75</f>
        <v>0</v>
      </c>
      <c r="HB75" s="114">
        <f>FQ75-CL75</f>
        <v>0</v>
      </c>
      <c r="HC75" s="2616">
        <f>ES75-CM75</f>
        <v>2</v>
      </c>
      <c r="HD75" s="139"/>
      <c r="HE75" s="139"/>
      <c r="HF75" s="139"/>
    </row>
    <row r="76" spans="1:217" s="139" customFormat="1" ht="15" customHeight="1">
      <c r="A76" s="2660"/>
      <c r="B76" s="131" t="s">
        <v>710</v>
      </c>
      <c r="C76" s="132">
        <v>2844</v>
      </c>
      <c r="D76" s="132">
        <v>5</v>
      </c>
      <c r="E76" s="133">
        <v>2028440005</v>
      </c>
      <c r="F76" s="134">
        <v>5000</v>
      </c>
      <c r="G76" s="135" t="s">
        <v>704</v>
      </c>
      <c r="H76" s="136"/>
      <c r="I76" s="132">
        <v>1</v>
      </c>
      <c r="J76" s="132">
        <v>0</v>
      </c>
      <c r="K76" s="132">
        <v>2</v>
      </c>
      <c r="L76" s="132">
        <v>6.5</v>
      </c>
      <c r="M76" s="134">
        <v>5000</v>
      </c>
      <c r="N76" s="134">
        <v>2500</v>
      </c>
      <c r="O76" s="134">
        <v>0</v>
      </c>
      <c r="P76" s="134">
        <v>5000</v>
      </c>
      <c r="Q76" s="137">
        <v>0</v>
      </c>
      <c r="R76" s="139" t="s">
        <v>749</v>
      </c>
      <c r="S76" s="2661"/>
      <c r="T76" s="102">
        <v>0</v>
      </c>
      <c r="U76" s="2661"/>
      <c r="V76" s="102">
        <f>M76</f>
        <v>5000</v>
      </c>
      <c r="W76" s="2661"/>
      <c r="X76" s="97">
        <f>V76-Z76</f>
        <v>5000</v>
      </c>
      <c r="Y76" s="2661"/>
      <c r="Z76" s="102">
        <v>0</v>
      </c>
      <c r="AA76" s="2661"/>
      <c r="AB76" s="102">
        <v>0</v>
      </c>
      <c r="AC76" s="2661"/>
      <c r="AD76" s="103">
        <v>2500</v>
      </c>
      <c r="AE76" s="2658"/>
      <c r="AF76" s="103">
        <v>2500</v>
      </c>
      <c r="AG76" s="103">
        <v>0</v>
      </c>
      <c r="AH76" s="2658"/>
      <c r="AI76" s="103">
        <v>2500</v>
      </c>
      <c r="AJ76" s="2658"/>
      <c r="AK76" s="2658"/>
      <c r="AL76" s="103">
        <v>0</v>
      </c>
      <c r="AM76" s="2658"/>
      <c r="AN76" s="103">
        <v>0</v>
      </c>
      <c r="AO76" s="2644"/>
      <c r="AP76" s="103">
        <v>0</v>
      </c>
      <c r="AQ76" s="2658"/>
      <c r="AR76" s="103">
        <v>0</v>
      </c>
      <c r="AS76" s="2658"/>
      <c r="AT76" s="103">
        <v>0</v>
      </c>
      <c r="AU76" s="2658"/>
      <c r="AV76" s="103">
        <v>0</v>
      </c>
      <c r="AW76" s="2658"/>
      <c r="AX76" s="103">
        <v>0</v>
      </c>
      <c r="AY76" s="2658"/>
      <c r="AZ76" s="103">
        <f t="shared" si="18"/>
        <v>0</v>
      </c>
      <c r="BA76" s="2644"/>
      <c r="BB76" s="102">
        <v>0</v>
      </c>
      <c r="BC76" s="2644"/>
      <c r="BD76" s="102">
        <v>0</v>
      </c>
      <c r="BE76" s="2644"/>
      <c r="BF76" s="102">
        <v>0</v>
      </c>
      <c r="BG76" s="2644"/>
      <c r="BH76" s="102">
        <v>0</v>
      </c>
      <c r="BI76" s="2644"/>
      <c r="BJ76" s="102">
        <v>0</v>
      </c>
      <c r="BK76" s="2644"/>
      <c r="BL76" s="102">
        <v>0</v>
      </c>
      <c r="BM76" s="2658"/>
      <c r="BN76" s="97">
        <f>ROUND(T76+V76,0)</f>
        <v>5000</v>
      </c>
      <c r="BO76" s="2658"/>
      <c r="BP76" s="97">
        <f>ROUND(T76/EP$141,0)</f>
        <v>0</v>
      </c>
      <c r="BQ76" s="2658"/>
      <c r="BR76" s="97">
        <f>BR$142*BP76</f>
        <v>0</v>
      </c>
      <c r="BS76" s="2658"/>
      <c r="BT76" s="182">
        <f t="shared" si="16"/>
        <v>0</v>
      </c>
      <c r="BU76" s="2658"/>
      <c r="BV76" s="138">
        <f>ROUND((AD76+AB76+Z76)/1000*3,0)+ROUND((AF76+AX76)/1000,0)+ROUND((ROUND(AL76/400,0))/2.67,0)+ROUND(AN76/250,0)+ROUND(AR76/15000,0)+ROUND((BB76+BD76+BF76+BJ76)/1000*3,0)+ROUND(BP76/25,0)+ROUND(CN76/50,0)</f>
        <v>11</v>
      </c>
      <c r="BW76" s="2658"/>
      <c r="BX76" s="102">
        <v>0</v>
      </c>
      <c r="BY76" s="2658"/>
      <c r="BZ76" s="97">
        <v>0</v>
      </c>
      <c r="CA76" s="2658"/>
      <c r="CB76" s="97">
        <f>V76/1000</f>
        <v>5</v>
      </c>
      <c r="CC76" s="2658"/>
      <c r="CD76" s="97">
        <f>AB76/1000</f>
        <v>0</v>
      </c>
      <c r="CE76" s="2658"/>
      <c r="CF76" s="97">
        <f>((AL76/400)/12)</f>
        <v>0</v>
      </c>
      <c r="CG76" s="2658"/>
      <c r="CH76" s="105">
        <f>IFERROR(VLOOKUP(E76,#REF!,3,FALSE),0)</f>
        <v>0</v>
      </c>
      <c r="CI76" s="2658"/>
      <c r="CJ76" s="97" t="b">
        <f>IF(G76="M1-2",F76/1000)</f>
        <v>0</v>
      </c>
      <c r="CK76" s="2658"/>
      <c r="CL76" s="97">
        <f>IF(BJ76&gt;0,"Calculate",0)</f>
        <v>0</v>
      </c>
      <c r="CM76" s="2658"/>
      <c r="CN76" s="97">
        <f t="shared" si="19"/>
        <v>5</v>
      </c>
      <c r="CO76" s="97"/>
      <c r="CP76" s="308">
        <v>10</v>
      </c>
      <c r="CQ76" s="139" t="s">
        <v>705</v>
      </c>
      <c r="CR76" s="139">
        <v>4.5999999999999996</v>
      </c>
      <c r="CS76" s="139">
        <v>2</v>
      </c>
      <c r="CT76" s="139">
        <v>4.5999999999999996</v>
      </c>
      <c r="CU76" s="108" t="s">
        <v>706</v>
      </c>
      <c r="CV76" s="2662"/>
      <c r="CW76" s="97">
        <f>(CR76*(F76+F77+F78))-CZ76</f>
        <v>19826.249999999996</v>
      </c>
      <c r="CX76" s="2661"/>
      <c r="CY76" s="2663"/>
      <c r="CZ76" s="97">
        <f>1*(F76+F77+F78)-(0.15*1*(F76+F77+F78))</f>
        <v>4493.95</v>
      </c>
      <c r="DA76" s="2664"/>
      <c r="DB76" s="97">
        <f>CZ76-DD76</f>
        <v>4493.95</v>
      </c>
      <c r="DC76" s="2661"/>
      <c r="DD76" s="102">
        <v>0</v>
      </c>
      <c r="DE76" s="2661"/>
      <c r="DF76" s="102">
        <v>0</v>
      </c>
      <c r="DG76" s="2661"/>
      <c r="DH76" s="97">
        <f>CZ76-(DD76+DF76+DJ76+DL76+DN76+DT76+DV76+DX76)</f>
        <v>4493.95</v>
      </c>
      <c r="DI76" s="2661"/>
      <c r="DJ76" s="102">
        <v>0</v>
      </c>
      <c r="DK76" s="2661"/>
      <c r="DL76" s="102">
        <v>0</v>
      </c>
      <c r="DM76" s="2661"/>
      <c r="DN76" s="102">
        <v>0</v>
      </c>
      <c r="DO76" s="2661"/>
      <c r="DP76" s="102">
        <v>0</v>
      </c>
      <c r="DQ76" s="2661"/>
      <c r="DR76" s="102">
        <v>0</v>
      </c>
      <c r="DS76" s="2661"/>
      <c r="DT76" s="102">
        <v>0</v>
      </c>
      <c r="DU76" s="2661"/>
      <c r="DV76" s="102">
        <v>0</v>
      </c>
      <c r="DW76" s="2661"/>
      <c r="DX76" s="103">
        <f t="shared" si="22"/>
        <v>0</v>
      </c>
      <c r="DY76" s="2661"/>
      <c r="DZ76" s="103">
        <v>0</v>
      </c>
      <c r="EA76" s="2661"/>
      <c r="EB76" s="103">
        <v>0</v>
      </c>
      <c r="EC76" s="2661"/>
      <c r="ED76" s="103">
        <v>0</v>
      </c>
      <c r="EE76" s="2661"/>
      <c r="EF76" s="103">
        <v>0</v>
      </c>
      <c r="EG76" s="2661"/>
      <c r="EH76" s="103">
        <v>0</v>
      </c>
      <c r="EI76" s="2661"/>
      <c r="EJ76" s="103"/>
      <c r="EK76" s="2658"/>
      <c r="EL76" s="97">
        <f>CW76+CZ76</f>
        <v>24320.199999999997</v>
      </c>
      <c r="EM76" s="2643"/>
      <c r="EN76" s="102">
        <f>ROUND(CW76/EP$141,0)</f>
        <v>20</v>
      </c>
      <c r="EO76" s="2643"/>
      <c r="EP76" s="102">
        <f t="shared" si="23"/>
        <v>10</v>
      </c>
      <c r="EQ76" s="2643"/>
      <c r="ER76" s="102">
        <f t="shared" ref="ER76:ER78" si="24">0.5*EN76</f>
        <v>10</v>
      </c>
      <c r="ES76" s="2643"/>
      <c r="ET76" s="102">
        <f>FA76+FG76+FQ76</f>
        <v>4</v>
      </c>
      <c r="EU76" s="2661"/>
      <c r="EV76" s="102">
        <f>2.87*EN76</f>
        <v>57.400000000000006</v>
      </c>
      <c r="EW76" s="2661"/>
      <c r="EX76" s="186">
        <f>ROUND((DH76+DF76+DD76)/1000*3,0)+ROUND((ROUND(DL76/400,0))/2.67,0)+ROUND(DV76/1000,0)+ROUND((DZ76+EB76+ED76+EH76)/1000*3,0)+ROUND(EN76/25,0)+ROUND(ET76/50,0)</f>
        <v>14</v>
      </c>
      <c r="EY76" s="2661"/>
      <c r="EZ76" s="2642"/>
      <c r="FA76" s="2224">
        <v>0</v>
      </c>
      <c r="FB76" s="2661"/>
      <c r="FC76" s="2224">
        <v>0</v>
      </c>
      <c r="FD76" s="2661"/>
      <c r="FE76" s="2224">
        <v>0</v>
      </c>
      <c r="FF76" s="2661"/>
      <c r="FG76" s="102">
        <f>ROUND((DH76+DJ76+DD76+DN76+DT76)/1000,0)</f>
        <v>4</v>
      </c>
      <c r="FH76" s="2661"/>
      <c r="FI76" s="102">
        <f>DF76/1000</f>
        <v>0</v>
      </c>
      <c r="FJ76" s="2661"/>
      <c r="FK76" s="102">
        <f>((DL76/400)/12)</f>
        <v>0</v>
      </c>
      <c r="FL76" s="2661"/>
      <c r="FM76" s="102">
        <v>0</v>
      </c>
      <c r="FN76" s="2661"/>
      <c r="FO76" s="102">
        <v>0</v>
      </c>
      <c r="FP76" s="2643"/>
      <c r="FQ76" s="102">
        <f>DX76/1000</f>
        <v>0</v>
      </c>
      <c r="FR76" s="2661"/>
      <c r="FS76" s="2691"/>
      <c r="FT76" s="2668"/>
      <c r="FU76" s="2665"/>
      <c r="FV76" s="2666"/>
      <c r="FW76" s="2666"/>
      <c r="FX76" s="2665"/>
      <c r="FY76" s="2665"/>
      <c r="FZ76" s="2665"/>
      <c r="GA76" s="2665"/>
      <c r="GB76" s="2665"/>
      <c r="GC76" s="2665"/>
      <c r="GD76" s="2665"/>
      <c r="GE76" s="2665"/>
      <c r="GF76" s="2665"/>
      <c r="GG76" s="2665"/>
      <c r="GH76" s="2665"/>
      <c r="GI76" s="2665"/>
      <c r="GJ76" s="2665"/>
      <c r="GK76" s="2665"/>
      <c r="GL76" s="2666"/>
      <c r="GM76" s="2666"/>
      <c r="GN76" s="2666"/>
      <c r="GO76" s="2644"/>
      <c r="GP76" s="113">
        <f>EP76-BR76</f>
        <v>10</v>
      </c>
      <c r="GQ76" s="2644"/>
      <c r="GR76" s="113">
        <f>EV76-BT76</f>
        <v>57.400000000000006</v>
      </c>
      <c r="GS76" s="2644"/>
      <c r="GT76" s="113">
        <f>EX76-BV76</f>
        <v>3</v>
      </c>
      <c r="GU76" s="113">
        <f>FA76-BX76</f>
        <v>0</v>
      </c>
      <c r="GV76" s="113">
        <f>FI76-CD76</f>
        <v>0</v>
      </c>
      <c r="GW76" s="113">
        <v>0</v>
      </c>
      <c r="GX76" s="113">
        <f>FG76-CB76</f>
        <v>-1</v>
      </c>
      <c r="GY76" s="113">
        <f>FK76-CF76</f>
        <v>0</v>
      </c>
      <c r="GZ76" s="113">
        <f>FM76-CH76</f>
        <v>0</v>
      </c>
      <c r="HA76" s="113">
        <f>FO76-CJ76</f>
        <v>0</v>
      </c>
      <c r="HB76" s="113">
        <f>FQ76-CL76</f>
        <v>0</v>
      </c>
      <c r="HC76" s="2669"/>
    </row>
    <row r="77" spans="1:217" s="95" customFormat="1" ht="15" customHeight="1">
      <c r="A77" s="2660"/>
      <c r="B77" s="131" t="s">
        <v>721</v>
      </c>
      <c r="C77" s="132">
        <v>2844</v>
      </c>
      <c r="D77" s="132">
        <v>117</v>
      </c>
      <c r="E77" s="132">
        <v>2028440117</v>
      </c>
      <c r="F77" s="134">
        <v>260</v>
      </c>
      <c r="G77" s="135" t="s">
        <v>733</v>
      </c>
      <c r="H77" s="136"/>
      <c r="I77" s="132">
        <v>0</v>
      </c>
      <c r="J77" s="132">
        <v>6.02</v>
      </c>
      <c r="K77" s="132">
        <v>0</v>
      </c>
      <c r="L77" s="132">
        <v>6.5</v>
      </c>
      <c r="M77" s="134">
        <v>0</v>
      </c>
      <c r="N77" s="134">
        <v>0</v>
      </c>
      <c r="O77" s="134">
        <v>0</v>
      </c>
      <c r="P77" s="134">
        <v>0</v>
      </c>
      <c r="Q77" s="137">
        <v>0</v>
      </c>
      <c r="R77" s="95" t="s">
        <v>750</v>
      </c>
      <c r="S77" s="2661"/>
      <c r="T77" s="97">
        <v>0</v>
      </c>
      <c r="U77" s="2661"/>
      <c r="V77" s="102">
        <v>0</v>
      </c>
      <c r="W77" s="2661"/>
      <c r="X77" s="97">
        <f>V77-Z77</f>
        <v>0</v>
      </c>
      <c r="Y77" s="2661"/>
      <c r="Z77" s="102">
        <v>0</v>
      </c>
      <c r="AA77" s="2661"/>
      <c r="AB77" s="102">
        <v>0</v>
      </c>
      <c r="AC77" s="2661"/>
      <c r="AD77" s="103">
        <f>V77-(Z77+AB77+AF77+AL77+AN77+AP77+AZ77+AR77+AT77+AV77+AX77)</f>
        <v>0</v>
      </c>
      <c r="AE77" s="2658"/>
      <c r="AF77" s="103">
        <v>0</v>
      </c>
      <c r="AG77" s="103">
        <v>0</v>
      </c>
      <c r="AH77" s="2658"/>
      <c r="AI77" s="103">
        <v>0</v>
      </c>
      <c r="AJ77" s="2658"/>
      <c r="AK77" s="2658"/>
      <c r="AL77" s="103">
        <v>0</v>
      </c>
      <c r="AM77" s="2658"/>
      <c r="AN77" s="103">
        <v>0</v>
      </c>
      <c r="AO77" s="2644"/>
      <c r="AP77" s="103">
        <v>0</v>
      </c>
      <c r="AQ77" s="2658"/>
      <c r="AR77" s="103">
        <v>0</v>
      </c>
      <c r="AS77" s="2658"/>
      <c r="AT77" s="103">
        <v>0</v>
      </c>
      <c r="AU77" s="2658"/>
      <c r="AV77" s="103">
        <v>0</v>
      </c>
      <c r="AW77" s="2658"/>
      <c r="AX77" s="103">
        <v>0</v>
      </c>
      <c r="AY77" s="2658"/>
      <c r="AZ77" s="103">
        <f t="shared" si="18"/>
        <v>0</v>
      </c>
      <c r="BA77" s="2644"/>
      <c r="BB77" s="97">
        <v>0</v>
      </c>
      <c r="BC77" s="2644"/>
      <c r="BD77" s="97">
        <v>0</v>
      </c>
      <c r="BE77" s="2644"/>
      <c r="BF77" s="97">
        <v>0</v>
      </c>
      <c r="BG77" s="2644"/>
      <c r="BH77" s="97">
        <v>0</v>
      </c>
      <c r="BI77" s="2644"/>
      <c r="BJ77" s="97">
        <v>0</v>
      </c>
      <c r="BK77" s="2644"/>
      <c r="BL77" s="97">
        <v>0</v>
      </c>
      <c r="BM77" s="2658"/>
      <c r="BN77" s="97">
        <f>ROUND(T77+V77,0)</f>
        <v>0</v>
      </c>
      <c r="BO77" s="2658"/>
      <c r="BP77" s="97">
        <v>0</v>
      </c>
      <c r="BQ77" s="2658"/>
      <c r="BR77" s="97">
        <f>BR$142*BP77</f>
        <v>0</v>
      </c>
      <c r="BS77" s="2658"/>
      <c r="BT77" s="182">
        <f t="shared" si="16"/>
        <v>0</v>
      </c>
      <c r="BU77" s="2658"/>
      <c r="BV77" s="138">
        <f>ROUND((AD77+AB77+Z77)/1000*3,0)+ROUND((AF77+AX77)/1000,0)+ROUND((ROUND(AL77/400,0))/2.67,0)+ROUND(AN77/250,0)+ROUND(AR77/15000,0)+ROUND((BB77+BD77+BF77+BJ77)/1000*3,0)+ROUND(BP77/25,0)+ROUND(CN77/50,0)</f>
        <v>0</v>
      </c>
      <c r="BW77" s="2658"/>
      <c r="BX77" s="102">
        <v>0</v>
      </c>
      <c r="BY77" s="2658"/>
      <c r="BZ77" s="97">
        <v>0</v>
      </c>
      <c r="CA77" s="2658"/>
      <c r="CB77" s="97">
        <v>0</v>
      </c>
      <c r="CC77" s="2658"/>
      <c r="CD77" s="97">
        <f>AB77/1000</f>
        <v>0</v>
      </c>
      <c r="CE77" s="2658"/>
      <c r="CF77" s="97">
        <v>0</v>
      </c>
      <c r="CG77" s="2658"/>
      <c r="CH77" s="105">
        <f>IFERROR(VLOOKUP(E77,#REF!,3,FALSE),0)</f>
        <v>0</v>
      </c>
      <c r="CI77" s="2658"/>
      <c r="CJ77" s="97" t="b">
        <f>IF(G77="M1-2",F77/1000)</f>
        <v>0</v>
      </c>
      <c r="CK77" s="2658"/>
      <c r="CL77" s="97">
        <v>0</v>
      </c>
      <c r="CM77" s="2658"/>
      <c r="CN77" s="97">
        <f t="shared" si="19"/>
        <v>0</v>
      </c>
      <c r="CO77" s="97"/>
      <c r="CP77" s="308">
        <v>0</v>
      </c>
      <c r="CQ77" s="139" t="s">
        <v>705</v>
      </c>
      <c r="CR77" s="2693" t="s">
        <v>751</v>
      </c>
      <c r="CS77" s="2693"/>
      <c r="CT77" s="2693"/>
      <c r="CU77" s="2693"/>
      <c r="CV77" s="2662"/>
      <c r="CW77" s="97">
        <v>0</v>
      </c>
      <c r="CX77" s="2661"/>
      <c r="CY77" s="2663"/>
      <c r="CZ77" s="97">
        <v>0</v>
      </c>
      <c r="DA77" s="2664"/>
      <c r="DB77" s="97">
        <v>0</v>
      </c>
      <c r="DC77" s="2661"/>
      <c r="DD77" s="97">
        <v>0</v>
      </c>
      <c r="DE77" s="2661"/>
      <c r="DF77" s="97">
        <v>0</v>
      </c>
      <c r="DG77" s="2661"/>
      <c r="DH77" s="97">
        <f>CZ77-(DD77+DF77+DJ77+DL77+DN77+DT77+DV77+DX77)</f>
        <v>0</v>
      </c>
      <c r="DI77" s="2661"/>
      <c r="DJ77" s="97">
        <v>0</v>
      </c>
      <c r="DK77" s="2661"/>
      <c r="DL77" s="97">
        <v>0</v>
      </c>
      <c r="DM77" s="2661"/>
      <c r="DN77" s="97">
        <v>0</v>
      </c>
      <c r="DO77" s="2661"/>
      <c r="DP77" s="97">
        <v>0</v>
      </c>
      <c r="DQ77" s="2661"/>
      <c r="DR77" s="97">
        <v>0</v>
      </c>
      <c r="DS77" s="2661"/>
      <c r="DT77" s="97">
        <v>0</v>
      </c>
      <c r="DU77" s="2661"/>
      <c r="DV77" s="97">
        <v>0</v>
      </c>
      <c r="DW77" s="2661"/>
      <c r="DX77" s="103">
        <f t="shared" si="22"/>
        <v>0</v>
      </c>
      <c r="DY77" s="2661"/>
      <c r="DZ77" s="103">
        <v>0</v>
      </c>
      <c r="EA77" s="2661"/>
      <c r="EB77" s="103">
        <v>0</v>
      </c>
      <c r="EC77" s="2661"/>
      <c r="ED77" s="103">
        <v>0</v>
      </c>
      <c r="EE77" s="2661"/>
      <c r="EF77" s="103">
        <v>0</v>
      </c>
      <c r="EG77" s="2661"/>
      <c r="EH77" s="103">
        <v>0</v>
      </c>
      <c r="EI77" s="2661"/>
      <c r="EJ77" s="103"/>
      <c r="EK77" s="2658"/>
      <c r="EL77" s="97">
        <f>CW77+CZ77</f>
        <v>0</v>
      </c>
      <c r="EM77" s="2643"/>
      <c r="EN77" s="102">
        <v>0</v>
      </c>
      <c r="EO77" s="2643"/>
      <c r="EP77" s="102">
        <f t="shared" si="23"/>
        <v>0</v>
      </c>
      <c r="EQ77" s="2643"/>
      <c r="ER77" s="102">
        <f t="shared" si="24"/>
        <v>0</v>
      </c>
      <c r="ES77" s="2643"/>
      <c r="ET77" s="102">
        <f>FA77+FG77+FQ77</f>
        <v>0</v>
      </c>
      <c r="EU77" s="2661"/>
      <c r="EV77" s="102">
        <f>2.87*EN77</f>
        <v>0</v>
      </c>
      <c r="EW77" s="2661"/>
      <c r="EX77" s="186">
        <f>ROUND((DH77+DF77+DD77)/1000*3,0)+ROUND((ROUND(DL77/400,0))/2.67,0)+ROUND(DV77/1000,0)+ROUND((DZ77+EB77+ED77+EH77)/1000*3,0)+ROUND(EN77/25,0)+ROUND(ET77/50,0)</f>
        <v>0</v>
      </c>
      <c r="EY77" s="2661"/>
      <c r="EZ77" s="2642"/>
      <c r="FA77" s="2224">
        <v>0</v>
      </c>
      <c r="FB77" s="2661"/>
      <c r="FC77" s="2224">
        <v>0</v>
      </c>
      <c r="FD77" s="2661"/>
      <c r="FE77" s="2224">
        <v>0</v>
      </c>
      <c r="FF77" s="2661"/>
      <c r="FG77" s="102">
        <f>ROUND((DH77+DJ77+DD77+DN77+DT77)/1000,0)</f>
        <v>0</v>
      </c>
      <c r="FH77" s="2661"/>
      <c r="FI77" s="102">
        <v>0</v>
      </c>
      <c r="FJ77" s="2661"/>
      <c r="FK77" s="102">
        <v>0</v>
      </c>
      <c r="FL77" s="2661"/>
      <c r="FM77" s="102">
        <v>0</v>
      </c>
      <c r="FN77" s="2661"/>
      <c r="FO77" s="102">
        <v>0</v>
      </c>
      <c r="FP77" s="2643"/>
      <c r="FQ77" s="102">
        <f>DX77/1000</f>
        <v>0</v>
      </c>
      <c r="FR77" s="2661"/>
      <c r="FS77" s="2691"/>
      <c r="FT77" s="2668"/>
      <c r="FU77" s="2665"/>
      <c r="FV77" s="2666"/>
      <c r="FW77" s="2666"/>
      <c r="FX77" s="2665"/>
      <c r="FY77" s="2665"/>
      <c r="FZ77" s="2665"/>
      <c r="GA77" s="2665"/>
      <c r="GB77" s="2665"/>
      <c r="GC77" s="2665"/>
      <c r="GD77" s="2665"/>
      <c r="GE77" s="2665"/>
      <c r="GF77" s="2665"/>
      <c r="GG77" s="2665"/>
      <c r="GH77" s="2665"/>
      <c r="GI77" s="2665"/>
      <c r="GJ77" s="2665"/>
      <c r="GK77" s="2665"/>
      <c r="GL77" s="2666"/>
      <c r="GM77" s="2666"/>
      <c r="GN77" s="2666"/>
      <c r="GO77" s="2644"/>
      <c r="GP77" s="113">
        <f>EP77-BR77</f>
        <v>0</v>
      </c>
      <c r="GQ77" s="2644"/>
      <c r="GR77" s="113">
        <f>EV77-BT77</f>
        <v>0</v>
      </c>
      <c r="GS77" s="2644"/>
      <c r="GT77" s="113">
        <f>EX77-BV77</f>
        <v>0</v>
      </c>
      <c r="GU77" s="113">
        <f>FA77-BX77</f>
        <v>0</v>
      </c>
      <c r="GV77" s="113">
        <f>FI77-CD77</f>
        <v>0</v>
      </c>
      <c r="GW77" s="113">
        <v>0</v>
      </c>
      <c r="GX77" s="113">
        <f>FG77-CB77</f>
        <v>0</v>
      </c>
      <c r="GY77" s="113">
        <f>FK77-CF77</f>
        <v>0</v>
      </c>
      <c r="GZ77" s="113">
        <f>FM77-CH77</f>
        <v>0</v>
      </c>
      <c r="HA77" s="113">
        <f>FO77-CJ77</f>
        <v>0</v>
      </c>
      <c r="HB77" s="113">
        <f>FQ77-CL77</f>
        <v>0</v>
      </c>
      <c r="HC77" s="2669"/>
    </row>
    <row r="78" spans="1:217" s="72" customFormat="1" ht="15" customHeight="1">
      <c r="A78" s="2589"/>
      <c r="B78" s="297" t="s">
        <v>724</v>
      </c>
      <c r="C78" s="66">
        <v>2844</v>
      </c>
      <c r="D78" s="66">
        <v>116</v>
      </c>
      <c r="E78" s="66">
        <v>2028440116</v>
      </c>
      <c r="F78" s="68">
        <v>27</v>
      </c>
      <c r="G78" s="69" t="s">
        <v>733</v>
      </c>
      <c r="H78" s="70"/>
      <c r="I78" s="66">
        <v>0</v>
      </c>
      <c r="J78" s="66">
        <v>6.02</v>
      </c>
      <c r="K78" s="66">
        <v>0</v>
      </c>
      <c r="L78" s="66">
        <v>6.5</v>
      </c>
      <c r="M78" s="68">
        <v>0</v>
      </c>
      <c r="N78" s="68">
        <v>0</v>
      </c>
      <c r="O78" s="68">
        <v>0</v>
      </c>
      <c r="P78" s="68">
        <v>0</v>
      </c>
      <c r="Q78" s="71">
        <v>0</v>
      </c>
      <c r="R78" s="72" t="s">
        <v>752</v>
      </c>
      <c r="S78" s="2591"/>
      <c r="T78" s="73">
        <v>0</v>
      </c>
      <c r="U78" s="2591"/>
      <c r="V78" s="74">
        <v>0</v>
      </c>
      <c r="W78" s="2591"/>
      <c r="X78" s="73">
        <f>V78-Z78</f>
        <v>0</v>
      </c>
      <c r="Y78" s="2591"/>
      <c r="Z78" s="73">
        <v>0</v>
      </c>
      <c r="AA78" s="2591"/>
      <c r="AB78" s="73">
        <v>0</v>
      </c>
      <c r="AC78" s="2591"/>
      <c r="AD78" s="75">
        <f>V78-(Z78+AB78+AF78+AL78+AN78+AP78+AZ78+AR78+AT78+AV78+AX78)</f>
        <v>0</v>
      </c>
      <c r="AE78" s="2581"/>
      <c r="AF78" s="75">
        <v>0</v>
      </c>
      <c r="AG78" s="75">
        <v>0</v>
      </c>
      <c r="AH78" s="2581"/>
      <c r="AI78" s="75">
        <v>0</v>
      </c>
      <c r="AJ78" s="2581"/>
      <c r="AK78" s="2581"/>
      <c r="AL78" s="75">
        <v>0</v>
      </c>
      <c r="AM78" s="2581"/>
      <c r="AN78" s="75">
        <v>0</v>
      </c>
      <c r="AO78" s="2583"/>
      <c r="AP78" s="75">
        <v>0</v>
      </c>
      <c r="AQ78" s="2581"/>
      <c r="AR78" s="75">
        <v>0</v>
      </c>
      <c r="AS78" s="2581"/>
      <c r="AT78" s="75">
        <v>0</v>
      </c>
      <c r="AU78" s="2581"/>
      <c r="AV78" s="75">
        <v>0</v>
      </c>
      <c r="AW78" s="2581"/>
      <c r="AX78" s="75">
        <v>0</v>
      </c>
      <c r="AY78" s="2581"/>
      <c r="AZ78" s="75">
        <f t="shared" si="18"/>
        <v>0</v>
      </c>
      <c r="BA78" s="2583"/>
      <c r="BB78" s="73">
        <v>0</v>
      </c>
      <c r="BC78" s="2583"/>
      <c r="BD78" s="73">
        <v>0</v>
      </c>
      <c r="BE78" s="2583"/>
      <c r="BF78" s="73">
        <v>0</v>
      </c>
      <c r="BG78" s="2583"/>
      <c r="BH78" s="73">
        <v>0</v>
      </c>
      <c r="BI78" s="2583"/>
      <c r="BJ78" s="73">
        <v>0</v>
      </c>
      <c r="BK78" s="2583"/>
      <c r="BL78" s="73">
        <v>0</v>
      </c>
      <c r="BM78" s="2581"/>
      <c r="BN78" s="73">
        <f>ROUND(T78+V78,0)</f>
        <v>0</v>
      </c>
      <c r="BO78" s="2581"/>
      <c r="BP78" s="73">
        <v>0</v>
      </c>
      <c r="BQ78" s="2581"/>
      <c r="BR78" s="73">
        <f>BR$142*BP78</f>
        <v>0</v>
      </c>
      <c r="BS78" s="2581"/>
      <c r="BT78" s="77">
        <f t="shared" si="16"/>
        <v>0</v>
      </c>
      <c r="BU78" s="2581"/>
      <c r="BV78" s="78">
        <f>ROUND((AD78+AB78+Z78)/1000*3,0)+ROUND((AF78+AX78)/1000,0)+ROUND((ROUND(AL78/400,0))/2.67,0)+ROUND(AN78/250,0)+ROUND(AR78/15000,0)+ROUND((BB78+BD78+BF78+BJ78)/1000*3,0)+ROUND(BP78/25,0)+ROUND(CN78/50,0)</f>
        <v>0</v>
      </c>
      <c r="BW78" s="2581"/>
      <c r="BX78" s="73">
        <v>0</v>
      </c>
      <c r="BY78" s="2581"/>
      <c r="BZ78" s="73">
        <v>0</v>
      </c>
      <c r="CA78" s="2581"/>
      <c r="CB78" s="73">
        <v>0</v>
      </c>
      <c r="CC78" s="2581"/>
      <c r="CD78" s="73">
        <f>AB78/1000</f>
        <v>0</v>
      </c>
      <c r="CE78" s="2581"/>
      <c r="CF78" s="73">
        <v>0</v>
      </c>
      <c r="CG78" s="2581"/>
      <c r="CH78" s="79">
        <f>IFERROR(VLOOKUP(E78,#REF!,3,FALSE),0)</f>
        <v>0</v>
      </c>
      <c r="CI78" s="2581"/>
      <c r="CJ78" s="73" t="b">
        <f>IF(G78="M1-2",F78/1000)</f>
        <v>0</v>
      </c>
      <c r="CK78" s="2581"/>
      <c r="CL78" s="73">
        <v>0</v>
      </c>
      <c r="CM78" s="2581"/>
      <c r="CN78" s="73">
        <f t="shared" si="19"/>
        <v>0</v>
      </c>
      <c r="CO78" s="73"/>
      <c r="CP78" s="2266">
        <v>0</v>
      </c>
      <c r="CQ78" s="81" t="s">
        <v>705</v>
      </c>
      <c r="CR78" s="2694"/>
      <c r="CS78" s="2694"/>
      <c r="CT78" s="2694"/>
      <c r="CU78" s="2694"/>
      <c r="CV78" s="2597"/>
      <c r="CW78" s="73">
        <v>0</v>
      </c>
      <c r="CX78" s="2591"/>
      <c r="CY78" s="2599"/>
      <c r="CZ78" s="73">
        <v>0</v>
      </c>
      <c r="DA78" s="2593"/>
      <c r="DB78" s="73">
        <v>0</v>
      </c>
      <c r="DC78" s="2591"/>
      <c r="DD78" s="73">
        <v>0</v>
      </c>
      <c r="DE78" s="2591"/>
      <c r="DF78" s="73">
        <v>0</v>
      </c>
      <c r="DG78" s="2591"/>
      <c r="DH78" s="73">
        <f>CZ78-(DD78+DF78+DJ78+DL78+DN78+DT78+DV78+DX78)</f>
        <v>0</v>
      </c>
      <c r="DI78" s="2591"/>
      <c r="DJ78" s="73">
        <v>0</v>
      </c>
      <c r="DK78" s="2591"/>
      <c r="DL78" s="73">
        <v>0</v>
      </c>
      <c r="DM78" s="2591"/>
      <c r="DN78" s="73">
        <v>0</v>
      </c>
      <c r="DO78" s="2591"/>
      <c r="DP78" s="73">
        <v>0</v>
      </c>
      <c r="DQ78" s="2591"/>
      <c r="DR78" s="73">
        <v>0</v>
      </c>
      <c r="DS78" s="2591"/>
      <c r="DT78" s="73">
        <v>0</v>
      </c>
      <c r="DU78" s="2591"/>
      <c r="DV78" s="73">
        <v>0</v>
      </c>
      <c r="DW78" s="2591"/>
      <c r="DX78" s="75">
        <f t="shared" si="22"/>
        <v>0</v>
      </c>
      <c r="DY78" s="2591"/>
      <c r="DZ78" s="75">
        <v>0</v>
      </c>
      <c r="EA78" s="2591"/>
      <c r="EB78" s="75">
        <v>0</v>
      </c>
      <c r="EC78" s="2591"/>
      <c r="ED78" s="75">
        <v>0</v>
      </c>
      <c r="EE78" s="2591"/>
      <c r="EF78" s="75">
        <v>0</v>
      </c>
      <c r="EG78" s="2591"/>
      <c r="EH78" s="75">
        <v>0</v>
      </c>
      <c r="EI78" s="2591"/>
      <c r="EJ78" s="75"/>
      <c r="EK78" s="2581"/>
      <c r="EL78" s="73">
        <f>CW78+CZ78</f>
        <v>0</v>
      </c>
      <c r="EM78" s="2601"/>
      <c r="EN78" s="74">
        <v>0</v>
      </c>
      <c r="EO78" s="2601"/>
      <c r="EP78" s="74">
        <f t="shared" si="23"/>
        <v>0</v>
      </c>
      <c r="EQ78" s="2601"/>
      <c r="ER78" s="74">
        <f t="shared" si="24"/>
        <v>0</v>
      </c>
      <c r="ES78" s="2601"/>
      <c r="ET78" s="74">
        <f>FA78+FG78+FQ78</f>
        <v>0</v>
      </c>
      <c r="EU78" s="2591"/>
      <c r="EV78" s="74">
        <f>2.87*EN78</f>
        <v>0</v>
      </c>
      <c r="EW78" s="2591"/>
      <c r="EX78" s="88">
        <f>ROUND((DH78+DF78+DD78)/1000*3,0)+ROUND((ROUND(DL78/400,0))/2.67,0)+ROUND(DV78/1000,0)+ROUND((DZ78+EB78+ED78+EH78)/1000*3,0)+ROUND(EN78/25,0)+ROUND(ET78/50,0)</f>
        <v>0</v>
      </c>
      <c r="EY78" s="2591"/>
      <c r="EZ78" s="2611"/>
      <c r="FA78" s="2224">
        <f>(0.5*EN78)*0.5</f>
        <v>0</v>
      </c>
      <c r="FB78" s="2591"/>
      <c r="FC78" s="2224">
        <v>0</v>
      </c>
      <c r="FD78" s="2591"/>
      <c r="FE78" s="2224">
        <v>0</v>
      </c>
      <c r="FF78" s="2591"/>
      <c r="FG78" s="74">
        <f>ROUND((DH78+DJ78+DD78+DN78+DT78)/1000,0)</f>
        <v>0</v>
      </c>
      <c r="FH78" s="2591"/>
      <c r="FI78" s="74">
        <v>0</v>
      </c>
      <c r="FJ78" s="2591"/>
      <c r="FK78" s="74">
        <v>0</v>
      </c>
      <c r="FL78" s="2591"/>
      <c r="FM78" s="74">
        <v>0</v>
      </c>
      <c r="FN78" s="2591"/>
      <c r="FO78" s="74">
        <v>0</v>
      </c>
      <c r="FP78" s="2601"/>
      <c r="FQ78" s="74">
        <f>DX78/1000</f>
        <v>0</v>
      </c>
      <c r="FR78" s="2591"/>
      <c r="FS78" s="2692"/>
      <c r="FT78" s="2607"/>
      <c r="FU78" s="2603"/>
      <c r="FV78" s="2609"/>
      <c r="FW78" s="2609"/>
      <c r="FX78" s="2603"/>
      <c r="FY78" s="2603"/>
      <c r="FZ78" s="2603"/>
      <c r="GA78" s="2603"/>
      <c r="GB78" s="2603"/>
      <c r="GC78" s="2603"/>
      <c r="GD78" s="2603"/>
      <c r="GE78" s="2603"/>
      <c r="GF78" s="2603"/>
      <c r="GG78" s="2603"/>
      <c r="GH78" s="2603"/>
      <c r="GI78" s="2603"/>
      <c r="GJ78" s="2603"/>
      <c r="GK78" s="2603"/>
      <c r="GL78" s="2609"/>
      <c r="GM78" s="2609"/>
      <c r="GN78" s="2609"/>
      <c r="GO78" s="2583"/>
      <c r="GP78" s="89">
        <f>EP78-BR78</f>
        <v>0</v>
      </c>
      <c r="GQ78" s="2583"/>
      <c r="GR78" s="89">
        <f>EV78-BT78</f>
        <v>0</v>
      </c>
      <c r="GS78" s="2583"/>
      <c r="GT78" s="89">
        <f>EX78-BV78</f>
        <v>0</v>
      </c>
      <c r="GU78" s="89">
        <f>FA78-BX78</f>
        <v>0</v>
      </c>
      <c r="GV78" s="89">
        <f>FI78-CD78</f>
        <v>0</v>
      </c>
      <c r="GW78" s="89">
        <v>0</v>
      </c>
      <c r="GX78" s="89">
        <f>FG78-CB78</f>
        <v>0</v>
      </c>
      <c r="GY78" s="89">
        <f>FK78-CF78</f>
        <v>0</v>
      </c>
      <c r="GZ78" s="89">
        <f>FM78-CH78</f>
        <v>0</v>
      </c>
      <c r="HA78" s="89">
        <f>FO78-CJ78</f>
        <v>0</v>
      </c>
      <c r="HB78" s="89">
        <f>FQ78-CL78</f>
        <v>0</v>
      </c>
      <c r="HC78" s="2617"/>
      <c r="HD78" s="95"/>
      <c r="HE78" s="95"/>
      <c r="HF78" s="95"/>
      <c r="HG78" s="95"/>
    </row>
    <row r="79" spans="1:217" s="95" customFormat="1" ht="18.75">
      <c r="A79" s="2263"/>
      <c r="B79" s="236"/>
      <c r="C79" s="132"/>
      <c r="D79" s="132"/>
      <c r="E79" s="132"/>
      <c r="F79" s="134"/>
      <c r="G79" s="135"/>
      <c r="H79" s="136"/>
      <c r="I79" s="132"/>
      <c r="J79" s="132"/>
      <c r="K79" s="132"/>
      <c r="L79" s="132"/>
      <c r="M79" s="134"/>
      <c r="N79" s="134"/>
      <c r="O79" s="134"/>
      <c r="P79" s="134"/>
      <c r="Q79" s="137"/>
      <c r="S79" s="101"/>
      <c r="T79" s="97"/>
      <c r="U79" s="2244"/>
      <c r="V79" s="102"/>
      <c r="W79" s="2244"/>
      <c r="X79" s="97"/>
      <c r="Y79" s="2244"/>
      <c r="Z79" s="97"/>
      <c r="AA79" s="2244"/>
      <c r="AB79" s="97"/>
      <c r="AC79" s="2244"/>
      <c r="AD79" s="103"/>
      <c r="AE79" s="2251"/>
      <c r="AF79" s="103"/>
      <c r="AG79" s="103"/>
      <c r="AH79" s="103"/>
      <c r="AI79" s="103"/>
      <c r="AJ79" s="103"/>
      <c r="AK79" s="2251"/>
      <c r="AL79" s="103"/>
      <c r="AM79" s="2251"/>
      <c r="AN79" s="103"/>
      <c r="AO79" s="2224"/>
      <c r="AP79" s="103"/>
      <c r="AQ79" s="2251"/>
      <c r="AR79" s="103"/>
      <c r="AS79" s="2251"/>
      <c r="AT79" s="103"/>
      <c r="AU79" s="2251"/>
      <c r="AV79" s="103"/>
      <c r="AW79" s="2251"/>
      <c r="AX79" s="103"/>
      <c r="AY79" s="2251"/>
      <c r="AZ79" s="75">
        <f t="shared" si="18"/>
        <v>0</v>
      </c>
      <c r="BA79" s="2224"/>
      <c r="BB79" s="97"/>
      <c r="BC79" s="2224"/>
      <c r="BD79" s="97"/>
      <c r="BE79" s="2224"/>
      <c r="BF79" s="97"/>
      <c r="BG79" s="2224"/>
      <c r="BH79" s="97"/>
      <c r="BI79" s="2224"/>
      <c r="BJ79" s="97"/>
      <c r="BK79" s="2224"/>
      <c r="BL79" s="97"/>
      <c r="BM79" s="2251"/>
      <c r="BN79" s="97"/>
      <c r="BO79" s="2251"/>
      <c r="BP79" s="97"/>
      <c r="BQ79" s="2251"/>
      <c r="BR79" s="97"/>
      <c r="BS79" s="2251"/>
      <c r="BT79" s="124"/>
      <c r="BU79" s="2251"/>
      <c r="BV79" s="78">
        <f t="shared" ref="BV79:BV83" si="25">ROUND((AD79+AB79+Z79)/1000*3,0)+ROUND((AF79+AX79)/1000,0)+ROUND((ROUND(AL79/400,0))/2.67,0)+ROUND(AN79/250,0)+ROUND(AR79/15000,0)+ROUND((BB79+BD79+BF79+BJ79)/1000*3,0)+ROUND(BP79/25,0)+ROUND(CN79/50,0)</f>
        <v>0</v>
      </c>
      <c r="BW79" s="2251"/>
      <c r="BX79" s="97"/>
      <c r="BY79" s="2251"/>
      <c r="BZ79" s="97"/>
      <c r="CA79" s="2251"/>
      <c r="CB79" s="97"/>
      <c r="CC79" s="2251"/>
      <c r="CD79" s="97"/>
      <c r="CE79" s="2251"/>
      <c r="CF79" s="97"/>
      <c r="CG79" s="2251"/>
      <c r="CH79" s="105"/>
      <c r="CI79" s="2251"/>
      <c r="CJ79" s="97"/>
      <c r="CK79" s="2251"/>
      <c r="CL79" s="97"/>
      <c r="CM79" s="2251"/>
      <c r="CN79" s="73">
        <f t="shared" si="19"/>
        <v>0</v>
      </c>
      <c r="CO79" s="97"/>
      <c r="CP79" s="106"/>
      <c r="CQ79" s="139"/>
      <c r="CR79" s="2267"/>
      <c r="CS79" s="2267"/>
      <c r="CT79" s="2267"/>
      <c r="CU79" s="309"/>
      <c r="CV79" s="2258"/>
      <c r="CW79" s="97"/>
      <c r="CX79" s="2244"/>
      <c r="CY79" s="2261"/>
      <c r="CZ79" s="97"/>
      <c r="DA79" s="2253"/>
      <c r="DB79" s="97"/>
      <c r="DC79" s="2244"/>
      <c r="DD79" s="97"/>
      <c r="DE79" s="2244"/>
      <c r="DF79" s="97"/>
      <c r="DG79" s="2244"/>
      <c r="DH79" s="97"/>
      <c r="DI79" s="2244"/>
      <c r="DJ79" s="97"/>
      <c r="DK79" s="2244"/>
      <c r="DL79" s="97"/>
      <c r="DM79" s="214"/>
      <c r="DN79" s="83"/>
      <c r="DO79" s="2244"/>
      <c r="DP79" s="83"/>
      <c r="DQ79" s="2244"/>
      <c r="DR79" s="83"/>
      <c r="DS79" s="2244"/>
      <c r="DT79" s="83"/>
      <c r="DU79" s="2244"/>
      <c r="DV79" s="83"/>
      <c r="DW79" s="214"/>
      <c r="DX79" s="75"/>
      <c r="DY79" s="2244"/>
      <c r="DZ79" s="76"/>
      <c r="EA79" s="2244"/>
      <c r="EB79" s="76"/>
      <c r="EC79" s="2244"/>
      <c r="ED79" s="76"/>
      <c r="EE79" s="2244"/>
      <c r="EF79" s="76"/>
      <c r="EG79" s="2244"/>
      <c r="EH79" s="76"/>
      <c r="EI79" s="2244"/>
      <c r="EJ79" s="76"/>
      <c r="EK79" s="215"/>
      <c r="EL79" s="97"/>
      <c r="EM79" s="2246"/>
      <c r="EN79" s="102"/>
      <c r="EO79" s="2246"/>
      <c r="EP79" s="102"/>
      <c r="EQ79" s="110"/>
      <c r="ER79" s="102"/>
      <c r="ES79" s="110"/>
      <c r="ET79" s="74"/>
      <c r="EU79" s="2244"/>
      <c r="EV79" s="111"/>
      <c r="EW79" s="2244"/>
      <c r="EX79" s="88"/>
      <c r="EY79" s="2244"/>
      <c r="EZ79" s="2248"/>
      <c r="FA79" s="194"/>
      <c r="FB79" s="2244"/>
      <c r="FC79" s="194"/>
      <c r="FD79" s="2244"/>
      <c r="FE79" s="194"/>
      <c r="FF79" s="2244"/>
      <c r="FG79" s="102"/>
      <c r="FH79" s="2244"/>
      <c r="FI79" s="102"/>
      <c r="FJ79" s="2244"/>
      <c r="FK79" s="102"/>
      <c r="FL79" s="2244"/>
      <c r="FM79" s="102"/>
      <c r="FN79" s="2244"/>
      <c r="FO79" s="102"/>
      <c r="FP79" s="110"/>
      <c r="FQ79" s="102"/>
      <c r="FR79" s="2244"/>
      <c r="FS79" s="2244"/>
      <c r="FT79" s="2240"/>
      <c r="FU79" s="2233"/>
      <c r="FV79" s="2235"/>
      <c r="FW79" s="2235"/>
      <c r="FX79" s="2233"/>
      <c r="FY79" s="2233"/>
      <c r="FZ79" s="2233"/>
      <c r="GA79" s="2232"/>
      <c r="GB79" s="2233"/>
      <c r="GC79" s="2233"/>
      <c r="GD79" s="2233"/>
      <c r="GE79" s="2232"/>
      <c r="GF79" s="2233"/>
      <c r="GG79" s="2232"/>
      <c r="GH79" s="2232"/>
      <c r="GI79" s="2232"/>
      <c r="GJ79" s="2232"/>
      <c r="GK79" s="2232"/>
      <c r="GL79" s="2235"/>
      <c r="GM79" s="2235"/>
      <c r="GN79" s="2235"/>
      <c r="GO79" s="2224"/>
      <c r="GP79" s="112"/>
      <c r="GQ79" s="2224"/>
      <c r="GR79" s="112"/>
      <c r="GS79" s="2224"/>
      <c r="GT79" s="113"/>
      <c r="GU79" s="114"/>
      <c r="GV79" s="113"/>
      <c r="GW79" s="113"/>
      <c r="GX79" s="113"/>
      <c r="GY79" s="113"/>
      <c r="GZ79" s="112"/>
      <c r="HA79" s="113"/>
      <c r="HB79" s="113"/>
      <c r="HC79" s="2230"/>
    </row>
    <row r="80" spans="1:217" s="91" customFormat="1" ht="18.75">
      <c r="A80" s="216">
        <v>27</v>
      </c>
      <c r="B80" s="262" t="s">
        <v>703</v>
      </c>
      <c r="C80" s="218">
        <v>2843</v>
      </c>
      <c r="D80" s="218">
        <v>1</v>
      </c>
      <c r="E80" s="263">
        <v>2028437501</v>
      </c>
      <c r="F80" s="220">
        <v>11300</v>
      </c>
      <c r="G80" s="221" t="s">
        <v>753</v>
      </c>
      <c r="H80" s="222"/>
      <c r="I80" s="218">
        <v>1.44</v>
      </c>
      <c r="J80" s="218">
        <v>3.44</v>
      </c>
      <c r="K80" s="218">
        <v>3.4</v>
      </c>
      <c r="L80" s="218">
        <v>6.5</v>
      </c>
      <c r="M80" s="220">
        <v>16235</v>
      </c>
      <c r="N80" s="220">
        <v>0</v>
      </c>
      <c r="O80" s="220">
        <v>0</v>
      </c>
      <c r="P80" s="220">
        <v>16235</v>
      </c>
      <c r="Q80" s="223">
        <v>0</v>
      </c>
      <c r="R80" s="91" t="s">
        <v>637</v>
      </c>
      <c r="S80" s="214">
        <f>T80</f>
        <v>0</v>
      </c>
      <c r="T80" s="83">
        <v>0</v>
      </c>
      <c r="U80" s="214">
        <f>V80</f>
        <v>16235</v>
      </c>
      <c r="V80" s="111">
        <f>M80</f>
        <v>16235</v>
      </c>
      <c r="W80" s="214">
        <f>X80</f>
        <v>16235</v>
      </c>
      <c r="X80" s="83">
        <f>V80-Z80</f>
        <v>16235</v>
      </c>
      <c r="Y80" s="214">
        <f>Z80</f>
        <v>0</v>
      </c>
      <c r="Z80" s="83">
        <v>0</v>
      </c>
      <c r="AA80" s="214">
        <f>AB80</f>
        <v>0</v>
      </c>
      <c r="AB80" s="83">
        <v>0</v>
      </c>
      <c r="AC80" s="214">
        <f>AD80</f>
        <v>16235</v>
      </c>
      <c r="AD80" s="76">
        <f>V80-(Z80+AB80+AF80+AL80+AN80+AP80+AZ80+AR80+AT80+AV80+AX80)</f>
        <v>16235</v>
      </c>
      <c r="AE80" s="215">
        <f>AF80</f>
        <v>0</v>
      </c>
      <c r="AF80" s="76">
        <f>AI80+AG80</f>
        <v>0</v>
      </c>
      <c r="AG80" s="76">
        <v>0</v>
      </c>
      <c r="AH80" s="76">
        <f>AG80</f>
        <v>0</v>
      </c>
      <c r="AI80" s="76">
        <v>0</v>
      </c>
      <c r="AJ80" s="76">
        <f>AI80</f>
        <v>0</v>
      </c>
      <c r="AK80" s="215">
        <f>AL80</f>
        <v>0</v>
      </c>
      <c r="AL80" s="76">
        <v>0</v>
      </c>
      <c r="AM80" s="215">
        <v>0</v>
      </c>
      <c r="AN80" s="76">
        <v>0</v>
      </c>
      <c r="AO80" s="194">
        <f>AP80</f>
        <v>0</v>
      </c>
      <c r="AP80" s="76">
        <v>0</v>
      </c>
      <c r="AQ80" s="215">
        <f>AR80</f>
        <v>0</v>
      </c>
      <c r="AR80" s="76">
        <v>0</v>
      </c>
      <c r="AS80" s="215">
        <f>AT80</f>
        <v>0</v>
      </c>
      <c r="AT80" s="76">
        <v>0</v>
      </c>
      <c r="AU80" s="215">
        <f>AV80</f>
        <v>0</v>
      </c>
      <c r="AV80" s="76">
        <v>0</v>
      </c>
      <c r="AW80" s="215">
        <f>AX80</f>
        <v>0</v>
      </c>
      <c r="AX80" s="76">
        <v>0</v>
      </c>
      <c r="AY80" s="215">
        <f>AZ80</f>
        <v>0</v>
      </c>
      <c r="AZ80" s="75">
        <f t="shared" si="18"/>
        <v>0</v>
      </c>
      <c r="BA80" s="194">
        <f>BB80</f>
        <v>0</v>
      </c>
      <c r="BB80" s="224">
        <v>0</v>
      </c>
      <c r="BC80" s="194">
        <f>BD80</f>
        <v>0</v>
      </c>
      <c r="BD80" s="224">
        <v>0</v>
      </c>
      <c r="BE80" s="194">
        <f>BF80</f>
        <v>0</v>
      </c>
      <c r="BF80" s="224">
        <v>0</v>
      </c>
      <c r="BG80" s="194">
        <f>BH80</f>
        <v>0</v>
      </c>
      <c r="BH80" s="224">
        <v>0</v>
      </c>
      <c r="BI80" s="194">
        <f>BJ80</f>
        <v>0</v>
      </c>
      <c r="BJ80" s="224">
        <v>0</v>
      </c>
      <c r="BK80" s="194">
        <f>BL80</f>
        <v>0</v>
      </c>
      <c r="BL80" s="224">
        <v>0</v>
      </c>
      <c r="BM80" s="215">
        <f>BN80</f>
        <v>16235</v>
      </c>
      <c r="BN80" s="83">
        <f>T80+V80</f>
        <v>16235</v>
      </c>
      <c r="BO80" s="215">
        <f>BP80</f>
        <v>0</v>
      </c>
      <c r="BP80" s="83">
        <f>T80/1000</f>
        <v>0</v>
      </c>
      <c r="BQ80" s="215">
        <f>BR80</f>
        <v>0</v>
      </c>
      <c r="BR80" s="83">
        <f>'A-App Projected Sites '!BR$142*BP80</f>
        <v>0</v>
      </c>
      <c r="BS80" s="215">
        <f>BT80</f>
        <v>0</v>
      </c>
      <c r="BT80" s="124">
        <f t="shared" si="16"/>
        <v>0</v>
      </c>
      <c r="BU80" s="215">
        <f>BV80</f>
        <v>49</v>
      </c>
      <c r="BV80" s="78">
        <f t="shared" si="25"/>
        <v>49</v>
      </c>
      <c r="BW80" s="215">
        <f>BX80</f>
        <v>0</v>
      </c>
      <c r="BX80" s="83">
        <v>0</v>
      </c>
      <c r="BY80" s="215">
        <f>BZ80</f>
        <v>0</v>
      </c>
      <c r="BZ80" s="83">
        <v>0</v>
      </c>
      <c r="CA80" s="215">
        <f>CB80</f>
        <v>0</v>
      </c>
      <c r="CB80" s="83">
        <v>0</v>
      </c>
      <c r="CC80" s="215">
        <f>CD80</f>
        <v>0</v>
      </c>
      <c r="CD80" s="83">
        <f>AB80/1000</f>
        <v>0</v>
      </c>
      <c r="CE80" s="215">
        <f>CF80</f>
        <v>0</v>
      </c>
      <c r="CF80" s="83">
        <f>AL80/1000</f>
        <v>0</v>
      </c>
      <c r="CG80" s="215">
        <f>CH80</f>
        <v>0</v>
      </c>
      <c r="CH80" s="83">
        <v>0</v>
      </c>
      <c r="CI80" s="215">
        <f>CJ80</f>
        <v>0</v>
      </c>
      <c r="CJ80" s="83">
        <v>0</v>
      </c>
      <c r="CK80" s="215">
        <f>CL80</f>
        <v>0</v>
      </c>
      <c r="CL80" s="83">
        <v>0</v>
      </c>
      <c r="CM80" s="215">
        <f>CN80</f>
        <v>0</v>
      </c>
      <c r="CN80" s="73">
        <f t="shared" si="19"/>
        <v>0</v>
      </c>
      <c r="CO80" s="111"/>
      <c r="CP80" s="227">
        <v>15</v>
      </c>
      <c r="CQ80" s="228" t="s">
        <v>741</v>
      </c>
      <c r="CR80" s="228">
        <v>7.2</v>
      </c>
      <c r="CS80" s="228">
        <v>2</v>
      </c>
      <c r="CT80" s="228">
        <v>6.5</v>
      </c>
      <c r="CU80" s="229" t="s">
        <v>706</v>
      </c>
      <c r="CV80" s="230" t="s">
        <v>716</v>
      </c>
      <c r="CW80" s="83">
        <f>(CR80*F80)-CZ80</f>
        <v>71755</v>
      </c>
      <c r="CX80" s="231">
        <f>CW80</f>
        <v>71755</v>
      </c>
      <c r="CY80" s="232">
        <f>CZ80</f>
        <v>9605</v>
      </c>
      <c r="CZ80" s="83">
        <f>1*(F80)-(0.15*1*(F80))</f>
        <v>9605</v>
      </c>
      <c r="DA80" s="233">
        <f>DB80</f>
        <v>9605</v>
      </c>
      <c r="DB80" s="83">
        <f>CZ80-DD80</f>
        <v>9605</v>
      </c>
      <c r="DC80" s="231">
        <f>DD80</f>
        <v>0</v>
      </c>
      <c r="DD80" s="83">
        <v>0</v>
      </c>
      <c r="DE80" s="214">
        <f>DF80</f>
        <v>0</v>
      </c>
      <c r="DF80" s="83">
        <v>0</v>
      </c>
      <c r="DG80" s="214">
        <f>DH80</f>
        <v>9605</v>
      </c>
      <c r="DH80" s="83">
        <f>CZ80-(DD80+DF80+DJ80+DL80+DN80+DT80+DV80+DX80)</f>
        <v>9605</v>
      </c>
      <c r="DI80" s="214">
        <f>DJ80</f>
        <v>0</v>
      </c>
      <c r="DJ80" s="83">
        <v>0</v>
      </c>
      <c r="DK80" s="214">
        <f>DL80</f>
        <v>0</v>
      </c>
      <c r="DL80" s="83">
        <v>0</v>
      </c>
      <c r="DM80" s="2245">
        <f>DN80</f>
        <v>0</v>
      </c>
      <c r="DN80" s="73">
        <v>0</v>
      </c>
      <c r="DO80" s="214">
        <f>DP80</f>
        <v>0</v>
      </c>
      <c r="DP80" s="73">
        <v>0</v>
      </c>
      <c r="DQ80" s="214">
        <f>DR80</f>
        <v>0</v>
      </c>
      <c r="DR80" s="73">
        <v>0</v>
      </c>
      <c r="DS80" s="214">
        <f>DT80</f>
        <v>0</v>
      </c>
      <c r="DT80" s="73">
        <v>0</v>
      </c>
      <c r="DU80" s="214">
        <f>DV80</f>
        <v>0</v>
      </c>
      <c r="DV80" s="73">
        <v>0</v>
      </c>
      <c r="DW80" s="2245">
        <f>DX80</f>
        <v>0</v>
      </c>
      <c r="DX80" s="75">
        <f t="shared" si="22"/>
        <v>0</v>
      </c>
      <c r="DY80" s="214">
        <f>DZ80</f>
        <v>0</v>
      </c>
      <c r="DZ80" s="75">
        <f>BB80</f>
        <v>0</v>
      </c>
      <c r="EA80" s="214">
        <f>EB80</f>
        <v>0</v>
      </c>
      <c r="EB80" s="75">
        <f>BD80</f>
        <v>0</v>
      </c>
      <c r="EC80" s="214">
        <f>ED80</f>
        <v>0</v>
      </c>
      <c r="ED80" s="75">
        <f>BF80</f>
        <v>0</v>
      </c>
      <c r="EE80" s="214">
        <f>EF80</f>
        <v>0</v>
      </c>
      <c r="EF80" s="75">
        <f>BH80</f>
        <v>0</v>
      </c>
      <c r="EG80" s="214">
        <f>EH80</f>
        <v>0</v>
      </c>
      <c r="EH80" s="75">
        <f>BJ80</f>
        <v>0</v>
      </c>
      <c r="EI80" s="214">
        <f>EJ80</f>
        <v>0</v>
      </c>
      <c r="EJ80" s="75"/>
      <c r="EK80" s="2252">
        <f>EL80</f>
        <v>81360</v>
      </c>
      <c r="EL80" s="83">
        <f>CW80+CZ80</f>
        <v>81360</v>
      </c>
      <c r="EM80" s="234">
        <f>SUM(EN80)</f>
        <v>71.754999999999995</v>
      </c>
      <c r="EN80" s="111">
        <f>CW80/'A-App Projected Sites '!EP$141</f>
        <v>71.754999999999995</v>
      </c>
      <c r="EO80" s="234">
        <f>EP80</f>
        <v>14.350999999999999</v>
      </c>
      <c r="EP80" s="111">
        <f>0.2*EN80</f>
        <v>14.350999999999999</v>
      </c>
      <c r="EQ80" s="234">
        <f>ER80</f>
        <v>17.938749999999999</v>
      </c>
      <c r="ER80" s="111">
        <f>0.25*EN80</f>
        <v>17.938749999999999</v>
      </c>
      <c r="ES80" s="234">
        <f>ET80</f>
        <v>10</v>
      </c>
      <c r="ET80" s="74">
        <f>FA80+FG80+FQ80</f>
        <v>10</v>
      </c>
      <c r="EU80" s="214">
        <f>EV80</f>
        <v>205.93684999999999</v>
      </c>
      <c r="EV80" s="111">
        <f>2.87*EN80</f>
        <v>205.93684999999999</v>
      </c>
      <c r="EW80" s="214">
        <f>EX80</f>
        <v>32</v>
      </c>
      <c r="EX80" s="88">
        <f>ROUND((DH80+DF80+DD80)/1000*3,0)+ROUND((ROUND(DL80/400,0))/2.67,0)+ROUND(DV80/1000,0)+ROUND((DZ80+EB80+ED80+EH80)/1000*3,0)+ROUND(EN80/25,0)+ROUND(ET80/50,0)</f>
        <v>32</v>
      </c>
      <c r="EY80" s="214" t="str">
        <f>EZ80</f>
        <v>waived</v>
      </c>
      <c r="EZ80" s="193" t="s">
        <v>713</v>
      </c>
      <c r="FA80" s="194">
        <v>0</v>
      </c>
      <c r="FB80" s="214">
        <f>FC80</f>
        <v>0</v>
      </c>
      <c r="FC80" s="194">
        <v>0</v>
      </c>
      <c r="FD80" s="214">
        <f>FE80</f>
        <v>0</v>
      </c>
      <c r="FE80" s="194">
        <v>0</v>
      </c>
      <c r="FF80" s="214">
        <f>FG80</f>
        <v>10</v>
      </c>
      <c r="FG80" s="111">
        <f>ROUND((DH80+DJ80+DD80+DN80+DT80)/1000,0)</f>
        <v>10</v>
      </c>
      <c r="FH80" s="214">
        <f>FI80</f>
        <v>0</v>
      </c>
      <c r="FI80" s="111">
        <f>DF80/1000</f>
        <v>0</v>
      </c>
      <c r="FJ80" s="214">
        <f>FK80</f>
        <v>0</v>
      </c>
      <c r="FK80" s="111">
        <f>((DL80/400)/12)</f>
        <v>0</v>
      </c>
      <c r="FL80" s="214">
        <f>FM80</f>
        <v>0</v>
      </c>
      <c r="FM80" s="111">
        <v>0</v>
      </c>
      <c r="FN80" s="214">
        <f>FO80</f>
        <v>0</v>
      </c>
      <c r="FO80" s="111">
        <v>0</v>
      </c>
      <c r="FP80" s="234">
        <f>FQ80</f>
        <v>0</v>
      </c>
      <c r="FQ80" s="111">
        <f>DX80/1000</f>
        <v>0</v>
      </c>
      <c r="FR80" s="214">
        <f>FS80</f>
        <v>165</v>
      </c>
      <c r="FS80" s="214">
        <v>165</v>
      </c>
      <c r="FT80" s="2240">
        <f>CX80-S80</f>
        <v>71755</v>
      </c>
      <c r="FU80" s="2233">
        <f>CY80-U80</f>
        <v>-6630</v>
      </c>
      <c r="FV80" s="2235">
        <f>(DC80+DE80+DG80)-(Y80+AA80+AC80+AE80)</f>
        <v>-6630</v>
      </c>
      <c r="FW80" s="2235">
        <f>DG80-AC80</f>
        <v>-6630</v>
      </c>
      <c r="FX80" s="2233">
        <f>DE80-AA80</f>
        <v>0</v>
      </c>
      <c r="FY80" s="2233">
        <f>DC80-Y80</f>
        <v>0</v>
      </c>
      <c r="FZ80" s="2233">
        <f>DJ80-AE80</f>
        <v>0</v>
      </c>
      <c r="GA80" s="235">
        <f>DL80-AL80</f>
        <v>0</v>
      </c>
      <c r="GB80" s="2233">
        <f>DM80-AM80</f>
        <v>0</v>
      </c>
      <c r="GC80" s="2233">
        <f>DP80-AQ80</f>
        <v>0</v>
      </c>
      <c r="GD80" s="2233">
        <f>DR80-AS80</f>
        <v>0</v>
      </c>
      <c r="GE80" s="235">
        <f>DT80-AV80</f>
        <v>0</v>
      </c>
      <c r="GF80" s="2233">
        <f>DV80-AW80</f>
        <v>0</v>
      </c>
      <c r="GG80" s="235">
        <f>DZ80-BB80</f>
        <v>0</v>
      </c>
      <c r="GH80" s="235">
        <f>EB80-BD80</f>
        <v>0</v>
      </c>
      <c r="GI80" s="235">
        <f>ED80-BF80</f>
        <v>0</v>
      </c>
      <c r="GJ80" s="235">
        <f>EF80-BH80</f>
        <v>0</v>
      </c>
      <c r="GK80" s="235">
        <f>EH80-BJ80</f>
        <v>0</v>
      </c>
      <c r="GL80" s="2235">
        <f>DW80-AY80</f>
        <v>0</v>
      </c>
      <c r="GM80" s="2235">
        <f>EK80-BM80</f>
        <v>65125</v>
      </c>
      <c r="GN80" s="2235">
        <f>EM80-BO80</f>
        <v>71.754999999999995</v>
      </c>
      <c r="GO80" s="255">
        <f>GP80</f>
        <v>14.350999999999999</v>
      </c>
      <c r="GP80" s="112">
        <f>EP80-BR80</f>
        <v>14.350999999999999</v>
      </c>
      <c r="GQ80" s="255">
        <f>GR80</f>
        <v>205.93684999999999</v>
      </c>
      <c r="GR80" s="112">
        <f>EV80-BT80</f>
        <v>205.93684999999999</v>
      </c>
      <c r="GS80" s="255">
        <f>GT80</f>
        <v>-17</v>
      </c>
      <c r="GT80" s="245">
        <f>EX80-BV80</f>
        <v>-17</v>
      </c>
      <c r="GU80" s="114">
        <f>FA80-BX80</f>
        <v>0</v>
      </c>
      <c r="GV80" s="245">
        <f>FI80-CD80</f>
        <v>0</v>
      </c>
      <c r="GW80" s="245">
        <v>0</v>
      </c>
      <c r="GX80" s="245">
        <f>FG80-CB80</f>
        <v>10</v>
      </c>
      <c r="GY80" s="245">
        <f>FK80-CF80</f>
        <v>0</v>
      </c>
      <c r="GZ80" s="112">
        <f>FM80-CH80</f>
        <v>0</v>
      </c>
      <c r="HA80" s="245">
        <f>FO80-CJ80</f>
        <v>0</v>
      </c>
      <c r="HB80" s="245">
        <f>FQ80-CL80</f>
        <v>0</v>
      </c>
      <c r="HC80" s="2230">
        <f>ES80-CM80</f>
        <v>10</v>
      </c>
      <c r="HD80" s="139"/>
      <c r="HE80" s="139"/>
      <c r="HF80" s="139"/>
      <c r="HG80" s="139"/>
      <c r="HH80" s="228"/>
      <c r="HI80" s="228"/>
    </row>
    <row r="81" spans="1:217" s="95" customFormat="1" ht="18.75">
      <c r="A81" s="2263"/>
      <c r="B81" s="236"/>
      <c r="C81" s="132"/>
      <c r="D81" s="132"/>
      <c r="E81" s="265"/>
      <c r="F81" s="134"/>
      <c r="G81" s="135"/>
      <c r="H81" s="136"/>
      <c r="I81" s="132"/>
      <c r="J81" s="132"/>
      <c r="K81" s="132"/>
      <c r="L81" s="132"/>
      <c r="M81" s="134"/>
      <c r="N81" s="134"/>
      <c r="O81" s="134"/>
      <c r="P81" s="134"/>
      <c r="Q81" s="137"/>
      <c r="S81" s="101"/>
      <c r="T81" s="97"/>
      <c r="U81" s="2244"/>
      <c r="V81" s="102"/>
      <c r="W81" s="2244"/>
      <c r="X81" s="97"/>
      <c r="Y81" s="2244"/>
      <c r="Z81" s="97"/>
      <c r="AA81" s="2244"/>
      <c r="AB81" s="97"/>
      <c r="AC81" s="2244"/>
      <c r="AD81" s="103"/>
      <c r="AE81" s="2251"/>
      <c r="AF81" s="103"/>
      <c r="AG81" s="103"/>
      <c r="AH81" s="103"/>
      <c r="AI81" s="103"/>
      <c r="AJ81" s="103"/>
      <c r="AK81" s="2251"/>
      <c r="AL81" s="103"/>
      <c r="AM81" s="2251"/>
      <c r="AN81" s="103"/>
      <c r="AO81" s="2224"/>
      <c r="AP81" s="103"/>
      <c r="AQ81" s="2251"/>
      <c r="AR81" s="103"/>
      <c r="AS81" s="2251"/>
      <c r="AT81" s="103"/>
      <c r="AU81" s="2251"/>
      <c r="AV81" s="103"/>
      <c r="AW81" s="2251"/>
      <c r="AX81" s="103"/>
      <c r="AY81" s="2251"/>
      <c r="AZ81" s="75">
        <f t="shared" si="18"/>
        <v>0</v>
      </c>
      <c r="BA81" s="2224"/>
      <c r="BB81" s="191"/>
      <c r="BC81" s="2224"/>
      <c r="BD81" s="191"/>
      <c r="BE81" s="2224"/>
      <c r="BF81" s="191"/>
      <c r="BG81" s="2224"/>
      <c r="BH81" s="191"/>
      <c r="BI81" s="2224"/>
      <c r="BJ81" s="191"/>
      <c r="BK81" s="2224"/>
      <c r="BL81" s="191"/>
      <c r="BM81" s="2251"/>
      <c r="BN81" s="97"/>
      <c r="BO81" s="2251"/>
      <c r="BP81" s="97"/>
      <c r="BQ81" s="2251"/>
      <c r="BR81" s="97"/>
      <c r="BS81" s="2251"/>
      <c r="BT81" s="124"/>
      <c r="BU81" s="2251"/>
      <c r="BV81" s="78"/>
      <c r="BW81" s="2251"/>
      <c r="BX81" s="97"/>
      <c r="BY81" s="2251"/>
      <c r="BZ81" s="97"/>
      <c r="CA81" s="2251"/>
      <c r="CB81" s="97"/>
      <c r="CC81" s="2251"/>
      <c r="CD81" s="97"/>
      <c r="CE81" s="2251"/>
      <c r="CF81" s="97"/>
      <c r="CG81" s="2251"/>
      <c r="CH81" s="97"/>
      <c r="CI81" s="2251"/>
      <c r="CJ81" s="97"/>
      <c r="CK81" s="2251"/>
      <c r="CL81" s="97"/>
      <c r="CM81" s="2251"/>
      <c r="CN81" s="73">
        <f t="shared" si="19"/>
        <v>0</v>
      </c>
      <c r="CO81" s="102"/>
      <c r="CP81" s="106"/>
      <c r="CQ81" s="139"/>
      <c r="CR81" s="139"/>
      <c r="CS81" s="139"/>
      <c r="CT81" s="139"/>
      <c r="CU81" s="108"/>
      <c r="CV81" s="109"/>
      <c r="CW81" s="97"/>
      <c r="CX81" s="2244"/>
      <c r="CY81" s="2261"/>
      <c r="CZ81" s="97"/>
      <c r="DA81" s="2253"/>
      <c r="DB81" s="97"/>
      <c r="DC81" s="2244"/>
      <c r="DD81" s="97"/>
      <c r="DE81" s="2244"/>
      <c r="DF81" s="97"/>
      <c r="DG81" s="2244"/>
      <c r="DH81" s="97"/>
      <c r="DI81" s="2244"/>
      <c r="DJ81" s="97"/>
      <c r="DK81" s="2244"/>
      <c r="DL81" s="97"/>
      <c r="DM81" s="2244"/>
      <c r="DN81" s="97"/>
      <c r="DO81" s="2244"/>
      <c r="DP81" s="97"/>
      <c r="DQ81" s="2244"/>
      <c r="DR81" s="97"/>
      <c r="DS81" s="2244"/>
      <c r="DT81" s="97"/>
      <c r="DU81" s="2244"/>
      <c r="DV81" s="97"/>
      <c r="DW81" s="2244"/>
      <c r="DX81" s="75"/>
      <c r="DY81" s="2244"/>
      <c r="DZ81" s="103"/>
      <c r="EA81" s="2244"/>
      <c r="EB81" s="103"/>
      <c r="EC81" s="2244"/>
      <c r="ED81" s="103"/>
      <c r="EE81" s="2244"/>
      <c r="EF81" s="103"/>
      <c r="EG81" s="2244"/>
      <c r="EH81" s="103"/>
      <c r="EI81" s="2244"/>
      <c r="EJ81" s="103"/>
      <c r="EK81" s="2251"/>
      <c r="EL81" s="97"/>
      <c r="EM81" s="2246"/>
      <c r="EN81" s="102"/>
      <c r="EO81" s="2246"/>
      <c r="EP81" s="102"/>
      <c r="EQ81" s="110"/>
      <c r="ER81" s="74"/>
      <c r="ES81" s="110"/>
      <c r="ET81" s="74"/>
      <c r="EU81" s="2244"/>
      <c r="EV81" s="111"/>
      <c r="EW81" s="2244"/>
      <c r="EX81" s="88"/>
      <c r="EY81" s="2244"/>
      <c r="EZ81" s="2248"/>
      <c r="FA81" s="2224"/>
      <c r="FB81" s="2244"/>
      <c r="FC81" s="2224"/>
      <c r="FD81" s="2244"/>
      <c r="FE81" s="2224"/>
      <c r="FF81" s="2244"/>
      <c r="FG81" s="102"/>
      <c r="FH81" s="2244"/>
      <c r="FI81" s="102"/>
      <c r="FJ81" s="2244"/>
      <c r="FK81" s="102"/>
      <c r="FL81" s="2244"/>
      <c r="FM81" s="102"/>
      <c r="FN81" s="2244"/>
      <c r="FO81" s="102"/>
      <c r="FP81" s="110"/>
      <c r="FQ81" s="102"/>
      <c r="FR81" s="2244"/>
      <c r="FS81" s="2244"/>
      <c r="FT81" s="2240"/>
      <c r="FU81" s="2233"/>
      <c r="FV81" s="2235"/>
      <c r="FW81" s="2235"/>
      <c r="FX81" s="2233"/>
      <c r="FY81" s="2233"/>
      <c r="FZ81" s="2233"/>
      <c r="GA81" s="2232"/>
      <c r="GB81" s="2233"/>
      <c r="GC81" s="2233"/>
      <c r="GD81" s="2233"/>
      <c r="GE81" s="2232"/>
      <c r="GF81" s="2233"/>
      <c r="GG81" s="2232"/>
      <c r="GH81" s="2232"/>
      <c r="GI81" s="2232"/>
      <c r="GJ81" s="2232"/>
      <c r="GK81" s="2232"/>
      <c r="GL81" s="2235"/>
      <c r="GM81" s="2235"/>
      <c r="GN81" s="2235"/>
      <c r="GO81" s="2224"/>
      <c r="GP81" s="112"/>
      <c r="GQ81" s="2224"/>
      <c r="GR81" s="112"/>
      <c r="GS81" s="2224"/>
      <c r="GT81" s="195"/>
      <c r="GU81" s="114"/>
      <c r="GV81" s="195"/>
      <c r="GW81" s="195"/>
      <c r="GX81" s="195"/>
      <c r="GY81" s="195"/>
      <c r="GZ81" s="112"/>
      <c r="HA81" s="195"/>
      <c r="HB81" s="195"/>
      <c r="HC81" s="2230"/>
      <c r="HD81" s="139"/>
      <c r="HE81" s="139"/>
      <c r="HF81" s="139"/>
      <c r="HG81" s="139"/>
      <c r="HH81" s="139"/>
      <c r="HI81" s="139"/>
    </row>
    <row r="82" spans="1:217" s="90" customFormat="1" ht="15" customHeight="1">
      <c r="A82" s="2588">
        <v>28</v>
      </c>
      <c r="B82" s="3689" t="s">
        <v>703</v>
      </c>
      <c r="C82" s="115">
        <v>2842</v>
      </c>
      <c r="D82" s="115">
        <v>13</v>
      </c>
      <c r="E82" s="183">
        <v>2028420013</v>
      </c>
      <c r="F82" s="117">
        <v>8875</v>
      </c>
      <c r="G82" s="118" t="s">
        <v>753</v>
      </c>
      <c r="H82" s="119"/>
      <c r="I82" s="115">
        <v>1</v>
      </c>
      <c r="J82" s="115">
        <v>3.44</v>
      </c>
      <c r="K82" s="115">
        <v>3.4</v>
      </c>
      <c r="L82" s="115">
        <v>6.5</v>
      </c>
      <c r="M82" s="117">
        <v>8841</v>
      </c>
      <c r="N82" s="117">
        <v>0</v>
      </c>
      <c r="O82" s="117">
        <v>0</v>
      </c>
      <c r="P82" s="117">
        <v>8841</v>
      </c>
      <c r="Q82" s="120">
        <v>0</v>
      </c>
      <c r="R82" s="90" t="s">
        <v>695</v>
      </c>
      <c r="S82" s="2590">
        <f>SUM(T82:T83)</f>
        <v>0</v>
      </c>
      <c r="T82" s="121">
        <v>0</v>
      </c>
      <c r="U82" s="2590">
        <f>SUM(V82:V83)</f>
        <v>14262</v>
      </c>
      <c r="V82" s="122">
        <f>M82</f>
        <v>8841</v>
      </c>
      <c r="W82" s="2590">
        <f>SUM(X82:X83)</f>
        <v>14262</v>
      </c>
      <c r="X82" s="121">
        <f>V82-Z82</f>
        <v>8841</v>
      </c>
      <c r="Y82" s="2590">
        <f>SUM(Z82:Z83)</f>
        <v>0</v>
      </c>
      <c r="Z82" s="121">
        <v>0</v>
      </c>
      <c r="AA82" s="2590">
        <f>SUM(AB82:AB83)</f>
        <v>0</v>
      </c>
      <c r="AB82" s="121">
        <v>0</v>
      </c>
      <c r="AC82" s="2590">
        <f>SUM(AD82:AD83)</f>
        <v>14262</v>
      </c>
      <c r="AD82" s="123">
        <f>V82-(Z82+AB82+AF82+AL82+AN82+AP82+AZ82+AR82+AT82+AV82+AX82)</f>
        <v>8841</v>
      </c>
      <c r="AE82" s="2580">
        <f>SUM(AF82:AF83)</f>
        <v>0</v>
      </c>
      <c r="AF82" s="123">
        <f>AI82+AG82</f>
        <v>0</v>
      </c>
      <c r="AG82" s="123">
        <v>0</v>
      </c>
      <c r="AH82" s="2580">
        <f>SUM(AG82:AG83)</f>
        <v>0</v>
      </c>
      <c r="AI82" s="123">
        <v>0</v>
      </c>
      <c r="AJ82" s="2580">
        <f>SUM(AI82:AI83)</f>
        <v>0</v>
      </c>
      <c r="AK82" s="2580">
        <v>0</v>
      </c>
      <c r="AL82" s="123">
        <v>0</v>
      </c>
      <c r="AM82" s="2580">
        <v>0</v>
      </c>
      <c r="AN82" s="123">
        <v>0</v>
      </c>
      <c r="AO82" s="2582">
        <f>SUM(AP82:AP83)</f>
        <v>0</v>
      </c>
      <c r="AP82" s="123">
        <v>0</v>
      </c>
      <c r="AQ82" s="2580">
        <f>SUM(AR82:AR83)</f>
        <v>0</v>
      </c>
      <c r="AR82" s="123">
        <v>0</v>
      </c>
      <c r="AS82" s="2580">
        <f>SUM(AT82:AT83)</f>
        <v>0</v>
      </c>
      <c r="AT82" s="123">
        <v>0</v>
      </c>
      <c r="AU82" s="2580">
        <f>SUM(AV82:AV83)</f>
        <v>0</v>
      </c>
      <c r="AV82" s="123">
        <v>0</v>
      </c>
      <c r="AW82" s="2580">
        <f>SUM(AX82:AX83)</f>
        <v>0</v>
      </c>
      <c r="AX82" s="123">
        <v>0</v>
      </c>
      <c r="AY82" s="2580">
        <f>SUM(AZ82:AZ83)</f>
        <v>0</v>
      </c>
      <c r="AZ82" s="103">
        <f t="shared" si="18"/>
        <v>0</v>
      </c>
      <c r="BA82" s="2582">
        <f>SUM(BB82:BB83)</f>
        <v>0</v>
      </c>
      <c r="BB82" s="184">
        <v>0</v>
      </c>
      <c r="BC82" s="2582">
        <f>SUM(BD82:BD83)</f>
        <v>0</v>
      </c>
      <c r="BD82" s="184">
        <v>0</v>
      </c>
      <c r="BE82" s="2582">
        <f>SUM(BF82:BF83)</f>
        <v>0</v>
      </c>
      <c r="BF82" s="184">
        <v>0</v>
      </c>
      <c r="BG82" s="2582">
        <f>SUM(BH82:BH83)</f>
        <v>0</v>
      </c>
      <c r="BH82" s="184">
        <v>0</v>
      </c>
      <c r="BI82" s="2582">
        <f>SUM(BJ82:BJ83)</f>
        <v>0</v>
      </c>
      <c r="BJ82" s="184">
        <v>0</v>
      </c>
      <c r="BK82" s="2582">
        <f>SUM(BL82:BL83)</f>
        <v>0</v>
      </c>
      <c r="BL82" s="184">
        <v>0</v>
      </c>
      <c r="BM82" s="2580">
        <f>SUM(BN82:BN83)</f>
        <v>14262</v>
      </c>
      <c r="BN82" s="121">
        <f>T82+V82</f>
        <v>8841</v>
      </c>
      <c r="BO82" s="2580">
        <f>SUM(BP82:BP83)</f>
        <v>0</v>
      </c>
      <c r="BP82" s="121">
        <f>T82/1000</f>
        <v>0</v>
      </c>
      <c r="BQ82" s="2580">
        <f>SUM(BR82:BR83)</f>
        <v>0</v>
      </c>
      <c r="BR82" s="121"/>
      <c r="BS82" s="2580">
        <f>SUM(BT82:BT83)</f>
        <v>0</v>
      </c>
      <c r="BT82" s="124">
        <f t="shared" si="16"/>
        <v>0</v>
      </c>
      <c r="BU82" s="2580">
        <f>SUM(BV82:BV83)</f>
        <v>43</v>
      </c>
      <c r="BV82" s="78">
        <f t="shared" si="25"/>
        <v>27</v>
      </c>
      <c r="BW82" s="2580">
        <f>SUM(BX82:BX83)</f>
        <v>0</v>
      </c>
      <c r="BX82" s="121">
        <v>0</v>
      </c>
      <c r="BY82" s="2580">
        <f>SUM(BZ82:BZ83)</f>
        <v>0</v>
      </c>
      <c r="BZ82" s="121"/>
      <c r="CA82" s="2580">
        <f>SUM(CB82:CB83)</f>
        <v>0</v>
      </c>
      <c r="CB82" s="121">
        <v>0</v>
      </c>
      <c r="CC82" s="2580">
        <f>SUM(CD82:CD83)</f>
        <v>0</v>
      </c>
      <c r="CD82" s="121">
        <f>AB82/1000</f>
        <v>0</v>
      </c>
      <c r="CE82" s="2580">
        <f>SUM(CF82:CF83)</f>
        <v>0</v>
      </c>
      <c r="CF82" s="121">
        <f>AL82/1000</f>
        <v>0</v>
      </c>
      <c r="CG82" s="2580">
        <f>SUM(CH82:CH83)</f>
        <v>0</v>
      </c>
      <c r="CH82" s="121"/>
      <c r="CI82" s="2580">
        <f>SUM(CJ82:CJ83)</f>
        <v>0</v>
      </c>
      <c r="CJ82" s="121"/>
      <c r="CK82" s="2580">
        <f>SUM(CL82:CL83)</f>
        <v>0</v>
      </c>
      <c r="CL82" s="121"/>
      <c r="CM82" s="2580">
        <f>SUM(CN82:CN83)</f>
        <v>0</v>
      </c>
      <c r="CN82" s="97">
        <f t="shared" si="19"/>
        <v>0</v>
      </c>
      <c r="CO82" s="122"/>
      <c r="CP82" s="2265">
        <v>20</v>
      </c>
      <c r="CQ82" s="127" t="s">
        <v>741</v>
      </c>
      <c r="CR82" s="127">
        <v>7.2</v>
      </c>
      <c r="CS82" s="127">
        <v>2</v>
      </c>
      <c r="CT82" s="127">
        <v>6.5</v>
      </c>
      <c r="CU82" s="128" t="s">
        <v>706</v>
      </c>
      <c r="CV82" s="2596" t="s">
        <v>716</v>
      </c>
      <c r="CW82" s="121">
        <f>(CR82*F82)-CZ82</f>
        <v>56356.25</v>
      </c>
      <c r="CX82" s="2590">
        <f>SUM(CW82:CW83)</f>
        <v>82842.100000000006</v>
      </c>
      <c r="CY82" s="2598">
        <f>SUM(CZ82:CZ83)</f>
        <v>11089.1</v>
      </c>
      <c r="CZ82" s="121">
        <f>1*(F82)-(0.15*1*(F82))</f>
        <v>7543.75</v>
      </c>
      <c r="DA82" s="2592">
        <f>SUM(DB82:DB83)</f>
        <v>11089.1</v>
      </c>
      <c r="DB82" s="121">
        <f>CZ82-DD82</f>
        <v>7543.75</v>
      </c>
      <c r="DC82" s="2590">
        <f>SUM(DD82:DD83)</f>
        <v>0</v>
      </c>
      <c r="DD82" s="121">
        <v>0</v>
      </c>
      <c r="DE82" s="2590">
        <f>SUM(DF82:DF83)</f>
        <v>0</v>
      </c>
      <c r="DF82" s="121">
        <v>0</v>
      </c>
      <c r="DG82" s="2590">
        <f>SUM(DH82:DH83)</f>
        <v>11089.1</v>
      </c>
      <c r="DH82" s="121">
        <f>CZ82-(DD82+DF82+DJ82+DL82+DN82+DT82+DV82+DX82)</f>
        <v>7543.75</v>
      </c>
      <c r="DI82" s="2590">
        <f>SUM(DJ82:DJ83)</f>
        <v>0</v>
      </c>
      <c r="DJ82" s="121">
        <v>0</v>
      </c>
      <c r="DK82" s="2590">
        <f>SUM(DL82:DL83)</f>
        <v>0</v>
      </c>
      <c r="DL82" s="121">
        <v>0</v>
      </c>
      <c r="DM82" s="2590">
        <f>SUM(DN82:DN83)</f>
        <v>0</v>
      </c>
      <c r="DN82" s="121">
        <v>0</v>
      </c>
      <c r="DO82" s="2590">
        <f>SUM(DP82:DP83)</f>
        <v>0</v>
      </c>
      <c r="DP82" s="121">
        <v>0</v>
      </c>
      <c r="DQ82" s="2590">
        <f>SUM(DR82:DR83)</f>
        <v>0</v>
      </c>
      <c r="DR82" s="121">
        <v>0</v>
      </c>
      <c r="DS82" s="2590">
        <f>SUM(DT82:DT83)</f>
        <v>0</v>
      </c>
      <c r="DT82" s="121">
        <v>0</v>
      </c>
      <c r="DU82" s="2590">
        <f>SUM(DV82:DV83)</f>
        <v>0</v>
      </c>
      <c r="DV82" s="121">
        <v>0</v>
      </c>
      <c r="DW82" s="2590">
        <f>SUM(DX82:DX83)</f>
        <v>0</v>
      </c>
      <c r="DX82" s="103">
        <f t="shared" si="22"/>
        <v>0</v>
      </c>
      <c r="DY82" s="2590">
        <f>SUM(DZ82:DZ83)</f>
        <v>0</v>
      </c>
      <c r="DZ82" s="123">
        <f>BB82</f>
        <v>0</v>
      </c>
      <c r="EA82" s="2590">
        <f>SUM(EB82:EB83)</f>
        <v>0</v>
      </c>
      <c r="EB82" s="123">
        <f>BD82</f>
        <v>0</v>
      </c>
      <c r="EC82" s="2590">
        <f>SUM(ED82:ED83)</f>
        <v>0</v>
      </c>
      <c r="ED82" s="123">
        <f>BF82</f>
        <v>0</v>
      </c>
      <c r="EE82" s="2590">
        <f>SUM(EF82:EF83)</f>
        <v>0</v>
      </c>
      <c r="EF82" s="123">
        <f>BH82</f>
        <v>0</v>
      </c>
      <c r="EG82" s="2590">
        <f>SUM(EH82:EH83)</f>
        <v>0</v>
      </c>
      <c r="EH82" s="123">
        <f t="shared" ref="EH82:EH83" si="26">BJ82</f>
        <v>0</v>
      </c>
      <c r="EI82" s="2590">
        <f>SUM(EJ82:EJ83)</f>
        <v>0</v>
      </c>
      <c r="EJ82" s="123"/>
      <c r="EK82" s="2580">
        <f>SUM(EL82:EL83)</f>
        <v>93931.199999999997</v>
      </c>
      <c r="EL82" s="121">
        <f>CW82+CZ82</f>
        <v>63900</v>
      </c>
      <c r="EM82" s="2600">
        <f>SUM(EN82:EN83)</f>
        <v>82.842100000000002</v>
      </c>
      <c r="EN82" s="122">
        <f>CW82/'A-App Projected Sites '!EP$141</f>
        <v>56.356250000000003</v>
      </c>
      <c r="EO82" s="2600">
        <f>SUM(EP82:EP83)</f>
        <v>16.568420000000003</v>
      </c>
      <c r="EP82" s="122">
        <f>0.2*EN82</f>
        <v>11.271250000000002</v>
      </c>
      <c r="EQ82" s="2600">
        <f>SUM(ER82:ER83)</f>
        <v>20.710525000000001</v>
      </c>
      <c r="ER82" s="122">
        <f>0.25*EN82</f>
        <v>14.089062500000001</v>
      </c>
      <c r="ES82" s="2600">
        <f>SUM(ET82:ET83)</f>
        <v>24.426315000000002</v>
      </c>
      <c r="ET82" s="102">
        <f>FA82+FG82+FQ82</f>
        <v>16.4534375</v>
      </c>
      <c r="EU82" s="2590">
        <f>SUM(EV82:EV83)</f>
        <v>237.75682700000004</v>
      </c>
      <c r="EV82" s="122">
        <f>2.87*EN82</f>
        <v>161.74243750000002</v>
      </c>
      <c r="EW82" s="2590">
        <f>SUM(EX82:EX83)</f>
        <v>37</v>
      </c>
      <c r="EX82" s="186">
        <f>ROUND((DH82+DF82+DD82)/1000*3,0)+ROUND((ROUND(DL82/400,0))/2.67,0)+ROUND(DV82/1000,0)+ROUND((DZ82+EB82+ED82+EH82)/1000*3,0)+ROUND(EN82/25,0)+ROUND(ET82/50,0)</f>
        <v>25</v>
      </c>
      <c r="EY82" s="2590">
        <f>SUM(EZ82:EZ83)</f>
        <v>12.426315000000002</v>
      </c>
      <c r="EZ82" s="2610">
        <f>SUM(FA82:FA83)</f>
        <v>12.426315000000002</v>
      </c>
      <c r="FA82" s="2223">
        <f>(0.75*EN82)*0.2</f>
        <v>8.4534375000000015</v>
      </c>
      <c r="FB82" s="2590">
        <f>SUM(FC82:FC83)</f>
        <v>0</v>
      </c>
      <c r="FC82" s="2223">
        <v>0</v>
      </c>
      <c r="FD82" s="2590">
        <f>SUM(FE82:FE83)</f>
        <v>0</v>
      </c>
      <c r="FE82" s="2223">
        <v>0</v>
      </c>
      <c r="FF82" s="2590">
        <f>SUM(FG82:FG83)</f>
        <v>12</v>
      </c>
      <c r="FG82" s="122">
        <f>ROUND((DH82+DJ82+DD82+DN82+DT82)/1000,0)</f>
        <v>8</v>
      </c>
      <c r="FH82" s="2590">
        <f>SUM(FI82:FI83)</f>
        <v>0</v>
      </c>
      <c r="FI82" s="122">
        <f>DF82/1000</f>
        <v>0</v>
      </c>
      <c r="FJ82" s="2590">
        <f>SUM(FK82:FK83)</f>
        <v>0</v>
      </c>
      <c r="FK82" s="122">
        <f>((DL82/400)/12)</f>
        <v>0</v>
      </c>
      <c r="FL82" s="2590">
        <f>SUM(FM82:FM83)</f>
        <v>0</v>
      </c>
      <c r="FM82" s="122">
        <v>0</v>
      </c>
      <c r="FN82" s="2590">
        <f>SUM(FO82:FO83)</f>
        <v>0</v>
      </c>
      <c r="FO82" s="122">
        <v>0</v>
      </c>
      <c r="FP82" s="2600">
        <f>SUM(FQ82:FQ83)</f>
        <v>0</v>
      </c>
      <c r="FQ82" s="122">
        <f>DX82/1000</f>
        <v>0</v>
      </c>
      <c r="FR82" s="2590">
        <f>SUM(FS82:FS83)</f>
        <v>145</v>
      </c>
      <c r="FS82" s="2604">
        <v>145</v>
      </c>
      <c r="FT82" s="2606">
        <f>CX82-S82</f>
        <v>82842.100000000006</v>
      </c>
      <c r="FU82" s="2602">
        <f>CY82-U82</f>
        <v>-3172.8999999999996</v>
      </c>
      <c r="FV82" s="2608">
        <f>(DC82+DE82+DG82)-(Y82+AA82+AC82+AE82)</f>
        <v>-3172.8999999999996</v>
      </c>
      <c r="FW82" s="2608">
        <f>DG82-AC82</f>
        <v>-3172.8999999999996</v>
      </c>
      <c r="FX82" s="2602">
        <f>DE82-AA82</f>
        <v>0</v>
      </c>
      <c r="FY82" s="2602">
        <f>DC82-Y82</f>
        <v>0</v>
      </c>
      <c r="FZ82" s="2602">
        <f>DJ82-AE82</f>
        <v>0</v>
      </c>
      <c r="GA82" s="2602">
        <f>DL82-AL82</f>
        <v>0</v>
      </c>
      <c r="GB82" s="2602">
        <f>DM82-AM82</f>
        <v>0</v>
      </c>
      <c r="GC82" s="2602">
        <f>DP82-AQ82</f>
        <v>0</v>
      </c>
      <c r="GD82" s="2602">
        <f>DR82-AS82</f>
        <v>0</v>
      </c>
      <c r="GE82" s="2602">
        <f>DT82-AV82</f>
        <v>0</v>
      </c>
      <c r="GF82" s="2602">
        <f>DV82-AW82</f>
        <v>0</v>
      </c>
      <c r="GG82" s="2602">
        <f>DZ82-BB82</f>
        <v>0</v>
      </c>
      <c r="GH82" s="2602">
        <f>EB82-BD82</f>
        <v>0</v>
      </c>
      <c r="GI82" s="2602">
        <f>ED82-BF82</f>
        <v>0</v>
      </c>
      <c r="GJ82" s="2602">
        <f>EF82-BH82</f>
        <v>0</v>
      </c>
      <c r="GK82" s="2602">
        <f>EH82-BJ82</f>
        <v>0</v>
      </c>
      <c r="GL82" s="2608">
        <f>DW82-AY82</f>
        <v>0</v>
      </c>
      <c r="GM82" s="2608">
        <f>EK82-BM82</f>
        <v>79669.2</v>
      </c>
      <c r="GN82" s="2608">
        <f>EM82-BO82</f>
        <v>82.842100000000002</v>
      </c>
      <c r="GO82" s="2582">
        <f>SUM(GP82:GP83)</f>
        <v>16.568420000000003</v>
      </c>
      <c r="GP82" s="114">
        <f>EP82-BR82</f>
        <v>11.271250000000002</v>
      </c>
      <c r="GQ82" s="2582">
        <f>SUM(GR82:GR83)</f>
        <v>237.75682700000004</v>
      </c>
      <c r="GR82" s="114">
        <f>EV82-BT82</f>
        <v>161.74243750000002</v>
      </c>
      <c r="GS82" s="2582">
        <f>SUM(GT82:GT83)</f>
        <v>-6</v>
      </c>
      <c r="GT82" s="187">
        <f>EX82-BV82</f>
        <v>-2</v>
      </c>
      <c r="GU82" s="114">
        <f>FA82-BX82</f>
        <v>8.4534375000000015</v>
      </c>
      <c r="GV82" s="187">
        <f>FI82-CD82</f>
        <v>0</v>
      </c>
      <c r="GW82" s="187">
        <v>0</v>
      </c>
      <c r="GX82" s="187">
        <f>FG82-CB82</f>
        <v>8</v>
      </c>
      <c r="GY82" s="187">
        <f>FK82-CF82</f>
        <v>0</v>
      </c>
      <c r="GZ82" s="114">
        <f>FM82-CH82</f>
        <v>0</v>
      </c>
      <c r="HA82" s="187">
        <f>FO82-CJ82</f>
        <v>0</v>
      </c>
      <c r="HB82" s="187">
        <f>FQ82-CL82</f>
        <v>0</v>
      </c>
      <c r="HC82" s="2616">
        <f>ES82-CM82</f>
        <v>24.426315000000002</v>
      </c>
      <c r="HD82" s="139"/>
      <c r="HE82" s="139"/>
      <c r="HF82" s="139"/>
      <c r="HG82" s="139"/>
      <c r="HH82" s="127"/>
      <c r="HI82" s="127"/>
    </row>
    <row r="83" spans="1:217" s="72" customFormat="1" ht="15" customHeight="1">
      <c r="A83" s="2589"/>
      <c r="B83" s="297" t="s">
        <v>710</v>
      </c>
      <c r="C83" s="66">
        <v>2842</v>
      </c>
      <c r="D83" s="66">
        <v>15</v>
      </c>
      <c r="E83" s="66">
        <v>2028420015</v>
      </c>
      <c r="F83" s="68">
        <v>4171</v>
      </c>
      <c r="G83" s="69" t="s">
        <v>753</v>
      </c>
      <c r="H83" s="70"/>
      <c r="I83" s="66">
        <v>1.3</v>
      </c>
      <c r="J83" s="66">
        <v>3.44</v>
      </c>
      <c r="K83" s="66">
        <v>3.4</v>
      </c>
      <c r="L83" s="66">
        <v>6.5</v>
      </c>
      <c r="M83" s="68">
        <v>5421</v>
      </c>
      <c r="N83" s="68">
        <v>0</v>
      </c>
      <c r="O83" s="68">
        <v>0</v>
      </c>
      <c r="P83" s="68">
        <v>5421</v>
      </c>
      <c r="Q83" s="71">
        <v>0</v>
      </c>
      <c r="R83" s="72" t="s">
        <v>695</v>
      </c>
      <c r="S83" s="2591"/>
      <c r="T83" s="73">
        <v>0</v>
      </c>
      <c r="U83" s="2591"/>
      <c r="V83" s="74">
        <f>M83</f>
        <v>5421</v>
      </c>
      <c r="W83" s="2591"/>
      <c r="X83" s="73">
        <f>V83-Z83</f>
        <v>5421</v>
      </c>
      <c r="Y83" s="2591"/>
      <c r="Z83" s="73">
        <v>0</v>
      </c>
      <c r="AA83" s="2591"/>
      <c r="AB83" s="73">
        <v>0</v>
      </c>
      <c r="AC83" s="2591"/>
      <c r="AD83" s="75">
        <f>V83-(Z83+AB83+AF83+AL83+AN83+AP83+AZ83+AR83+AT83+AV83+AX83)</f>
        <v>5421</v>
      </c>
      <c r="AE83" s="2581"/>
      <c r="AF83" s="75">
        <f>AI83+AG83</f>
        <v>0</v>
      </c>
      <c r="AG83" s="75">
        <v>0</v>
      </c>
      <c r="AH83" s="2581"/>
      <c r="AI83" s="75">
        <v>0</v>
      </c>
      <c r="AJ83" s="2581"/>
      <c r="AK83" s="2581"/>
      <c r="AL83" s="75">
        <v>0</v>
      </c>
      <c r="AM83" s="2581"/>
      <c r="AN83" s="75">
        <v>0</v>
      </c>
      <c r="AO83" s="2583"/>
      <c r="AP83" s="75">
        <v>0</v>
      </c>
      <c r="AQ83" s="2581"/>
      <c r="AR83" s="75">
        <v>0</v>
      </c>
      <c r="AS83" s="2581"/>
      <c r="AT83" s="75">
        <v>0</v>
      </c>
      <c r="AU83" s="2581"/>
      <c r="AV83" s="75">
        <v>0</v>
      </c>
      <c r="AW83" s="2581"/>
      <c r="AX83" s="75">
        <v>0</v>
      </c>
      <c r="AY83" s="2581"/>
      <c r="AZ83" s="75">
        <f t="shared" si="18"/>
        <v>0</v>
      </c>
      <c r="BA83" s="2583"/>
      <c r="BB83" s="73">
        <v>0</v>
      </c>
      <c r="BC83" s="2583"/>
      <c r="BD83" s="73">
        <v>0</v>
      </c>
      <c r="BE83" s="2583"/>
      <c r="BF83" s="73">
        <v>0</v>
      </c>
      <c r="BG83" s="2583"/>
      <c r="BH83" s="73">
        <v>0</v>
      </c>
      <c r="BI83" s="2583"/>
      <c r="BJ83" s="73">
        <v>0</v>
      </c>
      <c r="BK83" s="2583"/>
      <c r="BL83" s="73">
        <v>0</v>
      </c>
      <c r="BM83" s="2581"/>
      <c r="BN83" s="73">
        <f>T83+V83</f>
        <v>5421</v>
      </c>
      <c r="BO83" s="2581"/>
      <c r="BP83" s="73">
        <v>0</v>
      </c>
      <c r="BQ83" s="2581"/>
      <c r="BR83" s="73">
        <v>0</v>
      </c>
      <c r="BS83" s="2581"/>
      <c r="BT83" s="77">
        <f t="shared" si="16"/>
        <v>0</v>
      </c>
      <c r="BU83" s="2581"/>
      <c r="BV83" s="78">
        <f t="shared" si="25"/>
        <v>16</v>
      </c>
      <c r="BW83" s="2581"/>
      <c r="BX83" s="73">
        <v>0</v>
      </c>
      <c r="BY83" s="2581"/>
      <c r="BZ83" s="73">
        <v>0</v>
      </c>
      <c r="CA83" s="2581"/>
      <c r="CB83" s="73">
        <v>0</v>
      </c>
      <c r="CC83" s="2581"/>
      <c r="CD83" s="73">
        <v>0</v>
      </c>
      <c r="CE83" s="2581"/>
      <c r="CF83" s="73">
        <v>0</v>
      </c>
      <c r="CG83" s="2581"/>
      <c r="CH83" s="73">
        <v>0</v>
      </c>
      <c r="CI83" s="2581"/>
      <c r="CJ83" s="73">
        <v>0</v>
      </c>
      <c r="CK83" s="2581"/>
      <c r="CL83" s="73">
        <v>0</v>
      </c>
      <c r="CM83" s="2581"/>
      <c r="CN83" s="73">
        <f t="shared" si="19"/>
        <v>0</v>
      </c>
      <c r="CO83" s="74"/>
      <c r="CP83" s="2266">
        <v>25</v>
      </c>
      <c r="CQ83" s="72" t="s">
        <v>741</v>
      </c>
      <c r="CR83" s="81">
        <v>7.2</v>
      </c>
      <c r="CS83" s="81">
        <v>2</v>
      </c>
      <c r="CT83" s="81">
        <v>6.5</v>
      </c>
      <c r="CU83" s="82" t="s">
        <v>706</v>
      </c>
      <c r="CV83" s="2597"/>
      <c r="CW83" s="73">
        <f>(CR83*F83)-CZ83</f>
        <v>26485.850000000002</v>
      </c>
      <c r="CX83" s="2591"/>
      <c r="CY83" s="2599"/>
      <c r="CZ83" s="73">
        <f>1*(F83)-(0.15*1*(F83))</f>
        <v>3545.35</v>
      </c>
      <c r="DA83" s="2593"/>
      <c r="DB83" s="73">
        <f>CZ83-DD83</f>
        <v>3545.35</v>
      </c>
      <c r="DC83" s="2591"/>
      <c r="DD83" s="73">
        <v>0</v>
      </c>
      <c r="DE83" s="2591"/>
      <c r="DF83" s="73"/>
      <c r="DG83" s="2591"/>
      <c r="DH83" s="73">
        <f>CZ83-(DD83+DF83+DJ83+DL83+DN83+DT83+DV83+DX83)</f>
        <v>3545.35</v>
      </c>
      <c r="DI83" s="2591"/>
      <c r="DJ83" s="73">
        <v>0</v>
      </c>
      <c r="DK83" s="2591"/>
      <c r="DL83" s="73">
        <v>0</v>
      </c>
      <c r="DM83" s="2591"/>
      <c r="DN83" s="73">
        <v>0</v>
      </c>
      <c r="DO83" s="2591"/>
      <c r="DP83" s="73">
        <v>0</v>
      </c>
      <c r="DQ83" s="2591"/>
      <c r="DR83" s="73">
        <v>0</v>
      </c>
      <c r="DS83" s="2591"/>
      <c r="DT83" s="73">
        <v>0</v>
      </c>
      <c r="DU83" s="2591"/>
      <c r="DV83" s="73">
        <v>0</v>
      </c>
      <c r="DW83" s="2591"/>
      <c r="DX83" s="75">
        <f t="shared" si="22"/>
        <v>0</v>
      </c>
      <c r="DY83" s="2591"/>
      <c r="DZ83" s="75">
        <f>BB83</f>
        <v>0</v>
      </c>
      <c r="EA83" s="2591"/>
      <c r="EB83" s="75">
        <f>BD83</f>
        <v>0</v>
      </c>
      <c r="EC83" s="2591"/>
      <c r="ED83" s="75">
        <f>BF83</f>
        <v>0</v>
      </c>
      <c r="EE83" s="2591"/>
      <c r="EF83" s="75">
        <f>BH83</f>
        <v>0</v>
      </c>
      <c r="EG83" s="2591"/>
      <c r="EH83" s="75">
        <f t="shared" si="26"/>
        <v>0</v>
      </c>
      <c r="EI83" s="2591"/>
      <c r="EJ83" s="75"/>
      <c r="EK83" s="2581"/>
      <c r="EL83" s="73">
        <f>CW83+CZ83</f>
        <v>30031.200000000001</v>
      </c>
      <c r="EM83" s="2601"/>
      <c r="EN83" s="74">
        <f>CW83/'A-App Projected Sites '!EP$141</f>
        <v>26.485850000000003</v>
      </c>
      <c r="EO83" s="2601"/>
      <c r="EP83" s="74">
        <f t="shared" ref="EP83:EP85" si="27">0.2*EN83</f>
        <v>5.2971700000000013</v>
      </c>
      <c r="EQ83" s="2601"/>
      <c r="ER83" s="74">
        <f>0.25*EN83</f>
        <v>6.6214625000000007</v>
      </c>
      <c r="ES83" s="2601"/>
      <c r="ET83" s="74">
        <f>FA83+FG83+FQ83</f>
        <v>7.9728775000000009</v>
      </c>
      <c r="EU83" s="2591"/>
      <c r="EV83" s="74">
        <f>2.87*EN83</f>
        <v>76.014389500000007</v>
      </c>
      <c r="EW83" s="2591"/>
      <c r="EX83" s="88">
        <f>ROUND((DH83+DF83+DD83)/1000*3,0)+ROUND((ROUND(DL83/400,0))/2.67,0)+ROUND(DV83/1000,0)+ROUND((DZ83+EB83+ED83+EH83)/1000*3,0)+ROUND(EN83/25,0)+ROUND(ET83/50,0)</f>
        <v>12</v>
      </c>
      <c r="EY83" s="2591"/>
      <c r="EZ83" s="2611"/>
      <c r="FA83" s="2224">
        <f>(0.75*EN83)*0.2</f>
        <v>3.9728775000000009</v>
      </c>
      <c r="FB83" s="2591"/>
      <c r="FC83" s="2225">
        <v>0</v>
      </c>
      <c r="FD83" s="2591"/>
      <c r="FE83" s="2224">
        <v>0</v>
      </c>
      <c r="FF83" s="2591"/>
      <c r="FG83" s="74">
        <f>ROUND((DH83+DJ83+DD83+DN83+DT83)/1000,0)</f>
        <v>4</v>
      </c>
      <c r="FH83" s="2591"/>
      <c r="FI83" s="74">
        <f>DF83/1000</f>
        <v>0</v>
      </c>
      <c r="FJ83" s="2591"/>
      <c r="FK83" s="74">
        <f>((DL83/400)/12)</f>
        <v>0</v>
      </c>
      <c r="FL83" s="2591"/>
      <c r="FM83" s="74">
        <v>0</v>
      </c>
      <c r="FN83" s="2591"/>
      <c r="FO83" s="74">
        <v>0</v>
      </c>
      <c r="FP83" s="2601"/>
      <c r="FQ83" s="74">
        <f>DX83/1000</f>
        <v>0</v>
      </c>
      <c r="FR83" s="2591"/>
      <c r="FS83" s="2605"/>
      <c r="FT83" s="2607"/>
      <c r="FU83" s="2603"/>
      <c r="FV83" s="2609"/>
      <c r="FW83" s="2609"/>
      <c r="FX83" s="2603"/>
      <c r="FY83" s="2603"/>
      <c r="FZ83" s="2603"/>
      <c r="GA83" s="2603"/>
      <c r="GB83" s="2603"/>
      <c r="GC83" s="2603"/>
      <c r="GD83" s="2603"/>
      <c r="GE83" s="2603"/>
      <c r="GF83" s="2603"/>
      <c r="GG83" s="2603"/>
      <c r="GH83" s="2603"/>
      <c r="GI83" s="2603"/>
      <c r="GJ83" s="2603"/>
      <c r="GK83" s="2603"/>
      <c r="GL83" s="2609"/>
      <c r="GM83" s="2609"/>
      <c r="GN83" s="2609"/>
      <c r="GO83" s="2583"/>
      <c r="GP83" s="89">
        <f>EP83-BR83</f>
        <v>5.2971700000000013</v>
      </c>
      <c r="GQ83" s="2583"/>
      <c r="GR83" s="89">
        <f>EV83-BT83</f>
        <v>76.014389500000007</v>
      </c>
      <c r="GS83" s="2583"/>
      <c r="GT83" s="190">
        <f>EX83-BV83</f>
        <v>-4</v>
      </c>
      <c r="GU83" s="89">
        <f>FA83-BX83</f>
        <v>3.9728775000000009</v>
      </c>
      <c r="GV83" s="190">
        <f>FI83-CD83</f>
        <v>0</v>
      </c>
      <c r="GW83" s="190">
        <v>0</v>
      </c>
      <c r="GX83" s="190">
        <f>FG83-CB83</f>
        <v>4</v>
      </c>
      <c r="GY83" s="190">
        <f>FK83-CF83</f>
        <v>0</v>
      </c>
      <c r="GZ83" s="89">
        <f>FM83-CH83</f>
        <v>0</v>
      </c>
      <c r="HA83" s="190">
        <f>FO83-CJ83</f>
        <v>0</v>
      </c>
      <c r="HB83" s="190">
        <f>FQ83-CL83</f>
        <v>0</v>
      </c>
      <c r="HC83" s="2617"/>
      <c r="HD83" s="139"/>
      <c r="HE83" s="139"/>
      <c r="HF83" s="139"/>
      <c r="HG83" s="139"/>
      <c r="HH83" s="81"/>
      <c r="HI83" s="81"/>
    </row>
    <row r="84" spans="1:217" s="95" customFormat="1" ht="18.75">
      <c r="A84" s="2263"/>
      <c r="B84" s="131"/>
      <c r="C84" s="132"/>
      <c r="D84" s="132"/>
      <c r="E84" s="133"/>
      <c r="F84" s="134"/>
      <c r="G84" s="135"/>
      <c r="H84" s="136"/>
      <c r="I84" s="132"/>
      <c r="J84" s="132"/>
      <c r="K84" s="132"/>
      <c r="L84" s="132"/>
      <c r="M84" s="134"/>
      <c r="N84" s="134"/>
      <c r="O84" s="134"/>
      <c r="P84" s="134"/>
      <c r="Q84" s="137"/>
      <c r="S84" s="101"/>
      <c r="T84" s="97"/>
      <c r="U84" s="2244"/>
      <c r="V84" s="102"/>
      <c r="W84" s="2244"/>
      <c r="X84" s="97"/>
      <c r="Y84" s="2244"/>
      <c r="Z84" s="97"/>
      <c r="AA84" s="2244"/>
      <c r="AB84" s="97"/>
      <c r="AC84" s="2244"/>
      <c r="AD84" s="103"/>
      <c r="AE84" s="2251"/>
      <c r="AF84" s="103"/>
      <c r="AG84" s="103"/>
      <c r="AH84" s="103"/>
      <c r="AI84" s="103"/>
      <c r="AJ84" s="103"/>
      <c r="AK84" s="2251"/>
      <c r="AL84" s="103"/>
      <c r="AM84" s="2251"/>
      <c r="AN84" s="103"/>
      <c r="AO84" s="2224"/>
      <c r="AP84" s="103"/>
      <c r="AQ84" s="2251"/>
      <c r="AR84" s="103"/>
      <c r="AS84" s="2251"/>
      <c r="AT84" s="103"/>
      <c r="AU84" s="2251"/>
      <c r="AV84" s="103"/>
      <c r="AW84" s="2251"/>
      <c r="AX84" s="103"/>
      <c r="AY84" s="2251"/>
      <c r="AZ84" s="75">
        <f t="shared" si="18"/>
        <v>0</v>
      </c>
      <c r="BA84" s="2224"/>
      <c r="BB84" s="97"/>
      <c r="BC84" s="2224"/>
      <c r="BD84" s="97"/>
      <c r="BE84" s="2224"/>
      <c r="BF84" s="97"/>
      <c r="BG84" s="2224"/>
      <c r="BH84" s="97"/>
      <c r="BI84" s="2224"/>
      <c r="BJ84" s="97"/>
      <c r="BK84" s="2224"/>
      <c r="BL84" s="97"/>
      <c r="BM84" s="2251"/>
      <c r="BN84" s="97"/>
      <c r="BO84" s="2251"/>
      <c r="BP84" s="97"/>
      <c r="BQ84" s="2251"/>
      <c r="BR84" s="97"/>
      <c r="BS84" s="2251"/>
      <c r="BT84" s="124"/>
      <c r="BU84" s="2251"/>
      <c r="BV84" s="138"/>
      <c r="BW84" s="2251"/>
      <c r="BX84" s="97"/>
      <c r="BY84" s="2251"/>
      <c r="BZ84" s="97"/>
      <c r="CA84" s="2251"/>
      <c r="CB84" s="97"/>
      <c r="CC84" s="2251"/>
      <c r="CD84" s="97"/>
      <c r="CE84" s="2251"/>
      <c r="CF84" s="97"/>
      <c r="CG84" s="2251"/>
      <c r="CH84" s="105"/>
      <c r="CI84" s="2251"/>
      <c r="CJ84" s="97"/>
      <c r="CK84" s="2251"/>
      <c r="CL84" s="97"/>
      <c r="CM84" s="2251"/>
      <c r="CN84" s="73">
        <f t="shared" si="19"/>
        <v>0</v>
      </c>
      <c r="CO84" s="97"/>
      <c r="CP84" s="106"/>
      <c r="CQ84" s="139"/>
      <c r="CR84" s="139"/>
      <c r="CS84" s="139"/>
      <c r="CT84" s="139"/>
      <c r="CU84" s="108"/>
      <c r="CV84" s="109"/>
      <c r="CW84" s="97"/>
      <c r="CX84" s="2244"/>
      <c r="CY84" s="2261"/>
      <c r="CZ84" s="97"/>
      <c r="DA84" s="2253"/>
      <c r="DB84" s="97"/>
      <c r="DC84" s="2244"/>
      <c r="DD84" s="97"/>
      <c r="DE84" s="2244"/>
      <c r="DF84" s="97"/>
      <c r="DG84" s="2244"/>
      <c r="DH84" s="97"/>
      <c r="DI84" s="2244"/>
      <c r="DJ84" s="97"/>
      <c r="DK84" s="2244"/>
      <c r="DL84" s="97"/>
      <c r="DM84" s="214"/>
      <c r="DN84" s="83"/>
      <c r="DO84" s="2244"/>
      <c r="DP84" s="83"/>
      <c r="DQ84" s="2244"/>
      <c r="DR84" s="83"/>
      <c r="DS84" s="2244"/>
      <c r="DT84" s="83"/>
      <c r="DU84" s="2244"/>
      <c r="DV84" s="83"/>
      <c r="DW84" s="214"/>
      <c r="DX84" s="75"/>
      <c r="DY84" s="2244"/>
      <c r="DZ84" s="76"/>
      <c r="EA84" s="2244"/>
      <c r="EB84" s="76"/>
      <c r="EC84" s="2244"/>
      <c r="ED84" s="76"/>
      <c r="EE84" s="2244"/>
      <c r="EF84" s="76"/>
      <c r="EG84" s="2244"/>
      <c r="EH84" s="76"/>
      <c r="EI84" s="2244"/>
      <c r="EJ84" s="76"/>
      <c r="EK84" s="215"/>
      <c r="EL84" s="97"/>
      <c r="EM84" s="2246"/>
      <c r="EN84" s="102"/>
      <c r="EO84" s="2246"/>
      <c r="EP84" s="122"/>
      <c r="EQ84" s="258"/>
      <c r="ER84" s="122"/>
      <c r="ES84" s="258"/>
      <c r="ET84" s="74"/>
      <c r="EU84" s="2244"/>
      <c r="EV84" s="111"/>
      <c r="EW84" s="2244"/>
      <c r="EX84" s="88"/>
      <c r="EY84" s="2244"/>
      <c r="EZ84" s="2248"/>
      <c r="FA84" s="2223"/>
      <c r="FB84" s="2244"/>
      <c r="FC84" s="2224"/>
      <c r="FD84" s="2244"/>
      <c r="FE84" s="194"/>
      <c r="FF84" s="2244"/>
      <c r="FG84" s="102"/>
      <c r="FH84" s="2244"/>
      <c r="FI84" s="102"/>
      <c r="FJ84" s="2244"/>
      <c r="FK84" s="102"/>
      <c r="FL84" s="2244"/>
      <c r="FM84" s="102"/>
      <c r="FN84" s="2244"/>
      <c r="FO84" s="102"/>
      <c r="FP84" s="258"/>
      <c r="FQ84" s="102"/>
      <c r="FR84" s="2244"/>
      <c r="FS84" s="2244"/>
      <c r="FT84" s="2240"/>
      <c r="FU84" s="2233"/>
      <c r="FV84" s="2235"/>
      <c r="FW84" s="2235"/>
      <c r="FX84" s="2233"/>
      <c r="FY84" s="2233"/>
      <c r="FZ84" s="2233"/>
      <c r="GA84" s="2232"/>
      <c r="GB84" s="2233"/>
      <c r="GC84" s="2233"/>
      <c r="GD84" s="2233"/>
      <c r="GE84" s="2232"/>
      <c r="GF84" s="2233"/>
      <c r="GG84" s="2232"/>
      <c r="GH84" s="2232"/>
      <c r="GI84" s="2232"/>
      <c r="GJ84" s="2232"/>
      <c r="GK84" s="2232"/>
      <c r="GL84" s="2235"/>
      <c r="GM84" s="2235"/>
      <c r="GN84" s="2235"/>
      <c r="GO84" s="2224"/>
      <c r="GP84" s="112"/>
      <c r="GQ84" s="2224"/>
      <c r="GR84" s="112"/>
      <c r="GS84" s="2224"/>
      <c r="GT84" s="113"/>
      <c r="GU84" s="114"/>
      <c r="GV84" s="113"/>
      <c r="GW84" s="113"/>
      <c r="GX84" s="113"/>
      <c r="GY84" s="113"/>
      <c r="GZ84" s="112"/>
      <c r="HA84" s="113"/>
      <c r="HB84" s="114"/>
      <c r="HC84" s="2230"/>
    </row>
    <row r="85" spans="1:217" s="91" customFormat="1" ht="18.75">
      <c r="A85" s="216">
        <v>29</v>
      </c>
      <c r="B85" s="217" t="s">
        <v>703</v>
      </c>
      <c r="C85" s="218">
        <v>2843</v>
      </c>
      <c r="D85" s="218">
        <v>98</v>
      </c>
      <c r="E85" s="219">
        <v>2028430098</v>
      </c>
      <c r="F85" s="220">
        <v>8842</v>
      </c>
      <c r="G85" s="221" t="s">
        <v>753</v>
      </c>
      <c r="H85" s="222"/>
      <c r="I85" s="218">
        <v>1.96</v>
      </c>
      <c r="J85" s="218">
        <v>4</v>
      </c>
      <c r="K85" s="218">
        <v>3.4</v>
      </c>
      <c r="L85" s="218">
        <v>6.5</v>
      </c>
      <c r="M85" s="220">
        <v>17354</v>
      </c>
      <c r="N85" s="220">
        <v>0</v>
      </c>
      <c r="O85" s="220">
        <v>0</v>
      </c>
      <c r="P85" s="220">
        <v>17354</v>
      </c>
      <c r="Q85" s="223">
        <v>0</v>
      </c>
      <c r="R85" s="91" t="s">
        <v>637</v>
      </c>
      <c r="S85" s="214">
        <f>T85</f>
        <v>0</v>
      </c>
      <c r="T85" s="83">
        <v>0</v>
      </c>
      <c r="U85" s="214">
        <f>V85</f>
        <v>17354</v>
      </c>
      <c r="V85" s="111">
        <f>M85</f>
        <v>17354</v>
      </c>
      <c r="W85" s="214">
        <f>X85</f>
        <v>17354</v>
      </c>
      <c r="X85" s="83">
        <f>V85-Z85</f>
        <v>17354</v>
      </c>
      <c r="Y85" s="214">
        <f>Z85</f>
        <v>0</v>
      </c>
      <c r="Z85" s="83">
        <v>0</v>
      </c>
      <c r="AA85" s="214">
        <f>AB85</f>
        <v>0</v>
      </c>
      <c r="AB85" s="83">
        <v>0</v>
      </c>
      <c r="AC85" s="214">
        <f>AD85</f>
        <v>17354</v>
      </c>
      <c r="AD85" s="76">
        <f>V85-(Z85+AB85+AF85+AL85+AN85+AP85+AZ85+AR85+AT85+AV85+AX85)</f>
        <v>17354</v>
      </c>
      <c r="AE85" s="215">
        <f>AF85</f>
        <v>0</v>
      </c>
      <c r="AF85" s="76">
        <v>0</v>
      </c>
      <c r="AG85" s="76">
        <v>0</v>
      </c>
      <c r="AH85" s="76">
        <f>AG85</f>
        <v>0</v>
      </c>
      <c r="AI85" s="76">
        <v>0</v>
      </c>
      <c r="AJ85" s="76">
        <f>AI85</f>
        <v>0</v>
      </c>
      <c r="AK85" s="215">
        <f>AL85</f>
        <v>0</v>
      </c>
      <c r="AL85" s="76">
        <v>0</v>
      </c>
      <c r="AM85" s="215">
        <v>0</v>
      </c>
      <c r="AN85" s="76">
        <v>0</v>
      </c>
      <c r="AO85" s="194">
        <f>AP85</f>
        <v>0</v>
      </c>
      <c r="AP85" s="76">
        <v>0</v>
      </c>
      <c r="AQ85" s="215">
        <f>AR85</f>
        <v>0</v>
      </c>
      <c r="AR85" s="76">
        <v>0</v>
      </c>
      <c r="AS85" s="215">
        <f>AT85</f>
        <v>0</v>
      </c>
      <c r="AT85" s="76">
        <v>0</v>
      </c>
      <c r="AU85" s="215">
        <f>AV85</f>
        <v>0</v>
      </c>
      <c r="AV85" s="76">
        <v>0</v>
      </c>
      <c r="AW85" s="215">
        <f>AX85</f>
        <v>0</v>
      </c>
      <c r="AX85" s="76">
        <v>0</v>
      </c>
      <c r="AY85" s="215">
        <f>AZ85</f>
        <v>0</v>
      </c>
      <c r="AZ85" s="75">
        <f t="shared" si="18"/>
        <v>0</v>
      </c>
      <c r="BA85" s="194">
        <f>BB85</f>
        <v>0</v>
      </c>
      <c r="BB85" s="224">
        <v>0</v>
      </c>
      <c r="BC85" s="194">
        <f>BD85</f>
        <v>0</v>
      </c>
      <c r="BD85" s="224">
        <v>0</v>
      </c>
      <c r="BE85" s="194">
        <f>BF85</f>
        <v>0</v>
      </c>
      <c r="BF85" s="224">
        <v>0</v>
      </c>
      <c r="BG85" s="194">
        <f>BH85</f>
        <v>0</v>
      </c>
      <c r="BH85" s="224">
        <v>0</v>
      </c>
      <c r="BI85" s="194">
        <f>BJ85</f>
        <v>0</v>
      </c>
      <c r="BJ85" s="224">
        <v>0</v>
      </c>
      <c r="BK85" s="194">
        <f>BL85</f>
        <v>0</v>
      </c>
      <c r="BL85" s="224">
        <v>0</v>
      </c>
      <c r="BM85" s="215">
        <f>BN85</f>
        <v>17354</v>
      </c>
      <c r="BN85" s="83">
        <f>ROUND(T85+V85,0)</f>
        <v>17354</v>
      </c>
      <c r="BO85" s="215">
        <f>BP85</f>
        <v>0</v>
      </c>
      <c r="BP85" s="83">
        <f>ROUND(T85/'A-App Projected Sites '!EP$141,0)</f>
        <v>0</v>
      </c>
      <c r="BQ85" s="215">
        <f>BR85</f>
        <v>0</v>
      </c>
      <c r="BR85" s="83">
        <f>'A-App Projected Sites '!BR$142*BP85</f>
        <v>0</v>
      </c>
      <c r="BS85" s="215">
        <f>BT85</f>
        <v>0</v>
      </c>
      <c r="BT85" s="124">
        <f t="shared" si="16"/>
        <v>0</v>
      </c>
      <c r="BU85" s="215">
        <f>BV85</f>
        <v>52</v>
      </c>
      <c r="BV85" s="225">
        <f>ROUND((AD85+AB85+Z85)/1000*3,0)+ROUND((AF85+AX85)/1000,0)+ROUND((ROUND(AL85/400,0))/2.67,0)+ROUND(AN85/250,0)+ROUND(AR85/15000,0)+ROUND((BB85+BD85+BF85+BJ85)/1000*3,0)+ROUND(BP85/25,0)+ROUND(CN85/50,0)</f>
        <v>52</v>
      </c>
      <c r="BW85" s="215">
        <f>BX85</f>
        <v>0</v>
      </c>
      <c r="BX85" s="83">
        <v>0</v>
      </c>
      <c r="BY85" s="215">
        <f>BZ85</f>
        <v>0</v>
      </c>
      <c r="BZ85" s="83">
        <v>0</v>
      </c>
      <c r="CA85" s="215">
        <f>CB85</f>
        <v>17.353999999999999</v>
      </c>
      <c r="CB85" s="83">
        <f>V85/1000</f>
        <v>17.353999999999999</v>
      </c>
      <c r="CC85" s="215">
        <f>CD85</f>
        <v>0</v>
      </c>
      <c r="CD85" s="83">
        <f>AB85/1000</f>
        <v>0</v>
      </c>
      <c r="CE85" s="215">
        <f>CF85</f>
        <v>0</v>
      </c>
      <c r="CF85" s="83">
        <f>((AL85/400)/12)</f>
        <v>0</v>
      </c>
      <c r="CG85" s="215">
        <f>CH85</f>
        <v>0</v>
      </c>
      <c r="CH85" s="226">
        <f>IFERROR(VLOOKUP(E85,#REF!,3,FALSE),0)</f>
        <v>0</v>
      </c>
      <c r="CI85" s="215">
        <f>CJ85</f>
        <v>0</v>
      </c>
      <c r="CJ85" s="83">
        <v>0</v>
      </c>
      <c r="CK85" s="215">
        <f>CL85</f>
        <v>0</v>
      </c>
      <c r="CL85" s="83">
        <f>IF(BJ85&gt;0,"Calculate",0)</f>
        <v>0</v>
      </c>
      <c r="CM85" s="215">
        <f>CN85</f>
        <v>17.353999999999999</v>
      </c>
      <c r="CN85" s="73">
        <f t="shared" si="19"/>
        <v>17.353999999999999</v>
      </c>
      <c r="CO85" s="83"/>
      <c r="CP85" s="227">
        <v>38</v>
      </c>
      <c r="CQ85" s="228" t="s">
        <v>741</v>
      </c>
      <c r="CR85" s="228">
        <v>7.2</v>
      </c>
      <c r="CS85" s="228">
        <v>2</v>
      </c>
      <c r="CT85" s="228">
        <v>6.5</v>
      </c>
      <c r="CU85" s="229" t="s">
        <v>706</v>
      </c>
      <c r="CV85" s="230" t="s">
        <v>754</v>
      </c>
      <c r="CW85" s="83">
        <f>(CR85*F85)-CZ85</f>
        <v>56146.700000000004</v>
      </c>
      <c r="CX85" s="231">
        <f>CW85</f>
        <v>56146.700000000004</v>
      </c>
      <c r="CY85" s="232">
        <f>CZ85</f>
        <v>7515.7</v>
      </c>
      <c r="CZ85" s="83">
        <f>1*(F85)-(0.15*1*(F85))</f>
        <v>7515.7</v>
      </c>
      <c r="DA85" s="233">
        <f>DB85</f>
        <v>0</v>
      </c>
      <c r="DB85" s="83">
        <f>CZ85-DD85</f>
        <v>0</v>
      </c>
      <c r="DC85" s="231">
        <f>DD85</f>
        <v>7515.7</v>
      </c>
      <c r="DD85" s="83">
        <f>CZ85</f>
        <v>7515.7</v>
      </c>
      <c r="DE85" s="214">
        <f>DF85</f>
        <v>0</v>
      </c>
      <c r="DF85" s="83">
        <v>0</v>
      </c>
      <c r="DG85" s="214">
        <f>DH85</f>
        <v>0</v>
      </c>
      <c r="DH85" s="83">
        <f>CZ85-(DD85+DF85+DJ85+DL85+DN85+DT85+DV85+DX85)</f>
        <v>0</v>
      </c>
      <c r="DI85" s="214">
        <f>DJ85</f>
        <v>0</v>
      </c>
      <c r="DJ85" s="83">
        <v>0</v>
      </c>
      <c r="DK85" s="214">
        <f>DL85</f>
        <v>0</v>
      </c>
      <c r="DL85" s="83">
        <v>0</v>
      </c>
      <c r="DM85" s="2245">
        <f>DN85</f>
        <v>0</v>
      </c>
      <c r="DN85" s="73">
        <v>0</v>
      </c>
      <c r="DO85" s="214">
        <f>DP85</f>
        <v>0</v>
      </c>
      <c r="DP85" s="73">
        <v>0</v>
      </c>
      <c r="DQ85" s="214">
        <f>DR85</f>
        <v>0</v>
      </c>
      <c r="DR85" s="73">
        <v>0</v>
      </c>
      <c r="DS85" s="214">
        <f>DT85</f>
        <v>0</v>
      </c>
      <c r="DT85" s="73">
        <v>0</v>
      </c>
      <c r="DU85" s="214">
        <f>DV85</f>
        <v>0</v>
      </c>
      <c r="DV85" s="73">
        <v>0</v>
      </c>
      <c r="DW85" s="2245">
        <f>DX85</f>
        <v>0</v>
      </c>
      <c r="DX85" s="75">
        <f t="shared" si="22"/>
        <v>0</v>
      </c>
      <c r="DY85" s="214">
        <f>DZ85</f>
        <v>0</v>
      </c>
      <c r="DZ85" s="75">
        <v>0</v>
      </c>
      <c r="EA85" s="214">
        <f>EB85</f>
        <v>0</v>
      </c>
      <c r="EB85" s="75">
        <v>0</v>
      </c>
      <c r="EC85" s="214">
        <f>ED85</f>
        <v>0</v>
      </c>
      <c r="ED85" s="75">
        <v>0</v>
      </c>
      <c r="EE85" s="214">
        <f>EF85</f>
        <v>0</v>
      </c>
      <c r="EF85" s="75">
        <v>0</v>
      </c>
      <c r="EG85" s="214">
        <f>EH85</f>
        <v>0</v>
      </c>
      <c r="EH85" s="75">
        <v>0</v>
      </c>
      <c r="EI85" s="214">
        <f>EJ85</f>
        <v>0</v>
      </c>
      <c r="EJ85" s="75"/>
      <c r="EK85" s="2252">
        <f>EL85</f>
        <v>63662</v>
      </c>
      <c r="EL85" s="83">
        <f>ROUND(CW85+CZ85,0)</f>
        <v>63662</v>
      </c>
      <c r="EM85" s="234">
        <f>SUM(EN85)</f>
        <v>56</v>
      </c>
      <c r="EN85" s="111">
        <f>ROUND(CW85/'A-App Projected Sites '!EP$141,0)</f>
        <v>56</v>
      </c>
      <c r="EO85" s="234">
        <f>EP85</f>
        <v>11.200000000000001</v>
      </c>
      <c r="EP85" s="122">
        <f t="shared" si="27"/>
        <v>11.200000000000001</v>
      </c>
      <c r="EQ85" s="258">
        <f>ER85</f>
        <v>14</v>
      </c>
      <c r="ER85" s="122">
        <f>0.25*EN85</f>
        <v>14</v>
      </c>
      <c r="ES85" s="258">
        <f>ET85</f>
        <v>8</v>
      </c>
      <c r="ET85" s="74">
        <f>FA85+FG85+FQ85</f>
        <v>8</v>
      </c>
      <c r="EU85" s="214">
        <f>EV85</f>
        <v>160.72</v>
      </c>
      <c r="EV85" s="111">
        <f>2.87*EN85</f>
        <v>160.72</v>
      </c>
      <c r="EW85" s="214">
        <f>EX85</f>
        <v>25</v>
      </c>
      <c r="EX85" s="88">
        <f>ROUND((DH85+DF85+DD85)/1000*3,0)+ROUND((ROUND(DL85/400,0))/2.67,0)+ROUND(DV85/1000,0)+ROUND((DZ85+EB85+ED85+EH85)/1000*3,0)+ROUND(EN85/25,0)+ROUND(ET85/50,0)</f>
        <v>25</v>
      </c>
      <c r="EY85" s="214" t="str">
        <f>EZ85</f>
        <v>waived</v>
      </c>
      <c r="EZ85" s="193" t="s">
        <v>713</v>
      </c>
      <c r="FA85" s="194">
        <v>0</v>
      </c>
      <c r="FB85" s="214">
        <f>FC85</f>
        <v>0</v>
      </c>
      <c r="FC85" s="194">
        <v>0</v>
      </c>
      <c r="FD85" s="214">
        <f>FE85</f>
        <v>0</v>
      </c>
      <c r="FE85" s="194">
        <v>0</v>
      </c>
      <c r="FF85" s="214">
        <f>FG85</f>
        <v>8</v>
      </c>
      <c r="FG85" s="111">
        <f>ROUND((DH85+DJ85+DD85+DN85+DT85)/1000,0)</f>
        <v>8</v>
      </c>
      <c r="FH85" s="214">
        <f>FI85</f>
        <v>0</v>
      </c>
      <c r="FI85" s="111">
        <f>DF85/1000</f>
        <v>0</v>
      </c>
      <c r="FJ85" s="214">
        <f>FK85</f>
        <v>0</v>
      </c>
      <c r="FK85" s="111">
        <f>((DL85/400)/12)</f>
        <v>0</v>
      </c>
      <c r="FL85" s="214">
        <f>FM85</f>
        <v>0</v>
      </c>
      <c r="FM85" s="111">
        <v>0</v>
      </c>
      <c r="FN85" s="214">
        <f>FO85</f>
        <v>0</v>
      </c>
      <c r="FO85" s="111">
        <v>0</v>
      </c>
      <c r="FP85" s="258">
        <f>FQ85</f>
        <v>0</v>
      </c>
      <c r="FQ85" s="111">
        <f>DX85/1000</f>
        <v>0</v>
      </c>
      <c r="FR85" s="214">
        <f>FS85</f>
        <v>145</v>
      </c>
      <c r="FS85" s="214">
        <v>145</v>
      </c>
      <c r="FT85" s="2240">
        <f>CX85-S85</f>
        <v>56146.700000000004</v>
      </c>
      <c r="FU85" s="2233">
        <f>CY85-U85</f>
        <v>-9838.2999999999993</v>
      </c>
      <c r="FV85" s="2235">
        <f>(DC85+DE85+DG85)-(Y85+AA85+AC85+AE85)</f>
        <v>-9838.2999999999993</v>
      </c>
      <c r="FW85" s="2235">
        <f>DG85-AC85</f>
        <v>-17354</v>
      </c>
      <c r="FX85" s="2233">
        <f>DE85-AA85</f>
        <v>0</v>
      </c>
      <c r="FY85" s="2233">
        <f>DC85-Y85</f>
        <v>7515.7</v>
      </c>
      <c r="FZ85" s="2233">
        <f>DJ85-AE85</f>
        <v>0</v>
      </c>
      <c r="GA85" s="235">
        <f>DL85-AL85</f>
        <v>0</v>
      </c>
      <c r="GB85" s="2233">
        <f>DM85-AM85</f>
        <v>0</v>
      </c>
      <c r="GC85" s="2233">
        <f>DP85-AQ85</f>
        <v>0</v>
      </c>
      <c r="GD85" s="2233">
        <f>DR85-AS85</f>
        <v>0</v>
      </c>
      <c r="GE85" s="235">
        <f>DT85-AV85</f>
        <v>0</v>
      </c>
      <c r="GF85" s="2233">
        <f>DV85-AW85</f>
        <v>0</v>
      </c>
      <c r="GG85" s="235">
        <f>DZ85-BB85</f>
        <v>0</v>
      </c>
      <c r="GH85" s="235">
        <f>EB85-BD85</f>
        <v>0</v>
      </c>
      <c r="GI85" s="235">
        <f>ED85-BF85</f>
        <v>0</v>
      </c>
      <c r="GJ85" s="235">
        <f>EF85-BH85</f>
        <v>0</v>
      </c>
      <c r="GK85" s="235">
        <f>EH85-BJ85</f>
        <v>0</v>
      </c>
      <c r="GL85" s="2235">
        <f>DW85-AY85</f>
        <v>0</v>
      </c>
      <c r="GM85" s="2235">
        <f>EK85-BM85</f>
        <v>46308</v>
      </c>
      <c r="GN85" s="2235">
        <f>EM85-BO85</f>
        <v>56</v>
      </c>
      <c r="GO85" s="255">
        <f>GP85</f>
        <v>11.200000000000001</v>
      </c>
      <c r="GP85" s="112">
        <f>EP85-BR85</f>
        <v>11.200000000000001</v>
      </c>
      <c r="GQ85" s="255">
        <f>GR85</f>
        <v>160.72</v>
      </c>
      <c r="GR85" s="112">
        <f>EV85-BT85</f>
        <v>160.72</v>
      </c>
      <c r="GS85" s="255">
        <f>GT85</f>
        <v>-27</v>
      </c>
      <c r="GT85" s="112">
        <f>EX85-BV85</f>
        <v>-27</v>
      </c>
      <c r="GU85" s="114">
        <f>FA85-BX85</f>
        <v>0</v>
      </c>
      <c r="GV85" s="112">
        <f>FI85-CD85</f>
        <v>0</v>
      </c>
      <c r="GW85" s="112">
        <v>0</v>
      </c>
      <c r="GX85" s="112">
        <f>FG85-CB85</f>
        <v>-9.3539999999999992</v>
      </c>
      <c r="GY85" s="112">
        <f>FK85-CF85</f>
        <v>0</v>
      </c>
      <c r="GZ85" s="112">
        <f>FM85-CH85</f>
        <v>0</v>
      </c>
      <c r="HA85" s="112">
        <f>FO85-CJ85</f>
        <v>0</v>
      </c>
      <c r="HB85" s="112">
        <f>FQ85-CL85</f>
        <v>0</v>
      </c>
      <c r="HC85" s="2230">
        <f>ES85-CM85</f>
        <v>-9.3539999999999992</v>
      </c>
      <c r="HD85" s="95"/>
      <c r="HE85" s="95"/>
      <c r="HF85" s="95"/>
      <c r="HG85" s="95"/>
    </row>
    <row r="86" spans="1:217" s="95" customFormat="1" ht="18.75">
      <c r="A86" s="2263"/>
      <c r="B86" s="236"/>
      <c r="C86" s="132"/>
      <c r="D86" s="132"/>
      <c r="E86" s="265"/>
      <c r="F86" s="134"/>
      <c r="G86" s="135"/>
      <c r="H86" s="136"/>
      <c r="I86" s="132"/>
      <c r="J86" s="132"/>
      <c r="K86" s="132"/>
      <c r="L86" s="132"/>
      <c r="M86" s="134"/>
      <c r="N86" s="134"/>
      <c r="O86" s="134"/>
      <c r="P86" s="134"/>
      <c r="Q86" s="137"/>
      <c r="S86" s="101"/>
      <c r="T86" s="97"/>
      <c r="U86" s="2244"/>
      <c r="V86" s="102"/>
      <c r="W86" s="2244"/>
      <c r="X86" s="97"/>
      <c r="Y86" s="2244"/>
      <c r="Z86" s="97"/>
      <c r="AA86" s="2244"/>
      <c r="AB86" s="97"/>
      <c r="AC86" s="2244"/>
      <c r="AD86" s="103"/>
      <c r="AE86" s="2251"/>
      <c r="AF86" s="103"/>
      <c r="AG86" s="103"/>
      <c r="AH86" s="103"/>
      <c r="AI86" s="103"/>
      <c r="AJ86" s="103"/>
      <c r="AK86" s="2251"/>
      <c r="AL86" s="103"/>
      <c r="AM86" s="2251"/>
      <c r="AN86" s="103"/>
      <c r="AO86" s="2224"/>
      <c r="AP86" s="103"/>
      <c r="AQ86" s="2251"/>
      <c r="AR86" s="103"/>
      <c r="AS86" s="2251"/>
      <c r="AT86" s="103"/>
      <c r="AU86" s="2251"/>
      <c r="AV86" s="103"/>
      <c r="AW86" s="2251"/>
      <c r="AX86" s="103"/>
      <c r="AY86" s="2251"/>
      <c r="AZ86" s="75">
        <f t="shared" si="18"/>
        <v>0</v>
      </c>
      <c r="BA86" s="2224"/>
      <c r="BB86" s="191"/>
      <c r="BC86" s="2224"/>
      <c r="BD86" s="191"/>
      <c r="BE86" s="2224"/>
      <c r="BF86" s="191"/>
      <c r="BG86" s="2224"/>
      <c r="BH86" s="191"/>
      <c r="BI86" s="2224"/>
      <c r="BJ86" s="191"/>
      <c r="BK86" s="2224"/>
      <c r="BL86" s="191"/>
      <c r="BM86" s="2251"/>
      <c r="BN86" s="97"/>
      <c r="BO86" s="2251"/>
      <c r="BP86" s="97"/>
      <c r="BQ86" s="2251"/>
      <c r="BR86" s="97"/>
      <c r="BS86" s="2251"/>
      <c r="BT86" s="124"/>
      <c r="BU86" s="2251"/>
      <c r="BV86" s="138"/>
      <c r="BW86" s="2251"/>
      <c r="BX86" s="97"/>
      <c r="BY86" s="2251"/>
      <c r="BZ86" s="97"/>
      <c r="CA86" s="2251"/>
      <c r="CB86" s="97"/>
      <c r="CC86" s="2251"/>
      <c r="CD86" s="97"/>
      <c r="CE86" s="2251"/>
      <c r="CF86" s="97"/>
      <c r="CG86" s="2251"/>
      <c r="CH86" s="97"/>
      <c r="CI86" s="2251"/>
      <c r="CJ86" s="97"/>
      <c r="CK86" s="2251"/>
      <c r="CL86" s="97"/>
      <c r="CM86" s="2251"/>
      <c r="CN86" s="73">
        <f t="shared" si="19"/>
        <v>0</v>
      </c>
      <c r="CO86" s="266"/>
      <c r="CP86" s="106"/>
      <c r="CQ86" s="139"/>
      <c r="CR86" s="139"/>
      <c r="CS86" s="139"/>
      <c r="CT86" s="139"/>
      <c r="CU86" s="108"/>
      <c r="CV86" s="109"/>
      <c r="CW86" s="97"/>
      <c r="CX86" s="2244"/>
      <c r="CY86" s="2261"/>
      <c r="CZ86" s="97"/>
      <c r="DA86" s="2253"/>
      <c r="DB86" s="97"/>
      <c r="DC86" s="2244"/>
      <c r="DD86" s="97"/>
      <c r="DE86" s="2244"/>
      <c r="DF86" s="97"/>
      <c r="DG86" s="2244"/>
      <c r="DH86" s="97"/>
      <c r="DI86" s="2244"/>
      <c r="DJ86" s="97"/>
      <c r="DK86" s="2244"/>
      <c r="DL86" s="97"/>
      <c r="DM86" s="2244"/>
      <c r="DN86" s="97"/>
      <c r="DO86" s="2244"/>
      <c r="DP86" s="97"/>
      <c r="DQ86" s="2244"/>
      <c r="DR86" s="97"/>
      <c r="DS86" s="2244"/>
      <c r="DT86" s="97"/>
      <c r="DU86" s="2244"/>
      <c r="DV86" s="97"/>
      <c r="DW86" s="2244"/>
      <c r="DX86" s="75"/>
      <c r="DY86" s="2244"/>
      <c r="DZ86" s="103"/>
      <c r="EA86" s="2244"/>
      <c r="EB86" s="103"/>
      <c r="EC86" s="2244"/>
      <c r="ED86" s="103"/>
      <c r="EE86" s="2244"/>
      <c r="EF86" s="103"/>
      <c r="EG86" s="2244"/>
      <c r="EH86" s="103"/>
      <c r="EI86" s="2244"/>
      <c r="EJ86" s="103"/>
      <c r="EK86" s="2251"/>
      <c r="EL86" s="97"/>
      <c r="EM86" s="2246"/>
      <c r="EN86" s="102"/>
      <c r="EO86" s="2246"/>
      <c r="EP86" s="111"/>
      <c r="EQ86" s="192"/>
      <c r="ER86" s="111"/>
      <c r="ES86" s="192"/>
      <c r="ET86" s="74"/>
      <c r="EU86" s="2244"/>
      <c r="EV86" s="111"/>
      <c r="EW86" s="2244"/>
      <c r="EX86" s="88"/>
      <c r="EY86" s="2244"/>
      <c r="EZ86" s="2248"/>
      <c r="FA86" s="194"/>
      <c r="FB86" s="2244"/>
      <c r="FC86" s="2224"/>
      <c r="FD86" s="2244"/>
      <c r="FE86" s="2224"/>
      <c r="FF86" s="2244"/>
      <c r="FG86" s="102"/>
      <c r="FH86" s="2244"/>
      <c r="FI86" s="102"/>
      <c r="FJ86" s="2244"/>
      <c r="FK86" s="102"/>
      <c r="FL86" s="2244"/>
      <c r="FM86" s="102"/>
      <c r="FN86" s="2244"/>
      <c r="FO86" s="102"/>
      <c r="FP86" s="192"/>
      <c r="FQ86" s="102"/>
      <c r="FR86" s="2244"/>
      <c r="FS86" s="2244"/>
      <c r="FT86" s="2240"/>
      <c r="FU86" s="2233"/>
      <c r="FV86" s="2235"/>
      <c r="FW86" s="2235"/>
      <c r="FX86" s="2233"/>
      <c r="FY86" s="2233"/>
      <c r="FZ86" s="2233"/>
      <c r="GA86" s="2232"/>
      <c r="GB86" s="2233"/>
      <c r="GC86" s="2233"/>
      <c r="GD86" s="2233"/>
      <c r="GE86" s="2232"/>
      <c r="GF86" s="2233"/>
      <c r="GG86" s="2232"/>
      <c r="GH86" s="2232"/>
      <c r="GI86" s="2232"/>
      <c r="GJ86" s="2232"/>
      <c r="GK86" s="2232"/>
      <c r="GL86" s="2235"/>
      <c r="GM86" s="2235"/>
      <c r="GN86" s="2235"/>
      <c r="GO86" s="2224"/>
      <c r="GP86" s="112"/>
      <c r="GQ86" s="2224"/>
      <c r="GR86" s="112"/>
      <c r="GS86" s="2224"/>
      <c r="GT86" s="195"/>
      <c r="GU86" s="114"/>
      <c r="GV86" s="195"/>
      <c r="GW86" s="195"/>
      <c r="GX86" s="195"/>
      <c r="GY86" s="195"/>
      <c r="GZ86" s="112"/>
      <c r="HA86" s="195"/>
      <c r="HB86" s="195"/>
      <c r="HC86" s="2230"/>
      <c r="HD86" s="139"/>
      <c r="HE86" s="139"/>
      <c r="HF86" s="139"/>
      <c r="HG86" s="139"/>
      <c r="HH86" s="139"/>
      <c r="HI86" s="139"/>
    </row>
    <row r="87" spans="1:217" s="90" customFormat="1" ht="15" customHeight="1">
      <c r="A87" s="2588">
        <v>30</v>
      </c>
      <c r="B87" s="3687" t="s">
        <v>703</v>
      </c>
      <c r="C87" s="115">
        <v>2857</v>
      </c>
      <c r="D87" s="115">
        <v>6</v>
      </c>
      <c r="E87" s="116">
        <v>2028570006</v>
      </c>
      <c r="F87" s="117">
        <v>8669</v>
      </c>
      <c r="G87" s="118" t="s">
        <v>704</v>
      </c>
      <c r="H87" s="119"/>
      <c r="I87" s="115">
        <v>0</v>
      </c>
      <c r="J87" s="115">
        <v>0</v>
      </c>
      <c r="K87" s="115">
        <v>2</v>
      </c>
      <c r="L87" s="115">
        <v>6.5</v>
      </c>
      <c r="M87" s="117">
        <v>0</v>
      </c>
      <c r="N87" s="117">
        <v>0</v>
      </c>
      <c r="O87" s="117">
        <v>0</v>
      </c>
      <c r="P87" s="117">
        <v>0</v>
      </c>
      <c r="Q87" s="120">
        <v>0</v>
      </c>
      <c r="R87" s="90" t="s">
        <v>723</v>
      </c>
      <c r="S87" s="2590">
        <f>SUM(T87:T88)</f>
        <v>0</v>
      </c>
      <c r="T87" s="121">
        <v>0</v>
      </c>
      <c r="U87" s="2590">
        <f>SUM(V87:V88)</f>
        <v>0</v>
      </c>
      <c r="V87" s="122">
        <f>M87</f>
        <v>0</v>
      </c>
      <c r="W87" s="2590">
        <f>SUM(X87:X88)</f>
        <v>0</v>
      </c>
      <c r="X87" s="121">
        <f>V87-Z87</f>
        <v>0</v>
      </c>
      <c r="Y87" s="2590">
        <f>SUM(Z87:Z88)</f>
        <v>0</v>
      </c>
      <c r="Z87" s="121">
        <v>0</v>
      </c>
      <c r="AA87" s="2590">
        <f>SUM(AB87:AB88)</f>
        <v>0</v>
      </c>
      <c r="AB87" s="121">
        <v>0</v>
      </c>
      <c r="AC87" s="2590">
        <f>SUM(AD87:AD88)</f>
        <v>0</v>
      </c>
      <c r="AD87" s="123">
        <f>V87-(Z87+AB87+AF87+AL87+AN87+AP87+AZ87+AR87+AT87+AV87+AX87)</f>
        <v>0</v>
      </c>
      <c r="AE87" s="2580">
        <f>SUM(AF87:AF88)</f>
        <v>0</v>
      </c>
      <c r="AF87" s="123">
        <v>0</v>
      </c>
      <c r="AG87" s="123">
        <v>0</v>
      </c>
      <c r="AH87" s="2580">
        <f>SUM(AG87:AG88)</f>
        <v>0</v>
      </c>
      <c r="AI87" s="123">
        <v>0</v>
      </c>
      <c r="AJ87" s="2580">
        <f>SUM(AI87:AI88)</f>
        <v>0</v>
      </c>
      <c r="AK87" s="2580">
        <v>0</v>
      </c>
      <c r="AL87" s="123">
        <v>0</v>
      </c>
      <c r="AM87" s="2580">
        <v>0</v>
      </c>
      <c r="AN87" s="123">
        <v>0</v>
      </c>
      <c r="AO87" s="2582">
        <f>SUM(AP87:AP88)</f>
        <v>0</v>
      </c>
      <c r="AP87" s="123">
        <v>0</v>
      </c>
      <c r="AQ87" s="2580">
        <f>SUM(AR87:AR88)</f>
        <v>0</v>
      </c>
      <c r="AR87" s="123">
        <v>0</v>
      </c>
      <c r="AS87" s="2580">
        <f>SUM(AT87:AT88)</f>
        <v>0</v>
      </c>
      <c r="AT87" s="123">
        <v>0</v>
      </c>
      <c r="AU87" s="2580">
        <f>SUM(AV87:AV88)</f>
        <v>0</v>
      </c>
      <c r="AV87" s="123">
        <v>0</v>
      </c>
      <c r="AW87" s="2580">
        <f>SUM(AX87:AX88)</f>
        <v>0</v>
      </c>
      <c r="AX87" s="123">
        <v>0</v>
      </c>
      <c r="AY87" s="2580">
        <f>SUM(AZ87:AZ88)</f>
        <v>0</v>
      </c>
      <c r="AZ87" s="103">
        <f t="shared" si="18"/>
        <v>0</v>
      </c>
      <c r="BA87" s="2582">
        <f>SUM(BB87:BB88)</f>
        <v>0</v>
      </c>
      <c r="BB87" s="121">
        <v>0</v>
      </c>
      <c r="BC87" s="2582">
        <f>SUM(BD87:BD88)</f>
        <v>0</v>
      </c>
      <c r="BD87" s="121">
        <v>0</v>
      </c>
      <c r="BE87" s="2582">
        <f>SUM(BF87:BF88)</f>
        <v>0</v>
      </c>
      <c r="BF87" s="121">
        <v>0</v>
      </c>
      <c r="BG87" s="2582">
        <f>SUM(BH87:BH88)</f>
        <v>0</v>
      </c>
      <c r="BH87" s="121">
        <v>0</v>
      </c>
      <c r="BI87" s="2582">
        <f>SUM(BJ87:BJ88)</f>
        <v>0</v>
      </c>
      <c r="BJ87" s="121">
        <v>0</v>
      </c>
      <c r="BK87" s="2582">
        <f>SUM(BL87:BL88)</f>
        <v>0</v>
      </c>
      <c r="BL87" s="121">
        <v>0</v>
      </c>
      <c r="BM87" s="2580">
        <f>SUM(BN87:BN88)</f>
        <v>0</v>
      </c>
      <c r="BN87" s="121">
        <f>ROUND(T87+V87,0)</f>
        <v>0</v>
      </c>
      <c r="BO87" s="2580">
        <f>SUM(BP87:BP88)</f>
        <v>0</v>
      </c>
      <c r="BP87" s="121">
        <f>ROUND(T87/EP$141,0)</f>
        <v>0</v>
      </c>
      <c r="BQ87" s="2580">
        <f>SUM(BR87:BR88)</f>
        <v>0</v>
      </c>
      <c r="BR87" s="121">
        <f>BR$142*BP87</f>
        <v>0</v>
      </c>
      <c r="BS87" s="2580">
        <f>SUM(BT87:BT88)</f>
        <v>0</v>
      </c>
      <c r="BT87" s="124">
        <f t="shared" si="16"/>
        <v>0</v>
      </c>
      <c r="BU87" s="2580">
        <f>SUM(BV87:BV88)</f>
        <v>0</v>
      </c>
      <c r="BV87" s="125">
        <f>ROUND((AD87+AB87+Z87)/1000*3,0)+ROUND((AF87+AX87)/1000,0)+ROUND((ROUND(AL87/400,0))/2.67,0)+ROUND(AN87/250,0)+ROUND(AR87/15000,0)+ROUND((BB87+BD87+BF87+BJ87)/1000*3,0)+ROUND(BP87/25,0)+ROUND(CN87/50,0)</f>
        <v>0</v>
      </c>
      <c r="BW87" s="2580">
        <f>SUM(BX87:BX88)</f>
        <v>0</v>
      </c>
      <c r="BX87" s="121">
        <v>0</v>
      </c>
      <c r="BY87" s="2580">
        <f>SUM(BZ87:BZ88)</f>
        <v>0</v>
      </c>
      <c r="BZ87" s="121">
        <v>0</v>
      </c>
      <c r="CA87" s="2580">
        <f>SUM(CB87:CB88)</f>
        <v>0</v>
      </c>
      <c r="CB87" s="121">
        <f>V87/1000</f>
        <v>0</v>
      </c>
      <c r="CC87" s="2580">
        <f>SUM(CD87:CD88)</f>
        <v>0</v>
      </c>
      <c r="CD87" s="121">
        <f>AB87/1000</f>
        <v>0</v>
      </c>
      <c r="CE87" s="2580">
        <f>SUM(CF87:CF88)</f>
        <v>0</v>
      </c>
      <c r="CF87" s="121">
        <f>((AL87/400)/12)</f>
        <v>0</v>
      </c>
      <c r="CG87" s="2580">
        <f>SUM(CH87:CH88)</f>
        <v>0</v>
      </c>
      <c r="CH87" s="126">
        <f>IFERROR(VLOOKUP(E87,#REF!,3,FALSE),0)</f>
        <v>0</v>
      </c>
      <c r="CI87" s="2580">
        <f>SUM(CJ87:CJ88)</f>
        <v>0</v>
      </c>
      <c r="CJ87" s="121">
        <v>0</v>
      </c>
      <c r="CK87" s="2580">
        <f>SUM(CL87:CL88)</f>
        <v>0</v>
      </c>
      <c r="CL87" s="121">
        <f>IF(BJ87&gt;0,"Calculate",0)</f>
        <v>0</v>
      </c>
      <c r="CM87" s="2580">
        <f>SUM(CN87:CN88)</f>
        <v>0</v>
      </c>
      <c r="CN87" s="121">
        <f t="shared" si="19"/>
        <v>0</v>
      </c>
      <c r="CO87" s="121"/>
      <c r="CP87" s="2594">
        <v>0</v>
      </c>
      <c r="CQ87" s="127" t="s">
        <v>741</v>
      </c>
      <c r="CR87" s="127">
        <v>7.2</v>
      </c>
      <c r="CS87" s="127">
        <v>2</v>
      </c>
      <c r="CT87" s="127">
        <v>6.5</v>
      </c>
      <c r="CU87" s="128" t="s">
        <v>706</v>
      </c>
      <c r="CV87" s="2596" t="s">
        <v>716</v>
      </c>
      <c r="CW87" s="121">
        <f>(CR87*F87)-CZ87</f>
        <v>55048.15</v>
      </c>
      <c r="CX87" s="2590">
        <f>SUM(CW87:CW88)</f>
        <v>169767.25</v>
      </c>
      <c r="CY87" s="2598">
        <f>SUM(CZ87:CZ88)</f>
        <v>22724.75</v>
      </c>
      <c r="CZ87" s="121">
        <f>1*(F87)-(0.15*1*(F87))</f>
        <v>7368.65</v>
      </c>
      <c r="DA87" s="2592">
        <f>SUM(DB87:DB88)</f>
        <v>22724.75</v>
      </c>
      <c r="DB87" s="121">
        <f>CZ87-DD87</f>
        <v>7368.65</v>
      </c>
      <c r="DC87" s="2590">
        <f>SUM(DD87:DD88)</f>
        <v>0</v>
      </c>
      <c r="DD87" s="121">
        <v>0</v>
      </c>
      <c r="DE87" s="2590">
        <f>SUM(DF87:DF88)</f>
        <v>0</v>
      </c>
      <c r="DF87" s="121">
        <v>0</v>
      </c>
      <c r="DG87" s="2590">
        <f>SUM(DH87:DH88)</f>
        <v>22724.75</v>
      </c>
      <c r="DH87" s="121">
        <f>CZ87-(DD87+DF87+DJ87+DL87+DN87+DT87+DV87+DX87)</f>
        <v>7368.65</v>
      </c>
      <c r="DI87" s="2590">
        <f>SUM(DJ87:DJ88)</f>
        <v>0</v>
      </c>
      <c r="DJ87" s="121">
        <v>0</v>
      </c>
      <c r="DK87" s="2590">
        <f>SUM(DL87:DL88)</f>
        <v>0</v>
      </c>
      <c r="DL87" s="121">
        <v>0</v>
      </c>
      <c r="DM87" s="2590">
        <f>SUM(DN87:DN88)</f>
        <v>0</v>
      </c>
      <c r="DN87" s="121">
        <v>0</v>
      </c>
      <c r="DO87" s="2590">
        <f>SUM(DP87:DP88)</f>
        <v>0</v>
      </c>
      <c r="DP87" s="121">
        <v>0</v>
      </c>
      <c r="DQ87" s="2590">
        <f>SUM(DR87:DR88)</f>
        <v>0</v>
      </c>
      <c r="DR87" s="121">
        <v>0</v>
      </c>
      <c r="DS87" s="2590">
        <f>SUM(DT87:DT88)</f>
        <v>0</v>
      </c>
      <c r="DT87" s="121">
        <v>0</v>
      </c>
      <c r="DU87" s="2590">
        <f>SUM(DV87:DV88)</f>
        <v>0</v>
      </c>
      <c r="DV87" s="121">
        <v>0</v>
      </c>
      <c r="DW87" s="2590">
        <f>SUM(DX87:DX88)</f>
        <v>0</v>
      </c>
      <c r="DX87" s="103">
        <f t="shared" si="22"/>
        <v>0</v>
      </c>
      <c r="DY87" s="2590">
        <f>SUM(DZ87:DZ88)</f>
        <v>0</v>
      </c>
      <c r="DZ87" s="123">
        <v>0</v>
      </c>
      <c r="EA87" s="2590">
        <f>SUM(EB87:EB88)</f>
        <v>0</v>
      </c>
      <c r="EB87" s="123">
        <v>0</v>
      </c>
      <c r="EC87" s="2590">
        <f>SUM(ED87:ED88)</f>
        <v>0</v>
      </c>
      <c r="ED87" s="123">
        <v>0</v>
      </c>
      <c r="EE87" s="2590">
        <f>SUM(EF87:EF88)</f>
        <v>0</v>
      </c>
      <c r="EF87" s="123">
        <v>0</v>
      </c>
      <c r="EG87" s="2590">
        <f>SUM(EH87:EH88)</f>
        <v>0</v>
      </c>
      <c r="EH87" s="123">
        <v>0</v>
      </c>
      <c r="EI87" s="2590">
        <f>SUM(EJ87:EJ88)</f>
        <v>0</v>
      </c>
      <c r="EJ87" s="123"/>
      <c r="EK87" s="2580">
        <f>SUM(EL87:EL88)</f>
        <v>192492</v>
      </c>
      <c r="EL87" s="121">
        <f>ROUND(CW87+CZ87,0)</f>
        <v>62417</v>
      </c>
      <c r="EM87" s="2600">
        <f>SUM(EN87:EN88)</f>
        <v>170</v>
      </c>
      <c r="EN87" s="122">
        <f>ROUND(CW87/EP$141,0)</f>
        <v>55</v>
      </c>
      <c r="EO87" s="2600">
        <f>SUM(EP87:EP88)</f>
        <v>170</v>
      </c>
      <c r="EP87" s="122">
        <f>EN87</f>
        <v>55</v>
      </c>
      <c r="EQ87" s="2600">
        <f>SUM(ER87:ER88)</f>
        <v>170</v>
      </c>
      <c r="ER87" s="122">
        <f>EP87</f>
        <v>55</v>
      </c>
      <c r="ES87" s="2600">
        <f>SUM(ET87:ET88)</f>
        <v>22</v>
      </c>
      <c r="ET87" s="102">
        <f>FA87+FG87+FQ87</f>
        <v>7</v>
      </c>
      <c r="EU87" s="2590">
        <f>SUM(EV87:EV88)</f>
        <v>487.9</v>
      </c>
      <c r="EV87" s="122">
        <f>2.87*EN87</f>
        <v>157.85</v>
      </c>
      <c r="EW87" s="2590">
        <f>SUM(EX87:EX88)</f>
        <v>75</v>
      </c>
      <c r="EX87" s="186">
        <f>ROUND((DH87+DF87+DD87)/1000*3,0)+ROUND((ROUND(DL87/400,0))/2.67,0)+ROUND(DV87/1000,0)+ROUND((DZ87+EB87+ED87+EH87)/1000*3,0)+ROUND(EN87/25,0)+ROUND(ET87/50,0)</f>
        <v>24</v>
      </c>
      <c r="EY87" s="2590">
        <f>SUM(EZ87:EZ88)</f>
        <v>0</v>
      </c>
      <c r="EZ87" s="2610">
        <f>SUM(FA87:FA88)</f>
        <v>0</v>
      </c>
      <c r="FA87" s="2223">
        <v>0</v>
      </c>
      <c r="FB87" s="2590">
        <f>SUM(FC87:FC88)</f>
        <v>0</v>
      </c>
      <c r="FC87" s="2223">
        <v>0</v>
      </c>
      <c r="FD87" s="2590">
        <f>SUM(FE87:FE88)</f>
        <v>0</v>
      </c>
      <c r="FE87" s="2223">
        <v>0</v>
      </c>
      <c r="FF87" s="2590">
        <f>SUM(FG87:FG88)</f>
        <v>22</v>
      </c>
      <c r="FG87" s="122">
        <f>ROUND((DH87+DJ87+DD87+DN87+DT87)/1000,0)</f>
        <v>7</v>
      </c>
      <c r="FH87" s="2590">
        <f>SUM(FI87:FI88)</f>
        <v>0</v>
      </c>
      <c r="FI87" s="122">
        <f>DF87/1000</f>
        <v>0</v>
      </c>
      <c r="FJ87" s="2590">
        <f>SUM(FK87:FK88)</f>
        <v>0</v>
      </c>
      <c r="FK87" s="122">
        <f>((DL87/400)/12)</f>
        <v>0</v>
      </c>
      <c r="FL87" s="2590">
        <f>SUM(FM87:FM88)</f>
        <v>0</v>
      </c>
      <c r="FM87" s="122">
        <v>0</v>
      </c>
      <c r="FN87" s="2590">
        <f>SUM(FO87:FO88)</f>
        <v>0</v>
      </c>
      <c r="FO87" s="122">
        <v>0</v>
      </c>
      <c r="FP87" s="2600">
        <f>SUM(FQ87:FQ88)</f>
        <v>0</v>
      </c>
      <c r="FQ87" s="122">
        <f>DX87/1000</f>
        <v>0</v>
      </c>
      <c r="FR87" s="2590">
        <f>SUM(FS87:FS88)</f>
        <v>145</v>
      </c>
      <c r="FS87" s="2604">
        <v>145</v>
      </c>
      <c r="FT87" s="2606">
        <f>CX87-S87</f>
        <v>169767.25</v>
      </c>
      <c r="FU87" s="2602">
        <f>CY87-U87</f>
        <v>22724.75</v>
      </c>
      <c r="FV87" s="2608">
        <f>(DC87+DE87+DG87)-(Y87+AA87+AC87+AE87)</f>
        <v>22724.75</v>
      </c>
      <c r="FW87" s="2608">
        <f>DG87-AC87</f>
        <v>22724.75</v>
      </c>
      <c r="FX87" s="2602">
        <f>DE87-AA87</f>
        <v>0</v>
      </c>
      <c r="FY87" s="2602">
        <f>DC87-Y87</f>
        <v>0</v>
      </c>
      <c r="FZ87" s="2602">
        <f>DJ87-AE87</f>
        <v>0</v>
      </c>
      <c r="GA87" s="2695">
        <f>DL87-AL87</f>
        <v>0</v>
      </c>
      <c r="GB87" s="2602">
        <f>DM87-AM87</f>
        <v>0</v>
      </c>
      <c r="GC87" s="2602">
        <f>DP87-AQ87</f>
        <v>0</v>
      </c>
      <c r="GD87" s="2602">
        <f>DR87-AS87</f>
        <v>0</v>
      </c>
      <c r="GE87" s="2602">
        <f>DT87-AV87</f>
        <v>0</v>
      </c>
      <c r="GF87" s="2602">
        <f>DV87-AW87</f>
        <v>0</v>
      </c>
      <c r="GG87" s="2602">
        <f>DZ87-BB87</f>
        <v>0</v>
      </c>
      <c r="GH87" s="2602">
        <f>EB87-BD87</f>
        <v>0</v>
      </c>
      <c r="GI87" s="2602">
        <f>ED87-BF87</f>
        <v>0</v>
      </c>
      <c r="GJ87" s="2602">
        <f>EF87-BH87</f>
        <v>0</v>
      </c>
      <c r="GK87" s="2602">
        <f>EH87-BJ87</f>
        <v>0</v>
      </c>
      <c r="GL87" s="2608">
        <f>DW87-AY87</f>
        <v>0</v>
      </c>
      <c r="GM87" s="2608">
        <f>EK87-BM87</f>
        <v>192492</v>
      </c>
      <c r="GN87" s="2608">
        <f>EM87-BO87</f>
        <v>170</v>
      </c>
      <c r="GO87" s="2582">
        <f>SUM(GP87:GP88)</f>
        <v>170</v>
      </c>
      <c r="GP87" s="114">
        <f>EP87-BR87</f>
        <v>55</v>
      </c>
      <c r="GQ87" s="2582">
        <f>SUM(GR87:GR88)</f>
        <v>487.9</v>
      </c>
      <c r="GR87" s="114">
        <f>EV87-BT87</f>
        <v>157.85</v>
      </c>
      <c r="GS87" s="2582">
        <f>SUM(GT87:GT88)</f>
        <v>75</v>
      </c>
      <c r="GT87" s="114">
        <f>EX87-BV87</f>
        <v>24</v>
      </c>
      <c r="GU87" s="114">
        <f>FA87-BX87</f>
        <v>0</v>
      </c>
      <c r="GV87" s="114">
        <f>FI87-CD87</f>
        <v>0</v>
      </c>
      <c r="GW87" s="114">
        <v>0</v>
      </c>
      <c r="GX87" s="114">
        <f>FG87-CB87</f>
        <v>7</v>
      </c>
      <c r="GY87" s="114">
        <f>FK87-CF87</f>
        <v>0</v>
      </c>
      <c r="GZ87" s="114">
        <f>FM87-CH87</f>
        <v>0</v>
      </c>
      <c r="HA87" s="114">
        <f>FO87-CJ87</f>
        <v>0</v>
      </c>
      <c r="HB87" s="114">
        <f>FQ87-CL87</f>
        <v>0</v>
      </c>
      <c r="HC87" s="2616">
        <f>ES87-CM87</f>
        <v>22</v>
      </c>
      <c r="HD87" s="95"/>
      <c r="HE87" s="95"/>
      <c r="HF87" s="95"/>
      <c r="HG87" s="95"/>
    </row>
    <row r="88" spans="1:217" s="72" customFormat="1" ht="15" customHeight="1">
      <c r="A88" s="2589"/>
      <c r="B88" s="130" t="s">
        <v>710</v>
      </c>
      <c r="C88" s="66">
        <v>2857</v>
      </c>
      <c r="D88" s="66">
        <v>1</v>
      </c>
      <c r="E88" s="67">
        <v>2028570001</v>
      </c>
      <c r="F88" s="68">
        <v>18066</v>
      </c>
      <c r="G88" s="69" t="s">
        <v>704</v>
      </c>
      <c r="H88" s="70"/>
      <c r="I88" s="66">
        <v>0</v>
      </c>
      <c r="J88" s="66">
        <v>0</v>
      </c>
      <c r="K88" s="66">
        <v>2</v>
      </c>
      <c r="L88" s="66">
        <v>6.5</v>
      </c>
      <c r="M88" s="68">
        <v>0</v>
      </c>
      <c r="N88" s="68">
        <v>0</v>
      </c>
      <c r="O88" s="68">
        <v>0</v>
      </c>
      <c r="P88" s="68">
        <v>0</v>
      </c>
      <c r="Q88" s="71">
        <v>0</v>
      </c>
      <c r="R88" s="72" t="s">
        <v>723</v>
      </c>
      <c r="S88" s="2591"/>
      <c r="T88" s="73">
        <v>0</v>
      </c>
      <c r="U88" s="2591"/>
      <c r="V88" s="74">
        <f>M88</f>
        <v>0</v>
      </c>
      <c r="W88" s="2591"/>
      <c r="X88" s="73">
        <f>V88-Z88</f>
        <v>0</v>
      </c>
      <c r="Y88" s="2591"/>
      <c r="Z88" s="73">
        <v>0</v>
      </c>
      <c r="AA88" s="2591"/>
      <c r="AB88" s="73">
        <v>0</v>
      </c>
      <c r="AC88" s="2591"/>
      <c r="AD88" s="75">
        <f>V88-(Z88+AB88+AF88+AL88+AN88+AP88+AZ88+AR88+AT88+AV88+AX88)</f>
        <v>0</v>
      </c>
      <c r="AE88" s="2581"/>
      <c r="AF88" s="75">
        <v>0</v>
      </c>
      <c r="AG88" s="75">
        <v>0</v>
      </c>
      <c r="AH88" s="2581"/>
      <c r="AI88" s="75">
        <v>0</v>
      </c>
      <c r="AJ88" s="2581"/>
      <c r="AK88" s="2581"/>
      <c r="AL88" s="75">
        <v>0</v>
      </c>
      <c r="AM88" s="2581"/>
      <c r="AN88" s="75">
        <v>0</v>
      </c>
      <c r="AO88" s="2583"/>
      <c r="AP88" s="75">
        <v>0</v>
      </c>
      <c r="AQ88" s="2581"/>
      <c r="AR88" s="75">
        <v>0</v>
      </c>
      <c r="AS88" s="2581"/>
      <c r="AT88" s="75">
        <v>0</v>
      </c>
      <c r="AU88" s="2581"/>
      <c r="AV88" s="75">
        <v>0</v>
      </c>
      <c r="AW88" s="2581"/>
      <c r="AX88" s="75">
        <v>0</v>
      </c>
      <c r="AY88" s="2581"/>
      <c r="AZ88" s="75">
        <f t="shared" si="18"/>
        <v>0</v>
      </c>
      <c r="BA88" s="2583"/>
      <c r="BB88" s="73">
        <v>0</v>
      </c>
      <c r="BC88" s="2583"/>
      <c r="BD88" s="73">
        <v>0</v>
      </c>
      <c r="BE88" s="2583"/>
      <c r="BF88" s="73">
        <v>0</v>
      </c>
      <c r="BG88" s="2583"/>
      <c r="BH88" s="73">
        <v>0</v>
      </c>
      <c r="BI88" s="2583"/>
      <c r="BJ88" s="73">
        <v>0</v>
      </c>
      <c r="BK88" s="2583"/>
      <c r="BL88" s="73">
        <v>0</v>
      </c>
      <c r="BM88" s="2581"/>
      <c r="BN88" s="73">
        <f>ROUND(T88+V88,0)</f>
        <v>0</v>
      </c>
      <c r="BO88" s="2581"/>
      <c r="BP88" s="73">
        <f>ROUND(T88/EP$141,0)</f>
        <v>0</v>
      </c>
      <c r="BQ88" s="2581"/>
      <c r="BR88" s="73">
        <f>BR$142*BP88</f>
        <v>0</v>
      </c>
      <c r="BS88" s="2581"/>
      <c r="BT88" s="77">
        <f t="shared" si="16"/>
        <v>0</v>
      </c>
      <c r="BU88" s="2581"/>
      <c r="BV88" s="78">
        <f>ROUND((AD88+AB88+Z88)/1000*3,0)+ROUND((AF88+AX88)/1000,0)+ROUND((ROUND(AL88/400,0))/2.67,0)+ROUND(AN88/250,0)+ROUND(AR88/15000,0)+ROUND((BB88+BD88+BF88+BJ88)/1000*3,0)+ROUND(BP88/25,0)+ROUND(CN88/50,0)</f>
        <v>0</v>
      </c>
      <c r="BW88" s="2581"/>
      <c r="BX88" s="73">
        <v>0</v>
      </c>
      <c r="BY88" s="2581"/>
      <c r="BZ88" s="73">
        <v>0</v>
      </c>
      <c r="CA88" s="2581"/>
      <c r="CB88" s="73">
        <f>V88/1000</f>
        <v>0</v>
      </c>
      <c r="CC88" s="2581"/>
      <c r="CD88" s="73">
        <f>AB88/1000</f>
        <v>0</v>
      </c>
      <c r="CE88" s="2581"/>
      <c r="CF88" s="73">
        <f>((AL88/400)/12)</f>
        <v>0</v>
      </c>
      <c r="CG88" s="2581"/>
      <c r="CH88" s="79">
        <f>IFERROR(VLOOKUP(E88,#REF!,3,FALSE),0)</f>
        <v>0</v>
      </c>
      <c r="CI88" s="2581"/>
      <c r="CJ88" s="73">
        <v>0</v>
      </c>
      <c r="CK88" s="2581"/>
      <c r="CL88" s="73">
        <f>IF(BJ88&gt;0,"Calculate",0)</f>
        <v>0</v>
      </c>
      <c r="CM88" s="2581"/>
      <c r="CN88" s="73">
        <f t="shared" si="19"/>
        <v>0</v>
      </c>
      <c r="CO88" s="73"/>
      <c r="CP88" s="2595"/>
      <c r="CQ88" s="81" t="s">
        <v>741</v>
      </c>
      <c r="CR88" s="81">
        <v>7.2</v>
      </c>
      <c r="CS88" s="81">
        <v>2</v>
      </c>
      <c r="CT88" s="81">
        <v>6.5</v>
      </c>
      <c r="CU88" s="82" t="s">
        <v>706</v>
      </c>
      <c r="CV88" s="2597"/>
      <c r="CW88" s="73">
        <f>(CR88*F88)-CZ88</f>
        <v>114719.09999999999</v>
      </c>
      <c r="CX88" s="2591"/>
      <c r="CY88" s="2599"/>
      <c r="CZ88" s="73">
        <f>1*(F88)-(0.15*1*(F88))</f>
        <v>15356.1</v>
      </c>
      <c r="DA88" s="2593"/>
      <c r="DB88" s="73">
        <f>CZ88-DD88</f>
        <v>15356.1</v>
      </c>
      <c r="DC88" s="2591"/>
      <c r="DD88" s="73">
        <v>0</v>
      </c>
      <c r="DE88" s="2591"/>
      <c r="DF88" s="73">
        <v>0</v>
      </c>
      <c r="DG88" s="2591"/>
      <c r="DH88" s="73">
        <f>CZ88-(DD88+DF88+DJ88+DL88+DN88+DT88+DV88+DX88)</f>
        <v>15356.1</v>
      </c>
      <c r="DI88" s="2591"/>
      <c r="DJ88" s="73">
        <v>0</v>
      </c>
      <c r="DK88" s="2591"/>
      <c r="DL88" s="73">
        <v>0</v>
      </c>
      <c r="DM88" s="2591"/>
      <c r="DN88" s="73">
        <v>0</v>
      </c>
      <c r="DO88" s="2591"/>
      <c r="DP88" s="73">
        <v>0</v>
      </c>
      <c r="DQ88" s="2591"/>
      <c r="DR88" s="73">
        <v>0</v>
      </c>
      <c r="DS88" s="2591"/>
      <c r="DT88" s="73">
        <v>0</v>
      </c>
      <c r="DU88" s="2591"/>
      <c r="DV88" s="73">
        <v>0</v>
      </c>
      <c r="DW88" s="2591"/>
      <c r="DX88" s="75">
        <f t="shared" si="22"/>
        <v>0</v>
      </c>
      <c r="DY88" s="2591"/>
      <c r="DZ88" s="75">
        <v>0</v>
      </c>
      <c r="EA88" s="2591"/>
      <c r="EB88" s="75">
        <v>0</v>
      </c>
      <c r="EC88" s="2591"/>
      <c r="ED88" s="75">
        <v>0</v>
      </c>
      <c r="EE88" s="2591"/>
      <c r="EF88" s="75">
        <v>0</v>
      </c>
      <c r="EG88" s="2591"/>
      <c r="EH88" s="75">
        <v>0</v>
      </c>
      <c r="EI88" s="2591"/>
      <c r="EJ88" s="75"/>
      <c r="EK88" s="2581"/>
      <c r="EL88" s="73">
        <f>ROUND(CW88+CZ88,0)</f>
        <v>130075</v>
      </c>
      <c r="EM88" s="2601"/>
      <c r="EN88" s="74">
        <f>ROUND(CW88/EP$141,0)</f>
        <v>115</v>
      </c>
      <c r="EO88" s="2601"/>
      <c r="EP88" s="74">
        <f>EN88</f>
        <v>115</v>
      </c>
      <c r="EQ88" s="2601"/>
      <c r="ER88" s="102">
        <f>EP88</f>
        <v>115</v>
      </c>
      <c r="ES88" s="2601"/>
      <c r="ET88" s="74">
        <f>FA88+FG88+FQ88</f>
        <v>15</v>
      </c>
      <c r="EU88" s="2591"/>
      <c r="EV88" s="74">
        <f>2.87*EN88</f>
        <v>330.05</v>
      </c>
      <c r="EW88" s="2591"/>
      <c r="EX88" s="88">
        <f>ROUND((DH88+DF88+DD88)/1000*3,0)+ROUND((ROUND(DL88/400,0))/2.67,0)+ROUND(DV88/1000,0)+ROUND((DZ88+EB88+ED88+EH88)/1000*3,0)+ROUND(EN88/25,0)+ROUND(ET88/50,0)</f>
        <v>51</v>
      </c>
      <c r="EY88" s="2591"/>
      <c r="EZ88" s="2611"/>
      <c r="FA88" s="2225">
        <v>0</v>
      </c>
      <c r="FB88" s="2591"/>
      <c r="FC88" s="2225">
        <v>0</v>
      </c>
      <c r="FD88" s="2591"/>
      <c r="FE88" s="2225">
        <v>0</v>
      </c>
      <c r="FF88" s="2591"/>
      <c r="FG88" s="74">
        <f>ROUND((DH88+DJ88+DD88+DN88+DT88)/1000,0)</f>
        <v>15</v>
      </c>
      <c r="FH88" s="2591"/>
      <c r="FI88" s="74">
        <f>DF88/1000</f>
        <v>0</v>
      </c>
      <c r="FJ88" s="2591"/>
      <c r="FK88" s="74">
        <f>((DL88/400)/12)</f>
        <v>0</v>
      </c>
      <c r="FL88" s="2591"/>
      <c r="FM88" s="74">
        <v>0</v>
      </c>
      <c r="FN88" s="2591"/>
      <c r="FO88" s="74">
        <v>0</v>
      </c>
      <c r="FP88" s="2601"/>
      <c r="FQ88" s="74">
        <f>DX88/1000</f>
        <v>0</v>
      </c>
      <c r="FR88" s="2591"/>
      <c r="FS88" s="2605"/>
      <c r="FT88" s="2607"/>
      <c r="FU88" s="2603"/>
      <c r="FV88" s="2609"/>
      <c r="FW88" s="2609"/>
      <c r="FX88" s="2603"/>
      <c r="FY88" s="2603"/>
      <c r="FZ88" s="2603"/>
      <c r="GA88" s="2696"/>
      <c r="GB88" s="2603"/>
      <c r="GC88" s="2603"/>
      <c r="GD88" s="2603"/>
      <c r="GE88" s="2603"/>
      <c r="GF88" s="2603"/>
      <c r="GG88" s="2603"/>
      <c r="GH88" s="2603"/>
      <c r="GI88" s="2603"/>
      <c r="GJ88" s="2603"/>
      <c r="GK88" s="2603"/>
      <c r="GL88" s="2609"/>
      <c r="GM88" s="2609"/>
      <c r="GN88" s="2609"/>
      <c r="GO88" s="2583"/>
      <c r="GP88" s="89">
        <f>EP88-BR88</f>
        <v>115</v>
      </c>
      <c r="GQ88" s="2583"/>
      <c r="GR88" s="89">
        <f>EV88-BT88</f>
        <v>330.05</v>
      </c>
      <c r="GS88" s="2583"/>
      <c r="GT88" s="89">
        <f>EX88-BV88</f>
        <v>51</v>
      </c>
      <c r="GU88" s="89">
        <f>FA88-BX88</f>
        <v>0</v>
      </c>
      <c r="GV88" s="89">
        <f>FI88-CD88</f>
        <v>0</v>
      </c>
      <c r="GW88" s="89">
        <v>0</v>
      </c>
      <c r="GX88" s="89">
        <f>FG88-CB88</f>
        <v>15</v>
      </c>
      <c r="GY88" s="89">
        <f>FK88-CF88</f>
        <v>0</v>
      </c>
      <c r="GZ88" s="89">
        <f>FM88-CH88</f>
        <v>0</v>
      </c>
      <c r="HA88" s="89">
        <f>FO88-CJ88</f>
        <v>0</v>
      </c>
      <c r="HB88" s="89">
        <f>FQ88-CL88</f>
        <v>0</v>
      </c>
      <c r="HC88" s="2617"/>
      <c r="HD88" s="95"/>
      <c r="HE88" s="95"/>
      <c r="HF88" s="95"/>
      <c r="HG88" s="95"/>
    </row>
    <row r="89" spans="1:217" s="95" customFormat="1" ht="18.75">
      <c r="A89" s="216"/>
      <c r="B89" s="217"/>
      <c r="C89" s="310"/>
      <c r="D89" s="218"/>
      <c r="E89" s="219"/>
      <c r="F89" s="220"/>
      <c r="G89" s="221"/>
      <c r="H89" s="222"/>
      <c r="I89" s="218"/>
      <c r="J89" s="218"/>
      <c r="K89" s="218"/>
      <c r="L89" s="218"/>
      <c r="M89" s="220"/>
      <c r="N89" s="220"/>
      <c r="O89" s="220"/>
      <c r="P89" s="220"/>
      <c r="Q89" s="223"/>
      <c r="R89" s="91"/>
      <c r="S89" s="311"/>
      <c r="T89" s="83"/>
      <c r="U89" s="214"/>
      <c r="V89" s="111"/>
      <c r="W89" s="214"/>
      <c r="X89" s="83"/>
      <c r="Y89" s="214"/>
      <c r="Z89" s="83"/>
      <c r="AA89" s="214"/>
      <c r="AB89" s="83"/>
      <c r="AC89" s="2244"/>
      <c r="AD89" s="103"/>
      <c r="AE89" s="2251"/>
      <c r="AF89" s="103"/>
      <c r="AG89" s="103"/>
      <c r="AH89" s="103"/>
      <c r="AI89" s="103"/>
      <c r="AJ89" s="103"/>
      <c r="AK89" s="2251"/>
      <c r="AL89" s="103"/>
      <c r="AM89" s="2251"/>
      <c r="AN89" s="103"/>
      <c r="AO89" s="2224"/>
      <c r="AP89" s="103"/>
      <c r="AQ89" s="2251"/>
      <c r="AR89" s="103"/>
      <c r="AS89" s="2251"/>
      <c r="AT89" s="103"/>
      <c r="AU89" s="2251"/>
      <c r="AV89" s="103"/>
      <c r="AW89" s="2251"/>
      <c r="AX89" s="103"/>
      <c r="AY89" s="2251"/>
      <c r="AZ89" s="75">
        <f t="shared" si="18"/>
        <v>0</v>
      </c>
      <c r="BA89" s="2224"/>
      <c r="BB89" s="97"/>
      <c r="BC89" s="2224"/>
      <c r="BD89" s="97"/>
      <c r="BE89" s="2224"/>
      <c r="BF89" s="97"/>
      <c r="BG89" s="2224"/>
      <c r="BH89" s="97"/>
      <c r="BI89" s="2224"/>
      <c r="BJ89" s="97"/>
      <c r="BK89" s="2224"/>
      <c r="BL89" s="97"/>
      <c r="BM89" s="2251"/>
      <c r="BN89" s="97"/>
      <c r="BO89" s="2251"/>
      <c r="BP89" s="97"/>
      <c r="BQ89" s="2251"/>
      <c r="BR89" s="97"/>
      <c r="BS89" s="2251"/>
      <c r="BT89" s="124"/>
      <c r="BU89" s="2251"/>
      <c r="BV89" s="138"/>
      <c r="BW89" s="2251"/>
      <c r="BX89" s="97"/>
      <c r="BY89" s="2251"/>
      <c r="BZ89" s="97"/>
      <c r="CA89" s="2251"/>
      <c r="CB89" s="97"/>
      <c r="CC89" s="2251"/>
      <c r="CD89" s="97"/>
      <c r="CE89" s="2251"/>
      <c r="CF89" s="97"/>
      <c r="CG89" s="2251"/>
      <c r="CH89" s="105"/>
      <c r="CI89" s="2251"/>
      <c r="CJ89" s="97"/>
      <c r="CK89" s="2251"/>
      <c r="CL89" s="97"/>
      <c r="CM89" s="2251"/>
      <c r="CN89" s="73">
        <f t="shared" si="19"/>
        <v>0</v>
      </c>
      <c r="CO89" s="97"/>
      <c r="CP89" s="106"/>
      <c r="CQ89" s="139"/>
      <c r="CR89" s="139"/>
      <c r="CS89" s="139"/>
      <c r="CT89" s="139"/>
      <c r="CU89" s="108"/>
      <c r="CV89" s="2258"/>
      <c r="CW89" s="97"/>
      <c r="CX89" s="2244"/>
      <c r="CY89" s="2261"/>
      <c r="CZ89" s="97"/>
      <c r="DA89" s="2253"/>
      <c r="DB89" s="97"/>
      <c r="DC89" s="2244"/>
      <c r="DD89" s="97"/>
      <c r="DE89" s="2244"/>
      <c r="DF89" s="97"/>
      <c r="DG89" s="2244"/>
      <c r="DH89" s="97"/>
      <c r="DI89" s="2244"/>
      <c r="DJ89" s="97"/>
      <c r="DK89" s="2244"/>
      <c r="DL89" s="97"/>
      <c r="DM89" s="214"/>
      <c r="DN89" s="83"/>
      <c r="DO89" s="2244"/>
      <c r="DP89" s="83"/>
      <c r="DQ89" s="2244"/>
      <c r="DR89" s="83"/>
      <c r="DS89" s="2244"/>
      <c r="DT89" s="83"/>
      <c r="DU89" s="2244"/>
      <c r="DV89" s="83"/>
      <c r="DW89" s="214"/>
      <c r="DX89" s="75"/>
      <c r="DY89" s="2244"/>
      <c r="DZ89" s="76"/>
      <c r="EA89" s="2244"/>
      <c r="EB89" s="76"/>
      <c r="EC89" s="2244"/>
      <c r="ED89" s="76"/>
      <c r="EE89" s="2244"/>
      <c r="EF89" s="76"/>
      <c r="EG89" s="2244"/>
      <c r="EH89" s="76"/>
      <c r="EI89" s="2244"/>
      <c r="EJ89" s="76"/>
      <c r="EK89" s="215"/>
      <c r="EL89" s="97"/>
      <c r="EM89" s="2246"/>
      <c r="EN89" s="102"/>
      <c r="EO89" s="2246"/>
      <c r="EP89" s="102"/>
      <c r="EQ89" s="110"/>
      <c r="ER89" s="111"/>
      <c r="ES89" s="110"/>
      <c r="ET89" s="74"/>
      <c r="EU89" s="2244"/>
      <c r="EV89" s="111"/>
      <c r="EW89" s="2244"/>
      <c r="EX89" s="88"/>
      <c r="EY89" s="2244"/>
      <c r="EZ89" s="2248"/>
      <c r="FA89" s="2224"/>
      <c r="FB89" s="2244"/>
      <c r="FC89" s="2224"/>
      <c r="FD89" s="2244"/>
      <c r="FE89" s="2224"/>
      <c r="FF89" s="2244"/>
      <c r="FG89" s="102"/>
      <c r="FH89" s="2244"/>
      <c r="FI89" s="102"/>
      <c r="FJ89" s="2244"/>
      <c r="FK89" s="102"/>
      <c r="FL89" s="2244"/>
      <c r="FM89" s="102"/>
      <c r="FN89" s="2244"/>
      <c r="FO89" s="102"/>
      <c r="FP89" s="110"/>
      <c r="FQ89" s="102"/>
      <c r="FR89" s="2244"/>
      <c r="FS89" s="2244"/>
      <c r="FT89" s="2240"/>
      <c r="FU89" s="2233"/>
      <c r="FV89" s="2235"/>
      <c r="FW89" s="2235"/>
      <c r="FX89" s="2233"/>
      <c r="FY89" s="2233"/>
      <c r="FZ89" s="2233"/>
      <c r="GA89" s="2232"/>
      <c r="GB89" s="2233"/>
      <c r="GC89" s="2233"/>
      <c r="GD89" s="2233"/>
      <c r="GE89" s="2232"/>
      <c r="GF89" s="2233"/>
      <c r="GG89" s="2232"/>
      <c r="GH89" s="2232"/>
      <c r="GI89" s="2232"/>
      <c r="GJ89" s="2232"/>
      <c r="GK89" s="2232"/>
      <c r="GL89" s="2235"/>
      <c r="GM89" s="2235"/>
      <c r="GN89" s="2235"/>
      <c r="GO89" s="2224"/>
      <c r="GP89" s="112"/>
      <c r="GQ89" s="2224"/>
      <c r="GR89" s="112"/>
      <c r="GS89" s="2224"/>
      <c r="GT89" s="113"/>
      <c r="GU89" s="114"/>
      <c r="GV89" s="113"/>
      <c r="GW89" s="113"/>
      <c r="GX89" s="113"/>
      <c r="GY89" s="113"/>
      <c r="GZ89" s="112"/>
      <c r="HA89" s="113"/>
      <c r="HB89" s="113"/>
      <c r="HC89" s="2230"/>
    </row>
    <row r="90" spans="1:217" s="91" customFormat="1" ht="18.75">
      <c r="A90" s="312">
        <v>31</v>
      </c>
      <c r="B90" s="217" t="s">
        <v>703</v>
      </c>
      <c r="C90" s="218">
        <v>2520</v>
      </c>
      <c r="D90" s="218">
        <v>45</v>
      </c>
      <c r="E90" s="219">
        <v>2025200045</v>
      </c>
      <c r="F90" s="313">
        <v>7525</v>
      </c>
      <c r="G90" s="221" t="s">
        <v>726</v>
      </c>
      <c r="H90" s="222" t="s">
        <v>727</v>
      </c>
      <c r="I90" s="218">
        <v>0</v>
      </c>
      <c r="J90" s="218">
        <v>4</v>
      </c>
      <c r="K90" s="218">
        <v>0</v>
      </c>
      <c r="L90" s="218">
        <v>4.8</v>
      </c>
      <c r="M90" s="220">
        <v>0</v>
      </c>
      <c r="N90" s="220">
        <v>0</v>
      </c>
      <c r="O90" s="220">
        <v>0</v>
      </c>
      <c r="P90" s="220">
        <v>0</v>
      </c>
      <c r="Q90" s="223">
        <v>0</v>
      </c>
      <c r="R90" s="91" t="s">
        <v>652</v>
      </c>
      <c r="S90" s="214">
        <f>T90</f>
        <v>0</v>
      </c>
      <c r="T90" s="83">
        <v>0</v>
      </c>
      <c r="U90" s="214">
        <f>V90</f>
        <v>36120</v>
      </c>
      <c r="V90" s="111">
        <v>36120</v>
      </c>
      <c r="W90" s="214">
        <f>X90</f>
        <v>36120</v>
      </c>
      <c r="X90" s="83">
        <f>V90-Z90</f>
        <v>36120</v>
      </c>
      <c r="Y90" s="214">
        <f>Z90</f>
        <v>0</v>
      </c>
      <c r="Z90" s="83">
        <v>0</v>
      </c>
      <c r="AA90" s="214">
        <f>AB90</f>
        <v>0</v>
      </c>
      <c r="AB90" s="83">
        <v>0</v>
      </c>
      <c r="AC90" s="214">
        <f>AD90</f>
        <v>0</v>
      </c>
      <c r="AD90" s="76">
        <f>V90-(Z90+AB90+AF90+AL90+AN90+AP90+AZ90+AR90+AT90+AV90+AX90)</f>
        <v>0</v>
      </c>
      <c r="AE90" s="215">
        <f>AF90</f>
        <v>0</v>
      </c>
      <c r="AF90" s="76">
        <v>0</v>
      </c>
      <c r="AG90" s="76">
        <v>0</v>
      </c>
      <c r="AH90" s="76">
        <f>AG90</f>
        <v>0</v>
      </c>
      <c r="AI90" s="76">
        <v>0</v>
      </c>
      <c r="AJ90" s="76">
        <f>AI90</f>
        <v>0</v>
      </c>
      <c r="AK90" s="215">
        <f>AL90</f>
        <v>0</v>
      </c>
      <c r="AL90" s="76">
        <v>0</v>
      </c>
      <c r="AM90" s="215">
        <v>0</v>
      </c>
      <c r="AN90" s="76">
        <v>0</v>
      </c>
      <c r="AO90" s="194">
        <f>AP90</f>
        <v>0</v>
      </c>
      <c r="AP90" s="76">
        <v>0</v>
      </c>
      <c r="AQ90" s="215">
        <f>AR90</f>
        <v>0</v>
      </c>
      <c r="AR90" s="76">
        <v>0</v>
      </c>
      <c r="AS90" s="215">
        <f>AT90</f>
        <v>0</v>
      </c>
      <c r="AT90" s="76">
        <v>0</v>
      </c>
      <c r="AU90" s="215">
        <f>AV90</f>
        <v>0</v>
      </c>
      <c r="AV90" s="76">
        <v>0</v>
      </c>
      <c r="AW90" s="215">
        <f>AX90</f>
        <v>0</v>
      </c>
      <c r="AX90" s="76">
        <v>0</v>
      </c>
      <c r="AY90" s="215">
        <f>AZ90</f>
        <v>36120</v>
      </c>
      <c r="AZ90" s="75">
        <f t="shared" si="18"/>
        <v>36120</v>
      </c>
      <c r="BA90" s="194">
        <f>BB90</f>
        <v>0</v>
      </c>
      <c r="BB90" s="224">
        <v>0</v>
      </c>
      <c r="BC90" s="194">
        <f>BD90</f>
        <v>36120</v>
      </c>
      <c r="BD90" s="224">
        <f>(L90*F90)</f>
        <v>36120</v>
      </c>
      <c r="BE90" s="194">
        <f>BF90</f>
        <v>0</v>
      </c>
      <c r="BF90" s="224">
        <v>0</v>
      </c>
      <c r="BG90" s="194">
        <f>BH90</f>
        <v>0</v>
      </c>
      <c r="BH90" s="224">
        <v>0</v>
      </c>
      <c r="BI90" s="194">
        <f>BJ90</f>
        <v>0</v>
      </c>
      <c r="BJ90" s="224">
        <v>0</v>
      </c>
      <c r="BK90" s="194">
        <f>BL90</f>
        <v>0</v>
      </c>
      <c r="BL90" s="224">
        <v>0</v>
      </c>
      <c r="BM90" s="215">
        <f>BN90</f>
        <v>72240</v>
      </c>
      <c r="BN90" s="83">
        <f>ROUND(T90+V90+AZ90+BB90,0)</f>
        <v>72240</v>
      </c>
      <c r="BO90" s="215">
        <f>BP90</f>
        <v>0</v>
      </c>
      <c r="BP90" s="83">
        <f>ROUND(T90/EP$141,0)</f>
        <v>0</v>
      </c>
      <c r="BQ90" s="215">
        <f>BR90</f>
        <v>0</v>
      </c>
      <c r="BR90" s="83">
        <f>BR$142*BP90</f>
        <v>0</v>
      </c>
      <c r="BS90" s="215">
        <f>BT90</f>
        <v>0</v>
      </c>
      <c r="BT90" s="124">
        <f t="shared" si="16"/>
        <v>0</v>
      </c>
      <c r="BU90" s="215">
        <f>BV90</f>
        <v>109</v>
      </c>
      <c r="BV90" s="225">
        <f>ROUND((AD90+AB90+Z90)/1000*3,0)+ROUND((AF90+AX90)/1000,0)+ROUND((ROUND(AL90/400,0))/2.67,0)+ROUND(AN90/250,0)+ROUND(AR90/15000,0)+ROUND((BB90+BD90+BF90+BJ90)/1000*3,0)+ROUND(BP90/25,0)+ROUND(CN90/50,0)</f>
        <v>109</v>
      </c>
      <c r="BW90" s="215">
        <f>BX90</f>
        <v>0</v>
      </c>
      <c r="BX90" s="83">
        <f>(BP90-BR90)*0.6</f>
        <v>0</v>
      </c>
      <c r="BY90" s="215">
        <f>BZ90</f>
        <v>0</v>
      </c>
      <c r="BZ90" s="83">
        <v>0</v>
      </c>
      <c r="CA90" s="215">
        <f>CB90</f>
        <v>36.119999999999997</v>
      </c>
      <c r="CB90" s="83">
        <f>V90/1000</f>
        <v>36.119999999999997</v>
      </c>
      <c r="CC90" s="215">
        <f>CD90</f>
        <v>0</v>
      </c>
      <c r="CD90" s="83">
        <f>AB90/1000</f>
        <v>0</v>
      </c>
      <c r="CE90" s="215">
        <f>CF90</f>
        <v>0</v>
      </c>
      <c r="CF90" s="83">
        <f>((AL90/400)/12)</f>
        <v>0</v>
      </c>
      <c r="CG90" s="215">
        <f>CH90</f>
        <v>0</v>
      </c>
      <c r="CH90" s="226">
        <v>0</v>
      </c>
      <c r="CI90" s="215">
        <f>CJ90</f>
        <v>0</v>
      </c>
      <c r="CJ90" s="83">
        <v>0</v>
      </c>
      <c r="CK90" s="215">
        <f>CL90</f>
        <v>0</v>
      </c>
      <c r="CL90" s="83">
        <f>IF(BJ90&gt;0,"Calculate",0)</f>
        <v>0</v>
      </c>
      <c r="CM90" s="215">
        <f>CN90</f>
        <v>36.119999999999997</v>
      </c>
      <c r="CN90" s="73">
        <f t="shared" si="19"/>
        <v>36.119999999999997</v>
      </c>
      <c r="CO90" s="83"/>
      <c r="CP90" s="227">
        <v>85</v>
      </c>
      <c r="CQ90" s="228" t="s">
        <v>741</v>
      </c>
      <c r="CR90" s="228">
        <v>7.2</v>
      </c>
      <c r="CS90" s="228">
        <v>2</v>
      </c>
      <c r="CT90" s="228">
        <v>6.5</v>
      </c>
      <c r="CU90" s="229" t="s">
        <v>727</v>
      </c>
      <c r="CV90" s="230" t="s">
        <v>755</v>
      </c>
      <c r="CW90" s="83">
        <v>0</v>
      </c>
      <c r="CX90" s="231">
        <f>CW90</f>
        <v>0</v>
      </c>
      <c r="CY90" s="232">
        <f>CZ90</f>
        <v>48912.5</v>
      </c>
      <c r="CZ90" s="83">
        <f>DX90</f>
        <v>48912.5</v>
      </c>
      <c r="DA90" s="233">
        <f>DB90</f>
        <v>0</v>
      </c>
      <c r="DB90" s="83">
        <v>0</v>
      </c>
      <c r="DC90" s="231">
        <f>DD90</f>
        <v>0</v>
      </c>
      <c r="DD90" s="83">
        <v>0</v>
      </c>
      <c r="DE90" s="214">
        <f>DF90</f>
        <v>0</v>
      </c>
      <c r="DF90" s="83">
        <v>0</v>
      </c>
      <c r="DG90" s="214">
        <f>DH90</f>
        <v>0</v>
      </c>
      <c r="DH90" s="83">
        <f>CZ90-(DD90+DF90+DJ90+DL90+DN90+DT90+DV90+DX90)</f>
        <v>0</v>
      </c>
      <c r="DI90" s="214">
        <f>DJ90</f>
        <v>0</v>
      </c>
      <c r="DJ90" s="83">
        <v>0</v>
      </c>
      <c r="DK90" s="214">
        <f>DL90</f>
        <v>0</v>
      </c>
      <c r="DL90" s="83">
        <v>0</v>
      </c>
      <c r="DM90" s="2245">
        <f>DN90</f>
        <v>0</v>
      </c>
      <c r="DN90" s="73">
        <v>0</v>
      </c>
      <c r="DO90" s="214">
        <f>DP90</f>
        <v>0</v>
      </c>
      <c r="DP90" s="73">
        <v>0</v>
      </c>
      <c r="DQ90" s="214">
        <f>DR90</f>
        <v>0</v>
      </c>
      <c r="DR90" s="73">
        <v>0</v>
      </c>
      <c r="DS90" s="214">
        <f>DT90</f>
        <v>0</v>
      </c>
      <c r="DT90" s="73">
        <v>0</v>
      </c>
      <c r="DU90" s="214">
        <f>DV90</f>
        <v>0</v>
      </c>
      <c r="DV90" s="73">
        <v>0</v>
      </c>
      <c r="DW90" s="2245">
        <f>DX90</f>
        <v>48912.5</v>
      </c>
      <c r="DX90" s="75">
        <f t="shared" si="22"/>
        <v>48912.5</v>
      </c>
      <c r="DY90" s="214">
        <f>DZ90</f>
        <v>0</v>
      </c>
      <c r="DZ90" s="75">
        <v>0</v>
      </c>
      <c r="EA90" s="214">
        <f>EB90</f>
        <v>24456.25</v>
      </c>
      <c r="EB90" s="75">
        <f>0.5*(CT90*F90)</f>
        <v>24456.25</v>
      </c>
      <c r="EC90" s="214">
        <f>ED90</f>
        <v>0</v>
      </c>
      <c r="ED90" s="75">
        <v>0</v>
      </c>
      <c r="EE90" s="214">
        <f>EF90</f>
        <v>0</v>
      </c>
      <c r="EF90" s="75">
        <v>0</v>
      </c>
      <c r="EG90" s="214">
        <f>EH90</f>
        <v>24456.25</v>
      </c>
      <c r="EH90" s="75">
        <f>0.5*(CT90*F90)</f>
        <v>24456.25</v>
      </c>
      <c r="EI90" s="214">
        <f>EJ90</f>
        <v>0</v>
      </c>
      <c r="EJ90" s="75"/>
      <c r="EK90" s="2252">
        <f>EL90</f>
        <v>48912.5</v>
      </c>
      <c r="EL90" s="83">
        <f>CW90+CZ90</f>
        <v>48912.5</v>
      </c>
      <c r="EM90" s="234">
        <f>SUM(EN90)</f>
        <v>0</v>
      </c>
      <c r="EN90" s="111">
        <f>ROUND(CW90/EP$141,0)</f>
        <v>0</v>
      </c>
      <c r="EO90" s="234">
        <f>EP90</f>
        <v>0</v>
      </c>
      <c r="EP90" s="111">
        <f>EV$143*EN90</f>
        <v>0</v>
      </c>
      <c r="EQ90" s="192">
        <f>ER90</f>
        <v>0</v>
      </c>
      <c r="ER90" s="111">
        <v>0</v>
      </c>
      <c r="ES90" s="192">
        <f>ET90</f>
        <v>48.912500000000001</v>
      </c>
      <c r="ET90" s="74">
        <f>FA90+FG90+FQ90</f>
        <v>48.912500000000001</v>
      </c>
      <c r="EU90" s="214">
        <f>EV90</f>
        <v>0</v>
      </c>
      <c r="EV90" s="111">
        <f>2.87*EN90</f>
        <v>0</v>
      </c>
      <c r="EW90" s="214">
        <f>EX90</f>
        <v>148</v>
      </c>
      <c r="EX90" s="88">
        <f>ROUND((DH90+DF90+DD90)/1000*3,0)+ROUND((ROUND(DL90/400,0))/2.67,0)+ROUND(DV90/1000,0)+ROUND((DZ90+EB90+ED90+EH90)/1000*3,0)+ROUND(EN90/25,0)+ROUND(ET90/50,0)</f>
        <v>148</v>
      </c>
      <c r="EY90" s="214">
        <f>EZ90</f>
        <v>0</v>
      </c>
      <c r="EZ90" s="193">
        <v>0</v>
      </c>
      <c r="FA90" s="194">
        <v>0</v>
      </c>
      <c r="FB90" s="214">
        <f>FC90</f>
        <v>0</v>
      </c>
      <c r="FC90" s="194">
        <v>0</v>
      </c>
      <c r="FD90" s="214">
        <f>FE90</f>
        <v>0</v>
      </c>
      <c r="FE90" s="194">
        <v>0</v>
      </c>
      <c r="FF90" s="214">
        <f>FG90</f>
        <v>0</v>
      </c>
      <c r="FG90" s="111">
        <f>ROUND((DH90+DJ90+DD90+DN90+DT90)/1000,0)</f>
        <v>0</v>
      </c>
      <c r="FH90" s="214">
        <f>FI90</f>
        <v>0</v>
      </c>
      <c r="FI90" s="111">
        <f>DF90/1000</f>
        <v>0</v>
      </c>
      <c r="FJ90" s="214">
        <f>FK90</f>
        <v>0</v>
      </c>
      <c r="FK90" s="111">
        <f>((DL90/400)/12)</f>
        <v>0</v>
      </c>
      <c r="FL90" s="214">
        <f>FM90</f>
        <v>0</v>
      </c>
      <c r="FM90" s="111">
        <v>0</v>
      </c>
      <c r="FN90" s="214">
        <f>FO90</f>
        <v>0</v>
      </c>
      <c r="FO90" s="111">
        <v>0</v>
      </c>
      <c r="FP90" s="192">
        <f>FQ90</f>
        <v>48.912500000000001</v>
      </c>
      <c r="FQ90" s="111">
        <f>DX90/1000</f>
        <v>48.912500000000001</v>
      </c>
      <c r="FR90" s="214">
        <f>FS90</f>
        <v>145</v>
      </c>
      <c r="FS90" s="214">
        <v>145</v>
      </c>
      <c r="FT90" s="2240">
        <f>CX90-S90</f>
        <v>0</v>
      </c>
      <c r="FU90" s="2233">
        <f>CY90-U90</f>
        <v>12792.5</v>
      </c>
      <c r="FV90" s="2235">
        <f>(DC90+DE90+DG90)-(Y90+AA90+AC90+AE90)</f>
        <v>0</v>
      </c>
      <c r="FW90" s="2235">
        <f>DG90-AC90</f>
        <v>0</v>
      </c>
      <c r="FX90" s="2233">
        <f>DE90-AA90</f>
        <v>0</v>
      </c>
      <c r="FY90" s="2233">
        <f>DC90-Y90</f>
        <v>0</v>
      </c>
      <c r="FZ90" s="2233">
        <f>DJ90-AE90</f>
        <v>0</v>
      </c>
      <c r="GA90" s="235">
        <f>DL90-AL90</f>
        <v>0</v>
      </c>
      <c r="GB90" s="2233">
        <f>DM90-AM90</f>
        <v>0</v>
      </c>
      <c r="GC90" s="2233">
        <f>DP90-AQ90</f>
        <v>0</v>
      </c>
      <c r="GD90" s="2233">
        <f>DR90-AS90</f>
        <v>0</v>
      </c>
      <c r="GE90" s="235">
        <f>DT90-AV90</f>
        <v>0</v>
      </c>
      <c r="GF90" s="2233">
        <f>DV90-AW90</f>
        <v>0</v>
      </c>
      <c r="GG90" s="235">
        <f>DZ90-BB90</f>
        <v>0</v>
      </c>
      <c r="GH90" s="235">
        <f>EB90-BD90</f>
        <v>-11663.75</v>
      </c>
      <c r="GI90" s="235">
        <f>ED90-BF90</f>
        <v>0</v>
      </c>
      <c r="GJ90" s="235">
        <f>EF90-BH90</f>
        <v>0</v>
      </c>
      <c r="GK90" s="235">
        <f>EH90-BJ90</f>
        <v>24456.25</v>
      </c>
      <c r="GL90" s="2235">
        <f>DW90-AY90</f>
        <v>12792.5</v>
      </c>
      <c r="GM90" s="2235">
        <f>EK90-BM90</f>
        <v>-23327.5</v>
      </c>
      <c r="GN90" s="2235">
        <f>EM90-BO90</f>
        <v>0</v>
      </c>
      <c r="GO90" s="194">
        <f>GP90</f>
        <v>0</v>
      </c>
      <c r="GP90" s="112">
        <f>EP90-BR90</f>
        <v>0</v>
      </c>
      <c r="GQ90" s="194">
        <v>0</v>
      </c>
      <c r="GR90" s="112">
        <f>EV90-BT90</f>
        <v>0</v>
      </c>
      <c r="GS90" s="194">
        <f>GT90</f>
        <v>39</v>
      </c>
      <c r="GT90" s="112">
        <f>EX90-BV90</f>
        <v>39</v>
      </c>
      <c r="GU90" s="114">
        <f>FA90-BX90</f>
        <v>0</v>
      </c>
      <c r="GV90" s="112">
        <f>FI90-CD90</f>
        <v>0</v>
      </c>
      <c r="GW90" s="112">
        <v>0</v>
      </c>
      <c r="GX90" s="112">
        <f>FG90-CB90</f>
        <v>-36.119999999999997</v>
      </c>
      <c r="GY90" s="112">
        <f>FK90-CF90</f>
        <v>0</v>
      </c>
      <c r="GZ90" s="112">
        <f>FM90-CH90</f>
        <v>0</v>
      </c>
      <c r="HA90" s="112">
        <f>FO90-CJ90</f>
        <v>0</v>
      </c>
      <c r="HB90" s="112">
        <f>FQ90-CL90</f>
        <v>48.912500000000001</v>
      </c>
      <c r="HC90" s="2230">
        <f>ES90-CM90</f>
        <v>12.792500000000004</v>
      </c>
      <c r="HD90" s="95"/>
      <c r="HE90" s="95"/>
      <c r="HF90" s="95"/>
      <c r="HG90" s="95"/>
    </row>
    <row r="91" spans="1:217" s="95" customFormat="1" ht="18.75">
      <c r="A91" s="2263"/>
      <c r="B91" s="131"/>
      <c r="C91" s="132"/>
      <c r="D91" s="132"/>
      <c r="E91" s="133"/>
      <c r="F91" s="134"/>
      <c r="G91" s="135"/>
      <c r="H91" s="136"/>
      <c r="I91" s="132"/>
      <c r="J91" s="132"/>
      <c r="K91" s="132"/>
      <c r="L91" s="132"/>
      <c r="M91" s="134"/>
      <c r="N91" s="134"/>
      <c r="O91" s="134"/>
      <c r="P91" s="134"/>
      <c r="Q91" s="137"/>
      <c r="S91" s="101"/>
      <c r="T91" s="97"/>
      <c r="U91" s="2244"/>
      <c r="V91" s="102"/>
      <c r="W91" s="2244"/>
      <c r="X91" s="97"/>
      <c r="Y91" s="2244"/>
      <c r="Z91" s="97"/>
      <c r="AA91" s="2244"/>
      <c r="AB91" s="97"/>
      <c r="AC91" s="2244"/>
      <c r="AD91" s="103"/>
      <c r="AE91" s="2251"/>
      <c r="AF91" s="103"/>
      <c r="AG91" s="103"/>
      <c r="AH91" s="103"/>
      <c r="AI91" s="103"/>
      <c r="AJ91" s="103"/>
      <c r="AK91" s="2251"/>
      <c r="AL91" s="103"/>
      <c r="AM91" s="2251"/>
      <c r="AN91" s="103"/>
      <c r="AO91" s="2224"/>
      <c r="AP91" s="103"/>
      <c r="AQ91" s="2251"/>
      <c r="AR91" s="103"/>
      <c r="AS91" s="2251"/>
      <c r="AT91" s="103"/>
      <c r="AU91" s="2251"/>
      <c r="AV91" s="103"/>
      <c r="AW91" s="2251"/>
      <c r="AX91" s="103"/>
      <c r="AY91" s="2251"/>
      <c r="AZ91" s="75">
        <f t="shared" si="18"/>
        <v>0</v>
      </c>
      <c r="BA91" s="2224"/>
      <c r="BB91" s="191"/>
      <c r="BC91" s="2224"/>
      <c r="BD91" s="191"/>
      <c r="BE91" s="2224"/>
      <c r="BF91" s="191"/>
      <c r="BG91" s="2224"/>
      <c r="BH91" s="191"/>
      <c r="BI91" s="2224"/>
      <c r="BJ91" s="191"/>
      <c r="BK91" s="2224"/>
      <c r="BL91" s="191"/>
      <c r="BM91" s="2251"/>
      <c r="BN91" s="97"/>
      <c r="BO91" s="2251"/>
      <c r="BP91" s="97"/>
      <c r="BQ91" s="2251"/>
      <c r="BR91" s="97"/>
      <c r="BS91" s="2251"/>
      <c r="BT91" s="124"/>
      <c r="BU91" s="2251"/>
      <c r="BV91" s="138"/>
      <c r="BW91" s="2251"/>
      <c r="BX91" s="97"/>
      <c r="BY91" s="2251"/>
      <c r="BZ91" s="97"/>
      <c r="CA91" s="2251"/>
      <c r="CB91" s="97"/>
      <c r="CC91" s="2251"/>
      <c r="CD91" s="97"/>
      <c r="CE91" s="2251"/>
      <c r="CF91" s="97"/>
      <c r="CG91" s="2251"/>
      <c r="CH91" s="105"/>
      <c r="CI91" s="2251"/>
      <c r="CJ91" s="97"/>
      <c r="CK91" s="2251"/>
      <c r="CL91" s="97"/>
      <c r="CM91" s="2251"/>
      <c r="CN91" s="73">
        <f t="shared" si="19"/>
        <v>0</v>
      </c>
      <c r="CO91" s="97"/>
      <c r="CP91" s="106"/>
      <c r="CQ91" s="139"/>
      <c r="CR91" s="139"/>
      <c r="CS91" s="139"/>
      <c r="CT91" s="139"/>
      <c r="CU91" s="108"/>
      <c r="CV91" s="2258"/>
      <c r="CW91" s="97"/>
      <c r="CX91" s="2244"/>
      <c r="CY91" s="2261"/>
      <c r="CZ91" s="97"/>
      <c r="DA91" s="2253"/>
      <c r="DB91" s="97"/>
      <c r="DC91" s="2244"/>
      <c r="DD91" s="97"/>
      <c r="DE91" s="2244"/>
      <c r="DF91" s="97"/>
      <c r="DG91" s="2244"/>
      <c r="DH91" s="97"/>
      <c r="DI91" s="2244"/>
      <c r="DJ91" s="97"/>
      <c r="DK91" s="2244"/>
      <c r="DL91" s="97"/>
      <c r="DM91" s="2244"/>
      <c r="DN91" s="97"/>
      <c r="DO91" s="2244"/>
      <c r="DP91" s="97"/>
      <c r="DQ91" s="2244"/>
      <c r="DR91" s="97"/>
      <c r="DS91" s="2244"/>
      <c r="DT91" s="97"/>
      <c r="DU91" s="2244"/>
      <c r="DV91" s="97"/>
      <c r="DW91" s="2244"/>
      <c r="DX91" s="75"/>
      <c r="DY91" s="2244"/>
      <c r="DZ91" s="103"/>
      <c r="EA91" s="2244"/>
      <c r="EB91" s="103"/>
      <c r="EC91" s="2244"/>
      <c r="ED91" s="103"/>
      <c r="EE91" s="2244"/>
      <c r="EF91" s="103"/>
      <c r="EG91" s="2244"/>
      <c r="EH91" s="103"/>
      <c r="EI91" s="2244"/>
      <c r="EJ91" s="103"/>
      <c r="EK91" s="2251"/>
      <c r="EL91" s="97"/>
      <c r="EM91" s="2246"/>
      <c r="EN91" s="102"/>
      <c r="EO91" s="2246"/>
      <c r="EP91" s="102"/>
      <c r="EQ91" s="110"/>
      <c r="ER91" s="102"/>
      <c r="ES91" s="110"/>
      <c r="ET91" s="74"/>
      <c r="EU91" s="2244"/>
      <c r="EV91" s="111"/>
      <c r="EW91" s="2244"/>
      <c r="EX91" s="88"/>
      <c r="EY91" s="2244"/>
      <c r="EZ91" s="2248"/>
      <c r="FA91" s="2224"/>
      <c r="FB91" s="2244"/>
      <c r="FC91" s="2224"/>
      <c r="FD91" s="2244"/>
      <c r="FE91" s="2224"/>
      <c r="FF91" s="2244"/>
      <c r="FG91" s="102"/>
      <c r="FH91" s="2244"/>
      <c r="FI91" s="102"/>
      <c r="FJ91" s="2244"/>
      <c r="FK91" s="102"/>
      <c r="FL91" s="2244"/>
      <c r="FM91" s="102"/>
      <c r="FN91" s="2244"/>
      <c r="FO91" s="102"/>
      <c r="FP91" s="110"/>
      <c r="FQ91" s="102"/>
      <c r="FR91" s="2244"/>
      <c r="FS91" s="2244"/>
      <c r="FT91" s="2240"/>
      <c r="FU91" s="2233"/>
      <c r="FV91" s="2235"/>
      <c r="FW91" s="2235"/>
      <c r="FX91" s="2233"/>
      <c r="FY91" s="2233"/>
      <c r="FZ91" s="2233"/>
      <c r="GA91" s="2232"/>
      <c r="GB91" s="2233"/>
      <c r="GC91" s="2233"/>
      <c r="GD91" s="2233"/>
      <c r="GE91" s="2232"/>
      <c r="GF91" s="2233"/>
      <c r="GG91" s="2232"/>
      <c r="GH91" s="2232"/>
      <c r="GI91" s="2232"/>
      <c r="GJ91" s="2232"/>
      <c r="GK91" s="2232"/>
      <c r="GL91" s="2235"/>
      <c r="GM91" s="2235"/>
      <c r="GN91" s="2235"/>
      <c r="GO91" s="2224"/>
      <c r="GP91" s="112"/>
      <c r="GQ91" s="2224"/>
      <c r="GR91" s="112"/>
      <c r="GS91" s="2224"/>
      <c r="GT91" s="113"/>
      <c r="GU91" s="114"/>
      <c r="GV91" s="113"/>
      <c r="GW91" s="113"/>
      <c r="GX91" s="113"/>
      <c r="GY91" s="113"/>
      <c r="GZ91" s="112"/>
      <c r="HA91" s="113"/>
      <c r="HB91" s="113"/>
      <c r="HC91" s="2230"/>
    </row>
    <row r="92" spans="1:217" s="90" customFormat="1" ht="15" customHeight="1">
      <c r="A92" s="2588">
        <v>32</v>
      </c>
      <c r="B92" s="3687" t="s">
        <v>703</v>
      </c>
      <c r="C92" s="115">
        <v>2871</v>
      </c>
      <c r="D92" s="115">
        <v>85</v>
      </c>
      <c r="E92" s="116">
        <v>2028710085</v>
      </c>
      <c r="F92" s="117">
        <v>25654</v>
      </c>
      <c r="G92" s="118" t="s">
        <v>756</v>
      </c>
      <c r="H92" s="119"/>
      <c r="I92" s="115">
        <v>0.19</v>
      </c>
      <c r="J92" s="115">
        <v>0</v>
      </c>
      <c r="K92" s="115">
        <v>2</v>
      </c>
      <c r="L92" s="115">
        <v>4.8</v>
      </c>
      <c r="M92" s="117">
        <v>5000</v>
      </c>
      <c r="N92" s="117">
        <v>5000</v>
      </c>
      <c r="O92" s="117">
        <v>0</v>
      </c>
      <c r="P92" s="117">
        <v>5000</v>
      </c>
      <c r="Q92" s="120">
        <v>0</v>
      </c>
      <c r="R92" s="90" t="s">
        <v>757</v>
      </c>
      <c r="S92" s="2590">
        <f>SUM(T92:T95)</f>
        <v>0</v>
      </c>
      <c r="T92" s="121">
        <v>0</v>
      </c>
      <c r="U92" s="2590">
        <f>SUM(V92:V95)</f>
        <v>27983</v>
      </c>
      <c r="V92" s="122">
        <f>M92</f>
        <v>5000</v>
      </c>
      <c r="W92" s="2590">
        <f>SUM(X92:X95)</f>
        <v>27983</v>
      </c>
      <c r="X92" s="121">
        <f>V92-Z92</f>
        <v>5000</v>
      </c>
      <c r="Y92" s="2590">
        <f>SUM(Z92:Z95)</f>
        <v>0</v>
      </c>
      <c r="Z92" s="121">
        <v>0</v>
      </c>
      <c r="AA92" s="2590">
        <f>SUM(AB92:AB95)</f>
        <v>0</v>
      </c>
      <c r="AB92" s="121">
        <v>0</v>
      </c>
      <c r="AC92" s="2590">
        <f>SUM(AD92:AD93)</f>
        <v>0</v>
      </c>
      <c r="AD92" s="123">
        <v>0</v>
      </c>
      <c r="AE92" s="2580">
        <f>SUM(AF92:AF95)</f>
        <v>5000</v>
      </c>
      <c r="AF92" s="123">
        <f>AG92+AI92</f>
        <v>5000</v>
      </c>
      <c r="AG92" s="123">
        <v>0</v>
      </c>
      <c r="AH92" s="2580">
        <f>SUM(AG92:AG95)</f>
        <v>0</v>
      </c>
      <c r="AI92" s="123">
        <f>N92</f>
        <v>5000</v>
      </c>
      <c r="AJ92" s="2580">
        <f>SUM(AI92:AI95)</f>
        <v>5000</v>
      </c>
      <c r="AK92" s="2580">
        <f>SUM(AL92:AN95)</f>
        <v>0</v>
      </c>
      <c r="AL92" s="123">
        <v>0</v>
      </c>
      <c r="AM92" s="2580">
        <f>SUM(AN92:AP95)</f>
        <v>0</v>
      </c>
      <c r="AN92" s="123">
        <v>0</v>
      </c>
      <c r="AO92" s="2582">
        <f>SUM(AP92:AP95)</f>
        <v>0</v>
      </c>
      <c r="AP92" s="123">
        <v>0</v>
      </c>
      <c r="AQ92" s="2580">
        <f>SUM(AR92:AR95)</f>
        <v>0</v>
      </c>
      <c r="AR92" s="123">
        <v>0</v>
      </c>
      <c r="AS92" s="2580">
        <f>SUM(AT92:AT95)</f>
        <v>0</v>
      </c>
      <c r="AT92" s="123">
        <v>0</v>
      </c>
      <c r="AU92" s="2580">
        <f>SUM(AV92:AV95)</f>
        <v>0</v>
      </c>
      <c r="AV92" s="123">
        <v>0</v>
      </c>
      <c r="AW92" s="2580">
        <f>SUM(AX92:AX95)</f>
        <v>0</v>
      </c>
      <c r="AX92" s="123">
        <v>0</v>
      </c>
      <c r="AY92" s="2580">
        <f>SUM(AZ92:AZ95)</f>
        <v>22983</v>
      </c>
      <c r="AZ92" s="103">
        <f t="shared" si="18"/>
        <v>0</v>
      </c>
      <c r="BA92" s="2582">
        <f>SUM(BB92:BB95)</f>
        <v>0</v>
      </c>
      <c r="BB92" s="121">
        <v>0</v>
      </c>
      <c r="BC92" s="2582">
        <f>SUM(BD92:BD95)</f>
        <v>0</v>
      </c>
      <c r="BD92" s="121">
        <v>0</v>
      </c>
      <c r="BE92" s="2582">
        <f>SUM(BF92:BF95)</f>
        <v>0</v>
      </c>
      <c r="BF92" s="121">
        <v>0</v>
      </c>
      <c r="BG92" s="2582">
        <f>SUM(BH92:BH95)</f>
        <v>0</v>
      </c>
      <c r="BH92" s="121">
        <v>0</v>
      </c>
      <c r="BI92" s="2582">
        <f>SUM(BJ92:BJ95)</f>
        <v>0</v>
      </c>
      <c r="BJ92" s="121">
        <v>0</v>
      </c>
      <c r="BK92" s="2582">
        <f>SUM(BL92:BL95)</f>
        <v>22983</v>
      </c>
      <c r="BL92" s="121">
        <v>0</v>
      </c>
      <c r="BM92" s="2580">
        <f>SUM(BN92:BN95)</f>
        <v>27983</v>
      </c>
      <c r="BN92" s="121">
        <f>ROUND(T92+V92,0)</f>
        <v>5000</v>
      </c>
      <c r="BO92" s="2580">
        <f>SUM(BP92:BP95)</f>
        <v>0</v>
      </c>
      <c r="BP92" s="121">
        <f>ROUND(T92/EP$141,0)</f>
        <v>0</v>
      </c>
      <c r="BQ92" s="2580">
        <f>SUM(BR92:BR95)</f>
        <v>0</v>
      </c>
      <c r="BR92" s="121">
        <f>BR$142*BP92</f>
        <v>0</v>
      </c>
      <c r="BS92" s="2580">
        <f>SUM(BT92:BT95)</f>
        <v>0</v>
      </c>
      <c r="BT92" s="124">
        <f t="shared" si="16"/>
        <v>0</v>
      </c>
      <c r="BU92" s="2580">
        <f>SUM(BV92:BV95)</f>
        <v>5</v>
      </c>
      <c r="BV92" s="125">
        <f>ROUND((AD92+AB92+Z92)/1000*3,0)+ROUND((AF92+AX92)/1000,0)+ROUND((ROUND(AL92/400,0))/2.67,0)+ROUND(AN92/250,0)+ROUND(AR92/15000,0)+ROUND((BB92+BD92+BF92+BJ92)/1000*3,0)+ROUND(BP92/25,0)+ROUND(CN92/50,0)</f>
        <v>5</v>
      </c>
      <c r="BW92" s="2580">
        <f>SUM(BX92:BX95)</f>
        <v>0</v>
      </c>
      <c r="BX92" s="121">
        <v>0</v>
      </c>
      <c r="BY92" s="2580">
        <f>SUM(BZ92:BZ95)</f>
        <v>0</v>
      </c>
      <c r="BZ92" s="121">
        <v>0</v>
      </c>
      <c r="CA92" s="2580">
        <f>SUM(CB92:CB95)</f>
        <v>27.983000000000001</v>
      </c>
      <c r="CB92" s="121">
        <f>V92/1000</f>
        <v>5</v>
      </c>
      <c r="CC92" s="2580">
        <f>SUM(CD92:CD95)</f>
        <v>0</v>
      </c>
      <c r="CD92" s="121">
        <f>AB92/1000</f>
        <v>0</v>
      </c>
      <c r="CE92" s="2580">
        <f>SUM(CF92:CF95)</f>
        <v>0</v>
      </c>
      <c r="CF92" s="121">
        <f>((AL92/400)/12)</f>
        <v>0</v>
      </c>
      <c r="CG92" s="2580">
        <f>SUM(CH92:CH95)</f>
        <v>0</v>
      </c>
      <c r="CH92" s="126">
        <f>IFERROR(VLOOKUP(E92,#REF!,3,FALSE),0)</f>
        <v>0</v>
      </c>
      <c r="CI92" s="2580">
        <f>SUM(CJ92:CJ95)</f>
        <v>0.432</v>
      </c>
      <c r="CJ92" s="121">
        <v>0</v>
      </c>
      <c r="CK92" s="2580">
        <f>SUM(CL92:CL95)</f>
        <v>0</v>
      </c>
      <c r="CL92" s="121">
        <f>IF(BJ92&gt;0,"Calculate",0)</f>
        <v>0</v>
      </c>
      <c r="CM92" s="2580">
        <f>SUM(CN92:CN95)</f>
        <v>28.414999999999999</v>
      </c>
      <c r="CN92" s="97">
        <f t="shared" si="19"/>
        <v>5</v>
      </c>
      <c r="CO92" s="121"/>
      <c r="CP92" s="2265">
        <v>10</v>
      </c>
      <c r="CQ92" s="127" t="s">
        <v>758</v>
      </c>
      <c r="CR92" s="127">
        <v>8.5</v>
      </c>
      <c r="CS92" s="127">
        <v>2</v>
      </c>
      <c r="CT92" s="127">
        <v>7.5</v>
      </c>
      <c r="CU92" s="128" t="s">
        <v>706</v>
      </c>
      <c r="CV92" s="2596" t="s">
        <v>716</v>
      </c>
      <c r="CW92" s="121">
        <f>(CR92*F92)-CZ92</f>
        <v>196253.1</v>
      </c>
      <c r="CX92" s="2590">
        <f>SUM(CW92:CW95)</f>
        <v>258355.8</v>
      </c>
      <c r="CY92" s="2598">
        <f>SUM(CZ92:CZ95)</f>
        <v>28706.200000000004</v>
      </c>
      <c r="CZ92" s="121">
        <f>1*(F92)-(0.15*1*(F92))</f>
        <v>21805.9</v>
      </c>
      <c r="DA92" s="2592">
        <f>SUM(DB92:DB95)</f>
        <v>28706.200000000004</v>
      </c>
      <c r="DB92" s="121">
        <f>CZ92-DD92</f>
        <v>21805.9</v>
      </c>
      <c r="DC92" s="2590">
        <f>SUM(DD92:DD95)</f>
        <v>0</v>
      </c>
      <c r="DD92" s="121">
        <v>0</v>
      </c>
      <c r="DE92" s="2590">
        <f>SUM(DF92:DF95)</f>
        <v>0</v>
      </c>
      <c r="DF92" s="121">
        <v>0</v>
      </c>
      <c r="DG92" s="2590">
        <f>SUM(DH92:DH95)</f>
        <v>28706.200000000004</v>
      </c>
      <c r="DH92" s="121">
        <f>CZ92-(DD92+DF92+DJ92+DL92+DN92+DT92+DV92+DX92)</f>
        <v>21805.9</v>
      </c>
      <c r="DI92" s="2590">
        <f>SUM(DJ92:DJ95)</f>
        <v>0</v>
      </c>
      <c r="DJ92" s="121">
        <v>0</v>
      </c>
      <c r="DK92" s="2590">
        <f>SUM(DL92:DL95)</f>
        <v>0</v>
      </c>
      <c r="DL92" s="121">
        <v>0</v>
      </c>
      <c r="DM92" s="2590">
        <f>SUM(DN92:DN93)</f>
        <v>0</v>
      </c>
      <c r="DN92" s="121">
        <v>0</v>
      </c>
      <c r="DO92" s="2590">
        <f>SUM(DP92:DP95)</f>
        <v>0</v>
      </c>
      <c r="DP92" s="121">
        <v>0</v>
      </c>
      <c r="DQ92" s="2590">
        <f>SUM(DR92:DR95)</f>
        <v>0</v>
      </c>
      <c r="DR92" s="121">
        <v>0</v>
      </c>
      <c r="DS92" s="2590">
        <f>SUM(DT92:DT95)</f>
        <v>0</v>
      </c>
      <c r="DT92" s="121">
        <v>0</v>
      </c>
      <c r="DU92" s="2590">
        <f>SUM(DV92:DV95)</f>
        <v>0</v>
      </c>
      <c r="DV92" s="121">
        <v>0</v>
      </c>
      <c r="DW92" s="2590">
        <f>SUM(DX92:DX93)</f>
        <v>0</v>
      </c>
      <c r="DX92" s="103">
        <f t="shared" si="22"/>
        <v>0</v>
      </c>
      <c r="DY92" s="2590">
        <f>SUM(DZ92:DZ95)</f>
        <v>0</v>
      </c>
      <c r="DZ92" s="123">
        <v>0</v>
      </c>
      <c r="EA92" s="2590">
        <f>SUM(EB92:EB95)</f>
        <v>0</v>
      </c>
      <c r="EB92" s="123">
        <v>0</v>
      </c>
      <c r="EC92" s="2590">
        <f>SUM(ED92:ED95)</f>
        <v>0</v>
      </c>
      <c r="ED92" s="123">
        <v>0</v>
      </c>
      <c r="EE92" s="2590">
        <f>SUM(EF92:EF95)</f>
        <v>0</v>
      </c>
      <c r="EF92" s="123">
        <v>0</v>
      </c>
      <c r="EG92" s="2590">
        <f>SUM(EH92:EH95)</f>
        <v>0</v>
      </c>
      <c r="EH92" s="123">
        <v>0</v>
      </c>
      <c r="EI92" s="2590">
        <f>SUM(EJ92:EJ95)</f>
        <v>0</v>
      </c>
      <c r="EJ92" s="123"/>
      <c r="EK92" s="2580">
        <f>SUM(EL92:EL95)</f>
        <v>287063</v>
      </c>
      <c r="EL92" s="121">
        <f>ROUND(CW92+CZ92,0)</f>
        <v>218059</v>
      </c>
      <c r="EM92" s="2600">
        <f>SUM(EN92:EN95)</f>
        <v>258</v>
      </c>
      <c r="EN92" s="122">
        <f>ROUND(CW92/EP$141,0)</f>
        <v>196</v>
      </c>
      <c r="EO92" s="2600">
        <f>SUM(EP92:EP95)</f>
        <v>51.600000000000009</v>
      </c>
      <c r="EP92" s="122">
        <f>0.2*EN92</f>
        <v>39.200000000000003</v>
      </c>
      <c r="EQ92" s="2600">
        <f>SUM(ER92:ER95)</f>
        <v>64.5</v>
      </c>
      <c r="ER92" s="122">
        <f t="shared" ref="ER92:ER95" si="28">0.25*EN92</f>
        <v>49</v>
      </c>
      <c r="ES92" s="2600">
        <f>SUM(ET92:ET95)</f>
        <v>106.40000000000002</v>
      </c>
      <c r="ET92" s="102">
        <f>FA92+FG92+FQ92</f>
        <v>80.800000000000011</v>
      </c>
      <c r="EU92" s="2590">
        <f>SUM(EV92:EV95)</f>
        <v>740.46</v>
      </c>
      <c r="EV92" s="122">
        <f>2.87*EN92</f>
        <v>562.52</v>
      </c>
      <c r="EW92" s="2590">
        <f>SUM(EX92:EX95)</f>
        <v>98</v>
      </c>
      <c r="EX92" s="186">
        <f>ROUND((DH92+DF92+DD92)/1000*3,0)+ROUND((ROUND(DL92/400,0))/2.67,0)+ROUND(DV92/1000,0)+ROUND((DZ92+EB92+ED92+EH92)/1000*3,0)+ROUND(EN92/25,0)+ROUND(ET92/50,0)</f>
        <v>75</v>
      </c>
      <c r="EY92" s="2590">
        <f>SUM(EZ92:EZ95)</f>
        <v>77.400000000000006</v>
      </c>
      <c r="EZ92" s="2610">
        <f>SUM(FA92:FA95)</f>
        <v>77.400000000000006</v>
      </c>
      <c r="FA92" s="2223">
        <f>(0.75*EN92)*0.4</f>
        <v>58.800000000000004</v>
      </c>
      <c r="FB92" s="2590">
        <f>SUM(FC92:FC95)</f>
        <v>0</v>
      </c>
      <c r="FC92" s="2223">
        <v>0</v>
      </c>
      <c r="FD92" s="2590">
        <f>SUM(FE92:FE95)</f>
        <v>0</v>
      </c>
      <c r="FE92" s="2223">
        <v>0</v>
      </c>
      <c r="FF92" s="2590">
        <f>SUM(FG92:FG95)</f>
        <v>29</v>
      </c>
      <c r="FG92" s="122">
        <f>ROUND((DH92+DJ92+DD92+DN92+DT92)/1000,0)</f>
        <v>22</v>
      </c>
      <c r="FH92" s="2590">
        <f>SUM(FI92:FI95)</f>
        <v>0</v>
      </c>
      <c r="FI92" s="122">
        <f>DF92/1000</f>
        <v>0</v>
      </c>
      <c r="FJ92" s="2590">
        <f>SUM(FK92:FK95)</f>
        <v>0</v>
      </c>
      <c r="FK92" s="122">
        <f>((DL92/400)/12)</f>
        <v>0</v>
      </c>
      <c r="FL92" s="2590">
        <f>SUM(FM92:FM95)</f>
        <v>0</v>
      </c>
      <c r="FM92" s="122">
        <v>0</v>
      </c>
      <c r="FN92" s="2590">
        <f>SUM(FO92:FO95)</f>
        <v>0</v>
      </c>
      <c r="FO92" s="122">
        <v>0</v>
      </c>
      <c r="FP92" s="2600">
        <f>SUM(FQ92:FQ95)</f>
        <v>0</v>
      </c>
      <c r="FQ92" s="122">
        <f>DX92/1000</f>
        <v>0</v>
      </c>
      <c r="FR92" s="2590">
        <f>SUM(FS92:FS95)</f>
        <v>225</v>
      </c>
      <c r="FS92" s="2604">
        <v>225</v>
      </c>
      <c r="FT92" s="2606">
        <f>CX92-S92</f>
        <v>258355.8</v>
      </c>
      <c r="FU92" s="2602">
        <f>CY92-U92</f>
        <v>723.20000000000437</v>
      </c>
      <c r="FV92" s="2608">
        <f>(DC92+DE92+DG92)-(Y92+AA92+AC92+AE92)</f>
        <v>23706.200000000004</v>
      </c>
      <c r="FW92" s="2608">
        <f>DG92-AC92</f>
        <v>28706.200000000004</v>
      </c>
      <c r="FX92" s="2602">
        <f>DE92-AA92</f>
        <v>0</v>
      </c>
      <c r="FY92" s="2602">
        <f>DC92-Y92</f>
        <v>0</v>
      </c>
      <c r="FZ92" s="2602">
        <f>DJ92-AE92</f>
        <v>-5000</v>
      </c>
      <c r="GA92" s="2602">
        <f>DL92-AL92</f>
        <v>0</v>
      </c>
      <c r="GB92" s="2602">
        <f>DM92-AM92</f>
        <v>0</v>
      </c>
      <c r="GC92" s="2602">
        <f>DP92-AQ92</f>
        <v>0</v>
      </c>
      <c r="GD92" s="2602">
        <f>DR92-AS92</f>
        <v>0</v>
      </c>
      <c r="GE92" s="2602">
        <f>DT92-AV92</f>
        <v>0</v>
      </c>
      <c r="GF92" s="2602">
        <f>DV92-AW92</f>
        <v>0</v>
      </c>
      <c r="GG92" s="2602">
        <f>DZ92-BB92</f>
        <v>0</v>
      </c>
      <c r="GH92" s="2602">
        <f>EB92-BD92</f>
        <v>0</v>
      </c>
      <c r="GI92" s="2602">
        <f>ED92-BF92</f>
        <v>0</v>
      </c>
      <c r="GJ92" s="2602">
        <f>EF92-BH92</f>
        <v>0</v>
      </c>
      <c r="GK92" s="2602">
        <f>EH92-BJ92</f>
        <v>0</v>
      </c>
      <c r="GL92" s="2608">
        <f>DW92-AY92</f>
        <v>-22983</v>
      </c>
      <c r="GM92" s="2608">
        <f>EK92-BM92</f>
        <v>259080</v>
      </c>
      <c r="GN92" s="2608">
        <f>EM92-BO92</f>
        <v>258</v>
      </c>
      <c r="GO92" s="2582">
        <f>SUM(GP92:GP95)</f>
        <v>51.600000000000009</v>
      </c>
      <c r="GP92" s="114">
        <f>EP92-BR92</f>
        <v>39.200000000000003</v>
      </c>
      <c r="GQ92" s="2582">
        <f>SUM(GR92:GR95)</f>
        <v>740.46</v>
      </c>
      <c r="GR92" s="114">
        <f>EV92-BT92</f>
        <v>562.52</v>
      </c>
      <c r="GS92" s="2676">
        <f>SUM(GT92:GT95)</f>
        <v>93</v>
      </c>
      <c r="GT92" s="114">
        <f>EX92-BV92</f>
        <v>70</v>
      </c>
      <c r="GU92" s="114">
        <f>FA92-BX92</f>
        <v>58.800000000000004</v>
      </c>
      <c r="GV92" s="114">
        <f>FI92-CD92</f>
        <v>0</v>
      </c>
      <c r="GW92" s="114">
        <v>0</v>
      </c>
      <c r="GX92" s="114">
        <f>FG92-CB92</f>
        <v>17</v>
      </c>
      <c r="GY92" s="114">
        <f>FK92-CF92</f>
        <v>0</v>
      </c>
      <c r="GZ92" s="114">
        <f>FM92-CH92</f>
        <v>0</v>
      </c>
      <c r="HA92" s="114">
        <f>FO92-CJ92</f>
        <v>0</v>
      </c>
      <c r="HB92" s="114">
        <f>FQ92-CL92</f>
        <v>0</v>
      </c>
      <c r="HC92" s="2616">
        <f>ES92-CM92</f>
        <v>77.985000000000014</v>
      </c>
      <c r="HD92" s="95"/>
      <c r="HE92" s="95"/>
      <c r="HF92" s="95"/>
      <c r="HG92" s="95"/>
    </row>
    <row r="93" spans="1:217" s="95" customFormat="1" ht="15" customHeight="1">
      <c r="A93" s="2660"/>
      <c r="B93" s="131" t="s">
        <v>710</v>
      </c>
      <c r="C93" s="132">
        <v>2871</v>
      </c>
      <c r="D93" s="132">
        <v>106</v>
      </c>
      <c r="E93" s="132">
        <v>2028710106</v>
      </c>
      <c r="F93" s="134">
        <v>417</v>
      </c>
      <c r="G93" s="135" t="s">
        <v>756</v>
      </c>
      <c r="H93" s="136"/>
      <c r="I93" s="132">
        <v>0</v>
      </c>
      <c r="J93" s="132">
        <v>0</v>
      </c>
      <c r="K93" s="132">
        <v>2</v>
      </c>
      <c r="L93" s="132">
        <v>4.8</v>
      </c>
      <c r="M93" s="134">
        <v>0</v>
      </c>
      <c r="N93" s="134"/>
      <c r="O93" s="134">
        <v>0</v>
      </c>
      <c r="P93" s="134">
        <v>0</v>
      </c>
      <c r="Q93" s="137">
        <v>0</v>
      </c>
      <c r="R93" s="95" t="s">
        <v>718</v>
      </c>
      <c r="S93" s="2661"/>
      <c r="T93" s="102">
        <v>0</v>
      </c>
      <c r="U93" s="2661"/>
      <c r="V93" s="102">
        <f>M93</f>
        <v>0</v>
      </c>
      <c r="W93" s="2661"/>
      <c r="X93" s="97">
        <f t="shared" ref="X93:X95" si="29">V93-Z93</f>
        <v>0</v>
      </c>
      <c r="Y93" s="2661"/>
      <c r="Z93" s="97">
        <v>0</v>
      </c>
      <c r="AA93" s="2661"/>
      <c r="AB93" s="97">
        <v>0</v>
      </c>
      <c r="AC93" s="2661"/>
      <c r="AD93" s="103">
        <f>V93-(Z93+AB93+AF93+AL93+AN93+AP93+AZ93)</f>
        <v>0</v>
      </c>
      <c r="AE93" s="2658"/>
      <c r="AF93" s="103">
        <f>AG93+AI93</f>
        <v>0</v>
      </c>
      <c r="AG93" s="103">
        <v>0</v>
      </c>
      <c r="AH93" s="2658"/>
      <c r="AI93" s="103">
        <v>0</v>
      </c>
      <c r="AJ93" s="2658"/>
      <c r="AK93" s="2658"/>
      <c r="AL93" s="103">
        <v>0</v>
      </c>
      <c r="AM93" s="2658"/>
      <c r="AN93" s="103">
        <v>0</v>
      </c>
      <c r="AO93" s="2644"/>
      <c r="AP93" s="103">
        <v>0</v>
      </c>
      <c r="AQ93" s="2658"/>
      <c r="AR93" s="103">
        <v>0</v>
      </c>
      <c r="AS93" s="2658"/>
      <c r="AT93" s="103">
        <v>0</v>
      </c>
      <c r="AU93" s="2658"/>
      <c r="AV93" s="103">
        <v>0</v>
      </c>
      <c r="AW93" s="2658"/>
      <c r="AX93" s="103">
        <v>0</v>
      </c>
      <c r="AY93" s="2658"/>
      <c r="AZ93" s="103">
        <f t="shared" si="18"/>
        <v>0</v>
      </c>
      <c r="BA93" s="2644"/>
      <c r="BB93" s="97">
        <v>0</v>
      </c>
      <c r="BC93" s="2644"/>
      <c r="BD93" s="97">
        <v>0</v>
      </c>
      <c r="BE93" s="2644"/>
      <c r="BF93" s="97">
        <v>0</v>
      </c>
      <c r="BG93" s="2644"/>
      <c r="BH93" s="97">
        <v>0</v>
      </c>
      <c r="BI93" s="2644"/>
      <c r="BJ93" s="97">
        <v>0</v>
      </c>
      <c r="BK93" s="2644"/>
      <c r="BL93" s="97">
        <v>0</v>
      </c>
      <c r="BM93" s="2658"/>
      <c r="BN93" s="97">
        <f>ROUND(T93+V93,0)</f>
        <v>0</v>
      </c>
      <c r="BO93" s="2658"/>
      <c r="BP93" s="97">
        <f>ROUND(T93/EP$141,0)</f>
        <v>0</v>
      </c>
      <c r="BQ93" s="2658"/>
      <c r="BR93" s="97">
        <f>BR$142*BP93</f>
        <v>0</v>
      </c>
      <c r="BS93" s="2658"/>
      <c r="BT93" s="182">
        <f t="shared" si="16"/>
        <v>0</v>
      </c>
      <c r="BU93" s="2658"/>
      <c r="BV93" s="138">
        <f>ROUND((AD93+AB93+Z93)/1000*3,0)+ROUND((AF93+AX93)/1000,0)+ROUND((ROUND(AL93/400,0))/2.67,0)+ROUND(AN93/250,0)+ROUND(AR93/15000,0)+ROUND((BB93+BD93+BF93+BJ93)/1000*3,0)+ROUND(BP93/25,0)+ROUND(CN93/50,0)</f>
        <v>0</v>
      </c>
      <c r="BW93" s="2658"/>
      <c r="BX93" s="97">
        <v>0</v>
      </c>
      <c r="BY93" s="2658"/>
      <c r="BZ93" s="97">
        <v>0</v>
      </c>
      <c r="CA93" s="2658"/>
      <c r="CB93" s="97">
        <f>V93/1000</f>
        <v>0</v>
      </c>
      <c r="CC93" s="2658"/>
      <c r="CD93" s="97">
        <f>AB93/1000</f>
        <v>0</v>
      </c>
      <c r="CE93" s="2658"/>
      <c r="CF93" s="97">
        <f>((AL93/400)/12)</f>
        <v>0</v>
      </c>
      <c r="CG93" s="2658"/>
      <c r="CH93" s="105">
        <f>IFERROR(VLOOKUP(E93,#REF!,3,FALSE),0)</f>
        <v>0</v>
      </c>
      <c r="CI93" s="2658"/>
      <c r="CJ93" s="97">
        <f>IF(G93="M1-2",F93/1000)</f>
        <v>0.41699999999999998</v>
      </c>
      <c r="CK93" s="2658"/>
      <c r="CL93" s="97">
        <f>IF(BJ93&gt;0,"Calculate",0)</f>
        <v>0</v>
      </c>
      <c r="CM93" s="2658"/>
      <c r="CN93" s="97">
        <f t="shared" si="19"/>
        <v>0.41699999999999998</v>
      </c>
      <c r="CO93" s="97"/>
      <c r="CP93" s="106">
        <v>0</v>
      </c>
      <c r="CQ93" s="95" t="s">
        <v>758</v>
      </c>
      <c r="CR93" s="139">
        <v>8.5</v>
      </c>
      <c r="CS93" s="139">
        <v>2</v>
      </c>
      <c r="CT93" s="139">
        <v>7.5</v>
      </c>
      <c r="CU93" s="108" t="s">
        <v>706</v>
      </c>
      <c r="CV93" s="2662"/>
      <c r="CW93" s="97">
        <f>(CR93*F93)-CZ93</f>
        <v>3190.05</v>
      </c>
      <c r="CX93" s="2661"/>
      <c r="CY93" s="2663"/>
      <c r="CZ93" s="97">
        <f>1*(F93)-(0.15*1*(F93))</f>
        <v>354.45</v>
      </c>
      <c r="DA93" s="2664"/>
      <c r="DB93" s="97">
        <f>CZ93-DD93</f>
        <v>354.45</v>
      </c>
      <c r="DC93" s="2661"/>
      <c r="DD93" s="97">
        <v>0</v>
      </c>
      <c r="DE93" s="2661"/>
      <c r="DF93" s="97">
        <v>0</v>
      </c>
      <c r="DG93" s="2661"/>
      <c r="DH93" s="97">
        <f>CZ93-(DD93+DF93+DJ93+DL93+DN93+DT93+DV93+DX93)</f>
        <v>354.45</v>
      </c>
      <c r="DI93" s="2661"/>
      <c r="DJ93" s="97">
        <v>0</v>
      </c>
      <c r="DK93" s="2661"/>
      <c r="DL93" s="97">
        <v>0</v>
      </c>
      <c r="DM93" s="2661"/>
      <c r="DN93" s="97">
        <v>0</v>
      </c>
      <c r="DO93" s="2661"/>
      <c r="DP93" s="97">
        <v>0</v>
      </c>
      <c r="DQ93" s="2661"/>
      <c r="DR93" s="97">
        <v>0</v>
      </c>
      <c r="DS93" s="2661"/>
      <c r="DT93" s="97">
        <v>0</v>
      </c>
      <c r="DU93" s="2661"/>
      <c r="DV93" s="97">
        <v>0</v>
      </c>
      <c r="DW93" s="2661"/>
      <c r="DX93" s="103">
        <f t="shared" si="22"/>
        <v>0</v>
      </c>
      <c r="DY93" s="2661"/>
      <c r="DZ93" s="103">
        <v>0</v>
      </c>
      <c r="EA93" s="2661"/>
      <c r="EB93" s="103">
        <v>0</v>
      </c>
      <c r="EC93" s="2661"/>
      <c r="ED93" s="103">
        <v>0</v>
      </c>
      <c r="EE93" s="2661"/>
      <c r="EF93" s="103">
        <v>0</v>
      </c>
      <c r="EG93" s="2661"/>
      <c r="EH93" s="103">
        <v>0</v>
      </c>
      <c r="EI93" s="2661"/>
      <c r="EJ93" s="103"/>
      <c r="EK93" s="2658"/>
      <c r="EL93" s="97">
        <f>ROUND(CW93+CZ93,0)</f>
        <v>3545</v>
      </c>
      <c r="EM93" s="2643"/>
      <c r="EN93" s="102">
        <f>ROUND(CW93/EP$141,0)</f>
        <v>3</v>
      </c>
      <c r="EO93" s="2643"/>
      <c r="EP93" s="102">
        <f t="shared" ref="EP93:EP95" si="30">0.2*EN93</f>
        <v>0.60000000000000009</v>
      </c>
      <c r="EQ93" s="2643"/>
      <c r="ER93" s="102">
        <f t="shared" si="28"/>
        <v>0.75</v>
      </c>
      <c r="ES93" s="2643"/>
      <c r="ET93" s="102">
        <f>FA93+FG93+FQ93</f>
        <v>0.9</v>
      </c>
      <c r="EU93" s="2661"/>
      <c r="EV93" s="102">
        <f>2.87*EN93</f>
        <v>8.61</v>
      </c>
      <c r="EW93" s="2661"/>
      <c r="EX93" s="186">
        <f>ROUND((DH93+DF93+DD93)/1000*3,0)+ROUND((ROUND(DL93/400,0))/2.67,0)+ROUND(DV93/1000,0)+ROUND((DZ93+EB93+ED93+EH93)/1000*3,0)+ROUND(EN93/25,0)+ROUND(ET93/50,0)</f>
        <v>1</v>
      </c>
      <c r="EY93" s="2661"/>
      <c r="EZ93" s="2642"/>
      <c r="FA93" s="2224">
        <f>(0.75*EN93)*0.4</f>
        <v>0.9</v>
      </c>
      <c r="FB93" s="2661"/>
      <c r="FC93" s="2224">
        <v>0</v>
      </c>
      <c r="FD93" s="2661"/>
      <c r="FE93" s="2224">
        <v>0</v>
      </c>
      <c r="FF93" s="2661"/>
      <c r="FG93" s="102">
        <f>ROUND((DH93+DJ93+DD93+DN93+DT93)/1000,0)</f>
        <v>0</v>
      </c>
      <c r="FH93" s="2661"/>
      <c r="FI93" s="102">
        <f>DF93/1000</f>
        <v>0</v>
      </c>
      <c r="FJ93" s="2661"/>
      <c r="FK93" s="102">
        <f>((DL93/400)/12)</f>
        <v>0</v>
      </c>
      <c r="FL93" s="2661"/>
      <c r="FM93" s="102">
        <v>0</v>
      </c>
      <c r="FN93" s="2661"/>
      <c r="FO93" s="102">
        <v>0</v>
      </c>
      <c r="FP93" s="2643"/>
      <c r="FQ93" s="102">
        <f>DX93/1000</f>
        <v>0</v>
      </c>
      <c r="FR93" s="2661"/>
      <c r="FS93" s="2667"/>
      <c r="FT93" s="2668"/>
      <c r="FU93" s="2665"/>
      <c r="FV93" s="2666"/>
      <c r="FW93" s="2666"/>
      <c r="FX93" s="2665"/>
      <c r="FY93" s="2665"/>
      <c r="FZ93" s="2665"/>
      <c r="GA93" s="2665"/>
      <c r="GB93" s="2665"/>
      <c r="GC93" s="2665"/>
      <c r="GD93" s="2665"/>
      <c r="GE93" s="2665"/>
      <c r="GF93" s="2665"/>
      <c r="GG93" s="2665"/>
      <c r="GH93" s="2665"/>
      <c r="GI93" s="2665"/>
      <c r="GJ93" s="2665"/>
      <c r="GK93" s="2665"/>
      <c r="GL93" s="2666"/>
      <c r="GM93" s="2666"/>
      <c r="GN93" s="2666"/>
      <c r="GO93" s="2644"/>
      <c r="GP93" s="113">
        <f>EP93-BR93</f>
        <v>0.60000000000000009</v>
      </c>
      <c r="GQ93" s="2644"/>
      <c r="GR93" s="113">
        <f>EV93-BT93</f>
        <v>8.61</v>
      </c>
      <c r="GS93" s="2677"/>
      <c r="GT93" s="113">
        <f>EX93-BV93</f>
        <v>1</v>
      </c>
      <c r="GU93" s="113">
        <f>FA93-BX93</f>
        <v>0.9</v>
      </c>
      <c r="GV93" s="113">
        <f>FI93-CD93</f>
        <v>0</v>
      </c>
      <c r="GW93" s="113">
        <v>0</v>
      </c>
      <c r="GX93" s="113">
        <f>FG93-CB93</f>
        <v>0</v>
      </c>
      <c r="GY93" s="113">
        <f>FK93-CF93</f>
        <v>0</v>
      </c>
      <c r="GZ93" s="113">
        <f>FM93-CH93</f>
        <v>0</v>
      </c>
      <c r="HA93" s="113">
        <f>FO93-CJ93</f>
        <v>-0.41699999999999998</v>
      </c>
      <c r="HB93" s="113">
        <f>FQ93-CL93</f>
        <v>0</v>
      </c>
      <c r="HC93" s="2669"/>
    </row>
    <row r="94" spans="1:217" s="95" customFormat="1" ht="15" customHeight="1">
      <c r="A94" s="2660"/>
      <c r="B94" s="131" t="s">
        <v>721</v>
      </c>
      <c r="C94" s="132">
        <v>2871</v>
      </c>
      <c r="D94" s="132">
        <v>115</v>
      </c>
      <c r="E94" s="133">
        <v>2028710115</v>
      </c>
      <c r="F94" s="134">
        <v>15</v>
      </c>
      <c r="G94" s="135" t="s">
        <v>756</v>
      </c>
      <c r="H94" s="136"/>
      <c r="I94" s="132">
        <v>0</v>
      </c>
      <c r="J94" s="132">
        <v>0</v>
      </c>
      <c r="K94" s="132">
        <v>2</v>
      </c>
      <c r="L94" s="132">
        <v>4.8</v>
      </c>
      <c r="M94" s="134">
        <v>0</v>
      </c>
      <c r="N94" s="134">
        <v>0</v>
      </c>
      <c r="O94" s="134">
        <v>0</v>
      </c>
      <c r="P94" s="134">
        <v>0</v>
      </c>
      <c r="Q94" s="137">
        <v>0</v>
      </c>
      <c r="R94" s="95" t="s">
        <v>718</v>
      </c>
      <c r="S94" s="2661"/>
      <c r="T94" s="102">
        <v>0</v>
      </c>
      <c r="U94" s="2661"/>
      <c r="V94" s="102">
        <f>M94</f>
        <v>0</v>
      </c>
      <c r="W94" s="2661"/>
      <c r="X94" s="97">
        <f t="shared" si="29"/>
        <v>0</v>
      </c>
      <c r="Y94" s="2661"/>
      <c r="Z94" s="97">
        <v>0</v>
      </c>
      <c r="AA94" s="2661"/>
      <c r="AB94" s="97">
        <v>0</v>
      </c>
      <c r="AC94" s="2661"/>
      <c r="AD94" s="103">
        <f>V94-(Z94+AB94+AF94+AL94+AN94+AP94+AZ94)</f>
        <v>0</v>
      </c>
      <c r="AE94" s="2658"/>
      <c r="AF94" s="103">
        <f>AG94+AI94</f>
        <v>0</v>
      </c>
      <c r="AG94" s="103">
        <v>0</v>
      </c>
      <c r="AH94" s="2658"/>
      <c r="AI94" s="103">
        <v>0</v>
      </c>
      <c r="AJ94" s="2658"/>
      <c r="AK94" s="2658"/>
      <c r="AL94" s="103">
        <v>0</v>
      </c>
      <c r="AM94" s="2658"/>
      <c r="AN94" s="103">
        <v>0</v>
      </c>
      <c r="AO94" s="2644"/>
      <c r="AP94" s="103">
        <v>0</v>
      </c>
      <c r="AQ94" s="2658"/>
      <c r="AR94" s="103">
        <v>0</v>
      </c>
      <c r="AS94" s="2658"/>
      <c r="AT94" s="103">
        <v>0</v>
      </c>
      <c r="AU94" s="2658"/>
      <c r="AV94" s="103">
        <v>0</v>
      </c>
      <c r="AW94" s="2658"/>
      <c r="AX94" s="103">
        <v>0</v>
      </c>
      <c r="AY94" s="2658"/>
      <c r="AZ94" s="103">
        <f t="shared" si="18"/>
        <v>0</v>
      </c>
      <c r="BA94" s="2644"/>
      <c r="BB94" s="97">
        <v>0</v>
      </c>
      <c r="BC94" s="2644"/>
      <c r="BD94" s="97">
        <v>0</v>
      </c>
      <c r="BE94" s="2644"/>
      <c r="BF94" s="97">
        <v>0</v>
      </c>
      <c r="BG94" s="2644"/>
      <c r="BH94" s="97">
        <v>0</v>
      </c>
      <c r="BI94" s="2644"/>
      <c r="BJ94" s="97">
        <v>0</v>
      </c>
      <c r="BK94" s="2644"/>
      <c r="BL94" s="97">
        <v>0</v>
      </c>
      <c r="BM94" s="2658"/>
      <c r="BN94" s="97">
        <f>ROUND(T94+V94,0)</f>
        <v>0</v>
      </c>
      <c r="BO94" s="2658"/>
      <c r="BP94" s="97">
        <f>ROUND(T94/EP$141,0)</f>
        <v>0</v>
      </c>
      <c r="BQ94" s="2658"/>
      <c r="BR94" s="97">
        <f>BR$142*BP94</f>
        <v>0</v>
      </c>
      <c r="BS94" s="2658"/>
      <c r="BT94" s="182">
        <f t="shared" si="16"/>
        <v>0</v>
      </c>
      <c r="BU94" s="2658"/>
      <c r="BV94" s="138">
        <f>ROUND((AD94+AB94+Z94)/1000*3,0)+ROUND((AF94+AX94)/1000,0)+ROUND((ROUND(AL94/400,0))/2.67,0)+ROUND(AN94/250,0)+ROUND(AR94/15000,0)+ROUND((BB94+BD94+BF94+BJ94)/1000*3,0)+ROUND(BP94/25,0)+ROUND(CN94/50,0)</f>
        <v>0</v>
      </c>
      <c r="BW94" s="2658"/>
      <c r="BX94" s="97">
        <v>0</v>
      </c>
      <c r="BY94" s="2658"/>
      <c r="BZ94" s="97">
        <v>0</v>
      </c>
      <c r="CA94" s="2658"/>
      <c r="CB94" s="97">
        <f>V94/1000</f>
        <v>0</v>
      </c>
      <c r="CC94" s="2658"/>
      <c r="CD94" s="97">
        <f>AB94/1000</f>
        <v>0</v>
      </c>
      <c r="CE94" s="2658"/>
      <c r="CF94" s="97">
        <f>((AL94/400)/12)</f>
        <v>0</v>
      </c>
      <c r="CG94" s="2658"/>
      <c r="CH94" s="105">
        <f>IFERROR(VLOOKUP(E94,#REF!,3,FALSE),0)</f>
        <v>0</v>
      </c>
      <c r="CI94" s="2658"/>
      <c r="CJ94" s="97">
        <f>IF(G94="M1-2",F94/1000)</f>
        <v>1.4999999999999999E-2</v>
      </c>
      <c r="CK94" s="2658"/>
      <c r="CL94" s="97">
        <f>IF(BJ94&gt;0,"Calculate",0)</f>
        <v>0</v>
      </c>
      <c r="CM94" s="2658"/>
      <c r="CN94" s="97">
        <f t="shared" si="19"/>
        <v>1.4999999999999999E-2</v>
      </c>
      <c r="CO94" s="97"/>
      <c r="CP94" s="106">
        <v>0</v>
      </c>
      <c r="CQ94" s="95" t="s">
        <v>758</v>
      </c>
      <c r="CR94" s="139">
        <v>8.5</v>
      </c>
      <c r="CS94" s="139">
        <v>2</v>
      </c>
      <c r="CT94" s="139">
        <v>7.5</v>
      </c>
      <c r="CU94" s="108" t="s">
        <v>706</v>
      </c>
      <c r="CV94" s="2662"/>
      <c r="CW94" s="97">
        <f>(CR94*F94)-CZ94</f>
        <v>114.75</v>
      </c>
      <c r="CX94" s="2661"/>
      <c r="CY94" s="2663"/>
      <c r="CZ94" s="97">
        <f>1*(F94)-(0.15*1*(F94))</f>
        <v>12.75</v>
      </c>
      <c r="DA94" s="2664"/>
      <c r="DB94" s="97">
        <f>CZ94-DD94</f>
        <v>12.75</v>
      </c>
      <c r="DC94" s="2661"/>
      <c r="DD94" s="97">
        <v>0</v>
      </c>
      <c r="DE94" s="2661"/>
      <c r="DF94" s="97">
        <v>0</v>
      </c>
      <c r="DG94" s="2661"/>
      <c r="DH94" s="97">
        <f>CZ94-(DD94+DF94+DJ94+DL94+DN94+DT94+DV94+DX94)</f>
        <v>12.75</v>
      </c>
      <c r="DI94" s="2661"/>
      <c r="DJ94" s="97">
        <v>0</v>
      </c>
      <c r="DK94" s="2661"/>
      <c r="DL94" s="97">
        <v>0</v>
      </c>
      <c r="DM94" s="2661"/>
      <c r="DN94" s="97">
        <v>0</v>
      </c>
      <c r="DO94" s="2661"/>
      <c r="DP94" s="97">
        <v>0</v>
      </c>
      <c r="DQ94" s="2661"/>
      <c r="DR94" s="97">
        <v>0</v>
      </c>
      <c r="DS94" s="2661"/>
      <c r="DT94" s="97">
        <v>0</v>
      </c>
      <c r="DU94" s="2661"/>
      <c r="DV94" s="97">
        <v>0</v>
      </c>
      <c r="DW94" s="2661"/>
      <c r="DX94" s="103">
        <f t="shared" si="22"/>
        <v>0</v>
      </c>
      <c r="DY94" s="2661"/>
      <c r="DZ94" s="103">
        <v>0</v>
      </c>
      <c r="EA94" s="2661"/>
      <c r="EB94" s="103">
        <v>0</v>
      </c>
      <c r="EC94" s="2661"/>
      <c r="ED94" s="103">
        <v>0</v>
      </c>
      <c r="EE94" s="2661"/>
      <c r="EF94" s="103">
        <v>0</v>
      </c>
      <c r="EG94" s="2661"/>
      <c r="EH94" s="103">
        <v>0</v>
      </c>
      <c r="EI94" s="2661"/>
      <c r="EJ94" s="103"/>
      <c r="EK94" s="2658"/>
      <c r="EL94" s="97">
        <f>ROUND(CW94+CZ94,0)</f>
        <v>128</v>
      </c>
      <c r="EM94" s="2643"/>
      <c r="EN94" s="102">
        <f>ROUND(CW94/EP$141,0)</f>
        <v>0</v>
      </c>
      <c r="EO94" s="2643"/>
      <c r="EP94" s="102">
        <f t="shared" si="30"/>
        <v>0</v>
      </c>
      <c r="EQ94" s="2643"/>
      <c r="ER94" s="102">
        <f t="shared" si="28"/>
        <v>0</v>
      </c>
      <c r="ES94" s="2643"/>
      <c r="ET94" s="102">
        <f>FA94+FG94+FQ94</f>
        <v>0</v>
      </c>
      <c r="EU94" s="2661"/>
      <c r="EV94" s="102">
        <f>2.87*EN94</f>
        <v>0</v>
      </c>
      <c r="EW94" s="2661"/>
      <c r="EX94" s="186">
        <f>ROUND((DH94+DF94+DD94)/1000*3,0)+ROUND((ROUND(DL94/400,0))/2.67,0)+ROUND(DV94/1000,0)+ROUND((DZ94+EB94+ED94+EH94)/1000*3,0)+ROUND(EN94/25,0)+ROUND(ET94/50,0)</f>
        <v>0</v>
      </c>
      <c r="EY94" s="2661"/>
      <c r="EZ94" s="2642"/>
      <c r="FA94" s="2224">
        <f>(0.75*EN94)*0.4</f>
        <v>0</v>
      </c>
      <c r="FB94" s="2661"/>
      <c r="FC94" s="2224">
        <v>0</v>
      </c>
      <c r="FD94" s="2661"/>
      <c r="FE94" s="2224">
        <v>0</v>
      </c>
      <c r="FF94" s="2661"/>
      <c r="FG94" s="102">
        <f>ROUND((DH94+DJ94+DD94+DN94+DT94)/1000,0)</f>
        <v>0</v>
      </c>
      <c r="FH94" s="2661"/>
      <c r="FI94" s="102">
        <f>DF94/1000</f>
        <v>0</v>
      </c>
      <c r="FJ94" s="2661"/>
      <c r="FK94" s="102">
        <f>((DL94/400)/12)</f>
        <v>0</v>
      </c>
      <c r="FL94" s="2661"/>
      <c r="FM94" s="102">
        <v>0</v>
      </c>
      <c r="FN94" s="2661"/>
      <c r="FO94" s="102">
        <v>0</v>
      </c>
      <c r="FP94" s="2643"/>
      <c r="FQ94" s="102">
        <f>DX94/1000</f>
        <v>0</v>
      </c>
      <c r="FR94" s="2661"/>
      <c r="FS94" s="2667"/>
      <c r="FT94" s="2668"/>
      <c r="FU94" s="2665"/>
      <c r="FV94" s="2666"/>
      <c r="FW94" s="2666"/>
      <c r="FX94" s="2665"/>
      <c r="FY94" s="2665"/>
      <c r="FZ94" s="2665"/>
      <c r="GA94" s="2665"/>
      <c r="GB94" s="2665"/>
      <c r="GC94" s="2665"/>
      <c r="GD94" s="2665"/>
      <c r="GE94" s="2665"/>
      <c r="GF94" s="2665"/>
      <c r="GG94" s="2665"/>
      <c r="GH94" s="2665"/>
      <c r="GI94" s="2665"/>
      <c r="GJ94" s="2665"/>
      <c r="GK94" s="2665"/>
      <c r="GL94" s="2666"/>
      <c r="GM94" s="2666"/>
      <c r="GN94" s="2666"/>
      <c r="GO94" s="2644"/>
      <c r="GP94" s="113">
        <f>EP94-BR94</f>
        <v>0</v>
      </c>
      <c r="GQ94" s="2644"/>
      <c r="GR94" s="113">
        <f>EV94-BT94</f>
        <v>0</v>
      </c>
      <c r="GS94" s="2677"/>
      <c r="GT94" s="113">
        <f>EX94-BV94</f>
        <v>0</v>
      </c>
      <c r="GU94" s="113">
        <f>FA94-BX94</f>
        <v>0</v>
      </c>
      <c r="GV94" s="113">
        <f>FI94-CD94</f>
        <v>0</v>
      </c>
      <c r="GW94" s="113">
        <v>0</v>
      </c>
      <c r="GX94" s="113">
        <f>FG94-CB94</f>
        <v>0</v>
      </c>
      <c r="GY94" s="113">
        <f>FK94-CF94</f>
        <v>0</v>
      </c>
      <c r="GZ94" s="113">
        <f>FM94-CH94</f>
        <v>0</v>
      </c>
      <c r="HA94" s="113">
        <f>FO94-CJ94</f>
        <v>-1.4999999999999999E-2</v>
      </c>
      <c r="HB94" s="113">
        <f>FQ94-CL94</f>
        <v>0</v>
      </c>
      <c r="HC94" s="2669"/>
    </row>
    <row r="95" spans="1:217" s="72" customFormat="1" ht="15" customHeight="1">
      <c r="A95" s="2589"/>
      <c r="B95" s="130" t="s">
        <v>724</v>
      </c>
      <c r="C95" s="66">
        <v>2871</v>
      </c>
      <c r="D95" s="66">
        <v>94</v>
      </c>
      <c r="E95" s="66">
        <v>2028710094</v>
      </c>
      <c r="F95" s="68">
        <v>7686</v>
      </c>
      <c r="G95" s="69" t="s">
        <v>756</v>
      </c>
      <c r="H95" s="70"/>
      <c r="I95" s="66">
        <v>2.99</v>
      </c>
      <c r="J95" s="66">
        <v>0</v>
      </c>
      <c r="K95" s="66">
        <v>2</v>
      </c>
      <c r="L95" s="66">
        <v>4.8</v>
      </c>
      <c r="M95" s="68">
        <v>22983</v>
      </c>
      <c r="N95" s="68"/>
      <c r="O95" s="68">
        <v>0</v>
      </c>
      <c r="P95" s="68">
        <v>22983</v>
      </c>
      <c r="Q95" s="71">
        <v>0</v>
      </c>
      <c r="R95" s="72" t="s">
        <v>731</v>
      </c>
      <c r="S95" s="2591"/>
      <c r="T95" s="74">
        <v>0</v>
      </c>
      <c r="U95" s="2591"/>
      <c r="V95" s="74">
        <f>M95</f>
        <v>22983</v>
      </c>
      <c r="W95" s="2591"/>
      <c r="X95" s="97">
        <f t="shared" si="29"/>
        <v>22983</v>
      </c>
      <c r="Y95" s="2591"/>
      <c r="Z95" s="73">
        <v>0</v>
      </c>
      <c r="AA95" s="2591"/>
      <c r="AB95" s="73">
        <v>0</v>
      </c>
      <c r="AC95" s="2591"/>
      <c r="AD95" s="103">
        <f>V95-(Z95+AB95+AF95+AL95+AN95+AP95+AZ95)</f>
        <v>0</v>
      </c>
      <c r="AE95" s="2658"/>
      <c r="AF95" s="75">
        <f>AG95+AI95</f>
        <v>0</v>
      </c>
      <c r="AG95" s="75">
        <v>0</v>
      </c>
      <c r="AH95" s="2581"/>
      <c r="AI95" s="75">
        <v>0</v>
      </c>
      <c r="AJ95" s="2581"/>
      <c r="AK95" s="2581"/>
      <c r="AL95" s="75">
        <v>0</v>
      </c>
      <c r="AM95" s="2581"/>
      <c r="AN95" s="75">
        <v>0</v>
      </c>
      <c r="AO95" s="2583"/>
      <c r="AP95" s="75">
        <v>0</v>
      </c>
      <c r="AQ95" s="2581"/>
      <c r="AR95" s="75">
        <v>0</v>
      </c>
      <c r="AS95" s="2581"/>
      <c r="AT95" s="75">
        <v>0</v>
      </c>
      <c r="AU95" s="2581"/>
      <c r="AV95" s="75">
        <v>0</v>
      </c>
      <c r="AW95" s="2581"/>
      <c r="AX95" s="75">
        <v>0</v>
      </c>
      <c r="AY95" s="2581"/>
      <c r="AZ95" s="75">
        <f t="shared" si="18"/>
        <v>22983</v>
      </c>
      <c r="BA95" s="2583"/>
      <c r="BB95" s="73">
        <v>0</v>
      </c>
      <c r="BC95" s="2583"/>
      <c r="BD95" s="73">
        <v>0</v>
      </c>
      <c r="BE95" s="2583"/>
      <c r="BF95" s="73">
        <v>0</v>
      </c>
      <c r="BG95" s="2583"/>
      <c r="BH95" s="73">
        <v>0</v>
      </c>
      <c r="BI95" s="2583"/>
      <c r="BJ95" s="73">
        <v>0</v>
      </c>
      <c r="BK95" s="2583"/>
      <c r="BL95" s="73">
        <v>22983</v>
      </c>
      <c r="BM95" s="2581"/>
      <c r="BN95" s="73">
        <f>ROUND(T95+V95,0)</f>
        <v>22983</v>
      </c>
      <c r="BO95" s="2581"/>
      <c r="BP95" s="73">
        <f>ROUND(T95/EP$141,0)</f>
        <v>0</v>
      </c>
      <c r="BQ95" s="2581"/>
      <c r="BR95" s="73">
        <f>BR$142*BP95</f>
        <v>0</v>
      </c>
      <c r="BS95" s="2581"/>
      <c r="BT95" s="182">
        <f t="shared" si="16"/>
        <v>0</v>
      </c>
      <c r="BU95" s="2581"/>
      <c r="BV95" s="78">
        <f>ROUND((AD95+AB95+Z95)/1000*3,0)+ROUND((AF95+AX95)/1000,0)+ROUND((ROUND(AL95/400,0))/2.67,0)+ROUND(AN95/250,0)+ROUND(AR95/15000,0)+ROUND((BB95+BD95+BF95+BJ95)/1000*3,0)+ROUND(BP95/25,0)+ROUND(CN95/50,0)</f>
        <v>0</v>
      </c>
      <c r="BW95" s="2581"/>
      <c r="BX95" s="73">
        <v>0</v>
      </c>
      <c r="BY95" s="2581"/>
      <c r="BZ95" s="73">
        <v>0</v>
      </c>
      <c r="CA95" s="2581"/>
      <c r="CB95" s="73">
        <f>V95/1000</f>
        <v>22.983000000000001</v>
      </c>
      <c r="CC95" s="2581"/>
      <c r="CD95" s="73">
        <f>AB95/1000</f>
        <v>0</v>
      </c>
      <c r="CE95" s="2581"/>
      <c r="CF95" s="73">
        <f>((AL95/400)/12)</f>
        <v>0</v>
      </c>
      <c r="CG95" s="2581"/>
      <c r="CH95" s="79">
        <f>IFERROR(VLOOKUP(E95,#REF!,3,FALSE),0)</f>
        <v>0</v>
      </c>
      <c r="CI95" s="2581"/>
      <c r="CJ95" s="73">
        <v>0</v>
      </c>
      <c r="CK95" s="2581"/>
      <c r="CL95" s="73">
        <f>IF(BJ95&gt;0,"Calculate",0)</f>
        <v>0</v>
      </c>
      <c r="CM95" s="2581"/>
      <c r="CN95" s="73">
        <f t="shared" si="19"/>
        <v>22.983000000000001</v>
      </c>
      <c r="CO95" s="73"/>
      <c r="CP95" s="2266">
        <v>30</v>
      </c>
      <c r="CQ95" s="72" t="s">
        <v>758</v>
      </c>
      <c r="CR95" s="81">
        <v>8.5</v>
      </c>
      <c r="CS95" s="81">
        <v>2</v>
      </c>
      <c r="CT95" s="81">
        <v>7.5</v>
      </c>
      <c r="CU95" s="82" t="s">
        <v>706</v>
      </c>
      <c r="CV95" s="2597"/>
      <c r="CW95" s="73">
        <f>(CR95*F95)-CZ95</f>
        <v>58797.9</v>
      </c>
      <c r="CX95" s="2591"/>
      <c r="CY95" s="2599"/>
      <c r="CZ95" s="73">
        <f>1*(F95)-(0.15*1*(F95))</f>
        <v>6533.1</v>
      </c>
      <c r="DA95" s="2593"/>
      <c r="DB95" s="73">
        <f>CZ95-DD95</f>
        <v>6533.1</v>
      </c>
      <c r="DC95" s="2591"/>
      <c r="DD95" s="73">
        <v>0</v>
      </c>
      <c r="DE95" s="2591"/>
      <c r="DF95" s="73">
        <v>0</v>
      </c>
      <c r="DG95" s="2591"/>
      <c r="DH95" s="73">
        <f>CZ95-(DD95+DF95+DJ95+DL95+DN95+DT95+DV95+DX95)</f>
        <v>6533.1</v>
      </c>
      <c r="DI95" s="2591"/>
      <c r="DJ95" s="73">
        <v>0</v>
      </c>
      <c r="DK95" s="2591"/>
      <c r="DL95" s="73">
        <v>0</v>
      </c>
      <c r="DM95" s="2591"/>
      <c r="DN95" s="73">
        <v>0</v>
      </c>
      <c r="DO95" s="2591"/>
      <c r="DP95" s="73">
        <v>0</v>
      </c>
      <c r="DQ95" s="2591"/>
      <c r="DR95" s="73">
        <v>0</v>
      </c>
      <c r="DS95" s="2591"/>
      <c r="DT95" s="73">
        <v>0</v>
      </c>
      <c r="DU95" s="2591"/>
      <c r="DV95" s="73">
        <v>0</v>
      </c>
      <c r="DW95" s="2591"/>
      <c r="DX95" s="75">
        <f t="shared" si="22"/>
        <v>0</v>
      </c>
      <c r="DY95" s="2591"/>
      <c r="DZ95" s="75">
        <v>0</v>
      </c>
      <c r="EA95" s="2591"/>
      <c r="EB95" s="75">
        <v>0</v>
      </c>
      <c r="EC95" s="2591"/>
      <c r="ED95" s="75">
        <v>0</v>
      </c>
      <c r="EE95" s="2591"/>
      <c r="EF95" s="75">
        <v>0</v>
      </c>
      <c r="EG95" s="2591"/>
      <c r="EH95" s="75">
        <v>0</v>
      </c>
      <c r="EI95" s="2591"/>
      <c r="EJ95" s="75"/>
      <c r="EK95" s="2581"/>
      <c r="EL95" s="73">
        <f>ROUND(CW95+CZ95,0)</f>
        <v>65331</v>
      </c>
      <c r="EM95" s="2601"/>
      <c r="EN95" s="74">
        <f>ROUND(CW95/EP$141,0)</f>
        <v>59</v>
      </c>
      <c r="EO95" s="2601"/>
      <c r="EP95" s="102">
        <f t="shared" si="30"/>
        <v>11.8</v>
      </c>
      <c r="EQ95" s="2601"/>
      <c r="ER95" s="102">
        <f t="shared" si="28"/>
        <v>14.75</v>
      </c>
      <c r="ES95" s="2601"/>
      <c r="ET95" s="74">
        <f>FA95+FG95+FQ95</f>
        <v>24.7</v>
      </c>
      <c r="EU95" s="2591"/>
      <c r="EV95" s="74">
        <f>2.87*EN95</f>
        <v>169.33</v>
      </c>
      <c r="EW95" s="2591"/>
      <c r="EX95" s="88">
        <f>ROUND((DH95+DF95+DD95)/1000*3,0)+ROUND((ROUND(DL95/400,0))/2.67,0)+ROUND(DV95/1000,0)+ROUND((DZ95+EB95+ED95+EH95)/1000*3,0)+ROUND(EN95/25,0)+ROUND(ET95/50,0)</f>
        <v>22</v>
      </c>
      <c r="EY95" s="2591"/>
      <c r="EZ95" s="2611"/>
      <c r="FA95" s="2225">
        <f>(0.75*EN95)*0.4</f>
        <v>17.7</v>
      </c>
      <c r="FB95" s="2591"/>
      <c r="FC95" s="2225">
        <v>0</v>
      </c>
      <c r="FD95" s="2591"/>
      <c r="FE95" s="2225">
        <v>0</v>
      </c>
      <c r="FF95" s="2591"/>
      <c r="FG95" s="74">
        <f>ROUND((DH95+DJ95+DD95+DN95+DT95)/1000,0)</f>
        <v>7</v>
      </c>
      <c r="FH95" s="2591"/>
      <c r="FI95" s="74">
        <f>DF95/1000</f>
        <v>0</v>
      </c>
      <c r="FJ95" s="2591"/>
      <c r="FK95" s="74">
        <f>((DL95/400)/12)</f>
        <v>0</v>
      </c>
      <c r="FL95" s="2591"/>
      <c r="FM95" s="74">
        <v>0</v>
      </c>
      <c r="FN95" s="2591"/>
      <c r="FO95" s="74">
        <v>0</v>
      </c>
      <c r="FP95" s="2601"/>
      <c r="FQ95" s="74">
        <f>DX95/1000</f>
        <v>0</v>
      </c>
      <c r="FR95" s="2591"/>
      <c r="FS95" s="2605"/>
      <c r="FT95" s="2607"/>
      <c r="FU95" s="2603"/>
      <c r="FV95" s="2609"/>
      <c r="FW95" s="2609"/>
      <c r="FX95" s="2603"/>
      <c r="FY95" s="2603"/>
      <c r="FZ95" s="2603"/>
      <c r="GA95" s="2603"/>
      <c r="GB95" s="2603"/>
      <c r="GC95" s="2603"/>
      <c r="GD95" s="2603"/>
      <c r="GE95" s="2603"/>
      <c r="GF95" s="2603"/>
      <c r="GG95" s="2603"/>
      <c r="GH95" s="2603"/>
      <c r="GI95" s="2603"/>
      <c r="GJ95" s="2603"/>
      <c r="GK95" s="2603"/>
      <c r="GL95" s="2609"/>
      <c r="GM95" s="2609"/>
      <c r="GN95" s="2609"/>
      <c r="GO95" s="2583"/>
      <c r="GP95" s="89">
        <f>EP95-BR95</f>
        <v>11.8</v>
      </c>
      <c r="GQ95" s="2583"/>
      <c r="GR95" s="89">
        <f>EV95-BT95</f>
        <v>169.33</v>
      </c>
      <c r="GS95" s="2678"/>
      <c r="GT95" s="89">
        <f>EX95-BV95</f>
        <v>22</v>
      </c>
      <c r="GU95" s="89">
        <f>FA95-BX95</f>
        <v>17.7</v>
      </c>
      <c r="GV95" s="89">
        <f>FI95-CD95</f>
        <v>0</v>
      </c>
      <c r="GW95" s="89">
        <v>0</v>
      </c>
      <c r="GX95" s="89">
        <f>FG95-CB95</f>
        <v>-15.983000000000001</v>
      </c>
      <c r="GY95" s="89">
        <f>FK95-CF95</f>
        <v>0</v>
      </c>
      <c r="GZ95" s="89">
        <f>FM95-CH95</f>
        <v>0</v>
      </c>
      <c r="HA95" s="89">
        <f>FO95-CJ95</f>
        <v>0</v>
      </c>
      <c r="HB95" s="89">
        <f>FQ95-CL95</f>
        <v>0</v>
      </c>
      <c r="HC95" s="2617"/>
      <c r="HD95" s="95"/>
      <c r="HE95" s="95"/>
      <c r="HF95" s="95"/>
      <c r="HG95" s="95"/>
      <c r="HH95" s="95"/>
    </row>
    <row r="96" spans="1:217" s="95" customFormat="1" ht="18.75">
      <c r="A96" s="2263"/>
      <c r="B96" s="131"/>
      <c r="C96" s="132"/>
      <c r="D96" s="132"/>
      <c r="E96" s="132"/>
      <c r="F96" s="134"/>
      <c r="G96" s="135"/>
      <c r="H96" s="136"/>
      <c r="I96" s="132"/>
      <c r="J96" s="132"/>
      <c r="K96" s="132"/>
      <c r="L96" s="132"/>
      <c r="M96" s="134"/>
      <c r="N96" s="134"/>
      <c r="O96" s="134"/>
      <c r="P96" s="134"/>
      <c r="Q96" s="137"/>
      <c r="S96" s="101"/>
      <c r="T96" s="134"/>
      <c r="U96" s="314"/>
      <c r="V96" s="102"/>
      <c r="W96" s="2244"/>
      <c r="X96" s="83"/>
      <c r="Y96" s="2244"/>
      <c r="Z96" s="97"/>
      <c r="AA96" s="2244"/>
      <c r="AB96" s="97"/>
      <c r="AC96" s="2244"/>
      <c r="AD96" s="76"/>
      <c r="AE96" s="215"/>
      <c r="AF96" s="103"/>
      <c r="AG96" s="103"/>
      <c r="AH96" s="103"/>
      <c r="AI96" s="103"/>
      <c r="AJ96" s="103"/>
      <c r="AK96" s="2251"/>
      <c r="AL96" s="103"/>
      <c r="AM96" s="2251"/>
      <c r="AN96" s="103"/>
      <c r="AO96" s="2224"/>
      <c r="AP96" s="103"/>
      <c r="AQ96" s="2251"/>
      <c r="AR96" s="103"/>
      <c r="AS96" s="2251"/>
      <c r="AT96" s="103"/>
      <c r="AU96" s="2251"/>
      <c r="AV96" s="103"/>
      <c r="AW96" s="2251"/>
      <c r="AX96" s="103"/>
      <c r="AY96" s="2251"/>
      <c r="AZ96" s="75">
        <f t="shared" si="18"/>
        <v>0</v>
      </c>
      <c r="BA96" s="2224"/>
      <c r="BB96" s="97"/>
      <c r="BC96" s="2224"/>
      <c r="BD96" s="97"/>
      <c r="BE96" s="2224"/>
      <c r="BF96" s="97"/>
      <c r="BG96" s="2224"/>
      <c r="BH96" s="97"/>
      <c r="BI96" s="2224"/>
      <c r="BJ96" s="97"/>
      <c r="BK96" s="2224"/>
      <c r="BL96" s="97"/>
      <c r="BM96" s="2251"/>
      <c r="BN96" s="97"/>
      <c r="BO96" s="2251"/>
      <c r="BP96" s="97"/>
      <c r="BQ96" s="2251"/>
      <c r="BR96" s="97"/>
      <c r="BS96" s="2251"/>
      <c r="BT96" s="104"/>
      <c r="BU96" s="2251"/>
      <c r="BV96" s="138"/>
      <c r="BW96" s="2251"/>
      <c r="BX96" s="97"/>
      <c r="BY96" s="2251"/>
      <c r="BZ96" s="97"/>
      <c r="CA96" s="2251"/>
      <c r="CB96" s="97"/>
      <c r="CC96" s="2251"/>
      <c r="CD96" s="97"/>
      <c r="CE96" s="2251"/>
      <c r="CF96" s="97"/>
      <c r="CG96" s="2251"/>
      <c r="CH96" s="105"/>
      <c r="CI96" s="2251"/>
      <c r="CJ96" s="97"/>
      <c r="CK96" s="2251"/>
      <c r="CL96" s="97"/>
      <c r="CM96" s="2251"/>
      <c r="CN96" s="73">
        <f t="shared" si="19"/>
        <v>0</v>
      </c>
      <c r="CO96" s="97"/>
      <c r="CP96" s="106"/>
      <c r="CR96" s="139"/>
      <c r="CS96" s="139"/>
      <c r="CT96" s="139"/>
      <c r="CU96" s="108"/>
      <c r="CV96" s="109"/>
      <c r="CW96" s="97"/>
      <c r="CX96" s="2244"/>
      <c r="CY96" s="2261"/>
      <c r="CZ96" s="97"/>
      <c r="DA96" s="2253"/>
      <c r="DB96" s="97"/>
      <c r="DC96" s="2244"/>
      <c r="DD96" s="97"/>
      <c r="DE96" s="2244"/>
      <c r="DF96" s="97"/>
      <c r="DG96" s="2244"/>
      <c r="DH96" s="97"/>
      <c r="DI96" s="2244"/>
      <c r="DJ96" s="97"/>
      <c r="DK96" s="2244"/>
      <c r="DL96" s="97"/>
      <c r="DM96" s="2244"/>
      <c r="DN96" s="97"/>
      <c r="DO96" s="2244"/>
      <c r="DP96" s="97"/>
      <c r="DQ96" s="2244"/>
      <c r="DR96" s="97"/>
      <c r="DS96" s="2244"/>
      <c r="DT96" s="97"/>
      <c r="DU96" s="2244"/>
      <c r="DV96" s="97"/>
      <c r="DW96" s="2244"/>
      <c r="DX96" s="75"/>
      <c r="DY96" s="2244"/>
      <c r="DZ96" s="103"/>
      <c r="EA96" s="2244"/>
      <c r="EB96" s="103"/>
      <c r="EC96" s="2244"/>
      <c r="ED96" s="103"/>
      <c r="EE96" s="2244"/>
      <c r="EF96" s="103"/>
      <c r="EG96" s="2244"/>
      <c r="EH96" s="103"/>
      <c r="EI96" s="2244"/>
      <c r="EJ96" s="103"/>
      <c r="EK96" s="2251"/>
      <c r="EL96" s="97"/>
      <c r="EM96" s="2246"/>
      <c r="EN96" s="102"/>
      <c r="EO96" s="2246"/>
      <c r="EP96" s="111"/>
      <c r="EQ96" s="192"/>
      <c r="ER96" s="111"/>
      <c r="ES96" s="192"/>
      <c r="ET96" s="74"/>
      <c r="EU96" s="2244"/>
      <c r="EV96" s="111"/>
      <c r="EW96" s="2244"/>
      <c r="EX96" s="88"/>
      <c r="EY96" s="2244"/>
      <c r="EZ96" s="2248"/>
      <c r="FA96" s="2224"/>
      <c r="FB96" s="2244"/>
      <c r="FC96" s="2224"/>
      <c r="FD96" s="2244"/>
      <c r="FE96" s="2224"/>
      <c r="FF96" s="2244"/>
      <c r="FG96" s="102"/>
      <c r="FH96" s="2244"/>
      <c r="FI96" s="102"/>
      <c r="FJ96" s="2244"/>
      <c r="FK96" s="102"/>
      <c r="FL96" s="2244"/>
      <c r="FM96" s="102"/>
      <c r="FN96" s="2244"/>
      <c r="FO96" s="102"/>
      <c r="FP96" s="192"/>
      <c r="FQ96" s="102"/>
      <c r="FR96" s="2244"/>
      <c r="FS96" s="2244"/>
      <c r="FT96" s="2240"/>
      <c r="FU96" s="2233"/>
      <c r="FV96" s="2235"/>
      <c r="FW96" s="2235"/>
      <c r="FX96" s="2233"/>
      <c r="FY96" s="2233"/>
      <c r="FZ96" s="2233"/>
      <c r="GA96" s="2232"/>
      <c r="GB96" s="2233"/>
      <c r="GC96" s="2233"/>
      <c r="GD96" s="2233"/>
      <c r="GE96" s="2232"/>
      <c r="GF96" s="2233"/>
      <c r="GG96" s="2232"/>
      <c r="GH96" s="2232"/>
      <c r="GI96" s="2232"/>
      <c r="GJ96" s="2232"/>
      <c r="GK96" s="2232"/>
      <c r="GL96" s="2235"/>
      <c r="GM96" s="2235"/>
      <c r="GN96" s="2235"/>
      <c r="GO96" s="2224"/>
      <c r="GP96" s="89"/>
      <c r="GQ96" s="2224"/>
      <c r="GR96" s="112"/>
      <c r="GS96" s="2227"/>
      <c r="GT96" s="113"/>
      <c r="GU96" s="114"/>
      <c r="GV96" s="113"/>
      <c r="GW96" s="113"/>
      <c r="GX96" s="113"/>
      <c r="GY96" s="113"/>
      <c r="GZ96" s="112"/>
      <c r="HA96" s="113"/>
      <c r="HB96" s="113"/>
      <c r="HC96" s="2230"/>
    </row>
    <row r="97" spans="1:216" s="90" customFormat="1" ht="15" customHeight="1">
      <c r="A97" s="2588">
        <v>33</v>
      </c>
      <c r="B97" s="3687" t="s">
        <v>703</v>
      </c>
      <c r="C97" s="115">
        <v>2871</v>
      </c>
      <c r="D97" s="115">
        <v>112</v>
      </c>
      <c r="E97" s="116">
        <v>2028710112</v>
      </c>
      <c r="F97" s="117">
        <v>5005</v>
      </c>
      <c r="G97" s="118" t="s">
        <v>756</v>
      </c>
      <c r="H97" s="119"/>
      <c r="I97" s="115">
        <v>1</v>
      </c>
      <c r="J97" s="115">
        <v>0</v>
      </c>
      <c r="K97" s="115">
        <v>2</v>
      </c>
      <c r="L97" s="115">
        <v>4.8</v>
      </c>
      <c r="M97" s="117">
        <v>5000</v>
      </c>
      <c r="N97" s="117">
        <v>5000</v>
      </c>
      <c r="O97" s="117">
        <v>0</v>
      </c>
      <c r="P97" s="117">
        <v>5000</v>
      </c>
      <c r="Q97" s="120">
        <v>0</v>
      </c>
      <c r="R97" s="90" t="s">
        <v>711</v>
      </c>
      <c r="S97" s="2590">
        <f>SUM(T97:T98)</f>
        <v>0</v>
      </c>
      <c r="T97" s="121">
        <v>0</v>
      </c>
      <c r="U97" s="2590">
        <f>SUM(V97:V98)</f>
        <v>9814</v>
      </c>
      <c r="V97" s="122">
        <f>M97</f>
        <v>5000</v>
      </c>
      <c r="W97" s="2590">
        <f>SUM(X97:X98)</f>
        <v>9814</v>
      </c>
      <c r="X97" s="121">
        <f>V97-Z97</f>
        <v>5000</v>
      </c>
      <c r="Y97" s="2590">
        <f>SUM(Z97:Z98)</f>
        <v>0</v>
      </c>
      <c r="Z97" s="121">
        <v>0</v>
      </c>
      <c r="AA97" s="2590">
        <f>SUM(AB97:AB98)</f>
        <v>0</v>
      </c>
      <c r="AB97" s="121">
        <v>0</v>
      </c>
      <c r="AC97" s="2590">
        <f>SUM(AD97:AD98)</f>
        <v>1203</v>
      </c>
      <c r="AD97" s="123">
        <f>V97-(Z97+AB97+AF97+AL97+AN97+AP97+AZ97)</f>
        <v>0</v>
      </c>
      <c r="AE97" s="2580">
        <f>SUM(AF97:AF98)</f>
        <v>5000</v>
      </c>
      <c r="AF97" s="123">
        <f>SUM(AG97:AI97)</f>
        <v>5000</v>
      </c>
      <c r="AG97" s="123">
        <v>0</v>
      </c>
      <c r="AH97" s="2580">
        <f>SUM(AG97:AG98)</f>
        <v>0</v>
      </c>
      <c r="AI97" s="123">
        <v>5000</v>
      </c>
      <c r="AJ97" s="2580">
        <f>SUM(AI97:AI98)</f>
        <v>5000</v>
      </c>
      <c r="AK97" s="2580">
        <f>SUM(AL97:AL98)</f>
        <v>0</v>
      </c>
      <c r="AL97" s="123">
        <v>0</v>
      </c>
      <c r="AM97" s="2580">
        <f>SUM(AN97:AN98)</f>
        <v>0</v>
      </c>
      <c r="AN97" s="123">
        <v>0</v>
      </c>
      <c r="AO97" s="2582">
        <f>SUM(AP97:AP98)</f>
        <v>0</v>
      </c>
      <c r="AP97" s="123">
        <v>0</v>
      </c>
      <c r="AQ97" s="2580">
        <f>SUM(AR97:AR98)</f>
        <v>0</v>
      </c>
      <c r="AR97" s="123">
        <v>0</v>
      </c>
      <c r="AS97" s="2580">
        <f>SUM(AT97:AT98)</f>
        <v>3611</v>
      </c>
      <c r="AT97" s="123">
        <v>0</v>
      </c>
      <c r="AU97" s="2580">
        <f>SUM(AV97:AV98)</f>
        <v>0</v>
      </c>
      <c r="AV97" s="123">
        <v>0</v>
      </c>
      <c r="AW97" s="2580">
        <f>SUM(AX97:AX98)</f>
        <v>0</v>
      </c>
      <c r="AX97" s="123">
        <v>0</v>
      </c>
      <c r="AY97" s="2580">
        <f>SUM(AZ97:AZ98)</f>
        <v>0</v>
      </c>
      <c r="AZ97" s="103">
        <f t="shared" si="18"/>
        <v>0</v>
      </c>
      <c r="BA97" s="2582">
        <f>SUM(BB97:BB98)</f>
        <v>0</v>
      </c>
      <c r="BB97" s="121">
        <v>0</v>
      </c>
      <c r="BC97" s="2582">
        <f>SUM(BD97:BD98)</f>
        <v>0</v>
      </c>
      <c r="BD97" s="121">
        <v>0</v>
      </c>
      <c r="BE97" s="2582">
        <f>SUM(BF97:BF98)</f>
        <v>0</v>
      </c>
      <c r="BF97" s="121">
        <v>0</v>
      </c>
      <c r="BG97" s="2582">
        <f>SUM(BH97:BH98)</f>
        <v>0</v>
      </c>
      <c r="BH97" s="121">
        <v>0</v>
      </c>
      <c r="BI97" s="2582">
        <f>SUM(BJ97:BJ98)</f>
        <v>0</v>
      </c>
      <c r="BJ97" s="121">
        <v>0</v>
      </c>
      <c r="BK97" s="2582">
        <f>SUM(BL97:BL98)</f>
        <v>0</v>
      </c>
      <c r="BL97" s="121">
        <v>0</v>
      </c>
      <c r="BM97" s="2580">
        <f>SUM(BN97:BN98)</f>
        <v>9814</v>
      </c>
      <c r="BN97" s="121">
        <f>ROUND(T97+V97,0)</f>
        <v>5000</v>
      </c>
      <c r="BO97" s="2580">
        <f>SUM(BP97:BP98)</f>
        <v>0</v>
      </c>
      <c r="BP97" s="121">
        <f>ROUND(T97/EP$141,0)</f>
        <v>0</v>
      </c>
      <c r="BQ97" s="2580">
        <f>SUM(BR97:BR98)</f>
        <v>0</v>
      </c>
      <c r="BR97" s="121">
        <f>BR$142*BP97</f>
        <v>0</v>
      </c>
      <c r="BS97" s="2580">
        <f>SUM(BT97:BT98)</f>
        <v>0</v>
      </c>
      <c r="BT97" s="124">
        <f t="shared" si="16"/>
        <v>0</v>
      </c>
      <c r="BU97" s="2580">
        <f>SUM(BV97:BV98)</f>
        <v>9</v>
      </c>
      <c r="BV97" s="125">
        <f>ROUND((AD97+AB97+Z97)/1000*3,0)+ROUND((AF97+AX97)/1000,0)+ROUND((ROUND(AL97/400,0))/2.67,0)+ROUND(AN97/250,0)+ROUND(AR97/15000,0)+ROUND((BB97+BD97+BF97+BJ97)/1000*3,0)+ROUND(BP97/25,0)+ROUND(CN97/50,0)</f>
        <v>5</v>
      </c>
      <c r="BW97" s="2580">
        <f>SUM(BX97:BX98)</f>
        <v>0</v>
      </c>
      <c r="BX97" s="121">
        <v>0</v>
      </c>
      <c r="BY97" s="2580">
        <f>SUM(BZ97:BZ98)</f>
        <v>0</v>
      </c>
      <c r="BZ97" s="121">
        <v>0</v>
      </c>
      <c r="CA97" s="2580">
        <f>SUM(CB97:CB98)</f>
        <v>9.8140000000000001</v>
      </c>
      <c r="CB97" s="121">
        <f>V97/1000</f>
        <v>5</v>
      </c>
      <c r="CC97" s="2580">
        <f>SUM(CD97:CD98)</f>
        <v>0</v>
      </c>
      <c r="CD97" s="121">
        <f>AB97/1000</f>
        <v>0</v>
      </c>
      <c r="CE97" s="2580">
        <f>SUM(CF97:CF98)</f>
        <v>0</v>
      </c>
      <c r="CF97" s="121">
        <f>((AL97/400)/12)</f>
        <v>0</v>
      </c>
      <c r="CG97" s="2580">
        <f>SUM(CH97:CH98)</f>
        <v>0</v>
      </c>
      <c r="CH97" s="126">
        <f>IFERROR(VLOOKUP(E97,#REF!,3,FALSE),0)</f>
        <v>0</v>
      </c>
      <c r="CI97" s="2580">
        <f>SUM(CJ97:CJ98)</f>
        <v>0</v>
      </c>
      <c r="CJ97" s="121">
        <v>0</v>
      </c>
      <c r="CK97" s="2580">
        <f>SUM(CL97:CL98)</f>
        <v>0</v>
      </c>
      <c r="CL97" s="121">
        <f>IF(BJ97&gt;0,"Calculate",0)</f>
        <v>0</v>
      </c>
      <c r="CM97" s="2580">
        <f>SUM(CN97:CN98)</f>
        <v>9.8140000000000001</v>
      </c>
      <c r="CN97" s="97">
        <f t="shared" si="19"/>
        <v>5</v>
      </c>
      <c r="CO97" s="121"/>
      <c r="CP97" s="2594">
        <v>10</v>
      </c>
      <c r="CQ97" s="127" t="s">
        <v>758</v>
      </c>
      <c r="CR97" s="127">
        <v>8.5</v>
      </c>
      <c r="CS97" s="127">
        <v>0</v>
      </c>
      <c r="CT97" s="127">
        <v>7.5</v>
      </c>
      <c r="CU97" s="128"/>
      <c r="CV97" s="2596" t="s">
        <v>759</v>
      </c>
      <c r="CW97" s="121">
        <f>(CR97*(F97))-F97</f>
        <v>37537.5</v>
      </c>
      <c r="CX97" s="2590">
        <f>SUM(CW97:CW98)</f>
        <v>81742.5</v>
      </c>
      <c r="CY97" s="2598">
        <f>SUM(CZ97:CZ98)</f>
        <v>0</v>
      </c>
      <c r="CZ97" s="121">
        <v>0</v>
      </c>
      <c r="DA97" s="2592">
        <f>SUM(DB97:DB98)</f>
        <v>0</v>
      </c>
      <c r="DB97" s="121">
        <f>CZ97-DD97</f>
        <v>0</v>
      </c>
      <c r="DC97" s="2590">
        <f>SUM(DD97:DD98)</f>
        <v>0</v>
      </c>
      <c r="DD97" s="121">
        <v>0</v>
      </c>
      <c r="DE97" s="2590">
        <f>SUM(DF97:DF98)</f>
        <v>0</v>
      </c>
      <c r="DF97" s="121">
        <v>0</v>
      </c>
      <c r="DG97" s="2590">
        <f>SUM(DH97:DH98)</f>
        <v>0</v>
      </c>
      <c r="DH97" s="121">
        <f>CZ97-(DD97+DF97+DJ97+DL97+DN97+DT97+DV97+DX97)</f>
        <v>0</v>
      </c>
      <c r="DI97" s="2590">
        <f>SUM(DJ97:DJ98)</f>
        <v>0</v>
      </c>
      <c r="DJ97" s="121">
        <v>0</v>
      </c>
      <c r="DK97" s="2590">
        <f>SUM(DL97:DL98)</f>
        <v>0</v>
      </c>
      <c r="DL97" s="121">
        <v>0</v>
      </c>
      <c r="DM97" s="2590">
        <f>SUM(DN97:DN98)</f>
        <v>0</v>
      </c>
      <c r="DN97" s="121">
        <v>0</v>
      </c>
      <c r="DO97" s="2590">
        <f>SUM(DP97:DP98)</f>
        <v>0</v>
      </c>
      <c r="DP97" s="121">
        <v>0</v>
      </c>
      <c r="DQ97" s="2590">
        <f>SUM(DR97:DR98)</f>
        <v>0</v>
      </c>
      <c r="DR97" s="121">
        <v>0</v>
      </c>
      <c r="DS97" s="2590">
        <f>SUM(DT97:DT98)</f>
        <v>0</v>
      </c>
      <c r="DT97" s="121">
        <v>0</v>
      </c>
      <c r="DU97" s="2590">
        <f>SUM(DV97:DV98)</f>
        <v>0</v>
      </c>
      <c r="DV97" s="121">
        <v>0</v>
      </c>
      <c r="DW97" s="2590">
        <f>SUM(DX97:DX98)</f>
        <v>0</v>
      </c>
      <c r="DX97" s="103">
        <f t="shared" si="22"/>
        <v>0</v>
      </c>
      <c r="DY97" s="2590">
        <f>SUM(DZ97:DZ98)</f>
        <v>0</v>
      </c>
      <c r="DZ97" s="123">
        <v>0</v>
      </c>
      <c r="EA97" s="2590">
        <f>SUM(EB97:EB98)</f>
        <v>0</v>
      </c>
      <c r="EB97" s="123">
        <v>0</v>
      </c>
      <c r="EC97" s="2590">
        <f>SUM(ED97:ED98)</f>
        <v>0</v>
      </c>
      <c r="ED97" s="123">
        <v>0</v>
      </c>
      <c r="EE97" s="2590">
        <f>SUM(EF97:EF98)</f>
        <v>0</v>
      </c>
      <c r="EF97" s="123">
        <v>0</v>
      </c>
      <c r="EG97" s="2590">
        <f>SUM(EH97:EH98)</f>
        <v>0</v>
      </c>
      <c r="EH97" s="123">
        <v>0</v>
      </c>
      <c r="EI97" s="2590">
        <f>SUM(EJ97:EJ98)</f>
        <v>0</v>
      </c>
      <c r="EJ97" s="123"/>
      <c r="EK97" s="2580">
        <f>SUM(EL97:EL98)</f>
        <v>81743</v>
      </c>
      <c r="EL97" s="121">
        <f>ROUND(CW97+CZ97,0)</f>
        <v>37538</v>
      </c>
      <c r="EM97" s="2600">
        <f>SUM(EN97:EN98)</f>
        <v>82</v>
      </c>
      <c r="EN97" s="122">
        <f>ROUND(CW97/EP$141,0)</f>
        <v>38</v>
      </c>
      <c r="EO97" s="2600">
        <f>SUM(EP97:EP98)</f>
        <v>41</v>
      </c>
      <c r="EP97" s="122">
        <f>0.5*EN97</f>
        <v>19</v>
      </c>
      <c r="EQ97" s="2600">
        <f>SUM(ER97:ER98)</f>
        <v>41</v>
      </c>
      <c r="ER97" s="122">
        <f>EP97</f>
        <v>19</v>
      </c>
      <c r="ES97" s="2600">
        <f>SUM(ET97:ET98)</f>
        <v>0</v>
      </c>
      <c r="ET97" s="102">
        <f>FA97+FG97+FQ97</f>
        <v>0</v>
      </c>
      <c r="EU97" s="2590">
        <f>SUM(EV97:EV98)</f>
        <v>235.34</v>
      </c>
      <c r="EV97" s="122">
        <f>2.87*EN97</f>
        <v>109.06</v>
      </c>
      <c r="EW97" s="2590">
        <f>SUM(EX97:EX98)</f>
        <v>4</v>
      </c>
      <c r="EX97" s="186">
        <f>ROUND((DH97+DF97+DD97)/1000*3,0)+ROUND((ROUND(DL97/400,0))/2.67,0)+ROUND(DV97/1000,0)+ROUND((DZ97+EB97+ED97+EH97)/1000*3,0)+ROUND(EN97/25,0)+ROUND(ET97/50,0)</f>
        <v>2</v>
      </c>
      <c r="EY97" s="2590">
        <f>SUM(EZ97:EZ98)</f>
        <v>0</v>
      </c>
      <c r="EZ97" s="2610" t="s">
        <v>713</v>
      </c>
      <c r="FA97" s="2223">
        <v>0</v>
      </c>
      <c r="FB97" s="2590">
        <f>SUM(FC97:FC98)</f>
        <v>0</v>
      </c>
      <c r="FC97" s="2223">
        <v>0</v>
      </c>
      <c r="FD97" s="2590">
        <f>SUM(FE97:FE98)</f>
        <v>0</v>
      </c>
      <c r="FE97" s="2223">
        <v>0</v>
      </c>
      <c r="FF97" s="2590">
        <f>SUM(FG97:FG98)</f>
        <v>0</v>
      </c>
      <c r="FG97" s="122">
        <f>ROUND((DH97+DJ97+DD97+DN97+DT97)/1000,0)</f>
        <v>0</v>
      </c>
      <c r="FH97" s="2590">
        <f>SUM(FI97:FI98)</f>
        <v>0</v>
      </c>
      <c r="FI97" s="122">
        <f>DF97/1000</f>
        <v>0</v>
      </c>
      <c r="FJ97" s="2590">
        <f>SUM(FK97:FK98)</f>
        <v>0</v>
      </c>
      <c r="FK97" s="122">
        <f>((DL97/400)/12)</f>
        <v>0</v>
      </c>
      <c r="FL97" s="2590">
        <f>SUM(FM97:FM98)</f>
        <v>0</v>
      </c>
      <c r="FM97" s="122">
        <v>0</v>
      </c>
      <c r="FN97" s="2590">
        <f>SUM(FO97:FO98)</f>
        <v>0</v>
      </c>
      <c r="FO97" s="122">
        <v>0</v>
      </c>
      <c r="FP97" s="2600">
        <f>SUM(FQ97:FQ98)</f>
        <v>0</v>
      </c>
      <c r="FQ97" s="122">
        <f>DX97/1000</f>
        <v>0</v>
      </c>
      <c r="FR97" s="2590">
        <f>SUM(FS97:FS98)</f>
        <v>175</v>
      </c>
      <c r="FS97" s="2604">
        <v>175</v>
      </c>
      <c r="FT97" s="2606">
        <f>CX97-S97</f>
        <v>81742.5</v>
      </c>
      <c r="FU97" s="2602">
        <f>CY97-U97</f>
        <v>-9814</v>
      </c>
      <c r="FV97" s="2608">
        <f>(DC97+DE97+DG97)-(Y97+AA97+AC97+AE97)</f>
        <v>-6203</v>
      </c>
      <c r="FW97" s="2608">
        <f>DG97-AC97</f>
        <v>-1203</v>
      </c>
      <c r="FX97" s="2602">
        <f>DE97-AA97</f>
        <v>0</v>
      </c>
      <c r="FY97" s="2602">
        <f>DC97-Y97</f>
        <v>0</v>
      </c>
      <c r="FZ97" s="2602">
        <f>DJ97-AE97</f>
        <v>-5000</v>
      </c>
      <c r="GA97" s="2602">
        <f>DL97-AL97</f>
        <v>0</v>
      </c>
      <c r="GB97" s="2602">
        <f>DM97-AM97</f>
        <v>0</v>
      </c>
      <c r="GC97" s="2602">
        <f>DP97-AQ97</f>
        <v>0</v>
      </c>
      <c r="GD97" s="2602">
        <f>DR97-AS97</f>
        <v>-3611</v>
      </c>
      <c r="GE97" s="2602">
        <f>DT97-AV97</f>
        <v>0</v>
      </c>
      <c r="GF97" s="2602">
        <f>DV97-AW97</f>
        <v>0</v>
      </c>
      <c r="GG97" s="2602">
        <f>DZ97-BB97</f>
        <v>0</v>
      </c>
      <c r="GH97" s="2602">
        <f>EB97-BD97</f>
        <v>0</v>
      </c>
      <c r="GI97" s="2602">
        <f>ED97-BF97</f>
        <v>0</v>
      </c>
      <c r="GJ97" s="2602">
        <f>EF97-BH97</f>
        <v>0</v>
      </c>
      <c r="GK97" s="2602">
        <f>EH97-BJ97</f>
        <v>0</v>
      </c>
      <c r="GL97" s="2608">
        <f>DW97-AY97</f>
        <v>0</v>
      </c>
      <c r="GM97" s="2608">
        <f>EK97-BM97</f>
        <v>71929</v>
      </c>
      <c r="GN97" s="2608">
        <f>EM97-BO97</f>
        <v>82</v>
      </c>
      <c r="GO97" s="2582">
        <f>SUM(GP97:GP98)</f>
        <v>41</v>
      </c>
      <c r="GP97" s="114">
        <f>EP97-BR97</f>
        <v>19</v>
      </c>
      <c r="GQ97" s="2582">
        <f>SUM(GR97:GR98)</f>
        <v>235.34</v>
      </c>
      <c r="GR97" s="114">
        <f>EV97-BT97</f>
        <v>109.06</v>
      </c>
      <c r="GS97" s="2676">
        <f>SUM(GT97:GT98)</f>
        <v>-5</v>
      </c>
      <c r="GT97" s="114">
        <f>EX97-BV97</f>
        <v>-3</v>
      </c>
      <c r="GU97" s="114">
        <f>FA97-BX97</f>
        <v>0</v>
      </c>
      <c r="GV97" s="114">
        <f>FI97-CD97</f>
        <v>0</v>
      </c>
      <c r="GW97" s="114">
        <v>0</v>
      </c>
      <c r="GX97" s="114">
        <f>FG97-CB97</f>
        <v>-5</v>
      </c>
      <c r="GY97" s="114">
        <f>FK97-CF97</f>
        <v>0</v>
      </c>
      <c r="GZ97" s="114">
        <f>FM97-CH97</f>
        <v>0</v>
      </c>
      <c r="HA97" s="114">
        <f>FO97-CJ97</f>
        <v>0</v>
      </c>
      <c r="HB97" s="114">
        <f>FQ97-CL97</f>
        <v>0</v>
      </c>
      <c r="HC97" s="2616">
        <f>ES97-CM97</f>
        <v>-9.8140000000000001</v>
      </c>
      <c r="HD97" s="95"/>
      <c r="HE97" s="95"/>
      <c r="HF97" s="95"/>
      <c r="HG97" s="95"/>
      <c r="HH97" s="95"/>
    </row>
    <row r="98" spans="1:216" s="72" customFormat="1" ht="15" customHeight="1">
      <c r="A98" s="2589"/>
      <c r="B98" s="130" t="s">
        <v>710</v>
      </c>
      <c r="C98" s="66">
        <v>2871</v>
      </c>
      <c r="D98" s="66">
        <v>110</v>
      </c>
      <c r="E98" s="67">
        <v>2028710110</v>
      </c>
      <c r="F98" s="68">
        <v>5894</v>
      </c>
      <c r="G98" s="69" t="s">
        <v>756</v>
      </c>
      <c r="H98" s="70"/>
      <c r="I98" s="66">
        <v>0.82</v>
      </c>
      <c r="J98" s="66">
        <v>0</v>
      </c>
      <c r="K98" s="66">
        <v>2</v>
      </c>
      <c r="L98" s="66">
        <v>4.8</v>
      </c>
      <c r="M98" s="68">
        <v>4814</v>
      </c>
      <c r="N98" s="68">
        <f>AI98</f>
        <v>0</v>
      </c>
      <c r="O98" s="68">
        <v>0</v>
      </c>
      <c r="P98" s="68">
        <v>4814</v>
      </c>
      <c r="Q98" s="71">
        <v>0</v>
      </c>
      <c r="R98" s="72" t="s">
        <v>711</v>
      </c>
      <c r="S98" s="2591"/>
      <c r="T98" s="73">
        <v>0</v>
      </c>
      <c r="U98" s="2591"/>
      <c r="V98" s="74">
        <f>M98</f>
        <v>4814</v>
      </c>
      <c r="W98" s="2591"/>
      <c r="X98" s="73">
        <f>V98-Z98</f>
        <v>4814</v>
      </c>
      <c r="Y98" s="2591"/>
      <c r="Z98" s="73">
        <v>0</v>
      </c>
      <c r="AA98" s="2591"/>
      <c r="AB98" s="73">
        <v>0</v>
      </c>
      <c r="AC98" s="2591"/>
      <c r="AD98" s="75">
        <v>1203</v>
      </c>
      <c r="AE98" s="2658"/>
      <c r="AF98" s="103">
        <v>0</v>
      </c>
      <c r="AG98" s="75">
        <v>0</v>
      </c>
      <c r="AH98" s="2581"/>
      <c r="AI98" s="75">
        <v>0</v>
      </c>
      <c r="AJ98" s="2581"/>
      <c r="AK98" s="2581"/>
      <c r="AL98" s="75">
        <v>0</v>
      </c>
      <c r="AM98" s="2581"/>
      <c r="AN98" s="75">
        <v>0</v>
      </c>
      <c r="AO98" s="2583"/>
      <c r="AP98" s="75">
        <v>0</v>
      </c>
      <c r="AQ98" s="2581"/>
      <c r="AR98" s="75">
        <v>0</v>
      </c>
      <c r="AS98" s="2581"/>
      <c r="AT98" s="301">
        <v>3611</v>
      </c>
      <c r="AU98" s="2581"/>
      <c r="AV98" s="75">
        <v>0</v>
      </c>
      <c r="AW98" s="2581"/>
      <c r="AX98" s="75">
        <v>0</v>
      </c>
      <c r="AY98" s="2581"/>
      <c r="AZ98" s="75">
        <f t="shared" si="18"/>
        <v>0</v>
      </c>
      <c r="BA98" s="2583"/>
      <c r="BB98" s="73">
        <v>0</v>
      </c>
      <c r="BC98" s="2583"/>
      <c r="BD98" s="73">
        <v>0</v>
      </c>
      <c r="BE98" s="2583"/>
      <c r="BF98" s="73">
        <v>0</v>
      </c>
      <c r="BG98" s="2583"/>
      <c r="BH98" s="73">
        <v>0</v>
      </c>
      <c r="BI98" s="2583"/>
      <c r="BJ98" s="73">
        <v>0</v>
      </c>
      <c r="BK98" s="2583"/>
      <c r="BL98" s="73">
        <v>0</v>
      </c>
      <c r="BM98" s="2581"/>
      <c r="BN98" s="73">
        <f>ROUND(T98+V98,0)</f>
        <v>4814</v>
      </c>
      <c r="BO98" s="2581"/>
      <c r="BP98" s="73">
        <f>ROUND(T98/EP$141,0)</f>
        <v>0</v>
      </c>
      <c r="BQ98" s="2581"/>
      <c r="BR98" s="73">
        <f>BR$142*BP98</f>
        <v>0</v>
      </c>
      <c r="BS98" s="2581"/>
      <c r="BT98" s="77">
        <f t="shared" si="16"/>
        <v>0</v>
      </c>
      <c r="BU98" s="2581"/>
      <c r="BV98" s="78">
        <f>ROUND((AD98+AB98+Z98)/1000*3,0)+ROUND((AF98+AX98)/1000,0)+ROUND((ROUND(AL98/400,0))/2.67,0)+ROUND(AN98/250,0)+ROUND(AR98/15000,0)+ROUND((BB98+BD98+BF98+BJ98)/1000*3,0)+ROUND(BP98/25,0)+ROUND(CN98/50,0)</f>
        <v>4</v>
      </c>
      <c r="BW98" s="2581"/>
      <c r="BX98" s="73">
        <v>0</v>
      </c>
      <c r="BY98" s="2581"/>
      <c r="BZ98" s="73">
        <v>0</v>
      </c>
      <c r="CA98" s="2581"/>
      <c r="CB98" s="73">
        <f>V98/1000</f>
        <v>4.8140000000000001</v>
      </c>
      <c r="CC98" s="2581"/>
      <c r="CD98" s="73">
        <f>AB98/1000</f>
        <v>0</v>
      </c>
      <c r="CE98" s="2581"/>
      <c r="CF98" s="73">
        <f>((AL98/400)/12)</f>
        <v>0</v>
      </c>
      <c r="CG98" s="2581"/>
      <c r="CH98" s="79">
        <f>IFERROR(VLOOKUP(E98,#REF!,3,FALSE),0)</f>
        <v>0</v>
      </c>
      <c r="CI98" s="2581"/>
      <c r="CJ98" s="73">
        <v>0</v>
      </c>
      <c r="CK98" s="2581"/>
      <c r="CL98" s="73">
        <f>IF(BJ98&gt;0,"Calculate",0)</f>
        <v>0</v>
      </c>
      <c r="CM98" s="2581"/>
      <c r="CN98" s="73">
        <f t="shared" si="19"/>
        <v>4.8140000000000001</v>
      </c>
      <c r="CO98" s="73"/>
      <c r="CP98" s="2595"/>
      <c r="CQ98" s="81" t="s">
        <v>758</v>
      </c>
      <c r="CR98" s="81">
        <v>8.5</v>
      </c>
      <c r="CS98" s="81">
        <v>0</v>
      </c>
      <c r="CT98" s="81">
        <v>7.5</v>
      </c>
      <c r="CU98" s="82"/>
      <c r="CV98" s="2597"/>
      <c r="CW98" s="73">
        <f>(CR98*(F98))-F98</f>
        <v>44205</v>
      </c>
      <c r="CX98" s="2591"/>
      <c r="CY98" s="2599"/>
      <c r="CZ98" s="73">
        <v>0</v>
      </c>
      <c r="DA98" s="2593"/>
      <c r="DB98" s="73">
        <f>CZ98-DD98</f>
        <v>0</v>
      </c>
      <c r="DC98" s="2591"/>
      <c r="DD98" s="73">
        <v>0</v>
      </c>
      <c r="DE98" s="2591"/>
      <c r="DF98" s="73">
        <v>0</v>
      </c>
      <c r="DG98" s="2591"/>
      <c r="DH98" s="73">
        <f>CZ98-(DD98+DF98+DJ98+DL98+DN98+DT98+DV98+DX98)</f>
        <v>0</v>
      </c>
      <c r="DI98" s="2591"/>
      <c r="DJ98" s="73">
        <v>0</v>
      </c>
      <c r="DK98" s="2591"/>
      <c r="DL98" s="73">
        <v>0</v>
      </c>
      <c r="DM98" s="2591"/>
      <c r="DN98" s="73">
        <v>0</v>
      </c>
      <c r="DO98" s="2591"/>
      <c r="DP98" s="73">
        <v>0</v>
      </c>
      <c r="DQ98" s="2591"/>
      <c r="DR98" s="73">
        <v>0</v>
      </c>
      <c r="DS98" s="2591"/>
      <c r="DT98" s="73">
        <v>0</v>
      </c>
      <c r="DU98" s="2591"/>
      <c r="DV98" s="73">
        <v>0</v>
      </c>
      <c r="DW98" s="2591"/>
      <c r="DX98" s="75">
        <f t="shared" si="22"/>
        <v>0</v>
      </c>
      <c r="DY98" s="2591"/>
      <c r="DZ98" s="75">
        <v>0</v>
      </c>
      <c r="EA98" s="2591"/>
      <c r="EB98" s="75">
        <v>0</v>
      </c>
      <c r="EC98" s="2591"/>
      <c r="ED98" s="75">
        <v>0</v>
      </c>
      <c r="EE98" s="2591"/>
      <c r="EF98" s="75">
        <v>0</v>
      </c>
      <c r="EG98" s="2591"/>
      <c r="EH98" s="75">
        <v>0</v>
      </c>
      <c r="EI98" s="2591"/>
      <c r="EJ98" s="75"/>
      <c r="EK98" s="2581"/>
      <c r="EL98" s="73">
        <f>ROUND(CW98+CZ98,0)</f>
        <v>44205</v>
      </c>
      <c r="EM98" s="2601"/>
      <c r="EN98" s="74">
        <f>ROUND(CW98/EP$141,0)</f>
        <v>44</v>
      </c>
      <c r="EO98" s="2601"/>
      <c r="EP98" s="74">
        <f>0.5*EN98</f>
        <v>22</v>
      </c>
      <c r="EQ98" s="2601"/>
      <c r="ER98" s="102">
        <f>EP98</f>
        <v>22</v>
      </c>
      <c r="ES98" s="2601"/>
      <c r="ET98" s="74">
        <f>FA98+FG98+FQ98</f>
        <v>0</v>
      </c>
      <c r="EU98" s="2591"/>
      <c r="EV98" s="74">
        <f>2.87*EN98</f>
        <v>126.28</v>
      </c>
      <c r="EW98" s="2591"/>
      <c r="EX98" s="88">
        <f>ROUND((DH98+DF98+DD98)/1000*3,0)+ROUND((ROUND(DL98/400,0))/2.67,0)+ROUND(DV98/1000,0)+ROUND((DZ98+EB98+ED98+EH98)/1000*3,0)+ROUND(EN98/25,0)+ROUND(ET98/50,0)</f>
        <v>2</v>
      </c>
      <c r="EY98" s="2591"/>
      <c r="EZ98" s="2611"/>
      <c r="FA98" s="2224">
        <v>0</v>
      </c>
      <c r="FB98" s="2591"/>
      <c r="FC98" s="2225">
        <v>0</v>
      </c>
      <c r="FD98" s="2591"/>
      <c r="FE98" s="2224">
        <v>0</v>
      </c>
      <c r="FF98" s="2591"/>
      <c r="FG98" s="74">
        <f>ROUND((DH98+DJ98+DD98+DN98+DT98)/1000,0)</f>
        <v>0</v>
      </c>
      <c r="FH98" s="2591"/>
      <c r="FI98" s="74">
        <f>DF98/1000</f>
        <v>0</v>
      </c>
      <c r="FJ98" s="2591"/>
      <c r="FK98" s="74">
        <f>((DL98/400)/12)</f>
        <v>0</v>
      </c>
      <c r="FL98" s="2591"/>
      <c r="FM98" s="74">
        <v>0</v>
      </c>
      <c r="FN98" s="2591"/>
      <c r="FO98" s="74">
        <v>0</v>
      </c>
      <c r="FP98" s="2601"/>
      <c r="FQ98" s="74">
        <f>DX98/1000</f>
        <v>0</v>
      </c>
      <c r="FR98" s="2591"/>
      <c r="FS98" s="2605"/>
      <c r="FT98" s="2607"/>
      <c r="FU98" s="2603"/>
      <c r="FV98" s="2609"/>
      <c r="FW98" s="2609"/>
      <c r="FX98" s="2603"/>
      <c r="FY98" s="2603"/>
      <c r="FZ98" s="2603"/>
      <c r="GA98" s="2603"/>
      <c r="GB98" s="2603"/>
      <c r="GC98" s="2603"/>
      <c r="GD98" s="2603"/>
      <c r="GE98" s="2603"/>
      <c r="GF98" s="2603"/>
      <c r="GG98" s="2603"/>
      <c r="GH98" s="2603"/>
      <c r="GI98" s="2603"/>
      <c r="GJ98" s="2603"/>
      <c r="GK98" s="2603"/>
      <c r="GL98" s="2609"/>
      <c r="GM98" s="2609"/>
      <c r="GN98" s="2609"/>
      <c r="GO98" s="2583"/>
      <c r="GP98" s="89">
        <f>EP98-BR98</f>
        <v>22</v>
      </c>
      <c r="GQ98" s="2583"/>
      <c r="GR98" s="89">
        <f>EV98-BT98</f>
        <v>126.28</v>
      </c>
      <c r="GS98" s="2678"/>
      <c r="GT98" s="89">
        <f>EX98-BV98</f>
        <v>-2</v>
      </c>
      <c r="GU98" s="89">
        <f>FA98-BX98</f>
        <v>0</v>
      </c>
      <c r="GV98" s="89">
        <f>FI98-CD98</f>
        <v>0</v>
      </c>
      <c r="GW98" s="89">
        <v>0</v>
      </c>
      <c r="GX98" s="89">
        <f>FG98-CB98</f>
        <v>-4.8140000000000001</v>
      </c>
      <c r="GY98" s="89">
        <f>FK98-CF98</f>
        <v>0</v>
      </c>
      <c r="GZ98" s="89">
        <f>FM98-CH98</f>
        <v>0</v>
      </c>
      <c r="HA98" s="89">
        <f>FO98-CJ98</f>
        <v>0</v>
      </c>
      <c r="HB98" s="89">
        <f>FQ98-CL98</f>
        <v>0</v>
      </c>
      <c r="HC98" s="2617"/>
      <c r="HD98" s="95"/>
      <c r="HE98" s="95"/>
      <c r="HF98" s="95"/>
      <c r="HG98" s="95"/>
      <c r="HH98" s="95"/>
    </row>
    <row r="99" spans="1:216" s="95" customFormat="1" ht="18.75">
      <c r="A99" s="2263"/>
      <c r="B99" s="131"/>
      <c r="C99" s="132"/>
      <c r="D99" s="132"/>
      <c r="E99" s="133"/>
      <c r="F99" s="134"/>
      <c r="G99" s="135"/>
      <c r="H99" s="136"/>
      <c r="I99" s="132"/>
      <c r="J99" s="132"/>
      <c r="K99" s="132"/>
      <c r="L99" s="132"/>
      <c r="M99" s="134"/>
      <c r="N99" s="134"/>
      <c r="O99" s="134"/>
      <c r="P99" s="134"/>
      <c r="Q99" s="137"/>
      <c r="S99" s="101"/>
      <c r="T99" s="97"/>
      <c r="U99" s="2244"/>
      <c r="V99" s="102"/>
      <c r="W99" s="2244"/>
      <c r="X99" s="97"/>
      <c r="Y99" s="2244"/>
      <c r="Z99" s="97"/>
      <c r="AA99" s="2244"/>
      <c r="AB99" s="97"/>
      <c r="AC99" s="2244"/>
      <c r="AD99" s="103"/>
      <c r="AE99" s="215"/>
      <c r="AF99" s="76"/>
      <c r="AG99" s="103"/>
      <c r="AH99" s="103"/>
      <c r="AI99" s="103"/>
      <c r="AJ99" s="103"/>
      <c r="AK99" s="215"/>
      <c r="AL99" s="103"/>
      <c r="AM99" s="2251"/>
      <c r="AN99" s="103"/>
      <c r="AO99" s="2224"/>
      <c r="AP99" s="103"/>
      <c r="AQ99" s="2251"/>
      <c r="AR99" s="103"/>
      <c r="AS99" s="2251"/>
      <c r="AT99" s="103"/>
      <c r="AU99" s="2251"/>
      <c r="AV99" s="103"/>
      <c r="AW99" s="2251"/>
      <c r="AX99" s="103"/>
      <c r="AY99" s="2251"/>
      <c r="AZ99" s="75">
        <f t="shared" si="18"/>
        <v>0</v>
      </c>
      <c r="BA99" s="2224"/>
      <c r="BB99" s="97"/>
      <c r="BC99" s="2224"/>
      <c r="BD99" s="97"/>
      <c r="BE99" s="2224"/>
      <c r="BF99" s="97"/>
      <c r="BG99" s="2224"/>
      <c r="BH99" s="97"/>
      <c r="BI99" s="2224"/>
      <c r="BJ99" s="97"/>
      <c r="BK99" s="2224"/>
      <c r="BL99" s="97"/>
      <c r="BM99" s="2251"/>
      <c r="BN99" s="97"/>
      <c r="BO99" s="2251"/>
      <c r="BP99" s="97"/>
      <c r="BQ99" s="2251"/>
      <c r="BR99" s="97"/>
      <c r="BS99" s="2251"/>
      <c r="BT99" s="124"/>
      <c r="BU99" s="2251"/>
      <c r="BV99" s="138"/>
      <c r="BW99" s="2251"/>
      <c r="BX99" s="97"/>
      <c r="BY99" s="2251"/>
      <c r="BZ99" s="97"/>
      <c r="CA99" s="2251"/>
      <c r="CB99" s="97"/>
      <c r="CC99" s="2251"/>
      <c r="CD99" s="97"/>
      <c r="CE99" s="2251"/>
      <c r="CF99" s="97"/>
      <c r="CG99" s="2251"/>
      <c r="CH99" s="105"/>
      <c r="CI99" s="2251"/>
      <c r="CJ99" s="97"/>
      <c r="CK99" s="2251"/>
      <c r="CL99" s="97"/>
      <c r="CM99" s="2251"/>
      <c r="CN99" s="73">
        <f t="shared" si="19"/>
        <v>0</v>
      </c>
      <c r="CO99" s="97"/>
      <c r="CP99" s="106"/>
      <c r="CQ99" s="139"/>
      <c r="CR99" s="139"/>
      <c r="CS99" s="139"/>
      <c r="CT99" s="139"/>
      <c r="CU99" s="108"/>
      <c r="CV99" s="109"/>
      <c r="CW99" s="73"/>
      <c r="CX99" s="2244"/>
      <c r="CY99" s="2261"/>
      <c r="CZ99" s="97"/>
      <c r="DA99" s="2253"/>
      <c r="DB99" s="97"/>
      <c r="DC99" s="2244"/>
      <c r="DD99" s="97"/>
      <c r="DE99" s="2244"/>
      <c r="DF99" s="97"/>
      <c r="DG99" s="2244"/>
      <c r="DH99" s="97"/>
      <c r="DI99" s="2244"/>
      <c r="DJ99" s="97"/>
      <c r="DK99" s="2244"/>
      <c r="DL99" s="97"/>
      <c r="DM99" s="214"/>
      <c r="DN99" s="83"/>
      <c r="DO99" s="2244"/>
      <c r="DP99" s="83"/>
      <c r="DQ99" s="2244"/>
      <c r="DR99" s="83"/>
      <c r="DS99" s="2244"/>
      <c r="DT99" s="83"/>
      <c r="DU99" s="2244"/>
      <c r="DV99" s="83"/>
      <c r="DW99" s="214"/>
      <c r="DX99" s="75"/>
      <c r="DY99" s="2244"/>
      <c r="DZ99" s="76"/>
      <c r="EA99" s="2244"/>
      <c r="EB99" s="76"/>
      <c r="EC99" s="2244"/>
      <c r="ED99" s="76"/>
      <c r="EE99" s="2244"/>
      <c r="EF99" s="76"/>
      <c r="EG99" s="2244"/>
      <c r="EH99" s="76"/>
      <c r="EI99" s="2244"/>
      <c r="EJ99" s="76"/>
      <c r="EK99" s="215"/>
      <c r="EL99" s="97"/>
      <c r="EM99" s="2246"/>
      <c r="EN99" s="102"/>
      <c r="EO99" s="2246"/>
      <c r="EP99" s="102"/>
      <c r="EQ99" s="110"/>
      <c r="ER99" s="111"/>
      <c r="ES99" s="110"/>
      <c r="ET99" s="74"/>
      <c r="EU99" s="2244"/>
      <c r="EV99" s="111"/>
      <c r="EW99" s="2244"/>
      <c r="EX99" s="88"/>
      <c r="EY99" s="2244"/>
      <c r="EZ99" s="2248"/>
      <c r="FA99" s="194"/>
      <c r="FB99" s="2244"/>
      <c r="FC99" s="2224"/>
      <c r="FD99" s="2244"/>
      <c r="FE99" s="194"/>
      <c r="FF99" s="2244"/>
      <c r="FG99" s="102"/>
      <c r="FH99" s="2244"/>
      <c r="FI99" s="102"/>
      <c r="FJ99" s="2244"/>
      <c r="FK99" s="102"/>
      <c r="FL99" s="2244"/>
      <c r="FM99" s="102"/>
      <c r="FN99" s="2244"/>
      <c r="FO99" s="102"/>
      <c r="FP99" s="110"/>
      <c r="FQ99" s="102"/>
      <c r="FR99" s="2244"/>
      <c r="FS99" s="2244"/>
      <c r="FT99" s="2240"/>
      <c r="FU99" s="2233"/>
      <c r="FV99" s="2235"/>
      <c r="FW99" s="2235"/>
      <c r="FX99" s="2233"/>
      <c r="FY99" s="2233"/>
      <c r="FZ99" s="2233"/>
      <c r="GA99" s="2232"/>
      <c r="GB99" s="2233"/>
      <c r="GC99" s="2233"/>
      <c r="GD99" s="2233"/>
      <c r="GE99" s="2232"/>
      <c r="GF99" s="2233"/>
      <c r="GG99" s="2232"/>
      <c r="GH99" s="2232"/>
      <c r="GI99" s="2232"/>
      <c r="GJ99" s="2232"/>
      <c r="GK99" s="2232"/>
      <c r="GL99" s="2235"/>
      <c r="GM99" s="2235"/>
      <c r="GN99" s="2235"/>
      <c r="GO99" s="2224"/>
      <c r="GP99" s="89"/>
      <c r="GQ99" s="2224"/>
      <c r="GR99" s="112"/>
      <c r="GS99" s="2227"/>
      <c r="GT99" s="113"/>
      <c r="GU99" s="114"/>
      <c r="GV99" s="113"/>
      <c r="GW99" s="113"/>
      <c r="GX99" s="113"/>
      <c r="GY99" s="113"/>
      <c r="GZ99" s="112"/>
      <c r="HA99" s="113"/>
      <c r="HB99" s="113"/>
      <c r="HC99" s="2230"/>
    </row>
    <row r="100" spans="1:216" s="91" customFormat="1" ht="15" customHeight="1">
      <c r="A100" s="216">
        <v>34</v>
      </c>
      <c r="B100" s="217" t="s">
        <v>703</v>
      </c>
      <c r="C100" s="218">
        <v>2856</v>
      </c>
      <c r="D100" s="115">
        <v>11</v>
      </c>
      <c r="E100" s="116">
        <v>2028560011</v>
      </c>
      <c r="F100" s="117">
        <v>22885</v>
      </c>
      <c r="G100" s="221" t="s">
        <v>756</v>
      </c>
      <c r="H100" s="222"/>
      <c r="I100" s="218">
        <v>2.46</v>
      </c>
      <c r="J100" s="218">
        <v>0</v>
      </c>
      <c r="K100" s="218">
        <v>2</v>
      </c>
      <c r="L100" s="218">
        <v>4.8</v>
      </c>
      <c r="M100" s="220">
        <v>56250</v>
      </c>
      <c r="N100" s="220">
        <v>0</v>
      </c>
      <c r="O100" s="220">
        <v>0</v>
      </c>
      <c r="P100" s="220">
        <v>56250</v>
      </c>
      <c r="Q100" s="223">
        <v>0</v>
      </c>
      <c r="R100" s="91" t="s">
        <v>760</v>
      </c>
      <c r="S100" s="214">
        <f>T100</f>
        <v>0</v>
      </c>
      <c r="T100" s="83">
        <v>0</v>
      </c>
      <c r="U100" s="214">
        <f>V100</f>
        <v>56250</v>
      </c>
      <c r="V100" s="111">
        <f>M100</f>
        <v>56250</v>
      </c>
      <c r="W100" s="214">
        <f>X100</f>
        <v>56250</v>
      </c>
      <c r="X100" s="83">
        <f>V100-Z100</f>
        <v>56250</v>
      </c>
      <c r="Y100" s="214">
        <f>Z100</f>
        <v>0</v>
      </c>
      <c r="Z100" s="83">
        <v>0</v>
      </c>
      <c r="AA100" s="214">
        <f>AB100</f>
        <v>0</v>
      </c>
      <c r="AB100" s="83">
        <v>0</v>
      </c>
      <c r="AC100" s="214">
        <f>AD100</f>
        <v>0</v>
      </c>
      <c r="AD100" s="76">
        <f>V100-(Z100+AB100+AF100+AL100+AN100+AP100+AZ100+AR100+AT100+AV100+AX100)</f>
        <v>0</v>
      </c>
      <c r="AE100" s="215">
        <f>AF100</f>
        <v>0</v>
      </c>
      <c r="AF100" s="76">
        <v>0</v>
      </c>
      <c r="AG100" s="76">
        <v>0</v>
      </c>
      <c r="AH100" s="76">
        <f>AG100</f>
        <v>0</v>
      </c>
      <c r="AI100" s="76">
        <v>0</v>
      </c>
      <c r="AJ100" s="76">
        <f>AI100</f>
        <v>0</v>
      </c>
      <c r="AK100" s="2252">
        <f>AL100</f>
        <v>0</v>
      </c>
      <c r="AL100" s="76">
        <v>0</v>
      </c>
      <c r="AM100" s="215">
        <v>0</v>
      </c>
      <c r="AN100" s="76">
        <v>0</v>
      </c>
      <c r="AO100" s="194">
        <f>AP100</f>
        <v>0</v>
      </c>
      <c r="AP100" s="76">
        <v>0</v>
      </c>
      <c r="AQ100" s="215">
        <f>AR100</f>
        <v>56250</v>
      </c>
      <c r="AR100" s="76">
        <v>56250</v>
      </c>
      <c r="AS100" s="215">
        <f>AT100</f>
        <v>0</v>
      </c>
      <c r="AT100" s="76">
        <v>0</v>
      </c>
      <c r="AU100" s="215">
        <f>AV100</f>
        <v>0</v>
      </c>
      <c r="AV100" s="76">
        <v>0</v>
      </c>
      <c r="AW100" s="215">
        <f>AX100</f>
        <v>0</v>
      </c>
      <c r="AX100" s="76">
        <v>0</v>
      </c>
      <c r="AY100" s="215">
        <f>AZ100</f>
        <v>0</v>
      </c>
      <c r="AZ100" s="75">
        <f t="shared" si="18"/>
        <v>0</v>
      </c>
      <c r="BA100" s="194">
        <f>BB100</f>
        <v>0</v>
      </c>
      <c r="BB100" s="224">
        <v>0</v>
      </c>
      <c r="BC100" s="194">
        <f>BD100</f>
        <v>0</v>
      </c>
      <c r="BD100" s="224">
        <v>0</v>
      </c>
      <c r="BE100" s="194">
        <f>BF100</f>
        <v>0</v>
      </c>
      <c r="BF100" s="83">
        <v>0</v>
      </c>
      <c r="BG100" s="194">
        <f>BH100</f>
        <v>0</v>
      </c>
      <c r="BH100" s="83">
        <v>0</v>
      </c>
      <c r="BI100" s="194">
        <f>BJ100</f>
        <v>0</v>
      </c>
      <c r="BJ100" s="83">
        <v>0</v>
      </c>
      <c r="BK100" s="194">
        <f>BL100</f>
        <v>0</v>
      </c>
      <c r="BL100" s="83">
        <v>0</v>
      </c>
      <c r="BM100" s="215">
        <f>BN100</f>
        <v>56250</v>
      </c>
      <c r="BN100" s="83">
        <f>ROUND(T100+V100,0)</f>
        <v>56250</v>
      </c>
      <c r="BO100" s="215">
        <f>BP100</f>
        <v>0</v>
      </c>
      <c r="BP100" s="83">
        <f>ROUND(T100/EP$141,0)</f>
        <v>0</v>
      </c>
      <c r="BQ100" s="215">
        <f>BR100</f>
        <v>0</v>
      </c>
      <c r="BR100" s="83">
        <f>BR$142*BP100</f>
        <v>0</v>
      </c>
      <c r="BS100" s="215">
        <f>BT100</f>
        <v>0</v>
      </c>
      <c r="BT100" s="124">
        <f t="shared" si="16"/>
        <v>0</v>
      </c>
      <c r="BU100" s="215">
        <f>BV100</f>
        <v>5</v>
      </c>
      <c r="BV100" s="225">
        <f>ROUND((AD100+AB100+Z100)/1000*3,0)+ROUND((AF100+AX100)/1000,0)+ROUND((ROUND(AL100/400,0))/2.67,0)+ROUND(AN100/250,0)+ROUND(AR100/15000,0)+ROUND((BB100+BD100+BF100+BJ100)/1000*3,0)+ROUND(BP100/25,0)+ROUND(CN100/50,0)</f>
        <v>5</v>
      </c>
      <c r="BW100" s="215">
        <f>BX100</f>
        <v>0</v>
      </c>
      <c r="BX100" s="83">
        <v>0</v>
      </c>
      <c r="BY100" s="215">
        <f>BZ100</f>
        <v>0</v>
      </c>
      <c r="BZ100" s="83">
        <v>0</v>
      </c>
      <c r="CA100" s="215">
        <f>CB100</f>
        <v>56.25</v>
      </c>
      <c r="CB100" s="83">
        <f>V100/1000</f>
        <v>56.25</v>
      </c>
      <c r="CC100" s="215">
        <f>CD100</f>
        <v>0</v>
      </c>
      <c r="CD100" s="83">
        <f>AB100/1000</f>
        <v>0</v>
      </c>
      <c r="CE100" s="215">
        <f>CF100</f>
        <v>0</v>
      </c>
      <c r="CF100" s="83">
        <f>((AL100/400)/12)</f>
        <v>0</v>
      </c>
      <c r="CG100" s="215">
        <f>CH100</f>
        <v>0</v>
      </c>
      <c r="CH100" s="226">
        <f>IFERROR(VLOOKUP(E100,#REF!,3,FALSE),0)</f>
        <v>0</v>
      </c>
      <c r="CI100" s="215">
        <f>CJ100</f>
        <v>0</v>
      </c>
      <c r="CJ100" s="83">
        <v>0</v>
      </c>
      <c r="CK100" s="215">
        <f>CL100</f>
        <v>0</v>
      </c>
      <c r="CL100" s="83">
        <f>IF(BJ100&gt;0,"Calculate",0)</f>
        <v>0</v>
      </c>
      <c r="CM100" s="215">
        <f>CN100</f>
        <v>56.25</v>
      </c>
      <c r="CN100" s="73">
        <f t="shared" si="19"/>
        <v>56.25</v>
      </c>
      <c r="CO100" s="83"/>
      <c r="CP100" s="227">
        <v>38</v>
      </c>
      <c r="CQ100" s="228" t="s">
        <v>741</v>
      </c>
      <c r="CR100" s="228">
        <v>7.2</v>
      </c>
      <c r="CS100" s="228">
        <v>0</v>
      </c>
      <c r="CT100" s="228">
        <v>6.5</v>
      </c>
      <c r="CU100" s="128"/>
      <c r="CV100" s="230" t="s">
        <v>744</v>
      </c>
      <c r="CW100" s="121">
        <f>(CR100*(F100))-F100</f>
        <v>141887</v>
      </c>
      <c r="CX100" s="214">
        <f t="shared" ref="CX100" si="31">CW100</f>
        <v>141887</v>
      </c>
      <c r="CY100" s="232">
        <f>CZ100</f>
        <v>0</v>
      </c>
      <c r="CZ100" s="83">
        <v>0</v>
      </c>
      <c r="DA100" s="233">
        <f>DB100</f>
        <v>0</v>
      </c>
      <c r="DB100" s="83">
        <f>CZ100-DD100</f>
        <v>0</v>
      </c>
      <c r="DC100" s="231">
        <f>DD100</f>
        <v>0</v>
      </c>
      <c r="DD100" s="83">
        <v>0</v>
      </c>
      <c r="DE100" s="214">
        <f>DF100</f>
        <v>0</v>
      </c>
      <c r="DF100" s="83">
        <v>0</v>
      </c>
      <c r="DG100" s="214">
        <f>DH100</f>
        <v>0</v>
      </c>
      <c r="DH100" s="83">
        <f>CZ100-(DD100+DF100+DJ100+DL100+DN100+DT100+DV100+DX100)</f>
        <v>0</v>
      </c>
      <c r="DI100" s="214">
        <f>DJ100</f>
        <v>0</v>
      </c>
      <c r="DJ100" s="83">
        <v>0</v>
      </c>
      <c r="DK100" s="214">
        <f>DL100</f>
        <v>0</v>
      </c>
      <c r="DL100" s="83">
        <v>0</v>
      </c>
      <c r="DM100" s="2245">
        <f>DN100</f>
        <v>0</v>
      </c>
      <c r="DN100" s="73">
        <v>0</v>
      </c>
      <c r="DO100" s="214">
        <f>DP100</f>
        <v>0</v>
      </c>
      <c r="DP100" s="73">
        <v>0</v>
      </c>
      <c r="DQ100" s="214">
        <f>DR100</f>
        <v>0</v>
      </c>
      <c r="DR100" s="73">
        <v>0</v>
      </c>
      <c r="DS100" s="214">
        <f>DT100</f>
        <v>0</v>
      </c>
      <c r="DT100" s="73">
        <v>0</v>
      </c>
      <c r="DU100" s="214">
        <f>DV100</f>
        <v>0</v>
      </c>
      <c r="DV100" s="73">
        <v>0</v>
      </c>
      <c r="DW100" s="2244">
        <f>SUM(DX100:DX101)</f>
        <v>0</v>
      </c>
      <c r="DX100" s="75">
        <f t="shared" si="22"/>
        <v>0</v>
      </c>
      <c r="DY100" s="214">
        <f>DZ100</f>
        <v>0</v>
      </c>
      <c r="DZ100" s="75">
        <v>0</v>
      </c>
      <c r="EA100" s="214">
        <f>EB100</f>
        <v>0</v>
      </c>
      <c r="EB100" s="75">
        <v>0</v>
      </c>
      <c r="EC100" s="214">
        <f>ED100</f>
        <v>0</v>
      </c>
      <c r="ED100" s="75">
        <v>0</v>
      </c>
      <c r="EE100" s="214">
        <f>EF100</f>
        <v>0</v>
      </c>
      <c r="EF100" s="75">
        <v>0</v>
      </c>
      <c r="EG100" s="214">
        <f>EH100</f>
        <v>0</v>
      </c>
      <c r="EH100" s="75">
        <v>0</v>
      </c>
      <c r="EI100" s="214">
        <f>EJ100</f>
        <v>0</v>
      </c>
      <c r="EJ100" s="75"/>
      <c r="EK100" s="2252">
        <f>EL100</f>
        <v>141887</v>
      </c>
      <c r="EL100" s="83">
        <f>ROUND(CW100+CZ100,0)</f>
        <v>141887</v>
      </c>
      <c r="EM100" s="234">
        <f>SUM(EN100)</f>
        <v>142</v>
      </c>
      <c r="EN100" s="111">
        <f>ROUND(CW100/EP$141,0)</f>
        <v>142</v>
      </c>
      <c r="EO100" s="234">
        <f>EP100</f>
        <v>142</v>
      </c>
      <c r="EP100" s="111">
        <f>EN100</f>
        <v>142</v>
      </c>
      <c r="EQ100" s="192">
        <f>ER100</f>
        <v>142</v>
      </c>
      <c r="ER100" s="111">
        <f>EP100</f>
        <v>142</v>
      </c>
      <c r="ES100" s="192">
        <f>ET100</f>
        <v>0</v>
      </c>
      <c r="ET100" s="74">
        <f>FA100+FG100+FQ100</f>
        <v>0</v>
      </c>
      <c r="EU100" s="214">
        <f>EV100</f>
        <v>407.54</v>
      </c>
      <c r="EV100" s="111">
        <f>2.87*EN100</f>
        <v>407.54</v>
      </c>
      <c r="EW100" s="214">
        <f>EX100</f>
        <v>6</v>
      </c>
      <c r="EX100" s="88">
        <f>ROUND((DH100+DF100+DD100)/1000*3,0)+ROUND((ROUND(DL100/400,0))/2.67,0)+ROUND(DV100/1000,0)+ROUND((DZ100+EB100+ED100+EH100)/1000*3,0)+ROUND(EN100/25,0)+ROUND(ET100/50,0)</f>
        <v>6</v>
      </c>
      <c r="EY100" s="214">
        <f>EZ100</f>
        <v>0</v>
      </c>
      <c r="EZ100" s="193">
        <v>0</v>
      </c>
      <c r="FA100" s="194">
        <v>0</v>
      </c>
      <c r="FB100" s="214">
        <f>FC100</f>
        <v>0</v>
      </c>
      <c r="FC100" s="194">
        <v>0</v>
      </c>
      <c r="FD100" s="214">
        <f>FE100</f>
        <v>0</v>
      </c>
      <c r="FE100" s="194">
        <v>0</v>
      </c>
      <c r="FF100" s="214">
        <f>FG100</f>
        <v>0</v>
      </c>
      <c r="FG100" s="111">
        <f>ROUND((DH100+DJ100+DD100+DN100+DT100)/1000,0)</f>
        <v>0</v>
      </c>
      <c r="FH100" s="214">
        <f>FI100</f>
        <v>0</v>
      </c>
      <c r="FI100" s="111">
        <f>DF100/1000</f>
        <v>0</v>
      </c>
      <c r="FJ100" s="214">
        <f>FK100</f>
        <v>0</v>
      </c>
      <c r="FK100" s="111">
        <f>((DL100/400)/12)</f>
        <v>0</v>
      </c>
      <c r="FL100" s="214">
        <f>FM100</f>
        <v>0</v>
      </c>
      <c r="FM100" s="111">
        <v>0</v>
      </c>
      <c r="FN100" s="214">
        <f>FO100</f>
        <v>0</v>
      </c>
      <c r="FO100" s="111">
        <v>0</v>
      </c>
      <c r="FP100" s="192">
        <f>FQ100</f>
        <v>0</v>
      </c>
      <c r="FQ100" s="111">
        <f>DX100/1000</f>
        <v>0</v>
      </c>
      <c r="FR100" s="214">
        <f>FS100</f>
        <v>145</v>
      </c>
      <c r="FS100" s="315">
        <v>145</v>
      </c>
      <c r="FT100" s="2240">
        <f>CX100-S100</f>
        <v>141887</v>
      </c>
      <c r="FU100" s="2233">
        <f>CY100-U100</f>
        <v>-56250</v>
      </c>
      <c r="FV100" s="2235">
        <f>(DC100+DE100+DG100)-(Y100+AA100+AC100+AE100)</f>
        <v>0</v>
      </c>
      <c r="FW100" s="2235">
        <f>DG100-AC100</f>
        <v>0</v>
      </c>
      <c r="FX100" s="2233">
        <f>DE100-AA100</f>
        <v>0</v>
      </c>
      <c r="FY100" s="2233">
        <f>DC100-Y100</f>
        <v>0</v>
      </c>
      <c r="FZ100" s="2233">
        <f>DJ100-AE100</f>
        <v>0</v>
      </c>
      <c r="GA100" s="235">
        <f>DL100-AL100</f>
        <v>0</v>
      </c>
      <c r="GB100" s="2233">
        <f>DM100-AM100</f>
        <v>0</v>
      </c>
      <c r="GC100" s="2233">
        <f>DP100-AQ100</f>
        <v>-56250</v>
      </c>
      <c r="GD100" s="2233">
        <f>DR100-AS100</f>
        <v>0</v>
      </c>
      <c r="GE100" s="235">
        <f>DT100-AV100</f>
        <v>0</v>
      </c>
      <c r="GF100" s="2233">
        <f>DV100-AW100</f>
        <v>0</v>
      </c>
      <c r="GG100" s="235">
        <f>DZ100-BB100</f>
        <v>0</v>
      </c>
      <c r="GH100" s="235">
        <f>EB100-BD100</f>
        <v>0</v>
      </c>
      <c r="GI100" s="235">
        <f>ED100-BF100</f>
        <v>0</v>
      </c>
      <c r="GJ100" s="235">
        <f>EF100-BH100</f>
        <v>0</v>
      </c>
      <c r="GK100" s="235">
        <f>EH100-BJ100</f>
        <v>0</v>
      </c>
      <c r="GL100" s="2235">
        <f>DW100-AY100</f>
        <v>0</v>
      </c>
      <c r="GM100" s="2235">
        <f>EK100-BM100</f>
        <v>85637</v>
      </c>
      <c r="GN100" s="2235">
        <f>EM100-BO100</f>
        <v>142</v>
      </c>
      <c r="GO100" s="194">
        <f>GP100</f>
        <v>142</v>
      </c>
      <c r="GP100" s="112">
        <f>EP100-BR100</f>
        <v>142</v>
      </c>
      <c r="GQ100" s="194">
        <f>GR100</f>
        <v>407.54</v>
      </c>
      <c r="GR100" s="112">
        <f>EV100-BT100</f>
        <v>407.54</v>
      </c>
      <c r="GS100" s="316">
        <f>GT100</f>
        <v>1</v>
      </c>
      <c r="GT100" s="112">
        <f>EX100-BV100</f>
        <v>1</v>
      </c>
      <c r="GU100" s="114">
        <f>FA100-BX100</f>
        <v>0</v>
      </c>
      <c r="GV100" s="112">
        <f>FI100-CD100</f>
        <v>0</v>
      </c>
      <c r="GW100" s="112">
        <v>0</v>
      </c>
      <c r="GX100" s="112">
        <f>FG100-CB100</f>
        <v>-56.25</v>
      </c>
      <c r="GY100" s="112">
        <f>FK100-CF100</f>
        <v>0</v>
      </c>
      <c r="GZ100" s="112">
        <f>FM100-CH100</f>
        <v>0</v>
      </c>
      <c r="HA100" s="112">
        <f>FO100-CJ100</f>
        <v>0</v>
      </c>
      <c r="HB100" s="112">
        <f>FQ100-CL100</f>
        <v>0</v>
      </c>
      <c r="HC100" s="2230">
        <f>ES100-CM100</f>
        <v>-56.25</v>
      </c>
      <c r="HD100" s="95"/>
      <c r="HE100" s="95"/>
      <c r="HF100" s="95"/>
      <c r="HG100" s="95"/>
      <c r="HH100" s="95"/>
    </row>
    <row r="101" spans="1:216" s="23" customFormat="1">
      <c r="A101" s="317"/>
      <c r="B101" s="93"/>
      <c r="D101" s="91"/>
      <c r="E101" s="318"/>
      <c r="F101" s="319"/>
      <c r="G101" s="95"/>
      <c r="H101" s="320"/>
      <c r="Q101" s="100"/>
      <c r="R101" s="95"/>
      <c r="S101" s="101"/>
      <c r="U101" s="321"/>
      <c r="V101" s="322"/>
      <c r="W101" s="321"/>
      <c r="Y101" s="321"/>
      <c r="AA101" s="321"/>
      <c r="AC101" s="321"/>
      <c r="AD101" s="323"/>
      <c r="AE101" s="324"/>
      <c r="AF101" s="323"/>
      <c r="AG101" s="323"/>
      <c r="AH101" s="323"/>
      <c r="AI101" s="323"/>
      <c r="AJ101" s="323"/>
      <c r="AK101" s="324"/>
      <c r="AL101" s="323"/>
      <c r="AM101" s="324"/>
      <c r="AN101" s="323"/>
      <c r="AO101" s="63"/>
      <c r="AP101" s="323"/>
      <c r="AQ101" s="324"/>
      <c r="AR101" s="323"/>
      <c r="AS101" s="324"/>
      <c r="AT101" s="323"/>
      <c r="AU101" s="324"/>
      <c r="AV101" s="323"/>
      <c r="AW101" s="324"/>
      <c r="AX101" s="323"/>
      <c r="AY101" s="324"/>
      <c r="AZ101" s="103">
        <f t="shared" si="18"/>
        <v>0</v>
      </c>
      <c r="BA101" s="63"/>
      <c r="BC101" s="63"/>
      <c r="BE101" s="63"/>
      <c r="BG101" s="63"/>
      <c r="BI101" s="63"/>
      <c r="BK101" s="63"/>
      <c r="BM101" s="324"/>
      <c r="BO101" s="324"/>
      <c r="BQ101" s="324"/>
      <c r="BS101" s="324"/>
      <c r="BT101" s="124"/>
      <c r="BU101" s="324"/>
      <c r="BW101" s="324"/>
      <c r="BY101" s="324"/>
      <c r="CA101" s="324"/>
      <c r="CC101" s="324"/>
      <c r="CE101" s="324"/>
      <c r="CG101" s="249"/>
      <c r="CH101" s="91"/>
      <c r="CI101" s="249"/>
      <c r="CJ101" s="91"/>
      <c r="CK101" s="249"/>
      <c r="CL101" s="91"/>
      <c r="CM101" s="249"/>
      <c r="CN101" s="83">
        <f t="shared" si="19"/>
        <v>0</v>
      </c>
      <c r="CO101" s="91"/>
      <c r="CP101" s="253"/>
      <c r="CQ101" s="95"/>
      <c r="CU101" s="229"/>
      <c r="CV101" s="325"/>
      <c r="CW101" s="91"/>
      <c r="CX101" s="214"/>
      <c r="CY101" s="326"/>
      <c r="DA101" s="327"/>
      <c r="DC101" s="321"/>
      <c r="DE101" s="321"/>
      <c r="DG101" s="321"/>
      <c r="DI101" s="321"/>
      <c r="DJ101" s="91"/>
      <c r="DK101" s="311"/>
      <c r="DL101" s="91"/>
      <c r="DM101" s="311"/>
      <c r="DN101" s="72"/>
      <c r="DO101" s="311"/>
      <c r="DP101" s="91"/>
      <c r="DQ101" s="311"/>
      <c r="DR101" s="91"/>
      <c r="DS101" s="311"/>
      <c r="DT101" s="91"/>
      <c r="DU101" s="311"/>
      <c r="DV101" s="72"/>
      <c r="DW101" s="311"/>
      <c r="DX101" s="75"/>
      <c r="DY101" s="321"/>
      <c r="DZ101" s="301"/>
      <c r="EA101" s="321"/>
      <c r="EB101" s="301"/>
      <c r="EC101" s="321"/>
      <c r="ED101" s="301"/>
      <c r="EE101" s="321"/>
      <c r="EF101" s="301"/>
      <c r="EG101" s="321"/>
      <c r="EH101" s="301"/>
      <c r="EI101" s="321"/>
      <c r="EJ101" s="301"/>
      <c r="EK101" s="328"/>
      <c r="EM101" s="329"/>
      <c r="EN101" s="330"/>
      <c r="EO101" s="329"/>
      <c r="EP101" s="322"/>
      <c r="EQ101" s="331"/>
      <c r="ER101" s="322"/>
      <c r="ES101" s="331"/>
      <c r="ET101" s="74"/>
      <c r="EU101" s="321"/>
      <c r="EV101" s="111"/>
      <c r="EW101" s="321"/>
      <c r="EX101" s="88"/>
      <c r="EY101" s="321"/>
      <c r="EZ101" s="322"/>
      <c r="FA101" s="323"/>
      <c r="FB101" s="321"/>
      <c r="FC101" s="323"/>
      <c r="FD101" s="321"/>
      <c r="FE101" s="323"/>
      <c r="FF101" s="321"/>
      <c r="FG101" s="322"/>
      <c r="FH101" s="321"/>
      <c r="FI101" s="322"/>
      <c r="FJ101" s="321"/>
      <c r="FK101" s="322"/>
      <c r="FL101" s="321"/>
      <c r="FM101" s="322"/>
      <c r="FN101" s="321"/>
      <c r="FO101" s="322"/>
      <c r="FP101" s="331"/>
      <c r="FQ101" s="322"/>
      <c r="FR101" s="321"/>
      <c r="FS101" s="2282"/>
      <c r="FT101" s="2240"/>
      <c r="FU101" s="2233"/>
      <c r="FV101" s="2235"/>
      <c r="FW101" s="2235"/>
      <c r="FX101" s="2233"/>
      <c r="FY101" s="2233"/>
      <c r="FZ101" s="2233"/>
      <c r="GA101" s="332"/>
      <c r="GB101" s="2233"/>
      <c r="GC101" s="2233"/>
      <c r="GD101" s="2233"/>
      <c r="GE101" s="332"/>
      <c r="GF101" s="2233"/>
      <c r="GG101" s="332"/>
      <c r="GH101" s="332"/>
      <c r="GI101" s="332"/>
      <c r="GJ101" s="332"/>
      <c r="GK101" s="332"/>
      <c r="GL101" s="2235"/>
      <c r="GM101" s="2235"/>
      <c r="GN101" s="2235"/>
      <c r="GO101" s="323"/>
      <c r="GP101" s="112"/>
      <c r="GQ101" s="323"/>
      <c r="GR101" s="112"/>
      <c r="GS101" s="333"/>
      <c r="GT101" s="334"/>
      <c r="GU101" s="114"/>
      <c r="GV101" s="334"/>
      <c r="GW101" s="334"/>
      <c r="GX101" s="334"/>
      <c r="GY101" s="334"/>
      <c r="GZ101" s="112"/>
      <c r="HA101" s="334"/>
      <c r="HB101" s="113"/>
      <c r="HC101" s="2230"/>
      <c r="HD101" s="95"/>
      <c r="HE101" s="95"/>
      <c r="HF101" s="95"/>
      <c r="HG101" s="95"/>
    </row>
    <row r="102" spans="1:216" s="366" customFormat="1" ht="18.75">
      <c r="A102" s="335">
        <v>35</v>
      </c>
      <c r="B102" s="336" t="s">
        <v>703</v>
      </c>
      <c r="C102" s="337">
        <v>2856</v>
      </c>
      <c r="D102" s="337">
        <v>53</v>
      </c>
      <c r="E102" s="337">
        <v>2028560053</v>
      </c>
      <c r="F102" s="337">
        <v>22914</v>
      </c>
      <c r="G102" s="338" t="s">
        <v>756</v>
      </c>
      <c r="H102" s="339" t="s">
        <v>706</v>
      </c>
      <c r="I102" s="337">
        <v>0.51</v>
      </c>
      <c r="J102" s="337">
        <v>0</v>
      </c>
      <c r="K102" s="337">
        <v>2</v>
      </c>
      <c r="L102" s="337">
        <v>4.8</v>
      </c>
      <c r="M102" s="340">
        <v>11751</v>
      </c>
      <c r="N102" s="340">
        <v>8800</v>
      </c>
      <c r="O102" s="340">
        <v>0</v>
      </c>
      <c r="P102" s="340">
        <v>11751</v>
      </c>
      <c r="Q102" s="341">
        <v>0</v>
      </c>
      <c r="R102" s="342" t="s">
        <v>761</v>
      </c>
      <c r="S102" s="343">
        <f>T102</f>
        <v>0</v>
      </c>
      <c r="T102" s="344">
        <f>P102-M102</f>
        <v>0</v>
      </c>
      <c r="U102" s="343">
        <f>V102</f>
        <v>11751</v>
      </c>
      <c r="V102" s="344">
        <f>M102</f>
        <v>11751</v>
      </c>
      <c r="W102" s="344"/>
      <c r="X102" s="344">
        <f>V102-Z102</f>
        <v>11751</v>
      </c>
      <c r="Y102" s="343">
        <f>Z102</f>
        <v>0</v>
      </c>
      <c r="Z102" s="344">
        <v>0</v>
      </c>
      <c r="AA102" s="343">
        <f>AB102</f>
        <v>0</v>
      </c>
      <c r="AB102" s="344">
        <v>0</v>
      </c>
      <c r="AC102" s="343">
        <v>2951</v>
      </c>
      <c r="AD102" s="344">
        <v>2951</v>
      </c>
      <c r="AE102" s="343">
        <v>8800</v>
      </c>
      <c r="AF102" s="344">
        <v>8800</v>
      </c>
      <c r="AG102" s="344">
        <v>0</v>
      </c>
      <c r="AH102" s="344">
        <v>0</v>
      </c>
      <c r="AI102" s="344">
        <f>AF102</f>
        <v>8800</v>
      </c>
      <c r="AJ102" s="344">
        <f>AI102</f>
        <v>8800</v>
      </c>
      <c r="AK102" s="343">
        <v>0</v>
      </c>
      <c r="AL102" s="344">
        <v>0</v>
      </c>
      <c r="AM102" s="343">
        <v>0</v>
      </c>
      <c r="AN102" s="344">
        <v>0</v>
      </c>
      <c r="AO102" s="345">
        <v>0</v>
      </c>
      <c r="AP102" s="344">
        <v>0</v>
      </c>
      <c r="AQ102" s="343">
        <v>0</v>
      </c>
      <c r="AR102" s="343">
        <v>0</v>
      </c>
      <c r="AS102" s="343">
        <v>0</v>
      </c>
      <c r="AT102" s="343">
        <v>0</v>
      </c>
      <c r="AU102" s="343">
        <v>0</v>
      </c>
      <c r="AV102" s="343">
        <v>0</v>
      </c>
      <c r="AW102" s="343">
        <v>0</v>
      </c>
      <c r="AX102" s="343">
        <v>0</v>
      </c>
      <c r="AY102" s="343">
        <v>0</v>
      </c>
      <c r="AZ102" s="344">
        <v>0</v>
      </c>
      <c r="BA102" s="344">
        <v>0</v>
      </c>
      <c r="BB102" s="344">
        <v>0</v>
      </c>
      <c r="BC102" s="344">
        <v>0</v>
      </c>
      <c r="BD102" s="344">
        <v>0</v>
      </c>
      <c r="BE102" s="344">
        <v>0</v>
      </c>
      <c r="BF102" s="344">
        <v>0</v>
      </c>
      <c r="BG102" s="344">
        <v>0</v>
      </c>
      <c r="BH102" s="344">
        <v>0</v>
      </c>
      <c r="BI102" s="344">
        <v>0</v>
      </c>
      <c r="BJ102" s="344">
        <v>0</v>
      </c>
      <c r="BK102" s="344">
        <v>0</v>
      </c>
      <c r="BL102" s="344">
        <v>0</v>
      </c>
      <c r="BM102" s="343">
        <f>BN102</f>
        <v>11751</v>
      </c>
      <c r="BN102" s="344">
        <f>T102+U102</f>
        <v>11751</v>
      </c>
      <c r="BO102" s="343">
        <v>0</v>
      </c>
      <c r="BP102" s="344">
        <v>0</v>
      </c>
      <c r="BQ102" s="343">
        <v>0</v>
      </c>
      <c r="BR102" s="344">
        <v>0</v>
      </c>
      <c r="BS102" s="343">
        <v>0</v>
      </c>
      <c r="BT102" s="344">
        <v>0</v>
      </c>
      <c r="BU102" s="343">
        <f>BV102</f>
        <v>18</v>
      </c>
      <c r="BV102" s="346">
        <f>ROUND((AD102+AB102+Z102)/1000*3,0)+ROUND((AF102+AX102)/1000,0)+ROUND((ROUND(AL102/400,0))/2.67,0)+ROUND(AN102/250,0)+ROUND(AR102/15000,0)+ROUND((BB102+BD102+BF102+BJ102)/1000*3,0)+ROUND(BP102/25,0)+ROUND(CN102/50,0)</f>
        <v>18</v>
      </c>
      <c r="BW102" s="343">
        <v>0</v>
      </c>
      <c r="BX102" s="343">
        <v>0</v>
      </c>
      <c r="BY102" s="343">
        <v>0</v>
      </c>
      <c r="BZ102" s="343">
        <v>0</v>
      </c>
      <c r="CA102" s="343">
        <v>0</v>
      </c>
      <c r="CB102" s="343">
        <v>0</v>
      </c>
      <c r="CC102" s="343">
        <v>0</v>
      </c>
      <c r="CD102" s="343">
        <v>0</v>
      </c>
      <c r="CE102" s="343">
        <v>0</v>
      </c>
      <c r="CF102" s="343">
        <v>0</v>
      </c>
      <c r="CG102" s="347">
        <v>0</v>
      </c>
      <c r="CH102" s="347">
        <v>0</v>
      </c>
      <c r="CI102" s="347">
        <v>0</v>
      </c>
      <c r="CJ102" s="347">
        <v>0</v>
      </c>
      <c r="CK102" s="347">
        <v>0</v>
      </c>
      <c r="CL102" s="347">
        <v>0</v>
      </c>
      <c r="CM102" s="347">
        <v>0</v>
      </c>
      <c r="CN102" s="347">
        <v>0</v>
      </c>
      <c r="CO102" s="347"/>
      <c r="CP102" s="348">
        <v>15</v>
      </c>
      <c r="CQ102" s="349" t="s">
        <v>741</v>
      </c>
      <c r="CR102" s="350">
        <v>7.2</v>
      </c>
      <c r="CS102" s="350">
        <v>2</v>
      </c>
      <c r="CT102" s="350">
        <v>6.5</v>
      </c>
      <c r="CU102" s="351" t="s">
        <v>706</v>
      </c>
      <c r="CV102" s="352" t="s">
        <v>762</v>
      </c>
      <c r="CW102" s="344">
        <f>(CR102*(F102))-CZ102</f>
        <v>104980.80000000002</v>
      </c>
      <c r="CX102" s="343">
        <f>CW102</f>
        <v>104980.80000000002</v>
      </c>
      <c r="CY102" s="343">
        <f>CZ102</f>
        <v>60000</v>
      </c>
      <c r="CZ102" s="343">
        <f>DX102</f>
        <v>60000</v>
      </c>
      <c r="DA102" s="343">
        <v>0</v>
      </c>
      <c r="DB102" s="343">
        <v>0</v>
      </c>
      <c r="DC102" s="343">
        <v>0</v>
      </c>
      <c r="DD102" s="343">
        <v>0</v>
      </c>
      <c r="DE102" s="343">
        <v>0</v>
      </c>
      <c r="DF102" s="343">
        <v>0</v>
      </c>
      <c r="DG102" s="343">
        <v>0</v>
      </c>
      <c r="DH102" s="343">
        <v>0</v>
      </c>
      <c r="DI102" s="343">
        <v>0</v>
      </c>
      <c r="DJ102" s="353">
        <v>0</v>
      </c>
      <c r="DK102" s="347">
        <v>0</v>
      </c>
      <c r="DL102" s="353">
        <v>0</v>
      </c>
      <c r="DM102" s="347">
        <v>0</v>
      </c>
      <c r="DN102" s="353">
        <v>0</v>
      </c>
      <c r="DO102" s="347">
        <v>0</v>
      </c>
      <c r="DP102" s="353">
        <v>0</v>
      </c>
      <c r="DQ102" s="347">
        <v>0</v>
      </c>
      <c r="DR102" s="353">
        <v>0</v>
      </c>
      <c r="DS102" s="347">
        <v>0</v>
      </c>
      <c r="DT102" s="353">
        <v>0</v>
      </c>
      <c r="DU102" s="347">
        <v>0</v>
      </c>
      <c r="DV102" s="353">
        <v>0</v>
      </c>
      <c r="DW102" s="343">
        <v>60000</v>
      </c>
      <c r="DX102" s="343">
        <v>60000</v>
      </c>
      <c r="DY102" s="343">
        <v>0</v>
      </c>
      <c r="DZ102" s="343">
        <v>0</v>
      </c>
      <c r="EA102" s="343">
        <v>0</v>
      </c>
      <c r="EB102" s="343">
        <v>0</v>
      </c>
      <c r="EC102" s="343">
        <v>0</v>
      </c>
      <c r="ED102" s="343">
        <v>0</v>
      </c>
      <c r="EE102" s="343">
        <v>0</v>
      </c>
      <c r="EF102" s="343">
        <v>0</v>
      </c>
      <c r="EG102" s="343">
        <v>0</v>
      </c>
      <c r="EH102" s="343">
        <v>0</v>
      </c>
      <c r="EI102" s="343">
        <v>60000</v>
      </c>
      <c r="EJ102" s="343">
        <v>60000</v>
      </c>
      <c r="EK102" s="347">
        <f>EL102</f>
        <v>164981</v>
      </c>
      <c r="EL102" s="344">
        <f>ROUND(CW102+CZ102,0)</f>
        <v>164981</v>
      </c>
      <c r="EM102" s="343">
        <f>SUM(EN102)</f>
        <v>105</v>
      </c>
      <c r="EN102" s="344">
        <f>ROUND(CW102/EP$141,0)</f>
        <v>105</v>
      </c>
      <c r="EO102" s="343">
        <f>EP102</f>
        <v>52.5</v>
      </c>
      <c r="EP102" s="354">
        <f t="shared" ref="EP102" si="32">0.5*EN102</f>
        <v>52.5</v>
      </c>
      <c r="EQ102" s="355">
        <f>ER102</f>
        <v>52.5</v>
      </c>
      <c r="ER102" s="354">
        <f>0.5*EN102</f>
        <v>52.5</v>
      </c>
      <c r="ES102" s="355">
        <f>ET102</f>
        <v>81</v>
      </c>
      <c r="ET102" s="353">
        <f>FA102+FG102+FQ102</f>
        <v>81</v>
      </c>
      <c r="EU102" s="343">
        <f>EV102</f>
        <v>301.35000000000002</v>
      </c>
      <c r="EV102" s="344">
        <f>2.87*EN102</f>
        <v>301.35000000000002</v>
      </c>
      <c r="EW102" s="343">
        <f>EX102</f>
        <v>186</v>
      </c>
      <c r="EX102" s="356">
        <f>ROUND((DH102+DF102+DD102)/1000*3,0)+ROUND((ROUND(DL102/400,0))/2.67,0)+ROUND(DV102/1000,0)+ROUND((DZ102+EB102+ED102+EH102+EJ102)/1000*3,0)+ROUND(EN102/25,0)+ROUND(ET102/50,0)</f>
        <v>186</v>
      </c>
      <c r="EY102" s="343">
        <f>EZ102</f>
        <v>21</v>
      </c>
      <c r="EZ102" s="345">
        <f>FA102</f>
        <v>21</v>
      </c>
      <c r="FA102" s="357">
        <f>(0.5*EN102)*0.4</f>
        <v>21</v>
      </c>
      <c r="FB102" s="343">
        <v>0</v>
      </c>
      <c r="FC102" s="357">
        <v>0</v>
      </c>
      <c r="FD102" s="343">
        <v>0</v>
      </c>
      <c r="FE102" s="357">
        <v>0</v>
      </c>
      <c r="FF102" s="343">
        <f>FG102</f>
        <v>0</v>
      </c>
      <c r="FG102" s="344">
        <f>ROUND((DH102+DJ102+DD102+DN102+DT102)/1000,0)</f>
        <v>0</v>
      </c>
      <c r="FH102" s="343">
        <f>FI102</f>
        <v>0</v>
      </c>
      <c r="FI102" s="344">
        <f>DF102/1000</f>
        <v>0</v>
      </c>
      <c r="FJ102" s="343">
        <f>FK102</f>
        <v>0</v>
      </c>
      <c r="FK102" s="344">
        <f>((DL102/400)/12)</f>
        <v>0</v>
      </c>
      <c r="FL102" s="343">
        <f>FM102</f>
        <v>0</v>
      </c>
      <c r="FM102" s="344">
        <v>0</v>
      </c>
      <c r="FN102" s="343">
        <v>0</v>
      </c>
      <c r="FO102" s="344">
        <v>0</v>
      </c>
      <c r="FP102" s="355">
        <f>FQ102</f>
        <v>60</v>
      </c>
      <c r="FQ102" s="344">
        <f>DX102/1000</f>
        <v>60</v>
      </c>
      <c r="FR102" s="343">
        <v>145</v>
      </c>
      <c r="FS102" s="358">
        <v>145</v>
      </c>
      <c r="FT102" s="359">
        <f>CX102-S102</f>
        <v>104980.80000000002</v>
      </c>
      <c r="FU102" s="360">
        <f>CY102-U102</f>
        <v>48249</v>
      </c>
      <c r="FV102" s="360">
        <f>(DC102+DE102+DG102)-(Y102+AA102+AC102+AE102)</f>
        <v>-11751</v>
      </c>
      <c r="FW102" s="360">
        <f>DG102-AC102</f>
        <v>-2951</v>
      </c>
      <c r="FX102" s="360">
        <f>DE102-AA102</f>
        <v>0</v>
      </c>
      <c r="FY102" s="360">
        <f>DC102-Y102</f>
        <v>0</v>
      </c>
      <c r="FZ102" s="360">
        <f>DJ102-AE102</f>
        <v>-8800</v>
      </c>
      <c r="GA102" s="361">
        <f>DL102-AL102</f>
        <v>0</v>
      </c>
      <c r="GB102" s="360">
        <f>DM102-AM102</f>
        <v>0</v>
      </c>
      <c r="GC102" s="360">
        <f>DP102-AQ102</f>
        <v>0</v>
      </c>
      <c r="GD102" s="360">
        <f>DR102-AS102</f>
        <v>0</v>
      </c>
      <c r="GE102" s="361">
        <f>DT102-AV102</f>
        <v>0</v>
      </c>
      <c r="GF102" s="360">
        <f>DV102-AW102</f>
        <v>0</v>
      </c>
      <c r="GG102" s="361">
        <f>DZ102-BB102</f>
        <v>0</v>
      </c>
      <c r="GH102" s="361">
        <f>EB102-BD102</f>
        <v>0</v>
      </c>
      <c r="GI102" s="361">
        <f>ED102-BF102</f>
        <v>0</v>
      </c>
      <c r="GJ102" s="361">
        <f>EF102-BH102</f>
        <v>0</v>
      </c>
      <c r="GK102" s="361">
        <f>EH102-BJ102</f>
        <v>0</v>
      </c>
      <c r="GL102" s="360">
        <f>DW102-AY102</f>
        <v>60000</v>
      </c>
      <c r="GM102" s="360">
        <f>EK102-BM102</f>
        <v>153230</v>
      </c>
      <c r="GN102" s="360">
        <f>EM102-BO102</f>
        <v>105</v>
      </c>
      <c r="GO102" s="345">
        <f>GP102</f>
        <v>52.5</v>
      </c>
      <c r="GP102" s="362">
        <f>EP102-BR102</f>
        <v>52.5</v>
      </c>
      <c r="GQ102" s="345">
        <f>GR102</f>
        <v>301.35000000000002</v>
      </c>
      <c r="GR102" s="362">
        <f>EV102-BT102</f>
        <v>301.35000000000002</v>
      </c>
      <c r="GS102" s="363">
        <f>GT102</f>
        <v>168</v>
      </c>
      <c r="GT102" s="362">
        <f>EX102-BV102</f>
        <v>168</v>
      </c>
      <c r="GU102" s="364">
        <f>FA102-BX102</f>
        <v>21</v>
      </c>
      <c r="GV102" s="362">
        <f>FI102-CD102</f>
        <v>0</v>
      </c>
      <c r="GW102" s="362">
        <v>0</v>
      </c>
      <c r="GX102" s="362">
        <f>FG102-CB102</f>
        <v>0</v>
      </c>
      <c r="GY102" s="362">
        <f>FK102-CF102</f>
        <v>0</v>
      </c>
      <c r="GZ102" s="362">
        <f>FM102-CH102</f>
        <v>0</v>
      </c>
      <c r="HA102" s="362">
        <f>FO102-CJ102</f>
        <v>0</v>
      </c>
      <c r="HB102" s="362">
        <f>FQ102-CL102</f>
        <v>60</v>
      </c>
      <c r="HC102" s="365">
        <f>ES102-CM102</f>
        <v>81</v>
      </c>
    </row>
    <row r="103" spans="1:216" s="366" customFormat="1" ht="18.75">
      <c r="A103" s="367"/>
      <c r="B103" s="368"/>
      <c r="C103" s="369"/>
      <c r="D103" s="369"/>
      <c r="E103" s="369"/>
      <c r="F103" s="369"/>
      <c r="G103" s="370"/>
      <c r="H103" s="371"/>
      <c r="I103" s="369"/>
      <c r="J103" s="369"/>
      <c r="K103" s="369"/>
      <c r="L103" s="369"/>
      <c r="M103" s="372"/>
      <c r="N103" s="372"/>
      <c r="O103" s="372"/>
      <c r="P103" s="372"/>
      <c r="Q103" s="373"/>
      <c r="R103" s="374"/>
      <c r="S103" s="375"/>
      <c r="T103" s="354"/>
      <c r="U103" s="375"/>
      <c r="V103" s="354"/>
      <c r="W103" s="354"/>
      <c r="X103" s="354"/>
      <c r="Y103" s="375"/>
      <c r="Z103" s="354"/>
      <c r="AA103" s="375"/>
      <c r="AB103" s="354"/>
      <c r="AC103" s="375"/>
      <c r="AD103" s="354"/>
      <c r="AE103" s="375"/>
      <c r="AF103" s="354"/>
      <c r="AG103" s="376"/>
      <c r="AH103" s="376"/>
      <c r="AI103" s="376"/>
      <c r="AJ103" s="376"/>
      <c r="AK103" s="377"/>
      <c r="AL103" s="376"/>
      <c r="AM103" s="377"/>
      <c r="AN103" s="376"/>
      <c r="AO103" s="378"/>
      <c r="AP103" s="376"/>
      <c r="AQ103" s="377"/>
      <c r="AR103" s="377"/>
      <c r="AS103" s="377"/>
      <c r="AT103" s="377"/>
      <c r="AU103" s="377"/>
      <c r="AV103" s="377"/>
      <c r="AW103" s="377"/>
      <c r="AX103" s="377"/>
      <c r="AY103" s="377"/>
      <c r="AZ103" s="376"/>
      <c r="BA103" s="376"/>
      <c r="BB103" s="376"/>
      <c r="BC103" s="376"/>
      <c r="BD103" s="376"/>
      <c r="BE103" s="376"/>
      <c r="BF103" s="376"/>
      <c r="BG103" s="376"/>
      <c r="BH103" s="376"/>
      <c r="BI103" s="376"/>
      <c r="BJ103" s="376"/>
      <c r="BK103" s="376"/>
      <c r="BL103" s="376"/>
      <c r="BM103" s="375"/>
      <c r="BN103" s="376"/>
      <c r="BO103" s="377"/>
      <c r="BP103" s="376"/>
      <c r="BQ103" s="377"/>
      <c r="BR103" s="376"/>
      <c r="BS103" s="377"/>
      <c r="BT103" s="376"/>
      <c r="BU103" s="377"/>
      <c r="BV103" s="379"/>
      <c r="BW103" s="377"/>
      <c r="BX103" s="377"/>
      <c r="BY103" s="377"/>
      <c r="BZ103" s="377"/>
      <c r="CA103" s="377"/>
      <c r="CB103" s="377"/>
      <c r="CC103" s="377"/>
      <c r="CD103" s="377"/>
      <c r="CE103" s="377"/>
      <c r="CF103" s="377"/>
      <c r="CG103" s="377"/>
      <c r="CH103" s="377"/>
      <c r="CI103" s="377"/>
      <c r="CJ103" s="377"/>
      <c r="CK103" s="377"/>
      <c r="CL103" s="377"/>
      <c r="CM103" s="377"/>
      <c r="CN103" s="377"/>
      <c r="CO103" s="377"/>
      <c r="CP103" s="377"/>
      <c r="CQ103" s="380"/>
      <c r="CR103" s="381"/>
      <c r="CS103" s="381"/>
      <c r="CT103" s="381"/>
      <c r="CU103" s="382"/>
      <c r="CV103" s="383"/>
      <c r="CW103" s="354"/>
      <c r="CX103" s="375"/>
      <c r="CY103" s="375"/>
      <c r="CZ103" s="375"/>
      <c r="DA103" s="375"/>
      <c r="DB103" s="375"/>
      <c r="DC103" s="375"/>
      <c r="DD103" s="375"/>
      <c r="DE103" s="375"/>
      <c r="DF103" s="375"/>
      <c r="DG103" s="375"/>
      <c r="DH103" s="375"/>
      <c r="DI103" s="375"/>
      <c r="DJ103" s="376"/>
      <c r="DK103" s="377"/>
      <c r="DL103" s="376"/>
      <c r="DM103" s="377"/>
      <c r="DN103" s="376"/>
      <c r="DO103" s="377"/>
      <c r="DP103" s="376"/>
      <c r="DQ103" s="377"/>
      <c r="DR103" s="376"/>
      <c r="DS103" s="377"/>
      <c r="DT103" s="376"/>
      <c r="DU103" s="377"/>
      <c r="DV103" s="376"/>
      <c r="DW103" s="377"/>
      <c r="DX103" s="343"/>
      <c r="DY103" s="375"/>
      <c r="DZ103" s="375"/>
      <c r="EA103" s="375"/>
      <c r="EB103" s="375"/>
      <c r="EC103" s="375"/>
      <c r="ED103" s="375"/>
      <c r="EE103" s="375"/>
      <c r="EF103" s="375"/>
      <c r="EG103" s="375"/>
      <c r="EH103" s="375"/>
      <c r="EI103" s="375"/>
      <c r="EJ103" s="375"/>
      <c r="EK103" s="377"/>
      <c r="EL103" s="354"/>
      <c r="EM103" s="375"/>
      <c r="EN103" s="354"/>
      <c r="EO103" s="375"/>
      <c r="EP103" s="354"/>
      <c r="EQ103" s="355"/>
      <c r="ER103" s="354"/>
      <c r="ES103" s="355"/>
      <c r="ET103" s="376"/>
      <c r="EU103" s="375"/>
      <c r="EV103" s="354"/>
      <c r="EW103" s="375"/>
      <c r="EX103" s="379"/>
      <c r="EY103" s="375"/>
      <c r="EZ103" s="357"/>
      <c r="FA103" s="357"/>
      <c r="FB103" s="375"/>
      <c r="FC103" s="357"/>
      <c r="FD103" s="375"/>
      <c r="FE103" s="357"/>
      <c r="FF103" s="375"/>
      <c r="FG103" s="354"/>
      <c r="FH103" s="375"/>
      <c r="FI103" s="354"/>
      <c r="FJ103" s="375"/>
      <c r="FK103" s="354"/>
      <c r="FL103" s="375"/>
      <c r="FM103" s="354"/>
      <c r="FN103" s="375"/>
      <c r="FO103" s="354"/>
      <c r="FP103" s="355"/>
      <c r="FQ103" s="354"/>
      <c r="FR103" s="343"/>
      <c r="FS103" s="384"/>
      <c r="FT103" s="385"/>
      <c r="FU103" s="386"/>
      <c r="FV103" s="386"/>
      <c r="FW103" s="386"/>
      <c r="FX103" s="386"/>
      <c r="FY103" s="386"/>
      <c r="FZ103" s="386"/>
      <c r="GA103" s="387"/>
      <c r="GB103" s="386"/>
      <c r="GC103" s="386"/>
      <c r="GD103" s="386"/>
      <c r="GE103" s="387"/>
      <c r="GF103" s="386"/>
      <c r="GG103" s="387"/>
      <c r="GH103" s="387"/>
      <c r="GI103" s="387"/>
      <c r="GJ103" s="387"/>
      <c r="GK103" s="387"/>
      <c r="GL103" s="386"/>
      <c r="GM103" s="386"/>
      <c r="GN103" s="386"/>
      <c r="GO103" s="357"/>
      <c r="GP103" s="364"/>
      <c r="GQ103" s="357"/>
      <c r="GR103" s="364"/>
      <c r="GS103" s="388"/>
      <c r="GT103" s="364"/>
      <c r="GU103" s="364"/>
      <c r="GV103" s="364"/>
      <c r="GW103" s="364"/>
      <c r="GX103" s="364"/>
      <c r="GY103" s="364"/>
      <c r="GZ103" s="364"/>
      <c r="HA103" s="364"/>
      <c r="HB103" s="364"/>
      <c r="HC103" s="389"/>
    </row>
    <row r="104" spans="1:216" s="90" customFormat="1" ht="15" customHeight="1">
      <c r="A104" s="2588">
        <v>36</v>
      </c>
      <c r="B104" s="3687" t="s">
        <v>703</v>
      </c>
      <c r="C104" s="115">
        <v>2871</v>
      </c>
      <c r="D104" s="115">
        <v>61</v>
      </c>
      <c r="E104" s="116">
        <v>2028710061</v>
      </c>
      <c r="F104" s="117">
        <v>14543</v>
      </c>
      <c r="G104" s="118" t="s">
        <v>756</v>
      </c>
      <c r="H104" s="119"/>
      <c r="I104" s="115">
        <v>0</v>
      </c>
      <c r="J104" s="115">
        <v>0</v>
      </c>
      <c r="K104" s="115">
        <v>2</v>
      </c>
      <c r="L104" s="115">
        <v>4.8</v>
      </c>
      <c r="M104" s="117">
        <v>0</v>
      </c>
      <c r="N104" s="117">
        <v>0</v>
      </c>
      <c r="O104" s="117">
        <v>0</v>
      </c>
      <c r="P104" s="117">
        <v>0</v>
      </c>
      <c r="Q104" s="120">
        <v>0</v>
      </c>
      <c r="R104" s="90" t="s">
        <v>720</v>
      </c>
      <c r="S104" s="2590">
        <f>SUM(T104:T106)</f>
        <v>0</v>
      </c>
      <c r="T104" s="121">
        <v>0</v>
      </c>
      <c r="U104" s="2590">
        <f>SUM(V104:V106)</f>
        <v>5059</v>
      </c>
      <c r="V104" s="122">
        <f>M104</f>
        <v>0</v>
      </c>
      <c r="W104" s="2590">
        <f>SUM(X104:X106)</f>
        <v>5059</v>
      </c>
      <c r="X104" s="121">
        <f>V104-Z104</f>
        <v>0</v>
      </c>
      <c r="Y104" s="2590">
        <f>SUM(Z104:Z106)</f>
        <v>0</v>
      </c>
      <c r="Z104" s="121">
        <v>0</v>
      </c>
      <c r="AA104" s="2590">
        <f>SUM(AB104:AB106)</f>
        <v>0</v>
      </c>
      <c r="AB104" s="121">
        <v>0</v>
      </c>
      <c r="AC104" s="2590">
        <f>SUM(AD104:AD105)</f>
        <v>0</v>
      </c>
      <c r="AD104" s="123">
        <f>V104-(Z104+AB104+AF104+AL104+AN104+AP104+AZ104)</f>
        <v>0</v>
      </c>
      <c r="AE104" s="2580">
        <f>SUM(AF104:AF106)</f>
        <v>0</v>
      </c>
      <c r="AF104" s="123">
        <f>AG104+AI104</f>
        <v>0</v>
      </c>
      <c r="AG104" s="123">
        <v>0</v>
      </c>
      <c r="AH104" s="2697">
        <f>SUM(AG104:AG106)</f>
        <v>0</v>
      </c>
      <c r="AI104" s="123">
        <v>0</v>
      </c>
      <c r="AJ104" s="2697">
        <f>SUM(AI104:AI106)</f>
        <v>0</v>
      </c>
      <c r="AK104" s="2580">
        <f>SUM(AL104:AN106)</f>
        <v>0</v>
      </c>
      <c r="AL104" s="123"/>
      <c r="AM104" s="2580">
        <f>SUM(AN104:AP106)</f>
        <v>0</v>
      </c>
      <c r="AN104" s="123">
        <v>0</v>
      </c>
      <c r="AO104" s="2582">
        <f>SUM(AP104:AP106)</f>
        <v>0</v>
      </c>
      <c r="AP104" s="123">
        <v>0</v>
      </c>
      <c r="AQ104" s="2580">
        <f>SUM(AR104:AR106)</f>
        <v>0</v>
      </c>
      <c r="AR104" s="123">
        <v>0</v>
      </c>
      <c r="AS104" s="2580">
        <f>SUM(AT104:AT106)</f>
        <v>3043</v>
      </c>
      <c r="AT104" s="123">
        <v>0</v>
      </c>
      <c r="AU104" s="2580">
        <f>SUM(AV104:AV106)</f>
        <v>0</v>
      </c>
      <c r="AV104" s="123">
        <v>0</v>
      </c>
      <c r="AW104" s="2580">
        <f>SUM(AX104:AX106)</f>
        <v>0</v>
      </c>
      <c r="AX104" s="123">
        <v>0</v>
      </c>
      <c r="AY104" s="2580">
        <f>SUM(AZ104:AZ106)</f>
        <v>2016</v>
      </c>
      <c r="AZ104" s="123">
        <f t="shared" si="18"/>
        <v>0</v>
      </c>
      <c r="BA104" s="2582">
        <f>SUM(BB104:BB106)</f>
        <v>0</v>
      </c>
      <c r="BB104" s="121"/>
      <c r="BC104" s="2582">
        <f>SUM(BD104:BD106)</f>
        <v>0</v>
      </c>
      <c r="BD104" s="121">
        <v>0</v>
      </c>
      <c r="BE104" s="2582">
        <f>SUM(BF104:BF106)</f>
        <v>2016</v>
      </c>
      <c r="BF104" s="121"/>
      <c r="BG104" s="2582">
        <f>SUM(BH104:BH106)</f>
        <v>0</v>
      </c>
      <c r="BH104" s="121">
        <v>0</v>
      </c>
      <c r="BI104" s="2582">
        <f>SUM(BJ104:BJ106)</f>
        <v>0</v>
      </c>
      <c r="BJ104" s="121">
        <v>0</v>
      </c>
      <c r="BK104" s="2582">
        <f>SUM(BL104:BL106)</f>
        <v>0</v>
      </c>
      <c r="BL104" s="121">
        <v>0</v>
      </c>
      <c r="BM104" s="2580">
        <f>SUM(BN104:BN106)</f>
        <v>5059</v>
      </c>
      <c r="BN104" s="121">
        <f>ROUND(T104+V104,0)</f>
        <v>0</v>
      </c>
      <c r="BO104" s="2580">
        <f>SUM(BP104:BP106)</f>
        <v>0</v>
      </c>
      <c r="BP104" s="121">
        <f>ROUND(T104/EP$141,0)</f>
        <v>0</v>
      </c>
      <c r="BQ104" s="2580">
        <f>SUM(BR104:BR106)</f>
        <v>0</v>
      </c>
      <c r="BR104" s="121">
        <f>BR$142*BP104</f>
        <v>0</v>
      </c>
      <c r="BS104" s="2580">
        <f>SUM(BT104:BT106)</f>
        <v>0</v>
      </c>
      <c r="BT104" s="124">
        <f t="shared" si="16"/>
        <v>0</v>
      </c>
      <c r="BU104" s="2580">
        <f>SUM(BV104:BV106)</f>
        <v>6</v>
      </c>
      <c r="BV104" s="125">
        <f>ROUND((AD104+AB104+Z104)/1000*3,0)+ROUND((AF104+AX104)/1000,0)+ROUND((ROUND(AL104/400,0))/2.67,0)+ROUND(AN104/250,0)+ROUND(AR104/15000,0)+ROUND((BB104+BD104+BF104+BJ104)/1000*3,0)+ROUND(BP104/25,0)+ROUND(CN104/50,0)</f>
        <v>0</v>
      </c>
      <c r="BW104" s="2580">
        <f>SUM(BX104:BX106)</f>
        <v>0</v>
      </c>
      <c r="BX104" s="121">
        <v>0</v>
      </c>
      <c r="BY104" s="2580">
        <f>SUM(BZ104:BZ106)</f>
        <v>0</v>
      </c>
      <c r="BZ104" s="121">
        <v>0</v>
      </c>
      <c r="CA104" s="2580">
        <f>SUM(CB104:CB106)</f>
        <v>5.0590000000000002</v>
      </c>
      <c r="CB104" s="121">
        <f>V104/1000</f>
        <v>0</v>
      </c>
      <c r="CC104" s="2580">
        <f>SUM(CD104:CD106)</f>
        <v>0</v>
      </c>
      <c r="CD104" s="121">
        <f>AB104/1000</f>
        <v>0</v>
      </c>
      <c r="CE104" s="2580">
        <f>SUM(CF104:CF106)</f>
        <v>0</v>
      </c>
      <c r="CF104" s="121">
        <f>((AL104/400)/12)</f>
        <v>0</v>
      </c>
      <c r="CG104" s="2580">
        <f>SUM(CH104:CH106)</f>
        <v>0</v>
      </c>
      <c r="CH104" s="126">
        <f>IFERROR(VLOOKUP(E104,#REF!,3,FALSE),0)</f>
        <v>0</v>
      </c>
      <c r="CI104" s="2580">
        <f>SUM(CJ104:CJ106)</f>
        <v>0</v>
      </c>
      <c r="CJ104" s="121">
        <v>0</v>
      </c>
      <c r="CK104" s="2580">
        <f>SUM(CL104:CL106)</f>
        <v>2.016</v>
      </c>
      <c r="CL104" s="121">
        <f>IF(BJ104&gt;0,"Calculate",0)</f>
        <v>0</v>
      </c>
      <c r="CM104" s="2580">
        <f>SUM(CN104:CN106)</f>
        <v>7.0750000000000002</v>
      </c>
      <c r="CN104" s="121">
        <f t="shared" si="19"/>
        <v>0</v>
      </c>
      <c r="CO104" s="121"/>
      <c r="CP104" s="2265">
        <v>0</v>
      </c>
      <c r="CQ104" s="127" t="s">
        <v>758</v>
      </c>
      <c r="CR104" s="127">
        <v>8.5</v>
      </c>
      <c r="CS104" s="127">
        <v>2</v>
      </c>
      <c r="CT104" s="127">
        <v>7.5</v>
      </c>
      <c r="CU104" s="128" t="s">
        <v>706</v>
      </c>
      <c r="CV104" s="2596" t="s">
        <v>763</v>
      </c>
      <c r="CW104" s="121">
        <f>(CR104*F104)-CZ104</f>
        <v>111253.95</v>
      </c>
      <c r="CX104" s="2590">
        <f>SUM(CW104:CW106)</f>
        <v>175039.65</v>
      </c>
      <c r="CY104" s="2598">
        <f>SUM(CZ104:CZ106)</f>
        <v>19448.849999999999</v>
      </c>
      <c r="CZ104" s="121">
        <f>1*(F104)-(0.15*1*(F104))</f>
        <v>12361.55</v>
      </c>
      <c r="DA104" s="2592">
        <f>SUM(DB104:DB106)</f>
        <v>19448.849999999999</v>
      </c>
      <c r="DB104" s="121">
        <f>CZ104-DD104</f>
        <v>12361.55</v>
      </c>
      <c r="DC104" s="2590">
        <f>SUM(DD104:DD106)</f>
        <v>0</v>
      </c>
      <c r="DD104" s="121">
        <v>0</v>
      </c>
      <c r="DE104" s="2590">
        <f>SUM(DF104:DF106)</f>
        <v>0</v>
      </c>
      <c r="DF104" s="121">
        <v>0</v>
      </c>
      <c r="DG104" s="2590">
        <f>SUM(DH104:DH106)</f>
        <v>17432.849999999999</v>
      </c>
      <c r="DH104" s="121">
        <f>CZ104-(DD104+DF104+DJ104+DL104+DN104+DT104+DV104+DX104)</f>
        <v>12361.55</v>
      </c>
      <c r="DI104" s="2590">
        <f>SUM(DJ104:DJ106)</f>
        <v>0</v>
      </c>
      <c r="DJ104" s="121">
        <v>0</v>
      </c>
      <c r="DK104" s="2590">
        <f>SUM(DL104:DL106)</f>
        <v>0</v>
      </c>
      <c r="DL104" s="121">
        <v>0</v>
      </c>
      <c r="DM104" s="2590">
        <f>SUM(DN104:DN105)</f>
        <v>0</v>
      </c>
      <c r="DN104" s="121">
        <v>0</v>
      </c>
      <c r="DO104" s="2590">
        <f>SUM(DP104:DP106)</f>
        <v>0</v>
      </c>
      <c r="DP104" s="121">
        <v>0</v>
      </c>
      <c r="DQ104" s="2590">
        <f>SUM(DR104:DR106)</f>
        <v>0</v>
      </c>
      <c r="DR104" s="121">
        <v>0</v>
      </c>
      <c r="DS104" s="2590">
        <f>SUM(DT104:DT106)</f>
        <v>0</v>
      </c>
      <c r="DT104" s="121">
        <v>0</v>
      </c>
      <c r="DU104" s="2590">
        <f>SUM(DV104:DV106)</f>
        <v>0</v>
      </c>
      <c r="DV104" s="121">
        <v>0</v>
      </c>
      <c r="DW104" s="2590">
        <f>SUM(DX104:DX106)</f>
        <v>2016</v>
      </c>
      <c r="DX104" s="103">
        <f t="shared" si="22"/>
        <v>0</v>
      </c>
      <c r="DY104" s="2590">
        <f>SUM(DZ104:DZ106)</f>
        <v>0</v>
      </c>
      <c r="DZ104" s="123">
        <v>0</v>
      </c>
      <c r="EA104" s="2590">
        <f>SUM(EB104:EB106)</f>
        <v>0</v>
      </c>
      <c r="EB104" s="123">
        <v>0</v>
      </c>
      <c r="EC104" s="2590">
        <f>SUM(ED104:ED106)</f>
        <v>2016</v>
      </c>
      <c r="ED104" s="123">
        <v>0</v>
      </c>
      <c r="EE104" s="2590">
        <f>SUM(EF104:EF106)</f>
        <v>0</v>
      </c>
      <c r="EF104" s="123">
        <v>0</v>
      </c>
      <c r="EG104" s="2590">
        <f>SUM(EH104:EH106)</f>
        <v>0</v>
      </c>
      <c r="EH104" s="123">
        <v>0</v>
      </c>
      <c r="EI104" s="2590">
        <f>SUM(EJ104:EJ106)</f>
        <v>0</v>
      </c>
      <c r="EJ104" s="123">
        <v>0</v>
      </c>
      <c r="EK104" s="2580">
        <f>SUM(EL104:EL106)</f>
        <v>194490</v>
      </c>
      <c r="EL104" s="121">
        <f>ROUND(CW104+CZ104,0)</f>
        <v>123616</v>
      </c>
      <c r="EM104" s="2600">
        <f>SUM(EN104:EN106)</f>
        <v>174</v>
      </c>
      <c r="EN104" s="122">
        <f>ROUND(CW104/EP$141,0)</f>
        <v>111</v>
      </c>
      <c r="EO104" s="2600">
        <f>SUM(EP104:EP106)</f>
        <v>174</v>
      </c>
      <c r="EP104" s="122">
        <f>EN104</f>
        <v>111</v>
      </c>
      <c r="EQ104" s="2600">
        <f>SUM(ER104:ER106)</f>
        <v>174</v>
      </c>
      <c r="ER104" s="122">
        <f>EP104</f>
        <v>111</v>
      </c>
      <c r="ES104" s="2600">
        <f>SUM(ET104:ET106)</f>
        <v>19.015999999999998</v>
      </c>
      <c r="ET104" s="102">
        <f>FA104+FG104+FQ104</f>
        <v>12</v>
      </c>
      <c r="EU104" s="2590">
        <f>SUM(EV104:EV106)</f>
        <v>499.38</v>
      </c>
      <c r="EV104" s="122">
        <f>2.87*EN104</f>
        <v>318.57</v>
      </c>
      <c r="EW104" s="2590">
        <f>SUM(EX104:EX106)</f>
        <v>64</v>
      </c>
      <c r="EX104" s="129">
        <f>ROUND((DH104+DF104+DD104)/1000*3,0)+ROUND((ROUND(DL104/400,0))/2.67,0)+ROUND(DV104/1000,0)+ROUND((DZ104+EB104+ED104+EH104)/1000*3,0)+ROUND(EN104/25,0)+ROUND(ET104/50,0)</f>
        <v>41</v>
      </c>
      <c r="EY104" s="2590">
        <f>SUM(EZ104:EZ106)</f>
        <v>0</v>
      </c>
      <c r="EZ104" s="2610">
        <f>SUM(FA104:FA106)</f>
        <v>0</v>
      </c>
      <c r="FA104" s="2223">
        <v>0</v>
      </c>
      <c r="FB104" s="2590">
        <f>SUM(FC104:FC106)</f>
        <v>0</v>
      </c>
      <c r="FC104" s="2223">
        <v>0</v>
      </c>
      <c r="FD104" s="2590">
        <f>SUM(FE104:FE106)</f>
        <v>0</v>
      </c>
      <c r="FE104" s="2223">
        <v>0</v>
      </c>
      <c r="FF104" s="2590">
        <f>SUM(FG104:FG106)</f>
        <v>17</v>
      </c>
      <c r="FG104" s="122">
        <f>ROUND((DH104+DJ104+DD104+DN104+DT104)/1000,0)</f>
        <v>12</v>
      </c>
      <c r="FH104" s="2590">
        <f>SUM(FI104:FI106)</f>
        <v>0</v>
      </c>
      <c r="FI104" s="122">
        <f>DF104/1000</f>
        <v>0</v>
      </c>
      <c r="FJ104" s="2590">
        <f>SUM(FK104:FK106)</f>
        <v>0</v>
      </c>
      <c r="FK104" s="122">
        <f>((DL104/400)/12)</f>
        <v>0</v>
      </c>
      <c r="FL104" s="2590">
        <f>SUM(FM104:FM106)</f>
        <v>0</v>
      </c>
      <c r="FM104" s="122">
        <v>0</v>
      </c>
      <c r="FN104" s="2590">
        <f>SUM(FO104:FO106)</f>
        <v>0</v>
      </c>
      <c r="FO104" s="122">
        <v>0</v>
      </c>
      <c r="FP104" s="2600">
        <f>SUM(FQ104:FQ106)</f>
        <v>2.016</v>
      </c>
      <c r="FQ104" s="122">
        <f>DX104/1000</f>
        <v>0</v>
      </c>
      <c r="FR104" s="2590">
        <f>SUM(FS104:FS106)</f>
        <v>175</v>
      </c>
      <c r="FS104" s="2604">
        <v>175</v>
      </c>
      <c r="FT104" s="2606">
        <f>CX104-S104</f>
        <v>175039.65</v>
      </c>
      <c r="FU104" s="2602">
        <f>CY104-U104</f>
        <v>14389.849999999999</v>
      </c>
      <c r="FV104" s="2608">
        <f>(DC104+DE104+DG104)-(Y104+AA104+AC104+AE104)</f>
        <v>17432.849999999999</v>
      </c>
      <c r="FW104" s="2608">
        <f>DG104-AC104</f>
        <v>17432.849999999999</v>
      </c>
      <c r="FX104" s="2602">
        <f>DE104-AA104</f>
        <v>0</v>
      </c>
      <c r="FY104" s="2602">
        <f>DC104-Y104</f>
        <v>0</v>
      </c>
      <c r="FZ104" s="2602">
        <f>DJ104-AE104</f>
        <v>0</v>
      </c>
      <c r="GA104" s="2602">
        <f>DL104-AL104</f>
        <v>0</v>
      </c>
      <c r="GB104" s="2602">
        <f>DM104-AM104</f>
        <v>0</v>
      </c>
      <c r="GC104" s="2602">
        <f>DP104-AQ104</f>
        <v>0</v>
      </c>
      <c r="GD104" s="2602">
        <f>DR104-AS104</f>
        <v>-3043</v>
      </c>
      <c r="GE104" s="2602">
        <f>DT104-AV104</f>
        <v>0</v>
      </c>
      <c r="GF104" s="2602">
        <f>DV104-AW104</f>
        <v>0</v>
      </c>
      <c r="GG104" s="2602">
        <f>DZ104-BB104</f>
        <v>0</v>
      </c>
      <c r="GH104" s="2602">
        <f>EB104-BD104</f>
        <v>0</v>
      </c>
      <c r="GI104" s="2602">
        <f>ED104-BF104</f>
        <v>0</v>
      </c>
      <c r="GJ104" s="2602">
        <f>EF104-BH104</f>
        <v>0</v>
      </c>
      <c r="GK104" s="2602">
        <f>EH104-BJ104</f>
        <v>0</v>
      </c>
      <c r="GL104" s="2608">
        <f>DW104-AY104</f>
        <v>0</v>
      </c>
      <c r="GM104" s="2608">
        <f>EK104-BM104</f>
        <v>189431</v>
      </c>
      <c r="GN104" s="2608">
        <f>EM104-BO104</f>
        <v>174</v>
      </c>
      <c r="GO104" s="2582">
        <f>SUM(GP104:GP106)</f>
        <v>174</v>
      </c>
      <c r="GP104" s="114">
        <f>EP104-BR104</f>
        <v>111</v>
      </c>
      <c r="GQ104" s="2582">
        <f>SUM(GR104:GR106)</f>
        <v>499.38</v>
      </c>
      <c r="GR104" s="114">
        <f>EV104-BT104</f>
        <v>318.57</v>
      </c>
      <c r="GS104" s="2676">
        <f>SUM(GT104:GT106)</f>
        <v>58</v>
      </c>
      <c r="GT104" s="114">
        <f>EX104-BV104</f>
        <v>41</v>
      </c>
      <c r="GU104" s="114">
        <f>FA104-BX104</f>
        <v>0</v>
      </c>
      <c r="GV104" s="114">
        <f>FI104-CD104</f>
        <v>0</v>
      </c>
      <c r="GW104" s="114">
        <v>0</v>
      </c>
      <c r="GX104" s="114">
        <f>FG104-CB104</f>
        <v>12</v>
      </c>
      <c r="GY104" s="114">
        <f>FK104-CF104</f>
        <v>0</v>
      </c>
      <c r="GZ104" s="114">
        <f>FM104-CH104</f>
        <v>0</v>
      </c>
      <c r="HA104" s="114">
        <f>FO104-CJ104</f>
        <v>0</v>
      </c>
      <c r="HB104" s="114">
        <f>FQ104-CL104</f>
        <v>0</v>
      </c>
      <c r="HC104" s="2616">
        <f>ES104-CM104</f>
        <v>11.940999999999999</v>
      </c>
      <c r="HD104" s="95"/>
      <c r="HE104" s="95"/>
      <c r="HF104" s="95"/>
      <c r="HG104" s="95"/>
    </row>
    <row r="105" spans="1:216" s="95" customFormat="1" ht="15" customHeight="1">
      <c r="A105" s="2660"/>
      <c r="B105" s="131" t="s">
        <v>710</v>
      </c>
      <c r="C105" s="132">
        <v>2871</v>
      </c>
      <c r="D105" s="132">
        <v>133</v>
      </c>
      <c r="E105" s="132">
        <v>2028710133</v>
      </c>
      <c r="F105" s="134">
        <v>1365</v>
      </c>
      <c r="G105" s="135" t="s">
        <v>756</v>
      </c>
      <c r="H105" s="136"/>
      <c r="I105" s="132">
        <v>0</v>
      </c>
      <c r="J105" s="132">
        <v>0</v>
      </c>
      <c r="K105" s="132">
        <v>2</v>
      </c>
      <c r="L105" s="132">
        <v>4.8</v>
      </c>
      <c r="M105" s="134">
        <v>0</v>
      </c>
      <c r="N105" s="134">
        <v>0</v>
      </c>
      <c r="O105" s="134">
        <v>0</v>
      </c>
      <c r="P105" s="134">
        <v>0</v>
      </c>
      <c r="Q105" s="137">
        <v>0</v>
      </c>
      <c r="R105" s="95" t="s">
        <v>764</v>
      </c>
      <c r="S105" s="2661"/>
      <c r="T105" s="102">
        <v>0</v>
      </c>
      <c r="U105" s="2661"/>
      <c r="V105" s="102">
        <v>0</v>
      </c>
      <c r="W105" s="2661"/>
      <c r="X105" s="102">
        <v>0</v>
      </c>
      <c r="Y105" s="2661"/>
      <c r="Z105" s="102">
        <v>0</v>
      </c>
      <c r="AA105" s="2661"/>
      <c r="AB105" s="102">
        <v>0</v>
      </c>
      <c r="AC105" s="2661"/>
      <c r="AD105" s="103">
        <f>V105-(Z105+AB105+AF105+AL105+AN105+AP105+AZ105)</f>
        <v>0</v>
      </c>
      <c r="AE105" s="2658"/>
      <c r="AF105" s="103">
        <f>AG105+AI105</f>
        <v>0</v>
      </c>
      <c r="AG105" s="390">
        <v>0</v>
      </c>
      <c r="AH105" s="2698"/>
      <c r="AI105" s="390">
        <v>0</v>
      </c>
      <c r="AJ105" s="2698"/>
      <c r="AK105" s="2658"/>
      <c r="AL105" s="103"/>
      <c r="AM105" s="2658"/>
      <c r="AN105" s="103">
        <v>0</v>
      </c>
      <c r="AO105" s="2644"/>
      <c r="AP105" s="103">
        <v>0</v>
      </c>
      <c r="AQ105" s="2658"/>
      <c r="AR105" s="103">
        <v>0</v>
      </c>
      <c r="AS105" s="2658"/>
      <c r="AT105" s="103">
        <v>0</v>
      </c>
      <c r="AU105" s="2658"/>
      <c r="AV105" s="103">
        <v>0</v>
      </c>
      <c r="AW105" s="2658"/>
      <c r="AX105" s="103">
        <v>0</v>
      </c>
      <c r="AY105" s="2658"/>
      <c r="AZ105" s="103">
        <f t="shared" si="18"/>
        <v>0</v>
      </c>
      <c r="BA105" s="2644"/>
      <c r="BB105" s="97">
        <v>0</v>
      </c>
      <c r="BC105" s="2644"/>
      <c r="BD105" s="97">
        <v>0</v>
      </c>
      <c r="BE105" s="2644"/>
      <c r="BF105" s="97">
        <v>0</v>
      </c>
      <c r="BG105" s="2644"/>
      <c r="BH105" s="97">
        <v>0</v>
      </c>
      <c r="BI105" s="2644"/>
      <c r="BJ105" s="97">
        <v>0</v>
      </c>
      <c r="BK105" s="2644"/>
      <c r="BL105" s="97">
        <v>0</v>
      </c>
      <c r="BM105" s="2658"/>
      <c r="BN105" s="97">
        <f>ROUND(T105+V105,0)</f>
        <v>0</v>
      </c>
      <c r="BO105" s="2658"/>
      <c r="BP105" s="97">
        <v>0</v>
      </c>
      <c r="BQ105" s="2658"/>
      <c r="BR105" s="97">
        <v>0</v>
      </c>
      <c r="BS105" s="2658"/>
      <c r="BT105" s="182">
        <f t="shared" si="16"/>
        <v>0</v>
      </c>
      <c r="BU105" s="2658"/>
      <c r="BV105" s="138">
        <f>ROUND((AD105+AB105+Z105)/1000*3,0)+ROUND((AF105+AX105)/1000,0)+ROUND((ROUND(AL105/400,0))/2.67,0)+ROUND(AN105/250,0)+ROUND(AR105/15000,0)+ROUND((BB105+BD105+BF105+BJ105)/1000*3,0)+ROUND(BP105/25,0)+ROUND(CN105/50,0)</f>
        <v>0</v>
      </c>
      <c r="BW105" s="2658"/>
      <c r="BX105" s="97"/>
      <c r="BY105" s="2658"/>
      <c r="BZ105" s="97"/>
      <c r="CA105" s="2658"/>
      <c r="CB105" s="97"/>
      <c r="CC105" s="2658"/>
      <c r="CD105" s="97"/>
      <c r="CE105" s="2658"/>
      <c r="CF105" s="97"/>
      <c r="CG105" s="2658"/>
      <c r="CH105" s="97"/>
      <c r="CI105" s="2658"/>
      <c r="CJ105" s="97">
        <v>0</v>
      </c>
      <c r="CK105" s="2658"/>
      <c r="CL105" s="97">
        <v>0</v>
      </c>
      <c r="CM105" s="2658"/>
      <c r="CN105" s="97">
        <f t="shared" si="19"/>
        <v>0</v>
      </c>
      <c r="CO105" s="97"/>
      <c r="CP105" s="106">
        <v>0</v>
      </c>
      <c r="CQ105" s="95" t="s">
        <v>758</v>
      </c>
      <c r="CR105" s="139">
        <v>8.5</v>
      </c>
      <c r="CS105" s="139">
        <v>2</v>
      </c>
      <c r="CT105" s="139">
        <v>7.5</v>
      </c>
      <c r="CU105" s="108" t="s">
        <v>706</v>
      </c>
      <c r="CV105" s="2662"/>
      <c r="CW105" s="97">
        <f>(CR105*F105)-CZ105</f>
        <v>10442.25</v>
      </c>
      <c r="CX105" s="2661"/>
      <c r="CY105" s="2663"/>
      <c r="CZ105" s="97">
        <f>1*(F105)-(0.15*1*(F105))</f>
        <v>1160.25</v>
      </c>
      <c r="DA105" s="2664"/>
      <c r="DB105" s="97">
        <f>CZ105-DD105</f>
        <v>1160.25</v>
      </c>
      <c r="DC105" s="2661"/>
      <c r="DD105" s="97">
        <v>0</v>
      </c>
      <c r="DE105" s="2661"/>
      <c r="DF105" s="97">
        <v>0</v>
      </c>
      <c r="DG105" s="2661"/>
      <c r="DH105" s="97">
        <f>CZ105-(DD105+DF105+DJ105+DL105+DN105+DT105+DV105+DX105)</f>
        <v>1160.25</v>
      </c>
      <c r="DI105" s="2661"/>
      <c r="DJ105" s="97">
        <v>0</v>
      </c>
      <c r="DK105" s="2661"/>
      <c r="DL105" s="97">
        <v>0</v>
      </c>
      <c r="DM105" s="2661"/>
      <c r="DN105" s="97">
        <v>0</v>
      </c>
      <c r="DO105" s="2661"/>
      <c r="DP105" s="97">
        <v>0</v>
      </c>
      <c r="DQ105" s="2661"/>
      <c r="DR105" s="97">
        <v>0</v>
      </c>
      <c r="DS105" s="2661"/>
      <c r="DT105" s="97">
        <v>0</v>
      </c>
      <c r="DU105" s="2661"/>
      <c r="DV105" s="97">
        <v>0</v>
      </c>
      <c r="DW105" s="2661"/>
      <c r="DX105" s="103">
        <f t="shared" si="22"/>
        <v>0</v>
      </c>
      <c r="DY105" s="2661"/>
      <c r="DZ105" s="103">
        <v>0</v>
      </c>
      <c r="EA105" s="2661"/>
      <c r="EB105" s="103">
        <v>0</v>
      </c>
      <c r="EC105" s="2661"/>
      <c r="ED105" s="103">
        <v>0</v>
      </c>
      <c r="EE105" s="2661"/>
      <c r="EF105" s="103">
        <v>0</v>
      </c>
      <c r="EG105" s="2661"/>
      <c r="EH105" s="103">
        <v>0</v>
      </c>
      <c r="EI105" s="2661"/>
      <c r="EJ105" s="103">
        <v>0</v>
      </c>
      <c r="EK105" s="2658"/>
      <c r="EL105" s="97">
        <f>ROUND(CW105+CZ105,0)</f>
        <v>11603</v>
      </c>
      <c r="EM105" s="2643"/>
      <c r="EN105" s="102">
        <f>ROUND(CW105/EP$141,0)</f>
        <v>10</v>
      </c>
      <c r="EO105" s="2643"/>
      <c r="EP105" s="102">
        <f>EN105</f>
        <v>10</v>
      </c>
      <c r="EQ105" s="2643"/>
      <c r="ER105" s="102">
        <f t="shared" ref="ER105:ER106" si="33">EP105</f>
        <v>10</v>
      </c>
      <c r="ES105" s="2643"/>
      <c r="ET105" s="102">
        <f>FA105+FG105+FQ105</f>
        <v>1</v>
      </c>
      <c r="EU105" s="2661"/>
      <c r="EV105" s="102">
        <f>2.87*EN105</f>
        <v>28.700000000000003</v>
      </c>
      <c r="EW105" s="2661"/>
      <c r="EX105" s="186">
        <f>ROUND((DH105+DF105+DD105)/1000*3,0)+ROUND((ROUND(DL105/400,0))/2.67,0)+ROUND(DV105/1000,0)+ROUND((DZ105+EB105+ED105+EH105)/1000*3,0)+ROUND(EN105/25,0)+ROUND(ET105/50,0)</f>
        <v>3</v>
      </c>
      <c r="EY105" s="2661"/>
      <c r="EZ105" s="2642"/>
      <c r="FA105" s="2224">
        <v>0</v>
      </c>
      <c r="FB105" s="2661"/>
      <c r="FC105" s="2224">
        <v>0</v>
      </c>
      <c r="FD105" s="2661"/>
      <c r="FE105" s="2224">
        <v>0</v>
      </c>
      <c r="FF105" s="2661"/>
      <c r="FG105" s="102">
        <f>ROUND((DH105+DJ105+DD105+DN105+DT105)/1000,0)</f>
        <v>1</v>
      </c>
      <c r="FH105" s="2661"/>
      <c r="FI105" s="102">
        <f>DF105/1000</f>
        <v>0</v>
      </c>
      <c r="FJ105" s="2661"/>
      <c r="FK105" s="102">
        <f>((DL105/400)/12)</f>
        <v>0</v>
      </c>
      <c r="FL105" s="2661"/>
      <c r="FM105" s="102">
        <v>0</v>
      </c>
      <c r="FN105" s="2661"/>
      <c r="FO105" s="102">
        <v>0</v>
      </c>
      <c r="FP105" s="2643"/>
      <c r="FQ105" s="102">
        <f>DX105/1000</f>
        <v>0</v>
      </c>
      <c r="FR105" s="2661"/>
      <c r="FS105" s="2667"/>
      <c r="FT105" s="2668"/>
      <c r="FU105" s="2665"/>
      <c r="FV105" s="2666"/>
      <c r="FW105" s="2666"/>
      <c r="FX105" s="2665"/>
      <c r="FY105" s="2665"/>
      <c r="FZ105" s="2665"/>
      <c r="GA105" s="2665"/>
      <c r="GB105" s="2665"/>
      <c r="GC105" s="2665"/>
      <c r="GD105" s="2665"/>
      <c r="GE105" s="2665"/>
      <c r="GF105" s="2665"/>
      <c r="GG105" s="2665"/>
      <c r="GH105" s="2665"/>
      <c r="GI105" s="2665"/>
      <c r="GJ105" s="2665"/>
      <c r="GK105" s="2665"/>
      <c r="GL105" s="2666"/>
      <c r="GM105" s="2666"/>
      <c r="GN105" s="2666"/>
      <c r="GO105" s="2644"/>
      <c r="GP105" s="113">
        <f>EP105-BR105</f>
        <v>10</v>
      </c>
      <c r="GQ105" s="2644"/>
      <c r="GR105" s="113">
        <f>EV105-BT105</f>
        <v>28.700000000000003</v>
      </c>
      <c r="GS105" s="2677"/>
      <c r="GT105" s="113">
        <f>EX105-BV105</f>
        <v>3</v>
      </c>
      <c r="GU105" s="113">
        <f>FA105-BX105</f>
        <v>0</v>
      </c>
      <c r="GV105" s="113">
        <f>FI105-CD105</f>
        <v>0</v>
      </c>
      <c r="GW105" s="113">
        <v>0</v>
      </c>
      <c r="GX105" s="113">
        <f>FG105-CB105</f>
        <v>1</v>
      </c>
      <c r="GY105" s="113">
        <f>FK105-CF105</f>
        <v>0</v>
      </c>
      <c r="GZ105" s="113">
        <f>FM105-CH105</f>
        <v>0</v>
      </c>
      <c r="HA105" s="113">
        <f>FO105-CJ105</f>
        <v>0</v>
      </c>
      <c r="HB105" s="113">
        <f>FQ105-CL105</f>
        <v>0</v>
      </c>
      <c r="HC105" s="2669"/>
    </row>
    <row r="106" spans="1:216" s="72" customFormat="1" ht="15" customHeight="1">
      <c r="A106" s="2589"/>
      <c r="B106" s="130" t="s">
        <v>721</v>
      </c>
      <c r="C106" s="66">
        <v>2871</v>
      </c>
      <c r="D106" s="66">
        <v>140</v>
      </c>
      <c r="E106" s="67">
        <v>2028710140</v>
      </c>
      <c r="F106" s="68">
        <v>6973</v>
      </c>
      <c r="G106" s="69" t="s">
        <v>756</v>
      </c>
      <c r="H106" s="70"/>
      <c r="I106" s="66">
        <v>0.73</v>
      </c>
      <c r="J106" s="66">
        <v>0</v>
      </c>
      <c r="K106" s="66">
        <v>2</v>
      </c>
      <c r="L106" s="66">
        <v>4.8</v>
      </c>
      <c r="M106" s="68">
        <v>3043</v>
      </c>
      <c r="N106" s="68">
        <v>0</v>
      </c>
      <c r="O106" s="68">
        <v>0</v>
      </c>
      <c r="P106" s="68">
        <v>5059</v>
      </c>
      <c r="Q106" s="71">
        <v>0</v>
      </c>
      <c r="R106" s="72" t="s">
        <v>765</v>
      </c>
      <c r="S106" s="2591"/>
      <c r="T106" s="73">
        <v>0</v>
      </c>
      <c r="U106" s="2591"/>
      <c r="V106" s="74">
        <f>AT106+AZ106</f>
        <v>5059</v>
      </c>
      <c r="W106" s="2591"/>
      <c r="X106" s="73">
        <f>V106-Z106</f>
        <v>5059</v>
      </c>
      <c r="Y106" s="2591"/>
      <c r="Z106" s="73">
        <v>0</v>
      </c>
      <c r="AA106" s="2591"/>
      <c r="AB106" s="73">
        <v>0</v>
      </c>
      <c r="AC106" s="2591"/>
      <c r="AD106" s="75">
        <f>V106-(Z106+AB106+AF106+AL106+AN106+AP106+AZ106+AR106+AT106+AV106+AX106)</f>
        <v>0</v>
      </c>
      <c r="AE106" s="2581"/>
      <c r="AF106" s="75">
        <f>AG106+AI106</f>
        <v>0</v>
      </c>
      <c r="AG106" s="75">
        <v>0</v>
      </c>
      <c r="AH106" s="2699"/>
      <c r="AI106" s="75">
        <v>0</v>
      </c>
      <c r="AJ106" s="2699"/>
      <c r="AK106" s="2581"/>
      <c r="AL106" s="75">
        <v>0</v>
      </c>
      <c r="AM106" s="2581"/>
      <c r="AN106" s="75">
        <v>0</v>
      </c>
      <c r="AO106" s="2583"/>
      <c r="AP106" s="75">
        <v>0</v>
      </c>
      <c r="AQ106" s="2581"/>
      <c r="AR106" s="75">
        <v>0</v>
      </c>
      <c r="AS106" s="2581"/>
      <c r="AT106" s="75">
        <v>3043</v>
      </c>
      <c r="AU106" s="2581"/>
      <c r="AV106" s="75">
        <v>0</v>
      </c>
      <c r="AW106" s="2581"/>
      <c r="AX106" s="75">
        <v>0</v>
      </c>
      <c r="AY106" s="2581"/>
      <c r="AZ106" s="75">
        <f t="shared" si="18"/>
        <v>2016</v>
      </c>
      <c r="BA106" s="2583"/>
      <c r="BB106" s="73">
        <v>0</v>
      </c>
      <c r="BC106" s="2583"/>
      <c r="BD106" s="73">
        <v>0</v>
      </c>
      <c r="BE106" s="2583"/>
      <c r="BF106" s="73">
        <v>2016</v>
      </c>
      <c r="BG106" s="2583"/>
      <c r="BH106" s="73">
        <v>0</v>
      </c>
      <c r="BI106" s="2583"/>
      <c r="BJ106" s="73">
        <v>0</v>
      </c>
      <c r="BK106" s="2583"/>
      <c r="BL106" s="73">
        <v>0</v>
      </c>
      <c r="BM106" s="2581"/>
      <c r="BN106" s="73">
        <f>ROUND(T106+V106,0)</f>
        <v>5059</v>
      </c>
      <c r="BO106" s="2581"/>
      <c r="BP106" s="73">
        <v>0</v>
      </c>
      <c r="BQ106" s="2581"/>
      <c r="BR106" s="73">
        <f>BR$142*BP106</f>
        <v>0</v>
      </c>
      <c r="BS106" s="2581"/>
      <c r="BT106" s="77">
        <f t="shared" si="16"/>
        <v>0</v>
      </c>
      <c r="BU106" s="2581"/>
      <c r="BV106" s="78">
        <f>ROUND((AD106+AB106+Z106)/1000*3,0)+ROUND((AF106+AX106)/1000,0)+ROUND((ROUND(AL106/400,0))/2.67,0)+ROUND(AN106/250,0)+ROUND(AR106/15000,0)+ROUND((BB106+BD106+BF106+BJ106)/1000*3,0)+ROUND(BP106/25,0)+ROUND(CN106/50,0)</f>
        <v>6</v>
      </c>
      <c r="BW106" s="2581"/>
      <c r="BX106" s="73">
        <v>0</v>
      </c>
      <c r="BY106" s="2581"/>
      <c r="BZ106" s="73">
        <v>0</v>
      </c>
      <c r="CA106" s="2581"/>
      <c r="CB106" s="73">
        <f>V106/1000</f>
        <v>5.0590000000000002</v>
      </c>
      <c r="CC106" s="2581"/>
      <c r="CD106" s="73">
        <f>AB106/1000</f>
        <v>0</v>
      </c>
      <c r="CE106" s="2581"/>
      <c r="CF106" s="73">
        <f>((AL106/400)/12)</f>
        <v>0</v>
      </c>
      <c r="CG106" s="2581"/>
      <c r="CH106" s="79">
        <f>IFERROR(VLOOKUP(E106,#REF!,3,FALSE),0)</f>
        <v>0</v>
      </c>
      <c r="CI106" s="2581"/>
      <c r="CJ106" s="73">
        <v>0</v>
      </c>
      <c r="CK106" s="2581"/>
      <c r="CL106" s="391">
        <f>AZ106/1000</f>
        <v>2.016</v>
      </c>
      <c r="CM106" s="2581"/>
      <c r="CN106" s="73">
        <f t="shared" si="19"/>
        <v>7.0750000000000002</v>
      </c>
      <c r="CO106" s="73"/>
      <c r="CP106" s="2266">
        <v>24</v>
      </c>
      <c r="CQ106" s="81" t="s">
        <v>758</v>
      </c>
      <c r="CR106" s="81">
        <v>8.5</v>
      </c>
      <c r="CS106" s="81">
        <v>2</v>
      </c>
      <c r="CT106" s="81">
        <v>7.5</v>
      </c>
      <c r="CU106" s="82" t="s">
        <v>706</v>
      </c>
      <c r="CV106" s="2597"/>
      <c r="CW106" s="73">
        <f>(CR106*F106)-CZ106</f>
        <v>53343.45</v>
      </c>
      <c r="CX106" s="2591"/>
      <c r="CY106" s="2599"/>
      <c r="CZ106" s="73">
        <f>1*(F106)-(0.15*1*(F106))</f>
        <v>5927.05</v>
      </c>
      <c r="DA106" s="2593"/>
      <c r="DB106" s="73">
        <f>CZ106-DD106</f>
        <v>5927.05</v>
      </c>
      <c r="DC106" s="2591"/>
      <c r="DD106" s="73">
        <v>0</v>
      </c>
      <c r="DE106" s="2591"/>
      <c r="DF106" s="73">
        <v>0</v>
      </c>
      <c r="DG106" s="2591"/>
      <c r="DH106" s="73">
        <f>CZ106-(DD106+DF106+DJ106+DL106+DN106+DT106+DV106+DX106)</f>
        <v>3911.05</v>
      </c>
      <c r="DI106" s="2591"/>
      <c r="DJ106" s="73">
        <v>0</v>
      </c>
      <c r="DK106" s="2591"/>
      <c r="DL106" s="73">
        <v>0</v>
      </c>
      <c r="DM106" s="2591"/>
      <c r="DN106" s="73">
        <v>0</v>
      </c>
      <c r="DO106" s="2591"/>
      <c r="DP106" s="73">
        <v>0</v>
      </c>
      <c r="DQ106" s="2591"/>
      <c r="DR106" s="73">
        <v>0</v>
      </c>
      <c r="DS106" s="2591"/>
      <c r="DT106" s="73">
        <v>0</v>
      </c>
      <c r="DU106" s="2591"/>
      <c r="DV106" s="73">
        <v>0</v>
      </c>
      <c r="DW106" s="2591"/>
      <c r="DX106" s="75">
        <f t="shared" si="22"/>
        <v>2016</v>
      </c>
      <c r="DY106" s="2591"/>
      <c r="DZ106" s="75">
        <v>0</v>
      </c>
      <c r="EA106" s="2591"/>
      <c r="EB106" s="75">
        <v>0</v>
      </c>
      <c r="EC106" s="2591"/>
      <c r="ED106" s="75">
        <v>2016</v>
      </c>
      <c r="EE106" s="2591"/>
      <c r="EF106" s="75">
        <v>0</v>
      </c>
      <c r="EG106" s="2591"/>
      <c r="EH106" s="75">
        <v>0</v>
      </c>
      <c r="EI106" s="2591"/>
      <c r="EJ106" s="75">
        <v>0</v>
      </c>
      <c r="EK106" s="2581"/>
      <c r="EL106" s="73">
        <f>ROUND(CW106+CZ106,0)</f>
        <v>59271</v>
      </c>
      <c r="EM106" s="2601"/>
      <c r="EN106" s="74">
        <f>ROUND(CW106/EP$141,0)</f>
        <v>53</v>
      </c>
      <c r="EO106" s="2601"/>
      <c r="EP106" s="74">
        <f>EN106</f>
        <v>53</v>
      </c>
      <c r="EQ106" s="2601"/>
      <c r="ER106" s="74">
        <f t="shared" si="33"/>
        <v>53</v>
      </c>
      <c r="ES106" s="2601"/>
      <c r="ET106" s="74">
        <f>FA106+FG106+FQ106</f>
        <v>6.016</v>
      </c>
      <c r="EU106" s="2591"/>
      <c r="EV106" s="74">
        <f>2.87*EN106</f>
        <v>152.11000000000001</v>
      </c>
      <c r="EW106" s="2591"/>
      <c r="EX106" s="88">
        <f>ROUND((DH106+DF106+DD106)/1000*3,0)+ROUND((ROUND(DL106/400,0))/2.67,0)+ROUND(DV106/1000,0)+ROUND((DZ106+EB106+ED106+EH106)/1000*3,0)+ROUND(EN106/25,0)+ROUND(ET106/50,0)</f>
        <v>20</v>
      </c>
      <c r="EY106" s="2591"/>
      <c r="EZ106" s="2611"/>
      <c r="FA106" s="2225">
        <v>0</v>
      </c>
      <c r="FB106" s="2591"/>
      <c r="FC106" s="2225">
        <v>0</v>
      </c>
      <c r="FD106" s="2591"/>
      <c r="FE106" s="2225">
        <v>0</v>
      </c>
      <c r="FF106" s="2591"/>
      <c r="FG106" s="74">
        <f>ROUND((DH106+DJ106+DD106+DN106+DT106)/1000,0)</f>
        <v>4</v>
      </c>
      <c r="FH106" s="2591"/>
      <c r="FI106" s="74">
        <f>DF106/1000</f>
        <v>0</v>
      </c>
      <c r="FJ106" s="2591"/>
      <c r="FK106" s="74">
        <f>((DL106/400)/12)</f>
        <v>0</v>
      </c>
      <c r="FL106" s="2591"/>
      <c r="FM106" s="74">
        <v>0</v>
      </c>
      <c r="FN106" s="2591"/>
      <c r="FO106" s="74">
        <v>0</v>
      </c>
      <c r="FP106" s="2601"/>
      <c r="FQ106" s="74">
        <f>DX106/1000</f>
        <v>2.016</v>
      </c>
      <c r="FR106" s="2591"/>
      <c r="FS106" s="2605"/>
      <c r="FT106" s="2607"/>
      <c r="FU106" s="2603"/>
      <c r="FV106" s="2609"/>
      <c r="FW106" s="2609"/>
      <c r="FX106" s="2603"/>
      <c r="FY106" s="2603"/>
      <c r="FZ106" s="2603"/>
      <c r="GA106" s="2603"/>
      <c r="GB106" s="2603"/>
      <c r="GC106" s="2603"/>
      <c r="GD106" s="2603"/>
      <c r="GE106" s="2603"/>
      <c r="GF106" s="2603"/>
      <c r="GG106" s="2603"/>
      <c r="GH106" s="2603"/>
      <c r="GI106" s="2603"/>
      <c r="GJ106" s="2603"/>
      <c r="GK106" s="2603"/>
      <c r="GL106" s="2609"/>
      <c r="GM106" s="2609"/>
      <c r="GN106" s="2609"/>
      <c r="GO106" s="2583"/>
      <c r="GP106" s="89">
        <f>EP106-BR106</f>
        <v>53</v>
      </c>
      <c r="GQ106" s="2583"/>
      <c r="GR106" s="89">
        <f>EV106-BT106</f>
        <v>152.11000000000001</v>
      </c>
      <c r="GS106" s="2678"/>
      <c r="GT106" s="89">
        <f>EX106-BV106</f>
        <v>14</v>
      </c>
      <c r="GU106" s="113">
        <f>FA106-BX106</f>
        <v>0</v>
      </c>
      <c r="GV106" s="89">
        <f>FI106-CD106</f>
        <v>0</v>
      </c>
      <c r="GW106" s="89">
        <v>0</v>
      </c>
      <c r="GX106" s="89">
        <f>FG106-CB106</f>
        <v>-1.0590000000000002</v>
      </c>
      <c r="GY106" s="89">
        <f>FK106-CF106</f>
        <v>0</v>
      </c>
      <c r="GZ106" s="89">
        <f>FM106-CH106</f>
        <v>0</v>
      </c>
      <c r="HA106" s="89">
        <f>FO106-CJ106</f>
        <v>0</v>
      </c>
      <c r="HB106" s="89">
        <f>FQ106-CL106</f>
        <v>0</v>
      </c>
      <c r="HC106" s="2617"/>
      <c r="HD106" s="95"/>
      <c r="HE106" s="95"/>
      <c r="HF106" s="95"/>
      <c r="HG106" s="95"/>
    </row>
    <row r="107" spans="1:216" s="95" customFormat="1" ht="18.75">
      <c r="A107" s="2263"/>
      <c r="B107" s="131"/>
      <c r="C107" s="132"/>
      <c r="D107" s="132"/>
      <c r="E107" s="133"/>
      <c r="F107" s="134"/>
      <c r="G107" s="135"/>
      <c r="H107" s="136"/>
      <c r="I107" s="132"/>
      <c r="J107" s="132"/>
      <c r="K107" s="132"/>
      <c r="L107" s="132"/>
      <c r="M107" s="134"/>
      <c r="N107" s="134"/>
      <c r="O107" s="134"/>
      <c r="P107" s="134"/>
      <c r="Q107" s="137"/>
      <c r="S107" s="101"/>
      <c r="T107" s="97"/>
      <c r="U107" s="2244"/>
      <c r="V107" s="102"/>
      <c r="W107" s="2244"/>
      <c r="X107" s="97"/>
      <c r="Y107" s="2244"/>
      <c r="Z107" s="97"/>
      <c r="AA107" s="2244"/>
      <c r="AB107" s="97"/>
      <c r="AC107" s="2244"/>
      <c r="AD107" s="103"/>
      <c r="AE107" s="2251"/>
      <c r="AF107" s="103"/>
      <c r="AG107" s="103"/>
      <c r="AH107" s="103"/>
      <c r="AI107" s="103"/>
      <c r="AJ107" s="103"/>
      <c r="AK107" s="2251"/>
      <c r="AL107" s="103"/>
      <c r="AM107" s="2251"/>
      <c r="AN107" s="103"/>
      <c r="AO107" s="2224"/>
      <c r="AP107" s="103"/>
      <c r="AQ107" s="2251"/>
      <c r="AR107" s="103"/>
      <c r="AS107" s="2251"/>
      <c r="AT107" s="103"/>
      <c r="AU107" s="2251"/>
      <c r="AV107" s="103"/>
      <c r="AW107" s="2251"/>
      <c r="AX107" s="103"/>
      <c r="AY107" s="2251"/>
      <c r="AZ107" s="75"/>
      <c r="BA107" s="2224"/>
      <c r="BB107" s="97"/>
      <c r="BC107" s="2224"/>
      <c r="BD107" s="97"/>
      <c r="BE107" s="2224"/>
      <c r="BF107" s="97"/>
      <c r="BG107" s="2224"/>
      <c r="BH107" s="97"/>
      <c r="BI107" s="2224"/>
      <c r="BJ107" s="97"/>
      <c r="BK107" s="2224"/>
      <c r="BL107" s="97"/>
      <c r="BM107" s="2251"/>
      <c r="BN107" s="97"/>
      <c r="BO107" s="2251"/>
      <c r="BP107" s="97"/>
      <c r="BQ107" s="2251"/>
      <c r="BR107" s="97"/>
      <c r="BS107" s="2251"/>
      <c r="BT107" s="124"/>
      <c r="BU107" s="2251"/>
      <c r="BV107" s="138"/>
      <c r="BW107" s="2251"/>
      <c r="BX107" s="97"/>
      <c r="BY107" s="2251"/>
      <c r="BZ107" s="97"/>
      <c r="CA107" s="2251"/>
      <c r="CB107" s="97"/>
      <c r="CC107" s="2251"/>
      <c r="CD107" s="97"/>
      <c r="CE107" s="2251"/>
      <c r="CF107" s="97"/>
      <c r="CG107" s="2251"/>
      <c r="CH107" s="105"/>
      <c r="CI107" s="2251"/>
      <c r="CJ107" s="97"/>
      <c r="CK107" s="2251"/>
      <c r="CL107" s="246"/>
      <c r="CM107" s="2251"/>
      <c r="CN107" s="73">
        <f t="shared" si="19"/>
        <v>0</v>
      </c>
      <c r="CO107" s="97"/>
      <c r="CP107" s="106"/>
      <c r="CQ107" s="139"/>
      <c r="CR107" s="139"/>
      <c r="CS107" s="139"/>
      <c r="CT107" s="139"/>
      <c r="CU107" s="108"/>
      <c r="CV107" s="2258"/>
      <c r="CW107" s="97"/>
      <c r="CX107" s="2244"/>
      <c r="CY107" s="2261"/>
      <c r="CZ107" s="97"/>
      <c r="DA107" s="2253"/>
      <c r="DB107" s="97"/>
      <c r="DC107" s="2244"/>
      <c r="DD107" s="97"/>
      <c r="DE107" s="2244"/>
      <c r="DF107" s="97"/>
      <c r="DG107" s="2244"/>
      <c r="DH107" s="97"/>
      <c r="DI107" s="2244"/>
      <c r="DJ107" s="97"/>
      <c r="DK107" s="2244"/>
      <c r="DL107" s="97"/>
      <c r="DM107" s="214"/>
      <c r="DN107" s="83"/>
      <c r="DO107" s="2244"/>
      <c r="DP107" s="83"/>
      <c r="DQ107" s="2244"/>
      <c r="DR107" s="83"/>
      <c r="DS107" s="2244"/>
      <c r="DT107" s="83"/>
      <c r="DU107" s="2244"/>
      <c r="DV107" s="83"/>
      <c r="DW107" s="214"/>
      <c r="DX107" s="75"/>
      <c r="DY107" s="2244"/>
      <c r="DZ107" s="76"/>
      <c r="EA107" s="2244"/>
      <c r="EB107" s="76"/>
      <c r="EC107" s="2244"/>
      <c r="ED107" s="76"/>
      <c r="EE107" s="2244"/>
      <c r="EF107" s="76"/>
      <c r="EG107" s="2244"/>
      <c r="EH107" s="76"/>
      <c r="EI107" s="2244"/>
      <c r="EJ107" s="76"/>
      <c r="EK107" s="215"/>
      <c r="EL107" s="97"/>
      <c r="EM107" s="2246"/>
      <c r="EN107" s="102"/>
      <c r="EO107" s="2246"/>
      <c r="EP107" s="102"/>
      <c r="EQ107" s="110"/>
      <c r="ER107" s="102"/>
      <c r="ES107" s="110"/>
      <c r="ET107" s="74"/>
      <c r="EU107" s="2244"/>
      <c r="EV107" s="111"/>
      <c r="EW107" s="2244"/>
      <c r="EX107" s="88"/>
      <c r="EY107" s="2244"/>
      <c r="EZ107" s="2248"/>
      <c r="FA107" s="2224"/>
      <c r="FB107" s="2244"/>
      <c r="FC107" s="2224"/>
      <c r="FD107" s="2244"/>
      <c r="FE107" s="2224"/>
      <c r="FF107" s="2244"/>
      <c r="FG107" s="102"/>
      <c r="FH107" s="2244"/>
      <c r="FI107" s="102"/>
      <c r="FJ107" s="2244"/>
      <c r="FK107" s="102"/>
      <c r="FL107" s="2244"/>
      <c r="FM107" s="102"/>
      <c r="FN107" s="2244"/>
      <c r="FO107" s="102"/>
      <c r="FP107" s="110"/>
      <c r="FQ107" s="102"/>
      <c r="FR107" s="2244"/>
      <c r="FS107" s="2244"/>
      <c r="FT107" s="2240"/>
      <c r="FU107" s="2233"/>
      <c r="FV107" s="2235"/>
      <c r="FW107" s="2235"/>
      <c r="FX107" s="2233"/>
      <c r="FY107" s="2233"/>
      <c r="FZ107" s="2233"/>
      <c r="GA107" s="2232"/>
      <c r="GB107" s="2233"/>
      <c r="GC107" s="2233"/>
      <c r="GD107" s="2233"/>
      <c r="GE107" s="2232"/>
      <c r="GF107" s="2233"/>
      <c r="GG107" s="2232"/>
      <c r="GH107" s="2232"/>
      <c r="GI107" s="2232"/>
      <c r="GJ107" s="2232"/>
      <c r="GK107" s="2232"/>
      <c r="GL107" s="2235"/>
      <c r="GM107" s="2235"/>
      <c r="GN107" s="2235"/>
      <c r="GO107" s="2224"/>
      <c r="GP107" s="112"/>
      <c r="GQ107" s="2224"/>
      <c r="GR107" s="112"/>
      <c r="GS107" s="2227"/>
      <c r="GT107" s="113"/>
      <c r="GU107" s="114"/>
      <c r="GV107" s="113"/>
      <c r="GW107" s="113"/>
      <c r="GX107" s="113"/>
      <c r="GY107" s="113"/>
      <c r="GZ107" s="112"/>
      <c r="HA107" s="113"/>
      <c r="HB107" s="113"/>
      <c r="HC107" s="2230"/>
    </row>
    <row r="108" spans="1:216" s="91" customFormat="1" ht="18.75">
      <c r="A108" s="216">
        <v>37</v>
      </c>
      <c r="B108" s="262" t="s">
        <v>703</v>
      </c>
      <c r="C108" s="218">
        <v>2506</v>
      </c>
      <c r="D108" s="218">
        <v>98</v>
      </c>
      <c r="E108" s="218">
        <v>2025060098</v>
      </c>
      <c r="F108" s="220">
        <v>5013</v>
      </c>
      <c r="G108" s="221" t="s">
        <v>726</v>
      </c>
      <c r="H108" s="222"/>
      <c r="I108" s="218">
        <v>0.56999999999999995</v>
      </c>
      <c r="J108" s="218">
        <v>3.44</v>
      </c>
      <c r="K108" s="218">
        <v>0</v>
      </c>
      <c r="L108" s="218">
        <v>4.8</v>
      </c>
      <c r="M108" s="220">
        <v>0</v>
      </c>
      <c r="N108" s="220">
        <v>0</v>
      </c>
      <c r="O108" s="220">
        <v>0</v>
      </c>
      <c r="P108" s="220">
        <v>2856</v>
      </c>
      <c r="Q108" s="223">
        <v>3</v>
      </c>
      <c r="R108" s="91" t="s">
        <v>744</v>
      </c>
      <c r="S108" s="214">
        <f>T108</f>
        <v>2856</v>
      </c>
      <c r="T108" s="91">
        <f>P108-V108</f>
        <v>2856</v>
      </c>
      <c r="U108" s="214">
        <f>V108</f>
        <v>0</v>
      </c>
      <c r="V108" s="228">
        <f>M108</f>
        <v>0</v>
      </c>
      <c r="W108" s="214">
        <f>X108</f>
        <v>0</v>
      </c>
      <c r="X108" s="91">
        <f>V108-Z108</f>
        <v>0</v>
      </c>
      <c r="Y108" s="214">
        <f>Z108</f>
        <v>0</v>
      </c>
      <c r="Z108" s="248">
        <v>0</v>
      </c>
      <c r="AA108" s="214">
        <f>AB108</f>
        <v>0</v>
      </c>
      <c r="AB108" s="248">
        <v>0</v>
      </c>
      <c r="AC108" s="214">
        <f>AD108</f>
        <v>0</v>
      </c>
      <c r="AD108" s="248">
        <f>V108-(Z108+AB108+AF108+AL108+AN108+AP108+AZ108+AR108+AT108+AV108+AX108)</f>
        <v>0</v>
      </c>
      <c r="AE108" s="215">
        <f>AF108</f>
        <v>0</v>
      </c>
      <c r="AF108" s="248">
        <f>AG108+AI108</f>
        <v>0</v>
      </c>
      <c r="AG108" s="248">
        <v>0</v>
      </c>
      <c r="AH108" s="76">
        <f>AG108</f>
        <v>0</v>
      </c>
      <c r="AI108" s="248">
        <v>0</v>
      </c>
      <c r="AJ108" s="76">
        <f>AI108</f>
        <v>0</v>
      </c>
      <c r="AK108" s="215">
        <f>AL108</f>
        <v>0</v>
      </c>
      <c r="AL108" s="248">
        <v>0</v>
      </c>
      <c r="AM108" s="249">
        <v>0</v>
      </c>
      <c r="AN108" s="248">
        <v>0</v>
      </c>
      <c r="AO108" s="194">
        <f>AP108</f>
        <v>0</v>
      </c>
      <c r="AP108" s="248">
        <v>0</v>
      </c>
      <c r="AQ108" s="215">
        <f>AR108</f>
        <v>0</v>
      </c>
      <c r="AR108" s="248">
        <v>0</v>
      </c>
      <c r="AS108" s="215">
        <f>AT108</f>
        <v>0</v>
      </c>
      <c r="AT108" s="248">
        <v>0</v>
      </c>
      <c r="AU108" s="215">
        <f>AV108</f>
        <v>0</v>
      </c>
      <c r="AV108" s="248">
        <v>0</v>
      </c>
      <c r="AW108" s="215">
        <f>AX108</f>
        <v>0</v>
      </c>
      <c r="AX108" s="248">
        <v>0</v>
      </c>
      <c r="AY108" s="215">
        <f>AZ108</f>
        <v>0</v>
      </c>
      <c r="AZ108" s="75">
        <f t="shared" si="18"/>
        <v>0</v>
      </c>
      <c r="BA108" s="194">
        <f>BB108</f>
        <v>0</v>
      </c>
      <c r="BB108" s="91">
        <v>0</v>
      </c>
      <c r="BC108" s="194">
        <f>BD108</f>
        <v>0</v>
      </c>
      <c r="BD108" s="91">
        <v>0</v>
      </c>
      <c r="BE108" s="194">
        <f>BF108</f>
        <v>0</v>
      </c>
      <c r="BF108" s="91">
        <v>0</v>
      </c>
      <c r="BG108" s="194">
        <f>BH108</f>
        <v>0</v>
      </c>
      <c r="BH108" s="91">
        <v>0</v>
      </c>
      <c r="BI108" s="194">
        <f>BJ108</f>
        <v>0</v>
      </c>
      <c r="BJ108" s="91">
        <v>0</v>
      </c>
      <c r="BK108" s="194">
        <f>BL108</f>
        <v>0</v>
      </c>
      <c r="BL108" s="91">
        <v>0</v>
      </c>
      <c r="BM108" s="215">
        <f>BN108</f>
        <v>2856</v>
      </c>
      <c r="BN108" s="91">
        <f>ROUND(T108+V108,0)</f>
        <v>2856</v>
      </c>
      <c r="BO108" s="215">
        <f>BP108</f>
        <v>3</v>
      </c>
      <c r="BP108" s="91">
        <v>3</v>
      </c>
      <c r="BQ108" s="215">
        <f>BR108</f>
        <v>0</v>
      </c>
      <c r="BR108" s="91">
        <v>0</v>
      </c>
      <c r="BS108" s="215">
        <f>BT108</f>
        <v>9</v>
      </c>
      <c r="BT108" s="124">
        <f t="shared" si="16"/>
        <v>9</v>
      </c>
      <c r="BU108" s="215">
        <f>BV108</f>
        <v>0</v>
      </c>
      <c r="BV108" s="251">
        <f>ROUND((AD108+AB108+Z108)/1000*3,0)+ROUND((AF108+AX108)/1000,0)+ROUND((ROUND(AL108/400,0))/2.67,0)+ROUND(AN108/250,0)+ROUND(AR108/15000,0)+ROUND((BB108+BD108+BF108+BJ108)/1000*3,0)+ROUND(BP108/25,0)+ROUND(CN108/50,0)</f>
        <v>0</v>
      </c>
      <c r="BW108" s="215">
        <f>BX108</f>
        <v>0</v>
      </c>
      <c r="BX108" s="91">
        <v>0</v>
      </c>
      <c r="BY108" s="215">
        <f>BZ108</f>
        <v>0</v>
      </c>
      <c r="BZ108" s="91">
        <v>0</v>
      </c>
      <c r="CA108" s="215">
        <f>CB108</f>
        <v>0</v>
      </c>
      <c r="CB108" s="91">
        <v>0</v>
      </c>
      <c r="CC108" s="215">
        <f>CD108</f>
        <v>0</v>
      </c>
      <c r="CD108" s="91">
        <v>0</v>
      </c>
      <c r="CE108" s="215">
        <f>CF108</f>
        <v>0</v>
      </c>
      <c r="CF108" s="91">
        <v>0</v>
      </c>
      <c r="CG108" s="215">
        <f>CH108</f>
        <v>0</v>
      </c>
      <c r="CH108" s="91">
        <v>0</v>
      </c>
      <c r="CI108" s="215">
        <f>CJ108</f>
        <v>0</v>
      </c>
      <c r="CJ108" s="91">
        <v>0</v>
      </c>
      <c r="CK108" s="215">
        <f>CL108</f>
        <v>0</v>
      </c>
      <c r="CL108" s="91">
        <v>0</v>
      </c>
      <c r="CM108" s="215">
        <f>CN108</f>
        <v>0</v>
      </c>
      <c r="CN108" s="73">
        <f t="shared" si="19"/>
        <v>0</v>
      </c>
      <c r="CP108" s="253">
        <v>40</v>
      </c>
      <c r="CQ108" s="228" t="s">
        <v>766</v>
      </c>
      <c r="CR108" s="228">
        <v>6</v>
      </c>
      <c r="CS108" s="228">
        <v>2</v>
      </c>
      <c r="CT108" s="228">
        <v>6.5</v>
      </c>
      <c r="CU108" s="229" t="s">
        <v>706</v>
      </c>
      <c r="CV108" s="230" t="s">
        <v>767</v>
      </c>
      <c r="CW108" s="83">
        <f>T108</f>
        <v>2856</v>
      </c>
      <c r="CX108" s="231">
        <f t="shared" ref="CX108:CX110" si="34">CW108</f>
        <v>2856</v>
      </c>
      <c r="CY108" s="232">
        <f>CZ108</f>
        <v>4261.05</v>
      </c>
      <c r="CZ108" s="83">
        <f>F108-(0.15*F108)</f>
        <v>4261.05</v>
      </c>
      <c r="DA108" s="233">
        <f>DB108</f>
        <v>4261.05</v>
      </c>
      <c r="DB108" s="83">
        <f>CZ108-DD108</f>
        <v>4261.05</v>
      </c>
      <c r="DC108" s="231">
        <f>DD108</f>
        <v>0</v>
      </c>
      <c r="DD108" s="83">
        <v>0</v>
      </c>
      <c r="DE108" s="214">
        <f>DF108</f>
        <v>0</v>
      </c>
      <c r="DF108" s="83">
        <v>0</v>
      </c>
      <c r="DG108" s="214">
        <f>DH108</f>
        <v>4261.05</v>
      </c>
      <c r="DH108" s="83">
        <f>CZ108</f>
        <v>4261.05</v>
      </c>
      <c r="DI108" s="214">
        <f>DJ108</f>
        <v>0</v>
      </c>
      <c r="DJ108" s="83">
        <v>0</v>
      </c>
      <c r="DK108" s="214">
        <f>DL108</f>
        <v>0</v>
      </c>
      <c r="DL108" s="83">
        <v>0</v>
      </c>
      <c r="DM108" s="2245">
        <f>DN108</f>
        <v>0</v>
      </c>
      <c r="DN108" s="73">
        <v>0</v>
      </c>
      <c r="DO108" s="214">
        <f>DP108</f>
        <v>0</v>
      </c>
      <c r="DP108" s="73">
        <v>0</v>
      </c>
      <c r="DQ108" s="214">
        <f>DR108</f>
        <v>0</v>
      </c>
      <c r="DR108" s="73">
        <v>0</v>
      </c>
      <c r="DS108" s="214">
        <f>DT108</f>
        <v>0</v>
      </c>
      <c r="DT108" s="73">
        <v>0</v>
      </c>
      <c r="DU108" s="214">
        <f>DV108</f>
        <v>0</v>
      </c>
      <c r="DV108" s="73">
        <v>0</v>
      </c>
      <c r="DW108" s="2245">
        <f>DX108</f>
        <v>0</v>
      </c>
      <c r="DX108" s="75">
        <f t="shared" si="22"/>
        <v>0</v>
      </c>
      <c r="DY108" s="214">
        <f>DZ108</f>
        <v>0</v>
      </c>
      <c r="DZ108" s="75">
        <v>0</v>
      </c>
      <c r="EA108" s="214">
        <f>EB108</f>
        <v>0</v>
      </c>
      <c r="EB108" s="75">
        <v>0</v>
      </c>
      <c r="EC108" s="214">
        <f>ED108</f>
        <v>0</v>
      </c>
      <c r="ED108" s="75">
        <v>0</v>
      </c>
      <c r="EE108" s="214">
        <f>EF108</f>
        <v>0</v>
      </c>
      <c r="EF108" s="75">
        <v>0</v>
      </c>
      <c r="EG108" s="214">
        <f>EH108</f>
        <v>0</v>
      </c>
      <c r="EH108" s="75">
        <v>0</v>
      </c>
      <c r="EI108" s="214">
        <f>EJ108</f>
        <v>0</v>
      </c>
      <c r="EJ108" s="75">
        <v>0</v>
      </c>
      <c r="EK108" s="2252">
        <f>EL108</f>
        <v>7117.05</v>
      </c>
      <c r="EL108" s="83">
        <f>CW108+CZ108</f>
        <v>7117.05</v>
      </c>
      <c r="EM108" s="234">
        <f>SUM(EN108)</f>
        <v>3</v>
      </c>
      <c r="EN108" s="111">
        <f>BP108</f>
        <v>3</v>
      </c>
      <c r="EO108" s="234">
        <f>EP108</f>
        <v>1.5</v>
      </c>
      <c r="EP108" s="111">
        <f t="shared" ref="EP108" si="35">0.5*EN108</f>
        <v>1.5</v>
      </c>
      <c r="EQ108" s="192">
        <f>ER108</f>
        <v>1.5</v>
      </c>
      <c r="ER108" s="111">
        <f>0.5*EN108</f>
        <v>1.5</v>
      </c>
      <c r="ES108" s="192">
        <f>ET108</f>
        <v>4</v>
      </c>
      <c r="ET108" s="74">
        <f>FA108+FG108+FQ108</f>
        <v>4</v>
      </c>
      <c r="EU108" s="214">
        <f>EV108</f>
        <v>8.61</v>
      </c>
      <c r="EV108" s="111">
        <f>2.87*EN108</f>
        <v>8.61</v>
      </c>
      <c r="EW108" s="214">
        <f>EX108</f>
        <v>13</v>
      </c>
      <c r="EX108" s="88">
        <f>ROUND((DH108+DF108+DD108)/1000*3,0)+ROUND((ROUND(DL108/400,0))/2.67,0)+ROUND(DV108/1000,0)+ROUND((DZ108+EB108+ED108+EH108)/1000*3,0)+ROUND(EN108/25,0)+ROUND(ET108/50,0)</f>
        <v>13</v>
      </c>
      <c r="EY108" s="214" t="str">
        <f>EZ108</f>
        <v>waived</v>
      </c>
      <c r="EZ108" s="254" t="s">
        <v>713</v>
      </c>
      <c r="FA108" s="194">
        <v>0</v>
      </c>
      <c r="FB108" s="214">
        <f>FC108</f>
        <v>0</v>
      </c>
      <c r="FC108" s="194">
        <v>0</v>
      </c>
      <c r="FD108" s="214">
        <f>FE108</f>
        <v>0</v>
      </c>
      <c r="FE108" s="194">
        <v>0</v>
      </c>
      <c r="FF108" s="214">
        <f>FG108</f>
        <v>4</v>
      </c>
      <c r="FG108" s="111">
        <f>ROUND((DH108+DJ108+DD108+DN108+DT108)/1000,0)</f>
        <v>4</v>
      </c>
      <c r="FH108" s="214">
        <f>FI108</f>
        <v>0</v>
      </c>
      <c r="FI108" s="111">
        <f>DF108/1000</f>
        <v>0</v>
      </c>
      <c r="FJ108" s="214">
        <f>FK108</f>
        <v>0</v>
      </c>
      <c r="FK108" s="111">
        <f>((DL108/400)/12)</f>
        <v>0</v>
      </c>
      <c r="FL108" s="214">
        <f>FM108</f>
        <v>0</v>
      </c>
      <c r="FM108" s="111">
        <v>0</v>
      </c>
      <c r="FN108" s="214">
        <f>FO108</f>
        <v>0</v>
      </c>
      <c r="FO108" s="111">
        <v>0</v>
      </c>
      <c r="FP108" s="192">
        <f>FQ108</f>
        <v>0</v>
      </c>
      <c r="FQ108" s="111">
        <f>IF(DX108&gt;0,"Calculate",0)</f>
        <v>0</v>
      </c>
      <c r="FR108" s="214">
        <f>FS108</f>
        <v>175</v>
      </c>
      <c r="FS108" s="214">
        <v>175</v>
      </c>
      <c r="FT108" s="2240">
        <f>CX108-S108</f>
        <v>0</v>
      </c>
      <c r="FU108" s="2233">
        <f>CY108-U108</f>
        <v>4261.05</v>
      </c>
      <c r="FV108" s="2235">
        <f>(DC108+DE108+DG108)-(Y108+AA108+AC108+AE108)</f>
        <v>4261.05</v>
      </c>
      <c r="FW108" s="2235">
        <f>DG108-AC108</f>
        <v>4261.05</v>
      </c>
      <c r="FX108" s="2233">
        <f>DE108-AA108</f>
        <v>0</v>
      </c>
      <c r="FY108" s="2233">
        <f>DC108-Y108</f>
        <v>0</v>
      </c>
      <c r="FZ108" s="2233">
        <f>DJ108-AE108</f>
        <v>0</v>
      </c>
      <c r="GA108" s="235">
        <f>DL108-AL108</f>
        <v>0</v>
      </c>
      <c r="GB108" s="2233">
        <f>DM108-AM108</f>
        <v>0</v>
      </c>
      <c r="GC108" s="2233">
        <f>DP108-AQ108</f>
        <v>0</v>
      </c>
      <c r="GD108" s="2233">
        <f>DR108-AS108</f>
        <v>0</v>
      </c>
      <c r="GE108" s="235">
        <f>DT108-AV108</f>
        <v>0</v>
      </c>
      <c r="GF108" s="2233">
        <f>DV108-AW108</f>
        <v>0</v>
      </c>
      <c r="GG108" s="235">
        <f>DZ108-BB108</f>
        <v>0</v>
      </c>
      <c r="GH108" s="235">
        <f>EB108-BD108</f>
        <v>0</v>
      </c>
      <c r="GI108" s="235">
        <f>ED108-BF108</f>
        <v>0</v>
      </c>
      <c r="GJ108" s="235">
        <f>EF108-BH108</f>
        <v>0</v>
      </c>
      <c r="GK108" s="235">
        <f>EH108-BJ108</f>
        <v>0</v>
      </c>
      <c r="GL108" s="2235">
        <f>DW108-AY108</f>
        <v>0</v>
      </c>
      <c r="GM108" s="2235">
        <f>EK108-BM108</f>
        <v>4261.05</v>
      </c>
      <c r="GN108" s="2235">
        <f>EM108-BO108</f>
        <v>0</v>
      </c>
      <c r="GO108" s="194">
        <f>GP108</f>
        <v>1.5</v>
      </c>
      <c r="GP108" s="112">
        <f>EP108-BR108</f>
        <v>1.5</v>
      </c>
      <c r="GQ108" s="194">
        <f>GR108</f>
        <v>-0.39000000000000057</v>
      </c>
      <c r="GR108" s="112">
        <f>EV108-BT108</f>
        <v>-0.39000000000000057</v>
      </c>
      <c r="GS108" s="316">
        <f>GT108</f>
        <v>13</v>
      </c>
      <c r="GT108" s="245">
        <f>EX108-BV108</f>
        <v>13</v>
      </c>
      <c r="GU108" s="187">
        <f>FA108-BX108</f>
        <v>0</v>
      </c>
      <c r="GV108" s="245">
        <f>FI108-CD108</f>
        <v>0</v>
      </c>
      <c r="GW108" s="245">
        <v>0</v>
      </c>
      <c r="GX108" s="245">
        <f>FG108-CB108</f>
        <v>4</v>
      </c>
      <c r="GY108" s="245">
        <f>FK108-CF108</f>
        <v>0</v>
      </c>
      <c r="GZ108" s="245">
        <f>FM108-CH108</f>
        <v>0</v>
      </c>
      <c r="HA108" s="245">
        <f>FO108-CJ108</f>
        <v>0</v>
      </c>
      <c r="HB108" s="245">
        <f>FQ108-CL108</f>
        <v>0</v>
      </c>
      <c r="HC108" s="392">
        <f>ES108-CM108</f>
        <v>4</v>
      </c>
      <c r="HD108" s="95"/>
      <c r="HE108" s="95"/>
      <c r="HF108" s="95"/>
      <c r="HG108" s="95"/>
    </row>
    <row r="109" spans="1:216" s="95" customFormat="1" ht="18.75">
      <c r="A109" s="2263"/>
      <c r="B109" s="131"/>
      <c r="C109" s="132"/>
      <c r="D109" s="132"/>
      <c r="E109" s="133"/>
      <c r="F109" s="134"/>
      <c r="G109" s="135"/>
      <c r="H109" s="136"/>
      <c r="I109" s="132"/>
      <c r="J109" s="132"/>
      <c r="K109" s="132"/>
      <c r="L109" s="132"/>
      <c r="M109" s="134"/>
      <c r="N109" s="134"/>
      <c r="O109" s="134"/>
      <c r="P109" s="134"/>
      <c r="Q109" s="137"/>
      <c r="S109" s="101"/>
      <c r="T109" s="97"/>
      <c r="U109" s="2244"/>
      <c r="V109" s="102"/>
      <c r="W109" s="2244"/>
      <c r="X109" s="97"/>
      <c r="Y109" s="2244"/>
      <c r="Z109" s="97"/>
      <c r="AA109" s="2244"/>
      <c r="AB109" s="97"/>
      <c r="AC109" s="2244"/>
      <c r="AD109" s="103"/>
      <c r="AE109" s="2251"/>
      <c r="AF109" s="103"/>
      <c r="AG109" s="103"/>
      <c r="AH109" s="103"/>
      <c r="AI109" s="103"/>
      <c r="AJ109" s="103"/>
      <c r="AK109" s="2251"/>
      <c r="AL109" s="103"/>
      <c r="AM109" s="2251"/>
      <c r="AN109" s="103"/>
      <c r="AO109" s="2224"/>
      <c r="AP109" s="103"/>
      <c r="AQ109" s="2251"/>
      <c r="AR109" s="103"/>
      <c r="AS109" s="2251"/>
      <c r="AT109" s="103"/>
      <c r="AU109" s="2251"/>
      <c r="AV109" s="103"/>
      <c r="AW109" s="2251"/>
      <c r="AX109" s="103"/>
      <c r="AY109" s="2251"/>
      <c r="AZ109" s="75"/>
      <c r="BA109" s="2224"/>
      <c r="BB109" s="97"/>
      <c r="BC109" s="2224"/>
      <c r="BD109" s="97"/>
      <c r="BE109" s="2224"/>
      <c r="BF109" s="97"/>
      <c r="BG109" s="2224"/>
      <c r="BH109" s="97"/>
      <c r="BI109" s="2224"/>
      <c r="BJ109" s="97"/>
      <c r="BK109" s="2224"/>
      <c r="BL109" s="97"/>
      <c r="BM109" s="2251"/>
      <c r="BN109" s="97"/>
      <c r="BO109" s="2251"/>
      <c r="BP109" s="97"/>
      <c r="BQ109" s="2251"/>
      <c r="BR109" s="97"/>
      <c r="BS109" s="2251"/>
      <c r="BT109" s="124"/>
      <c r="BU109" s="2251"/>
      <c r="BV109" s="138"/>
      <c r="BW109" s="2251"/>
      <c r="BX109" s="97"/>
      <c r="BY109" s="2251"/>
      <c r="BZ109" s="97"/>
      <c r="CA109" s="2251"/>
      <c r="CB109" s="97"/>
      <c r="CC109" s="2251"/>
      <c r="CD109" s="97"/>
      <c r="CE109" s="2251"/>
      <c r="CF109" s="97"/>
      <c r="CG109" s="2251"/>
      <c r="CH109" s="105"/>
      <c r="CI109" s="2251"/>
      <c r="CJ109" s="97"/>
      <c r="CK109" s="2251"/>
      <c r="CL109" s="246"/>
      <c r="CM109" s="2251"/>
      <c r="CN109" s="73">
        <f t="shared" si="19"/>
        <v>0</v>
      </c>
      <c r="CO109" s="97"/>
      <c r="CP109" s="106"/>
      <c r="CQ109" s="139"/>
      <c r="CR109" s="139"/>
      <c r="CS109" s="139"/>
      <c r="CT109" s="139"/>
      <c r="CU109" s="108"/>
      <c r="CV109" s="2258"/>
      <c r="CW109" s="97"/>
      <c r="CX109" s="231"/>
      <c r="CY109" s="237"/>
      <c r="CZ109" s="97"/>
      <c r="DA109" s="267"/>
      <c r="DB109" s="97"/>
      <c r="DC109" s="268"/>
      <c r="DD109" s="97"/>
      <c r="DE109" s="2244"/>
      <c r="DF109" s="97"/>
      <c r="DG109" s="2244"/>
      <c r="DH109" s="97"/>
      <c r="DI109" s="2244"/>
      <c r="DJ109" s="97"/>
      <c r="DK109" s="2244"/>
      <c r="DL109" s="97"/>
      <c r="DM109" s="214"/>
      <c r="DN109" s="83"/>
      <c r="DO109" s="2244"/>
      <c r="DP109" s="83"/>
      <c r="DQ109" s="2244"/>
      <c r="DR109" s="83"/>
      <c r="DS109" s="2244"/>
      <c r="DT109" s="83"/>
      <c r="DU109" s="2244"/>
      <c r="DV109" s="83"/>
      <c r="DW109" s="214"/>
      <c r="DX109" s="75"/>
      <c r="DY109" s="2244"/>
      <c r="DZ109" s="76"/>
      <c r="EA109" s="2244"/>
      <c r="EB109" s="76"/>
      <c r="EC109" s="2244"/>
      <c r="ED109" s="76"/>
      <c r="EE109" s="2244"/>
      <c r="EF109" s="76"/>
      <c r="EG109" s="2244"/>
      <c r="EH109" s="76"/>
      <c r="EI109" s="2244"/>
      <c r="EJ109" s="76"/>
      <c r="EK109" s="215"/>
      <c r="EL109" s="97"/>
      <c r="EM109" s="2246"/>
      <c r="EN109" s="102"/>
      <c r="EO109" s="2246"/>
      <c r="EP109" s="102"/>
      <c r="EQ109" s="110"/>
      <c r="ER109" s="102"/>
      <c r="ES109" s="110"/>
      <c r="ET109" s="74"/>
      <c r="EU109" s="2244"/>
      <c r="EV109" s="111"/>
      <c r="EW109" s="2244"/>
      <c r="EX109" s="88"/>
      <c r="EY109" s="2244"/>
      <c r="EZ109" s="2248"/>
      <c r="FA109" s="2224"/>
      <c r="FB109" s="2244"/>
      <c r="FC109" s="2224"/>
      <c r="FD109" s="2244"/>
      <c r="FE109" s="2224"/>
      <c r="FF109" s="2244"/>
      <c r="FG109" s="102"/>
      <c r="FH109" s="2244"/>
      <c r="FI109" s="102"/>
      <c r="FJ109" s="2244"/>
      <c r="FK109" s="102"/>
      <c r="FL109" s="2244"/>
      <c r="FM109" s="102"/>
      <c r="FN109" s="2244"/>
      <c r="FO109" s="102"/>
      <c r="FP109" s="110"/>
      <c r="FQ109" s="102"/>
      <c r="FR109" s="2244"/>
      <c r="FS109" s="2244"/>
      <c r="FT109" s="2240"/>
      <c r="FU109" s="2233"/>
      <c r="FV109" s="2235"/>
      <c r="FW109" s="2235"/>
      <c r="FX109" s="2233"/>
      <c r="FY109" s="2233"/>
      <c r="FZ109" s="2233"/>
      <c r="GA109" s="2232"/>
      <c r="GB109" s="2233"/>
      <c r="GC109" s="2233"/>
      <c r="GD109" s="2233"/>
      <c r="GE109" s="2232"/>
      <c r="GF109" s="2233"/>
      <c r="GG109" s="2232"/>
      <c r="GH109" s="2232"/>
      <c r="GI109" s="2232"/>
      <c r="GJ109" s="2232"/>
      <c r="GK109" s="2232"/>
      <c r="GL109" s="2235"/>
      <c r="GM109" s="2235"/>
      <c r="GN109" s="2235"/>
      <c r="GO109" s="2224"/>
      <c r="GP109" s="112"/>
      <c r="GQ109" s="2224"/>
      <c r="GR109" s="112"/>
      <c r="GS109" s="2227"/>
      <c r="GT109" s="195"/>
      <c r="GU109" s="187"/>
      <c r="GV109" s="195"/>
      <c r="GW109" s="195"/>
      <c r="GX109" s="195"/>
      <c r="GY109" s="195"/>
      <c r="GZ109" s="245"/>
      <c r="HA109" s="195"/>
      <c r="HB109" s="195"/>
      <c r="HC109" s="392"/>
    </row>
    <row r="110" spans="1:216" s="91" customFormat="1" ht="18.75">
      <c r="A110" s="216">
        <v>38</v>
      </c>
      <c r="B110" s="262" t="s">
        <v>703</v>
      </c>
      <c r="C110" s="218">
        <v>2506</v>
      </c>
      <c r="D110" s="218">
        <v>100</v>
      </c>
      <c r="E110" s="218">
        <v>2025060100</v>
      </c>
      <c r="F110" s="220">
        <v>5001</v>
      </c>
      <c r="G110" s="221" t="s">
        <v>726</v>
      </c>
      <c r="H110" s="222"/>
      <c r="I110" s="218">
        <v>0</v>
      </c>
      <c r="J110" s="218">
        <v>3.44</v>
      </c>
      <c r="K110" s="218">
        <v>0</v>
      </c>
      <c r="L110" s="218">
        <v>4.8</v>
      </c>
      <c r="M110" s="220">
        <v>0</v>
      </c>
      <c r="N110" s="220">
        <v>0</v>
      </c>
      <c r="O110" s="220">
        <v>0</v>
      </c>
      <c r="P110" s="220">
        <v>0</v>
      </c>
      <c r="Q110" s="223">
        <v>0</v>
      </c>
      <c r="R110" s="91" t="s">
        <v>744</v>
      </c>
      <c r="S110" s="214">
        <f>T110</f>
        <v>12953</v>
      </c>
      <c r="T110" s="91">
        <v>12953</v>
      </c>
      <c r="U110" s="214">
        <f>V110</f>
        <v>0</v>
      </c>
      <c r="V110" s="228">
        <v>0</v>
      </c>
      <c r="W110" s="214">
        <f>X110</f>
        <v>0</v>
      </c>
      <c r="X110" s="91">
        <v>0</v>
      </c>
      <c r="Y110" s="214">
        <f>Z110</f>
        <v>0</v>
      </c>
      <c r="Z110" s="248">
        <v>0</v>
      </c>
      <c r="AA110" s="214">
        <f>AB110</f>
        <v>0</v>
      </c>
      <c r="AB110" s="248">
        <v>0</v>
      </c>
      <c r="AC110" s="214">
        <f>AD110</f>
        <v>0</v>
      </c>
      <c r="AD110" s="248">
        <f>V110-(Z110+AB110+AF110+AL110+AN110+AP110+AZ110+AR110+AT110+AV110+AX110)</f>
        <v>0</v>
      </c>
      <c r="AE110" s="215">
        <f>AF110</f>
        <v>0</v>
      </c>
      <c r="AF110" s="248">
        <f>AG110+AI110</f>
        <v>0</v>
      </c>
      <c r="AG110" s="248">
        <v>0</v>
      </c>
      <c r="AH110" s="76">
        <f>AG110</f>
        <v>0</v>
      </c>
      <c r="AI110" s="248">
        <v>0</v>
      </c>
      <c r="AJ110" s="76">
        <f>AI110</f>
        <v>0</v>
      </c>
      <c r="AK110" s="215">
        <f>AL110</f>
        <v>0</v>
      </c>
      <c r="AL110" s="248">
        <v>0</v>
      </c>
      <c r="AM110" s="249">
        <v>0</v>
      </c>
      <c r="AN110" s="248">
        <v>0</v>
      </c>
      <c r="AO110" s="194">
        <f>AP110</f>
        <v>0</v>
      </c>
      <c r="AP110" s="248">
        <v>0</v>
      </c>
      <c r="AQ110" s="215">
        <f>AR110</f>
        <v>0</v>
      </c>
      <c r="AR110" s="248">
        <v>0</v>
      </c>
      <c r="AS110" s="215">
        <f>AT110</f>
        <v>0</v>
      </c>
      <c r="AT110" s="248">
        <v>0</v>
      </c>
      <c r="AU110" s="215">
        <f>AV110</f>
        <v>0</v>
      </c>
      <c r="AV110" s="248">
        <v>0</v>
      </c>
      <c r="AW110" s="215">
        <f>AX110</f>
        <v>0</v>
      </c>
      <c r="AX110" s="248">
        <v>0</v>
      </c>
      <c r="AY110" s="215">
        <f>AZ110</f>
        <v>0</v>
      </c>
      <c r="AZ110" s="75">
        <f t="shared" si="18"/>
        <v>0</v>
      </c>
      <c r="BA110" s="194">
        <f>BB110</f>
        <v>0</v>
      </c>
      <c r="BB110" s="91">
        <v>0</v>
      </c>
      <c r="BC110" s="194">
        <f>BD110</f>
        <v>0</v>
      </c>
      <c r="BD110" s="91">
        <v>0</v>
      </c>
      <c r="BE110" s="194">
        <f>BF110</f>
        <v>0</v>
      </c>
      <c r="BF110" s="91">
        <v>0</v>
      </c>
      <c r="BG110" s="194">
        <f>BH110</f>
        <v>0</v>
      </c>
      <c r="BH110" s="91">
        <v>0</v>
      </c>
      <c r="BI110" s="194">
        <f>BJ110</f>
        <v>0</v>
      </c>
      <c r="BJ110" s="91">
        <v>0</v>
      </c>
      <c r="BK110" s="194">
        <f>BL110</f>
        <v>0</v>
      </c>
      <c r="BL110" s="91">
        <v>0</v>
      </c>
      <c r="BM110" s="215">
        <f>BN110</f>
        <v>12953</v>
      </c>
      <c r="BN110" s="91">
        <f>ROUND(T110+V110,0)</f>
        <v>12953</v>
      </c>
      <c r="BO110" s="215">
        <f>BP110</f>
        <v>12.952999999999999</v>
      </c>
      <c r="BP110" s="83">
        <f>T110/1000</f>
        <v>12.952999999999999</v>
      </c>
      <c r="BQ110" s="215">
        <f>BR110</f>
        <v>0</v>
      </c>
      <c r="BR110" s="91">
        <v>0</v>
      </c>
      <c r="BS110" s="215">
        <f>BT110</f>
        <v>37</v>
      </c>
      <c r="BT110" s="124">
        <f t="shared" si="16"/>
        <v>37</v>
      </c>
      <c r="BU110" s="215">
        <f>BV110</f>
        <v>1</v>
      </c>
      <c r="BV110" s="251">
        <f>ROUND((AD110+AB110+Z110)/1000*3,0)+ROUND((AF110+AX110)/1000,0)+ROUND((ROUND(AL110/400,0))/2.67,0)+ROUND(AN110/250,0)+ROUND(AR110/15000,0)+ROUND((BB110+BD110+BF110+BJ110)/1000*3,0)+ROUND(BP110/25,0)+ROUND(CN110/50,0)</f>
        <v>1</v>
      </c>
      <c r="BW110" s="215">
        <f>BX110</f>
        <v>0</v>
      </c>
      <c r="BX110" s="91">
        <v>0</v>
      </c>
      <c r="BY110" s="215">
        <f>BZ110</f>
        <v>0</v>
      </c>
      <c r="BZ110" s="91">
        <v>0</v>
      </c>
      <c r="CA110" s="215">
        <f>CB110</f>
        <v>0</v>
      </c>
      <c r="CB110" s="91">
        <v>0</v>
      </c>
      <c r="CC110" s="215">
        <f>CD110</f>
        <v>0</v>
      </c>
      <c r="CD110" s="91">
        <v>0</v>
      </c>
      <c r="CE110" s="215">
        <f>CF110</f>
        <v>0</v>
      </c>
      <c r="CF110" s="91">
        <v>0</v>
      </c>
      <c r="CG110" s="215">
        <f>CH110</f>
        <v>0</v>
      </c>
      <c r="CH110" s="91">
        <v>0</v>
      </c>
      <c r="CI110" s="215">
        <f>CJ110</f>
        <v>0</v>
      </c>
      <c r="CJ110" s="91">
        <v>0</v>
      </c>
      <c r="CK110" s="215">
        <f>CL110</f>
        <v>0</v>
      </c>
      <c r="CL110" s="91">
        <v>0</v>
      </c>
      <c r="CM110" s="215">
        <f>CN110</f>
        <v>0</v>
      </c>
      <c r="CN110" s="73">
        <f t="shared" si="19"/>
        <v>0</v>
      </c>
      <c r="CP110" s="253">
        <v>85</v>
      </c>
      <c r="CQ110" s="228" t="s">
        <v>766</v>
      </c>
      <c r="CR110" s="228">
        <v>6</v>
      </c>
      <c r="CS110" s="228">
        <v>2</v>
      </c>
      <c r="CT110" s="228">
        <v>6.5</v>
      </c>
      <c r="CU110" s="229" t="s">
        <v>706</v>
      </c>
      <c r="CV110" s="230" t="s">
        <v>716</v>
      </c>
      <c r="CW110" s="83">
        <f>T110</f>
        <v>12953</v>
      </c>
      <c r="CX110" s="231">
        <f t="shared" si="34"/>
        <v>12953</v>
      </c>
      <c r="CY110" s="232">
        <f>CZ110</f>
        <v>4250.8500000000004</v>
      </c>
      <c r="CZ110" s="83">
        <f>F110-(0.15*F110)</f>
        <v>4250.8500000000004</v>
      </c>
      <c r="DA110" s="233">
        <f>DB110</f>
        <v>4250.8500000000004</v>
      </c>
      <c r="DB110" s="83">
        <f>CZ110-DD110</f>
        <v>4250.8500000000004</v>
      </c>
      <c r="DC110" s="231">
        <f>DD110</f>
        <v>0</v>
      </c>
      <c r="DD110" s="83">
        <v>0</v>
      </c>
      <c r="DE110" s="214">
        <f>DF110</f>
        <v>0</v>
      </c>
      <c r="DF110" s="83">
        <v>0</v>
      </c>
      <c r="DG110" s="214">
        <f>DH110</f>
        <v>4250.8500000000004</v>
      </c>
      <c r="DH110" s="83">
        <f>CZ110</f>
        <v>4250.8500000000004</v>
      </c>
      <c r="DI110" s="214">
        <f>DJ110</f>
        <v>0</v>
      </c>
      <c r="DJ110" s="83">
        <v>0</v>
      </c>
      <c r="DK110" s="214">
        <f>DL110</f>
        <v>0</v>
      </c>
      <c r="DL110" s="83">
        <v>0</v>
      </c>
      <c r="DM110" s="2245">
        <f>DN110</f>
        <v>0</v>
      </c>
      <c r="DN110" s="73">
        <v>0</v>
      </c>
      <c r="DO110" s="214">
        <f>DP110</f>
        <v>0</v>
      </c>
      <c r="DP110" s="73">
        <v>0</v>
      </c>
      <c r="DQ110" s="214">
        <f>DR110</f>
        <v>0</v>
      </c>
      <c r="DR110" s="73">
        <v>0</v>
      </c>
      <c r="DS110" s="214">
        <f>DT110</f>
        <v>0</v>
      </c>
      <c r="DT110" s="73">
        <v>0</v>
      </c>
      <c r="DU110" s="214">
        <f>DV110</f>
        <v>0</v>
      </c>
      <c r="DV110" s="73">
        <v>0</v>
      </c>
      <c r="DW110" s="2245">
        <f>DX110</f>
        <v>0</v>
      </c>
      <c r="DX110" s="75">
        <f t="shared" si="22"/>
        <v>0</v>
      </c>
      <c r="DY110" s="214">
        <f>DZ110</f>
        <v>0</v>
      </c>
      <c r="DZ110" s="75">
        <v>0</v>
      </c>
      <c r="EA110" s="214">
        <f>EB110</f>
        <v>0</v>
      </c>
      <c r="EB110" s="75">
        <v>0</v>
      </c>
      <c r="EC110" s="214">
        <f>ED110</f>
        <v>0</v>
      </c>
      <c r="ED110" s="75">
        <v>0</v>
      </c>
      <c r="EE110" s="214">
        <f>EF110</f>
        <v>0</v>
      </c>
      <c r="EF110" s="75">
        <v>0</v>
      </c>
      <c r="EG110" s="214">
        <f>EH110</f>
        <v>0</v>
      </c>
      <c r="EH110" s="75">
        <v>0</v>
      </c>
      <c r="EI110" s="214">
        <f>EJ110</f>
        <v>0</v>
      </c>
      <c r="EJ110" s="75">
        <v>0</v>
      </c>
      <c r="EK110" s="2252">
        <f>EL110</f>
        <v>17203.849999999999</v>
      </c>
      <c r="EL110" s="83">
        <f>CW110+CZ110</f>
        <v>17203.849999999999</v>
      </c>
      <c r="EM110" s="234">
        <f>SUM(EN110)</f>
        <v>12.952999999999999</v>
      </c>
      <c r="EN110" s="111">
        <f>CW110/1000</f>
        <v>12.952999999999999</v>
      </c>
      <c r="EO110" s="234">
        <f>EP110</f>
        <v>6.4764999999999997</v>
      </c>
      <c r="EP110" s="111">
        <f>0.5*EN110</f>
        <v>6.4764999999999997</v>
      </c>
      <c r="EQ110" s="192">
        <f>ER110</f>
        <v>6.4764999999999997</v>
      </c>
      <c r="ER110" s="111">
        <f>EP110</f>
        <v>6.4764999999999997</v>
      </c>
      <c r="ES110" s="192">
        <f>ET110</f>
        <v>4</v>
      </c>
      <c r="ET110" s="74">
        <f>FA110+FG110+FQ110</f>
        <v>4</v>
      </c>
      <c r="EU110" s="214">
        <f>EV110</f>
        <v>37.175109999999997</v>
      </c>
      <c r="EV110" s="111">
        <f>2.87*EN110</f>
        <v>37.175109999999997</v>
      </c>
      <c r="EW110" s="214">
        <f>EX110</f>
        <v>14</v>
      </c>
      <c r="EX110" s="88">
        <f>ROUND((DH110+DF110+DD110)/1000*3,0)+ROUND((ROUND(DL110/400,0))/2.67,0)+ROUND(DV110/1000,0)+ROUND((DZ110+EB110+ED110+EH110)/1000*3,0)+ROUND(EN110/25,0)+ROUND(ET110/50,0)</f>
        <v>14</v>
      </c>
      <c r="EY110" s="214" t="str">
        <f>EZ110</f>
        <v>waived</v>
      </c>
      <c r="EZ110" s="254" t="s">
        <v>713</v>
      </c>
      <c r="FA110" s="194">
        <v>0</v>
      </c>
      <c r="FB110" s="214">
        <f>FC110</f>
        <v>0</v>
      </c>
      <c r="FC110" s="194">
        <v>0</v>
      </c>
      <c r="FD110" s="214">
        <f>FE110</f>
        <v>0</v>
      </c>
      <c r="FE110" s="194">
        <v>0</v>
      </c>
      <c r="FF110" s="214">
        <f>FG110</f>
        <v>4</v>
      </c>
      <c r="FG110" s="111">
        <f>ROUND((DH110+DJ110+DD110+DN110+DT110)/1000,0)</f>
        <v>4</v>
      </c>
      <c r="FH110" s="214">
        <f>FI110</f>
        <v>0</v>
      </c>
      <c r="FI110" s="111">
        <f>DF110/1000</f>
        <v>0</v>
      </c>
      <c r="FJ110" s="214">
        <f>FK110</f>
        <v>0</v>
      </c>
      <c r="FK110" s="111">
        <f>((DL110/400)/12)</f>
        <v>0</v>
      </c>
      <c r="FL110" s="214">
        <f>FM110</f>
        <v>0</v>
      </c>
      <c r="FM110" s="111">
        <v>0</v>
      </c>
      <c r="FN110" s="214">
        <f>FO110</f>
        <v>0</v>
      </c>
      <c r="FO110" s="111">
        <v>0</v>
      </c>
      <c r="FP110" s="192">
        <f>FQ110</f>
        <v>0</v>
      </c>
      <c r="FQ110" s="111">
        <f>IF(DX110&gt;0,"Calculate",0)</f>
        <v>0</v>
      </c>
      <c r="FR110" s="214">
        <f>FS110</f>
        <v>175</v>
      </c>
      <c r="FS110" s="214">
        <v>175</v>
      </c>
      <c r="FT110" s="2240">
        <f>CX110-S110</f>
        <v>0</v>
      </c>
      <c r="FU110" s="2233">
        <f>CY110-U110</f>
        <v>4250.8500000000004</v>
      </c>
      <c r="FV110" s="2235">
        <f>(DC110+DE110+DG110)-(Y110+AA110+AC110+AE110)</f>
        <v>4250.8500000000004</v>
      </c>
      <c r="FW110" s="2235">
        <f>DG110-AC110</f>
        <v>4250.8500000000004</v>
      </c>
      <c r="FX110" s="2233">
        <f>DE110-AA110</f>
        <v>0</v>
      </c>
      <c r="FY110" s="2233">
        <f>DC110-Y110</f>
        <v>0</v>
      </c>
      <c r="FZ110" s="2233">
        <f>DJ110-AE110</f>
        <v>0</v>
      </c>
      <c r="GA110" s="235">
        <f>DL110-AL110</f>
        <v>0</v>
      </c>
      <c r="GB110" s="2233">
        <f>DM110-AM110</f>
        <v>0</v>
      </c>
      <c r="GC110" s="2233">
        <f>DP110-AQ110</f>
        <v>0</v>
      </c>
      <c r="GD110" s="2233">
        <f>DR110-AS110</f>
        <v>0</v>
      </c>
      <c r="GE110" s="235">
        <f>DT110-AV110</f>
        <v>0</v>
      </c>
      <c r="GF110" s="2233">
        <f>DV110-AW110</f>
        <v>0</v>
      </c>
      <c r="GG110" s="235">
        <f>DZ110-BB110</f>
        <v>0</v>
      </c>
      <c r="GH110" s="235">
        <f>EB110-BD110</f>
        <v>0</v>
      </c>
      <c r="GI110" s="235">
        <f>ED110-BF110</f>
        <v>0</v>
      </c>
      <c r="GJ110" s="235">
        <f>EF110-BH110</f>
        <v>0</v>
      </c>
      <c r="GK110" s="235">
        <f>EH110-BJ110</f>
        <v>0</v>
      </c>
      <c r="GL110" s="2235">
        <f>DW110-AY110</f>
        <v>0</v>
      </c>
      <c r="GM110" s="2235">
        <f>EK110-BM110</f>
        <v>4250.8499999999985</v>
      </c>
      <c r="GN110" s="2235">
        <f>EM110-BO110</f>
        <v>0</v>
      </c>
      <c r="GO110" s="194">
        <f>GP110</f>
        <v>6.4764999999999997</v>
      </c>
      <c r="GP110" s="112">
        <f t="shared" ref="GP110" si="36">EP110-BR110</f>
        <v>6.4764999999999997</v>
      </c>
      <c r="GQ110" s="194">
        <f>GR110</f>
        <v>0.17510999999999655</v>
      </c>
      <c r="GR110" s="112">
        <f>EV110-BT110</f>
        <v>0.17510999999999655</v>
      </c>
      <c r="GS110" s="316">
        <f>GT110</f>
        <v>13</v>
      </c>
      <c r="GT110" s="245">
        <f>EX110-BV110</f>
        <v>13</v>
      </c>
      <c r="GU110" s="187">
        <f>FA110-BX110</f>
        <v>0</v>
      </c>
      <c r="GV110" s="245">
        <f>FI110-CD110</f>
        <v>0</v>
      </c>
      <c r="GW110" s="245">
        <v>0</v>
      </c>
      <c r="GX110" s="245">
        <f>FG110-CB110</f>
        <v>4</v>
      </c>
      <c r="GY110" s="245">
        <f>FK110-CF110</f>
        <v>0</v>
      </c>
      <c r="GZ110" s="245">
        <f>FM110-CH110</f>
        <v>0</v>
      </c>
      <c r="HA110" s="245">
        <f>FO110-CJ110</f>
        <v>0</v>
      </c>
      <c r="HB110" s="245">
        <f>FQ110-CL110</f>
        <v>0</v>
      </c>
      <c r="HC110" s="392">
        <f>ES110-CM110</f>
        <v>4</v>
      </c>
      <c r="HD110" s="95"/>
      <c r="HE110" s="95"/>
      <c r="HF110" s="95"/>
      <c r="HG110" s="95"/>
      <c r="HH110" s="90"/>
    </row>
    <row r="111" spans="1:216" s="95" customFormat="1" ht="18.75">
      <c r="A111" s="2263"/>
      <c r="B111" s="131"/>
      <c r="C111" s="132"/>
      <c r="D111" s="132"/>
      <c r="E111" s="133"/>
      <c r="F111" s="134"/>
      <c r="G111" s="135"/>
      <c r="H111" s="136"/>
      <c r="I111" s="132"/>
      <c r="J111" s="132"/>
      <c r="K111" s="132"/>
      <c r="L111" s="132"/>
      <c r="M111" s="134"/>
      <c r="N111" s="134"/>
      <c r="O111" s="134"/>
      <c r="P111" s="134"/>
      <c r="Q111" s="137"/>
      <c r="S111" s="101"/>
      <c r="T111" s="97"/>
      <c r="U111" s="2244"/>
      <c r="V111" s="102"/>
      <c r="W111" s="2244"/>
      <c r="X111" s="97"/>
      <c r="Y111" s="2244"/>
      <c r="Z111" s="97"/>
      <c r="AA111" s="2244"/>
      <c r="AB111" s="97"/>
      <c r="AC111" s="2244"/>
      <c r="AD111" s="103"/>
      <c r="AE111" s="2251"/>
      <c r="AF111" s="103"/>
      <c r="AG111" s="103"/>
      <c r="AH111" s="103"/>
      <c r="AI111" s="103"/>
      <c r="AJ111" s="103"/>
      <c r="AK111" s="2251"/>
      <c r="AL111" s="103"/>
      <c r="AM111" s="2251"/>
      <c r="AN111" s="103"/>
      <c r="AO111" s="2224"/>
      <c r="AP111" s="103"/>
      <c r="AQ111" s="2251"/>
      <c r="AR111" s="103"/>
      <c r="AS111" s="2251"/>
      <c r="AT111" s="103"/>
      <c r="AU111" s="2251"/>
      <c r="AV111" s="103"/>
      <c r="AW111" s="2251"/>
      <c r="AX111" s="103"/>
      <c r="AY111" s="2251"/>
      <c r="AZ111" s="75"/>
      <c r="BA111" s="2224"/>
      <c r="BB111" s="97"/>
      <c r="BC111" s="2224"/>
      <c r="BD111" s="97"/>
      <c r="BE111" s="2224"/>
      <c r="BF111" s="97"/>
      <c r="BG111" s="2224"/>
      <c r="BH111" s="97"/>
      <c r="BI111" s="2224"/>
      <c r="BJ111" s="97"/>
      <c r="BK111" s="2224"/>
      <c r="BL111" s="97"/>
      <c r="BM111" s="2251"/>
      <c r="BN111" s="97"/>
      <c r="BO111" s="2251"/>
      <c r="BP111" s="97"/>
      <c r="BQ111" s="2251"/>
      <c r="BR111" s="97"/>
      <c r="BS111" s="2251"/>
      <c r="BT111" s="124"/>
      <c r="BU111" s="2251"/>
      <c r="BV111" s="138"/>
      <c r="BW111" s="2251"/>
      <c r="BX111" s="97"/>
      <c r="BY111" s="2251"/>
      <c r="BZ111" s="97"/>
      <c r="CA111" s="2251"/>
      <c r="CB111" s="97"/>
      <c r="CC111" s="2251"/>
      <c r="CD111" s="97"/>
      <c r="CE111" s="2251"/>
      <c r="CF111" s="97"/>
      <c r="CG111" s="2251"/>
      <c r="CH111" s="105"/>
      <c r="CI111" s="2251"/>
      <c r="CJ111" s="97"/>
      <c r="CK111" s="2251"/>
      <c r="CL111" s="246"/>
      <c r="CM111" s="2251"/>
      <c r="CN111" s="73">
        <f t="shared" si="19"/>
        <v>0</v>
      </c>
      <c r="CO111" s="97"/>
      <c r="CP111" s="106"/>
      <c r="CQ111" s="139"/>
      <c r="CR111" s="139"/>
      <c r="CS111" s="139"/>
      <c r="CT111" s="139"/>
      <c r="CU111" s="108"/>
      <c r="CV111" s="2258"/>
      <c r="CW111" s="97"/>
      <c r="CX111" s="231"/>
      <c r="CY111" s="237"/>
      <c r="CZ111" s="97"/>
      <c r="DA111" s="267"/>
      <c r="DB111" s="97"/>
      <c r="DC111" s="231"/>
      <c r="DD111" s="97"/>
      <c r="DE111" s="2244"/>
      <c r="DF111" s="97"/>
      <c r="DG111" s="2244"/>
      <c r="DH111" s="97"/>
      <c r="DI111" s="2244"/>
      <c r="DJ111" s="97"/>
      <c r="DK111" s="2244"/>
      <c r="DL111" s="97"/>
      <c r="DM111" s="214"/>
      <c r="DN111" s="83"/>
      <c r="DO111" s="2244"/>
      <c r="DP111" s="83"/>
      <c r="DQ111" s="2244"/>
      <c r="DR111" s="83"/>
      <c r="DS111" s="2244"/>
      <c r="DT111" s="83"/>
      <c r="DU111" s="2244"/>
      <c r="DV111" s="83"/>
      <c r="DW111" s="214"/>
      <c r="DX111" s="75"/>
      <c r="DY111" s="2244"/>
      <c r="DZ111" s="76"/>
      <c r="EA111" s="2244"/>
      <c r="EB111" s="76"/>
      <c r="EC111" s="2244"/>
      <c r="ED111" s="76"/>
      <c r="EE111" s="2244"/>
      <c r="EF111" s="76"/>
      <c r="EG111" s="2244"/>
      <c r="EH111" s="76"/>
      <c r="EI111" s="2244"/>
      <c r="EJ111" s="76"/>
      <c r="EK111" s="215"/>
      <c r="EL111" s="97"/>
      <c r="EM111" s="2246"/>
      <c r="EN111" s="102"/>
      <c r="EO111" s="2246"/>
      <c r="EP111" s="102"/>
      <c r="EQ111" s="110"/>
      <c r="ER111" s="102"/>
      <c r="ES111" s="110"/>
      <c r="ET111" s="74"/>
      <c r="EU111" s="2244"/>
      <c r="EV111" s="111"/>
      <c r="EW111" s="2244"/>
      <c r="EX111" s="88"/>
      <c r="EY111" s="2244"/>
      <c r="EZ111" s="2248"/>
      <c r="FA111" s="2224"/>
      <c r="FB111" s="2244"/>
      <c r="FC111" s="2224"/>
      <c r="FD111" s="2244"/>
      <c r="FE111" s="2224"/>
      <c r="FF111" s="2244"/>
      <c r="FG111" s="102"/>
      <c r="FH111" s="2244"/>
      <c r="FI111" s="102"/>
      <c r="FJ111" s="2244"/>
      <c r="FK111" s="102"/>
      <c r="FL111" s="2244"/>
      <c r="FM111" s="102"/>
      <c r="FN111" s="2244"/>
      <c r="FO111" s="102"/>
      <c r="FP111" s="110"/>
      <c r="FQ111" s="102"/>
      <c r="FR111" s="2244"/>
      <c r="FS111" s="2244"/>
      <c r="FT111" s="2240"/>
      <c r="FU111" s="2233"/>
      <c r="FV111" s="2235"/>
      <c r="FW111" s="2235"/>
      <c r="FX111" s="2233"/>
      <c r="FY111" s="2233"/>
      <c r="FZ111" s="2233"/>
      <c r="GA111" s="2232"/>
      <c r="GB111" s="2233"/>
      <c r="GC111" s="2233"/>
      <c r="GD111" s="2233"/>
      <c r="GE111" s="2232"/>
      <c r="GF111" s="2233"/>
      <c r="GG111" s="2232"/>
      <c r="GH111" s="2232"/>
      <c r="GI111" s="2232"/>
      <c r="GJ111" s="2232"/>
      <c r="GK111" s="2232"/>
      <c r="GL111" s="2235"/>
      <c r="GM111" s="2235"/>
      <c r="GN111" s="2235"/>
      <c r="GO111" s="2224"/>
      <c r="GP111" s="112"/>
      <c r="GQ111" s="2224"/>
      <c r="GR111" s="112"/>
      <c r="GS111" s="2227"/>
      <c r="GT111" s="113"/>
      <c r="GU111" s="114"/>
      <c r="GV111" s="113"/>
      <c r="GW111" s="113"/>
      <c r="GX111" s="113"/>
      <c r="GY111" s="113"/>
      <c r="GZ111" s="112"/>
      <c r="HA111" s="113"/>
      <c r="HB111" s="113"/>
      <c r="HC111" s="2230"/>
    </row>
    <row r="112" spans="1:216" s="91" customFormat="1" ht="18.75">
      <c r="A112" s="216">
        <v>39</v>
      </c>
      <c r="B112" s="262" t="s">
        <v>703</v>
      </c>
      <c r="C112" s="218">
        <v>2506</v>
      </c>
      <c r="D112" s="218">
        <v>40</v>
      </c>
      <c r="E112" s="218">
        <v>2025060040</v>
      </c>
      <c r="F112" s="220">
        <v>17635</v>
      </c>
      <c r="G112" s="221" t="s">
        <v>726</v>
      </c>
      <c r="H112" s="222"/>
      <c r="I112" s="218">
        <v>0</v>
      </c>
      <c r="J112" s="218">
        <v>4</v>
      </c>
      <c r="K112" s="218">
        <v>0</v>
      </c>
      <c r="L112" s="218">
        <v>4.8</v>
      </c>
      <c r="M112" s="220">
        <v>0</v>
      </c>
      <c r="N112" s="220">
        <v>0</v>
      </c>
      <c r="O112" s="220">
        <v>0</v>
      </c>
      <c r="P112" s="220">
        <v>0</v>
      </c>
      <c r="Q112" s="223">
        <v>0</v>
      </c>
      <c r="R112" s="91" t="s">
        <v>768</v>
      </c>
      <c r="S112" s="214">
        <f>T112</f>
        <v>0</v>
      </c>
      <c r="T112" s="83">
        <v>0</v>
      </c>
      <c r="U112" s="214">
        <f>V112</f>
        <v>0</v>
      </c>
      <c r="V112" s="111">
        <v>0</v>
      </c>
      <c r="W112" s="214">
        <f>X112</f>
        <v>0</v>
      </c>
      <c r="X112" s="83">
        <v>0</v>
      </c>
      <c r="Y112" s="214">
        <f>Z112</f>
        <v>0</v>
      </c>
      <c r="Z112" s="76">
        <v>0</v>
      </c>
      <c r="AA112" s="214">
        <f>AB112</f>
        <v>0</v>
      </c>
      <c r="AB112" s="76">
        <v>0</v>
      </c>
      <c r="AC112" s="214">
        <f>AD112</f>
        <v>0</v>
      </c>
      <c r="AD112" s="76">
        <f>V112-(Z112+AB112+AF112+AL112+AN112+AP112+AZ112+AR112+AT112+AV112+AX112)</f>
        <v>0</v>
      </c>
      <c r="AE112" s="215">
        <f>AF112</f>
        <v>0</v>
      </c>
      <c r="AF112" s="76">
        <v>0</v>
      </c>
      <c r="AG112" s="76">
        <v>0</v>
      </c>
      <c r="AH112" s="76">
        <f>AG112</f>
        <v>0</v>
      </c>
      <c r="AI112" s="76">
        <v>0</v>
      </c>
      <c r="AJ112" s="76">
        <f>AI112</f>
        <v>0</v>
      </c>
      <c r="AK112" s="215">
        <f>AL112</f>
        <v>0</v>
      </c>
      <c r="AL112" s="76">
        <v>0</v>
      </c>
      <c r="AM112" s="215">
        <v>0</v>
      </c>
      <c r="AN112" s="76">
        <v>0</v>
      </c>
      <c r="AO112" s="194">
        <f>AP112</f>
        <v>0</v>
      </c>
      <c r="AP112" s="76">
        <v>0</v>
      </c>
      <c r="AQ112" s="215">
        <f>AR112</f>
        <v>0</v>
      </c>
      <c r="AR112" s="76">
        <v>0</v>
      </c>
      <c r="AS112" s="215">
        <f>AT112</f>
        <v>0</v>
      </c>
      <c r="AT112" s="76">
        <v>0</v>
      </c>
      <c r="AU112" s="215">
        <f>AV112</f>
        <v>0</v>
      </c>
      <c r="AV112" s="76">
        <v>0</v>
      </c>
      <c r="AW112" s="215">
        <f>AX112</f>
        <v>0</v>
      </c>
      <c r="AX112" s="76">
        <v>0</v>
      </c>
      <c r="AY112" s="215">
        <f>AZ112</f>
        <v>0</v>
      </c>
      <c r="AZ112" s="75">
        <f t="shared" si="18"/>
        <v>0</v>
      </c>
      <c r="BA112" s="194">
        <f>BB112</f>
        <v>0</v>
      </c>
      <c r="BB112" s="83">
        <v>0</v>
      </c>
      <c r="BC112" s="194">
        <f>BD112</f>
        <v>0</v>
      </c>
      <c r="BD112" s="83">
        <v>0</v>
      </c>
      <c r="BE112" s="194">
        <f>BF112</f>
        <v>0</v>
      </c>
      <c r="BF112" s="83">
        <v>0</v>
      </c>
      <c r="BG112" s="194">
        <f>BH112</f>
        <v>0</v>
      </c>
      <c r="BH112" s="83">
        <v>0</v>
      </c>
      <c r="BI112" s="194">
        <f>BJ112</f>
        <v>0</v>
      </c>
      <c r="BJ112" s="83">
        <v>0</v>
      </c>
      <c r="BK112" s="194">
        <f>BL112</f>
        <v>0</v>
      </c>
      <c r="BL112" s="83">
        <v>0</v>
      </c>
      <c r="BM112" s="215">
        <f>BN112</f>
        <v>0</v>
      </c>
      <c r="BN112" s="83">
        <v>0</v>
      </c>
      <c r="BO112" s="215">
        <f>BP112</f>
        <v>0</v>
      </c>
      <c r="BP112" s="83">
        <v>0</v>
      </c>
      <c r="BQ112" s="215">
        <f>BR112</f>
        <v>0</v>
      </c>
      <c r="BR112" s="83">
        <v>0</v>
      </c>
      <c r="BS112" s="215">
        <f>BT112</f>
        <v>0</v>
      </c>
      <c r="BT112" s="124">
        <f t="shared" si="16"/>
        <v>0</v>
      </c>
      <c r="BU112" s="215">
        <f>BV112</f>
        <v>0</v>
      </c>
      <c r="BV112" s="225">
        <f>ROUND((AD112+AB112+Z112)/1000*3,0)+ROUND((AF112+AX112)/1000,0)+ROUND((ROUND(AL112/400,0))/2.67,0)+ROUND(AN112/250,0)+ROUND(AR112/15000,0)+ROUND((BB112+BD112+BF112+BJ112)/1000*3,0)+ROUND(BP112/25,0)+ROUND(CN112/50,0)</f>
        <v>0</v>
      </c>
      <c r="BW112" s="215">
        <f>BX112</f>
        <v>0</v>
      </c>
      <c r="BX112" s="83">
        <v>0</v>
      </c>
      <c r="BY112" s="215">
        <f>BZ112</f>
        <v>0</v>
      </c>
      <c r="BZ112" s="83">
        <v>0</v>
      </c>
      <c r="CA112" s="215">
        <f>CB112</f>
        <v>0</v>
      </c>
      <c r="CB112" s="83">
        <v>0</v>
      </c>
      <c r="CC112" s="215">
        <f>CD112</f>
        <v>0</v>
      </c>
      <c r="CD112" s="83">
        <v>0</v>
      </c>
      <c r="CE112" s="215">
        <f>CF112</f>
        <v>0</v>
      </c>
      <c r="CF112" s="83">
        <v>0</v>
      </c>
      <c r="CG112" s="215">
        <f>CH112</f>
        <v>23</v>
      </c>
      <c r="CH112" s="83">
        <v>23</v>
      </c>
      <c r="CI112" s="215">
        <f>CJ112</f>
        <v>0</v>
      </c>
      <c r="CJ112" s="83">
        <v>0</v>
      </c>
      <c r="CK112" s="215">
        <f>CL112</f>
        <v>0</v>
      </c>
      <c r="CL112" s="83">
        <v>0</v>
      </c>
      <c r="CM112" s="215">
        <f>CN112</f>
        <v>23</v>
      </c>
      <c r="CN112" s="73">
        <f t="shared" si="19"/>
        <v>23</v>
      </c>
      <c r="CO112" s="83"/>
      <c r="CP112" s="227">
        <v>0</v>
      </c>
      <c r="CQ112" s="228" t="s">
        <v>758</v>
      </c>
      <c r="CR112" s="228">
        <v>8.5</v>
      </c>
      <c r="CS112" s="228">
        <v>2</v>
      </c>
      <c r="CT112" s="228">
        <v>7.5</v>
      </c>
      <c r="CU112" s="229" t="s">
        <v>706</v>
      </c>
      <c r="CV112" s="230" t="s">
        <v>716</v>
      </c>
      <c r="CW112" s="83">
        <f>(CR112*F112)-CZ112</f>
        <v>134907.75</v>
      </c>
      <c r="CX112" s="231">
        <f>CW112</f>
        <v>134907.75</v>
      </c>
      <c r="CY112" s="232">
        <f>CZ112</f>
        <v>14989.75</v>
      </c>
      <c r="CZ112" s="83">
        <f>1*(F112)-(0.15*1*(F112))</f>
        <v>14989.75</v>
      </c>
      <c r="DA112" s="233">
        <f>DB112</f>
        <v>14989.75</v>
      </c>
      <c r="DB112" s="83">
        <f>CZ112-DD112</f>
        <v>14989.75</v>
      </c>
      <c r="DC112" s="84">
        <f>DD112</f>
        <v>0</v>
      </c>
      <c r="DD112" s="83">
        <v>0</v>
      </c>
      <c r="DE112" s="214">
        <f>DF112</f>
        <v>0</v>
      </c>
      <c r="DF112" s="83">
        <v>0</v>
      </c>
      <c r="DG112" s="214">
        <f>DH112</f>
        <v>14989.75</v>
      </c>
      <c r="DH112" s="83">
        <f>CZ112-(DD112+DF112+DJ112+DL112+DN112+DT112+DV112+DX112)</f>
        <v>14989.75</v>
      </c>
      <c r="DI112" s="214">
        <f>DJ112</f>
        <v>0</v>
      </c>
      <c r="DJ112" s="83">
        <v>0</v>
      </c>
      <c r="DK112" s="214">
        <f>DL112</f>
        <v>0</v>
      </c>
      <c r="DL112" s="83">
        <v>0</v>
      </c>
      <c r="DM112" s="2245">
        <f>DN112</f>
        <v>0</v>
      </c>
      <c r="DN112" s="73">
        <v>0</v>
      </c>
      <c r="DO112" s="214">
        <f>DP112</f>
        <v>0</v>
      </c>
      <c r="DP112" s="73">
        <v>0</v>
      </c>
      <c r="DQ112" s="214">
        <f>DR112</f>
        <v>0</v>
      </c>
      <c r="DR112" s="73">
        <v>0</v>
      </c>
      <c r="DS112" s="214">
        <f>DT112</f>
        <v>0</v>
      </c>
      <c r="DT112" s="73">
        <v>0</v>
      </c>
      <c r="DU112" s="214">
        <f>DV112</f>
        <v>0</v>
      </c>
      <c r="DV112" s="73">
        <v>0</v>
      </c>
      <c r="DW112" s="2245">
        <f>DX112</f>
        <v>0</v>
      </c>
      <c r="DX112" s="75">
        <f t="shared" si="22"/>
        <v>0</v>
      </c>
      <c r="DY112" s="214">
        <f>DZ112</f>
        <v>0</v>
      </c>
      <c r="DZ112" s="75">
        <v>0</v>
      </c>
      <c r="EA112" s="214">
        <f>EB112</f>
        <v>0</v>
      </c>
      <c r="EB112" s="75">
        <v>0</v>
      </c>
      <c r="EC112" s="214">
        <f>ED112</f>
        <v>0</v>
      </c>
      <c r="ED112" s="75">
        <v>0</v>
      </c>
      <c r="EE112" s="214">
        <f>EF112</f>
        <v>0</v>
      </c>
      <c r="EF112" s="75">
        <v>0</v>
      </c>
      <c r="EG112" s="214">
        <f>EH112</f>
        <v>0</v>
      </c>
      <c r="EH112" s="75">
        <v>0</v>
      </c>
      <c r="EI112" s="214">
        <f>EJ112</f>
        <v>0</v>
      </c>
      <c r="EJ112" s="75">
        <v>0</v>
      </c>
      <c r="EK112" s="2252">
        <f>EL112</f>
        <v>149897.5</v>
      </c>
      <c r="EL112" s="83">
        <f>CW112+CZ112</f>
        <v>149897.5</v>
      </c>
      <c r="EM112" s="234">
        <f>SUM(EN112)</f>
        <v>134.90774999999999</v>
      </c>
      <c r="EN112" s="111">
        <f>CW112/1000</f>
        <v>134.90774999999999</v>
      </c>
      <c r="EO112" s="234">
        <f>EP112</f>
        <v>134.90774999999999</v>
      </c>
      <c r="EP112" s="111">
        <f>EN112</f>
        <v>134.90774999999999</v>
      </c>
      <c r="EQ112" s="192">
        <f>ER112</f>
        <v>134.90774999999999</v>
      </c>
      <c r="ER112" s="111">
        <f>EP112</f>
        <v>134.90774999999999</v>
      </c>
      <c r="ES112" s="192">
        <f>ET112</f>
        <v>15</v>
      </c>
      <c r="ET112" s="74">
        <f>FA112+FG112+FQ112</f>
        <v>15</v>
      </c>
      <c r="EU112" s="214">
        <f>EV112</f>
        <v>387.18524250000002</v>
      </c>
      <c r="EV112" s="111">
        <f>2.87*EN112</f>
        <v>387.18524250000002</v>
      </c>
      <c r="EW112" s="214">
        <f>EX112</f>
        <v>50</v>
      </c>
      <c r="EX112" s="88">
        <f>ROUND((DH112+DF112+DD112)/1000*3,0)+ROUND((ROUND(DL112/400,0))/2.67,0)+ROUND(DV112/1000,0)+ROUND((DZ112+EB112+ED112+EH112)/1000*3,0)+ROUND(EN112/25,0)+ROUND(ET112/50,0)</f>
        <v>50</v>
      </c>
      <c r="EY112" s="214">
        <f>EZ112</f>
        <v>0</v>
      </c>
      <c r="EZ112" s="193">
        <v>0</v>
      </c>
      <c r="FA112" s="194">
        <v>0</v>
      </c>
      <c r="FB112" s="214">
        <f>FC112</f>
        <v>0</v>
      </c>
      <c r="FC112" s="194">
        <v>0</v>
      </c>
      <c r="FD112" s="214">
        <f>FE112</f>
        <v>0</v>
      </c>
      <c r="FE112" s="194">
        <v>0</v>
      </c>
      <c r="FF112" s="214">
        <f>FG112</f>
        <v>15</v>
      </c>
      <c r="FG112" s="111">
        <f>ROUND((DH112+DJ112+DD112+DN112+DT112)/1000,0)</f>
        <v>15</v>
      </c>
      <c r="FH112" s="214">
        <f>FI112</f>
        <v>0</v>
      </c>
      <c r="FI112" s="111">
        <f>DF112/1000</f>
        <v>0</v>
      </c>
      <c r="FJ112" s="214">
        <f>FK112</f>
        <v>0</v>
      </c>
      <c r="FK112" s="111">
        <f>((DL112/400)/12)</f>
        <v>0</v>
      </c>
      <c r="FL112" s="214">
        <f>FM112</f>
        <v>0</v>
      </c>
      <c r="FM112" s="111">
        <v>0</v>
      </c>
      <c r="FN112" s="214">
        <f>FO112</f>
        <v>0</v>
      </c>
      <c r="FO112" s="111">
        <v>0</v>
      </c>
      <c r="FP112" s="192">
        <f>FQ112</f>
        <v>0</v>
      </c>
      <c r="FQ112" s="111">
        <f>DX112/1000</f>
        <v>0</v>
      </c>
      <c r="FR112" s="214">
        <f>FS112</f>
        <v>175</v>
      </c>
      <c r="FS112" s="214">
        <v>175</v>
      </c>
      <c r="FT112" s="2240">
        <f>CX112-S112</f>
        <v>134907.75</v>
      </c>
      <c r="FU112" s="2233">
        <f>CY112-U112</f>
        <v>14989.75</v>
      </c>
      <c r="FV112" s="2235">
        <f>(DC112+DE112+DG112)-(Y112+AA112+AC112+AE112)</f>
        <v>14989.75</v>
      </c>
      <c r="FW112" s="2235">
        <f>DG112-AC112</f>
        <v>14989.75</v>
      </c>
      <c r="FX112" s="2233">
        <f>DE112-AA112</f>
        <v>0</v>
      </c>
      <c r="FY112" s="2233">
        <f>DC112-Y112</f>
        <v>0</v>
      </c>
      <c r="FZ112" s="2233">
        <f>DJ112-AE112</f>
        <v>0</v>
      </c>
      <c r="GA112" s="235">
        <f>DL112-AL112</f>
        <v>0</v>
      </c>
      <c r="GB112" s="2233">
        <f>DM112-AM112</f>
        <v>0</v>
      </c>
      <c r="GC112" s="2233">
        <f>DP112-AQ112</f>
        <v>0</v>
      </c>
      <c r="GD112" s="2233">
        <f>DR112-AS112</f>
        <v>0</v>
      </c>
      <c r="GE112" s="235">
        <f>DT112-AV112</f>
        <v>0</v>
      </c>
      <c r="GF112" s="2233">
        <f>DV112-AW112</f>
        <v>0</v>
      </c>
      <c r="GG112" s="235">
        <f>DZ112-BB112</f>
        <v>0</v>
      </c>
      <c r="GH112" s="235">
        <f>EB112-BD112</f>
        <v>0</v>
      </c>
      <c r="GI112" s="235">
        <f>ED112-BF112</f>
        <v>0</v>
      </c>
      <c r="GJ112" s="235">
        <f>EF112-BH112</f>
        <v>0</v>
      </c>
      <c r="GK112" s="235">
        <f>EH112-BJ112</f>
        <v>0</v>
      </c>
      <c r="GL112" s="2235">
        <f>DW112-AY112</f>
        <v>0</v>
      </c>
      <c r="GM112" s="2235">
        <f>EK112-BM112</f>
        <v>149897.5</v>
      </c>
      <c r="GN112" s="2235">
        <f>EM112-BO112</f>
        <v>134.90774999999999</v>
      </c>
      <c r="GO112" s="194">
        <f>GP112</f>
        <v>134.90774999999999</v>
      </c>
      <c r="GP112" s="112">
        <f>EP112-BR112</f>
        <v>134.90774999999999</v>
      </c>
      <c r="GQ112" s="194">
        <f>GR112</f>
        <v>387.18524250000002</v>
      </c>
      <c r="GR112" s="112">
        <f>EV112-BT112</f>
        <v>387.18524250000002</v>
      </c>
      <c r="GS112" s="316">
        <f>GT112</f>
        <v>50</v>
      </c>
      <c r="GT112" s="245">
        <f>EX112-BV112</f>
        <v>50</v>
      </c>
      <c r="GU112" s="114">
        <f>FA112-BX112</f>
        <v>0</v>
      </c>
      <c r="GV112" s="245">
        <f>FI112-CD112</f>
        <v>0</v>
      </c>
      <c r="GW112" s="245">
        <v>0</v>
      </c>
      <c r="GX112" s="245">
        <f>FG112-CB112</f>
        <v>15</v>
      </c>
      <c r="GY112" s="245">
        <f>FK112-CF112</f>
        <v>0</v>
      </c>
      <c r="GZ112" s="112">
        <f>FM112-CH112</f>
        <v>-23</v>
      </c>
      <c r="HA112" s="245">
        <f>FO112-CJ112</f>
        <v>0</v>
      </c>
      <c r="HB112" s="245">
        <f>FQ112-CL112</f>
        <v>0</v>
      </c>
      <c r="HC112" s="2230">
        <f>ES112-CM112</f>
        <v>-8</v>
      </c>
      <c r="HD112" s="95"/>
      <c r="HE112" s="95"/>
      <c r="HF112" s="95"/>
      <c r="HG112" s="95"/>
      <c r="HH112" s="72"/>
    </row>
    <row r="113" spans="1:241" s="95" customFormat="1" ht="18.75">
      <c r="A113" s="2263"/>
      <c r="B113" s="236"/>
      <c r="C113" s="132"/>
      <c r="D113" s="132"/>
      <c r="E113" s="132"/>
      <c r="F113" s="134"/>
      <c r="G113" s="135"/>
      <c r="H113" s="136"/>
      <c r="I113" s="132"/>
      <c r="J113" s="132"/>
      <c r="K113" s="132"/>
      <c r="L113" s="132"/>
      <c r="M113" s="134"/>
      <c r="N113" s="134"/>
      <c r="O113" s="134"/>
      <c r="P113" s="134"/>
      <c r="Q113" s="137"/>
      <c r="S113" s="101"/>
      <c r="T113" s="97"/>
      <c r="U113" s="2244"/>
      <c r="V113" s="102"/>
      <c r="W113" s="2251"/>
      <c r="X113" s="97"/>
      <c r="Y113" s="2244"/>
      <c r="Z113" s="103"/>
      <c r="AA113" s="2251"/>
      <c r="AB113" s="103"/>
      <c r="AC113" s="2251"/>
      <c r="AD113" s="103"/>
      <c r="AE113" s="2251"/>
      <c r="AF113" s="103"/>
      <c r="AG113" s="103"/>
      <c r="AH113" s="103"/>
      <c r="AI113" s="103"/>
      <c r="AJ113" s="103"/>
      <c r="AK113" s="2251"/>
      <c r="AL113" s="103"/>
      <c r="AM113" s="2251"/>
      <c r="AN113" s="103"/>
      <c r="AO113" s="2224"/>
      <c r="AP113" s="103"/>
      <c r="AQ113" s="2251"/>
      <c r="AR113" s="103"/>
      <c r="AS113" s="2251"/>
      <c r="AT113" s="103"/>
      <c r="AU113" s="2251"/>
      <c r="AV113" s="103"/>
      <c r="AW113" s="2251"/>
      <c r="AX113" s="103"/>
      <c r="AY113" s="2251"/>
      <c r="AZ113" s="75"/>
      <c r="BA113" s="2224"/>
      <c r="BB113" s="97"/>
      <c r="BC113" s="2224"/>
      <c r="BD113" s="97"/>
      <c r="BE113" s="2224"/>
      <c r="BF113" s="97"/>
      <c r="BG113" s="2224"/>
      <c r="BH113" s="97"/>
      <c r="BI113" s="2224"/>
      <c r="BJ113" s="97"/>
      <c r="BK113" s="2224"/>
      <c r="BL113" s="97"/>
      <c r="BM113" s="2251"/>
      <c r="BN113" s="97"/>
      <c r="BO113" s="2251"/>
      <c r="BP113" s="97"/>
      <c r="BQ113" s="2251"/>
      <c r="BR113" s="97"/>
      <c r="BS113" s="2251"/>
      <c r="BT113" s="124"/>
      <c r="BU113" s="2251"/>
      <c r="BV113" s="138"/>
      <c r="BW113" s="2251"/>
      <c r="BX113" s="97"/>
      <c r="BY113" s="2251"/>
      <c r="BZ113" s="97"/>
      <c r="CA113" s="2251"/>
      <c r="CB113" s="97"/>
      <c r="CC113" s="2251"/>
      <c r="CD113" s="97"/>
      <c r="CE113" s="2251"/>
      <c r="CF113" s="97"/>
      <c r="CG113" s="2251"/>
      <c r="CH113" s="97"/>
      <c r="CI113" s="2251"/>
      <c r="CJ113" s="97"/>
      <c r="CK113" s="2251"/>
      <c r="CL113" s="97"/>
      <c r="CM113" s="2251"/>
      <c r="CN113" s="73">
        <f t="shared" si="19"/>
        <v>0</v>
      </c>
      <c r="CO113" s="97"/>
      <c r="CP113" s="106"/>
      <c r="CQ113" s="139"/>
      <c r="CR113" s="139"/>
      <c r="CS113" s="139"/>
      <c r="CT113" s="139"/>
      <c r="CU113" s="108"/>
      <c r="CV113" s="2258"/>
      <c r="CW113" s="97"/>
      <c r="CX113" s="2244"/>
      <c r="CY113" s="2261"/>
      <c r="CZ113" s="97"/>
      <c r="DA113" s="2253"/>
      <c r="DB113" s="97"/>
      <c r="DC113" s="2244"/>
      <c r="DD113" s="97"/>
      <c r="DE113" s="2244"/>
      <c r="DF113" s="97"/>
      <c r="DG113" s="2244"/>
      <c r="DH113" s="97"/>
      <c r="DI113" s="2244"/>
      <c r="DJ113" s="97"/>
      <c r="DK113" s="2244"/>
      <c r="DL113" s="97"/>
      <c r="DM113" s="2244"/>
      <c r="DN113" s="97"/>
      <c r="DO113" s="2244"/>
      <c r="DP113" s="97"/>
      <c r="DQ113" s="2244"/>
      <c r="DR113" s="97"/>
      <c r="DS113" s="2244"/>
      <c r="DT113" s="97"/>
      <c r="DU113" s="2244"/>
      <c r="DV113" s="97"/>
      <c r="DW113" s="2244"/>
      <c r="DX113" s="75"/>
      <c r="DY113" s="2244"/>
      <c r="DZ113" s="103"/>
      <c r="EA113" s="2244"/>
      <c r="EB113" s="103"/>
      <c r="EC113" s="2244"/>
      <c r="ED113" s="103"/>
      <c r="EE113" s="2244"/>
      <c r="EF113" s="103"/>
      <c r="EG113" s="2244"/>
      <c r="EH113" s="103"/>
      <c r="EI113" s="2244"/>
      <c r="EJ113" s="103"/>
      <c r="EK113" s="2251"/>
      <c r="EL113" s="97"/>
      <c r="EM113" s="2246"/>
      <c r="EN113" s="102"/>
      <c r="EO113" s="2246"/>
      <c r="EP113" s="102"/>
      <c r="EQ113" s="110"/>
      <c r="ER113" s="102"/>
      <c r="ES113" s="110"/>
      <c r="ET113" s="74"/>
      <c r="EU113" s="2244"/>
      <c r="EV113" s="111"/>
      <c r="EW113" s="2244"/>
      <c r="EX113" s="88"/>
      <c r="EY113" s="2244"/>
      <c r="EZ113" s="2248"/>
      <c r="FA113" s="2224"/>
      <c r="FB113" s="2244"/>
      <c r="FC113" s="2224"/>
      <c r="FD113" s="2244"/>
      <c r="FE113" s="2224"/>
      <c r="FF113" s="2244"/>
      <c r="FG113" s="102"/>
      <c r="FH113" s="2244"/>
      <c r="FI113" s="102"/>
      <c r="FJ113" s="2244"/>
      <c r="FK113" s="102"/>
      <c r="FL113" s="2244"/>
      <c r="FM113" s="102"/>
      <c r="FN113" s="2244"/>
      <c r="FO113" s="102"/>
      <c r="FP113" s="110"/>
      <c r="FQ113" s="102"/>
      <c r="FR113" s="2244"/>
      <c r="FS113" s="2244"/>
      <c r="FT113" s="2240"/>
      <c r="FU113" s="2233"/>
      <c r="FV113" s="2235"/>
      <c r="FW113" s="2235"/>
      <c r="FX113" s="2233"/>
      <c r="FY113" s="2233"/>
      <c r="FZ113" s="2233"/>
      <c r="GA113" s="2232"/>
      <c r="GB113" s="2233"/>
      <c r="GC113" s="2233"/>
      <c r="GD113" s="2233"/>
      <c r="GE113" s="2232"/>
      <c r="GF113" s="2233"/>
      <c r="GG113" s="2232"/>
      <c r="GH113" s="2232"/>
      <c r="GI113" s="2232"/>
      <c r="GJ113" s="2232"/>
      <c r="GK113" s="2232"/>
      <c r="GL113" s="2235"/>
      <c r="GM113" s="2235"/>
      <c r="GN113" s="2235"/>
      <c r="GO113" s="2224"/>
      <c r="GP113" s="112"/>
      <c r="GQ113" s="2224"/>
      <c r="GR113" s="112"/>
      <c r="GS113" s="2227"/>
      <c r="GT113" s="195"/>
      <c r="GU113" s="114"/>
      <c r="GV113" s="195"/>
      <c r="GW113" s="195"/>
      <c r="GX113" s="195"/>
      <c r="GY113" s="195"/>
      <c r="GZ113" s="112"/>
      <c r="HA113" s="195"/>
      <c r="HB113" s="195"/>
      <c r="HC113" s="2230"/>
    </row>
    <row r="114" spans="1:241" s="90" customFormat="1" ht="15" customHeight="1">
      <c r="A114" s="2588">
        <v>40</v>
      </c>
      <c r="B114" s="3689" t="s">
        <v>703</v>
      </c>
      <c r="C114" s="115">
        <v>2489</v>
      </c>
      <c r="D114" s="115">
        <v>6</v>
      </c>
      <c r="E114" s="183">
        <v>2024890006</v>
      </c>
      <c r="F114" s="117">
        <v>3931</v>
      </c>
      <c r="G114" s="118" t="s">
        <v>704</v>
      </c>
      <c r="H114" s="119"/>
      <c r="I114" s="115">
        <v>1.73</v>
      </c>
      <c r="J114" s="115">
        <v>0</v>
      </c>
      <c r="K114" s="115">
        <v>2</v>
      </c>
      <c r="L114" s="115">
        <v>6.5</v>
      </c>
      <c r="M114" s="117">
        <v>6812</v>
      </c>
      <c r="N114" s="117">
        <f>AF114</f>
        <v>3406</v>
      </c>
      <c r="O114" s="117">
        <v>0</v>
      </c>
      <c r="P114" s="117">
        <v>6812</v>
      </c>
      <c r="Q114" s="120">
        <v>0</v>
      </c>
      <c r="R114" s="90" t="s">
        <v>722</v>
      </c>
      <c r="S114" s="2590">
        <f>SUM(T114:T115)</f>
        <v>0</v>
      </c>
      <c r="T114" s="121">
        <v>0</v>
      </c>
      <c r="U114" s="2590">
        <f>SUM(V114:V115)</f>
        <v>16857</v>
      </c>
      <c r="V114" s="122">
        <f>M114</f>
        <v>6812</v>
      </c>
      <c r="W114" s="2590">
        <f>SUM(X114:X115)</f>
        <v>16857</v>
      </c>
      <c r="X114" s="121">
        <f>V114-Z114</f>
        <v>6812</v>
      </c>
      <c r="Y114" s="2590">
        <f>SUM(Z114:Z115)</f>
        <v>0</v>
      </c>
      <c r="Z114" s="121">
        <v>0</v>
      </c>
      <c r="AA114" s="2590">
        <f>SUM(AB114:AB115)</f>
        <v>0</v>
      </c>
      <c r="AB114" s="121">
        <v>0</v>
      </c>
      <c r="AC114" s="2590">
        <f>SUM(AD114:AD115)</f>
        <v>8633</v>
      </c>
      <c r="AD114" s="123">
        <f>V114-(Z114+AB114+AF114+AL114+AN114+AP114+AZ114+AR114+AT114+AV114+AX114)</f>
        <v>3406</v>
      </c>
      <c r="AE114" s="2580">
        <f>SUM(AF114:AF115)</f>
        <v>3406</v>
      </c>
      <c r="AF114" s="123">
        <f>AI114+AG114</f>
        <v>3406</v>
      </c>
      <c r="AG114" s="123">
        <v>0</v>
      </c>
      <c r="AH114" s="2580">
        <f>SUM(AG114:AG115)</f>
        <v>0</v>
      </c>
      <c r="AI114" s="123">
        <f>0.5*V114</f>
        <v>3406</v>
      </c>
      <c r="AJ114" s="2580">
        <f>SUM(AI114:AI115)</f>
        <v>3406</v>
      </c>
      <c r="AK114" s="2580">
        <f>SUM(AL114:AL115)</f>
        <v>0</v>
      </c>
      <c r="AL114" s="123">
        <v>0</v>
      </c>
      <c r="AM114" s="2580">
        <f>SUM(AN114:AN115)</f>
        <v>4818</v>
      </c>
      <c r="AN114" s="123">
        <v>0</v>
      </c>
      <c r="AO114" s="2582">
        <f>SUM(AP114:AP115)</f>
        <v>0</v>
      </c>
      <c r="AP114" s="123">
        <v>0</v>
      </c>
      <c r="AQ114" s="2580">
        <f>SUM(AR114:AR115)</f>
        <v>0</v>
      </c>
      <c r="AR114" s="123">
        <v>0</v>
      </c>
      <c r="AS114" s="2580">
        <f>SUM(AT114:AT115)</f>
        <v>0</v>
      </c>
      <c r="AT114" s="123">
        <v>0</v>
      </c>
      <c r="AU114" s="2580">
        <f>SUM(AV114:AV115)</f>
        <v>0</v>
      </c>
      <c r="AV114" s="123">
        <v>0</v>
      </c>
      <c r="AW114" s="2580">
        <f>SUM(AX114:AX115)</f>
        <v>0</v>
      </c>
      <c r="AX114" s="123">
        <v>0</v>
      </c>
      <c r="AY114" s="2580">
        <f>SUM(AZ114:AZ115)</f>
        <v>0</v>
      </c>
      <c r="AZ114" s="103">
        <f t="shared" si="18"/>
        <v>0</v>
      </c>
      <c r="BA114" s="2582">
        <f>SUM(BB114:BB115)</f>
        <v>0</v>
      </c>
      <c r="BB114" s="121">
        <v>0</v>
      </c>
      <c r="BC114" s="2582">
        <f>SUM(BD114:BD115)</f>
        <v>0</v>
      </c>
      <c r="BD114" s="121">
        <v>0</v>
      </c>
      <c r="BE114" s="2582">
        <f>SUM(BF114:BF115)</f>
        <v>0</v>
      </c>
      <c r="BF114" s="121">
        <v>0</v>
      </c>
      <c r="BG114" s="2582">
        <f>SUM(BH114:BH115)</f>
        <v>0</v>
      </c>
      <c r="BH114" s="121">
        <v>0</v>
      </c>
      <c r="BI114" s="2582">
        <f>SUM(BJ114:BJ115)</f>
        <v>0</v>
      </c>
      <c r="BJ114" s="121">
        <v>0</v>
      </c>
      <c r="BK114" s="2582">
        <f>SUM(BL114:BL115)</f>
        <v>0</v>
      </c>
      <c r="BL114" s="121">
        <v>0</v>
      </c>
      <c r="BM114" s="2580">
        <f>SUM(BN114:BN115)</f>
        <v>16857</v>
      </c>
      <c r="BN114" s="121">
        <f>T114+V114</f>
        <v>6812</v>
      </c>
      <c r="BO114" s="2580">
        <f>SUM(BP114:BP115)</f>
        <v>0</v>
      </c>
      <c r="BP114" s="121">
        <f>T114/1000</f>
        <v>0</v>
      </c>
      <c r="BQ114" s="2580">
        <f>SUM(BR114:BR115)</f>
        <v>0</v>
      </c>
      <c r="BR114" s="121">
        <v>0</v>
      </c>
      <c r="BS114" s="2580">
        <f>SUM(BT114:BT115)</f>
        <v>0</v>
      </c>
      <c r="BT114" s="124">
        <f t="shared" si="16"/>
        <v>0</v>
      </c>
      <c r="BU114" s="2580">
        <f>SUM(BV114:BV115)</f>
        <v>53</v>
      </c>
      <c r="BV114" s="78">
        <f>ROUND((X114+AB114+Z114)/1000*3,0)+ROUND((AF114+AX114)/1000,0)+ROUND((ROUND(AL114/400,0))/2.67,0)+ROUND(AP114/250,0)+ROUND(AR114/15000,0)+ROUND((BB114+BD114+BF114+BJ114)/1000*3,0)+ROUND(BP114/25,0)+ROUND('[1]Potential Development Sites'!BS322/50,0)</f>
        <v>23</v>
      </c>
      <c r="BW114" s="2580">
        <f>SUM(BX114:BX115)</f>
        <v>0</v>
      </c>
      <c r="BX114" s="121">
        <v>0</v>
      </c>
      <c r="BY114" s="2580">
        <f>SUM(BZ114:BZ115)</f>
        <v>0</v>
      </c>
      <c r="BZ114" s="121">
        <v>0</v>
      </c>
      <c r="CA114" s="2580">
        <f>SUM(CB114:CB115)</f>
        <v>0</v>
      </c>
      <c r="CB114" s="121">
        <v>0</v>
      </c>
      <c r="CC114" s="2580">
        <f>SUM(CD114:CD115)</f>
        <v>0</v>
      </c>
      <c r="CD114" s="121">
        <f>AB114/1000</f>
        <v>0</v>
      </c>
      <c r="CE114" s="2580">
        <f>SUM(CF114:CF115)</f>
        <v>0</v>
      </c>
      <c r="CF114" s="121">
        <f>AL114/1000</f>
        <v>0</v>
      </c>
      <c r="CG114" s="2580">
        <f>SUM(CH114:CH115)</f>
        <v>0</v>
      </c>
      <c r="CH114" s="121">
        <v>0</v>
      </c>
      <c r="CI114" s="2580">
        <f>SUM(CJ114:CJ115)</f>
        <v>0</v>
      </c>
      <c r="CJ114" s="121">
        <v>0</v>
      </c>
      <c r="CK114" s="2580">
        <f>SUM(CL114:CL115)</f>
        <v>0</v>
      </c>
      <c r="CL114" s="121">
        <v>0</v>
      </c>
      <c r="CM114" s="2580">
        <f>SUM(CN114:CN115)</f>
        <v>0</v>
      </c>
      <c r="CN114" s="97">
        <f t="shared" si="19"/>
        <v>0</v>
      </c>
      <c r="CO114" s="122"/>
      <c r="CP114" s="2265">
        <v>25</v>
      </c>
      <c r="CQ114" s="127" t="s">
        <v>758</v>
      </c>
      <c r="CR114" s="127">
        <v>8.5</v>
      </c>
      <c r="CS114" s="127">
        <v>2</v>
      </c>
      <c r="CT114" s="127">
        <v>7.5</v>
      </c>
      <c r="CU114" s="128" t="s">
        <v>706</v>
      </c>
      <c r="CV114" s="2596" t="s">
        <v>716</v>
      </c>
      <c r="CW114" s="121">
        <f>(CR114*F114)-CZ114</f>
        <v>30072.15</v>
      </c>
      <c r="CX114" s="2590">
        <f>SUM(CW114:CW115)</f>
        <v>106916.4</v>
      </c>
      <c r="CY114" s="2598">
        <f>SUM(CZ114:CZ115)</f>
        <v>11879.6</v>
      </c>
      <c r="CZ114" s="121">
        <f>1*(F114)-(0.15*1*(F114))</f>
        <v>3341.35</v>
      </c>
      <c r="DA114" s="2592">
        <f>SUM(DB114:DB115)</f>
        <v>11879.6</v>
      </c>
      <c r="DB114" s="121">
        <f>CZ114-DD114</f>
        <v>3341.35</v>
      </c>
      <c r="DC114" s="2590">
        <f>SUM(DD114:DD115)</f>
        <v>0</v>
      </c>
      <c r="DD114" s="121">
        <v>0</v>
      </c>
      <c r="DE114" s="2590">
        <f>SUM(DF114:DF115)</f>
        <v>0</v>
      </c>
      <c r="DF114" s="121">
        <v>0</v>
      </c>
      <c r="DG114" s="2590">
        <f>SUM(DH114:DH115)</f>
        <v>11879.6</v>
      </c>
      <c r="DH114" s="121">
        <f>CZ114-(DD114+DF114+DJ114+DL114+DN114+DT114+DV114+DX114)</f>
        <v>3341.35</v>
      </c>
      <c r="DI114" s="2590">
        <f>SUM(DJ114:DJ115)</f>
        <v>0</v>
      </c>
      <c r="DJ114" s="121">
        <v>0</v>
      </c>
      <c r="DK114" s="2590">
        <f>SUM(DL114:DL115)</f>
        <v>0</v>
      </c>
      <c r="DL114" s="121">
        <v>0</v>
      </c>
      <c r="DM114" s="2590">
        <f>SUM(DN114:DN115)</f>
        <v>0</v>
      </c>
      <c r="DN114" s="121">
        <v>0</v>
      </c>
      <c r="DO114" s="2590">
        <f>SUM(DP114:DP115)</f>
        <v>0</v>
      </c>
      <c r="DP114" s="121">
        <v>0</v>
      </c>
      <c r="DQ114" s="2590">
        <f>SUM(DR114:DR115)</f>
        <v>0</v>
      </c>
      <c r="DR114" s="121">
        <v>0</v>
      </c>
      <c r="DS114" s="2590">
        <f>SUM(DT114:DT115)</f>
        <v>0</v>
      </c>
      <c r="DT114" s="121">
        <v>0</v>
      </c>
      <c r="DU114" s="2590">
        <f>SUM(DV114:DV115)</f>
        <v>0</v>
      </c>
      <c r="DV114" s="121">
        <v>0</v>
      </c>
      <c r="DW114" s="2590">
        <f>SUM(DX114:DX115)</f>
        <v>0</v>
      </c>
      <c r="DX114" s="103">
        <f t="shared" si="22"/>
        <v>0</v>
      </c>
      <c r="DY114" s="2590">
        <f>SUM(DZ114:DZ115)</f>
        <v>0</v>
      </c>
      <c r="DZ114" s="123">
        <f>BB114</f>
        <v>0</v>
      </c>
      <c r="EA114" s="2590">
        <f>SUM(EB114:EB115)</f>
        <v>0</v>
      </c>
      <c r="EB114" s="123">
        <f>BD114</f>
        <v>0</v>
      </c>
      <c r="EC114" s="2590">
        <f>SUM(ED114:ED115)</f>
        <v>0</v>
      </c>
      <c r="ED114" s="123">
        <f>BF114</f>
        <v>0</v>
      </c>
      <c r="EE114" s="2590">
        <f>SUM(EF114:EF115)</f>
        <v>0</v>
      </c>
      <c r="EF114" s="123">
        <f>BH114</f>
        <v>0</v>
      </c>
      <c r="EG114" s="2590">
        <f>SUM(EH114:EH115)</f>
        <v>0</v>
      </c>
      <c r="EH114" s="123">
        <f t="shared" ref="EH114:EH115" si="37">BJ114</f>
        <v>0</v>
      </c>
      <c r="EI114" s="2590">
        <f>SUM(EJ114:EJ115)</f>
        <v>0</v>
      </c>
      <c r="EJ114" s="123">
        <v>0</v>
      </c>
      <c r="EK114" s="2580">
        <f>SUM(EL114:EL115)</f>
        <v>118796</v>
      </c>
      <c r="EL114" s="121">
        <f>CW114+CZ114</f>
        <v>33413.5</v>
      </c>
      <c r="EM114" s="2600">
        <f>SUM(EN114:EN115)</f>
        <v>106.91640000000001</v>
      </c>
      <c r="EN114" s="122">
        <f>CW114/'A-App Projected Sites '!EP$141</f>
        <v>30.072150000000001</v>
      </c>
      <c r="EO114" s="2600">
        <f>SUM(EP114:EP115)</f>
        <v>21.383280000000003</v>
      </c>
      <c r="EP114" s="122">
        <f>0.2*EN114</f>
        <v>6.0144300000000008</v>
      </c>
      <c r="EQ114" s="2600">
        <f>SUM(ER114:ER115)</f>
        <v>26.729100000000003</v>
      </c>
      <c r="ER114" s="122">
        <f t="shared" ref="ER114:ER119" si="38">0.25*EN114</f>
        <v>7.5180375000000002</v>
      </c>
      <c r="ES114" s="2600">
        <f>SUM(ET114:ET115)</f>
        <v>28.037459999999999</v>
      </c>
      <c r="ET114" s="102">
        <f>FA114+FG114+FQ114</f>
        <v>7.5108225000000006</v>
      </c>
      <c r="EU114" s="2590">
        <f>SUM(EV114:EV115)</f>
        <v>306.85006800000002</v>
      </c>
      <c r="EV114" s="122">
        <f>2.87*EN114</f>
        <v>86.307070500000009</v>
      </c>
      <c r="EW114" s="2590">
        <f>SUM(EX114:EX115)</f>
        <v>40</v>
      </c>
      <c r="EX114" s="186">
        <f>ROUND((DH114+DF114+DD114)/1000*3,0)+ROUND((ROUND(DL114/400,0))/2.67,0)+ROUND(DV114/1000,0)+ROUND((DZ114+EB114+ED114+EH114)/1000*3,0)+ROUND(EN114/25,0)+ROUND(ET114/50,0)</f>
        <v>11</v>
      </c>
      <c r="EY114" s="2590">
        <f>SUM(EZ114:EZ115)</f>
        <v>16.037460000000003</v>
      </c>
      <c r="EZ114" s="2610">
        <f>SUM(FA114:FA115)</f>
        <v>16.037460000000003</v>
      </c>
      <c r="FA114" s="393">
        <f>(0.75*EN114)*0.2</f>
        <v>4.5108225000000006</v>
      </c>
      <c r="FB114" s="2590">
        <f>SUM(FC114:FC115)</f>
        <v>0</v>
      </c>
      <c r="FC114" s="393">
        <v>0</v>
      </c>
      <c r="FD114" s="2590">
        <f>SUM(FE114:FE115)</f>
        <v>0</v>
      </c>
      <c r="FE114" s="393">
        <v>0</v>
      </c>
      <c r="FF114" s="2590">
        <f>SUM(FG114:FG115)</f>
        <v>12</v>
      </c>
      <c r="FG114" s="122">
        <f>ROUND((DH114+DJ114+DD114+DN114+DT114)/1000,0)</f>
        <v>3</v>
      </c>
      <c r="FH114" s="2590">
        <f>SUM(FI114:FI115)</f>
        <v>0</v>
      </c>
      <c r="FI114" s="122">
        <f>DF114/1000</f>
        <v>0</v>
      </c>
      <c r="FJ114" s="2590">
        <f>SUM(FK114:FK115)</f>
        <v>0</v>
      </c>
      <c r="FK114" s="122">
        <f>((DL114/400)/12)</f>
        <v>0</v>
      </c>
      <c r="FL114" s="2590">
        <f>SUM(FM114:FM115)</f>
        <v>0</v>
      </c>
      <c r="FM114" s="122">
        <v>0</v>
      </c>
      <c r="FN114" s="2590">
        <f>SUM(FO114:FO115)</f>
        <v>0</v>
      </c>
      <c r="FO114" s="122">
        <v>0</v>
      </c>
      <c r="FP114" s="2600">
        <f>SUM(FQ114:FQ115)</f>
        <v>0</v>
      </c>
      <c r="FQ114" s="122">
        <f>DX114/1000</f>
        <v>0</v>
      </c>
      <c r="FR114" s="2590">
        <f>SUM(FS114:FS115)</f>
        <v>225</v>
      </c>
      <c r="FS114" s="2604">
        <v>225</v>
      </c>
      <c r="FT114" s="2606">
        <f>CX114-S114</f>
        <v>106916.4</v>
      </c>
      <c r="FU114" s="2602">
        <f>CY114-U114</f>
        <v>-4977.3999999999996</v>
      </c>
      <c r="FV114" s="2608">
        <f>(DC114+DE114+DG114)-(Y114+AA114+AC114+AE114)</f>
        <v>-159.39999999999964</v>
      </c>
      <c r="FW114" s="2608">
        <f>DG114-AC114</f>
        <v>3246.6000000000004</v>
      </c>
      <c r="FX114" s="2602">
        <f>DE114-AA114</f>
        <v>0</v>
      </c>
      <c r="FY114" s="2602">
        <f>DC114-Y114</f>
        <v>0</v>
      </c>
      <c r="FZ114" s="2602">
        <f>DJ114-AE114</f>
        <v>-3406</v>
      </c>
      <c r="GA114" s="2602">
        <f>DL114-AL114</f>
        <v>0</v>
      </c>
      <c r="GB114" s="2602">
        <f>DM114-AM114</f>
        <v>-4818</v>
      </c>
      <c r="GC114" s="2602">
        <f>DP114-AQ114</f>
        <v>0</v>
      </c>
      <c r="GD114" s="2602">
        <f>DR114-AS114</f>
        <v>0</v>
      </c>
      <c r="GE114" s="2602">
        <f>DT114-AV114</f>
        <v>0</v>
      </c>
      <c r="GF114" s="2602">
        <f>DV114-AW114</f>
        <v>0</v>
      </c>
      <c r="GG114" s="2602">
        <f>DZ114-BB114</f>
        <v>0</v>
      </c>
      <c r="GH114" s="2602">
        <f>EB114-BD114</f>
        <v>0</v>
      </c>
      <c r="GI114" s="2602">
        <f>ED114-BF114</f>
        <v>0</v>
      </c>
      <c r="GJ114" s="2602">
        <f>EF114-BH114</f>
        <v>0</v>
      </c>
      <c r="GK114" s="2602">
        <f>EH114-BJ114</f>
        <v>0</v>
      </c>
      <c r="GL114" s="2608">
        <f>DW114-AY114</f>
        <v>0</v>
      </c>
      <c r="GM114" s="2608">
        <f>EK114-BM114</f>
        <v>101939</v>
      </c>
      <c r="GN114" s="2608">
        <f>EM114-BO114</f>
        <v>106.91640000000001</v>
      </c>
      <c r="GO114" s="2582">
        <f>SUM(GP114:GP115)</f>
        <v>21.383280000000003</v>
      </c>
      <c r="GP114" s="114">
        <f>EP114-BR114</f>
        <v>6.0144300000000008</v>
      </c>
      <c r="GQ114" s="2582">
        <f>SUM(GR114:GR115)</f>
        <v>306.85006800000002</v>
      </c>
      <c r="GR114" s="114">
        <f>EV114-BT114</f>
        <v>86.307070500000009</v>
      </c>
      <c r="GS114" s="2676">
        <f>SUM(GT114:GT115)</f>
        <v>-13</v>
      </c>
      <c r="GT114" s="187">
        <f>EX114-BV114</f>
        <v>-12</v>
      </c>
      <c r="GU114" s="114">
        <f>FA114-BX114</f>
        <v>4.5108225000000006</v>
      </c>
      <c r="GV114" s="187">
        <f>FI114-CD114</f>
        <v>0</v>
      </c>
      <c r="GW114" s="187">
        <v>0</v>
      </c>
      <c r="GX114" s="187">
        <f>FG114-CB114</f>
        <v>3</v>
      </c>
      <c r="GY114" s="187">
        <f>FK114-CF114</f>
        <v>0</v>
      </c>
      <c r="GZ114" s="114">
        <f>FM114-CH114</f>
        <v>0</v>
      </c>
      <c r="HA114" s="187">
        <f>FO114-CJ114</f>
        <v>0</v>
      </c>
      <c r="HB114" s="187">
        <f>FQ114-CL114</f>
        <v>0</v>
      </c>
      <c r="HC114" s="2616">
        <f>ES114-CM114</f>
        <v>28.037459999999999</v>
      </c>
      <c r="HD114" s="139"/>
      <c r="HE114" s="139"/>
      <c r="HF114" s="139"/>
      <c r="HG114" s="139"/>
      <c r="HH114" s="127"/>
      <c r="HI114" s="127"/>
    </row>
    <row r="115" spans="1:241" s="72" customFormat="1" ht="15" customHeight="1">
      <c r="A115" s="2589"/>
      <c r="B115" s="297" t="s">
        <v>710</v>
      </c>
      <c r="C115" s="66">
        <v>2489</v>
      </c>
      <c r="D115" s="66">
        <v>8</v>
      </c>
      <c r="E115" s="298">
        <v>2024890008</v>
      </c>
      <c r="F115" s="68">
        <v>10045</v>
      </c>
      <c r="G115" s="69" t="s">
        <v>704</v>
      </c>
      <c r="H115" s="70"/>
      <c r="I115" s="66">
        <v>1</v>
      </c>
      <c r="J115" s="66">
        <v>0</v>
      </c>
      <c r="K115" s="66">
        <v>2</v>
      </c>
      <c r="L115" s="66">
        <v>6.5</v>
      </c>
      <c r="M115" s="68">
        <v>10045</v>
      </c>
      <c r="N115" s="68">
        <v>0</v>
      </c>
      <c r="O115" s="68">
        <v>4818</v>
      </c>
      <c r="P115" s="68">
        <v>10045</v>
      </c>
      <c r="Q115" s="71">
        <v>0</v>
      </c>
      <c r="R115" s="72" t="s">
        <v>769</v>
      </c>
      <c r="S115" s="2591"/>
      <c r="T115" s="73">
        <v>0</v>
      </c>
      <c r="U115" s="2591"/>
      <c r="V115" s="74">
        <f>M115</f>
        <v>10045</v>
      </c>
      <c r="W115" s="2591"/>
      <c r="X115" s="73">
        <f>V115-Z115</f>
        <v>10045</v>
      </c>
      <c r="Y115" s="2591"/>
      <c r="Z115" s="73">
        <v>0</v>
      </c>
      <c r="AA115" s="2591"/>
      <c r="AB115" s="73">
        <v>0</v>
      </c>
      <c r="AC115" s="2591"/>
      <c r="AD115" s="75">
        <f>V115-(Z115+AB115+AF115+AL115+AN115+AP115+AZ115+AR115+AT115+AV115+AX115)</f>
        <v>5227</v>
      </c>
      <c r="AE115" s="2581"/>
      <c r="AF115" s="75">
        <f>AI115+AG115</f>
        <v>0</v>
      </c>
      <c r="AG115" s="75">
        <v>0</v>
      </c>
      <c r="AH115" s="2581"/>
      <c r="AI115" s="75">
        <v>0</v>
      </c>
      <c r="AJ115" s="2581"/>
      <c r="AK115" s="2581"/>
      <c r="AL115" s="75"/>
      <c r="AM115" s="2581"/>
      <c r="AN115" s="75">
        <v>4818</v>
      </c>
      <c r="AO115" s="2583"/>
      <c r="AP115" s="75">
        <v>0</v>
      </c>
      <c r="AQ115" s="2581"/>
      <c r="AR115" s="75">
        <v>0</v>
      </c>
      <c r="AS115" s="2581"/>
      <c r="AT115" s="75">
        <v>0</v>
      </c>
      <c r="AU115" s="2581"/>
      <c r="AV115" s="75">
        <v>0</v>
      </c>
      <c r="AW115" s="2581"/>
      <c r="AX115" s="75">
        <v>0</v>
      </c>
      <c r="AY115" s="2581"/>
      <c r="AZ115" s="75">
        <f t="shared" si="18"/>
        <v>0</v>
      </c>
      <c r="BA115" s="2583"/>
      <c r="BB115" s="73">
        <v>0</v>
      </c>
      <c r="BC115" s="2583"/>
      <c r="BD115" s="73">
        <v>0</v>
      </c>
      <c r="BE115" s="2583"/>
      <c r="BF115" s="73">
        <v>0</v>
      </c>
      <c r="BG115" s="2583"/>
      <c r="BH115" s="73">
        <v>0</v>
      </c>
      <c r="BI115" s="2583"/>
      <c r="BJ115" s="73">
        <v>0</v>
      </c>
      <c r="BK115" s="2583"/>
      <c r="BL115" s="73">
        <v>0</v>
      </c>
      <c r="BM115" s="2581"/>
      <c r="BN115" s="73">
        <f>T115+V115</f>
        <v>10045</v>
      </c>
      <c r="BO115" s="2581"/>
      <c r="BP115" s="73">
        <f>T115/1000</f>
        <v>0</v>
      </c>
      <c r="BQ115" s="2581"/>
      <c r="BR115" s="73">
        <f>'A-App Projected Sites '!BR$142*BP115</f>
        <v>0</v>
      </c>
      <c r="BS115" s="2581"/>
      <c r="BT115" s="77">
        <f t="shared" si="16"/>
        <v>0</v>
      </c>
      <c r="BU115" s="2581"/>
      <c r="BV115" s="78">
        <f>ROUND((X115+AB115+Z115)/1000*3,0)+ROUND((AF115+AX115)/1000,0)+ROUND((ROUND(AL115/400,0))/2.67,0)+ROUND(AP115/250,0)+ROUND(AR115/15000,0)+ROUND((BB115+BD115+BF115+BJ115)/1000*3,0)+ROUND(BP115/25,0)+ROUND('[1]Potential Development Sites'!BS323/50,0)</f>
        <v>30</v>
      </c>
      <c r="BW115" s="2581"/>
      <c r="BX115" s="73">
        <v>0</v>
      </c>
      <c r="BY115" s="2581"/>
      <c r="BZ115" s="73">
        <v>0</v>
      </c>
      <c r="CA115" s="2581"/>
      <c r="CB115" s="73">
        <v>0</v>
      </c>
      <c r="CC115" s="2581"/>
      <c r="CD115" s="73">
        <f>AB115/1000</f>
        <v>0</v>
      </c>
      <c r="CE115" s="2581"/>
      <c r="CF115" s="73">
        <f>AL115/1000</f>
        <v>0</v>
      </c>
      <c r="CG115" s="2581"/>
      <c r="CH115" s="73">
        <v>0</v>
      </c>
      <c r="CI115" s="2581"/>
      <c r="CJ115" s="73">
        <v>0</v>
      </c>
      <c r="CK115" s="2581"/>
      <c r="CL115" s="73">
        <v>0</v>
      </c>
      <c r="CM115" s="2581"/>
      <c r="CN115" s="73">
        <f t="shared" si="19"/>
        <v>0</v>
      </c>
      <c r="CO115" s="74"/>
      <c r="CP115" s="2266">
        <v>15</v>
      </c>
      <c r="CQ115" s="81" t="s">
        <v>758</v>
      </c>
      <c r="CR115" s="81">
        <v>8.5</v>
      </c>
      <c r="CS115" s="81">
        <v>2</v>
      </c>
      <c r="CT115" s="81">
        <v>7.5</v>
      </c>
      <c r="CU115" s="82" t="s">
        <v>706</v>
      </c>
      <c r="CV115" s="2597"/>
      <c r="CW115" s="73">
        <f>(CR115*F115)-CZ115</f>
        <v>76844.25</v>
      </c>
      <c r="CX115" s="2591"/>
      <c r="CY115" s="2599"/>
      <c r="CZ115" s="73">
        <f>1*(F115)-(0.15*1*(F115))</f>
        <v>8538.25</v>
      </c>
      <c r="DA115" s="2593"/>
      <c r="DB115" s="73">
        <f>CZ115-DD115</f>
        <v>8538.25</v>
      </c>
      <c r="DC115" s="2591"/>
      <c r="DD115" s="73">
        <v>0</v>
      </c>
      <c r="DE115" s="2591"/>
      <c r="DF115" s="73">
        <v>0</v>
      </c>
      <c r="DG115" s="2591"/>
      <c r="DH115" s="73">
        <f>CZ115-(DD115+DF115+DJ115+DL115+DN115+DT115+DV115+DX115)</f>
        <v>8538.25</v>
      </c>
      <c r="DI115" s="2591"/>
      <c r="DJ115" s="73">
        <v>0</v>
      </c>
      <c r="DK115" s="2591"/>
      <c r="DL115" s="73">
        <v>0</v>
      </c>
      <c r="DM115" s="2591"/>
      <c r="DN115" s="73">
        <v>0</v>
      </c>
      <c r="DO115" s="2591"/>
      <c r="DP115" s="73">
        <v>0</v>
      </c>
      <c r="DQ115" s="2591"/>
      <c r="DR115" s="73">
        <v>0</v>
      </c>
      <c r="DS115" s="2591"/>
      <c r="DT115" s="73">
        <v>0</v>
      </c>
      <c r="DU115" s="2591"/>
      <c r="DV115" s="73">
        <v>0</v>
      </c>
      <c r="DW115" s="2591"/>
      <c r="DX115" s="75">
        <f t="shared" si="22"/>
        <v>0</v>
      </c>
      <c r="DY115" s="2591"/>
      <c r="DZ115" s="75">
        <f>BB115</f>
        <v>0</v>
      </c>
      <c r="EA115" s="2591"/>
      <c r="EB115" s="75">
        <f>BD115</f>
        <v>0</v>
      </c>
      <c r="EC115" s="2591"/>
      <c r="ED115" s="75">
        <f>BF115</f>
        <v>0</v>
      </c>
      <c r="EE115" s="2591"/>
      <c r="EF115" s="75">
        <f>BH115</f>
        <v>0</v>
      </c>
      <c r="EG115" s="2591"/>
      <c r="EH115" s="75">
        <f t="shared" si="37"/>
        <v>0</v>
      </c>
      <c r="EI115" s="2591"/>
      <c r="EJ115" s="75">
        <v>0</v>
      </c>
      <c r="EK115" s="2581"/>
      <c r="EL115" s="73">
        <f>CW115+CZ115</f>
        <v>85382.5</v>
      </c>
      <c r="EM115" s="2601"/>
      <c r="EN115" s="74">
        <f>CW115/'A-App Projected Sites '!EP$141</f>
        <v>76.844250000000002</v>
      </c>
      <c r="EO115" s="2601"/>
      <c r="EP115" s="74">
        <f>0.2*EN115</f>
        <v>15.368850000000002</v>
      </c>
      <c r="EQ115" s="2601"/>
      <c r="ER115" s="102">
        <f t="shared" si="38"/>
        <v>19.211062500000001</v>
      </c>
      <c r="ES115" s="2601"/>
      <c r="ET115" s="74">
        <f>FA115+FG115+FQ115</f>
        <v>20.5266375</v>
      </c>
      <c r="EU115" s="2591"/>
      <c r="EV115" s="74">
        <f>2.87*EN115</f>
        <v>220.54299750000001</v>
      </c>
      <c r="EW115" s="2591"/>
      <c r="EX115" s="88">
        <f>ROUND((DH115+DF115+DD115)/1000*3,0)+ROUND((ROUND(DL115/400,0))/2.67,0)+ROUND(DV115/1000,0)+ROUND((DZ115+EB115+ED115+EH115)/1000*3,0)+ROUND(EN115/25,0)+ROUND(ET115/50,0)</f>
        <v>29</v>
      </c>
      <c r="EY115" s="2591"/>
      <c r="EZ115" s="2611"/>
      <c r="FA115" s="394">
        <f>(0.75*EN115)*0.2</f>
        <v>11.526637500000001</v>
      </c>
      <c r="FB115" s="2591"/>
      <c r="FC115" s="395">
        <v>0</v>
      </c>
      <c r="FD115" s="2591"/>
      <c r="FE115" s="395">
        <v>0</v>
      </c>
      <c r="FF115" s="2591"/>
      <c r="FG115" s="74">
        <f>ROUND((DH115+DJ115+DD115+DN115+DT115)/1000,0)</f>
        <v>9</v>
      </c>
      <c r="FH115" s="2591"/>
      <c r="FI115" s="74">
        <f>DF115/1000</f>
        <v>0</v>
      </c>
      <c r="FJ115" s="2591"/>
      <c r="FK115" s="74">
        <f>((DL115/400)/12)</f>
        <v>0</v>
      </c>
      <c r="FL115" s="2591"/>
      <c r="FM115" s="74">
        <v>0</v>
      </c>
      <c r="FN115" s="2591"/>
      <c r="FO115" s="74">
        <v>0</v>
      </c>
      <c r="FP115" s="2601"/>
      <c r="FQ115" s="74">
        <f>DX115/1000</f>
        <v>0</v>
      </c>
      <c r="FR115" s="2591"/>
      <c r="FS115" s="2605"/>
      <c r="FT115" s="2607"/>
      <c r="FU115" s="2603"/>
      <c r="FV115" s="2609"/>
      <c r="FW115" s="2609"/>
      <c r="FX115" s="2603"/>
      <c r="FY115" s="2603"/>
      <c r="FZ115" s="2603"/>
      <c r="GA115" s="2603"/>
      <c r="GB115" s="2603"/>
      <c r="GC115" s="2603"/>
      <c r="GD115" s="2603"/>
      <c r="GE115" s="2603"/>
      <c r="GF115" s="2603"/>
      <c r="GG115" s="2603"/>
      <c r="GH115" s="2603"/>
      <c r="GI115" s="2603"/>
      <c r="GJ115" s="2603"/>
      <c r="GK115" s="2603"/>
      <c r="GL115" s="2609"/>
      <c r="GM115" s="2609"/>
      <c r="GN115" s="2609"/>
      <c r="GO115" s="2583"/>
      <c r="GP115" s="89">
        <f>EP115-BR115</f>
        <v>15.368850000000002</v>
      </c>
      <c r="GQ115" s="2583"/>
      <c r="GR115" s="89">
        <f>EV115-BT115</f>
        <v>220.54299750000001</v>
      </c>
      <c r="GS115" s="2678"/>
      <c r="GT115" s="190">
        <f>EX115-BV115</f>
        <v>-1</v>
      </c>
      <c r="GU115" s="89">
        <f>FA115-BX115</f>
        <v>11.526637500000001</v>
      </c>
      <c r="GV115" s="190">
        <f>FI115-CD115</f>
        <v>0</v>
      </c>
      <c r="GW115" s="190">
        <v>0</v>
      </c>
      <c r="GX115" s="190">
        <f>FG115-CB115</f>
        <v>9</v>
      </c>
      <c r="GY115" s="190">
        <f>FK115-CF115</f>
        <v>0</v>
      </c>
      <c r="GZ115" s="89">
        <f>FM115-CH115</f>
        <v>0</v>
      </c>
      <c r="HA115" s="190">
        <f>FO115-CJ115</f>
        <v>0</v>
      </c>
      <c r="HB115" s="190">
        <f>FQ115-CL115</f>
        <v>0</v>
      </c>
      <c r="HC115" s="2617"/>
      <c r="HD115" s="139"/>
      <c r="HE115" s="139"/>
      <c r="HF115" s="139"/>
      <c r="HG115" s="139"/>
      <c r="HH115" s="139"/>
      <c r="HI115" s="81"/>
    </row>
    <row r="116" spans="1:241" s="95" customFormat="1" ht="18.75">
      <c r="A116" s="2263"/>
      <c r="B116" s="236"/>
      <c r="C116" s="132"/>
      <c r="D116" s="132"/>
      <c r="E116" s="265"/>
      <c r="F116" s="134"/>
      <c r="G116" s="135"/>
      <c r="H116" s="136"/>
      <c r="I116" s="132"/>
      <c r="J116" s="132"/>
      <c r="K116" s="132"/>
      <c r="L116" s="132"/>
      <c r="M116" s="134"/>
      <c r="N116" s="134"/>
      <c r="O116" s="134"/>
      <c r="P116" s="134"/>
      <c r="Q116" s="137"/>
      <c r="S116" s="101"/>
      <c r="T116" s="97"/>
      <c r="U116" s="2244"/>
      <c r="V116" s="102"/>
      <c r="W116" s="2244"/>
      <c r="X116" s="97"/>
      <c r="Y116" s="2244"/>
      <c r="Z116" s="97"/>
      <c r="AA116" s="2244"/>
      <c r="AB116" s="97"/>
      <c r="AC116" s="2244"/>
      <c r="AD116" s="103"/>
      <c r="AE116" s="2251"/>
      <c r="AF116" s="103"/>
      <c r="AG116" s="103"/>
      <c r="AH116" s="103"/>
      <c r="AI116" s="103"/>
      <c r="AJ116" s="103"/>
      <c r="AK116" s="215"/>
      <c r="AL116" s="103"/>
      <c r="AM116" s="2251"/>
      <c r="AN116" s="103"/>
      <c r="AO116" s="2224"/>
      <c r="AP116" s="103"/>
      <c r="AQ116" s="2251"/>
      <c r="AR116" s="103"/>
      <c r="AS116" s="2251"/>
      <c r="AT116" s="103"/>
      <c r="AU116" s="2251"/>
      <c r="AV116" s="103"/>
      <c r="AW116" s="2251"/>
      <c r="AX116" s="103"/>
      <c r="AY116" s="2251"/>
      <c r="AZ116" s="75"/>
      <c r="BA116" s="2224"/>
      <c r="BB116" s="97"/>
      <c r="BC116" s="2224"/>
      <c r="BD116" s="97"/>
      <c r="BE116" s="2224"/>
      <c r="BF116" s="97"/>
      <c r="BG116" s="2224"/>
      <c r="BH116" s="97"/>
      <c r="BI116" s="2224"/>
      <c r="BJ116" s="97"/>
      <c r="BK116" s="2224"/>
      <c r="BL116" s="97"/>
      <c r="BM116" s="2251"/>
      <c r="BN116" s="97"/>
      <c r="BO116" s="2251"/>
      <c r="BP116" s="97"/>
      <c r="BQ116" s="2251"/>
      <c r="BR116" s="97"/>
      <c r="BS116" s="2251"/>
      <c r="BT116" s="124"/>
      <c r="BU116" s="2251"/>
      <c r="BV116" s="138"/>
      <c r="BW116" s="2251"/>
      <c r="BX116" s="97"/>
      <c r="BY116" s="2251"/>
      <c r="BZ116" s="97"/>
      <c r="CA116" s="2251"/>
      <c r="CB116" s="97"/>
      <c r="CC116" s="2251"/>
      <c r="CD116" s="97"/>
      <c r="CE116" s="2251"/>
      <c r="CF116" s="97"/>
      <c r="CG116" s="2251"/>
      <c r="CH116" s="97"/>
      <c r="CI116" s="2251"/>
      <c r="CJ116" s="97"/>
      <c r="CK116" s="2251"/>
      <c r="CL116" s="97"/>
      <c r="CM116" s="2251"/>
      <c r="CN116" s="73">
        <f t="shared" si="19"/>
        <v>0</v>
      </c>
      <c r="CO116" s="266"/>
      <c r="CP116" s="106"/>
      <c r="CQ116" s="139"/>
      <c r="CR116" s="139"/>
      <c r="CS116" s="139"/>
      <c r="CT116" s="139"/>
      <c r="CU116" s="108"/>
      <c r="CV116" s="109"/>
      <c r="CW116" s="97"/>
      <c r="CX116" s="268"/>
      <c r="CY116" s="237"/>
      <c r="CZ116" s="97"/>
      <c r="DA116" s="267"/>
      <c r="DB116" s="97"/>
      <c r="DC116" s="268"/>
      <c r="DD116" s="97"/>
      <c r="DE116" s="2244"/>
      <c r="DF116" s="97"/>
      <c r="DG116" s="2244"/>
      <c r="DH116" s="97"/>
      <c r="DI116" s="2244"/>
      <c r="DJ116" s="97"/>
      <c r="DK116" s="2244"/>
      <c r="DL116" s="97"/>
      <c r="DM116" s="214"/>
      <c r="DN116" s="83"/>
      <c r="DO116" s="2244"/>
      <c r="DP116" s="83"/>
      <c r="DQ116" s="2244"/>
      <c r="DR116" s="83"/>
      <c r="DS116" s="2244"/>
      <c r="DT116" s="83"/>
      <c r="DU116" s="2244"/>
      <c r="DV116" s="83"/>
      <c r="DW116" s="214"/>
      <c r="DX116" s="75"/>
      <c r="DY116" s="2244"/>
      <c r="DZ116" s="76"/>
      <c r="EA116" s="2244"/>
      <c r="EB116" s="76"/>
      <c r="EC116" s="2244"/>
      <c r="ED116" s="76"/>
      <c r="EE116" s="2244"/>
      <c r="EF116" s="76"/>
      <c r="EG116" s="2244"/>
      <c r="EH116" s="76"/>
      <c r="EI116" s="2244"/>
      <c r="EJ116" s="76"/>
      <c r="EK116" s="215"/>
      <c r="EL116" s="97"/>
      <c r="EM116" s="2246"/>
      <c r="EN116" s="102"/>
      <c r="EO116" s="2246"/>
      <c r="EP116" s="122"/>
      <c r="EQ116" s="258"/>
      <c r="ER116" s="122"/>
      <c r="ES116" s="258"/>
      <c r="ET116" s="74"/>
      <c r="EU116" s="2244"/>
      <c r="EV116" s="111"/>
      <c r="EW116" s="2244"/>
      <c r="EX116" s="88"/>
      <c r="EY116" s="2244"/>
      <c r="EZ116" s="2248"/>
      <c r="FA116" s="194"/>
      <c r="FB116" s="2244"/>
      <c r="FC116" s="2224"/>
      <c r="FD116" s="2244"/>
      <c r="FE116" s="2224"/>
      <c r="FF116" s="2244"/>
      <c r="FG116" s="102"/>
      <c r="FH116" s="2244"/>
      <c r="FI116" s="102"/>
      <c r="FJ116" s="2244"/>
      <c r="FK116" s="102"/>
      <c r="FL116" s="2244"/>
      <c r="FM116" s="102"/>
      <c r="FN116" s="2244"/>
      <c r="FO116" s="102"/>
      <c r="FP116" s="258"/>
      <c r="FQ116" s="102"/>
      <c r="FR116" s="2244"/>
      <c r="FS116" s="2244"/>
      <c r="FT116" s="2240"/>
      <c r="FU116" s="2233"/>
      <c r="FV116" s="2235"/>
      <c r="FW116" s="2235"/>
      <c r="FX116" s="2233"/>
      <c r="FY116" s="2233"/>
      <c r="FZ116" s="2233"/>
      <c r="GA116" s="2232"/>
      <c r="GB116" s="2233"/>
      <c r="GC116" s="2233"/>
      <c r="GD116" s="2233"/>
      <c r="GE116" s="2232"/>
      <c r="GF116" s="2233"/>
      <c r="GG116" s="2232"/>
      <c r="GH116" s="2232"/>
      <c r="GI116" s="2232"/>
      <c r="GJ116" s="2232"/>
      <c r="GK116" s="2232"/>
      <c r="GL116" s="2235"/>
      <c r="GM116" s="2235"/>
      <c r="GN116" s="2235"/>
      <c r="GO116" s="2224"/>
      <c r="GP116" s="112"/>
      <c r="GQ116" s="2224"/>
      <c r="GR116" s="112"/>
      <c r="GS116" s="2227"/>
      <c r="GT116" s="195"/>
      <c r="GU116" s="114"/>
      <c r="GV116" s="195"/>
      <c r="GW116" s="195"/>
      <c r="GX116" s="195"/>
      <c r="GY116" s="195"/>
      <c r="GZ116" s="112"/>
      <c r="HA116" s="195"/>
      <c r="HB116" s="195"/>
      <c r="HC116" s="2230"/>
      <c r="HD116" s="139"/>
      <c r="HE116" s="139"/>
      <c r="HF116" s="139"/>
      <c r="HG116" s="139"/>
      <c r="HH116" s="139"/>
      <c r="HI116" s="139"/>
    </row>
    <row r="117" spans="1:241" s="91" customFormat="1" ht="18.75">
      <c r="A117" s="216">
        <v>41</v>
      </c>
      <c r="B117" s="217" t="s">
        <v>703</v>
      </c>
      <c r="C117" s="218">
        <v>2496</v>
      </c>
      <c r="D117" s="218">
        <v>64</v>
      </c>
      <c r="E117" s="219">
        <v>2024960064</v>
      </c>
      <c r="F117" s="220">
        <v>27000</v>
      </c>
      <c r="G117" s="221" t="s">
        <v>733</v>
      </c>
      <c r="H117" s="222" t="s">
        <v>706</v>
      </c>
      <c r="I117" s="218">
        <v>0</v>
      </c>
      <c r="J117" s="218">
        <v>6.02</v>
      </c>
      <c r="K117" s="218">
        <v>0</v>
      </c>
      <c r="L117" s="218">
        <v>6.5</v>
      </c>
      <c r="M117" s="220">
        <v>0</v>
      </c>
      <c r="N117" s="220">
        <v>0</v>
      </c>
      <c r="O117" s="220">
        <v>0</v>
      </c>
      <c r="P117" s="220">
        <v>0</v>
      </c>
      <c r="Q117" s="223">
        <v>0</v>
      </c>
      <c r="R117" s="91" t="s">
        <v>735</v>
      </c>
      <c r="S117" s="214">
        <f>T117</f>
        <v>139590</v>
      </c>
      <c r="T117" s="83">
        <f>(J117*F117)-V117</f>
        <v>139590</v>
      </c>
      <c r="U117" s="214">
        <f>V117</f>
        <v>22950</v>
      </c>
      <c r="V117" s="111">
        <f>(1*F117)-0.15*(1*F117)</f>
        <v>22950</v>
      </c>
      <c r="W117" s="214">
        <f>X117</f>
        <v>22950</v>
      </c>
      <c r="X117" s="83">
        <f>V117-Z117</f>
        <v>22950</v>
      </c>
      <c r="Y117" s="214">
        <f>Z117</f>
        <v>0</v>
      </c>
      <c r="Z117" s="83">
        <v>0</v>
      </c>
      <c r="AA117" s="214">
        <f>AB117</f>
        <v>0</v>
      </c>
      <c r="AB117" s="83">
        <v>0</v>
      </c>
      <c r="AC117" s="214">
        <f>AD117</f>
        <v>22950</v>
      </c>
      <c r="AD117" s="76">
        <f>V117-(Z117+AB117+AF117+AL117+AN117+AP117+AZ117+AR117+AT117+AV117+AX117)</f>
        <v>22950</v>
      </c>
      <c r="AE117" s="215">
        <f>AF117</f>
        <v>0</v>
      </c>
      <c r="AF117" s="76">
        <v>0</v>
      </c>
      <c r="AG117" s="76">
        <v>0</v>
      </c>
      <c r="AH117" s="76">
        <f>AG117</f>
        <v>0</v>
      </c>
      <c r="AI117" s="76">
        <v>0</v>
      </c>
      <c r="AJ117" s="76">
        <f>AI117</f>
        <v>0</v>
      </c>
      <c r="AK117" s="2252">
        <f>AL117</f>
        <v>0</v>
      </c>
      <c r="AL117" s="76">
        <v>0</v>
      </c>
      <c r="AM117" s="215">
        <v>0</v>
      </c>
      <c r="AN117" s="76">
        <v>0</v>
      </c>
      <c r="AO117" s="194">
        <f>AP117</f>
        <v>0</v>
      </c>
      <c r="AP117" s="76">
        <v>0</v>
      </c>
      <c r="AQ117" s="215">
        <f>AR117</f>
        <v>0</v>
      </c>
      <c r="AR117" s="76">
        <v>0</v>
      </c>
      <c r="AS117" s="215">
        <f>AT117</f>
        <v>0</v>
      </c>
      <c r="AT117" s="76">
        <v>0</v>
      </c>
      <c r="AU117" s="215">
        <f>AV117</f>
        <v>0</v>
      </c>
      <c r="AV117" s="76">
        <v>0</v>
      </c>
      <c r="AW117" s="215">
        <f>AX117</f>
        <v>0</v>
      </c>
      <c r="AX117" s="76">
        <v>0</v>
      </c>
      <c r="AY117" s="215">
        <f>AZ117</f>
        <v>0</v>
      </c>
      <c r="AZ117" s="75">
        <f t="shared" si="18"/>
        <v>0</v>
      </c>
      <c r="BA117" s="194">
        <f>BB117</f>
        <v>0</v>
      </c>
      <c r="BB117" s="83">
        <v>0</v>
      </c>
      <c r="BC117" s="194">
        <f>BD117</f>
        <v>0</v>
      </c>
      <c r="BD117" s="83">
        <v>0</v>
      </c>
      <c r="BE117" s="194">
        <f>BF117</f>
        <v>0</v>
      </c>
      <c r="BF117" s="83">
        <v>0</v>
      </c>
      <c r="BG117" s="194">
        <f>BH117</f>
        <v>0</v>
      </c>
      <c r="BH117" s="83">
        <v>0</v>
      </c>
      <c r="BI117" s="194">
        <f>BJ117</f>
        <v>0</v>
      </c>
      <c r="BJ117" s="83">
        <v>0</v>
      </c>
      <c r="BK117" s="194">
        <f>BL117</f>
        <v>0</v>
      </c>
      <c r="BL117" s="83">
        <v>0</v>
      </c>
      <c r="BM117" s="215">
        <f>BN117</f>
        <v>162540</v>
      </c>
      <c r="BN117" s="76">
        <f>ROUND(T117+V117,0)</f>
        <v>162540</v>
      </c>
      <c r="BO117" s="215">
        <f>BP117</f>
        <v>140</v>
      </c>
      <c r="BP117" s="76">
        <f>ROUND(T117/EP$141,0)</f>
        <v>140</v>
      </c>
      <c r="BQ117" s="215">
        <f>BR117</f>
        <v>0</v>
      </c>
      <c r="BR117" s="76">
        <v>0</v>
      </c>
      <c r="BS117" s="215">
        <f>BT117</f>
        <v>402</v>
      </c>
      <c r="BT117" s="124">
        <f t="shared" si="16"/>
        <v>402</v>
      </c>
      <c r="BU117" s="215">
        <f>BV117</f>
        <v>77</v>
      </c>
      <c r="BV117" s="225">
        <f>ROUND((AD117+AB117+Z117)/1000*3,0)+ROUND((AF117+AX117)/1000,0)+ROUND((ROUND(AL117/400,0))/2.67,0)+ROUND(AN117/250,0)+ROUND(AR117/15000,0)+ROUND((BB117+BD117+BF117+BJ117)/1000*3,0)+ROUND(BP117/25,0)+ROUND(CN117/50,0)</f>
        <v>77</v>
      </c>
      <c r="BW117" s="215">
        <f>BX117</f>
        <v>56</v>
      </c>
      <c r="BX117" s="83">
        <f>(BP117-BR117)*0.4</f>
        <v>56</v>
      </c>
      <c r="BY117" s="215">
        <f>BZ117</f>
        <v>0</v>
      </c>
      <c r="BZ117" s="83">
        <v>0</v>
      </c>
      <c r="CA117" s="215">
        <f>CB117</f>
        <v>22.95</v>
      </c>
      <c r="CB117" s="83">
        <f>V117/1000</f>
        <v>22.95</v>
      </c>
      <c r="CC117" s="215">
        <f>CD117</f>
        <v>0</v>
      </c>
      <c r="CD117" s="83">
        <f>AB117/1000</f>
        <v>0</v>
      </c>
      <c r="CE117" s="215">
        <f>CF117</f>
        <v>0</v>
      </c>
      <c r="CF117" s="83">
        <f>((AL117/400)/12)</f>
        <v>0</v>
      </c>
      <c r="CG117" s="215">
        <f>CH117</f>
        <v>0</v>
      </c>
      <c r="CH117" s="226">
        <f>IFERROR(VLOOKUP(E117,#REF!,3,FALSE),0)</f>
        <v>0</v>
      </c>
      <c r="CI117" s="215">
        <f>CJ117</f>
        <v>0</v>
      </c>
      <c r="CJ117" s="83">
        <v>0</v>
      </c>
      <c r="CK117" s="215">
        <f>CL117</f>
        <v>0</v>
      </c>
      <c r="CL117" s="83">
        <f>IF(BJ117&gt;0,"Calculate",0)</f>
        <v>0</v>
      </c>
      <c r="CM117" s="215">
        <f>CN117</f>
        <v>78.95</v>
      </c>
      <c r="CN117" s="73">
        <f t="shared" si="19"/>
        <v>78.95</v>
      </c>
      <c r="CO117" s="83"/>
      <c r="CP117" s="227">
        <v>125</v>
      </c>
      <c r="CQ117" s="228" t="s">
        <v>758</v>
      </c>
      <c r="CR117" s="228">
        <v>8.5</v>
      </c>
      <c r="CS117" s="228">
        <v>2</v>
      </c>
      <c r="CT117" s="228">
        <v>7.5</v>
      </c>
      <c r="CU117" s="229" t="s">
        <v>706</v>
      </c>
      <c r="CV117" s="230" t="s">
        <v>716</v>
      </c>
      <c r="CW117" s="83">
        <f>(CR117*F117)-CZ117</f>
        <v>206550</v>
      </c>
      <c r="CX117" s="231">
        <f t="shared" ref="CX117" si="39">CW117</f>
        <v>206550</v>
      </c>
      <c r="CY117" s="232">
        <f>CZ117</f>
        <v>22950</v>
      </c>
      <c r="CZ117" s="83">
        <f>1*(F117)-(0.15*1*(F117))</f>
        <v>22950</v>
      </c>
      <c r="DA117" s="233">
        <f>DB117</f>
        <v>22950</v>
      </c>
      <c r="DB117" s="83">
        <f>CZ117-DD117</f>
        <v>22950</v>
      </c>
      <c r="DC117" s="231">
        <f>DD117</f>
        <v>0</v>
      </c>
      <c r="DD117" s="83">
        <v>0</v>
      </c>
      <c r="DE117" s="214">
        <f>DF117</f>
        <v>0</v>
      </c>
      <c r="DF117" s="83">
        <v>0</v>
      </c>
      <c r="DG117" s="214">
        <f>DH117</f>
        <v>22950</v>
      </c>
      <c r="DH117" s="83">
        <f>CZ117-(DD117+DF117+DJ117+DL117+DN117+DT117+DV117+DX117)</f>
        <v>22950</v>
      </c>
      <c r="DI117" s="214">
        <f>DJ117</f>
        <v>0</v>
      </c>
      <c r="DJ117" s="83">
        <v>0</v>
      </c>
      <c r="DK117" s="214">
        <f>DL117</f>
        <v>0</v>
      </c>
      <c r="DL117" s="83">
        <v>0</v>
      </c>
      <c r="DM117" s="2245">
        <f>DN117</f>
        <v>0</v>
      </c>
      <c r="DN117" s="73">
        <v>0</v>
      </c>
      <c r="DO117" s="214">
        <f>DP117</f>
        <v>0</v>
      </c>
      <c r="DP117" s="73">
        <v>0</v>
      </c>
      <c r="DQ117" s="214">
        <f>DR117</f>
        <v>0</v>
      </c>
      <c r="DR117" s="73">
        <v>0</v>
      </c>
      <c r="DS117" s="214">
        <f>DT117</f>
        <v>0</v>
      </c>
      <c r="DT117" s="73">
        <v>0</v>
      </c>
      <c r="DU117" s="214">
        <f>DV117</f>
        <v>0</v>
      </c>
      <c r="DV117" s="73">
        <v>0</v>
      </c>
      <c r="DW117" s="2245">
        <f>DX117</f>
        <v>0</v>
      </c>
      <c r="DX117" s="75">
        <f t="shared" si="22"/>
        <v>0</v>
      </c>
      <c r="DY117" s="214">
        <f>DZ117</f>
        <v>0</v>
      </c>
      <c r="DZ117" s="75">
        <v>0</v>
      </c>
      <c r="EA117" s="214">
        <f>EB117</f>
        <v>0</v>
      </c>
      <c r="EB117" s="75">
        <v>0</v>
      </c>
      <c r="EC117" s="214">
        <f>ED117</f>
        <v>0</v>
      </c>
      <c r="ED117" s="75">
        <v>0</v>
      </c>
      <c r="EE117" s="214">
        <f>EF117</f>
        <v>0</v>
      </c>
      <c r="EF117" s="75">
        <v>0</v>
      </c>
      <c r="EG117" s="214">
        <f>EH117</f>
        <v>0</v>
      </c>
      <c r="EH117" s="75">
        <v>0</v>
      </c>
      <c r="EI117" s="214">
        <f>EJ117</f>
        <v>0</v>
      </c>
      <c r="EJ117" s="75">
        <v>0</v>
      </c>
      <c r="EK117" s="2252">
        <f>EL117</f>
        <v>229500</v>
      </c>
      <c r="EL117" s="83">
        <f>ROUND(CW117+CZ117,0)</f>
        <v>229500</v>
      </c>
      <c r="EM117" s="234">
        <f>SUM(EN117)</f>
        <v>207</v>
      </c>
      <c r="EN117" s="111">
        <v>207</v>
      </c>
      <c r="EO117" s="234">
        <f>EP117</f>
        <v>41.400000000000006</v>
      </c>
      <c r="EP117" s="122">
        <f t="shared" ref="EP117:EP119" si="40">0.2*EN117</f>
        <v>41.400000000000006</v>
      </c>
      <c r="EQ117" s="258">
        <f>ER117</f>
        <v>51.75</v>
      </c>
      <c r="ER117" s="122">
        <f t="shared" si="38"/>
        <v>51.75</v>
      </c>
      <c r="ES117" s="258">
        <f>ET117</f>
        <v>85.1</v>
      </c>
      <c r="ET117" s="74">
        <f>FA117+FG117+FQ117</f>
        <v>85.1</v>
      </c>
      <c r="EU117" s="214">
        <f>EV117</f>
        <v>594.09</v>
      </c>
      <c r="EV117" s="111">
        <f>2.87*EN117</f>
        <v>594.09</v>
      </c>
      <c r="EW117" s="214">
        <f>EX117</f>
        <v>79</v>
      </c>
      <c r="EX117" s="88">
        <f>ROUND((DH117+DF117+DD117)/1000*3,0)+ROUND((ROUND(DL117/400,0))/2.67,0)+ROUND(DV117/1000,0)+ROUND((DZ117+EB117+ED117+EH117)/1000*3,0)+ROUND(EN117/25,0)+ROUND(ET117/50,0)</f>
        <v>79</v>
      </c>
      <c r="EY117" s="214">
        <f>EZ117</f>
        <v>62.1</v>
      </c>
      <c r="EZ117" s="193">
        <f>FA117</f>
        <v>62.1</v>
      </c>
      <c r="FA117" s="194">
        <f>(0.75*EN117)*0.4</f>
        <v>62.1</v>
      </c>
      <c r="FB117" s="214">
        <f>FC117</f>
        <v>0</v>
      </c>
      <c r="FC117" s="194">
        <v>0</v>
      </c>
      <c r="FD117" s="214">
        <f>FE117</f>
        <v>0</v>
      </c>
      <c r="FE117" s="194">
        <v>0</v>
      </c>
      <c r="FF117" s="214">
        <f>FG117</f>
        <v>23</v>
      </c>
      <c r="FG117" s="111">
        <f>ROUND((DH117+DJ117+DD117+DN117+DT117)/1000,0)</f>
        <v>23</v>
      </c>
      <c r="FH117" s="214">
        <f>FI117</f>
        <v>0</v>
      </c>
      <c r="FI117" s="111">
        <f>DF117/1000</f>
        <v>0</v>
      </c>
      <c r="FJ117" s="214">
        <f>FK117</f>
        <v>0</v>
      </c>
      <c r="FK117" s="111">
        <f>((DL117/400)/12)</f>
        <v>0</v>
      </c>
      <c r="FL117" s="214">
        <f>FM117</f>
        <v>0</v>
      </c>
      <c r="FM117" s="111">
        <v>0</v>
      </c>
      <c r="FN117" s="214">
        <f>FO117</f>
        <v>0</v>
      </c>
      <c r="FO117" s="111">
        <v>0</v>
      </c>
      <c r="FP117" s="258">
        <f>FQ117</f>
        <v>0</v>
      </c>
      <c r="FQ117" s="111">
        <f>DX117/1000</f>
        <v>0</v>
      </c>
      <c r="FR117" s="214">
        <f>FS117</f>
        <v>195</v>
      </c>
      <c r="FS117" s="214">
        <v>195</v>
      </c>
      <c r="FT117" s="2240">
        <f>CX117-S117</f>
        <v>66960</v>
      </c>
      <c r="FU117" s="316">
        <f>CY117-U117</f>
        <v>0</v>
      </c>
      <c r="FV117" s="2235">
        <f>(DC117+DE117+DG117)-(Y117+AA117+AC117+AE117)</f>
        <v>0</v>
      </c>
      <c r="FW117" s="2235">
        <f>DG117-AC117</f>
        <v>0</v>
      </c>
      <c r="FX117" s="2233">
        <f>DE117-AA117</f>
        <v>0</v>
      </c>
      <c r="FY117" s="2233">
        <f>DC117-Y117</f>
        <v>0</v>
      </c>
      <c r="FZ117" s="2233">
        <f>DJ117-AE117</f>
        <v>0</v>
      </c>
      <c r="GA117" s="235">
        <f>DL117-AL117</f>
        <v>0</v>
      </c>
      <c r="GB117" s="2233">
        <f>DM117-AM117</f>
        <v>0</v>
      </c>
      <c r="GC117" s="2233">
        <f>DP117-AQ117</f>
        <v>0</v>
      </c>
      <c r="GD117" s="2233">
        <f>DR117-AS117</f>
        <v>0</v>
      </c>
      <c r="GE117" s="235">
        <f>DT117-AV117</f>
        <v>0</v>
      </c>
      <c r="GF117" s="2233">
        <f>DV117-AW117</f>
        <v>0</v>
      </c>
      <c r="GG117" s="235">
        <f>DZ117-BB117</f>
        <v>0</v>
      </c>
      <c r="GH117" s="235">
        <f>EB117-BD117</f>
        <v>0</v>
      </c>
      <c r="GI117" s="235">
        <f>ED117-BF117</f>
        <v>0</v>
      </c>
      <c r="GJ117" s="235">
        <f>EF117-BH117</f>
        <v>0</v>
      </c>
      <c r="GK117" s="235">
        <f>EH117-BJ117</f>
        <v>0</v>
      </c>
      <c r="GL117" s="2235">
        <f>DW117-AY117</f>
        <v>0</v>
      </c>
      <c r="GM117" s="2235">
        <f>EK117-BM117</f>
        <v>66960</v>
      </c>
      <c r="GN117" s="2235">
        <f>EM117-BO117</f>
        <v>67</v>
      </c>
      <c r="GO117" s="194">
        <f>GP117</f>
        <v>41.400000000000006</v>
      </c>
      <c r="GP117" s="112">
        <f>EP117-BR117</f>
        <v>41.400000000000006</v>
      </c>
      <c r="GQ117" s="194">
        <f>GR117</f>
        <v>192.09000000000003</v>
      </c>
      <c r="GR117" s="112">
        <f>EV117-BT117</f>
        <v>192.09000000000003</v>
      </c>
      <c r="GS117" s="316">
        <f>GT117</f>
        <v>2</v>
      </c>
      <c r="GT117" s="112">
        <f>EX117-BV117</f>
        <v>2</v>
      </c>
      <c r="GU117" s="114">
        <f>FA117-BX117</f>
        <v>6.1000000000000014</v>
      </c>
      <c r="GV117" s="112">
        <f>FI117-CD117</f>
        <v>0</v>
      </c>
      <c r="GW117" s="112">
        <v>0</v>
      </c>
      <c r="GX117" s="112">
        <f>FG117-CB117</f>
        <v>5.0000000000000711E-2</v>
      </c>
      <c r="GY117" s="112">
        <f>FK117-CF117</f>
        <v>0</v>
      </c>
      <c r="GZ117" s="112">
        <f>FM117-CH117</f>
        <v>0</v>
      </c>
      <c r="HA117" s="112">
        <f>FO117-CJ117</f>
        <v>0</v>
      </c>
      <c r="HB117" s="112">
        <f>FQ117-CL117</f>
        <v>0</v>
      </c>
      <c r="HC117" s="2230">
        <f>ES117-CM117</f>
        <v>6.1499999999999915</v>
      </c>
      <c r="HD117" s="95"/>
      <c r="HE117" s="95"/>
      <c r="HF117" s="95"/>
      <c r="HG117" s="95"/>
    </row>
    <row r="118" spans="1:241" s="95" customFormat="1" ht="18.75">
      <c r="A118" s="2263"/>
      <c r="B118" s="131"/>
      <c r="C118" s="132"/>
      <c r="D118" s="132"/>
      <c r="E118" s="133"/>
      <c r="F118" s="134"/>
      <c r="G118" s="135"/>
      <c r="H118" s="136"/>
      <c r="I118" s="132"/>
      <c r="J118" s="132"/>
      <c r="K118" s="132"/>
      <c r="L118" s="132"/>
      <c r="M118" s="134"/>
      <c r="N118" s="134"/>
      <c r="O118" s="134"/>
      <c r="P118" s="134"/>
      <c r="Q118" s="137"/>
      <c r="S118" s="101"/>
      <c r="T118" s="97"/>
      <c r="U118" s="2244"/>
      <c r="V118" s="102"/>
      <c r="W118" s="2244"/>
      <c r="X118" s="97"/>
      <c r="Y118" s="2244"/>
      <c r="Z118" s="97"/>
      <c r="AA118" s="2244"/>
      <c r="AB118" s="97"/>
      <c r="AC118" s="2244"/>
      <c r="AD118" s="103"/>
      <c r="AE118" s="2251"/>
      <c r="AF118" s="103"/>
      <c r="AG118" s="103"/>
      <c r="AH118" s="103"/>
      <c r="AI118" s="103"/>
      <c r="AJ118" s="103"/>
      <c r="AK118" s="2251"/>
      <c r="AL118" s="103"/>
      <c r="AM118" s="2251"/>
      <c r="AN118" s="103"/>
      <c r="AO118" s="2224"/>
      <c r="AP118" s="103"/>
      <c r="AQ118" s="2251"/>
      <c r="AR118" s="103"/>
      <c r="AS118" s="2251"/>
      <c r="AT118" s="103"/>
      <c r="AU118" s="2251"/>
      <c r="AV118" s="103"/>
      <c r="AW118" s="2251"/>
      <c r="AX118" s="103"/>
      <c r="AY118" s="2251"/>
      <c r="AZ118" s="75"/>
      <c r="BA118" s="2224"/>
      <c r="BB118" s="103"/>
      <c r="BC118" s="2224"/>
      <c r="BD118" s="103"/>
      <c r="BE118" s="2224"/>
      <c r="BF118" s="103"/>
      <c r="BG118" s="2224"/>
      <c r="BH118" s="103"/>
      <c r="BI118" s="2224"/>
      <c r="BJ118" s="103"/>
      <c r="BK118" s="2224"/>
      <c r="BL118" s="97"/>
      <c r="BM118" s="2251"/>
      <c r="BN118" s="103"/>
      <c r="BO118" s="2251"/>
      <c r="BP118" s="103"/>
      <c r="BQ118" s="2251"/>
      <c r="BR118" s="103"/>
      <c r="BS118" s="2251"/>
      <c r="BT118" s="124"/>
      <c r="BU118" s="2251"/>
      <c r="BV118" s="138"/>
      <c r="BW118" s="2251"/>
      <c r="BX118" s="97"/>
      <c r="BY118" s="2251"/>
      <c r="BZ118" s="97"/>
      <c r="CA118" s="2251"/>
      <c r="CB118" s="97"/>
      <c r="CC118" s="2251"/>
      <c r="CD118" s="97"/>
      <c r="CE118" s="2251"/>
      <c r="CF118" s="97"/>
      <c r="CG118" s="2251"/>
      <c r="CH118" s="105"/>
      <c r="CI118" s="2251"/>
      <c r="CJ118" s="97"/>
      <c r="CK118" s="2251"/>
      <c r="CL118" s="97"/>
      <c r="CM118" s="2251"/>
      <c r="CN118" s="73">
        <f t="shared" si="19"/>
        <v>0</v>
      </c>
      <c r="CO118" s="97"/>
      <c r="CP118" s="106"/>
      <c r="CQ118" s="139"/>
      <c r="CR118" s="139"/>
      <c r="CS118" s="139"/>
      <c r="CT118" s="139"/>
      <c r="CU118" s="108"/>
      <c r="CV118" s="2258"/>
      <c r="CW118" s="97"/>
      <c r="CX118" s="231"/>
      <c r="CY118" s="237"/>
      <c r="CZ118" s="97"/>
      <c r="DA118" s="267"/>
      <c r="DB118" s="97"/>
      <c r="DC118" s="268"/>
      <c r="DD118" s="97"/>
      <c r="DE118" s="2244"/>
      <c r="DF118" s="97"/>
      <c r="DG118" s="2244"/>
      <c r="DH118" s="97"/>
      <c r="DI118" s="2244"/>
      <c r="DJ118" s="97"/>
      <c r="DK118" s="2244"/>
      <c r="DL118" s="97"/>
      <c r="DM118" s="214"/>
      <c r="DN118" s="83"/>
      <c r="DO118" s="2244"/>
      <c r="DP118" s="83"/>
      <c r="DQ118" s="2244"/>
      <c r="DR118" s="83"/>
      <c r="DS118" s="2244"/>
      <c r="DT118" s="83"/>
      <c r="DU118" s="2244"/>
      <c r="DV118" s="83"/>
      <c r="DW118" s="214"/>
      <c r="DX118" s="75"/>
      <c r="DY118" s="2244"/>
      <c r="DZ118" s="76"/>
      <c r="EA118" s="2244"/>
      <c r="EB118" s="76"/>
      <c r="EC118" s="2244"/>
      <c r="ED118" s="76"/>
      <c r="EE118" s="2244"/>
      <c r="EF118" s="76"/>
      <c r="EG118" s="2244"/>
      <c r="EH118" s="76"/>
      <c r="EI118" s="2244"/>
      <c r="EJ118" s="76"/>
      <c r="EK118" s="215"/>
      <c r="EL118" s="97"/>
      <c r="EM118" s="2246"/>
      <c r="EN118" s="102"/>
      <c r="EO118" s="2246"/>
      <c r="EP118" s="122"/>
      <c r="EQ118" s="258"/>
      <c r="ER118" s="122"/>
      <c r="ES118" s="258"/>
      <c r="ET118" s="74"/>
      <c r="EU118" s="2244"/>
      <c r="EV118" s="111"/>
      <c r="EW118" s="2244"/>
      <c r="EX118" s="88"/>
      <c r="EY118" s="2244"/>
      <c r="EZ118" s="2248"/>
      <c r="FA118" s="2224"/>
      <c r="FB118" s="2244"/>
      <c r="FC118" s="2224"/>
      <c r="FD118" s="2244"/>
      <c r="FE118" s="2224"/>
      <c r="FF118" s="2244"/>
      <c r="FG118" s="102"/>
      <c r="FH118" s="2244"/>
      <c r="FI118" s="102"/>
      <c r="FJ118" s="2244"/>
      <c r="FK118" s="102"/>
      <c r="FL118" s="2244"/>
      <c r="FM118" s="102"/>
      <c r="FN118" s="2244"/>
      <c r="FO118" s="102"/>
      <c r="FP118" s="258"/>
      <c r="FQ118" s="102"/>
      <c r="FR118" s="2244"/>
      <c r="FS118" s="2244"/>
      <c r="FT118" s="2240"/>
      <c r="FU118" s="2233"/>
      <c r="FV118" s="2235"/>
      <c r="FW118" s="2235"/>
      <c r="FX118" s="2233"/>
      <c r="FY118" s="2233"/>
      <c r="FZ118" s="2233"/>
      <c r="GA118" s="2232"/>
      <c r="GB118" s="2233"/>
      <c r="GC118" s="2233"/>
      <c r="GD118" s="2233"/>
      <c r="GE118" s="2232"/>
      <c r="GF118" s="2233"/>
      <c r="GG118" s="2232"/>
      <c r="GH118" s="2232"/>
      <c r="GI118" s="2232"/>
      <c r="GJ118" s="2232"/>
      <c r="GK118" s="2232"/>
      <c r="GL118" s="2235"/>
      <c r="GM118" s="2235"/>
      <c r="GN118" s="2235"/>
      <c r="GO118" s="2224"/>
      <c r="GP118" s="112"/>
      <c r="GQ118" s="2224"/>
      <c r="GR118" s="112"/>
      <c r="GS118" s="2227"/>
      <c r="GT118" s="113"/>
      <c r="GU118" s="114"/>
      <c r="GV118" s="113"/>
      <c r="GW118" s="113"/>
      <c r="GX118" s="113"/>
      <c r="GY118" s="113"/>
      <c r="GZ118" s="112"/>
      <c r="HA118" s="113"/>
      <c r="HB118" s="113"/>
      <c r="HC118" s="2230"/>
    </row>
    <row r="119" spans="1:241" s="91" customFormat="1" ht="18.75">
      <c r="A119" s="216">
        <v>42</v>
      </c>
      <c r="B119" s="217" t="s">
        <v>703</v>
      </c>
      <c r="C119" s="218">
        <v>2488</v>
      </c>
      <c r="D119" s="218">
        <v>14</v>
      </c>
      <c r="E119" s="219">
        <v>2024880014</v>
      </c>
      <c r="F119" s="220">
        <v>21425</v>
      </c>
      <c r="G119" s="221" t="s">
        <v>733</v>
      </c>
      <c r="H119" s="222" t="s">
        <v>706</v>
      </c>
      <c r="I119" s="218">
        <v>0</v>
      </c>
      <c r="J119" s="218">
        <v>6.02</v>
      </c>
      <c r="K119" s="218">
        <v>0</v>
      </c>
      <c r="L119" s="218">
        <v>6.5</v>
      </c>
      <c r="M119" s="220">
        <v>0</v>
      </c>
      <c r="N119" s="220">
        <v>0</v>
      </c>
      <c r="O119" s="220">
        <v>0</v>
      </c>
      <c r="P119" s="220">
        <v>0</v>
      </c>
      <c r="Q119" s="223">
        <v>0</v>
      </c>
      <c r="R119" s="91" t="s">
        <v>735</v>
      </c>
      <c r="S119" s="214">
        <f>T119</f>
        <v>110767.24999999999</v>
      </c>
      <c r="T119" s="83">
        <f>(J119*F119)-V119</f>
        <v>110767.24999999999</v>
      </c>
      <c r="U119" s="214">
        <f>V119</f>
        <v>18211.25</v>
      </c>
      <c r="V119" s="111">
        <f>(1*F119)-0.15*(1*F119)</f>
        <v>18211.25</v>
      </c>
      <c r="W119" s="214">
        <f>X119</f>
        <v>18211.25</v>
      </c>
      <c r="X119" s="83">
        <f>V119-Z119</f>
        <v>18211.25</v>
      </c>
      <c r="Y119" s="214">
        <f>Z119</f>
        <v>0</v>
      </c>
      <c r="Z119" s="83">
        <v>0</v>
      </c>
      <c r="AA119" s="214">
        <f>AB119</f>
        <v>0</v>
      </c>
      <c r="AB119" s="83">
        <v>0</v>
      </c>
      <c r="AC119" s="214">
        <f>AD119</f>
        <v>18211.25</v>
      </c>
      <c r="AD119" s="76">
        <f>V119-(Z119+AB119+AF119+AL119+AN119+AP119+AZ119+AR119+AT119+AV119+AX119)</f>
        <v>18211.25</v>
      </c>
      <c r="AE119" s="215">
        <f>AF119</f>
        <v>0</v>
      </c>
      <c r="AF119" s="76">
        <v>0</v>
      </c>
      <c r="AG119" s="76">
        <v>0</v>
      </c>
      <c r="AH119" s="76">
        <f>AG119</f>
        <v>0</v>
      </c>
      <c r="AI119" s="76">
        <v>0</v>
      </c>
      <c r="AJ119" s="76">
        <f>AI119</f>
        <v>0</v>
      </c>
      <c r="AK119" s="215">
        <f>AL119</f>
        <v>0</v>
      </c>
      <c r="AL119" s="76">
        <v>0</v>
      </c>
      <c r="AM119" s="215">
        <v>0</v>
      </c>
      <c r="AN119" s="76">
        <v>0</v>
      </c>
      <c r="AO119" s="194">
        <f>AP119</f>
        <v>0</v>
      </c>
      <c r="AP119" s="76">
        <v>0</v>
      </c>
      <c r="AQ119" s="215">
        <f>AR119</f>
        <v>0</v>
      </c>
      <c r="AR119" s="76">
        <v>0</v>
      </c>
      <c r="AS119" s="215">
        <f>AT119</f>
        <v>0</v>
      </c>
      <c r="AT119" s="76">
        <v>0</v>
      </c>
      <c r="AU119" s="215">
        <f>AV119</f>
        <v>0</v>
      </c>
      <c r="AV119" s="76">
        <v>0</v>
      </c>
      <c r="AW119" s="215">
        <f>AX119</f>
        <v>0</v>
      </c>
      <c r="AX119" s="76">
        <v>0</v>
      </c>
      <c r="AY119" s="215">
        <f>AZ119</f>
        <v>0</v>
      </c>
      <c r="AZ119" s="75">
        <f t="shared" si="18"/>
        <v>0</v>
      </c>
      <c r="BA119" s="194">
        <f>BB119</f>
        <v>0</v>
      </c>
      <c r="BB119" s="76">
        <v>0</v>
      </c>
      <c r="BC119" s="194">
        <f>BD119</f>
        <v>0</v>
      </c>
      <c r="BD119" s="76">
        <v>0</v>
      </c>
      <c r="BE119" s="194">
        <f>BF119</f>
        <v>0</v>
      </c>
      <c r="BF119" s="76">
        <v>0</v>
      </c>
      <c r="BG119" s="194">
        <f>BH119</f>
        <v>0</v>
      </c>
      <c r="BH119" s="76">
        <v>0</v>
      </c>
      <c r="BI119" s="194">
        <f>BJ119</f>
        <v>0</v>
      </c>
      <c r="BJ119" s="76">
        <v>0</v>
      </c>
      <c r="BK119" s="194">
        <f>BL119</f>
        <v>0</v>
      </c>
      <c r="BL119" s="83">
        <v>0</v>
      </c>
      <c r="BM119" s="215">
        <f>BN119</f>
        <v>128979</v>
      </c>
      <c r="BN119" s="76">
        <f>ROUND(T119+V119,0)</f>
        <v>128979</v>
      </c>
      <c r="BO119" s="215">
        <f>BP119</f>
        <v>111</v>
      </c>
      <c r="BP119" s="76">
        <f>ROUND(T119/EP$141,0)</f>
        <v>111</v>
      </c>
      <c r="BQ119" s="215">
        <f>BR119</f>
        <v>0</v>
      </c>
      <c r="BR119" s="76">
        <v>0</v>
      </c>
      <c r="BS119" s="215">
        <f>BT119</f>
        <v>319</v>
      </c>
      <c r="BT119" s="124">
        <f t="shared" si="16"/>
        <v>319</v>
      </c>
      <c r="BU119" s="215">
        <f>BV119</f>
        <v>60</v>
      </c>
      <c r="BV119" s="225">
        <f>ROUND((AD119+AB119+Z119)/1000*3,0)+ROUND((AF119+AX119)/1000,0)+ROUND((ROUND(AL119/400,0))/2.67,0)+ROUND(AN119/250,0)+ROUND(AR119/15000,0)+ROUND((BB119+BD119+BF119+BJ119)/1000*3,0)+ROUND(BP119/25,0)+ROUND(CN119/50,0)</f>
        <v>60</v>
      </c>
      <c r="BW119" s="215">
        <f>BX119</f>
        <v>44.400000000000006</v>
      </c>
      <c r="BX119" s="83">
        <f>(BP119-BR119)*0.4</f>
        <v>44.400000000000006</v>
      </c>
      <c r="BY119" s="215">
        <f>BZ119</f>
        <v>0</v>
      </c>
      <c r="BZ119" s="83">
        <v>0</v>
      </c>
      <c r="CA119" s="215">
        <f>CB119</f>
        <v>18.21125</v>
      </c>
      <c r="CB119" s="83">
        <f>V119/1000</f>
        <v>18.21125</v>
      </c>
      <c r="CC119" s="215">
        <f>CD119</f>
        <v>0</v>
      </c>
      <c r="CD119" s="83">
        <f>AB119/1000</f>
        <v>0</v>
      </c>
      <c r="CE119" s="215">
        <f>CF119</f>
        <v>0</v>
      </c>
      <c r="CF119" s="83">
        <f>((AL119/400)/12)</f>
        <v>0</v>
      </c>
      <c r="CG119" s="215">
        <f>CH119</f>
        <v>0</v>
      </c>
      <c r="CH119" s="226">
        <v>0</v>
      </c>
      <c r="CI119" s="215">
        <f>CJ119</f>
        <v>0</v>
      </c>
      <c r="CJ119" s="83">
        <v>0</v>
      </c>
      <c r="CK119" s="215">
        <f>CL119</f>
        <v>0</v>
      </c>
      <c r="CL119" s="83">
        <f>IF(BJ119&gt;0,"Calculate",0)</f>
        <v>0</v>
      </c>
      <c r="CM119" s="215">
        <f>CN119</f>
        <v>62.611250000000005</v>
      </c>
      <c r="CN119" s="73">
        <f t="shared" si="19"/>
        <v>62.611250000000005</v>
      </c>
      <c r="CO119" s="83"/>
      <c r="CP119" s="227">
        <v>125</v>
      </c>
      <c r="CQ119" s="228" t="s">
        <v>758</v>
      </c>
      <c r="CR119" s="228">
        <v>8.5</v>
      </c>
      <c r="CS119" s="228">
        <v>2</v>
      </c>
      <c r="CT119" s="228">
        <v>7.5</v>
      </c>
      <c r="CU119" s="229" t="s">
        <v>706</v>
      </c>
      <c r="CV119" s="230" t="s">
        <v>716</v>
      </c>
      <c r="CW119" s="83">
        <f>(CR119*F119)-CZ119</f>
        <v>163901.25</v>
      </c>
      <c r="CX119" s="231">
        <f>CW119</f>
        <v>163901.25</v>
      </c>
      <c r="CY119" s="232">
        <f>CZ119</f>
        <v>18211.25</v>
      </c>
      <c r="CZ119" s="83">
        <f>1*(F119)-(0.15*1*(F119))</f>
        <v>18211.25</v>
      </c>
      <c r="DA119" s="233">
        <f>DB119</f>
        <v>18211.25</v>
      </c>
      <c r="DB119" s="83">
        <f>CZ119-DD119</f>
        <v>18211.25</v>
      </c>
      <c r="DC119" s="231">
        <f>DD119</f>
        <v>0</v>
      </c>
      <c r="DD119" s="83">
        <v>0</v>
      </c>
      <c r="DE119" s="214">
        <f>DF119</f>
        <v>0</v>
      </c>
      <c r="DF119" s="83">
        <v>0</v>
      </c>
      <c r="DG119" s="214">
        <f>DH119</f>
        <v>18211.25</v>
      </c>
      <c r="DH119" s="83">
        <f>CZ119-(DD119+DF119+DJ119+DL119+DN119+DT119+DV119+DX119)</f>
        <v>18211.25</v>
      </c>
      <c r="DI119" s="214">
        <f>DJ119</f>
        <v>0</v>
      </c>
      <c r="DJ119" s="83">
        <v>0</v>
      </c>
      <c r="DK119" s="214">
        <f>DL119</f>
        <v>0</v>
      </c>
      <c r="DL119" s="83">
        <v>0</v>
      </c>
      <c r="DM119" s="2245">
        <f>DN119</f>
        <v>0</v>
      </c>
      <c r="DN119" s="73">
        <v>0</v>
      </c>
      <c r="DO119" s="214">
        <f>DP119</f>
        <v>0</v>
      </c>
      <c r="DP119" s="73">
        <v>0</v>
      </c>
      <c r="DQ119" s="214">
        <f>DR119</f>
        <v>0</v>
      </c>
      <c r="DR119" s="73">
        <v>0</v>
      </c>
      <c r="DS119" s="214">
        <f>DT119</f>
        <v>0</v>
      </c>
      <c r="DT119" s="73">
        <v>0</v>
      </c>
      <c r="DU119" s="214">
        <f>DV119</f>
        <v>0</v>
      </c>
      <c r="DV119" s="73">
        <v>0</v>
      </c>
      <c r="DW119" s="2245">
        <f>DX119</f>
        <v>0</v>
      </c>
      <c r="DX119" s="75">
        <f t="shared" si="22"/>
        <v>0</v>
      </c>
      <c r="DY119" s="214">
        <f>DZ119</f>
        <v>0</v>
      </c>
      <c r="DZ119" s="75">
        <v>0</v>
      </c>
      <c r="EA119" s="214">
        <f>EB119</f>
        <v>0</v>
      </c>
      <c r="EB119" s="75">
        <v>0</v>
      </c>
      <c r="EC119" s="214">
        <f>ED119</f>
        <v>0</v>
      </c>
      <c r="ED119" s="75">
        <v>0</v>
      </c>
      <c r="EE119" s="214">
        <f>EF119</f>
        <v>0</v>
      </c>
      <c r="EF119" s="75">
        <v>0</v>
      </c>
      <c r="EG119" s="214">
        <f>EH119</f>
        <v>0</v>
      </c>
      <c r="EH119" s="75">
        <v>0</v>
      </c>
      <c r="EI119" s="214">
        <f>EJ119</f>
        <v>0</v>
      </c>
      <c r="EJ119" s="75">
        <v>0</v>
      </c>
      <c r="EK119" s="2252">
        <f>EL119</f>
        <v>182113</v>
      </c>
      <c r="EL119" s="83">
        <f>ROUND(CW119+CZ119,0)</f>
        <v>182113</v>
      </c>
      <c r="EM119" s="234">
        <f>SUM(EN119)</f>
        <v>164</v>
      </c>
      <c r="EN119" s="111">
        <f>ROUND(CW119/EP$141,0)</f>
        <v>164</v>
      </c>
      <c r="EO119" s="234">
        <f>EP119</f>
        <v>32.800000000000004</v>
      </c>
      <c r="EP119" s="122">
        <f t="shared" si="40"/>
        <v>32.800000000000004</v>
      </c>
      <c r="EQ119" s="258">
        <f>ER119</f>
        <v>41</v>
      </c>
      <c r="ER119" s="122">
        <f t="shared" si="38"/>
        <v>41</v>
      </c>
      <c r="ES119" s="258">
        <f>ET119</f>
        <v>67.2</v>
      </c>
      <c r="ET119" s="74">
        <f>FA119+FG119+FQ119</f>
        <v>67.2</v>
      </c>
      <c r="EU119" s="214">
        <f>EV119</f>
        <v>470.68</v>
      </c>
      <c r="EV119" s="111">
        <f>2.87*EN119</f>
        <v>470.68</v>
      </c>
      <c r="EW119" s="214">
        <f>EX119</f>
        <v>63</v>
      </c>
      <c r="EX119" s="88">
        <f>ROUND((DH119+DF119+DD119)/1000*3,0)+ROUND((ROUND(DL119/400,0))/2.67,0)+ROUND(DV119/1000,0)+ROUND((DZ119+EB119+ED119+EH119)/1000*3,0)+ROUND(EN119/25,0)+ROUND(ET119/50,0)</f>
        <v>63</v>
      </c>
      <c r="EY119" s="214">
        <f>EZ119</f>
        <v>49.2</v>
      </c>
      <c r="EZ119" s="193">
        <f>FA119</f>
        <v>49.2</v>
      </c>
      <c r="FA119" s="2223">
        <f>(0.75*EN119)*0.4</f>
        <v>49.2</v>
      </c>
      <c r="FB119" s="214">
        <f>FC119</f>
        <v>0</v>
      </c>
      <c r="FC119" s="194">
        <v>0</v>
      </c>
      <c r="FD119" s="214">
        <f>FE119</f>
        <v>0</v>
      </c>
      <c r="FE119" s="2223">
        <v>0</v>
      </c>
      <c r="FF119" s="214">
        <f>FG119</f>
        <v>18</v>
      </c>
      <c r="FG119" s="111">
        <f>ROUND((DH119+DJ119+DD119+DN119+DT119)/1000,0)</f>
        <v>18</v>
      </c>
      <c r="FH119" s="214">
        <f>FI119</f>
        <v>0</v>
      </c>
      <c r="FI119" s="111">
        <f>DF119/1000</f>
        <v>0</v>
      </c>
      <c r="FJ119" s="214">
        <f>FK119</f>
        <v>0</v>
      </c>
      <c r="FK119" s="111">
        <f>((DL119/400)/12)</f>
        <v>0</v>
      </c>
      <c r="FL119" s="214">
        <f>FM119</f>
        <v>0</v>
      </c>
      <c r="FM119" s="111">
        <v>0</v>
      </c>
      <c r="FN119" s="214">
        <f>FO119</f>
        <v>0</v>
      </c>
      <c r="FO119" s="111">
        <v>0</v>
      </c>
      <c r="FP119" s="258">
        <f>FQ119</f>
        <v>0</v>
      </c>
      <c r="FQ119" s="111">
        <f>DX119/1000</f>
        <v>0</v>
      </c>
      <c r="FR119" s="214">
        <f>FS119</f>
        <v>195</v>
      </c>
      <c r="FS119" s="214">
        <v>195</v>
      </c>
      <c r="FT119" s="2240">
        <f>CX119-S119</f>
        <v>53134.000000000015</v>
      </c>
      <c r="FU119" s="316">
        <f>CY119-U119</f>
        <v>0</v>
      </c>
      <c r="FV119" s="2235">
        <f>(DC119+DE119+DG119)-(Y119+AA119+AC119+AE119)</f>
        <v>0</v>
      </c>
      <c r="FW119" s="2235">
        <f>DG119-AC119</f>
        <v>0</v>
      </c>
      <c r="FX119" s="2233">
        <f>DE119-AA119</f>
        <v>0</v>
      </c>
      <c r="FY119" s="2233">
        <f>DC119-Y119</f>
        <v>0</v>
      </c>
      <c r="FZ119" s="2233">
        <f>DJ119-AE119</f>
        <v>0</v>
      </c>
      <c r="GA119" s="235">
        <f>DL119-AL119</f>
        <v>0</v>
      </c>
      <c r="GB119" s="2233">
        <f>DM119-AM119</f>
        <v>0</v>
      </c>
      <c r="GC119" s="2233">
        <f>DP119-AQ119</f>
        <v>0</v>
      </c>
      <c r="GD119" s="2233">
        <f>DR119-AS119</f>
        <v>0</v>
      </c>
      <c r="GE119" s="235">
        <f>DT119-AV119</f>
        <v>0</v>
      </c>
      <c r="GF119" s="2233">
        <f>DV119-AW119</f>
        <v>0</v>
      </c>
      <c r="GG119" s="235">
        <f>DZ119-BB119</f>
        <v>0</v>
      </c>
      <c r="GH119" s="235">
        <f>EB119-BD119</f>
        <v>0</v>
      </c>
      <c r="GI119" s="235">
        <f>ED119-BF119</f>
        <v>0</v>
      </c>
      <c r="GJ119" s="235">
        <f>EF119-BH119</f>
        <v>0</v>
      </c>
      <c r="GK119" s="235">
        <f>EH119-BJ119</f>
        <v>0</v>
      </c>
      <c r="GL119" s="2235">
        <f>DW119-AY119</f>
        <v>0</v>
      </c>
      <c r="GM119" s="2235">
        <f>EK119-BM119</f>
        <v>53134</v>
      </c>
      <c r="GN119" s="2235">
        <f>EM119-BO119</f>
        <v>53</v>
      </c>
      <c r="GO119" s="194">
        <f>GP119</f>
        <v>32.800000000000004</v>
      </c>
      <c r="GP119" s="112">
        <f>EP119-BR119</f>
        <v>32.800000000000004</v>
      </c>
      <c r="GQ119" s="194">
        <f>GR119</f>
        <v>151.68</v>
      </c>
      <c r="GR119" s="112">
        <f>EV119-BT119</f>
        <v>151.68</v>
      </c>
      <c r="GS119" s="316">
        <f>GT119</f>
        <v>3</v>
      </c>
      <c r="GT119" s="112">
        <f>EX119-BV119</f>
        <v>3</v>
      </c>
      <c r="GU119" s="114">
        <f>FA119-BX119</f>
        <v>4.7999999999999972</v>
      </c>
      <c r="GV119" s="112">
        <f>FI119-CD119</f>
        <v>0</v>
      </c>
      <c r="GW119" s="112">
        <v>0</v>
      </c>
      <c r="GX119" s="112">
        <f>FG119-CB119</f>
        <v>-0.21124999999999972</v>
      </c>
      <c r="GY119" s="112">
        <f>FK119-CF119</f>
        <v>0</v>
      </c>
      <c r="GZ119" s="112">
        <f>FM119-CH119</f>
        <v>0</v>
      </c>
      <c r="HA119" s="112">
        <f>FO119-CJ119</f>
        <v>0</v>
      </c>
      <c r="HB119" s="112">
        <f>FQ119-CL119</f>
        <v>0</v>
      </c>
      <c r="HC119" s="2230">
        <f>ES119-CM119</f>
        <v>4.5887499999999974</v>
      </c>
      <c r="HD119" s="95"/>
      <c r="HE119" s="95"/>
      <c r="HF119" s="95"/>
      <c r="HG119" s="95"/>
      <c r="HH119" s="95"/>
      <c r="HI119" s="95"/>
      <c r="HJ119" s="95"/>
      <c r="HK119" s="95"/>
    </row>
    <row r="120" spans="1:241" s="95" customFormat="1" ht="18.75">
      <c r="A120" s="2263"/>
      <c r="B120" s="131"/>
      <c r="C120" s="132"/>
      <c r="D120" s="132"/>
      <c r="E120" s="133"/>
      <c r="F120" s="134"/>
      <c r="G120" s="135"/>
      <c r="H120" s="136"/>
      <c r="I120" s="132"/>
      <c r="J120" s="132"/>
      <c r="K120" s="132"/>
      <c r="L120" s="132"/>
      <c r="M120" s="134"/>
      <c r="N120" s="134"/>
      <c r="O120" s="134"/>
      <c r="P120" s="134"/>
      <c r="Q120" s="137"/>
      <c r="S120" s="101"/>
      <c r="T120" s="97"/>
      <c r="U120" s="2244"/>
      <c r="V120" s="102"/>
      <c r="W120" s="2244"/>
      <c r="X120" s="97"/>
      <c r="Y120" s="2244"/>
      <c r="Z120" s="97"/>
      <c r="AA120" s="2244"/>
      <c r="AB120" s="97"/>
      <c r="AC120" s="2244"/>
      <c r="AD120" s="76"/>
      <c r="AE120" s="2251"/>
      <c r="AF120" s="103"/>
      <c r="AG120" s="103"/>
      <c r="AH120" s="103"/>
      <c r="AI120" s="103"/>
      <c r="AJ120" s="103"/>
      <c r="AK120" s="2251"/>
      <c r="AL120" s="103"/>
      <c r="AM120" s="2251"/>
      <c r="AN120" s="103"/>
      <c r="AO120" s="2224"/>
      <c r="AP120" s="103"/>
      <c r="AQ120" s="2251"/>
      <c r="AR120" s="103"/>
      <c r="AS120" s="2251"/>
      <c r="AT120" s="103"/>
      <c r="AU120" s="2251"/>
      <c r="AV120" s="103"/>
      <c r="AW120" s="2251"/>
      <c r="AX120" s="103"/>
      <c r="AY120" s="2251"/>
      <c r="AZ120" s="75"/>
      <c r="BA120" s="2224"/>
      <c r="BB120" s="103"/>
      <c r="BC120" s="2224"/>
      <c r="BD120" s="103"/>
      <c r="BE120" s="2224"/>
      <c r="BF120" s="103"/>
      <c r="BG120" s="2224"/>
      <c r="BH120" s="103"/>
      <c r="BI120" s="2224"/>
      <c r="BJ120" s="103"/>
      <c r="BK120" s="2224"/>
      <c r="BL120" s="97"/>
      <c r="BM120" s="2251"/>
      <c r="BN120" s="103"/>
      <c r="BO120" s="2251"/>
      <c r="BP120" s="103"/>
      <c r="BQ120" s="2251"/>
      <c r="BR120" s="103"/>
      <c r="BS120" s="2251"/>
      <c r="BT120" s="124"/>
      <c r="BU120" s="2251"/>
      <c r="BV120" s="138"/>
      <c r="BW120" s="2251"/>
      <c r="BX120" s="97"/>
      <c r="BY120" s="2251"/>
      <c r="BZ120" s="97"/>
      <c r="CA120" s="2251"/>
      <c r="CB120" s="97"/>
      <c r="CC120" s="2251"/>
      <c r="CD120" s="97"/>
      <c r="CE120" s="2251"/>
      <c r="CF120" s="97"/>
      <c r="CG120" s="2251"/>
      <c r="CH120" s="105"/>
      <c r="CI120" s="2251"/>
      <c r="CJ120" s="97"/>
      <c r="CK120" s="2251"/>
      <c r="CL120" s="97"/>
      <c r="CM120" s="2251"/>
      <c r="CN120" s="73">
        <f t="shared" si="19"/>
        <v>0</v>
      </c>
      <c r="CO120" s="97"/>
      <c r="CP120" s="106"/>
      <c r="CQ120" s="139"/>
      <c r="CR120" s="139"/>
      <c r="CS120" s="139"/>
      <c r="CT120" s="139"/>
      <c r="CU120" s="108"/>
      <c r="CV120" s="2258"/>
      <c r="CW120" s="97"/>
      <c r="CX120" s="231"/>
      <c r="CY120" s="237"/>
      <c r="CZ120" s="97"/>
      <c r="DA120" s="267"/>
      <c r="DB120" s="97"/>
      <c r="DC120" s="268"/>
      <c r="DD120" s="97"/>
      <c r="DE120" s="2244"/>
      <c r="DF120" s="97"/>
      <c r="DG120" s="2244"/>
      <c r="DH120" s="97"/>
      <c r="DI120" s="2244"/>
      <c r="DJ120" s="97"/>
      <c r="DK120" s="2244"/>
      <c r="DL120" s="97"/>
      <c r="DM120" s="214"/>
      <c r="DN120" s="83"/>
      <c r="DO120" s="2244"/>
      <c r="DP120" s="83"/>
      <c r="DQ120" s="2244"/>
      <c r="DR120" s="83"/>
      <c r="DS120" s="2244"/>
      <c r="DT120" s="83"/>
      <c r="DU120" s="2244"/>
      <c r="DV120" s="83"/>
      <c r="DW120" s="214"/>
      <c r="DX120" s="75"/>
      <c r="DY120" s="2244"/>
      <c r="DZ120" s="76"/>
      <c r="EA120" s="2244"/>
      <c r="EB120" s="76"/>
      <c r="EC120" s="2244"/>
      <c r="ED120" s="76"/>
      <c r="EE120" s="2244"/>
      <c r="EF120" s="76"/>
      <c r="EG120" s="2244"/>
      <c r="EH120" s="76"/>
      <c r="EI120" s="2244"/>
      <c r="EJ120" s="76"/>
      <c r="EK120" s="215"/>
      <c r="EL120" s="97"/>
      <c r="EM120" s="2246"/>
      <c r="EN120" s="102"/>
      <c r="EO120" s="2246"/>
      <c r="EP120" s="111"/>
      <c r="EQ120" s="192"/>
      <c r="ER120" s="111"/>
      <c r="ES120" s="192"/>
      <c r="ET120" s="74"/>
      <c r="EU120" s="2244"/>
      <c r="EV120" s="111"/>
      <c r="EW120" s="2244"/>
      <c r="EX120" s="88"/>
      <c r="EY120" s="2244"/>
      <c r="EZ120" s="2248"/>
      <c r="FA120" s="194"/>
      <c r="FB120" s="2244"/>
      <c r="FC120" s="2224"/>
      <c r="FD120" s="2244"/>
      <c r="FE120" s="194"/>
      <c r="FF120" s="2244"/>
      <c r="FG120" s="102"/>
      <c r="FH120" s="2244"/>
      <c r="FI120" s="102"/>
      <c r="FJ120" s="2244"/>
      <c r="FK120" s="102"/>
      <c r="FL120" s="2244"/>
      <c r="FM120" s="102"/>
      <c r="FN120" s="2244"/>
      <c r="FO120" s="102"/>
      <c r="FP120" s="192"/>
      <c r="FQ120" s="102"/>
      <c r="FR120" s="2244"/>
      <c r="FS120" s="2244"/>
      <c r="FT120" s="2240"/>
      <c r="FU120" s="2233"/>
      <c r="FV120" s="2235"/>
      <c r="FW120" s="2235"/>
      <c r="FX120" s="2233"/>
      <c r="FY120" s="2233"/>
      <c r="FZ120" s="2233"/>
      <c r="GA120" s="2232"/>
      <c r="GB120" s="2233"/>
      <c r="GC120" s="2233"/>
      <c r="GD120" s="2233"/>
      <c r="GE120" s="2232"/>
      <c r="GF120" s="2233"/>
      <c r="GG120" s="2232"/>
      <c r="GH120" s="2232"/>
      <c r="GI120" s="2232"/>
      <c r="GJ120" s="2232"/>
      <c r="GK120" s="2232"/>
      <c r="GL120" s="2235"/>
      <c r="GM120" s="2235"/>
      <c r="GN120" s="2235"/>
      <c r="GO120" s="2224"/>
      <c r="GP120" s="112"/>
      <c r="GQ120" s="2224"/>
      <c r="GR120" s="112"/>
      <c r="GS120" s="2227"/>
      <c r="GT120" s="113"/>
      <c r="GU120" s="114"/>
      <c r="GV120" s="113"/>
      <c r="GW120" s="113"/>
      <c r="GX120" s="113"/>
      <c r="GY120" s="113"/>
      <c r="GZ120" s="112"/>
      <c r="HA120" s="113"/>
      <c r="HB120" s="113"/>
      <c r="HC120" s="2230"/>
    </row>
    <row r="121" spans="1:241" s="91" customFormat="1" ht="18.75">
      <c r="A121" s="216">
        <v>43</v>
      </c>
      <c r="B121" s="262" t="s">
        <v>703</v>
      </c>
      <c r="C121" s="218">
        <v>2488</v>
      </c>
      <c r="D121" s="218">
        <v>12</v>
      </c>
      <c r="E121" s="263">
        <v>2024880012</v>
      </c>
      <c r="F121" s="218">
        <v>17250</v>
      </c>
      <c r="G121" s="221" t="s">
        <v>733</v>
      </c>
      <c r="H121" s="222" t="s">
        <v>706</v>
      </c>
      <c r="I121" s="218">
        <v>0.87</v>
      </c>
      <c r="J121" s="218">
        <v>6.02</v>
      </c>
      <c r="K121" s="218">
        <v>0</v>
      </c>
      <c r="L121" s="218">
        <v>6.5</v>
      </c>
      <c r="M121" s="396">
        <v>15000</v>
      </c>
      <c r="N121" s="218">
        <v>0</v>
      </c>
      <c r="O121" s="396">
        <v>15000</v>
      </c>
      <c r="P121" s="396">
        <v>15000</v>
      </c>
      <c r="Q121" s="223">
        <v>0</v>
      </c>
      <c r="R121" s="91" t="s">
        <v>718</v>
      </c>
      <c r="S121" s="214">
        <f>T121</f>
        <v>0</v>
      </c>
      <c r="T121" s="83">
        <v>0</v>
      </c>
      <c r="U121" s="214">
        <f>V121</f>
        <v>15000</v>
      </c>
      <c r="V121" s="111">
        <f>P121</f>
        <v>15000</v>
      </c>
      <c r="W121" s="214">
        <f>X121</f>
        <v>15000</v>
      </c>
      <c r="X121" s="83">
        <f>V121-Z121</f>
        <v>15000</v>
      </c>
      <c r="Y121" s="214">
        <f>Z121</f>
        <v>0</v>
      </c>
      <c r="Z121" s="83">
        <v>0</v>
      </c>
      <c r="AA121" s="214">
        <f>AB121</f>
        <v>0</v>
      </c>
      <c r="AB121" s="83">
        <v>0</v>
      </c>
      <c r="AC121" s="397">
        <v>0</v>
      </c>
      <c r="AD121" s="398">
        <v>0</v>
      </c>
      <c r="AE121" s="215">
        <f>AF121</f>
        <v>0</v>
      </c>
      <c r="AF121" s="76">
        <f>AI121+AG121</f>
        <v>0</v>
      </c>
      <c r="AG121" s="76">
        <v>0</v>
      </c>
      <c r="AH121" s="76">
        <f>AG121</f>
        <v>0</v>
      </c>
      <c r="AI121" s="76">
        <v>0</v>
      </c>
      <c r="AJ121" s="76">
        <f>AI121</f>
        <v>0</v>
      </c>
      <c r="AK121" s="215">
        <f>AL121</f>
        <v>0</v>
      </c>
      <c r="AL121" s="76">
        <v>0</v>
      </c>
      <c r="AM121" s="215">
        <v>0</v>
      </c>
      <c r="AN121" s="76">
        <v>0</v>
      </c>
      <c r="AO121" s="194">
        <f>AP121</f>
        <v>0</v>
      </c>
      <c r="AP121" s="76">
        <v>0</v>
      </c>
      <c r="AQ121" s="215">
        <f>AR121</f>
        <v>0</v>
      </c>
      <c r="AR121" s="76">
        <v>0</v>
      </c>
      <c r="AS121" s="215">
        <f>AT121</f>
        <v>0</v>
      </c>
      <c r="AT121" s="76">
        <v>0</v>
      </c>
      <c r="AU121" s="215">
        <f>AV121</f>
        <v>0</v>
      </c>
      <c r="AV121" s="76">
        <v>0</v>
      </c>
      <c r="AW121" s="215">
        <f>AX121</f>
        <v>0</v>
      </c>
      <c r="AX121" s="76">
        <v>0</v>
      </c>
      <c r="AY121" s="215">
        <f>AZ121</f>
        <v>15000</v>
      </c>
      <c r="AZ121" s="75">
        <f t="shared" si="18"/>
        <v>15000</v>
      </c>
      <c r="BA121" s="194">
        <f>BB121</f>
        <v>0</v>
      </c>
      <c r="BB121" s="76">
        <v>0</v>
      </c>
      <c r="BC121" s="194">
        <f>BD121</f>
        <v>0</v>
      </c>
      <c r="BD121" s="76">
        <v>0</v>
      </c>
      <c r="BE121" s="194">
        <f>BF121</f>
        <v>0</v>
      </c>
      <c r="BF121" s="76">
        <v>0</v>
      </c>
      <c r="BG121" s="194">
        <f>BH121</f>
        <v>15000</v>
      </c>
      <c r="BH121" s="76">
        <v>15000</v>
      </c>
      <c r="BI121" s="194">
        <f>BJ121</f>
        <v>0</v>
      </c>
      <c r="BJ121" s="76">
        <v>0</v>
      </c>
      <c r="BK121" s="194">
        <f>BL121</f>
        <v>0</v>
      </c>
      <c r="BL121" s="76">
        <v>0</v>
      </c>
      <c r="BM121" s="215">
        <f>BN121</f>
        <v>15000</v>
      </c>
      <c r="BN121" s="76">
        <f>T121+V121</f>
        <v>15000</v>
      </c>
      <c r="BO121" s="215">
        <f>BP121</f>
        <v>0</v>
      </c>
      <c r="BP121" s="76">
        <f>T121/1000</f>
        <v>0</v>
      </c>
      <c r="BQ121" s="215">
        <f>BR121</f>
        <v>0</v>
      </c>
      <c r="BR121" s="76">
        <v>0</v>
      </c>
      <c r="BS121" s="215">
        <f>BT121</f>
        <v>0</v>
      </c>
      <c r="BT121" s="124">
        <f t="shared" ref="BT121:BT127" si="41">ROUND(BP121*2.87,0)</f>
        <v>0</v>
      </c>
      <c r="BU121" s="215">
        <f>BV121</f>
        <v>45</v>
      </c>
      <c r="BV121" s="225">
        <f>ROUND((X121+AB121+Z121)/1000*3,0)+ROUND((AF121+AX121)/1000,0)+ROUND((ROUND(AL121/400,0))/2.67,0)+ROUND(AP121/250,0)+ROUND(AR121/15000,0)+ROUND((BB121+BD121+BF121+BJ121)/1000*3,0)+ROUND(BP121/25,0)+ROUND('[1]Potential Development Sites'!BS306/50,0)</f>
        <v>45</v>
      </c>
      <c r="BW121" s="215">
        <f>BX121</f>
        <v>0</v>
      </c>
      <c r="BX121" s="83">
        <v>0</v>
      </c>
      <c r="BY121" s="215">
        <f>BZ121</f>
        <v>0</v>
      </c>
      <c r="BZ121" s="83">
        <v>0</v>
      </c>
      <c r="CA121" s="215">
        <f>CB121</f>
        <v>0</v>
      </c>
      <c r="CB121" s="83">
        <v>0</v>
      </c>
      <c r="CC121" s="215">
        <f>CD121</f>
        <v>0</v>
      </c>
      <c r="CD121" s="83">
        <f>AB121/1000</f>
        <v>0</v>
      </c>
      <c r="CE121" s="215">
        <f>CF121</f>
        <v>0</v>
      </c>
      <c r="CF121" s="83">
        <f>AL121/1000</f>
        <v>0</v>
      </c>
      <c r="CG121" s="215">
        <f>CH121</f>
        <v>0</v>
      </c>
      <c r="CH121" s="83">
        <v>0</v>
      </c>
      <c r="CI121" s="215">
        <f>CJ121</f>
        <v>0</v>
      </c>
      <c r="CJ121" s="83">
        <v>0</v>
      </c>
      <c r="CK121" s="215">
        <f>CL121</f>
        <v>0</v>
      </c>
      <c r="CL121" s="83">
        <v>0</v>
      </c>
      <c r="CM121" s="215">
        <f>CN121</f>
        <v>0</v>
      </c>
      <c r="CN121" s="73">
        <f t="shared" si="19"/>
        <v>0</v>
      </c>
      <c r="CO121" s="264"/>
      <c r="CP121" s="253">
        <v>15</v>
      </c>
      <c r="CQ121" s="228" t="s">
        <v>758</v>
      </c>
      <c r="CR121" s="228">
        <v>8.5</v>
      </c>
      <c r="CS121" s="228">
        <v>2</v>
      </c>
      <c r="CT121" s="228">
        <v>7.5</v>
      </c>
      <c r="CU121" s="229" t="s">
        <v>706</v>
      </c>
      <c r="CV121" s="230" t="s">
        <v>770</v>
      </c>
      <c r="CW121" s="91">
        <v>0</v>
      </c>
      <c r="CX121" s="231">
        <f t="shared" ref="CX121" si="42">CW121</f>
        <v>0</v>
      </c>
      <c r="CY121" s="232">
        <f>CZ121</f>
        <v>15000</v>
      </c>
      <c r="CZ121" s="247">
        <v>15000</v>
      </c>
      <c r="DA121" s="233">
        <f>DB121</f>
        <v>15000</v>
      </c>
      <c r="DB121" s="399">
        <f>CZ121-DD121</f>
        <v>15000</v>
      </c>
      <c r="DC121" s="231">
        <f>DD121</f>
        <v>0</v>
      </c>
      <c r="DD121" s="91">
        <v>0</v>
      </c>
      <c r="DE121" s="214">
        <f>DF121</f>
        <v>0</v>
      </c>
      <c r="DF121" s="91">
        <v>0</v>
      </c>
      <c r="DG121" s="214">
        <f>DH121</f>
        <v>0</v>
      </c>
      <c r="DH121" s="91">
        <f>CZ121-(DD121+DF121+DJ121+DL121+DN121+DT121+DV121+DX121)</f>
        <v>0</v>
      </c>
      <c r="DI121" s="214">
        <f>DJ121</f>
        <v>0</v>
      </c>
      <c r="DJ121" s="91">
        <v>0</v>
      </c>
      <c r="DK121" s="214">
        <f>DL121</f>
        <v>0</v>
      </c>
      <c r="DL121" s="91">
        <v>0</v>
      </c>
      <c r="DM121" s="2245">
        <f>DN121</f>
        <v>0</v>
      </c>
      <c r="DN121" s="72">
        <v>0</v>
      </c>
      <c r="DO121" s="214">
        <f>DP121</f>
        <v>0</v>
      </c>
      <c r="DP121" s="72">
        <v>0</v>
      </c>
      <c r="DQ121" s="214">
        <f>DR121</f>
        <v>0</v>
      </c>
      <c r="DR121" s="72">
        <v>0</v>
      </c>
      <c r="DS121" s="214">
        <f>DT121</f>
        <v>0</v>
      </c>
      <c r="DT121" s="72">
        <v>0</v>
      </c>
      <c r="DU121" s="214">
        <f>DV121</f>
        <v>0</v>
      </c>
      <c r="DV121" s="72">
        <v>0</v>
      </c>
      <c r="DW121" s="2245">
        <f>DX121</f>
        <v>15000</v>
      </c>
      <c r="DX121" s="75">
        <f t="shared" si="22"/>
        <v>15000</v>
      </c>
      <c r="DY121" s="214">
        <f>DZ121</f>
        <v>0</v>
      </c>
      <c r="DZ121" s="301">
        <f>BB121</f>
        <v>0</v>
      </c>
      <c r="EA121" s="214">
        <f>EB121</f>
        <v>0</v>
      </c>
      <c r="EB121" s="301">
        <f>BD121</f>
        <v>0</v>
      </c>
      <c r="EC121" s="214">
        <f>ED121</f>
        <v>0</v>
      </c>
      <c r="ED121" s="301">
        <f>BF121</f>
        <v>0</v>
      </c>
      <c r="EE121" s="214">
        <f>EF121</f>
        <v>15000</v>
      </c>
      <c r="EF121" s="301">
        <v>15000</v>
      </c>
      <c r="EG121" s="214">
        <f>EH121</f>
        <v>0</v>
      </c>
      <c r="EH121" s="301">
        <f>BJ121</f>
        <v>0</v>
      </c>
      <c r="EI121" s="214">
        <f>EJ121</f>
        <v>0</v>
      </c>
      <c r="EJ121" s="301">
        <v>0</v>
      </c>
      <c r="EK121" s="2252">
        <f>EL121</f>
        <v>15000</v>
      </c>
      <c r="EL121" s="91">
        <f>CW121+CZ121</f>
        <v>15000</v>
      </c>
      <c r="EM121" s="234">
        <f>SUM(EN121)</f>
        <v>0</v>
      </c>
      <c r="EN121" s="111">
        <f>ROUND(CW121/EP$141,0)</f>
        <v>0</v>
      </c>
      <c r="EO121" s="234">
        <f>EP121</f>
        <v>0</v>
      </c>
      <c r="EP121" s="111">
        <f>EV$143*EN121</f>
        <v>0</v>
      </c>
      <c r="EQ121" s="192">
        <f>ER121</f>
        <v>0</v>
      </c>
      <c r="ER121" s="111">
        <v>0</v>
      </c>
      <c r="ES121" s="192">
        <f>ET121</f>
        <v>15</v>
      </c>
      <c r="ET121" s="74">
        <f>FA121+FG121+FQ121</f>
        <v>15</v>
      </c>
      <c r="EU121" s="214">
        <f>EV121</f>
        <v>0</v>
      </c>
      <c r="EV121" s="111">
        <f>2.87*EN121</f>
        <v>0</v>
      </c>
      <c r="EW121" s="214">
        <f>EX121</f>
        <v>0</v>
      </c>
      <c r="EX121" s="88">
        <f>ROUND((DH121+DF121+DD121)/1000*3,0)+ROUND((ROUND(DL121/400,0))/2.67,0)+ROUND(DV121/1000,0)+ROUND((DZ121+EB121+ED121+EH121)/1000*3,0)+ROUND(EN121/25,0)+ROUND(ET121/50,0)</f>
        <v>0</v>
      </c>
      <c r="EY121" s="214">
        <f>EZ121</f>
        <v>0</v>
      </c>
      <c r="EZ121" s="193">
        <v>0</v>
      </c>
      <c r="FA121" s="194">
        <v>0</v>
      </c>
      <c r="FB121" s="214">
        <f>FC121</f>
        <v>0</v>
      </c>
      <c r="FC121" s="194">
        <v>0</v>
      </c>
      <c r="FD121" s="214">
        <f>FE121</f>
        <v>0</v>
      </c>
      <c r="FE121" s="194">
        <v>0</v>
      </c>
      <c r="FF121" s="214">
        <f>FG121</f>
        <v>0</v>
      </c>
      <c r="FG121" s="111">
        <f>ROUND((DH121+DJ121+DD121+DN121+DT121)/1000,0)</f>
        <v>0</v>
      </c>
      <c r="FH121" s="214">
        <f>FI121</f>
        <v>0</v>
      </c>
      <c r="FI121" s="111">
        <f>DF121/1000</f>
        <v>0</v>
      </c>
      <c r="FJ121" s="214">
        <f>FK121</f>
        <v>0</v>
      </c>
      <c r="FK121" s="111">
        <f>((DL121/400)/12)</f>
        <v>0</v>
      </c>
      <c r="FL121" s="214">
        <f>FM121</f>
        <v>0</v>
      </c>
      <c r="FM121" s="111">
        <v>0</v>
      </c>
      <c r="FN121" s="214">
        <f>FO121</f>
        <v>0</v>
      </c>
      <c r="FO121" s="111">
        <v>0</v>
      </c>
      <c r="FP121" s="192">
        <f>FQ121</f>
        <v>15</v>
      </c>
      <c r="FQ121" s="111">
        <f>DX121/1000</f>
        <v>15</v>
      </c>
      <c r="FR121" s="214">
        <f>FS121</f>
        <v>15</v>
      </c>
      <c r="FS121" s="214">
        <v>15</v>
      </c>
      <c r="FT121" s="2240">
        <f>CX121-S121</f>
        <v>0</v>
      </c>
      <c r="FU121" s="316">
        <f>CY121-U121</f>
        <v>0</v>
      </c>
      <c r="FV121" s="2235">
        <f>(DC121+DE121+DG121)-(Y121+AA121+AC121+AE121)</f>
        <v>0</v>
      </c>
      <c r="FW121" s="2235">
        <f>DG121-AC121</f>
        <v>0</v>
      </c>
      <c r="FX121" s="2233">
        <f>DE121-AA121</f>
        <v>0</v>
      </c>
      <c r="FY121" s="2233">
        <f>DC121-Y121</f>
        <v>0</v>
      </c>
      <c r="FZ121" s="2233">
        <f>DJ121-AE121</f>
        <v>0</v>
      </c>
      <c r="GA121" s="235">
        <f>DL121-AL121</f>
        <v>0</v>
      </c>
      <c r="GB121" s="2233">
        <f>DM121-AM121</f>
        <v>0</v>
      </c>
      <c r="GC121" s="2233">
        <f>DP121-AQ121</f>
        <v>0</v>
      </c>
      <c r="GD121" s="2233">
        <f>DR121-AS121</f>
        <v>0</v>
      </c>
      <c r="GE121" s="235">
        <f>DT121-AV121</f>
        <v>0</v>
      </c>
      <c r="GF121" s="2233">
        <f>DV121-AW121</f>
        <v>0</v>
      </c>
      <c r="GG121" s="235">
        <f>DZ121-BB121</f>
        <v>0</v>
      </c>
      <c r="GH121" s="235">
        <f>EB121-BD121</f>
        <v>0</v>
      </c>
      <c r="GI121" s="235">
        <f>ED121-BF121</f>
        <v>0</v>
      </c>
      <c r="GJ121" s="235">
        <f>EF121-BH121</f>
        <v>0</v>
      </c>
      <c r="GK121" s="235">
        <f>EH121-BJ121</f>
        <v>0</v>
      </c>
      <c r="GL121" s="2235">
        <f>DW121-AY121</f>
        <v>0</v>
      </c>
      <c r="GM121" s="2235">
        <f>EK121-BM121</f>
        <v>0</v>
      </c>
      <c r="GN121" s="2235">
        <f>EM121-BO121</f>
        <v>0</v>
      </c>
      <c r="GO121" s="194">
        <v>0</v>
      </c>
      <c r="GP121" s="112">
        <f>EP121-BR121</f>
        <v>0</v>
      </c>
      <c r="GQ121" s="194">
        <v>0</v>
      </c>
      <c r="GR121" s="112">
        <f>EV121-BT121</f>
        <v>0</v>
      </c>
      <c r="GS121" s="316">
        <f>GT121</f>
        <v>-45</v>
      </c>
      <c r="GT121" s="112">
        <f>EX121-BV121</f>
        <v>-45</v>
      </c>
      <c r="GU121" s="114">
        <f>FA121-BX121</f>
        <v>0</v>
      </c>
      <c r="GV121" s="112">
        <f>FI121-CD121</f>
        <v>0</v>
      </c>
      <c r="GW121" s="112">
        <v>0</v>
      </c>
      <c r="GX121" s="112">
        <f>FG121-CB121</f>
        <v>0</v>
      </c>
      <c r="GY121" s="112">
        <f>FK121-CF121</f>
        <v>0</v>
      </c>
      <c r="GZ121" s="112">
        <f>FM121-CH121</f>
        <v>0</v>
      </c>
      <c r="HA121" s="112">
        <f>FO121-CJ121</f>
        <v>0</v>
      </c>
      <c r="HB121" s="112">
        <f>FQ121-CL121</f>
        <v>15</v>
      </c>
      <c r="HC121" s="2230">
        <f>ES121-CM121</f>
        <v>15</v>
      </c>
      <c r="HD121" s="139"/>
      <c r="HE121" s="139"/>
      <c r="HF121" s="139"/>
      <c r="HG121" s="139"/>
      <c r="HH121" s="139"/>
    </row>
    <row r="122" spans="1:241" s="95" customFormat="1" ht="18.75">
      <c r="A122" s="2263"/>
      <c r="B122" s="131"/>
      <c r="C122" s="132"/>
      <c r="D122" s="132"/>
      <c r="E122" s="133"/>
      <c r="F122" s="134"/>
      <c r="G122" s="135"/>
      <c r="H122" s="136"/>
      <c r="I122" s="132"/>
      <c r="J122" s="132"/>
      <c r="K122" s="132"/>
      <c r="L122" s="132"/>
      <c r="M122" s="134"/>
      <c r="N122" s="134"/>
      <c r="O122" s="134"/>
      <c r="P122" s="134"/>
      <c r="Q122" s="137"/>
      <c r="S122" s="101"/>
      <c r="T122" s="97"/>
      <c r="U122" s="2244"/>
      <c r="V122" s="102"/>
      <c r="W122" s="2244"/>
      <c r="X122" s="97"/>
      <c r="Y122" s="2244"/>
      <c r="Z122" s="97"/>
      <c r="AA122" s="2244"/>
      <c r="AB122" s="97"/>
      <c r="AC122" s="2244"/>
      <c r="AD122" s="103"/>
      <c r="AE122" s="2251"/>
      <c r="AF122" s="103"/>
      <c r="AG122" s="103"/>
      <c r="AH122" s="103"/>
      <c r="AI122" s="103"/>
      <c r="AJ122" s="103"/>
      <c r="AK122" s="2251"/>
      <c r="AL122" s="103"/>
      <c r="AM122" s="2251"/>
      <c r="AN122" s="103"/>
      <c r="AO122" s="2224"/>
      <c r="AP122" s="103"/>
      <c r="AQ122" s="2251"/>
      <c r="AR122" s="103"/>
      <c r="AS122" s="2251"/>
      <c r="AT122" s="103"/>
      <c r="AU122" s="2251"/>
      <c r="AV122" s="103"/>
      <c r="AW122" s="2251"/>
      <c r="AX122" s="103"/>
      <c r="AY122" s="2251"/>
      <c r="AZ122" s="75"/>
      <c r="BA122" s="2224"/>
      <c r="BB122" s="103"/>
      <c r="BC122" s="2224"/>
      <c r="BD122" s="103"/>
      <c r="BE122" s="2224"/>
      <c r="BF122" s="103"/>
      <c r="BG122" s="2224"/>
      <c r="BH122" s="103"/>
      <c r="BI122" s="2224"/>
      <c r="BJ122" s="103"/>
      <c r="BK122" s="2224"/>
      <c r="BL122" s="97"/>
      <c r="BM122" s="2251"/>
      <c r="BN122" s="103"/>
      <c r="BO122" s="2251"/>
      <c r="BP122" s="103"/>
      <c r="BQ122" s="2251"/>
      <c r="BR122" s="103"/>
      <c r="BS122" s="2251"/>
      <c r="BT122" s="124"/>
      <c r="BU122" s="2251"/>
      <c r="BV122" s="138"/>
      <c r="BW122" s="2251"/>
      <c r="BX122" s="97"/>
      <c r="BY122" s="2251"/>
      <c r="BZ122" s="97"/>
      <c r="CA122" s="2251"/>
      <c r="CB122" s="97"/>
      <c r="CC122" s="2251"/>
      <c r="CD122" s="97"/>
      <c r="CE122" s="2251"/>
      <c r="CF122" s="97"/>
      <c r="CG122" s="2251"/>
      <c r="CH122" s="105"/>
      <c r="CI122" s="2251"/>
      <c r="CJ122" s="97"/>
      <c r="CK122" s="2251"/>
      <c r="CL122" s="97"/>
      <c r="CM122" s="2251"/>
      <c r="CN122" s="73">
        <f t="shared" si="19"/>
        <v>0</v>
      </c>
      <c r="CO122" s="97"/>
      <c r="CP122" s="2266"/>
      <c r="CQ122" s="139"/>
      <c r="CR122" s="139"/>
      <c r="CS122" s="139"/>
      <c r="CT122" s="139"/>
      <c r="CU122" s="108"/>
      <c r="CV122" s="2258"/>
      <c r="CW122" s="97"/>
      <c r="CX122" s="268"/>
      <c r="CY122" s="237"/>
      <c r="CZ122" s="97"/>
      <c r="DA122" s="267"/>
      <c r="DB122" s="97"/>
      <c r="DC122" s="231"/>
      <c r="DD122" s="97"/>
      <c r="DE122" s="2244"/>
      <c r="DF122" s="97"/>
      <c r="DG122" s="2244"/>
      <c r="DH122" s="97"/>
      <c r="DI122" s="2244"/>
      <c r="DJ122" s="97"/>
      <c r="DK122" s="2244"/>
      <c r="DL122" s="97"/>
      <c r="DM122" s="214"/>
      <c r="DN122" s="83"/>
      <c r="DO122" s="2244"/>
      <c r="DP122" s="83"/>
      <c r="DQ122" s="2244"/>
      <c r="DR122" s="83"/>
      <c r="DS122" s="2244"/>
      <c r="DT122" s="83"/>
      <c r="DU122" s="2244"/>
      <c r="DV122" s="83"/>
      <c r="DW122" s="214"/>
      <c r="DX122" s="75"/>
      <c r="DY122" s="2244"/>
      <c r="DZ122" s="76"/>
      <c r="EA122" s="2244"/>
      <c r="EB122" s="76"/>
      <c r="EC122" s="2244"/>
      <c r="ED122" s="76"/>
      <c r="EE122" s="2244"/>
      <c r="EF122" s="76"/>
      <c r="EG122" s="2244"/>
      <c r="EH122" s="76"/>
      <c r="EI122" s="2244"/>
      <c r="EJ122" s="76"/>
      <c r="EK122" s="215"/>
      <c r="EL122" s="97"/>
      <c r="EM122" s="2246"/>
      <c r="EN122" s="102"/>
      <c r="EO122" s="2246"/>
      <c r="EP122" s="102"/>
      <c r="EQ122" s="110"/>
      <c r="ER122" s="102"/>
      <c r="ES122" s="110"/>
      <c r="ET122" s="74"/>
      <c r="EU122" s="2244"/>
      <c r="EV122" s="111"/>
      <c r="EW122" s="2244"/>
      <c r="EX122" s="88"/>
      <c r="EY122" s="2244"/>
      <c r="EZ122" s="2248"/>
      <c r="FA122" s="2224"/>
      <c r="FB122" s="2244"/>
      <c r="FC122" s="2224"/>
      <c r="FD122" s="2244"/>
      <c r="FE122" s="2224"/>
      <c r="FF122" s="2244"/>
      <c r="FG122" s="102"/>
      <c r="FH122" s="2244"/>
      <c r="FI122" s="102"/>
      <c r="FJ122" s="2244"/>
      <c r="FK122" s="102"/>
      <c r="FL122" s="2244"/>
      <c r="FM122" s="102"/>
      <c r="FN122" s="2244"/>
      <c r="FO122" s="102"/>
      <c r="FP122" s="110"/>
      <c r="FQ122" s="102"/>
      <c r="FR122" s="2244"/>
      <c r="FS122" s="2244"/>
      <c r="FT122" s="2240"/>
      <c r="FU122" s="2233"/>
      <c r="FV122" s="2235"/>
      <c r="FW122" s="2235"/>
      <c r="FX122" s="2233"/>
      <c r="FY122" s="2233"/>
      <c r="FZ122" s="2233"/>
      <c r="GA122" s="2232"/>
      <c r="GB122" s="2233"/>
      <c r="GC122" s="2233"/>
      <c r="GD122" s="2233"/>
      <c r="GE122" s="2232"/>
      <c r="GF122" s="2233"/>
      <c r="GG122" s="2232"/>
      <c r="GH122" s="2232"/>
      <c r="GI122" s="2232"/>
      <c r="GJ122" s="2232"/>
      <c r="GK122" s="2232"/>
      <c r="GL122" s="2235"/>
      <c r="GM122" s="2235"/>
      <c r="GN122" s="2235"/>
      <c r="GO122" s="194"/>
      <c r="GP122" s="112"/>
      <c r="GQ122" s="194"/>
      <c r="GR122" s="112"/>
      <c r="GS122" s="316"/>
      <c r="GT122" s="112"/>
      <c r="GU122" s="114"/>
      <c r="GV122" s="113"/>
      <c r="GW122" s="113"/>
      <c r="GX122" s="113"/>
      <c r="GY122" s="113"/>
      <c r="GZ122" s="112"/>
      <c r="HA122" s="113"/>
      <c r="HB122" s="114"/>
      <c r="HC122" s="2230"/>
    </row>
    <row r="123" spans="1:241" s="408" customFormat="1" ht="18.75">
      <c r="A123" s="400">
        <v>44</v>
      </c>
      <c r="B123" s="401" t="s">
        <v>703</v>
      </c>
      <c r="C123" s="402">
        <v>2488</v>
      </c>
      <c r="D123" s="402">
        <v>1</v>
      </c>
      <c r="E123" s="403">
        <v>2024880001</v>
      </c>
      <c r="F123" s="404">
        <v>14835</v>
      </c>
      <c r="G123" s="405" t="s">
        <v>733</v>
      </c>
      <c r="H123" s="406" t="s">
        <v>706</v>
      </c>
      <c r="I123" s="402">
        <v>0</v>
      </c>
      <c r="J123" s="402">
        <v>6.02</v>
      </c>
      <c r="K123" s="402">
        <v>0</v>
      </c>
      <c r="L123" s="402">
        <v>6.5</v>
      </c>
      <c r="M123" s="404">
        <v>0</v>
      </c>
      <c r="N123" s="404">
        <v>0</v>
      </c>
      <c r="O123" s="404">
        <v>0</v>
      </c>
      <c r="P123" s="404">
        <v>0</v>
      </c>
      <c r="Q123" s="407">
        <v>0</v>
      </c>
      <c r="R123" s="408" t="s">
        <v>735</v>
      </c>
      <c r="S123" s="409">
        <f>T123</f>
        <v>76696.95</v>
      </c>
      <c r="T123" s="410">
        <f>(J123*F123)-V123</f>
        <v>76696.95</v>
      </c>
      <c r="U123" s="409">
        <f>V123</f>
        <v>12609.75</v>
      </c>
      <c r="V123" s="411">
        <f>(1*F123)-0.15*(1*F123)</f>
        <v>12609.75</v>
      </c>
      <c r="W123" s="409">
        <f>X123</f>
        <v>12609.75</v>
      </c>
      <c r="X123" s="410">
        <f>V123-Z123</f>
        <v>12609.75</v>
      </c>
      <c r="Y123" s="409">
        <f>Z123</f>
        <v>0</v>
      </c>
      <c r="Z123" s="410">
        <v>0</v>
      </c>
      <c r="AA123" s="409">
        <f>AB123</f>
        <v>0</v>
      </c>
      <c r="AB123" s="410">
        <v>0</v>
      </c>
      <c r="AC123" s="409">
        <f>AD123</f>
        <v>12609.75</v>
      </c>
      <c r="AD123" s="412">
        <f>V123-(Z123+AB123+AF123+AL123+AN123+AP123+AZ123+AR123+AT123+AV123+AX123)</f>
        <v>12609.75</v>
      </c>
      <c r="AE123" s="413">
        <f>AF123</f>
        <v>0</v>
      </c>
      <c r="AF123" s="412">
        <v>0</v>
      </c>
      <c r="AG123" s="412">
        <v>0</v>
      </c>
      <c r="AH123" s="412">
        <f>AG123</f>
        <v>0</v>
      </c>
      <c r="AI123" s="412">
        <v>0</v>
      </c>
      <c r="AJ123" s="412">
        <f>AI123</f>
        <v>0</v>
      </c>
      <c r="AK123" s="413">
        <f>AL123</f>
        <v>0</v>
      </c>
      <c r="AL123" s="412">
        <v>0</v>
      </c>
      <c r="AM123" s="413">
        <v>0</v>
      </c>
      <c r="AN123" s="412">
        <v>0</v>
      </c>
      <c r="AO123" s="414">
        <f>AP123</f>
        <v>0</v>
      </c>
      <c r="AP123" s="412">
        <v>0</v>
      </c>
      <c r="AQ123" s="413">
        <f>AR123</f>
        <v>0</v>
      </c>
      <c r="AR123" s="412">
        <v>0</v>
      </c>
      <c r="AS123" s="413">
        <f>AT123</f>
        <v>0</v>
      </c>
      <c r="AT123" s="412">
        <v>0</v>
      </c>
      <c r="AU123" s="413">
        <f>AV123</f>
        <v>0</v>
      </c>
      <c r="AV123" s="412">
        <v>0</v>
      </c>
      <c r="AW123" s="413">
        <f>AX123</f>
        <v>0</v>
      </c>
      <c r="AX123" s="412">
        <v>0</v>
      </c>
      <c r="AY123" s="413">
        <f>AZ123</f>
        <v>0</v>
      </c>
      <c r="AZ123" s="171">
        <f t="shared" si="18"/>
        <v>0</v>
      </c>
      <c r="BA123" s="414">
        <f>BB123</f>
        <v>0</v>
      </c>
      <c r="BB123" s="412">
        <v>0</v>
      </c>
      <c r="BC123" s="414">
        <f>BD123</f>
        <v>0</v>
      </c>
      <c r="BD123" s="412">
        <v>0</v>
      </c>
      <c r="BE123" s="414">
        <f>BF123</f>
        <v>0</v>
      </c>
      <c r="BF123" s="412">
        <v>0</v>
      </c>
      <c r="BG123" s="414">
        <f>BH123</f>
        <v>0</v>
      </c>
      <c r="BH123" s="412">
        <v>0</v>
      </c>
      <c r="BI123" s="414">
        <f>BJ123</f>
        <v>0</v>
      </c>
      <c r="BJ123" s="412">
        <v>0</v>
      </c>
      <c r="BK123" s="414">
        <f>BL123</f>
        <v>0</v>
      </c>
      <c r="BL123" s="410">
        <v>0</v>
      </c>
      <c r="BM123" s="413">
        <f>BN123</f>
        <v>89307</v>
      </c>
      <c r="BN123" s="412">
        <f>ROUND(T123+V123,0)</f>
        <v>89307</v>
      </c>
      <c r="BO123" s="413">
        <f>BP123</f>
        <v>77</v>
      </c>
      <c r="BP123" s="412">
        <f>ROUND(T123/EP$141,0)</f>
        <v>77</v>
      </c>
      <c r="BQ123" s="413">
        <f>BR123</f>
        <v>0</v>
      </c>
      <c r="BR123" s="412">
        <v>0</v>
      </c>
      <c r="BS123" s="413">
        <f>BT123</f>
        <v>221</v>
      </c>
      <c r="BT123" s="152">
        <f t="shared" si="41"/>
        <v>221</v>
      </c>
      <c r="BU123" s="413">
        <f>BV123</f>
        <v>42</v>
      </c>
      <c r="BV123" s="415">
        <f>ROUND((AD123+AB123+Z123)/1000*3,0)+ROUND((AF123+AX123)/1000,0)+ROUND((ROUND(AL123/400,0))/2.67,0)+ROUND(AN123/250,0)+ROUND(AR123/15000,0)+ROUND((BB123+BD123+BF123+BJ123)/1000*3,0)+ROUND(BP123/25,0)+ROUND(CN123/50,0)</f>
        <v>42</v>
      </c>
      <c r="BW123" s="413">
        <f>BX123</f>
        <v>15.4</v>
      </c>
      <c r="BX123" s="410">
        <f>(BP123-BR123)*0.2</f>
        <v>15.4</v>
      </c>
      <c r="BY123" s="413">
        <f>BZ123</f>
        <v>0</v>
      </c>
      <c r="BZ123" s="410">
        <v>0</v>
      </c>
      <c r="CA123" s="413">
        <f>CB123</f>
        <v>12.60975</v>
      </c>
      <c r="CB123" s="410">
        <f>V123/1000</f>
        <v>12.60975</v>
      </c>
      <c r="CC123" s="413">
        <f>CD123</f>
        <v>0</v>
      </c>
      <c r="CD123" s="410">
        <f>AB123/1000</f>
        <v>0</v>
      </c>
      <c r="CE123" s="413">
        <f>CF123</f>
        <v>0</v>
      </c>
      <c r="CF123" s="410">
        <f>((AL123/400)/12)</f>
        <v>0</v>
      </c>
      <c r="CG123" s="413">
        <f>CH123</f>
        <v>0</v>
      </c>
      <c r="CH123" s="416">
        <f>IFERROR(VLOOKUP(E123,#REF!,3,FALSE),0)</f>
        <v>0</v>
      </c>
      <c r="CI123" s="413">
        <f>CJ123</f>
        <v>0</v>
      </c>
      <c r="CJ123" s="410">
        <v>0</v>
      </c>
      <c r="CK123" s="413">
        <f>CL123</f>
        <v>0</v>
      </c>
      <c r="CL123" s="410">
        <f>IF(BJ123&gt;0,"Calculate",0)</f>
        <v>0</v>
      </c>
      <c r="CM123" s="413">
        <f>CN123</f>
        <v>28.00975</v>
      </c>
      <c r="CN123" s="169">
        <f t="shared" si="19"/>
        <v>28.00975</v>
      </c>
      <c r="CO123" s="410"/>
      <c r="CP123" s="417">
        <v>125</v>
      </c>
      <c r="CQ123" s="418" t="s">
        <v>758</v>
      </c>
      <c r="CR123" s="418">
        <v>8.5</v>
      </c>
      <c r="CS123" s="418">
        <v>2</v>
      </c>
      <c r="CT123" s="418">
        <v>7.5</v>
      </c>
      <c r="CU123" s="419" t="s">
        <v>706</v>
      </c>
      <c r="CV123" s="420" t="s">
        <v>719</v>
      </c>
      <c r="CW123" s="421">
        <f>(CR123*F123)-CZ123</f>
        <v>98652.75</v>
      </c>
      <c r="CX123" s="421">
        <f>CW123</f>
        <v>98652.75</v>
      </c>
      <c r="CY123" s="422">
        <f>CZ123</f>
        <v>27444.75</v>
      </c>
      <c r="CZ123" s="410">
        <f>2*(F123)-(0.15*1*(F123))</f>
        <v>27444.75</v>
      </c>
      <c r="DA123" s="421">
        <f>DB123</f>
        <v>27444.75</v>
      </c>
      <c r="DB123" s="410">
        <f>CZ123-DD123</f>
        <v>27444.75</v>
      </c>
      <c r="DC123" s="423">
        <f>DD123</f>
        <v>0</v>
      </c>
      <c r="DD123" s="410">
        <v>0</v>
      </c>
      <c r="DE123" s="409">
        <f>DF123</f>
        <v>0</v>
      </c>
      <c r="DF123" s="410">
        <v>0</v>
      </c>
      <c r="DG123" s="409">
        <f>DH123</f>
        <v>27444.75</v>
      </c>
      <c r="DH123" s="410">
        <f>CZ123-(DD123+DF123+DJ123+DL123+DN123+DT123+DV123+DX123)</f>
        <v>27444.75</v>
      </c>
      <c r="DI123" s="409">
        <f>DJ123</f>
        <v>0</v>
      </c>
      <c r="DJ123" s="410">
        <v>0</v>
      </c>
      <c r="DK123" s="409">
        <f>DL123</f>
        <v>0</v>
      </c>
      <c r="DL123" s="410">
        <v>0</v>
      </c>
      <c r="DM123" s="2274">
        <f>DN123</f>
        <v>0</v>
      </c>
      <c r="DN123" s="169">
        <v>0</v>
      </c>
      <c r="DO123" s="409">
        <f>DP123</f>
        <v>0</v>
      </c>
      <c r="DP123" s="169">
        <v>0</v>
      </c>
      <c r="DQ123" s="409">
        <f>DR123</f>
        <v>0</v>
      </c>
      <c r="DR123" s="169">
        <v>0</v>
      </c>
      <c r="DS123" s="409">
        <f>DT123</f>
        <v>0</v>
      </c>
      <c r="DT123" s="169">
        <v>0</v>
      </c>
      <c r="DU123" s="409">
        <f>DV123</f>
        <v>0</v>
      </c>
      <c r="DV123" s="169">
        <v>0</v>
      </c>
      <c r="DW123" s="2274">
        <f>DX123</f>
        <v>0</v>
      </c>
      <c r="DX123" s="171">
        <f t="shared" si="22"/>
        <v>0</v>
      </c>
      <c r="DY123" s="409">
        <f>DZ123</f>
        <v>0</v>
      </c>
      <c r="DZ123" s="171">
        <v>0</v>
      </c>
      <c r="EA123" s="409">
        <f>EB123</f>
        <v>0</v>
      </c>
      <c r="EB123" s="171">
        <v>0</v>
      </c>
      <c r="EC123" s="409">
        <f>ED123</f>
        <v>0</v>
      </c>
      <c r="ED123" s="171">
        <v>0</v>
      </c>
      <c r="EE123" s="409">
        <f>EF123</f>
        <v>0</v>
      </c>
      <c r="EF123" s="171">
        <v>0</v>
      </c>
      <c r="EG123" s="409">
        <f>EH123</f>
        <v>0</v>
      </c>
      <c r="EH123" s="171">
        <v>0</v>
      </c>
      <c r="EI123" s="409">
        <f>EJ123</f>
        <v>0</v>
      </c>
      <c r="EJ123" s="171">
        <v>0</v>
      </c>
      <c r="EK123" s="2276">
        <f>EL123</f>
        <v>126098</v>
      </c>
      <c r="EL123" s="410">
        <f>ROUND(CW123+CZ123,0)</f>
        <v>126098</v>
      </c>
      <c r="EM123" s="424">
        <f>SUM(EN123)</f>
        <v>99</v>
      </c>
      <c r="EN123" s="411">
        <f>ROUND(CW123/EP$141,0)</f>
        <v>99</v>
      </c>
      <c r="EO123" s="411">
        <f>EP123</f>
        <v>49.5</v>
      </c>
      <c r="EP123" s="424">
        <f>0.5*EN123</f>
        <v>49.5</v>
      </c>
      <c r="EQ123" s="424">
        <f>ER123</f>
        <v>49.5</v>
      </c>
      <c r="ER123" s="424">
        <f>EP123</f>
        <v>49.5</v>
      </c>
      <c r="ES123" s="424">
        <f>ET123</f>
        <v>27</v>
      </c>
      <c r="ET123" s="411">
        <f>FA123+FG123+FQ123</f>
        <v>27</v>
      </c>
      <c r="EU123" s="409">
        <f>EV123</f>
        <v>284.13</v>
      </c>
      <c r="EV123" s="411">
        <f>2.87*EN123</f>
        <v>284.13</v>
      </c>
      <c r="EW123" s="409">
        <f>EX123</f>
        <v>87</v>
      </c>
      <c r="EX123" s="424">
        <f>ROUND((DH123+DF123+DD123)/1000*3,0)+ROUND((ROUND(DL123/400,0))/2.67,0)+ROUND(DV123/1000,0)+ROUND((DZ123+EB123+ED123+EH123)/1000*3,0)+ROUND(EN123/25,0)+ROUND(ET123/50,0)</f>
        <v>87</v>
      </c>
      <c r="EY123" s="409" t="str">
        <f>EZ123</f>
        <v>waived</v>
      </c>
      <c r="EZ123" s="425" t="s">
        <v>713</v>
      </c>
      <c r="FA123" s="414">
        <v>0</v>
      </c>
      <c r="FB123" s="409">
        <f>FC123</f>
        <v>0</v>
      </c>
      <c r="FC123" s="414">
        <v>0</v>
      </c>
      <c r="FD123" s="409">
        <f>FE123</f>
        <v>0</v>
      </c>
      <c r="FE123" s="414">
        <v>0</v>
      </c>
      <c r="FF123" s="409">
        <f>FG123</f>
        <v>27</v>
      </c>
      <c r="FG123" s="411">
        <f>ROUND((DH123+DJ123+DD123+DN123+DT123)/1000,0)</f>
        <v>27</v>
      </c>
      <c r="FH123" s="409">
        <f>FI123</f>
        <v>0</v>
      </c>
      <c r="FI123" s="411">
        <f>DF123/1000</f>
        <v>0</v>
      </c>
      <c r="FJ123" s="409">
        <f>FK123</f>
        <v>0</v>
      </c>
      <c r="FK123" s="411">
        <f>((DL123/400)/12)</f>
        <v>0</v>
      </c>
      <c r="FL123" s="409">
        <f>FM123</f>
        <v>0</v>
      </c>
      <c r="FM123" s="411">
        <v>0</v>
      </c>
      <c r="FN123" s="409">
        <f>FO123</f>
        <v>0</v>
      </c>
      <c r="FO123" s="411">
        <v>0</v>
      </c>
      <c r="FP123" s="424">
        <f>FQ123</f>
        <v>0</v>
      </c>
      <c r="FQ123" s="411">
        <f>DX123/1000</f>
        <v>0</v>
      </c>
      <c r="FR123" s="409">
        <f>FS123</f>
        <v>195</v>
      </c>
      <c r="FS123" s="409">
        <v>195</v>
      </c>
      <c r="FT123" s="2275">
        <f>CX123-S123</f>
        <v>21955.800000000003</v>
      </c>
      <c r="FU123" s="426">
        <f>CY123-U123</f>
        <v>14835</v>
      </c>
      <c r="FV123" s="2268">
        <f>(DC123+DE123+DG123)-(Y123+AA123+AC123+AE123)</f>
        <v>14835</v>
      </c>
      <c r="FW123" s="2268">
        <f>DG123-AC123</f>
        <v>14835</v>
      </c>
      <c r="FX123" s="2273">
        <f>DE123-AA123</f>
        <v>0</v>
      </c>
      <c r="FY123" s="2273">
        <f>DC123-Y123</f>
        <v>0</v>
      </c>
      <c r="FZ123" s="2273">
        <f>DJ123-AE123</f>
        <v>0</v>
      </c>
      <c r="GA123" s="427">
        <f>DL123-AL123</f>
        <v>0</v>
      </c>
      <c r="GB123" s="2273">
        <f>DM123-AM123</f>
        <v>0</v>
      </c>
      <c r="GC123" s="2273">
        <f>DP123-AQ123</f>
        <v>0</v>
      </c>
      <c r="GD123" s="2273">
        <f>DR123-AS123</f>
        <v>0</v>
      </c>
      <c r="GE123" s="427">
        <f>DT123-AV123</f>
        <v>0</v>
      </c>
      <c r="GF123" s="2273">
        <f>DV123-AW123</f>
        <v>0</v>
      </c>
      <c r="GG123" s="427">
        <f>DZ123-BB123</f>
        <v>0</v>
      </c>
      <c r="GH123" s="427">
        <f>EB123-BD123</f>
        <v>0</v>
      </c>
      <c r="GI123" s="427">
        <f>ED123-BF123</f>
        <v>0</v>
      </c>
      <c r="GJ123" s="427">
        <f>EF123-BH123</f>
        <v>0</v>
      </c>
      <c r="GK123" s="427">
        <f>EH123-BJ123</f>
        <v>0</v>
      </c>
      <c r="GL123" s="2268">
        <f>DW123-AY123</f>
        <v>0</v>
      </c>
      <c r="GM123" s="2268">
        <f>EK123-BM123</f>
        <v>36791</v>
      </c>
      <c r="GN123" s="2268">
        <f>EM123-BO123</f>
        <v>22</v>
      </c>
      <c r="GO123" s="2268">
        <f>GP123</f>
        <v>49.5</v>
      </c>
      <c r="GP123" s="181">
        <f>EP123-BR123</f>
        <v>49.5</v>
      </c>
      <c r="GQ123" s="2268">
        <f>GR123</f>
        <v>63.129999999999995</v>
      </c>
      <c r="GR123" s="181">
        <f>EV123-BT123</f>
        <v>63.129999999999995</v>
      </c>
      <c r="GS123" s="2268">
        <f>GT123</f>
        <v>45</v>
      </c>
      <c r="GT123" s="181">
        <f>EX123-BV123</f>
        <v>45</v>
      </c>
      <c r="GU123" s="428">
        <f>FA123-BX123</f>
        <v>-15.4</v>
      </c>
      <c r="GV123" s="428">
        <f>FI123-CD123</f>
        <v>0</v>
      </c>
      <c r="GW123" s="428">
        <v>0</v>
      </c>
      <c r="GX123" s="428">
        <f>FG123-CB123</f>
        <v>14.39025</v>
      </c>
      <c r="GY123" s="428">
        <f>FK123-CF123</f>
        <v>0</v>
      </c>
      <c r="GZ123" s="428">
        <f>FM123-CH123</f>
        <v>0</v>
      </c>
      <c r="HA123" s="428">
        <f>FO123-CJ123</f>
        <v>0</v>
      </c>
      <c r="HB123" s="428">
        <f>FQ123-CL123</f>
        <v>0</v>
      </c>
      <c r="HC123" s="2271">
        <f>ES123-CM123</f>
        <v>-1.0097500000000004</v>
      </c>
      <c r="HD123" s="95"/>
      <c r="HE123" s="95"/>
      <c r="HF123" s="95"/>
      <c r="HG123" s="95"/>
      <c r="HH123" s="95"/>
      <c r="HI123" s="95"/>
      <c r="HJ123" s="95"/>
      <c r="HK123" s="95"/>
      <c r="HL123" s="91"/>
      <c r="HM123" s="91"/>
      <c r="HN123" s="91"/>
      <c r="HO123" s="91"/>
      <c r="HP123" s="91"/>
    </row>
    <row r="124" spans="1:241" s="95" customFormat="1" ht="18.75">
      <c r="A124" s="2263"/>
      <c r="B124" s="131"/>
      <c r="C124" s="132"/>
      <c r="D124" s="132"/>
      <c r="E124" s="133"/>
      <c r="F124" s="134"/>
      <c r="G124" s="135"/>
      <c r="H124" s="136"/>
      <c r="I124" s="132"/>
      <c r="J124" s="132"/>
      <c r="K124" s="132"/>
      <c r="L124" s="132"/>
      <c r="M124" s="134"/>
      <c r="N124" s="134"/>
      <c r="O124" s="134"/>
      <c r="P124" s="134"/>
      <c r="Q124" s="137"/>
      <c r="S124" s="101"/>
      <c r="T124" s="97"/>
      <c r="U124" s="2244"/>
      <c r="V124" s="102"/>
      <c r="W124" s="2244"/>
      <c r="X124" s="97"/>
      <c r="Y124" s="2244"/>
      <c r="Z124" s="97"/>
      <c r="AA124" s="2244"/>
      <c r="AB124" s="97"/>
      <c r="AC124" s="2244"/>
      <c r="AD124" s="103"/>
      <c r="AE124" s="2251"/>
      <c r="AF124" s="103"/>
      <c r="AG124" s="103"/>
      <c r="AH124" s="103"/>
      <c r="AI124" s="103"/>
      <c r="AJ124" s="103"/>
      <c r="AK124" s="2251"/>
      <c r="AL124" s="103"/>
      <c r="AM124" s="2251"/>
      <c r="AN124" s="103"/>
      <c r="AO124" s="2224"/>
      <c r="AP124" s="103"/>
      <c r="AQ124" s="2251"/>
      <c r="AR124" s="103"/>
      <c r="AS124" s="2251"/>
      <c r="AT124" s="103"/>
      <c r="AU124" s="2251"/>
      <c r="AV124" s="103"/>
      <c r="AW124" s="2251"/>
      <c r="AX124" s="103"/>
      <c r="AY124" s="2251"/>
      <c r="AZ124" s="75"/>
      <c r="BA124" s="2224"/>
      <c r="BB124" s="103"/>
      <c r="BC124" s="2224"/>
      <c r="BD124" s="103"/>
      <c r="BE124" s="2224"/>
      <c r="BF124" s="103"/>
      <c r="BG124" s="2224"/>
      <c r="BH124" s="103"/>
      <c r="BI124" s="2224"/>
      <c r="BJ124" s="103"/>
      <c r="BK124" s="2224"/>
      <c r="BL124" s="97"/>
      <c r="BM124" s="2251"/>
      <c r="BN124" s="103"/>
      <c r="BO124" s="2251"/>
      <c r="BP124" s="103"/>
      <c r="BQ124" s="2251"/>
      <c r="BR124" s="103"/>
      <c r="BS124" s="2251"/>
      <c r="BT124" s="124"/>
      <c r="BU124" s="2251"/>
      <c r="BV124" s="138"/>
      <c r="BW124" s="2251"/>
      <c r="BX124" s="97"/>
      <c r="BY124" s="2251"/>
      <c r="BZ124" s="97"/>
      <c r="CA124" s="2251"/>
      <c r="CB124" s="97"/>
      <c r="CC124" s="2251"/>
      <c r="CD124" s="97"/>
      <c r="CE124" s="2251"/>
      <c r="CF124" s="97"/>
      <c r="CG124" s="2251"/>
      <c r="CH124" s="105"/>
      <c r="CI124" s="2251"/>
      <c r="CJ124" s="97"/>
      <c r="CK124" s="2251"/>
      <c r="CL124" s="97"/>
      <c r="CM124" s="2251"/>
      <c r="CN124" s="73">
        <f t="shared" si="19"/>
        <v>0</v>
      </c>
      <c r="CO124" s="97"/>
      <c r="CP124" s="106"/>
      <c r="CQ124" s="139"/>
      <c r="CR124" s="139"/>
      <c r="CS124" s="139"/>
      <c r="CT124" s="139"/>
      <c r="CU124" s="108"/>
      <c r="CV124" s="2258"/>
      <c r="CW124" s="97"/>
      <c r="CX124" s="2244"/>
      <c r="CY124" s="2261"/>
      <c r="CZ124" s="97"/>
      <c r="DA124" s="2253"/>
      <c r="DB124" s="97"/>
      <c r="DC124" s="2244"/>
      <c r="DD124" s="97"/>
      <c r="DE124" s="2244"/>
      <c r="DF124" s="97"/>
      <c r="DG124" s="2244"/>
      <c r="DH124" s="97"/>
      <c r="DI124" s="2244"/>
      <c r="DJ124" s="97"/>
      <c r="DK124" s="2244"/>
      <c r="DL124" s="97"/>
      <c r="DM124" s="2244"/>
      <c r="DN124" s="97"/>
      <c r="DO124" s="2244"/>
      <c r="DP124" s="97"/>
      <c r="DQ124" s="2244"/>
      <c r="DR124" s="97"/>
      <c r="DS124" s="2244"/>
      <c r="DT124" s="97"/>
      <c r="DU124" s="2244"/>
      <c r="DV124" s="97"/>
      <c r="DW124" s="2244"/>
      <c r="DX124" s="75"/>
      <c r="DY124" s="2244"/>
      <c r="DZ124" s="103"/>
      <c r="EA124" s="2244"/>
      <c r="EB124" s="103"/>
      <c r="EC124" s="2244"/>
      <c r="ED124" s="103"/>
      <c r="EE124" s="2244"/>
      <c r="EF124" s="103"/>
      <c r="EG124" s="2244"/>
      <c r="EH124" s="103"/>
      <c r="EI124" s="2244"/>
      <c r="EJ124" s="103"/>
      <c r="EK124" s="2251"/>
      <c r="EL124" s="97"/>
      <c r="EM124" s="2246"/>
      <c r="EN124" s="102"/>
      <c r="EO124" s="2246"/>
      <c r="EP124" s="102"/>
      <c r="EQ124" s="110"/>
      <c r="ER124" s="102"/>
      <c r="ES124" s="110"/>
      <c r="ET124" s="74"/>
      <c r="EU124" s="2244"/>
      <c r="EV124" s="111"/>
      <c r="EW124" s="2244"/>
      <c r="EX124" s="88"/>
      <c r="EY124" s="2244"/>
      <c r="EZ124" s="2248"/>
      <c r="FA124" s="2224"/>
      <c r="FB124" s="2244"/>
      <c r="FC124" s="2224"/>
      <c r="FD124" s="2244"/>
      <c r="FE124" s="2224"/>
      <c r="FF124" s="2244"/>
      <c r="FG124" s="102"/>
      <c r="FH124" s="2244"/>
      <c r="FI124" s="102"/>
      <c r="FJ124" s="2244"/>
      <c r="FK124" s="102"/>
      <c r="FL124" s="2244"/>
      <c r="FM124" s="102"/>
      <c r="FN124" s="2244"/>
      <c r="FO124" s="102"/>
      <c r="FP124" s="110"/>
      <c r="FQ124" s="102"/>
      <c r="FR124" s="2244"/>
      <c r="FS124" s="2244"/>
      <c r="FT124" s="2240"/>
      <c r="FU124" s="2233"/>
      <c r="FV124" s="2235"/>
      <c r="FW124" s="2235"/>
      <c r="FX124" s="2233"/>
      <c r="FY124" s="2233"/>
      <c r="FZ124" s="2233"/>
      <c r="GA124" s="2232"/>
      <c r="GB124" s="2233"/>
      <c r="GC124" s="2233"/>
      <c r="GD124" s="2233"/>
      <c r="GE124" s="2232"/>
      <c r="GF124" s="2233"/>
      <c r="GG124" s="2232"/>
      <c r="GH124" s="2232"/>
      <c r="GI124" s="2232"/>
      <c r="GJ124" s="2232"/>
      <c r="GK124" s="2232"/>
      <c r="GL124" s="2235"/>
      <c r="GM124" s="2235"/>
      <c r="GN124" s="2235"/>
      <c r="GO124" s="2224"/>
      <c r="GP124" s="112"/>
      <c r="GQ124" s="2224"/>
      <c r="GR124" s="112"/>
      <c r="GS124" s="2227"/>
      <c r="GT124" s="113"/>
      <c r="GU124" s="114"/>
      <c r="GV124" s="113"/>
      <c r="GW124" s="113"/>
      <c r="GX124" s="113"/>
      <c r="GY124" s="113"/>
      <c r="GZ124" s="112"/>
      <c r="HA124" s="113"/>
      <c r="HB124" s="113"/>
      <c r="HC124" s="2230"/>
    </row>
    <row r="125" spans="1:241" s="90" customFormat="1" ht="15" customHeight="1">
      <c r="A125" s="2588">
        <v>45</v>
      </c>
      <c r="B125" s="3689" t="s">
        <v>703</v>
      </c>
      <c r="C125" s="115">
        <v>2487</v>
      </c>
      <c r="D125" s="115">
        <v>38</v>
      </c>
      <c r="E125" s="115">
        <v>2024870038</v>
      </c>
      <c r="F125" s="117">
        <v>17272</v>
      </c>
      <c r="G125" s="118" t="s">
        <v>733</v>
      </c>
      <c r="H125" s="119" t="s">
        <v>706</v>
      </c>
      <c r="I125" s="115">
        <v>0</v>
      </c>
      <c r="J125" s="115">
        <v>6.02</v>
      </c>
      <c r="K125" s="115">
        <v>0</v>
      </c>
      <c r="L125" s="115">
        <v>6.5</v>
      </c>
      <c r="M125" s="117">
        <v>0</v>
      </c>
      <c r="N125" s="117">
        <v>0</v>
      </c>
      <c r="O125" s="117">
        <v>0</v>
      </c>
      <c r="P125" s="117">
        <v>0</v>
      </c>
      <c r="Q125" s="120">
        <v>0</v>
      </c>
      <c r="R125" s="90" t="s">
        <v>744</v>
      </c>
      <c r="S125" s="2590">
        <f>SUM(T125:T127)</f>
        <v>412803.44</v>
      </c>
      <c r="T125" s="121">
        <f>(J125*F125)-V125</f>
        <v>103977.43999999999</v>
      </c>
      <c r="U125" s="2590">
        <f>SUM(V125:V127)</f>
        <v>0</v>
      </c>
      <c r="V125" s="127">
        <v>0</v>
      </c>
      <c r="W125" s="2590">
        <f>SUM(X125:X127)</f>
        <v>0</v>
      </c>
      <c r="X125" s="90">
        <f>V125-Z125</f>
        <v>0</v>
      </c>
      <c r="Y125" s="2590">
        <f>SUM(Z125:Z127)</f>
        <v>0</v>
      </c>
      <c r="Z125" s="291">
        <v>0</v>
      </c>
      <c r="AA125" s="2590">
        <f>SUM(AB125:AB127)</f>
        <v>0</v>
      </c>
      <c r="AB125" s="291">
        <v>0</v>
      </c>
      <c r="AC125" s="2590">
        <f>SUM(AD125:AD126)</f>
        <v>0</v>
      </c>
      <c r="AD125" s="291">
        <f>V125-(Z125+AB125+AF125+AL125+AN125+AP125+AZ125+AR125+AT125+AV125+AX125)</f>
        <v>0</v>
      </c>
      <c r="AE125" s="2580">
        <f>SUM(AF125:AL127)</f>
        <v>0</v>
      </c>
      <c r="AF125" s="291">
        <v>0</v>
      </c>
      <c r="AG125" s="291">
        <v>0</v>
      </c>
      <c r="AH125" s="2580">
        <f>SUM(AG125:AG127)</f>
        <v>0</v>
      </c>
      <c r="AI125" s="291">
        <v>0</v>
      </c>
      <c r="AJ125" s="2580">
        <f>SUM(AI125:AI127)</f>
        <v>0</v>
      </c>
      <c r="AK125" s="2580">
        <f>SUM(AL125:AL127)</f>
        <v>0</v>
      </c>
      <c r="AL125" s="291">
        <v>0</v>
      </c>
      <c r="AM125" s="2580">
        <f>SUM(AN125:AN127)</f>
        <v>0</v>
      </c>
      <c r="AN125" s="291">
        <v>0</v>
      </c>
      <c r="AO125" s="2582">
        <f>SUM(AP125:AP127)</f>
        <v>0</v>
      </c>
      <c r="AP125" s="291">
        <v>0</v>
      </c>
      <c r="AQ125" s="2580">
        <f>SUM(AR125:AR127)</f>
        <v>0</v>
      </c>
      <c r="AR125" s="291">
        <v>0</v>
      </c>
      <c r="AS125" s="2580">
        <f>SUM(AT125:AT127)</f>
        <v>0</v>
      </c>
      <c r="AT125" s="291">
        <v>0</v>
      </c>
      <c r="AU125" s="2580">
        <f>SUM(AV125:AV127)</f>
        <v>0</v>
      </c>
      <c r="AV125" s="291">
        <v>0</v>
      </c>
      <c r="AW125" s="2580">
        <f>SUM(AX125:AX127)</f>
        <v>0</v>
      </c>
      <c r="AX125" s="291">
        <v>0</v>
      </c>
      <c r="AY125" s="2580">
        <f>SUM(AZ125:AZ127)</f>
        <v>0</v>
      </c>
      <c r="AZ125" s="103">
        <f t="shared" si="18"/>
        <v>0</v>
      </c>
      <c r="BA125" s="2582">
        <f>SUM(BB125:BB127)</f>
        <v>0</v>
      </c>
      <c r="BB125" s="291">
        <v>0</v>
      </c>
      <c r="BC125" s="2582">
        <f>SUM(BD125:BD127)</f>
        <v>0</v>
      </c>
      <c r="BD125" s="291">
        <v>0</v>
      </c>
      <c r="BE125" s="2582">
        <f>SUM(BF125:BF127)</f>
        <v>0</v>
      </c>
      <c r="BF125" s="291">
        <v>0</v>
      </c>
      <c r="BG125" s="2582">
        <f>SUM(BH125:BH127)</f>
        <v>0</v>
      </c>
      <c r="BH125" s="291">
        <v>0</v>
      </c>
      <c r="BI125" s="2582">
        <f>SUM(BJ125:BJ127)</f>
        <v>0</v>
      </c>
      <c r="BJ125" s="291">
        <v>0</v>
      </c>
      <c r="BK125" s="2582">
        <f>SUM(BL125:BL127)</f>
        <v>0</v>
      </c>
      <c r="BL125" s="90">
        <v>0</v>
      </c>
      <c r="BM125" s="2580">
        <f>SUM(BN125:BN127)</f>
        <v>412803.44</v>
      </c>
      <c r="BN125" s="429">
        <v>103977.43999999999</v>
      </c>
      <c r="BO125" s="2580">
        <f>SUM(BP125:BP127)</f>
        <v>273</v>
      </c>
      <c r="BP125" s="123">
        <v>91</v>
      </c>
      <c r="BQ125" s="2580">
        <f>SUM(BR125:BR127)</f>
        <v>0</v>
      </c>
      <c r="BR125" s="123">
        <v>0</v>
      </c>
      <c r="BS125" s="2580">
        <f>SUM(BT125:BT127)</f>
        <v>783</v>
      </c>
      <c r="BT125" s="124">
        <f t="shared" si="41"/>
        <v>261</v>
      </c>
      <c r="BU125" s="2580">
        <f>SUM(BV125:BV127)</f>
        <v>15</v>
      </c>
      <c r="BV125" s="430">
        <f>ROUND((AD125+AB125+Z125)/1000*3,0)+ROUND((AF125+AX125)/1000,0)+ROUND((ROUND(AL125/400,0))/2.67,0)+ROUND(AN125/250,0)+ROUND(AR125/15000,0)+ROUND((BB125+BD125+BF125+BJ125)/1000*3,0)+ROUND(BP125/25,0)+ROUND(CN125/50,0)</f>
        <v>5</v>
      </c>
      <c r="BW125" s="2580">
        <f>SUM(BX125:BX127)</f>
        <v>109.19999999999999</v>
      </c>
      <c r="BX125" s="90">
        <f>(BP125-BR125)*0.4</f>
        <v>36.4</v>
      </c>
      <c r="BY125" s="2580">
        <f>SUM(BZ125:BZ127)</f>
        <v>0</v>
      </c>
      <c r="BZ125" s="90">
        <v>0</v>
      </c>
      <c r="CA125" s="2580">
        <f>SUM(CB125:CB127)</f>
        <v>0</v>
      </c>
      <c r="CB125" s="90">
        <f>V125/1000</f>
        <v>0</v>
      </c>
      <c r="CC125" s="2580">
        <f>SUM(CD125:CD127)</f>
        <v>0</v>
      </c>
      <c r="CD125" s="90">
        <f>AB125/1000</f>
        <v>0</v>
      </c>
      <c r="CE125" s="2580">
        <f>SUM(CF125:CF127)</f>
        <v>0</v>
      </c>
      <c r="CF125" s="90">
        <f>((AL125/400)/12)</f>
        <v>0</v>
      </c>
      <c r="CG125" s="2580">
        <f>SUM(CH125:CH127)</f>
        <v>76</v>
      </c>
      <c r="CH125" s="431">
        <v>34</v>
      </c>
      <c r="CI125" s="2580">
        <f>SUM(CJ125:CJ127)</f>
        <v>0</v>
      </c>
      <c r="CJ125" s="90">
        <v>0</v>
      </c>
      <c r="CK125" s="2580">
        <f>SUM(CL125:CL127)</f>
        <v>0</v>
      </c>
      <c r="CL125" s="90">
        <f>IF(BJ125&gt;0,"Calculate",0)</f>
        <v>0</v>
      </c>
      <c r="CM125" s="2580">
        <f>SUM(CN125:CN127)</f>
        <v>185.20000000000002</v>
      </c>
      <c r="CN125" s="97">
        <f t="shared" si="19"/>
        <v>70.400000000000006</v>
      </c>
      <c r="CP125" s="2700">
        <v>125</v>
      </c>
      <c r="CQ125" s="127" t="s">
        <v>733</v>
      </c>
      <c r="CR125" s="127">
        <v>6.02</v>
      </c>
      <c r="CS125" s="127">
        <v>2</v>
      </c>
      <c r="CT125" s="127">
        <v>6.5</v>
      </c>
      <c r="CU125" s="128" t="s">
        <v>706</v>
      </c>
      <c r="CV125" s="2596" t="s">
        <v>716</v>
      </c>
      <c r="CW125" s="121">
        <f>(CR125*F125)-CZ125</f>
        <v>95341.439999999988</v>
      </c>
      <c r="CX125" s="2590">
        <f>SUM(CW125:CW127)</f>
        <v>378517.44</v>
      </c>
      <c r="CY125" s="2598">
        <f>SUM(CZ125:CZ127)</f>
        <v>34286</v>
      </c>
      <c r="CZ125" s="123">
        <f>1*(F125)-(0.5*(F125))</f>
        <v>8636</v>
      </c>
      <c r="DA125" s="2592">
        <f>SUM(DB125:DB127)</f>
        <v>34286</v>
      </c>
      <c r="DB125" s="121">
        <f>CZ125-DD125</f>
        <v>8636</v>
      </c>
      <c r="DC125" s="2590">
        <f>SUM(DD125:DD127)</f>
        <v>0</v>
      </c>
      <c r="DD125" s="121">
        <v>0</v>
      </c>
      <c r="DE125" s="2590">
        <f>SUM(DF125:DF127)</f>
        <v>0</v>
      </c>
      <c r="DF125" s="121">
        <v>0</v>
      </c>
      <c r="DG125" s="2590">
        <f>SUM(DH125:DH127)</f>
        <v>34286</v>
      </c>
      <c r="DH125" s="121">
        <f>CZ125</f>
        <v>8636</v>
      </c>
      <c r="DI125" s="2590">
        <f>SUM(DJ125:DJ127)</f>
        <v>0</v>
      </c>
      <c r="DJ125" s="121">
        <v>0</v>
      </c>
      <c r="DK125" s="2590">
        <f>SUM(DL125:DL127)</f>
        <v>0</v>
      </c>
      <c r="DL125" s="121">
        <v>0</v>
      </c>
      <c r="DM125" s="2590">
        <f>SUM(DN125:DN126)</f>
        <v>0</v>
      </c>
      <c r="DN125" s="121">
        <v>0</v>
      </c>
      <c r="DO125" s="2590">
        <f>SUM(DP125:DP127)</f>
        <v>0</v>
      </c>
      <c r="DP125" s="121">
        <v>0</v>
      </c>
      <c r="DQ125" s="2590">
        <f>SUM(DR125:DR127)</f>
        <v>0</v>
      </c>
      <c r="DR125" s="121">
        <v>0</v>
      </c>
      <c r="DS125" s="2590">
        <f>SUM(DT125:DT127)</f>
        <v>0</v>
      </c>
      <c r="DT125" s="121">
        <v>0</v>
      </c>
      <c r="DU125" s="2590">
        <f>SUM(DV125:DV127)</f>
        <v>0</v>
      </c>
      <c r="DV125" s="121">
        <v>0</v>
      </c>
      <c r="DW125" s="2590">
        <f>SUM(DX125:EH127)</f>
        <v>0</v>
      </c>
      <c r="DX125" s="103">
        <f t="shared" si="22"/>
        <v>0</v>
      </c>
      <c r="DY125" s="2590">
        <f>SUM(DZ125:DZ127)</f>
        <v>0</v>
      </c>
      <c r="DZ125" s="123">
        <v>0</v>
      </c>
      <c r="EA125" s="2590">
        <f>SUM(EB125:EB127)</f>
        <v>0</v>
      </c>
      <c r="EB125" s="123">
        <v>0</v>
      </c>
      <c r="EC125" s="2590">
        <f>SUM(ED125:ED127)</f>
        <v>0</v>
      </c>
      <c r="ED125" s="123">
        <v>0</v>
      </c>
      <c r="EE125" s="2590">
        <f>SUM(EF125:EF127)</f>
        <v>0</v>
      </c>
      <c r="EF125" s="123">
        <v>0</v>
      </c>
      <c r="EG125" s="2590">
        <f>SUM(EH125:EH127)</f>
        <v>0</v>
      </c>
      <c r="EH125" s="123">
        <v>0</v>
      </c>
      <c r="EI125" s="2590">
        <f>SUM(EJ125:EJ127)</f>
        <v>0</v>
      </c>
      <c r="EJ125" s="123">
        <v>0</v>
      </c>
      <c r="EK125" s="2580">
        <f>SUM(EL125:EL127)</f>
        <v>412803.44</v>
      </c>
      <c r="EL125" s="121">
        <f>CW125+CZ125</f>
        <v>103977.43999999999</v>
      </c>
      <c r="EM125" s="2600">
        <f>SUM(EN125:EN127)</f>
        <v>273</v>
      </c>
      <c r="EN125" s="122">
        <v>91</v>
      </c>
      <c r="EO125" s="2600">
        <f>SUM(EP125:EP127)</f>
        <v>136.5</v>
      </c>
      <c r="EP125" s="122">
        <f t="shared" ref="EP125:EP127" si="43">0.5*EN125</f>
        <v>45.5</v>
      </c>
      <c r="EQ125" s="2600">
        <f>SUM(ER125:ER127)</f>
        <v>136.5</v>
      </c>
      <c r="ER125" s="122">
        <f>0.5*EN125</f>
        <v>45.5</v>
      </c>
      <c r="ES125" s="2600">
        <f>SUM(ET125:ET127)</f>
        <v>89.6</v>
      </c>
      <c r="ET125" s="102">
        <f>FA125+FG125+FQ125</f>
        <v>27.2</v>
      </c>
      <c r="EU125" s="2590">
        <f>SUM(EV125:EV127)</f>
        <v>783.51</v>
      </c>
      <c r="EV125" s="122">
        <f>2.87*EN125</f>
        <v>261.17</v>
      </c>
      <c r="EW125" s="2590">
        <f>SUM(EX125:EX127)</f>
        <v>117</v>
      </c>
      <c r="EX125" s="129">
        <f>ROUND((DH125+DF125+DD125)/1000*3,0)+ROUND((ROUND(DL125/400,0))/2.67,0)+ROUND(DV125/1000,0)+ROUND((DZ125+EB125+ED125+EH125)/1000*3,0)+ROUND(EN125/25,0)+ROUND(ET125/50,0)</f>
        <v>31</v>
      </c>
      <c r="EY125" s="2590">
        <f>SUM(EZ125:EZ127)</f>
        <v>54.599999999999994</v>
      </c>
      <c r="EZ125" s="2610">
        <f>SUM(FA125:FA127)</f>
        <v>54.599999999999994</v>
      </c>
      <c r="FA125" s="2223">
        <f>(0.5*EN125)*0.4</f>
        <v>18.2</v>
      </c>
      <c r="FB125" s="2590">
        <f>SUM(FC125:FC127)</f>
        <v>0</v>
      </c>
      <c r="FC125" s="2223">
        <v>0</v>
      </c>
      <c r="FD125" s="2590">
        <f>SUM(FE125:FE127)</f>
        <v>0</v>
      </c>
      <c r="FE125" s="2223">
        <v>0</v>
      </c>
      <c r="FF125" s="2590">
        <f>SUM(FG125:FG127)</f>
        <v>35</v>
      </c>
      <c r="FG125" s="122">
        <f>ROUND((DH125+DJ125+DD125+DN125+DT125)/1000,0)</f>
        <v>9</v>
      </c>
      <c r="FH125" s="2590">
        <f>SUM(FI125:FI127)</f>
        <v>0</v>
      </c>
      <c r="FI125" s="122">
        <f>DF125/1000</f>
        <v>0</v>
      </c>
      <c r="FJ125" s="2590">
        <f>SUM(FK125:FK127)</f>
        <v>0</v>
      </c>
      <c r="FK125" s="122">
        <f>((DL125/400)/12)</f>
        <v>0</v>
      </c>
      <c r="FL125" s="2590">
        <f>SUM(FM125:FM127)</f>
        <v>0</v>
      </c>
      <c r="FM125" s="122">
        <v>0</v>
      </c>
      <c r="FN125" s="2590">
        <f>SUM(FO125:FO127)</f>
        <v>0</v>
      </c>
      <c r="FO125" s="122">
        <v>0</v>
      </c>
      <c r="FP125" s="2600">
        <f>SUM(FQ125:FQ127)</f>
        <v>0</v>
      </c>
      <c r="FQ125" s="122">
        <f>IF(DX125&gt;0,"Calculate",0)</f>
        <v>0</v>
      </c>
      <c r="FR125" s="2590">
        <f>SUM(FS125:FS127)</f>
        <v>205</v>
      </c>
      <c r="FS125" s="2604">
        <v>205</v>
      </c>
      <c r="FT125" s="2606">
        <f>CX125-S125</f>
        <v>-34286</v>
      </c>
      <c r="FU125" s="2602">
        <f>CY125-U125</f>
        <v>34286</v>
      </c>
      <c r="FV125" s="2608">
        <f>(DC125+DE125+DG125)-(Y125+AA125+AC125+AE125)</f>
        <v>34286</v>
      </c>
      <c r="FW125" s="2608">
        <f>DG125-AC125</f>
        <v>34286</v>
      </c>
      <c r="FX125" s="2602">
        <f>DE125-AA125</f>
        <v>0</v>
      </c>
      <c r="FY125" s="2602">
        <f>DC125-Y125</f>
        <v>0</v>
      </c>
      <c r="FZ125" s="2602">
        <f>DJ125-AE125</f>
        <v>0</v>
      </c>
      <c r="GA125" s="2602">
        <f>DL125-AL125</f>
        <v>0</v>
      </c>
      <c r="GB125" s="2602">
        <f>DM125-AM125</f>
        <v>0</v>
      </c>
      <c r="GC125" s="2602">
        <f>DP125-AQ125</f>
        <v>0</v>
      </c>
      <c r="GD125" s="2602">
        <f>DR125-AS125</f>
        <v>0</v>
      </c>
      <c r="GE125" s="2602">
        <f>DT125-AV125</f>
        <v>0</v>
      </c>
      <c r="GF125" s="2602">
        <f>DV125-AW125</f>
        <v>0</v>
      </c>
      <c r="GG125" s="2602">
        <f>DZ125-BB125</f>
        <v>0</v>
      </c>
      <c r="GH125" s="2602">
        <f>EB125-BD125</f>
        <v>0</v>
      </c>
      <c r="GI125" s="2602">
        <f>ED125-BF125</f>
        <v>0</v>
      </c>
      <c r="GJ125" s="2602">
        <f>EF125-BH125</f>
        <v>0</v>
      </c>
      <c r="GK125" s="2602">
        <f>EH125-BJ125</f>
        <v>0</v>
      </c>
      <c r="GL125" s="2608">
        <f>DW125-AY125</f>
        <v>0</v>
      </c>
      <c r="GM125" s="2608">
        <f>EK125-BM125</f>
        <v>0</v>
      </c>
      <c r="GN125" s="2608">
        <f>EM125-BO125</f>
        <v>0</v>
      </c>
      <c r="GO125" s="2582">
        <f>SUM(GP125:GP127)</f>
        <v>136.5</v>
      </c>
      <c r="GP125" s="114">
        <f>EP125-BR125</f>
        <v>45.5</v>
      </c>
      <c r="GQ125" s="2582">
        <f>SUM(GR125:GR127)</f>
        <v>0.51000000000004775</v>
      </c>
      <c r="GR125" s="114">
        <f>EV125-BT125</f>
        <v>0.17000000000001592</v>
      </c>
      <c r="GS125" s="2676">
        <f>SUM(GT125:GT127)</f>
        <v>102</v>
      </c>
      <c r="GT125" s="187">
        <f>EX125-BV125</f>
        <v>26</v>
      </c>
      <c r="GU125" s="114">
        <f>FA125-BX125</f>
        <v>-18.2</v>
      </c>
      <c r="GV125" s="187">
        <f>FI125-CD125</f>
        <v>0</v>
      </c>
      <c r="GW125" s="187">
        <v>0</v>
      </c>
      <c r="GX125" s="187">
        <f>FG125-CB125</f>
        <v>9</v>
      </c>
      <c r="GY125" s="187">
        <f>FK125-CF125</f>
        <v>0</v>
      </c>
      <c r="GZ125" s="114">
        <f>FM125-CH125</f>
        <v>-34</v>
      </c>
      <c r="HA125" s="432">
        <f>FO125-CJ125</f>
        <v>0</v>
      </c>
      <c r="HB125" s="432">
        <f>FQ125-CL125</f>
        <v>0</v>
      </c>
      <c r="HC125" s="2616">
        <f>ES125-CM125</f>
        <v>-95.600000000000023</v>
      </c>
      <c r="HD125" s="95"/>
      <c r="HE125" s="95"/>
      <c r="HF125" s="95"/>
      <c r="HG125" s="95"/>
      <c r="HH125" s="95"/>
      <c r="HI125" s="95"/>
      <c r="HJ125" s="95"/>
      <c r="HK125" s="95"/>
    </row>
    <row r="126" spans="1:241" s="95" customFormat="1" ht="15" customHeight="1">
      <c r="A126" s="2660"/>
      <c r="B126" s="236" t="s">
        <v>710</v>
      </c>
      <c r="C126" s="132">
        <v>2487</v>
      </c>
      <c r="D126" s="132">
        <v>32</v>
      </c>
      <c r="E126" s="132">
        <v>2024870032</v>
      </c>
      <c r="F126" s="134">
        <v>25650</v>
      </c>
      <c r="G126" s="135" t="s">
        <v>733</v>
      </c>
      <c r="H126" s="136" t="s">
        <v>706</v>
      </c>
      <c r="I126" s="132">
        <v>1.1200000000000001</v>
      </c>
      <c r="J126" s="132">
        <v>6.02</v>
      </c>
      <c r="K126" s="132">
        <v>0</v>
      </c>
      <c r="L126" s="132">
        <v>6.5</v>
      </c>
      <c r="M126" s="134">
        <v>0</v>
      </c>
      <c r="N126" s="134">
        <v>0</v>
      </c>
      <c r="O126" s="134">
        <v>0</v>
      </c>
      <c r="P126" s="134">
        <v>28800</v>
      </c>
      <c r="Q126" s="137">
        <v>30</v>
      </c>
      <c r="R126" s="95" t="s">
        <v>744</v>
      </c>
      <c r="S126" s="2661"/>
      <c r="T126" s="97">
        <f>(J126*F126)-V126</f>
        <v>154413</v>
      </c>
      <c r="U126" s="2661"/>
      <c r="V126" s="139">
        <v>0</v>
      </c>
      <c r="W126" s="2661"/>
      <c r="X126" s="95">
        <f>V126-Z126</f>
        <v>0</v>
      </c>
      <c r="Y126" s="2661"/>
      <c r="Z126" s="270">
        <v>0</v>
      </c>
      <c r="AA126" s="2661"/>
      <c r="AB126" s="270">
        <v>0</v>
      </c>
      <c r="AC126" s="2661"/>
      <c r="AD126" s="270">
        <f>V126-(Z126+AB126+AF126+AL126+AN126+AP126+AZ126+AR126+AT126+AV126+AX126)</f>
        <v>0</v>
      </c>
      <c r="AE126" s="2658"/>
      <c r="AF126" s="270">
        <v>0</v>
      </c>
      <c r="AG126" s="270">
        <v>0</v>
      </c>
      <c r="AH126" s="2658"/>
      <c r="AI126" s="270">
        <v>0</v>
      </c>
      <c r="AJ126" s="2658"/>
      <c r="AK126" s="2658"/>
      <c r="AL126" s="270">
        <v>0</v>
      </c>
      <c r="AM126" s="2658"/>
      <c r="AN126" s="270">
        <v>0</v>
      </c>
      <c r="AO126" s="2644"/>
      <c r="AP126" s="270">
        <v>0</v>
      </c>
      <c r="AQ126" s="2658"/>
      <c r="AR126" s="270">
        <v>0</v>
      </c>
      <c r="AS126" s="2658"/>
      <c r="AT126" s="270">
        <v>0</v>
      </c>
      <c r="AU126" s="2658"/>
      <c r="AV126" s="270">
        <v>0</v>
      </c>
      <c r="AW126" s="2658"/>
      <c r="AX126" s="270">
        <v>0</v>
      </c>
      <c r="AY126" s="2658"/>
      <c r="AZ126" s="103">
        <f t="shared" si="18"/>
        <v>0</v>
      </c>
      <c r="BA126" s="2644"/>
      <c r="BB126" s="270">
        <v>0</v>
      </c>
      <c r="BC126" s="2644"/>
      <c r="BD126" s="270">
        <v>0</v>
      </c>
      <c r="BE126" s="2644"/>
      <c r="BF126" s="270">
        <v>0</v>
      </c>
      <c r="BG126" s="2644"/>
      <c r="BH126" s="270">
        <v>0</v>
      </c>
      <c r="BI126" s="2644"/>
      <c r="BJ126" s="270">
        <v>0</v>
      </c>
      <c r="BK126" s="2644"/>
      <c r="BL126" s="95">
        <v>0</v>
      </c>
      <c r="BM126" s="2658"/>
      <c r="BN126" s="433">
        <v>154413</v>
      </c>
      <c r="BO126" s="2658"/>
      <c r="BP126" s="103">
        <v>91</v>
      </c>
      <c r="BQ126" s="2658"/>
      <c r="BR126" s="103">
        <v>0</v>
      </c>
      <c r="BS126" s="2658"/>
      <c r="BT126" s="182">
        <f t="shared" si="41"/>
        <v>261</v>
      </c>
      <c r="BU126" s="2658"/>
      <c r="BV126" s="274">
        <f>ROUND((AD126+AB126+Z126)/1000*3,0)+ROUND((AF126+AX126)/1000,0)+ROUND((ROUND(AL126/400,0))/2.67,0)+ROUND(AN126/250,0)+ROUND(AR126/15000,0)+ROUND((BB126+BD126+BF126+BJ126)/1000*3,0)+ROUND(BP126/25,0)+ROUND(CN126/50,0)</f>
        <v>5</v>
      </c>
      <c r="BW126" s="2658"/>
      <c r="BX126" s="95">
        <f>(BP126-BR126)*0.4</f>
        <v>36.4</v>
      </c>
      <c r="BY126" s="2658"/>
      <c r="BZ126" s="95">
        <v>0</v>
      </c>
      <c r="CA126" s="2658"/>
      <c r="CB126" s="95">
        <f>V126/1000</f>
        <v>0</v>
      </c>
      <c r="CC126" s="2658"/>
      <c r="CD126" s="95">
        <f>AB126/1000</f>
        <v>0</v>
      </c>
      <c r="CE126" s="2658"/>
      <c r="CF126" s="95">
        <f>((AL126/400)/12)</f>
        <v>0</v>
      </c>
      <c r="CG126" s="2658"/>
      <c r="CH126" s="275">
        <v>16</v>
      </c>
      <c r="CI126" s="2658"/>
      <c r="CJ126" s="95">
        <v>0</v>
      </c>
      <c r="CK126" s="2658"/>
      <c r="CL126" s="95">
        <f>IF(BJ126&gt;0,"Calculate",0)</f>
        <v>0</v>
      </c>
      <c r="CM126" s="2658"/>
      <c r="CN126" s="97">
        <f t="shared" si="19"/>
        <v>52.4</v>
      </c>
      <c r="CP126" s="2701"/>
      <c r="CQ126" s="139" t="s">
        <v>733</v>
      </c>
      <c r="CR126" s="139">
        <v>6.02</v>
      </c>
      <c r="CS126" s="139">
        <v>2</v>
      </c>
      <c r="CT126" s="139">
        <v>6.5</v>
      </c>
      <c r="CU126" s="108" t="s">
        <v>706</v>
      </c>
      <c r="CV126" s="2662"/>
      <c r="CW126" s="97">
        <f>(CR126*F126)-CZ126</f>
        <v>141588</v>
      </c>
      <c r="CX126" s="2661"/>
      <c r="CY126" s="2663"/>
      <c r="CZ126" s="97">
        <f>1*(F126)-(0.5*(F126))</f>
        <v>12825</v>
      </c>
      <c r="DA126" s="2664"/>
      <c r="DB126" s="97">
        <f>CZ126-DD126</f>
        <v>12825</v>
      </c>
      <c r="DC126" s="2661"/>
      <c r="DD126" s="97">
        <v>0</v>
      </c>
      <c r="DE126" s="2661"/>
      <c r="DF126" s="97">
        <v>0</v>
      </c>
      <c r="DG126" s="2661"/>
      <c r="DH126" s="97">
        <f>CZ126</f>
        <v>12825</v>
      </c>
      <c r="DI126" s="2661"/>
      <c r="DJ126" s="97">
        <v>0</v>
      </c>
      <c r="DK126" s="2661"/>
      <c r="DL126" s="97">
        <v>0</v>
      </c>
      <c r="DM126" s="2661"/>
      <c r="DN126" s="97">
        <v>0</v>
      </c>
      <c r="DO126" s="2661"/>
      <c r="DP126" s="97">
        <v>0</v>
      </c>
      <c r="DQ126" s="2661"/>
      <c r="DR126" s="97">
        <v>0</v>
      </c>
      <c r="DS126" s="2661"/>
      <c r="DT126" s="97">
        <v>0</v>
      </c>
      <c r="DU126" s="2661"/>
      <c r="DV126" s="97">
        <v>0</v>
      </c>
      <c r="DW126" s="2661"/>
      <c r="DX126" s="103">
        <f t="shared" si="22"/>
        <v>0</v>
      </c>
      <c r="DY126" s="2661"/>
      <c r="DZ126" s="103">
        <v>0</v>
      </c>
      <c r="EA126" s="2661"/>
      <c r="EB126" s="103">
        <v>0</v>
      </c>
      <c r="EC126" s="2661"/>
      <c r="ED126" s="103">
        <v>0</v>
      </c>
      <c r="EE126" s="2661"/>
      <c r="EF126" s="103">
        <v>0</v>
      </c>
      <c r="EG126" s="2661"/>
      <c r="EH126" s="103">
        <v>0</v>
      </c>
      <c r="EI126" s="2661"/>
      <c r="EJ126" s="103">
        <v>0</v>
      </c>
      <c r="EK126" s="2658"/>
      <c r="EL126" s="97">
        <f>CW126+CZ126</f>
        <v>154413</v>
      </c>
      <c r="EM126" s="2643"/>
      <c r="EN126" s="102">
        <v>91</v>
      </c>
      <c r="EO126" s="2643"/>
      <c r="EP126" s="102">
        <f t="shared" si="43"/>
        <v>45.5</v>
      </c>
      <c r="EQ126" s="2643"/>
      <c r="ER126" s="102">
        <f t="shared" ref="ER126:ER127" si="44">0.5*EN126</f>
        <v>45.5</v>
      </c>
      <c r="ES126" s="2643"/>
      <c r="ET126" s="102">
        <f>FA126+FG126+FQ126</f>
        <v>31.2</v>
      </c>
      <c r="EU126" s="2661"/>
      <c r="EV126" s="102">
        <f>2.87*EN126</f>
        <v>261.17</v>
      </c>
      <c r="EW126" s="2661"/>
      <c r="EX126" s="186">
        <f>ROUND((DH126+DF126+DD126)/1000*3,0)+ROUND((ROUND(DL126/400,0))/2.67,0)+ROUND(DV126/1000,0)+ROUND((DZ126+EB126+ED126+EH126)/1000*3,0)+ROUND(EN126/25,0)+ROUND(ET126/50,0)</f>
        <v>43</v>
      </c>
      <c r="EY126" s="2661"/>
      <c r="EZ126" s="2642"/>
      <c r="FA126" s="2224">
        <f>(0.5*EN126)*0.4</f>
        <v>18.2</v>
      </c>
      <c r="FB126" s="2661"/>
      <c r="FC126" s="2224">
        <v>0</v>
      </c>
      <c r="FD126" s="2661"/>
      <c r="FE126" s="2224">
        <v>0</v>
      </c>
      <c r="FF126" s="2661"/>
      <c r="FG126" s="102">
        <f>ROUND((DH126+DJ126+DD126+DN126+DT126)/1000,0)</f>
        <v>13</v>
      </c>
      <c r="FH126" s="2661"/>
      <c r="FI126" s="102">
        <f>DF126/1000</f>
        <v>0</v>
      </c>
      <c r="FJ126" s="2661"/>
      <c r="FK126" s="102">
        <f>((DL126/400)/12)</f>
        <v>0</v>
      </c>
      <c r="FL126" s="2661"/>
      <c r="FM126" s="102">
        <v>0</v>
      </c>
      <c r="FN126" s="2661"/>
      <c r="FO126" s="102">
        <v>0</v>
      </c>
      <c r="FP126" s="2643"/>
      <c r="FQ126" s="102">
        <f>IF(DX126&gt;0,"Calculate",0)</f>
        <v>0</v>
      </c>
      <c r="FR126" s="2661"/>
      <c r="FS126" s="2667"/>
      <c r="FT126" s="2668"/>
      <c r="FU126" s="2665"/>
      <c r="FV126" s="2666"/>
      <c r="FW126" s="2666"/>
      <c r="FX126" s="2665"/>
      <c r="FY126" s="2665"/>
      <c r="FZ126" s="2665"/>
      <c r="GA126" s="2665"/>
      <c r="GB126" s="2665"/>
      <c r="GC126" s="2665"/>
      <c r="GD126" s="2665"/>
      <c r="GE126" s="2665"/>
      <c r="GF126" s="2665"/>
      <c r="GG126" s="2665"/>
      <c r="GH126" s="2665"/>
      <c r="GI126" s="2665"/>
      <c r="GJ126" s="2665"/>
      <c r="GK126" s="2665"/>
      <c r="GL126" s="2666"/>
      <c r="GM126" s="2666"/>
      <c r="GN126" s="2666"/>
      <c r="GO126" s="2644"/>
      <c r="GP126" s="113">
        <f>EP126-BR126</f>
        <v>45.5</v>
      </c>
      <c r="GQ126" s="2644"/>
      <c r="GR126" s="113">
        <f>EV126-BT126</f>
        <v>0.17000000000001592</v>
      </c>
      <c r="GS126" s="2677"/>
      <c r="GT126" s="195">
        <f>EX126-BV126</f>
        <v>38</v>
      </c>
      <c r="GU126" s="113">
        <f>FA126-BX126</f>
        <v>-18.2</v>
      </c>
      <c r="GV126" s="195">
        <f>FI126-CD126</f>
        <v>0</v>
      </c>
      <c r="GW126" s="195">
        <v>0</v>
      </c>
      <c r="GX126" s="195">
        <f>FG126-CB126</f>
        <v>13</v>
      </c>
      <c r="GY126" s="195">
        <f>FK126-CF126</f>
        <v>0</v>
      </c>
      <c r="GZ126" s="113">
        <f>FM126-CH126</f>
        <v>-16</v>
      </c>
      <c r="HA126" s="278">
        <f>FO126-CJ126</f>
        <v>0</v>
      </c>
      <c r="HB126" s="278">
        <f>FQ126-CL126</f>
        <v>0</v>
      </c>
      <c r="HC126" s="2669"/>
    </row>
    <row r="127" spans="1:241" s="72" customFormat="1" ht="15" customHeight="1">
      <c r="A127" s="2589"/>
      <c r="B127" s="297" t="s">
        <v>721</v>
      </c>
      <c r="C127" s="66">
        <v>2487</v>
      </c>
      <c r="D127" s="66">
        <v>30</v>
      </c>
      <c r="E127" s="66">
        <v>2024870030</v>
      </c>
      <c r="F127" s="434">
        <v>25650</v>
      </c>
      <c r="G127" s="66" t="s">
        <v>733</v>
      </c>
      <c r="H127" s="70" t="s">
        <v>706</v>
      </c>
      <c r="I127" s="66">
        <v>1.1200000000000001</v>
      </c>
      <c r="J127" s="66">
        <v>6.02</v>
      </c>
      <c r="K127" s="66">
        <v>0</v>
      </c>
      <c r="L127" s="66">
        <v>6.5</v>
      </c>
      <c r="M127" s="68">
        <v>0</v>
      </c>
      <c r="N127" s="68">
        <v>0</v>
      </c>
      <c r="O127" s="68">
        <v>0</v>
      </c>
      <c r="P127" s="68">
        <v>28800</v>
      </c>
      <c r="Q127" s="71">
        <v>30</v>
      </c>
      <c r="R127" s="72" t="s">
        <v>744</v>
      </c>
      <c r="S127" s="2591"/>
      <c r="T127" s="73">
        <f>(J127*F127)-V127</f>
        <v>154413</v>
      </c>
      <c r="U127" s="2591"/>
      <c r="V127" s="81">
        <v>0</v>
      </c>
      <c r="W127" s="2591"/>
      <c r="X127" s="72">
        <f>V127-Z127</f>
        <v>0</v>
      </c>
      <c r="Y127" s="2591"/>
      <c r="Z127" s="301">
        <v>0</v>
      </c>
      <c r="AA127" s="2591"/>
      <c r="AB127" s="301">
        <v>0</v>
      </c>
      <c r="AC127" s="2591"/>
      <c r="AD127" s="301">
        <f>V127-(Z127+AB127+AF127+AL127+AN127+AP127+AZ127+AR127+AT127+AV127+AX127)</f>
        <v>0</v>
      </c>
      <c r="AE127" s="2581"/>
      <c r="AF127" s="301">
        <v>0</v>
      </c>
      <c r="AG127" s="301">
        <v>0</v>
      </c>
      <c r="AH127" s="2581"/>
      <c r="AI127" s="301">
        <v>0</v>
      </c>
      <c r="AJ127" s="2581"/>
      <c r="AK127" s="2581"/>
      <c r="AL127" s="301">
        <v>0</v>
      </c>
      <c r="AM127" s="2581"/>
      <c r="AN127" s="301">
        <v>0</v>
      </c>
      <c r="AO127" s="2583"/>
      <c r="AP127" s="301">
        <v>0</v>
      </c>
      <c r="AQ127" s="2581"/>
      <c r="AR127" s="301">
        <v>0</v>
      </c>
      <c r="AS127" s="2581"/>
      <c r="AT127" s="301">
        <v>0</v>
      </c>
      <c r="AU127" s="2581"/>
      <c r="AV127" s="301">
        <v>0</v>
      </c>
      <c r="AW127" s="2581"/>
      <c r="AX127" s="301">
        <v>0</v>
      </c>
      <c r="AY127" s="2581"/>
      <c r="AZ127" s="75">
        <f t="shared" si="18"/>
        <v>0</v>
      </c>
      <c r="BA127" s="2583"/>
      <c r="BB127" s="301">
        <v>0</v>
      </c>
      <c r="BC127" s="2583"/>
      <c r="BD127" s="301">
        <v>0</v>
      </c>
      <c r="BE127" s="2583"/>
      <c r="BF127" s="301">
        <v>0</v>
      </c>
      <c r="BG127" s="2583"/>
      <c r="BH127" s="301">
        <v>0</v>
      </c>
      <c r="BI127" s="2583"/>
      <c r="BJ127" s="301">
        <v>0</v>
      </c>
      <c r="BK127" s="2583"/>
      <c r="BL127" s="72">
        <v>0</v>
      </c>
      <c r="BM127" s="2581"/>
      <c r="BN127" s="435">
        <v>154413</v>
      </c>
      <c r="BO127" s="2581"/>
      <c r="BP127" s="75">
        <v>91</v>
      </c>
      <c r="BQ127" s="2581"/>
      <c r="BR127" s="75">
        <v>0</v>
      </c>
      <c r="BS127" s="2581"/>
      <c r="BT127" s="77">
        <f t="shared" si="41"/>
        <v>261</v>
      </c>
      <c r="BU127" s="2581"/>
      <c r="BV127" s="436">
        <f>ROUND((AD127+AB127+Z127)/1000*3,0)+ROUND((AF127+AX127)/1000,0)+ROUND((ROUND(AL127/400,0))/2.67,0)+ROUND(AN127/250,0)+ROUND(AR127/15000,0)+ROUND((BB127+BD127+BF127+BJ127)/1000*3,0)+ROUND(BP127/25,0)+ROUND(CN127/50,0)</f>
        <v>5</v>
      </c>
      <c r="BW127" s="2581"/>
      <c r="BX127" s="72">
        <f>(BP127-BR127)*0.4</f>
        <v>36.4</v>
      </c>
      <c r="BY127" s="2581"/>
      <c r="BZ127" s="72">
        <v>0</v>
      </c>
      <c r="CA127" s="2581"/>
      <c r="CB127" s="72">
        <f>V127/1000</f>
        <v>0</v>
      </c>
      <c r="CC127" s="2581"/>
      <c r="CD127" s="72">
        <f>AB127/1000</f>
        <v>0</v>
      </c>
      <c r="CE127" s="2581"/>
      <c r="CF127" s="72">
        <f>((AL127/400)/12)</f>
        <v>0</v>
      </c>
      <c r="CG127" s="2581"/>
      <c r="CH127" s="437">
        <v>26</v>
      </c>
      <c r="CI127" s="2581"/>
      <c r="CJ127" s="72">
        <v>0</v>
      </c>
      <c r="CK127" s="2581"/>
      <c r="CL127" s="72">
        <f>IF(BJ127&gt;0,"Calculate",0)</f>
        <v>0</v>
      </c>
      <c r="CM127" s="2581"/>
      <c r="CN127" s="73">
        <f t="shared" si="19"/>
        <v>62.4</v>
      </c>
      <c r="CP127" s="2702"/>
      <c r="CQ127" s="81" t="s">
        <v>733</v>
      </c>
      <c r="CR127" s="81">
        <v>6.02</v>
      </c>
      <c r="CS127" s="81">
        <v>2</v>
      </c>
      <c r="CT127" s="81">
        <v>6.5</v>
      </c>
      <c r="CU127" s="82" t="s">
        <v>706</v>
      </c>
      <c r="CV127" s="2597"/>
      <c r="CW127" s="73">
        <f>(CR127*F127)-CZ127</f>
        <v>141588</v>
      </c>
      <c r="CX127" s="2591"/>
      <c r="CY127" s="2599"/>
      <c r="CZ127" s="73">
        <f>1*(F127)-(0.5*(F127))</f>
        <v>12825</v>
      </c>
      <c r="DA127" s="2593"/>
      <c r="DB127" s="73">
        <f>CZ127-DD127</f>
        <v>12825</v>
      </c>
      <c r="DC127" s="2591"/>
      <c r="DD127" s="73">
        <v>0</v>
      </c>
      <c r="DE127" s="2591"/>
      <c r="DF127" s="73">
        <v>0</v>
      </c>
      <c r="DG127" s="2591"/>
      <c r="DH127" s="73">
        <f>CZ127</f>
        <v>12825</v>
      </c>
      <c r="DI127" s="2591"/>
      <c r="DJ127" s="73">
        <v>0</v>
      </c>
      <c r="DK127" s="2591"/>
      <c r="DL127" s="73">
        <v>0</v>
      </c>
      <c r="DM127" s="2591"/>
      <c r="DN127" s="73">
        <v>0</v>
      </c>
      <c r="DO127" s="2591"/>
      <c r="DP127" s="73">
        <v>0</v>
      </c>
      <c r="DQ127" s="2591"/>
      <c r="DR127" s="73">
        <v>0</v>
      </c>
      <c r="DS127" s="2591"/>
      <c r="DT127" s="73">
        <v>0</v>
      </c>
      <c r="DU127" s="2591"/>
      <c r="DV127" s="73">
        <v>0</v>
      </c>
      <c r="DW127" s="2591"/>
      <c r="DX127" s="75">
        <f t="shared" si="22"/>
        <v>0</v>
      </c>
      <c r="DY127" s="2591"/>
      <c r="DZ127" s="75">
        <v>0</v>
      </c>
      <c r="EA127" s="2591"/>
      <c r="EB127" s="75">
        <v>0</v>
      </c>
      <c r="EC127" s="2591"/>
      <c r="ED127" s="75">
        <v>0</v>
      </c>
      <c r="EE127" s="2591"/>
      <c r="EF127" s="75">
        <v>0</v>
      </c>
      <c r="EG127" s="2591"/>
      <c r="EH127" s="75">
        <v>0</v>
      </c>
      <c r="EI127" s="2591"/>
      <c r="EJ127" s="75">
        <v>0</v>
      </c>
      <c r="EK127" s="2581"/>
      <c r="EL127" s="73">
        <f>CW127+CZ127</f>
        <v>154413</v>
      </c>
      <c r="EM127" s="2601"/>
      <c r="EN127" s="74">
        <v>91</v>
      </c>
      <c r="EO127" s="2601"/>
      <c r="EP127" s="74">
        <f t="shared" si="43"/>
        <v>45.5</v>
      </c>
      <c r="EQ127" s="2601"/>
      <c r="ER127" s="74">
        <f t="shared" si="44"/>
        <v>45.5</v>
      </c>
      <c r="ES127" s="2601"/>
      <c r="ET127" s="74">
        <f>FA127+FG127+FQ127</f>
        <v>31.2</v>
      </c>
      <c r="EU127" s="2591"/>
      <c r="EV127" s="74">
        <f>2.87*EN127</f>
        <v>261.17</v>
      </c>
      <c r="EW127" s="2591"/>
      <c r="EX127" s="88">
        <f>ROUND((DH127+DF127+DD127)/1000*3,0)+ROUND((ROUND(DL127/400,0))/2.67,0)+ROUND(DV127/1000,0)+ROUND((DZ127+EB127+ED127+EH127)/1000*3,0)+ROUND(EN127/25,0)+ROUND(ET127/50,0)</f>
        <v>43</v>
      </c>
      <c r="EY127" s="2591"/>
      <c r="EZ127" s="2611"/>
      <c r="FA127" s="2225">
        <f>(0.5*EN127)*0.4</f>
        <v>18.2</v>
      </c>
      <c r="FB127" s="2591"/>
      <c r="FC127" s="2224">
        <v>0</v>
      </c>
      <c r="FD127" s="2591"/>
      <c r="FE127" s="2225">
        <v>0</v>
      </c>
      <c r="FF127" s="2591"/>
      <c r="FG127" s="74">
        <f>ROUND((DH127+DJ127+DD127+DN127+DT127)/1000,0)</f>
        <v>13</v>
      </c>
      <c r="FH127" s="2591"/>
      <c r="FI127" s="74">
        <f>DF127/1000</f>
        <v>0</v>
      </c>
      <c r="FJ127" s="2591"/>
      <c r="FK127" s="74">
        <f>((DL127/400)/12)</f>
        <v>0</v>
      </c>
      <c r="FL127" s="2591"/>
      <c r="FM127" s="74">
        <v>0</v>
      </c>
      <c r="FN127" s="2591"/>
      <c r="FO127" s="74">
        <v>0</v>
      </c>
      <c r="FP127" s="2601"/>
      <c r="FQ127" s="74">
        <f>IF(DX127&gt;0,"Calculate",0)</f>
        <v>0</v>
      </c>
      <c r="FR127" s="2591"/>
      <c r="FS127" s="2605"/>
      <c r="FT127" s="2607"/>
      <c r="FU127" s="2603"/>
      <c r="FV127" s="2609"/>
      <c r="FW127" s="2609"/>
      <c r="FX127" s="2603"/>
      <c r="FY127" s="2603"/>
      <c r="FZ127" s="2603"/>
      <c r="GA127" s="2603"/>
      <c r="GB127" s="2603"/>
      <c r="GC127" s="2603"/>
      <c r="GD127" s="2603"/>
      <c r="GE127" s="2603"/>
      <c r="GF127" s="2603"/>
      <c r="GG127" s="2603"/>
      <c r="GH127" s="2603"/>
      <c r="GI127" s="2603"/>
      <c r="GJ127" s="2603"/>
      <c r="GK127" s="2603"/>
      <c r="GL127" s="2609"/>
      <c r="GM127" s="2609"/>
      <c r="GN127" s="2609"/>
      <c r="GO127" s="2583"/>
      <c r="GP127" s="89">
        <f>EP127-BR127</f>
        <v>45.5</v>
      </c>
      <c r="GQ127" s="2583"/>
      <c r="GR127" s="89">
        <f>EV127-BT127</f>
        <v>0.17000000000001592</v>
      </c>
      <c r="GS127" s="2678"/>
      <c r="GT127" s="190">
        <f>EX127-BV127</f>
        <v>38</v>
      </c>
      <c r="GU127" s="113">
        <f>FA127-BX127</f>
        <v>-18.2</v>
      </c>
      <c r="GV127" s="190">
        <f>FI127-CD127</f>
        <v>0</v>
      </c>
      <c r="GW127" s="190">
        <v>0</v>
      </c>
      <c r="GX127" s="190">
        <f>FG127-CB127</f>
        <v>13</v>
      </c>
      <c r="GY127" s="190">
        <f>FK127-CF127</f>
        <v>0</v>
      </c>
      <c r="GZ127" s="89">
        <f>FM127-CH127</f>
        <v>-26</v>
      </c>
      <c r="HA127" s="438">
        <f>FO127-CJ127</f>
        <v>0</v>
      </c>
      <c r="HB127" s="438">
        <f>FQ127-CL127</f>
        <v>0</v>
      </c>
      <c r="HC127" s="2617"/>
      <c r="HD127" s="95"/>
      <c r="HE127" s="95"/>
      <c r="HF127" s="95"/>
      <c r="HG127" s="95"/>
      <c r="HH127" s="95"/>
      <c r="HI127" s="95"/>
      <c r="HJ127" s="95"/>
      <c r="HK127" s="95"/>
      <c r="HL127" s="95"/>
      <c r="HM127" s="95"/>
    </row>
    <row r="128" spans="1:241" s="95" customFormat="1" ht="15" customHeight="1">
      <c r="A128" s="2263"/>
      <c r="B128" s="66"/>
      <c r="C128" s="66"/>
      <c r="D128" s="66"/>
      <c r="E128" s="66"/>
      <c r="F128" s="434"/>
      <c r="G128" s="66"/>
      <c r="H128" s="70"/>
      <c r="I128" s="66"/>
      <c r="J128" s="66"/>
      <c r="K128" s="66"/>
      <c r="L128" s="66"/>
      <c r="M128" s="68"/>
      <c r="N128" s="68"/>
      <c r="O128" s="68"/>
      <c r="P128" s="68"/>
      <c r="Q128" s="71"/>
      <c r="R128" s="72"/>
      <c r="S128" s="2245"/>
      <c r="T128" s="73"/>
      <c r="U128" s="2245"/>
      <c r="V128" s="81"/>
      <c r="W128" s="2245"/>
      <c r="X128" s="72"/>
      <c r="Y128" s="2245"/>
      <c r="Z128" s="301"/>
      <c r="AA128" s="2245"/>
      <c r="AB128" s="301"/>
      <c r="AC128" s="2245"/>
      <c r="AD128" s="301"/>
      <c r="AE128" s="2252"/>
      <c r="AF128" s="301"/>
      <c r="AG128" s="301"/>
      <c r="AH128" s="2252"/>
      <c r="AI128" s="301"/>
      <c r="AJ128" s="2252"/>
      <c r="AK128" s="2252"/>
      <c r="AL128" s="301"/>
      <c r="AM128" s="2252"/>
      <c r="AN128" s="301"/>
      <c r="AO128" s="2225"/>
      <c r="AP128" s="301"/>
      <c r="AQ128" s="2252"/>
      <c r="AR128" s="301"/>
      <c r="AS128" s="2252"/>
      <c r="AT128" s="301"/>
      <c r="AU128" s="2252"/>
      <c r="AV128" s="301"/>
      <c r="AW128" s="2252"/>
      <c r="AX128" s="301"/>
      <c r="AY128" s="2252"/>
      <c r="AZ128" s="75"/>
      <c r="BA128" s="2225"/>
      <c r="BB128" s="301"/>
      <c r="BC128" s="2225"/>
      <c r="BD128" s="301"/>
      <c r="BE128" s="2225"/>
      <c r="BF128" s="301"/>
      <c r="BG128" s="2225"/>
      <c r="BH128" s="301"/>
      <c r="BI128" s="2225"/>
      <c r="BJ128" s="301"/>
      <c r="BK128" s="2225"/>
      <c r="BL128" s="72"/>
      <c r="BM128" s="2252"/>
      <c r="BN128" s="435"/>
      <c r="BO128" s="2252"/>
      <c r="BP128" s="75"/>
      <c r="BQ128" s="2252"/>
      <c r="BR128" s="75"/>
      <c r="BS128" s="2252"/>
      <c r="BT128" s="77"/>
      <c r="BU128" s="2252"/>
      <c r="BV128" s="436"/>
      <c r="BW128" s="2252"/>
      <c r="BX128" s="72"/>
      <c r="BY128" s="2252"/>
      <c r="BZ128" s="72"/>
      <c r="CA128" s="2252"/>
      <c r="CB128" s="72"/>
      <c r="CC128" s="2252"/>
      <c r="CD128" s="72"/>
      <c r="CE128" s="2252"/>
      <c r="CF128" s="72"/>
      <c r="CG128" s="2252"/>
      <c r="CH128" s="437"/>
      <c r="CI128" s="2252"/>
      <c r="CJ128" s="72"/>
      <c r="CK128" s="2252"/>
      <c r="CL128" s="72"/>
      <c r="CM128" s="2252"/>
      <c r="CN128" s="73"/>
      <c r="CO128" s="72"/>
      <c r="CP128" s="2257"/>
      <c r="CQ128" s="81"/>
      <c r="CR128" s="81"/>
      <c r="CS128" s="81"/>
      <c r="CT128" s="81"/>
      <c r="CU128" s="82"/>
      <c r="CV128" s="2259"/>
      <c r="CW128" s="73"/>
      <c r="CX128" s="2245"/>
      <c r="CY128" s="2262"/>
      <c r="CZ128" s="73"/>
      <c r="DA128" s="2254"/>
      <c r="DB128" s="73"/>
      <c r="DC128" s="2245"/>
      <c r="DD128" s="73"/>
      <c r="DE128" s="2245"/>
      <c r="DF128" s="73"/>
      <c r="DG128" s="2245"/>
      <c r="DH128" s="73"/>
      <c r="DI128" s="2245"/>
      <c r="DJ128" s="73"/>
      <c r="DK128" s="2245"/>
      <c r="DL128" s="73"/>
      <c r="DM128" s="2245"/>
      <c r="DN128" s="73"/>
      <c r="DO128" s="2245"/>
      <c r="DP128" s="73"/>
      <c r="DQ128" s="2245"/>
      <c r="DR128" s="73"/>
      <c r="DS128" s="2245"/>
      <c r="DT128" s="73"/>
      <c r="DU128" s="2245"/>
      <c r="DV128" s="73"/>
      <c r="DW128" s="2245"/>
      <c r="DX128" s="75"/>
      <c r="DY128" s="2245"/>
      <c r="DZ128" s="75"/>
      <c r="EA128" s="2245"/>
      <c r="EB128" s="75"/>
      <c r="EC128" s="2245"/>
      <c r="ED128" s="103"/>
      <c r="EE128" s="2245"/>
      <c r="EF128" s="75"/>
      <c r="EG128" s="2245"/>
      <c r="EH128" s="75"/>
      <c r="EI128" s="2245"/>
      <c r="EJ128" s="75"/>
      <c r="EK128" s="2252"/>
      <c r="EL128" s="73"/>
      <c r="EM128" s="2247"/>
      <c r="EN128" s="74"/>
      <c r="EO128" s="2247"/>
      <c r="EP128" s="74"/>
      <c r="EQ128" s="2247"/>
      <c r="ER128" s="74"/>
      <c r="ES128" s="2247"/>
      <c r="ET128" s="74"/>
      <c r="EU128" s="2245"/>
      <c r="EV128" s="74"/>
      <c r="EW128" s="2245"/>
      <c r="EX128" s="88"/>
      <c r="EY128" s="2245"/>
      <c r="EZ128" s="2249"/>
      <c r="FA128" s="2225"/>
      <c r="FB128" s="2245"/>
      <c r="FC128" s="2224"/>
      <c r="FD128" s="2245"/>
      <c r="FE128" s="2225"/>
      <c r="FF128" s="2245"/>
      <c r="FG128" s="74"/>
      <c r="FH128" s="2245"/>
      <c r="FI128" s="74"/>
      <c r="FJ128" s="2245"/>
      <c r="FK128" s="74"/>
      <c r="FL128" s="2245"/>
      <c r="FM128" s="74"/>
      <c r="FN128" s="2245"/>
      <c r="FO128" s="74"/>
      <c r="FP128" s="2247"/>
      <c r="FQ128" s="74"/>
      <c r="FR128" s="2245"/>
      <c r="FS128" s="2245"/>
      <c r="FT128" s="2240"/>
      <c r="FU128" s="2233"/>
      <c r="FV128" s="2235"/>
      <c r="FW128" s="2235"/>
      <c r="FX128" s="2233"/>
      <c r="FY128" s="2233"/>
      <c r="FZ128" s="2233"/>
      <c r="GA128" s="2233"/>
      <c r="GB128" s="2233"/>
      <c r="GC128" s="2233"/>
      <c r="GD128" s="2233"/>
      <c r="GE128" s="2233"/>
      <c r="GF128" s="2233"/>
      <c r="GG128" s="2233"/>
      <c r="GH128" s="2233"/>
      <c r="GI128" s="2233"/>
      <c r="GJ128" s="2233"/>
      <c r="GK128" s="2233"/>
      <c r="GL128" s="2235"/>
      <c r="GM128" s="2235"/>
      <c r="GN128" s="2235"/>
      <c r="GO128" s="2225"/>
      <c r="GP128" s="89"/>
      <c r="GQ128" s="2225"/>
      <c r="GR128" s="89"/>
      <c r="GS128" s="2228"/>
      <c r="GT128" s="190"/>
      <c r="GU128" s="113"/>
      <c r="GV128" s="190"/>
      <c r="GW128" s="190"/>
      <c r="GX128" s="190"/>
      <c r="GY128" s="190"/>
      <c r="GZ128" s="89"/>
      <c r="HA128" s="438"/>
      <c r="HB128" s="438"/>
      <c r="HC128" s="2230"/>
      <c r="HT128" s="72"/>
      <c r="HU128" s="72"/>
      <c r="HV128" s="72"/>
      <c r="HW128" s="72"/>
      <c r="HX128" s="72"/>
      <c r="HY128" s="72"/>
      <c r="HZ128" s="72"/>
      <c r="IA128" s="72"/>
      <c r="IB128" s="72"/>
      <c r="IC128" s="72"/>
      <c r="ID128" s="72"/>
      <c r="IE128" s="72"/>
      <c r="IF128" s="72"/>
      <c r="IG128" s="72"/>
    </row>
    <row r="129" spans="1:249" s="474" customFormat="1" ht="18.75">
      <c r="A129" s="439">
        <v>46</v>
      </c>
      <c r="B129" s="440" t="s">
        <v>703</v>
      </c>
      <c r="C129" s="441">
        <v>2865</v>
      </c>
      <c r="D129" s="441">
        <v>134</v>
      </c>
      <c r="E129" s="442">
        <v>2028650134</v>
      </c>
      <c r="F129" s="443">
        <v>65613</v>
      </c>
      <c r="G129" s="441" t="s">
        <v>726</v>
      </c>
      <c r="H129" s="441"/>
      <c r="I129" s="222">
        <v>1.89</v>
      </c>
      <c r="J129" s="222">
        <v>3.44</v>
      </c>
      <c r="K129" s="222">
        <v>0</v>
      </c>
      <c r="L129" s="222">
        <v>4.8</v>
      </c>
      <c r="M129" s="444">
        <v>80370</v>
      </c>
      <c r="N129" s="441">
        <v>0</v>
      </c>
      <c r="O129" s="441">
        <v>1500</v>
      </c>
      <c r="P129" s="445">
        <v>80370</v>
      </c>
      <c r="Q129" s="446">
        <v>88</v>
      </c>
      <c r="R129" s="447" t="s">
        <v>771</v>
      </c>
      <c r="S129" s="2293">
        <v>87624.5</v>
      </c>
      <c r="T129" s="2293">
        <v>87624.5</v>
      </c>
      <c r="U129" s="448">
        <v>152693.5</v>
      </c>
      <c r="V129" s="448">
        <v>152693.5</v>
      </c>
      <c r="W129" s="448">
        <f>X129</f>
        <v>152693.5</v>
      </c>
      <c r="X129" s="448">
        <v>152693.5</v>
      </c>
      <c r="Y129" s="448">
        <v>0</v>
      </c>
      <c r="Z129" s="449">
        <v>0</v>
      </c>
      <c r="AA129" s="449">
        <v>0</v>
      </c>
      <c r="AB129" s="449">
        <v>0</v>
      </c>
      <c r="AC129" s="449">
        <v>0</v>
      </c>
      <c r="AD129" s="449">
        <v>0</v>
      </c>
      <c r="AE129" s="449">
        <v>0</v>
      </c>
      <c r="AF129" s="449">
        <v>0</v>
      </c>
      <c r="AG129" s="449">
        <v>0</v>
      </c>
      <c r="AH129" s="449">
        <v>0</v>
      </c>
      <c r="AI129" s="449">
        <v>0</v>
      </c>
      <c r="AJ129" s="449">
        <v>0</v>
      </c>
      <c r="AK129" s="449">
        <v>0</v>
      </c>
      <c r="AL129" s="449">
        <v>0</v>
      </c>
      <c r="AM129" s="449">
        <v>0</v>
      </c>
      <c r="AN129" s="449">
        <v>0</v>
      </c>
      <c r="AO129" s="449">
        <v>0</v>
      </c>
      <c r="AP129" s="449">
        <v>0</v>
      </c>
      <c r="AQ129" s="449">
        <v>0</v>
      </c>
      <c r="AR129" s="449">
        <v>0</v>
      </c>
      <c r="AS129" s="449">
        <v>0</v>
      </c>
      <c r="AT129" s="449">
        <v>0</v>
      </c>
      <c r="AU129" s="2245">
        <f>AV129</f>
        <v>0</v>
      </c>
      <c r="AV129" s="450"/>
      <c r="AW129" s="449">
        <v>0</v>
      </c>
      <c r="AX129" s="451">
        <v>0</v>
      </c>
      <c r="AY129" s="452">
        <f>AZ129</f>
        <v>152731.5</v>
      </c>
      <c r="AZ129" s="75">
        <f>BB129+BD129+BF129+BH129+BJ129+BL129</f>
        <v>152731.5</v>
      </c>
      <c r="BA129" s="2225">
        <f>BB129</f>
        <v>6805</v>
      </c>
      <c r="BB129" s="2225">
        <v>6805</v>
      </c>
      <c r="BC129" s="2225">
        <f>BD129</f>
        <v>0</v>
      </c>
      <c r="BD129" s="451">
        <v>0</v>
      </c>
      <c r="BE129" s="2225">
        <f>BF129</f>
        <v>0</v>
      </c>
      <c r="BF129" s="451">
        <v>0</v>
      </c>
      <c r="BG129" s="2225">
        <f>BH129</f>
        <v>0</v>
      </c>
      <c r="BH129" s="451">
        <v>0</v>
      </c>
      <c r="BI129" s="2225">
        <f>BJ129</f>
        <v>58302</v>
      </c>
      <c r="BJ129" s="2225">
        <v>58302</v>
      </c>
      <c r="BK129" s="2225">
        <f>BL129</f>
        <v>87624.5</v>
      </c>
      <c r="BL129" s="2293">
        <v>87624.5</v>
      </c>
      <c r="BM129" s="453">
        <f>S129+U129</f>
        <v>240318</v>
      </c>
      <c r="BN129" s="453">
        <f>T129+V129</f>
        <v>240318</v>
      </c>
      <c r="BO129" s="454">
        <f>S129/1000</f>
        <v>87.624499999999998</v>
      </c>
      <c r="BP129" s="454">
        <f>T129/1000</f>
        <v>87.624499999999998</v>
      </c>
      <c r="BQ129" s="304">
        <v>0</v>
      </c>
      <c r="BR129" s="304">
        <v>0</v>
      </c>
      <c r="BS129" s="2245">
        <f>BT129</f>
        <v>268</v>
      </c>
      <c r="BT129" s="2252">
        <f>ROUND(BP129*3.06,0)</f>
        <v>268</v>
      </c>
      <c r="BU129" s="2245">
        <f>BV129</f>
        <v>463</v>
      </c>
      <c r="BV129" s="455">
        <f>ROUND((AD129+AB129+Z129)/1000*3,0)+ROUND((AF129+AX129)/1000,0)+ROUND((ROUND(AL129/400,0))/2.67,0)+ROUND(AN129/250,0)+ROUND(AR129/15000,0)+ROUND((BB129+BD129+BF129+BJ129+BL129)/1000*3,0)+ROUND(BP129/25,0)+ROUND(CN129/50,0)</f>
        <v>463</v>
      </c>
      <c r="BW129" s="2245">
        <f>BX129</f>
        <v>52.5747</v>
      </c>
      <c r="BX129" s="456">
        <f>(BP129-BR129)*0.6</f>
        <v>52.5747</v>
      </c>
      <c r="BY129" s="2245">
        <f>BZ129</f>
        <v>0</v>
      </c>
      <c r="BZ129" s="304">
        <v>0</v>
      </c>
      <c r="CA129" s="2245">
        <f>CB129</f>
        <v>0</v>
      </c>
      <c r="CB129" s="304">
        <v>0</v>
      </c>
      <c r="CC129" s="2245">
        <f>CD129</f>
        <v>0</v>
      </c>
      <c r="CD129" s="304">
        <v>0</v>
      </c>
      <c r="CE129" s="2245">
        <f>CF129</f>
        <v>0</v>
      </c>
      <c r="CF129" s="304">
        <v>0</v>
      </c>
      <c r="CG129" s="2245">
        <f>CH129</f>
        <v>0</v>
      </c>
      <c r="CH129" s="304">
        <v>0</v>
      </c>
      <c r="CI129" s="2245">
        <f>CJ129</f>
        <v>0</v>
      </c>
      <c r="CJ129" s="304">
        <v>0</v>
      </c>
      <c r="CK129" s="2245">
        <f>CL129</f>
        <v>0</v>
      </c>
      <c r="CL129" s="449">
        <v>0</v>
      </c>
      <c r="CM129" s="448">
        <f>CN129</f>
        <v>52.5747</v>
      </c>
      <c r="CN129" s="73">
        <f>SUM(BX129,BZ129,CB129,CD129,CF129,CH129,CJ129,CL129)</f>
        <v>52.5747</v>
      </c>
      <c r="CO129" s="449">
        <v>120</v>
      </c>
      <c r="CP129" s="457">
        <v>120</v>
      </c>
      <c r="CQ129" s="458" t="s">
        <v>741</v>
      </c>
      <c r="CR129" s="459">
        <v>7.2</v>
      </c>
      <c r="CS129" s="459">
        <v>2</v>
      </c>
      <c r="CT129" s="459">
        <v>6.5</v>
      </c>
      <c r="CU129" s="460"/>
      <c r="CV129" s="461" t="s">
        <v>772</v>
      </c>
      <c r="CW129" s="215">
        <v>177193</v>
      </c>
      <c r="CX129" s="194">
        <v>177193</v>
      </c>
      <c r="CY129" s="234">
        <f>65069+177193</f>
        <v>242262</v>
      </c>
      <c r="CZ129" s="215">
        <v>242262</v>
      </c>
      <c r="DA129" s="215">
        <f>DB129</f>
        <v>242262</v>
      </c>
      <c r="DB129" s="397">
        <f>CZ129-DD129</f>
        <v>242262</v>
      </c>
      <c r="DC129" s="462">
        <v>0</v>
      </c>
      <c r="DD129" s="462">
        <v>0</v>
      </c>
      <c r="DE129" s="462">
        <v>0</v>
      </c>
      <c r="DF129" s="462">
        <v>0</v>
      </c>
      <c r="DG129" s="462">
        <v>0</v>
      </c>
      <c r="DH129" s="462">
        <v>0</v>
      </c>
      <c r="DI129" s="462">
        <v>0</v>
      </c>
      <c r="DJ129" s="462">
        <v>0</v>
      </c>
      <c r="DK129" s="462">
        <v>0</v>
      </c>
      <c r="DL129" s="462">
        <v>0</v>
      </c>
      <c r="DM129" s="462">
        <v>0</v>
      </c>
      <c r="DN129" s="462">
        <v>0</v>
      </c>
      <c r="DO129" s="462">
        <v>0</v>
      </c>
      <c r="DP129" s="462">
        <v>0</v>
      </c>
      <c r="DQ129" s="462">
        <v>0</v>
      </c>
      <c r="DR129" s="462">
        <v>0</v>
      </c>
      <c r="DS129" s="462">
        <v>0</v>
      </c>
      <c r="DT129" s="462">
        <v>0</v>
      </c>
      <c r="DU129" s="462">
        <v>0</v>
      </c>
      <c r="DV129" s="462">
        <v>0</v>
      </c>
      <c r="DW129" s="193">
        <f>DX129</f>
        <v>242300</v>
      </c>
      <c r="DX129" s="75">
        <f>SUM(DZ129,EB129,ED129,EF129,EH129,EJ129)</f>
        <v>242300</v>
      </c>
      <c r="DY129" s="214">
        <f>DZ129</f>
        <v>6805</v>
      </c>
      <c r="DZ129" s="214">
        <v>6805</v>
      </c>
      <c r="EA129" s="311">
        <f>-EB129</f>
        <v>0</v>
      </c>
      <c r="EB129" s="311">
        <v>0</v>
      </c>
      <c r="EC129" s="311">
        <f>ED129</f>
        <v>0</v>
      </c>
      <c r="ED129" s="463">
        <v>0</v>
      </c>
      <c r="EE129" s="311">
        <f>EF129</f>
        <v>0</v>
      </c>
      <c r="EF129" s="311">
        <v>0</v>
      </c>
      <c r="EG129" s="214">
        <f>EH129</f>
        <v>58302</v>
      </c>
      <c r="EH129" s="214">
        <v>58302</v>
      </c>
      <c r="EI129" s="464">
        <f>EJ129</f>
        <v>177193</v>
      </c>
      <c r="EJ129" s="465">
        <v>177193</v>
      </c>
      <c r="EK129" s="316">
        <f>EL129</f>
        <v>419455</v>
      </c>
      <c r="EL129" s="316">
        <f>CX129+CZ129</f>
        <v>419455</v>
      </c>
      <c r="EM129" s="249">
        <v>397</v>
      </c>
      <c r="EN129" s="215">
        <v>397</v>
      </c>
      <c r="EO129" s="466">
        <f>EP129</f>
        <v>397</v>
      </c>
      <c r="EP129" s="466">
        <f>EN129</f>
        <v>397</v>
      </c>
      <c r="EQ129" s="466">
        <f>ER129</f>
        <v>397</v>
      </c>
      <c r="ER129" s="466">
        <f>EN129</f>
        <v>397</v>
      </c>
      <c r="ES129" s="467">
        <f>ET129</f>
        <v>242.3</v>
      </c>
      <c r="ET129" s="468">
        <f t="shared" ref="ET129" si="45">FG129+FA129+FQ129</f>
        <v>242.3</v>
      </c>
      <c r="EU129" s="214">
        <f>EV129</f>
        <v>1214.82</v>
      </c>
      <c r="EV129" s="469">
        <f>3.06*EN129</f>
        <v>1214.82</v>
      </c>
      <c r="EW129" s="214">
        <f>EX129</f>
        <v>748</v>
      </c>
      <c r="EX129" s="470">
        <f>ROUND((DH129+DF129+DD129)/1000*3,0)+ROUND((ROUND(DL129/400,0))/2.67,0)+ROUND(DV129+DJ129/1000,0)+ROUND((DZ129+EB129+EJ129+EH129)/1000*3,0)+ROUND(EN129/25,0)+ROUND(ET129/50,0)</f>
        <v>748</v>
      </c>
      <c r="EY129" s="214">
        <f>EZ129</f>
        <v>0</v>
      </c>
      <c r="EZ129" s="471">
        <f>FA129</f>
        <v>0</v>
      </c>
      <c r="FA129" s="467">
        <v>0</v>
      </c>
      <c r="FB129" s="214">
        <f>FC129</f>
        <v>0</v>
      </c>
      <c r="FC129" s="316">
        <v>0</v>
      </c>
      <c r="FD129" s="214">
        <f>FE129</f>
        <v>0</v>
      </c>
      <c r="FE129" s="316">
        <v>0</v>
      </c>
      <c r="FF129" s="214">
        <f>FG129</f>
        <v>0</v>
      </c>
      <c r="FG129" s="316">
        <f>SUM(DJ129,DD129,DH129,DN129,DT129)/1000</f>
        <v>0</v>
      </c>
      <c r="FH129" s="214">
        <f>FI129</f>
        <v>0</v>
      </c>
      <c r="FI129" s="316">
        <f>DF129/1000</f>
        <v>0</v>
      </c>
      <c r="FJ129" s="214">
        <f>FK129</f>
        <v>0</v>
      </c>
      <c r="FK129" s="471">
        <f>((DL129/400)/12)</f>
        <v>0</v>
      </c>
      <c r="FL129" s="215">
        <f>FM129</f>
        <v>0</v>
      </c>
      <c r="FM129" s="471">
        <v>0</v>
      </c>
      <c r="FN129" s="215">
        <f>FO129</f>
        <v>0</v>
      </c>
      <c r="FO129" s="471">
        <v>0</v>
      </c>
      <c r="FP129" s="466">
        <f>FQ129</f>
        <v>242.3</v>
      </c>
      <c r="FQ129" s="471">
        <f>DX129/1000</f>
        <v>242.3</v>
      </c>
      <c r="FR129" s="214">
        <f>FS129</f>
        <v>130</v>
      </c>
      <c r="FS129" s="253">
        <v>130</v>
      </c>
      <c r="FT129" s="2240">
        <f>CX129-S129</f>
        <v>89568.5</v>
      </c>
      <c r="FU129" s="2228">
        <f>CY129-U129</f>
        <v>89568.5</v>
      </c>
      <c r="FV129" s="2235">
        <f>(DC129+DE129+DG129)-(Y129+AA129+AC129+AE129)</f>
        <v>0</v>
      </c>
      <c r="FW129" s="2235">
        <f>DG129-AC129</f>
        <v>0</v>
      </c>
      <c r="FX129" s="2233">
        <f>DE129-AA129</f>
        <v>0</v>
      </c>
      <c r="FY129" s="2233">
        <f>DC129-Y129</f>
        <v>0</v>
      </c>
      <c r="FZ129" s="2233">
        <f>DJ129-AE129</f>
        <v>0</v>
      </c>
      <c r="GA129" s="2233">
        <f>DL129-AL129</f>
        <v>0</v>
      </c>
      <c r="GB129" s="2233">
        <f>DM129-AM129</f>
        <v>0</v>
      </c>
      <c r="GC129" s="2233">
        <f>DP129-AQ129</f>
        <v>0</v>
      </c>
      <c r="GD129" s="2233">
        <f>DR129-AS129</f>
        <v>0</v>
      </c>
      <c r="GE129" s="2233">
        <f>DT129-AV129</f>
        <v>0</v>
      </c>
      <c r="GF129" s="2233">
        <f>DV129-AW129</f>
        <v>0</v>
      </c>
      <c r="GG129" s="235">
        <f>DZ129-BB129</f>
        <v>0</v>
      </c>
      <c r="GH129" s="235">
        <f>EB129-BD129</f>
        <v>0</v>
      </c>
      <c r="GI129" s="235">
        <f>ED129-BF129</f>
        <v>0</v>
      </c>
      <c r="GJ129" s="235">
        <f>EF129-BH129</f>
        <v>0</v>
      </c>
      <c r="GK129" s="235">
        <f>EH129-BJ129</f>
        <v>0</v>
      </c>
      <c r="GL129" s="2235">
        <f>DW129-AY129</f>
        <v>89568.5</v>
      </c>
      <c r="GM129" s="2235">
        <f>EK129-BM129</f>
        <v>179137</v>
      </c>
      <c r="GN129" s="2235">
        <f>EM129-BO129</f>
        <v>309.37549999999999</v>
      </c>
      <c r="GO129" s="2235">
        <f>GP129</f>
        <v>397</v>
      </c>
      <c r="GP129" s="89">
        <f>EP129-BR129</f>
        <v>397</v>
      </c>
      <c r="GQ129" s="2235">
        <f>GR129</f>
        <v>946.81999999999994</v>
      </c>
      <c r="GR129" s="89">
        <f>EV129-BT129</f>
        <v>946.81999999999994</v>
      </c>
      <c r="GS129" s="2235">
        <f>GT129</f>
        <v>285</v>
      </c>
      <c r="GT129" s="89">
        <f>EX129-BV129</f>
        <v>285</v>
      </c>
      <c r="GU129" s="112">
        <f>FA129-BX129</f>
        <v>-52.5747</v>
      </c>
      <c r="GV129" s="112">
        <f>FI129-CD129</f>
        <v>0</v>
      </c>
      <c r="GW129" s="112">
        <v>0</v>
      </c>
      <c r="GX129" s="112">
        <f>FG129-CB129</f>
        <v>0</v>
      </c>
      <c r="GY129" s="112">
        <f>FK129-CF129</f>
        <v>0</v>
      </c>
      <c r="GZ129" s="112">
        <f>FM129-CH129</f>
        <v>0</v>
      </c>
      <c r="HA129" s="112">
        <f>FO129-CJ129</f>
        <v>0</v>
      </c>
      <c r="HB129" s="112">
        <f>FQ129-CL129</f>
        <v>242.3</v>
      </c>
      <c r="HC129" s="2230">
        <f>ES129-CM129</f>
        <v>189.7253</v>
      </c>
      <c r="HD129" s="472"/>
      <c r="HE129" s="2227"/>
      <c r="HF129" s="2227"/>
      <c r="HG129" s="2227"/>
      <c r="HH129" s="2227"/>
      <c r="HI129" s="2227"/>
      <c r="HJ129" s="2227"/>
      <c r="HK129" s="2227"/>
      <c r="HL129" s="2227"/>
      <c r="HM129" s="2227"/>
      <c r="HN129" s="2227"/>
      <c r="HO129" s="2227"/>
      <c r="HP129" s="2226"/>
      <c r="HQ129" s="2226"/>
      <c r="HR129" s="2226"/>
      <c r="HS129" s="2226"/>
      <c r="HT129" s="316"/>
      <c r="HU129" s="316"/>
      <c r="HV129" s="316"/>
      <c r="HW129" s="316"/>
      <c r="HX129" s="316"/>
      <c r="HY129" s="316"/>
      <c r="HZ129" s="316"/>
      <c r="IA129" s="316"/>
      <c r="IB129" s="316"/>
      <c r="IC129" s="316"/>
      <c r="ID129" s="316"/>
      <c r="IE129" s="316"/>
      <c r="IF129" s="316"/>
      <c r="IG129" s="473"/>
    </row>
    <row r="130" spans="1:249" s="474" customFormat="1" ht="18.75">
      <c r="A130" s="475"/>
      <c r="B130" s="440"/>
      <c r="C130" s="441"/>
      <c r="D130" s="441"/>
      <c r="E130" s="442"/>
      <c r="F130" s="443"/>
      <c r="G130" s="441"/>
      <c r="H130" s="441"/>
      <c r="I130" s="222"/>
      <c r="J130" s="222"/>
      <c r="K130" s="222"/>
      <c r="L130" s="222"/>
      <c r="M130" s="444"/>
      <c r="N130" s="441"/>
      <c r="O130" s="441"/>
      <c r="P130" s="445"/>
      <c r="Q130" s="446"/>
      <c r="R130" s="447"/>
      <c r="S130" s="2293"/>
      <c r="T130" s="2293"/>
      <c r="U130" s="448"/>
      <c r="V130" s="448"/>
      <c r="W130" s="448"/>
      <c r="X130" s="448"/>
      <c r="Y130" s="448"/>
      <c r="Z130" s="449"/>
      <c r="AA130" s="449"/>
      <c r="AB130" s="449"/>
      <c r="AC130" s="449"/>
      <c r="AD130" s="449"/>
      <c r="AE130" s="449"/>
      <c r="AF130" s="449"/>
      <c r="AG130" s="449"/>
      <c r="AH130" s="449"/>
      <c r="AI130" s="449"/>
      <c r="AJ130" s="449"/>
      <c r="AK130" s="449"/>
      <c r="AL130" s="449"/>
      <c r="AM130" s="449"/>
      <c r="AN130" s="449"/>
      <c r="AO130" s="449"/>
      <c r="AP130" s="449"/>
      <c r="AQ130" s="449"/>
      <c r="AR130" s="449"/>
      <c r="AS130" s="449"/>
      <c r="AT130" s="449"/>
      <c r="AU130" s="2245"/>
      <c r="AV130" s="450"/>
      <c r="AW130" s="449"/>
      <c r="AX130" s="451"/>
      <c r="AY130" s="452"/>
      <c r="AZ130" s="75"/>
      <c r="BA130" s="2225"/>
      <c r="BB130" s="2225"/>
      <c r="BC130" s="2225"/>
      <c r="BD130" s="451"/>
      <c r="BE130" s="2225"/>
      <c r="BF130" s="451"/>
      <c r="BG130" s="2225"/>
      <c r="BH130" s="451"/>
      <c r="BI130" s="2225"/>
      <c r="BJ130" s="2225"/>
      <c r="BK130" s="2225"/>
      <c r="BL130" s="2293"/>
      <c r="BM130" s="453"/>
      <c r="BN130" s="453"/>
      <c r="BO130" s="454"/>
      <c r="BP130" s="454"/>
      <c r="BQ130" s="304"/>
      <c r="BR130" s="304"/>
      <c r="BS130" s="2245"/>
      <c r="BT130" s="2252"/>
      <c r="BU130" s="2245"/>
      <c r="BV130" s="455"/>
      <c r="BW130" s="2245"/>
      <c r="BX130" s="456"/>
      <c r="BY130" s="2245"/>
      <c r="BZ130" s="304"/>
      <c r="CA130" s="2245"/>
      <c r="CB130" s="304"/>
      <c r="CC130" s="2245"/>
      <c r="CD130" s="304"/>
      <c r="CE130" s="2245"/>
      <c r="CF130" s="304"/>
      <c r="CG130" s="2245"/>
      <c r="CH130" s="304"/>
      <c r="CI130" s="2245"/>
      <c r="CJ130" s="304"/>
      <c r="CK130" s="2245"/>
      <c r="CL130" s="449"/>
      <c r="CM130" s="453"/>
      <c r="CN130" s="73"/>
      <c r="CO130" s="449"/>
      <c r="CP130" s="457"/>
      <c r="CQ130" s="476"/>
      <c r="CR130" s="459"/>
      <c r="CS130" s="459"/>
      <c r="CT130" s="459"/>
      <c r="CU130" s="460"/>
      <c r="CV130" s="461"/>
      <c r="CW130" s="215"/>
      <c r="CX130" s="194"/>
      <c r="CY130" s="234"/>
      <c r="CZ130" s="215"/>
      <c r="DA130" s="215"/>
      <c r="DB130" s="397"/>
      <c r="DC130" s="462"/>
      <c r="DD130" s="462"/>
      <c r="DE130" s="462"/>
      <c r="DF130" s="462"/>
      <c r="DG130" s="462"/>
      <c r="DH130" s="462"/>
      <c r="DI130" s="462"/>
      <c r="DJ130" s="462"/>
      <c r="DK130" s="462"/>
      <c r="DL130" s="462"/>
      <c r="DM130" s="462"/>
      <c r="DN130" s="462"/>
      <c r="DO130" s="462"/>
      <c r="DP130" s="462"/>
      <c r="DQ130" s="462"/>
      <c r="DR130" s="462"/>
      <c r="DS130" s="462"/>
      <c r="DT130" s="462"/>
      <c r="DU130" s="462"/>
      <c r="DV130" s="462"/>
      <c r="DW130" s="193"/>
      <c r="DX130" s="75"/>
      <c r="DY130" s="214"/>
      <c r="DZ130" s="214"/>
      <c r="EA130" s="311"/>
      <c r="EB130" s="311"/>
      <c r="EC130" s="311"/>
      <c r="ED130" s="463"/>
      <c r="EE130" s="311"/>
      <c r="EF130" s="311"/>
      <c r="EG130" s="214"/>
      <c r="EH130" s="214"/>
      <c r="EI130" s="464"/>
      <c r="EJ130" s="465"/>
      <c r="EK130" s="316"/>
      <c r="EL130" s="316"/>
      <c r="EM130" s="249"/>
      <c r="EN130" s="215"/>
      <c r="EO130" s="466"/>
      <c r="EP130" s="477"/>
      <c r="EQ130" s="466"/>
      <c r="ER130" s="477"/>
      <c r="ES130" s="467"/>
      <c r="ET130" s="468"/>
      <c r="EU130" s="214"/>
      <c r="EV130" s="469"/>
      <c r="EW130" s="214"/>
      <c r="EX130" s="470"/>
      <c r="EY130" s="214"/>
      <c r="EZ130" s="471"/>
      <c r="FA130" s="467"/>
      <c r="FB130" s="214"/>
      <c r="FC130" s="316"/>
      <c r="FD130" s="214"/>
      <c r="FE130" s="316"/>
      <c r="FF130" s="214"/>
      <c r="FG130" s="316"/>
      <c r="FH130" s="214"/>
      <c r="FI130" s="316"/>
      <c r="FJ130" s="214"/>
      <c r="FK130" s="471"/>
      <c r="FL130" s="215"/>
      <c r="FM130" s="471"/>
      <c r="FN130" s="215"/>
      <c r="FO130" s="471"/>
      <c r="FP130" s="466"/>
      <c r="FQ130" s="471"/>
      <c r="FR130" s="214"/>
      <c r="FS130" s="253"/>
      <c r="FT130" s="2240"/>
      <c r="FU130" s="2228"/>
      <c r="FV130" s="2235"/>
      <c r="FW130" s="2235"/>
      <c r="FX130" s="2233"/>
      <c r="FY130" s="2233"/>
      <c r="FZ130" s="2233"/>
      <c r="GA130" s="2233"/>
      <c r="GB130" s="2233"/>
      <c r="GC130" s="2233"/>
      <c r="GD130" s="2233"/>
      <c r="GE130" s="2233"/>
      <c r="GF130" s="2233"/>
      <c r="GG130" s="2233"/>
      <c r="GH130" s="2233"/>
      <c r="GI130" s="2233"/>
      <c r="GJ130" s="2233"/>
      <c r="GK130" s="235"/>
      <c r="GL130" s="2235"/>
      <c r="GM130" s="2235"/>
      <c r="GN130" s="2235"/>
      <c r="GO130" s="2235"/>
      <c r="GP130" s="89"/>
      <c r="GQ130" s="2235"/>
      <c r="GR130" s="89"/>
      <c r="GS130" s="2235"/>
      <c r="GT130" s="89"/>
      <c r="GU130" s="112"/>
      <c r="GV130" s="112"/>
      <c r="GW130" s="112"/>
      <c r="GX130" s="112"/>
      <c r="GY130" s="112"/>
      <c r="GZ130" s="112"/>
      <c r="HA130" s="112"/>
      <c r="HB130" s="112"/>
      <c r="HC130" s="2230"/>
      <c r="HD130" s="472"/>
      <c r="HE130" s="2227"/>
      <c r="HF130" s="2227"/>
      <c r="HG130" s="2227"/>
      <c r="HH130" s="2227"/>
      <c r="HI130" s="2227"/>
      <c r="HJ130" s="2227"/>
      <c r="HK130" s="2227"/>
      <c r="HL130" s="2227"/>
      <c r="HM130" s="2227"/>
      <c r="HN130" s="2227"/>
      <c r="HO130" s="2227"/>
      <c r="HP130" s="2227"/>
      <c r="HQ130" s="2226"/>
      <c r="HR130" s="2226"/>
      <c r="HS130" s="2226"/>
      <c r="HT130" s="316"/>
      <c r="HU130" s="316"/>
      <c r="HV130" s="316"/>
      <c r="HW130" s="316"/>
      <c r="HX130" s="316"/>
      <c r="HY130" s="316"/>
      <c r="HZ130" s="316"/>
      <c r="IA130" s="316"/>
      <c r="IB130" s="316"/>
      <c r="IC130" s="316"/>
      <c r="ID130" s="316"/>
      <c r="IE130" s="316"/>
      <c r="IF130" s="316"/>
      <c r="IG130" s="473"/>
    </row>
    <row r="131" spans="1:249" ht="18.75">
      <c r="A131" s="478">
        <v>47</v>
      </c>
      <c r="B131" s="440" t="s">
        <v>703</v>
      </c>
      <c r="C131" s="441">
        <v>2867</v>
      </c>
      <c r="D131" s="441">
        <v>142</v>
      </c>
      <c r="E131" s="442">
        <v>2028670142</v>
      </c>
      <c r="F131" s="479">
        <v>11242</v>
      </c>
      <c r="G131" s="441" t="s">
        <v>726</v>
      </c>
      <c r="H131" s="218"/>
      <c r="I131" s="222">
        <v>0</v>
      </c>
      <c r="J131" s="222">
        <v>3.44</v>
      </c>
      <c r="K131" s="222">
        <v>0</v>
      </c>
      <c r="L131" s="222">
        <v>4.8</v>
      </c>
      <c r="M131" s="218">
        <v>0</v>
      </c>
      <c r="N131" s="218">
        <v>0</v>
      </c>
      <c r="O131" s="218">
        <v>0</v>
      </c>
      <c r="P131" s="396">
        <v>11242</v>
      </c>
      <c r="Q131" s="446">
        <v>0</v>
      </c>
      <c r="R131" s="447" t="s">
        <v>773</v>
      </c>
      <c r="S131" s="462">
        <f>T131</f>
        <v>0</v>
      </c>
      <c r="T131" s="462">
        <v>0</v>
      </c>
      <c r="U131" s="448">
        <f>V131</f>
        <v>20797.7</v>
      </c>
      <c r="V131" s="480">
        <f>2*(F131)-(0.15*1*(F131))</f>
        <v>20797.7</v>
      </c>
      <c r="W131" s="481">
        <f>X131</f>
        <v>20797.7</v>
      </c>
      <c r="X131" s="480">
        <f>U131-Z131</f>
        <v>20797.7</v>
      </c>
      <c r="Y131" s="462">
        <v>0</v>
      </c>
      <c r="Z131" s="462">
        <v>0</v>
      </c>
      <c r="AA131" s="462">
        <v>0</v>
      </c>
      <c r="AB131" s="462">
        <v>0</v>
      </c>
      <c r="AC131" s="462">
        <v>0</v>
      </c>
      <c r="AD131" s="462">
        <v>0</v>
      </c>
      <c r="AE131" s="462">
        <v>0</v>
      </c>
      <c r="AF131" s="462">
        <v>0</v>
      </c>
      <c r="AG131" s="462">
        <v>0</v>
      </c>
      <c r="AH131" s="311">
        <v>0</v>
      </c>
      <c r="AI131" s="462">
        <v>0</v>
      </c>
      <c r="AJ131" s="311">
        <v>0</v>
      </c>
      <c r="AK131" s="2252">
        <f>AL131</f>
        <v>0</v>
      </c>
      <c r="AL131" s="462">
        <v>0</v>
      </c>
      <c r="AM131" s="462">
        <v>0</v>
      </c>
      <c r="AN131" s="462">
        <v>0</v>
      </c>
      <c r="AO131" s="462">
        <v>0</v>
      </c>
      <c r="AP131" s="462">
        <v>0</v>
      </c>
      <c r="AQ131" s="462">
        <v>0</v>
      </c>
      <c r="AR131" s="462">
        <v>0</v>
      </c>
      <c r="AS131" s="462">
        <v>0</v>
      </c>
      <c r="AT131" s="462">
        <v>0</v>
      </c>
      <c r="AU131" s="311">
        <f>AV131</f>
        <v>0</v>
      </c>
      <c r="AV131" s="462">
        <v>0</v>
      </c>
      <c r="AW131" s="462">
        <v>0</v>
      </c>
      <c r="AX131" s="482">
        <v>0</v>
      </c>
      <c r="AY131" s="483">
        <f>AZ131</f>
        <v>20797.7</v>
      </c>
      <c r="AZ131" s="75">
        <f t="shared" si="18"/>
        <v>20797.7</v>
      </c>
      <c r="BA131" s="482">
        <v>0</v>
      </c>
      <c r="BB131" s="482">
        <v>0</v>
      </c>
      <c r="BC131" s="482">
        <f>BD131</f>
        <v>0</v>
      </c>
      <c r="BD131" s="482">
        <v>0</v>
      </c>
      <c r="BE131" s="482">
        <f>BF131</f>
        <v>0</v>
      </c>
      <c r="BF131" s="482">
        <v>0</v>
      </c>
      <c r="BG131" s="482">
        <f>BH131</f>
        <v>0</v>
      </c>
      <c r="BH131" s="482">
        <v>0</v>
      </c>
      <c r="BI131" s="483">
        <f>BJ131</f>
        <v>20797.7</v>
      </c>
      <c r="BJ131" s="483">
        <f>U131</f>
        <v>20797.7</v>
      </c>
      <c r="BK131" s="482">
        <v>0</v>
      </c>
      <c r="BL131" s="462">
        <v>0</v>
      </c>
      <c r="BM131" s="481">
        <f>BI131</f>
        <v>20797.7</v>
      </c>
      <c r="BN131" s="448">
        <f>U131</f>
        <v>20797.7</v>
      </c>
      <c r="BO131" s="311">
        <v>0</v>
      </c>
      <c r="BP131" s="311">
        <v>0</v>
      </c>
      <c r="BQ131" s="311">
        <v>0</v>
      </c>
      <c r="BR131" s="311">
        <v>0</v>
      </c>
      <c r="BS131" s="311">
        <f>BT131</f>
        <v>0</v>
      </c>
      <c r="BT131" s="311">
        <v>0</v>
      </c>
      <c r="BU131" s="311">
        <f>BV131</f>
        <v>62</v>
      </c>
      <c r="BV131" s="484">
        <f>ROUND((AD131+AB131+Z131)/1000*3,0)+ROUND((AF131+AX131)/1000,0)+ROUND((ROUND(AL131/400,0))/2.67,0)+ROUND(AN131/250,0)+ROUND(AR131/15000,0)+ROUND((BB131+BD131+BF131+BJ131+BL131)/1000*3,0)+ROUND(BP131/25,0)+ROUND(CN131/50,0)</f>
        <v>62</v>
      </c>
      <c r="BW131" s="311">
        <f>BX131</f>
        <v>0</v>
      </c>
      <c r="BX131" s="456">
        <f t="shared" ref="BX131" si="46">(BP131-BR131)*0.6</f>
        <v>0</v>
      </c>
      <c r="BY131" s="311">
        <f>BZ131</f>
        <v>0</v>
      </c>
      <c r="BZ131" s="311">
        <v>0</v>
      </c>
      <c r="CA131" s="311">
        <f>CB131</f>
        <v>0</v>
      </c>
      <c r="CB131" s="311">
        <v>0</v>
      </c>
      <c r="CC131" s="311">
        <f>CD131</f>
        <v>0</v>
      </c>
      <c r="CD131" s="311">
        <v>0</v>
      </c>
      <c r="CE131" s="311">
        <f>CF131</f>
        <v>0</v>
      </c>
      <c r="CF131" s="311">
        <v>0</v>
      </c>
      <c r="CG131" s="311">
        <f>CH131</f>
        <v>0</v>
      </c>
      <c r="CH131" s="304">
        <v>0</v>
      </c>
      <c r="CI131" s="311">
        <f>CJ131</f>
        <v>0</v>
      </c>
      <c r="CJ131" s="304">
        <v>0</v>
      </c>
      <c r="CK131" s="311">
        <f>CL131</f>
        <v>0</v>
      </c>
      <c r="CL131" s="449">
        <v>0</v>
      </c>
      <c r="CM131" s="449">
        <v>0</v>
      </c>
      <c r="CN131" s="73">
        <f t="shared" si="19"/>
        <v>0</v>
      </c>
      <c r="CO131" s="462">
        <v>25</v>
      </c>
      <c r="CP131" s="457">
        <v>25</v>
      </c>
      <c r="CQ131" s="91" t="s">
        <v>774</v>
      </c>
      <c r="CR131" s="485">
        <v>5.6</v>
      </c>
      <c r="CS131" s="485">
        <v>2</v>
      </c>
      <c r="CT131" s="485">
        <v>4.2</v>
      </c>
      <c r="CU131" s="460"/>
      <c r="CV131" s="486" t="s">
        <v>775</v>
      </c>
      <c r="CW131" s="471">
        <f>CX131</f>
        <v>42157.5</v>
      </c>
      <c r="CX131" s="487">
        <f>(CR131*F131)-CZ131</f>
        <v>42157.5</v>
      </c>
      <c r="CY131" s="235">
        <f>CZ131</f>
        <v>20797.7</v>
      </c>
      <c r="CZ131" s="469">
        <f>(2*(F131)-(0.15*1*(F131)))</f>
        <v>20797.7</v>
      </c>
      <c r="DA131" s="471">
        <f>DB131</f>
        <v>20797.7</v>
      </c>
      <c r="DB131" s="397">
        <f>CZ131-DD131</f>
        <v>20797.7</v>
      </c>
      <c r="DC131" s="462">
        <v>0</v>
      </c>
      <c r="DD131" s="462">
        <v>0</v>
      </c>
      <c r="DE131" s="462">
        <v>0</v>
      </c>
      <c r="DF131" s="462">
        <v>0</v>
      </c>
      <c r="DG131" s="462">
        <v>0</v>
      </c>
      <c r="DH131" s="462">
        <v>0</v>
      </c>
      <c r="DI131" s="462">
        <v>0</v>
      </c>
      <c r="DJ131" s="462">
        <v>0</v>
      </c>
      <c r="DK131" s="462">
        <v>0</v>
      </c>
      <c r="DL131" s="462">
        <v>0</v>
      </c>
      <c r="DM131" s="462">
        <v>0</v>
      </c>
      <c r="DN131" s="462">
        <v>0</v>
      </c>
      <c r="DO131" s="462">
        <v>0</v>
      </c>
      <c r="DP131" s="462">
        <v>0</v>
      </c>
      <c r="DQ131" s="462">
        <v>0</v>
      </c>
      <c r="DR131" s="462">
        <v>0</v>
      </c>
      <c r="DS131" s="462">
        <v>0</v>
      </c>
      <c r="DT131" s="462">
        <v>0</v>
      </c>
      <c r="DU131" s="462">
        <v>0</v>
      </c>
      <c r="DV131" s="462">
        <v>0</v>
      </c>
      <c r="DW131" s="488">
        <f>CZ131</f>
        <v>20797.7</v>
      </c>
      <c r="DX131" s="75">
        <f t="shared" si="22"/>
        <v>20797.7</v>
      </c>
      <c r="DY131" s="311">
        <v>0</v>
      </c>
      <c r="DZ131" s="311">
        <v>0</v>
      </c>
      <c r="EA131" s="311">
        <v>0</v>
      </c>
      <c r="EB131" s="311">
        <v>0</v>
      </c>
      <c r="EC131" s="311">
        <v>0</v>
      </c>
      <c r="ED131" s="311">
        <v>0</v>
      </c>
      <c r="EE131" s="311">
        <v>0</v>
      </c>
      <c r="EF131" s="311">
        <v>0</v>
      </c>
      <c r="EG131" s="397">
        <f>EH131</f>
        <v>20797.7</v>
      </c>
      <c r="EH131" s="397">
        <f>DB131</f>
        <v>20797.7</v>
      </c>
      <c r="EI131" s="311">
        <v>0</v>
      </c>
      <c r="EJ131" s="311">
        <v>0</v>
      </c>
      <c r="EK131" s="488">
        <f>EL131</f>
        <v>62955.199999999997</v>
      </c>
      <c r="EL131" s="316">
        <f>CX131+CZ131</f>
        <v>62955.199999999997</v>
      </c>
      <c r="EM131" s="471">
        <f>EN131</f>
        <v>42.157499999999999</v>
      </c>
      <c r="EN131" s="215">
        <f>CX131/1000</f>
        <v>42.157499999999999</v>
      </c>
      <c r="EO131" s="471">
        <f>EP131</f>
        <v>8.4314999999999998</v>
      </c>
      <c r="EP131" s="477">
        <f>EN131*0.2</f>
        <v>8.4314999999999998</v>
      </c>
      <c r="EQ131" s="471">
        <f>ER131</f>
        <v>10.539375</v>
      </c>
      <c r="ER131" s="477">
        <f>EN131*0.25</f>
        <v>10.539375</v>
      </c>
      <c r="ES131" s="316">
        <f>ET131</f>
        <v>36.606762500000002</v>
      </c>
      <c r="ET131" s="468">
        <f t="shared" ref="ET131" si="47">FG131+FA131+FQ131</f>
        <v>36.606762500000002</v>
      </c>
      <c r="EU131" s="397">
        <f>EV131</f>
        <v>129.00194999999999</v>
      </c>
      <c r="EV131" s="469">
        <f>3.06*EN131</f>
        <v>129.00194999999999</v>
      </c>
      <c r="EW131" s="397">
        <f>EX131</f>
        <v>65</v>
      </c>
      <c r="EX131" s="470">
        <f>ROUND((DH131+DF131+DD131)/1000*3,0)+ROUND((ROUND(DL131/400,0))/2.67,0)+ROUND(DV131+DJ131/1000,0)+ROUND((DZ131+EB131+EJ131+EH131)/1000*3,0)+ROUND(EN131/25,0)+ROUND(ET131/50,0)</f>
        <v>65</v>
      </c>
      <c r="EY131" s="397">
        <f>EZ131</f>
        <v>15.8090625</v>
      </c>
      <c r="EZ131" s="471">
        <f>FA131</f>
        <v>15.8090625</v>
      </c>
      <c r="FA131" s="467">
        <f>(0.75*EN131)*0.5</f>
        <v>15.8090625</v>
      </c>
      <c r="FB131" s="397">
        <f>FC131</f>
        <v>0</v>
      </c>
      <c r="FC131" s="316">
        <v>0</v>
      </c>
      <c r="FD131" s="397">
        <f>FE131</f>
        <v>0</v>
      </c>
      <c r="FE131" s="316">
        <v>0</v>
      </c>
      <c r="FF131" s="397">
        <f>FG131</f>
        <v>0</v>
      </c>
      <c r="FG131" s="316">
        <f>SUM(DJ131,DD131,DH131,DN131,DT131)/1000</f>
        <v>0</v>
      </c>
      <c r="FH131" s="397">
        <f>FI131</f>
        <v>0</v>
      </c>
      <c r="FI131" s="316">
        <f>DF131/1000</f>
        <v>0</v>
      </c>
      <c r="FJ131" s="397">
        <f>FK131</f>
        <v>0</v>
      </c>
      <c r="FK131" s="471">
        <f>((DL131/400)/12)</f>
        <v>0</v>
      </c>
      <c r="FL131" s="471">
        <f>FM131</f>
        <v>0</v>
      </c>
      <c r="FM131" s="471">
        <v>0</v>
      </c>
      <c r="FN131" s="471">
        <f>FO131</f>
        <v>0</v>
      </c>
      <c r="FO131" s="471">
        <v>0</v>
      </c>
      <c r="FP131" s="471">
        <f>FQ131</f>
        <v>20.797699999999999</v>
      </c>
      <c r="FQ131" s="471">
        <f>DX131/1000</f>
        <v>20.797699999999999</v>
      </c>
      <c r="FR131" s="397">
        <f>FS131</f>
        <v>125</v>
      </c>
      <c r="FS131" s="253">
        <v>125</v>
      </c>
      <c r="FT131" s="489">
        <f>CX131-S131</f>
        <v>42157.5</v>
      </c>
      <c r="FU131" s="316">
        <f>CY131-U131</f>
        <v>0</v>
      </c>
      <c r="FV131" s="2235">
        <f>(DC131+DE131+DG131)-(Y131+AA131+AC131+AE131)</f>
        <v>0</v>
      </c>
      <c r="FW131" s="2235">
        <f>DG131-AC131</f>
        <v>0</v>
      </c>
      <c r="FX131" s="2233">
        <f>DE131-AA131</f>
        <v>0</v>
      </c>
      <c r="FY131" s="2233">
        <f>DC131-Y131</f>
        <v>0</v>
      </c>
      <c r="FZ131" s="2233">
        <f>DJ131-AE131</f>
        <v>0</v>
      </c>
      <c r="GA131" s="2233">
        <f>DL131-AL131</f>
        <v>0</v>
      </c>
      <c r="GB131" s="2233">
        <f>DM131-AM131</f>
        <v>0</v>
      </c>
      <c r="GC131" s="2233">
        <f>DP131-AQ131</f>
        <v>0</v>
      </c>
      <c r="GD131" s="2233">
        <f>DR131-AS131</f>
        <v>0</v>
      </c>
      <c r="GE131" s="2233">
        <f>DT131-AV131</f>
        <v>0</v>
      </c>
      <c r="GF131" s="2233">
        <f>DV131-AW131</f>
        <v>0</v>
      </c>
      <c r="GG131" s="2233">
        <f>DZ131-BB131</f>
        <v>0</v>
      </c>
      <c r="GH131" s="2233">
        <f>EB131-BD131</f>
        <v>0</v>
      </c>
      <c r="GI131" s="2233">
        <f>ED131-BF131</f>
        <v>0</v>
      </c>
      <c r="GJ131" s="2233">
        <f>EF131-BH131</f>
        <v>0</v>
      </c>
      <c r="GK131" s="235">
        <f>EH131-BJ131</f>
        <v>0</v>
      </c>
      <c r="GL131" s="2235">
        <f>DW131-AY131</f>
        <v>0</v>
      </c>
      <c r="GM131" s="2235">
        <f>EK131-BM131</f>
        <v>42157.5</v>
      </c>
      <c r="GN131" s="2235">
        <f>EM131-BO131</f>
        <v>42.157499999999999</v>
      </c>
      <c r="GO131" s="2235">
        <f>GP131</f>
        <v>8.4314999999999998</v>
      </c>
      <c r="GP131" s="89">
        <f>EP131-BR131</f>
        <v>8.4314999999999998</v>
      </c>
      <c r="GQ131" s="2235">
        <f>GR131</f>
        <v>129.00194999999999</v>
      </c>
      <c r="GR131" s="89">
        <f>EV131-BT131</f>
        <v>129.00194999999999</v>
      </c>
      <c r="GS131" s="2235">
        <f>GT131</f>
        <v>3</v>
      </c>
      <c r="GT131" s="89">
        <f>EX131-BV131</f>
        <v>3</v>
      </c>
      <c r="GU131" s="112">
        <f>FA131-BX131</f>
        <v>15.8090625</v>
      </c>
      <c r="GV131" s="112">
        <f>FI131-CD131</f>
        <v>0</v>
      </c>
      <c r="GW131" s="112">
        <v>0</v>
      </c>
      <c r="GX131" s="112">
        <f>FG131-CB131</f>
        <v>0</v>
      </c>
      <c r="GY131" s="112">
        <f>FK131-CF131</f>
        <v>0</v>
      </c>
      <c r="GZ131" s="112">
        <f>FM131-CH131</f>
        <v>0</v>
      </c>
      <c r="HA131" s="112">
        <f>FO131-CJ131</f>
        <v>0</v>
      </c>
      <c r="HB131" s="112">
        <f>FQ131-CL131</f>
        <v>20.797699999999999</v>
      </c>
      <c r="HC131" s="490">
        <f>ES131-CM131</f>
        <v>36.606762500000002</v>
      </c>
      <c r="HD131" s="472"/>
      <c r="HE131" s="2227"/>
      <c r="HF131" s="2227"/>
      <c r="HG131" s="2227"/>
      <c r="HH131" s="2227"/>
      <c r="HI131" s="2227"/>
      <c r="HJ131" s="2227"/>
      <c r="HK131" s="2227"/>
      <c r="HL131" s="2227"/>
      <c r="HM131" s="2227"/>
      <c r="HN131" s="2227"/>
      <c r="HO131" s="2227"/>
      <c r="HP131" s="2227"/>
      <c r="HQ131" s="316"/>
      <c r="HR131" s="316"/>
      <c r="HS131" s="316"/>
      <c r="HT131" s="316"/>
      <c r="HU131" s="316"/>
      <c r="HV131" s="316"/>
      <c r="HW131" s="316"/>
      <c r="HX131" s="316"/>
      <c r="HY131" s="316"/>
      <c r="HZ131" s="316"/>
      <c r="IA131" s="316"/>
      <c r="IB131" s="316"/>
      <c r="IC131" s="316"/>
      <c r="ID131" s="316"/>
      <c r="IE131" s="316"/>
      <c r="IF131" s="316"/>
      <c r="IG131" s="473"/>
      <c r="IH131" s="491"/>
    </row>
    <row r="132" spans="1:249" s="95" customFormat="1" ht="15" customHeight="1">
      <c r="A132" s="475"/>
      <c r="B132" s="492"/>
      <c r="C132" s="132"/>
      <c r="D132" s="132"/>
      <c r="E132" s="132"/>
      <c r="F132" s="493"/>
      <c r="G132" s="132"/>
      <c r="H132" s="136"/>
      <c r="I132" s="132"/>
      <c r="J132" s="132"/>
      <c r="K132" s="132"/>
      <c r="L132" s="132"/>
      <c r="M132" s="134"/>
      <c r="N132" s="134"/>
      <c r="O132" s="134"/>
      <c r="P132" s="134"/>
      <c r="Q132" s="137"/>
      <c r="R132" s="139"/>
      <c r="S132" s="2244"/>
      <c r="T132" s="97"/>
      <c r="U132" s="2244"/>
      <c r="V132" s="139"/>
      <c r="W132" s="2244"/>
      <c r="Y132" s="2244"/>
      <c r="Z132" s="270"/>
      <c r="AA132" s="2244"/>
      <c r="AB132" s="270"/>
      <c r="AC132" s="2244"/>
      <c r="AD132" s="270"/>
      <c r="AE132" s="2251"/>
      <c r="AF132" s="270"/>
      <c r="AG132" s="270"/>
      <c r="AH132" s="270"/>
      <c r="AI132" s="270"/>
      <c r="AJ132" s="270"/>
      <c r="AK132" s="270"/>
      <c r="AL132" s="270"/>
      <c r="AM132" s="2251"/>
      <c r="AN132" s="270"/>
      <c r="AO132" s="2224"/>
      <c r="AP132" s="270"/>
      <c r="AQ132" s="2251"/>
      <c r="AR132" s="270"/>
      <c r="AS132" s="2251"/>
      <c r="AT132" s="270"/>
      <c r="AU132" s="2251"/>
      <c r="AV132" s="270"/>
      <c r="AW132" s="2251"/>
      <c r="AX132" s="270"/>
      <c r="AY132" s="2251"/>
      <c r="AZ132" s="75"/>
      <c r="BA132" s="2224"/>
      <c r="BB132" s="270"/>
      <c r="BC132" s="2224"/>
      <c r="BD132" s="270"/>
      <c r="BE132" s="2224"/>
      <c r="BF132" s="270"/>
      <c r="BG132" s="2224"/>
      <c r="BH132" s="270"/>
      <c r="BI132" s="2224"/>
      <c r="BJ132" s="270"/>
      <c r="BK132" s="2224"/>
      <c r="BM132" s="2251"/>
      <c r="BN132" s="433"/>
      <c r="BO132" s="2251"/>
      <c r="BP132" s="242"/>
      <c r="BQ132" s="2251"/>
      <c r="BR132" s="242"/>
      <c r="BS132" s="2251"/>
      <c r="BT132" s="494"/>
      <c r="BU132" s="2251"/>
      <c r="BV132" s="495"/>
      <c r="BW132" s="2251"/>
      <c r="BX132" s="496"/>
      <c r="BY132" s="2251"/>
      <c r="BZ132" s="496"/>
      <c r="CA132" s="2251"/>
      <c r="CB132" s="496"/>
      <c r="CC132" s="2251"/>
      <c r="CD132" s="496"/>
      <c r="CE132" s="2251"/>
      <c r="CF132" s="496"/>
      <c r="CG132" s="2251"/>
      <c r="CH132" s="497"/>
      <c r="CI132" s="2251"/>
      <c r="CJ132" s="496"/>
      <c r="CK132" s="2251"/>
      <c r="CM132" s="2251"/>
      <c r="CN132" s="73">
        <f t="shared" si="19"/>
        <v>0</v>
      </c>
      <c r="CP132" s="2256"/>
      <c r="CQ132" s="139"/>
      <c r="CR132" s="139"/>
      <c r="CS132" s="139"/>
      <c r="CT132" s="139"/>
      <c r="CU132" s="108"/>
      <c r="CV132" s="2258"/>
      <c r="CW132" s="97"/>
      <c r="CX132" s="2244"/>
      <c r="CY132" s="2261"/>
      <c r="CZ132" s="97"/>
      <c r="DA132" s="2244"/>
      <c r="DB132" s="268"/>
      <c r="DC132" s="2244"/>
      <c r="DD132" s="97"/>
      <c r="DE132" s="2244"/>
      <c r="DF132" s="97"/>
      <c r="DG132" s="2244"/>
      <c r="DH132" s="97"/>
      <c r="DI132" s="2244"/>
      <c r="DJ132" s="97"/>
      <c r="DK132" s="2244"/>
      <c r="DL132" s="97"/>
      <c r="DM132" s="2244"/>
      <c r="DN132" s="97"/>
      <c r="DO132" s="2244"/>
      <c r="DP132" s="97"/>
      <c r="DQ132" s="2244"/>
      <c r="DR132" s="97"/>
      <c r="DS132" s="2244"/>
      <c r="DT132" s="97"/>
      <c r="DU132" s="2244"/>
      <c r="DV132" s="97"/>
      <c r="DW132" s="2244"/>
      <c r="DX132" s="75"/>
      <c r="DY132" s="2244"/>
      <c r="DZ132" s="242"/>
      <c r="EA132" s="2244"/>
      <c r="EB132" s="242"/>
      <c r="EC132" s="2244"/>
      <c r="ED132" s="239"/>
      <c r="EE132" s="2244"/>
      <c r="EF132" s="242"/>
      <c r="EG132" s="2244"/>
      <c r="EH132" s="242"/>
      <c r="EI132" s="2244"/>
      <c r="EJ132" s="242"/>
      <c r="EK132" s="2251"/>
      <c r="EL132" s="97"/>
      <c r="EM132" s="2251"/>
      <c r="EN132" s="242"/>
      <c r="EO132" s="2251"/>
      <c r="EP132" s="242"/>
      <c r="EQ132" s="2251"/>
      <c r="ER132" s="242"/>
      <c r="ES132" s="2246"/>
      <c r="ET132" s="110"/>
      <c r="EU132" s="2244"/>
      <c r="EV132" s="110"/>
      <c r="EW132" s="2244"/>
      <c r="EX132" s="498"/>
      <c r="EY132" s="2244"/>
      <c r="EZ132" s="2246"/>
      <c r="FA132" s="2224"/>
      <c r="FB132" s="2244"/>
      <c r="FC132" s="2224"/>
      <c r="FD132" s="2244"/>
      <c r="FE132" s="2224"/>
      <c r="FF132" s="2244"/>
      <c r="FG132" s="102"/>
      <c r="FH132" s="2244"/>
      <c r="FI132" s="102"/>
      <c r="FJ132" s="2244"/>
      <c r="FK132" s="242"/>
      <c r="FL132" s="2251"/>
      <c r="FM132" s="242"/>
      <c r="FN132" s="2251"/>
      <c r="FO132" s="242"/>
      <c r="FP132" s="2251"/>
      <c r="FQ132" s="110"/>
      <c r="FR132" s="2244"/>
      <c r="FS132" s="2244"/>
      <c r="FT132" s="2239"/>
      <c r="FU132" s="316"/>
      <c r="FV132" s="2234"/>
      <c r="FW132" s="2234"/>
      <c r="FX132" s="2232"/>
      <c r="FY132" s="2232"/>
      <c r="FZ132" s="2232"/>
      <c r="GA132" s="2232"/>
      <c r="GB132" s="2232"/>
      <c r="GC132" s="2232"/>
      <c r="GD132" s="2232"/>
      <c r="GE132" s="2232"/>
      <c r="GF132" s="2232"/>
      <c r="GG132" s="2232"/>
      <c r="GH132" s="2232"/>
      <c r="GI132" s="2232"/>
      <c r="GJ132" s="2232"/>
      <c r="GK132" s="2232"/>
      <c r="GL132" s="2234"/>
      <c r="GM132" s="2234"/>
      <c r="GN132" s="2234"/>
      <c r="GO132" s="2224"/>
      <c r="GP132" s="113"/>
      <c r="GQ132" s="2224"/>
      <c r="GR132" s="113"/>
      <c r="GS132" s="2227"/>
      <c r="GT132" s="195"/>
      <c r="GU132" s="113"/>
      <c r="GV132" s="195"/>
      <c r="GW132" s="195"/>
      <c r="GX132" s="195"/>
      <c r="GY132" s="195"/>
      <c r="GZ132" s="113"/>
      <c r="HA132" s="278"/>
      <c r="HB132" s="278"/>
      <c r="HC132" s="2229"/>
      <c r="HD132" s="98"/>
    </row>
    <row r="133" spans="1:249" s="23" customFormat="1" ht="15" customHeight="1">
      <c r="A133" s="2703">
        <v>52</v>
      </c>
      <c r="B133" s="499" t="s">
        <v>703</v>
      </c>
      <c r="C133" s="500">
        <v>2855</v>
      </c>
      <c r="D133" s="500">
        <v>51</v>
      </c>
      <c r="E133" s="500">
        <v>2028550051</v>
      </c>
      <c r="F133" s="501">
        <v>20000</v>
      </c>
      <c r="G133" s="499" t="s">
        <v>756</v>
      </c>
      <c r="H133" s="502"/>
      <c r="I133" s="503">
        <v>2</v>
      </c>
      <c r="J133" s="503">
        <v>0</v>
      </c>
      <c r="K133" s="503">
        <v>2</v>
      </c>
      <c r="L133" s="503">
        <v>4.8</v>
      </c>
      <c r="M133" s="504">
        <v>40000</v>
      </c>
      <c r="N133" s="504">
        <v>0</v>
      </c>
      <c r="O133" s="504">
        <v>0</v>
      </c>
      <c r="P133" s="505">
        <v>40000</v>
      </c>
      <c r="Q133" s="506">
        <v>0</v>
      </c>
      <c r="R133" s="507" t="s">
        <v>776</v>
      </c>
      <c r="S133" s="2705">
        <f>SUM(T133:T135)</f>
        <v>0</v>
      </c>
      <c r="T133" s="2226">
        <v>0</v>
      </c>
      <c r="U133" s="2705">
        <f>SUM(V133:V135)</f>
        <v>80000</v>
      </c>
      <c r="V133" s="2226">
        <f>M133</f>
        <v>40000</v>
      </c>
      <c r="W133" s="2705">
        <f>SUM(X133:X135)</f>
        <v>80000</v>
      </c>
      <c r="X133" s="2226">
        <f>V133-Z133</f>
        <v>40000</v>
      </c>
      <c r="Y133" s="2705">
        <f>SUM(Z133:Z135)</f>
        <v>0</v>
      </c>
      <c r="Z133" s="2226">
        <v>0</v>
      </c>
      <c r="AA133" s="2705">
        <f>SUM(AB133:AB135)</f>
        <v>0</v>
      </c>
      <c r="AB133" s="2226">
        <v>0</v>
      </c>
      <c r="AC133" s="2705">
        <f>SUM(AD133:AD135)</f>
        <v>5000</v>
      </c>
      <c r="AD133" s="508">
        <f>V133-(Z133+AB133+AF133+AP133+AR133+AT133+AX133)</f>
        <v>0</v>
      </c>
      <c r="AE133" s="2705">
        <f>SUM(AF133:AF135)</f>
        <v>20000</v>
      </c>
      <c r="AF133" s="2292">
        <f>AH133+AJ133</f>
        <v>0</v>
      </c>
      <c r="AG133" s="2705">
        <f>SUM(AH133:AH135)</f>
        <v>0</v>
      </c>
      <c r="AH133" s="509">
        <v>0</v>
      </c>
      <c r="AI133" s="2705">
        <f>SUM(AJ133:AJ135)</f>
        <v>20000</v>
      </c>
      <c r="AJ133" s="2226">
        <f>N133</f>
        <v>0</v>
      </c>
      <c r="AK133" s="2705">
        <f>SUM(AL133:AL135)</f>
        <v>0</v>
      </c>
      <c r="AL133" s="509">
        <v>0</v>
      </c>
      <c r="AM133" s="2705">
        <f>SUM(AN133:AN135)</f>
        <v>0</v>
      </c>
      <c r="AN133" s="2226">
        <v>0</v>
      </c>
      <c r="AO133" s="2705">
        <f>SUM(AP133:AP135)</f>
        <v>0</v>
      </c>
      <c r="AP133" s="509">
        <v>0</v>
      </c>
      <c r="AQ133" s="2705">
        <f>SUM(AR133:AR135)</f>
        <v>20000</v>
      </c>
      <c r="AR133" s="2226">
        <v>0</v>
      </c>
      <c r="AS133" s="2705">
        <f>SUM(AT133:AT135)</f>
        <v>50000</v>
      </c>
      <c r="AT133" s="2226">
        <v>30000</v>
      </c>
      <c r="AU133" s="2708">
        <f>SUM(AV133:AV135)</f>
        <v>0</v>
      </c>
      <c r="AV133" s="2226">
        <v>0</v>
      </c>
      <c r="AW133" s="2705">
        <f>SUM(AX133:AX135)</f>
        <v>10000</v>
      </c>
      <c r="AX133" s="2226">
        <v>10000</v>
      </c>
      <c r="AY133" s="2705">
        <f>SUM(AZ133:AZ135)</f>
        <v>0</v>
      </c>
      <c r="AZ133" s="103">
        <f t="shared" ref="AZ133:AZ135" si="48">BB133+BD133+BF133+BH133+BJ133+BL133</f>
        <v>0</v>
      </c>
      <c r="BA133" s="2705">
        <f>SUM(BB133:BB135)</f>
        <v>0</v>
      </c>
      <c r="BB133" s="2226">
        <v>0</v>
      </c>
      <c r="BC133" s="2705">
        <f>SUM(BD133:BD135)</f>
        <v>0</v>
      </c>
      <c r="BD133" s="2226">
        <v>0</v>
      </c>
      <c r="BE133" s="2705">
        <f>SUM(BF133:BF135)</f>
        <v>0</v>
      </c>
      <c r="BF133" s="2226">
        <v>0</v>
      </c>
      <c r="BG133" s="2705">
        <f>SUM(BH133:BH135)</f>
        <v>0</v>
      </c>
      <c r="BH133" s="2226">
        <v>0</v>
      </c>
      <c r="BI133" s="2705">
        <f>SUM(BJ133:BJ135)</f>
        <v>0</v>
      </c>
      <c r="BJ133" s="2226">
        <v>0</v>
      </c>
      <c r="BK133" s="2705">
        <f>SUM(BL133:BL135)</f>
        <v>0</v>
      </c>
      <c r="BL133" s="2226">
        <v>0</v>
      </c>
      <c r="BM133" s="2676">
        <f>SUM(BN133:BN135)</f>
        <v>80000</v>
      </c>
      <c r="BN133" s="2226">
        <f>T133+V133</f>
        <v>40000</v>
      </c>
      <c r="BO133" s="2708">
        <f>SUM(BP133:BP135)</f>
        <v>0</v>
      </c>
      <c r="BP133" s="2241">
        <f>Q133</f>
        <v>0</v>
      </c>
      <c r="BQ133" s="2708">
        <f>SUM(BR133:BR135)</f>
        <v>0</v>
      </c>
      <c r="BR133" s="2241">
        <v>0</v>
      </c>
      <c r="BS133" s="2708">
        <f>SUM(BT133:BT135)</f>
        <v>0</v>
      </c>
      <c r="BT133" s="2241">
        <f>ROUND(BP133*2.87,0)</f>
        <v>0</v>
      </c>
      <c r="BU133" s="2708">
        <f>SUM(BV133:BV135)</f>
        <v>51</v>
      </c>
      <c r="BV133" s="2241">
        <f>ROUND((AD133+AB133+Z133)/1000*3,0)+ROUND((AF133+AX133)/1000,0)+ROUND((ROUND(AL133/400,0))/2.67,0)+ROUND(AN133/250,0)+ROUND(AR133/15000,0)+ROUND((BB133+BD133+BF133+BJ133+BL133)/1000*3,0)+ROUND(BP133/25,0)+ROUND(CN133/50,0)</f>
        <v>15</v>
      </c>
      <c r="BW133" s="2708">
        <f>SUM(BX133:BX135)</f>
        <v>0</v>
      </c>
      <c r="BX133" s="2241">
        <v>0</v>
      </c>
      <c r="BY133" s="2708">
        <f>SUM(BZ133:BZ135)</f>
        <v>0</v>
      </c>
      <c r="BZ133" s="2241">
        <v>0</v>
      </c>
      <c r="CA133" s="2708">
        <f>SUM(CB133:CB135)</f>
        <v>0</v>
      </c>
      <c r="CB133" s="2241">
        <v>0</v>
      </c>
      <c r="CC133" s="2708">
        <f>SUM(CD133:CD135)</f>
        <v>0</v>
      </c>
      <c r="CD133" s="2241">
        <v>0</v>
      </c>
      <c r="CE133" s="2708">
        <f>SUM(CF133:CF135)</f>
        <v>0</v>
      </c>
      <c r="CF133" s="2241">
        <v>0</v>
      </c>
      <c r="CG133" s="2708">
        <f>SUM(CH133:CH135)</f>
        <v>240</v>
      </c>
      <c r="CH133" s="2241">
        <v>240</v>
      </c>
      <c r="CI133" s="2708">
        <f>SUM(CJ133:CJ135)</f>
        <v>0</v>
      </c>
      <c r="CJ133" s="2241">
        <v>0</v>
      </c>
      <c r="CK133" s="2708">
        <f>SUM(CL133:CL135)</f>
        <v>0</v>
      </c>
      <c r="CL133" s="2226">
        <v>0</v>
      </c>
      <c r="CM133" s="2705">
        <f>SUM(CN133:CN135)</f>
        <v>240</v>
      </c>
      <c r="CN133" s="97">
        <f t="shared" ref="CN133:CN135" si="49">SUM(BX133,BZ133,CB133,CD133,CF133,CH133,CJ133,CL133)</f>
        <v>240</v>
      </c>
      <c r="CO133" s="2705"/>
      <c r="CP133" s="510">
        <v>25</v>
      </c>
      <c r="CQ133" s="507" t="s">
        <v>741</v>
      </c>
      <c r="CR133" s="511">
        <v>7.2</v>
      </c>
      <c r="CS133" s="512">
        <v>2</v>
      </c>
      <c r="CT133" s="511">
        <v>6.5</v>
      </c>
      <c r="CU133" s="513" t="s">
        <v>777</v>
      </c>
      <c r="CV133" s="2711" t="s">
        <v>778</v>
      </c>
      <c r="CW133" s="2713">
        <f>SUM(CX133:CX135)</f>
        <v>338750</v>
      </c>
      <c r="CX133" s="2226">
        <f>(CR133*F133)-CZ133</f>
        <v>135500</v>
      </c>
      <c r="CY133" s="2602">
        <f>SUM(CZ133:CZ135)</f>
        <v>21250</v>
      </c>
      <c r="CZ133" s="2241">
        <f>0.5*(1*(F133)-(0.15*1*(F133)))</f>
        <v>8500</v>
      </c>
      <c r="DA133" s="2713">
        <f>SUM(DB133:DB135)</f>
        <v>21250</v>
      </c>
      <c r="DB133" s="2226">
        <f>CZ133-DD133</f>
        <v>8500</v>
      </c>
      <c r="DC133" s="2705">
        <f>SUM(DD133:DD135)</f>
        <v>0</v>
      </c>
      <c r="DD133" s="2226">
        <v>0</v>
      </c>
      <c r="DE133" s="2705">
        <f>SUM(DF133:DF135)</f>
        <v>0</v>
      </c>
      <c r="DF133" s="2226">
        <v>0</v>
      </c>
      <c r="DG133" s="2705">
        <f>SUM(DH133:DH135)</f>
        <v>21250</v>
      </c>
      <c r="DH133" s="2226">
        <f>CZ133-(DD133+DF133+DJ133+DL133+DN133+DT133+DV133+DX133)</f>
        <v>8500</v>
      </c>
      <c r="DI133" s="2705">
        <f>SUM(DJ133:DJ135)</f>
        <v>0</v>
      </c>
      <c r="DJ133" s="2226">
        <v>0</v>
      </c>
      <c r="DK133" s="2705">
        <f>SUM(DL133:DL135)</f>
        <v>0</v>
      </c>
      <c r="DL133" s="2226">
        <v>0</v>
      </c>
      <c r="DM133" s="2705">
        <f>SUM(DN133:DN135)</f>
        <v>0</v>
      </c>
      <c r="DN133" s="2226">
        <v>0</v>
      </c>
      <c r="DO133" s="2705">
        <f>SUM(DP133:DP135)</f>
        <v>0</v>
      </c>
      <c r="DP133" s="2226">
        <v>0</v>
      </c>
      <c r="DQ133" s="2705">
        <f>SUM(DR133:DR135)</f>
        <v>0</v>
      </c>
      <c r="DR133" s="2226">
        <v>0</v>
      </c>
      <c r="DS133" s="2705">
        <f>SUM(DT133:DT135)</f>
        <v>0</v>
      </c>
      <c r="DT133" s="2226">
        <v>0</v>
      </c>
      <c r="DU133" s="2705">
        <f>SUM(DV133:DV135)</f>
        <v>0</v>
      </c>
      <c r="DV133" s="2226">
        <v>0</v>
      </c>
      <c r="DW133" s="2705">
        <f>SUM(DX133:DX135)</f>
        <v>0</v>
      </c>
      <c r="DX133" s="103">
        <f t="shared" ref="DX133:DX135" si="50">SUM(DZ133,EB133,ED133,EF133,EH133,EJ133)</f>
        <v>0</v>
      </c>
      <c r="DY133" s="2708">
        <f>SUM(DZ133:DZ135)</f>
        <v>0</v>
      </c>
      <c r="DZ133" s="2241">
        <f>BB133</f>
        <v>0</v>
      </c>
      <c r="EA133" s="2708">
        <f>SUM(EB133:EB135)</f>
        <v>0</v>
      </c>
      <c r="EB133" s="2241">
        <f>BD133</f>
        <v>0</v>
      </c>
      <c r="EC133" s="2708">
        <f>SUM(ED133:ED135)</f>
        <v>0</v>
      </c>
      <c r="ED133" s="2241">
        <f>BF133</f>
        <v>0</v>
      </c>
      <c r="EE133" s="2708">
        <f>SUM(EF133:EF135)</f>
        <v>0</v>
      </c>
      <c r="EF133" s="2241">
        <f>BH133</f>
        <v>0</v>
      </c>
      <c r="EG133" s="2708">
        <f>SUM(EH133:EH135)</f>
        <v>0</v>
      </c>
      <c r="EH133" s="2241">
        <f>BJ133</f>
        <v>0</v>
      </c>
      <c r="EI133" s="2708">
        <f>SUM(EJ133:EJ135)</f>
        <v>0</v>
      </c>
      <c r="EJ133" s="2241">
        <v>0</v>
      </c>
      <c r="EK133" s="2705">
        <f>SUM(EL133:EL135)</f>
        <v>360000</v>
      </c>
      <c r="EL133" s="2226">
        <f>CX133+CZ133</f>
        <v>144000</v>
      </c>
      <c r="EM133" s="2708">
        <f>SUM(EN133:EN135)</f>
        <v>338.75</v>
      </c>
      <c r="EN133" s="2250">
        <f>CX133/1000</f>
        <v>135.5</v>
      </c>
      <c r="EO133" s="2708">
        <f>SUM(EP133:EP135)</f>
        <v>67.75</v>
      </c>
      <c r="EP133" s="477">
        <f>EN133*0.2</f>
        <v>27.1</v>
      </c>
      <c r="EQ133" s="2708">
        <f>SUM(ER133:ER135)</f>
        <v>84.6875</v>
      </c>
      <c r="ER133" s="477">
        <f>EN133*0.25</f>
        <v>33.875</v>
      </c>
      <c r="ES133" s="2705">
        <f>SUM(ET133:ET135)</f>
        <v>122.87500000000001</v>
      </c>
      <c r="ET133" s="514">
        <f t="shared" ref="ET133:ET135" si="51">FG133+FA133+FQ133</f>
        <v>49.150000000000006</v>
      </c>
      <c r="EU133" s="2708">
        <f>SUM(EV133:EV135)</f>
        <v>972.21249999999998</v>
      </c>
      <c r="EV133" s="2241">
        <f>2.87*EN133</f>
        <v>388.88499999999999</v>
      </c>
      <c r="EW133" s="2708">
        <f>SUM(EX133:EX135)</f>
        <v>80</v>
      </c>
      <c r="EX133" s="2236">
        <f>ROUND((DH133+DF133+DD133)/1000*3,0)+ROUND((ROUND(DL133/400,0))/2.67,0)+ROUND(DV133+DJ133/1000,0)+ROUND((DZ133+EB133+EJ133+EH133)/1000*3,0)+ROUND(EN133/25,0)+ROUND(ET133/50,0)</f>
        <v>32</v>
      </c>
      <c r="EY133" s="2708">
        <f>SUM(EZ133:EZ135)</f>
        <v>101.62500000000001</v>
      </c>
      <c r="EZ133" s="2241">
        <f>FA133</f>
        <v>40.650000000000006</v>
      </c>
      <c r="FA133" s="2279">
        <f>(0.75*EN133)*0.4</f>
        <v>40.650000000000006</v>
      </c>
      <c r="FB133" s="2708">
        <f>SUM(FC133:FC135)</f>
        <v>0</v>
      </c>
      <c r="FC133" s="2226">
        <v>0</v>
      </c>
      <c r="FD133" s="2708">
        <f>SUM(FE133:FE135)</f>
        <v>0</v>
      </c>
      <c r="FE133" s="2226">
        <v>0</v>
      </c>
      <c r="FF133" s="2708">
        <f>SUM(FG133:FG135)</f>
        <v>21.25</v>
      </c>
      <c r="FG133" s="2226">
        <f>SUM(DJ133,DD133,DH133,DN133,DT133)/1000</f>
        <v>8.5</v>
      </c>
      <c r="FH133" s="2708">
        <f>SUM(FI133:FI135)</f>
        <v>0</v>
      </c>
      <c r="FI133" s="2226">
        <f>DF133/1000</f>
        <v>0</v>
      </c>
      <c r="FJ133" s="2708">
        <f>SUM(FK133:FK135)</f>
        <v>0</v>
      </c>
      <c r="FK133" s="2241">
        <f>((DL133/400)/12)</f>
        <v>0</v>
      </c>
      <c r="FL133" s="2708">
        <f>SUM(FM133:FM135)</f>
        <v>0</v>
      </c>
      <c r="FM133" s="2241">
        <f>IF(DX133&gt;0,"Calculate",0)</f>
        <v>0</v>
      </c>
      <c r="FN133" s="2708">
        <f>SUM(FO133:FO135)</f>
        <v>0</v>
      </c>
      <c r="FO133" s="2241">
        <v>0</v>
      </c>
      <c r="FP133" s="2708">
        <f>SUM(FQ133:FQ135)</f>
        <v>0</v>
      </c>
      <c r="FQ133" s="2241">
        <f>DX133/1000</f>
        <v>0</v>
      </c>
      <c r="FR133" s="2708">
        <f>FS133</f>
        <v>115</v>
      </c>
      <c r="FS133" s="515">
        <v>115</v>
      </c>
      <c r="FT133" s="2606">
        <f>CW133-S133</f>
        <v>338750</v>
      </c>
      <c r="FU133" s="2602">
        <f>CY133-U133</f>
        <v>-58750</v>
      </c>
      <c r="FV133" s="2608">
        <f>(DC133+DE133+DG133)-(Y133+AA133+AC133+AE133)</f>
        <v>-3750</v>
      </c>
      <c r="FW133" s="2608">
        <f>DG133-AC133</f>
        <v>16250</v>
      </c>
      <c r="FX133" s="2602">
        <f>DE133-AA133</f>
        <v>0</v>
      </c>
      <c r="FY133" s="2602">
        <f>DC133-Y133</f>
        <v>0</v>
      </c>
      <c r="FZ133" s="2602">
        <f>DJ133-AE133</f>
        <v>-20000</v>
      </c>
      <c r="GA133" s="2602">
        <f>DL133-AL133</f>
        <v>0</v>
      </c>
      <c r="GB133" s="2602">
        <f>DM133-AM133</f>
        <v>0</v>
      </c>
      <c r="GC133" s="2602">
        <f>DP133-AQ133</f>
        <v>-20000</v>
      </c>
      <c r="GD133" s="2602">
        <f>DR133-AS133</f>
        <v>-50000</v>
      </c>
      <c r="GE133" s="2602">
        <f>DT133-AV133</f>
        <v>0</v>
      </c>
      <c r="GF133" s="2602">
        <f>DV133-AW133</f>
        <v>-10000</v>
      </c>
      <c r="GG133" s="2602">
        <f>DZ133-BB133</f>
        <v>0</v>
      </c>
      <c r="GH133" s="2602">
        <f>EB133-BD133</f>
        <v>0</v>
      </c>
      <c r="GI133" s="2602">
        <f>ED133-BF133</f>
        <v>0</v>
      </c>
      <c r="GJ133" s="2602">
        <f>EF133-BH133</f>
        <v>0</v>
      </c>
      <c r="GK133" s="2602">
        <f>EH133-BJ133</f>
        <v>0</v>
      </c>
      <c r="GL133" s="2608">
        <f>DW133-AY133</f>
        <v>0</v>
      </c>
      <c r="GM133" s="2608">
        <f>EK133-BM133</f>
        <v>280000</v>
      </c>
      <c r="GN133" s="2608">
        <f>EM133-BO133</f>
        <v>338.75</v>
      </c>
      <c r="GO133" s="2582">
        <f>SUM(GP133:GP135)</f>
        <v>67.75</v>
      </c>
      <c r="GP133" s="114">
        <f>EP133-BR133</f>
        <v>27.1</v>
      </c>
      <c r="GQ133" s="2582">
        <f>SUM(GR133:GR135)</f>
        <v>972.21249999999998</v>
      </c>
      <c r="GR133" s="114">
        <f>EV133-BT133</f>
        <v>388.88499999999999</v>
      </c>
      <c r="GS133" s="2676">
        <f>SUM(GT133:GT135)</f>
        <v>29</v>
      </c>
      <c r="GT133" s="187">
        <f>EX133-BV133</f>
        <v>17</v>
      </c>
      <c r="GU133" s="114">
        <f>FA133-BX133</f>
        <v>40.650000000000006</v>
      </c>
      <c r="GV133" s="187">
        <f>FI133-CD133</f>
        <v>0</v>
      </c>
      <c r="GW133" s="187">
        <v>0</v>
      </c>
      <c r="GX133" s="187">
        <f>FG133-CB133</f>
        <v>8.5</v>
      </c>
      <c r="GY133" s="187">
        <f>FK133-CF133</f>
        <v>0</v>
      </c>
      <c r="GZ133" s="114">
        <f>FM133-CH133</f>
        <v>-240</v>
      </c>
      <c r="HA133" s="432">
        <f>FO133-CJ133</f>
        <v>0</v>
      </c>
      <c r="HB133" s="432">
        <f>FQ133-CL133</f>
        <v>0</v>
      </c>
      <c r="HC133" s="2616">
        <f>ES133-CM133</f>
        <v>-117.12499999999999</v>
      </c>
      <c r="HD133" s="2706"/>
      <c r="HE133" s="516"/>
      <c r="HF133" s="2706"/>
      <c r="HG133" s="516"/>
      <c r="HH133" s="2706"/>
      <c r="HI133" s="516"/>
      <c r="HJ133" s="2706"/>
      <c r="HK133" s="2227"/>
      <c r="HL133" s="2706"/>
      <c r="HM133" s="516"/>
      <c r="HN133" s="2706"/>
      <c r="HO133" s="516"/>
      <c r="HP133" s="2706"/>
      <c r="HQ133" s="2227"/>
      <c r="HR133" s="2706"/>
      <c r="HS133" s="516"/>
      <c r="HT133" s="2705"/>
      <c r="HU133" s="517"/>
      <c r="HV133" s="2705"/>
      <c r="HW133" s="517"/>
      <c r="HX133" s="2705"/>
      <c r="HY133" s="517"/>
      <c r="HZ133" s="2705"/>
      <c r="IA133" s="517"/>
      <c r="IB133" s="2705"/>
      <c r="IC133" s="517"/>
      <c r="ID133" s="2705"/>
      <c r="IE133" s="517"/>
      <c r="IF133" s="2705"/>
      <c r="IG133" s="518"/>
    </row>
    <row r="134" spans="1:249" s="23" customFormat="1" ht="15" customHeight="1">
      <c r="A134" s="3691"/>
      <c r="B134" s="519" t="s">
        <v>703</v>
      </c>
      <c r="C134" s="520">
        <v>2855</v>
      </c>
      <c r="D134" s="520">
        <v>45</v>
      </c>
      <c r="E134" s="520">
        <v>2028550045</v>
      </c>
      <c r="F134" s="521">
        <v>20000</v>
      </c>
      <c r="G134" s="519" t="s">
        <v>756</v>
      </c>
      <c r="H134" s="522"/>
      <c r="I134" s="523">
        <v>1</v>
      </c>
      <c r="J134" s="523">
        <v>0</v>
      </c>
      <c r="K134" s="523">
        <v>2</v>
      </c>
      <c r="L134" s="523">
        <v>4.8</v>
      </c>
      <c r="M134" s="524">
        <v>20000</v>
      </c>
      <c r="N134" s="524">
        <v>20000</v>
      </c>
      <c r="O134" s="524">
        <v>0</v>
      </c>
      <c r="P134" s="525">
        <v>20000</v>
      </c>
      <c r="Q134" s="526">
        <v>0</v>
      </c>
      <c r="R134" s="527" t="s">
        <v>779</v>
      </c>
      <c r="S134" s="2706"/>
      <c r="T134" s="2227">
        <v>0</v>
      </c>
      <c r="U134" s="2706"/>
      <c r="V134" s="2227">
        <f>M134</f>
        <v>20000</v>
      </c>
      <c r="W134" s="2706"/>
      <c r="X134" s="2227">
        <f>V134-Z134</f>
        <v>20000</v>
      </c>
      <c r="Y134" s="2706"/>
      <c r="Z134" s="2227">
        <v>0</v>
      </c>
      <c r="AA134" s="2706"/>
      <c r="AB134" s="2227">
        <v>0</v>
      </c>
      <c r="AC134" s="2706"/>
      <c r="AD134" s="272">
        <v>0</v>
      </c>
      <c r="AE134" s="2706"/>
      <c r="AF134" s="2294">
        <f>AH134+AJ134</f>
        <v>20000</v>
      </c>
      <c r="AG134" s="2706"/>
      <c r="AH134" s="528">
        <v>0</v>
      </c>
      <c r="AI134" s="2706"/>
      <c r="AJ134" s="2227">
        <f>N134</f>
        <v>20000</v>
      </c>
      <c r="AK134" s="2706"/>
      <c r="AL134" s="528">
        <v>0</v>
      </c>
      <c r="AM134" s="2706"/>
      <c r="AN134" s="2227">
        <v>0</v>
      </c>
      <c r="AO134" s="2706"/>
      <c r="AP134" s="528">
        <v>0</v>
      </c>
      <c r="AQ134" s="2706"/>
      <c r="AR134" s="2227">
        <v>0</v>
      </c>
      <c r="AS134" s="2706"/>
      <c r="AT134" s="2227">
        <v>20000</v>
      </c>
      <c r="AU134" s="2709"/>
      <c r="AV134" s="2227">
        <v>0</v>
      </c>
      <c r="AW134" s="2706"/>
      <c r="AX134" s="2227">
        <v>0</v>
      </c>
      <c r="AY134" s="2706"/>
      <c r="AZ134" s="103">
        <f t="shared" si="48"/>
        <v>0</v>
      </c>
      <c r="BA134" s="2706"/>
      <c r="BB134" s="2227">
        <v>0</v>
      </c>
      <c r="BC134" s="2706"/>
      <c r="BD134" s="2227">
        <v>0</v>
      </c>
      <c r="BE134" s="2706"/>
      <c r="BF134" s="2227">
        <v>0</v>
      </c>
      <c r="BG134" s="2706"/>
      <c r="BH134" s="2227">
        <v>0</v>
      </c>
      <c r="BI134" s="2706"/>
      <c r="BJ134" s="2227">
        <v>0</v>
      </c>
      <c r="BK134" s="2706"/>
      <c r="BL134" s="2227">
        <v>0</v>
      </c>
      <c r="BM134" s="2677"/>
      <c r="BN134" s="2227">
        <f>T134+V134</f>
        <v>20000</v>
      </c>
      <c r="BO134" s="2709"/>
      <c r="BP134" s="2242">
        <f>Q134</f>
        <v>0</v>
      </c>
      <c r="BQ134" s="2709"/>
      <c r="BR134" s="2242">
        <v>0</v>
      </c>
      <c r="BS134" s="2709"/>
      <c r="BT134" s="2242">
        <f>ROUND(BP134*2.87,0)</f>
        <v>0</v>
      </c>
      <c r="BU134" s="2709"/>
      <c r="BV134" s="2242">
        <f>ROUND((AD134+AB134+Z134)/1000*3,0)+ROUND((AF134+AX134)/1000,0)+ROUND((ROUND(AL134/400,0))/2.67,0)+ROUND(AN134/250,0)+ROUND(AR134/15000,0)+ROUND((BB134+BD134+BF134+BJ134+BL134)/1000*3,0)+ROUND(BP134/25,0)+ROUND(CN134/50,0)</f>
        <v>20</v>
      </c>
      <c r="BW134" s="2709"/>
      <c r="BX134" s="2242">
        <v>0</v>
      </c>
      <c r="BY134" s="2709"/>
      <c r="BZ134" s="2242">
        <v>0</v>
      </c>
      <c r="CA134" s="2709"/>
      <c r="CB134" s="2242">
        <v>0</v>
      </c>
      <c r="CC134" s="2709"/>
      <c r="CD134" s="2242">
        <v>0</v>
      </c>
      <c r="CE134" s="2709"/>
      <c r="CF134" s="2242">
        <v>0</v>
      </c>
      <c r="CG134" s="2709"/>
      <c r="CH134" s="2242">
        <v>0</v>
      </c>
      <c r="CI134" s="2709"/>
      <c r="CJ134" s="2242">
        <v>0</v>
      </c>
      <c r="CK134" s="2709"/>
      <c r="CL134" s="2227">
        <v>0</v>
      </c>
      <c r="CM134" s="2706"/>
      <c r="CN134" s="97">
        <f t="shared" si="49"/>
        <v>0</v>
      </c>
      <c r="CO134" s="2706"/>
      <c r="CP134" s="529">
        <v>12</v>
      </c>
      <c r="CQ134" s="527" t="s">
        <v>741</v>
      </c>
      <c r="CR134" s="530">
        <v>7.2</v>
      </c>
      <c r="CS134" s="531">
        <v>2</v>
      </c>
      <c r="CT134" s="530">
        <v>6.5</v>
      </c>
      <c r="CU134" s="532" t="s">
        <v>777</v>
      </c>
      <c r="CV134" s="2712"/>
      <c r="CW134" s="2714"/>
      <c r="CX134" s="2227">
        <f>(CR134*F134)-CZ134</f>
        <v>135500</v>
      </c>
      <c r="CY134" s="2665"/>
      <c r="CZ134" s="2242">
        <f>0.5*(1*(F134)-(0.15*1*(F134)))</f>
        <v>8500</v>
      </c>
      <c r="DA134" s="2714"/>
      <c r="DB134" s="2227">
        <f>CZ134-DD134</f>
        <v>8500</v>
      </c>
      <c r="DC134" s="2706"/>
      <c r="DD134" s="2227">
        <v>0</v>
      </c>
      <c r="DE134" s="2706"/>
      <c r="DF134" s="2227">
        <v>0</v>
      </c>
      <c r="DG134" s="2706"/>
      <c r="DH134" s="2227">
        <f>CZ134-(DD134+DF134+DJ134+DL134+DN134+DT134+DV134+DX134)</f>
        <v>8500</v>
      </c>
      <c r="DI134" s="2706"/>
      <c r="DJ134" s="2227">
        <v>0</v>
      </c>
      <c r="DK134" s="2706"/>
      <c r="DL134" s="2227">
        <v>0</v>
      </c>
      <c r="DM134" s="2706"/>
      <c r="DN134" s="2227">
        <v>0</v>
      </c>
      <c r="DO134" s="2706"/>
      <c r="DP134" s="2227">
        <v>0</v>
      </c>
      <c r="DQ134" s="2706"/>
      <c r="DR134" s="2227">
        <v>0</v>
      </c>
      <c r="DS134" s="2706"/>
      <c r="DT134" s="2227">
        <v>0</v>
      </c>
      <c r="DU134" s="2706"/>
      <c r="DV134" s="2227">
        <v>0</v>
      </c>
      <c r="DW134" s="2706"/>
      <c r="DX134" s="103">
        <f t="shared" si="50"/>
        <v>0</v>
      </c>
      <c r="DY134" s="2709"/>
      <c r="DZ134" s="2242">
        <f>BB134</f>
        <v>0</v>
      </c>
      <c r="EA134" s="2709"/>
      <c r="EB134" s="2242">
        <f>BD134</f>
        <v>0</v>
      </c>
      <c r="EC134" s="2709"/>
      <c r="ED134" s="2242">
        <f>BF134</f>
        <v>0</v>
      </c>
      <c r="EE134" s="2709"/>
      <c r="EF134" s="2242">
        <f>BH134</f>
        <v>0</v>
      </c>
      <c r="EG134" s="2709"/>
      <c r="EH134" s="2242">
        <f>BJ134</f>
        <v>0</v>
      </c>
      <c r="EI134" s="2709"/>
      <c r="EJ134" s="2242">
        <v>0</v>
      </c>
      <c r="EK134" s="2706"/>
      <c r="EL134" s="2227">
        <f>CX134+CZ134</f>
        <v>144000</v>
      </c>
      <c r="EM134" s="2709"/>
      <c r="EN134" s="2251">
        <f>CX134/1000</f>
        <v>135.5</v>
      </c>
      <c r="EO134" s="2709"/>
      <c r="EP134" s="533">
        <f>EN134*0.2</f>
        <v>27.1</v>
      </c>
      <c r="EQ134" s="2709"/>
      <c r="ER134" s="533">
        <f>EN134*0.25</f>
        <v>33.875</v>
      </c>
      <c r="ES134" s="2706"/>
      <c r="ET134" s="534">
        <f t="shared" si="51"/>
        <v>49.150000000000006</v>
      </c>
      <c r="EU134" s="2709"/>
      <c r="EV134" s="2242">
        <f>2.87*EN134</f>
        <v>388.88499999999999</v>
      </c>
      <c r="EW134" s="2709"/>
      <c r="EX134" s="2237">
        <f>ROUND((DH134+DF134+DD134)/1000*3,0)+ROUND((ROUND(DL134/400,0))/2.67,0)+ROUND(DV134+DJ134/1000,0)+ROUND((DZ134+EB134+EJ134+EH134)/1000*3,0)+ROUND(EN134/25,0)+ROUND(ET134/50,0)</f>
        <v>32</v>
      </c>
      <c r="EY134" s="2709"/>
      <c r="EZ134" s="2242">
        <f>FA134</f>
        <v>40.650000000000006</v>
      </c>
      <c r="FA134" s="2280">
        <f>(0.75*EN134)*0.4</f>
        <v>40.650000000000006</v>
      </c>
      <c r="FB134" s="2709"/>
      <c r="FC134" s="2227">
        <v>0</v>
      </c>
      <c r="FD134" s="2709"/>
      <c r="FE134" s="2227">
        <v>0</v>
      </c>
      <c r="FF134" s="2709"/>
      <c r="FG134" s="2227">
        <f>SUM(DJ134,DD134,DH134,DN134,DT134)/1000</f>
        <v>8.5</v>
      </c>
      <c r="FH134" s="2709"/>
      <c r="FI134" s="2227">
        <f>DF134/1000</f>
        <v>0</v>
      </c>
      <c r="FJ134" s="2709"/>
      <c r="FK134" s="2242">
        <f>((DL134/400)/12)</f>
        <v>0</v>
      </c>
      <c r="FL134" s="2709"/>
      <c r="FM134" s="2242">
        <f>IF(DX134&gt;0,"Calculate",0)</f>
        <v>0</v>
      </c>
      <c r="FN134" s="2709"/>
      <c r="FO134" s="2242">
        <v>0</v>
      </c>
      <c r="FP134" s="2709"/>
      <c r="FQ134" s="2242">
        <f>DX134/1000</f>
        <v>0</v>
      </c>
      <c r="FR134" s="2709"/>
      <c r="FS134" s="535">
        <v>115</v>
      </c>
      <c r="FT134" s="2668"/>
      <c r="FU134" s="2665"/>
      <c r="FV134" s="2666"/>
      <c r="FW134" s="2666"/>
      <c r="FX134" s="2665"/>
      <c r="FY134" s="2665"/>
      <c r="FZ134" s="2665"/>
      <c r="GA134" s="2665"/>
      <c r="GB134" s="2665"/>
      <c r="GC134" s="2665"/>
      <c r="GD134" s="2665"/>
      <c r="GE134" s="2665"/>
      <c r="GF134" s="2665"/>
      <c r="GG134" s="2665"/>
      <c r="GH134" s="2665"/>
      <c r="GI134" s="2665"/>
      <c r="GJ134" s="2665"/>
      <c r="GK134" s="2665"/>
      <c r="GL134" s="2666"/>
      <c r="GM134" s="2666"/>
      <c r="GN134" s="2666"/>
      <c r="GO134" s="2644"/>
      <c r="GP134" s="113">
        <f>EP134-BR134</f>
        <v>27.1</v>
      </c>
      <c r="GQ134" s="2644"/>
      <c r="GR134" s="113">
        <f>EV134-BT134</f>
        <v>388.88499999999999</v>
      </c>
      <c r="GS134" s="2677"/>
      <c r="GT134" s="195">
        <f>EX134-BV134</f>
        <v>12</v>
      </c>
      <c r="GU134" s="113">
        <f>FA134-BX134</f>
        <v>40.650000000000006</v>
      </c>
      <c r="GV134" s="195">
        <f>FI134-CD134</f>
        <v>0</v>
      </c>
      <c r="GW134" s="195">
        <v>0</v>
      </c>
      <c r="GX134" s="195">
        <f>FG134-CB134</f>
        <v>8.5</v>
      </c>
      <c r="GY134" s="195">
        <f>FK134-CF134</f>
        <v>0</v>
      </c>
      <c r="GZ134" s="113">
        <f>FM134-CH134</f>
        <v>0</v>
      </c>
      <c r="HA134" s="278">
        <f>FO134-CJ134</f>
        <v>0</v>
      </c>
      <c r="HB134" s="278">
        <f>FQ134-CL134</f>
        <v>0</v>
      </c>
      <c r="HC134" s="2669"/>
      <c r="HD134" s="2706"/>
      <c r="HE134" s="516"/>
      <c r="HF134" s="2706"/>
      <c r="HG134" s="516"/>
      <c r="HH134" s="2706"/>
      <c r="HI134" s="516"/>
      <c r="HJ134" s="2706"/>
      <c r="HK134" s="2227"/>
      <c r="HL134" s="2706"/>
      <c r="HM134" s="516"/>
      <c r="HN134" s="2706"/>
      <c r="HO134" s="516"/>
      <c r="HP134" s="2706"/>
      <c r="HQ134" s="2227"/>
      <c r="HR134" s="2706"/>
      <c r="HS134" s="516"/>
      <c r="HT134" s="2706"/>
      <c r="HU134" s="516"/>
      <c r="HV134" s="2706"/>
      <c r="HW134" s="516"/>
      <c r="HX134" s="2706"/>
      <c r="HY134" s="516"/>
      <c r="HZ134" s="2706"/>
      <c r="IA134" s="516"/>
      <c r="IB134" s="2706"/>
      <c r="IC134" s="516"/>
      <c r="ID134" s="2706"/>
      <c r="IE134" s="516"/>
      <c r="IF134" s="2706"/>
      <c r="IG134" s="536"/>
    </row>
    <row r="135" spans="1:249" s="558" customFormat="1">
      <c r="A135" s="2704"/>
      <c r="B135" s="537" t="s">
        <v>703</v>
      </c>
      <c r="C135" s="538">
        <v>2855</v>
      </c>
      <c r="D135" s="538">
        <v>53</v>
      </c>
      <c r="E135" s="538">
        <v>2028550053</v>
      </c>
      <c r="F135" s="539">
        <v>10000</v>
      </c>
      <c r="G135" s="540" t="s">
        <v>756</v>
      </c>
      <c r="H135" s="538"/>
      <c r="I135" s="541">
        <v>2</v>
      </c>
      <c r="J135" s="542">
        <v>0</v>
      </c>
      <c r="K135" s="543">
        <v>2</v>
      </c>
      <c r="L135" s="543">
        <v>4.8</v>
      </c>
      <c r="M135" s="544">
        <v>20000</v>
      </c>
      <c r="N135" s="544">
        <v>0</v>
      </c>
      <c r="O135" s="544">
        <v>0</v>
      </c>
      <c r="P135" s="544">
        <v>20000</v>
      </c>
      <c r="Q135" s="545">
        <v>0</v>
      </c>
      <c r="R135" s="546" t="s">
        <v>780</v>
      </c>
      <c r="S135" s="2707"/>
      <c r="T135" s="2228">
        <v>0</v>
      </c>
      <c r="U135" s="2707"/>
      <c r="V135" s="2228">
        <f>M135</f>
        <v>20000</v>
      </c>
      <c r="W135" s="2707"/>
      <c r="X135" s="2228">
        <f>V135-Z135</f>
        <v>20000</v>
      </c>
      <c r="Y135" s="2707"/>
      <c r="Z135" s="2228">
        <v>0</v>
      </c>
      <c r="AA135" s="2707"/>
      <c r="AB135" s="2228">
        <v>0</v>
      </c>
      <c r="AC135" s="2707"/>
      <c r="AD135" s="2228">
        <f>0.25*AR135</f>
        <v>5000</v>
      </c>
      <c r="AE135" s="2707"/>
      <c r="AF135" s="2228">
        <f>AH135+AJ135</f>
        <v>0</v>
      </c>
      <c r="AG135" s="2707"/>
      <c r="AH135" s="2228">
        <v>0</v>
      </c>
      <c r="AI135" s="2707"/>
      <c r="AJ135" s="2228">
        <f>N135</f>
        <v>0</v>
      </c>
      <c r="AK135" s="2707"/>
      <c r="AL135" s="2228">
        <v>0</v>
      </c>
      <c r="AM135" s="2707"/>
      <c r="AN135" s="2228">
        <v>0</v>
      </c>
      <c r="AO135" s="2707"/>
      <c r="AP135" s="2228">
        <v>0</v>
      </c>
      <c r="AQ135" s="2707"/>
      <c r="AR135" s="2228">
        <v>20000</v>
      </c>
      <c r="AS135" s="2707"/>
      <c r="AT135" s="2228">
        <v>0</v>
      </c>
      <c r="AU135" s="2710"/>
      <c r="AV135" s="2228">
        <v>0</v>
      </c>
      <c r="AW135" s="2707"/>
      <c r="AX135" s="2228">
        <v>0</v>
      </c>
      <c r="AY135" s="2707"/>
      <c r="AZ135" s="75">
        <f t="shared" si="48"/>
        <v>0</v>
      </c>
      <c r="BA135" s="2707"/>
      <c r="BB135" s="2228">
        <v>0</v>
      </c>
      <c r="BC135" s="2707"/>
      <c r="BD135" s="2228">
        <v>0</v>
      </c>
      <c r="BE135" s="2707"/>
      <c r="BF135" s="2228">
        <v>0</v>
      </c>
      <c r="BG135" s="2707"/>
      <c r="BH135" s="2228">
        <v>0</v>
      </c>
      <c r="BI135" s="2707"/>
      <c r="BJ135" s="2228">
        <v>0</v>
      </c>
      <c r="BK135" s="2707"/>
      <c r="BL135" s="2228">
        <v>0</v>
      </c>
      <c r="BM135" s="2678"/>
      <c r="BN135" s="547">
        <f>T135+V135</f>
        <v>20000</v>
      </c>
      <c r="BO135" s="2710"/>
      <c r="BP135" s="2243">
        <v>0</v>
      </c>
      <c r="BQ135" s="2710"/>
      <c r="BR135" s="2243">
        <v>0</v>
      </c>
      <c r="BS135" s="2710"/>
      <c r="BT135" s="2252">
        <f>ROUND(BP135*2.97,0)</f>
        <v>0</v>
      </c>
      <c r="BU135" s="2710"/>
      <c r="BV135" s="455">
        <f>ROUND((AD135+AB135+Z135)/1000*3,0)+ROUND((AF135+AX135)/1000,0)+ROUND((ROUND(AL135/400,0))/2.67,0)+ROUND(AN135/250,0)+ROUND(AR135/15000,0)+ROUND((BB135+BD135+BF135+BJ135+BL135)/1000*3,0)+ROUND(BP135/25,0)+ROUND(CN135/50,0)</f>
        <v>16</v>
      </c>
      <c r="BW135" s="2710"/>
      <c r="BX135" s="271">
        <v>0</v>
      </c>
      <c r="BY135" s="2710"/>
      <c r="BZ135" s="328">
        <v>0</v>
      </c>
      <c r="CA135" s="2710"/>
      <c r="CB135" s="328">
        <v>0</v>
      </c>
      <c r="CC135" s="2710"/>
      <c r="CD135" s="328">
        <v>0</v>
      </c>
      <c r="CE135" s="2710"/>
      <c r="CF135" s="328">
        <v>0</v>
      </c>
      <c r="CG135" s="2710"/>
      <c r="CH135" s="328">
        <v>0</v>
      </c>
      <c r="CI135" s="2710"/>
      <c r="CJ135" s="328">
        <v>0</v>
      </c>
      <c r="CK135" s="2710"/>
      <c r="CL135" s="451">
        <v>0</v>
      </c>
      <c r="CM135" s="2707"/>
      <c r="CN135" s="73">
        <f t="shared" si="49"/>
        <v>0</v>
      </c>
      <c r="CO135" s="2707"/>
      <c r="CP135" s="451">
        <v>25</v>
      </c>
      <c r="CQ135" s="548" t="s">
        <v>741</v>
      </c>
      <c r="CR135" s="549">
        <v>7.2</v>
      </c>
      <c r="CS135" s="549">
        <v>2</v>
      </c>
      <c r="CT135" s="549">
        <v>6.5</v>
      </c>
      <c r="CU135" s="550" t="s">
        <v>777</v>
      </c>
      <c r="CV135" s="551" t="s">
        <v>778</v>
      </c>
      <c r="CW135" s="2715"/>
      <c r="CX135" s="547">
        <f>(CR135*F135)-CZ135</f>
        <v>67750</v>
      </c>
      <c r="CY135" s="2603"/>
      <c r="CZ135" s="552">
        <f>0.5*(1*(F135)-(0.15*1*(F135)))</f>
        <v>4250</v>
      </c>
      <c r="DA135" s="2715"/>
      <c r="DB135" s="547">
        <f>CZ135-DD135</f>
        <v>4250</v>
      </c>
      <c r="DC135" s="2707"/>
      <c r="DD135" s="2228">
        <v>0</v>
      </c>
      <c r="DE135" s="2707"/>
      <c r="DF135" s="2228">
        <v>0</v>
      </c>
      <c r="DG135" s="2707"/>
      <c r="DH135" s="547">
        <f>CZ135-(DD135+DF135+DJ135+DL135+DN135+DT135+DV135+DX135)</f>
        <v>4250</v>
      </c>
      <c r="DI135" s="2707"/>
      <c r="DJ135" s="2228">
        <v>0</v>
      </c>
      <c r="DK135" s="2707"/>
      <c r="DL135" s="451">
        <v>0</v>
      </c>
      <c r="DM135" s="2707"/>
      <c r="DN135" s="451">
        <v>0</v>
      </c>
      <c r="DO135" s="2707"/>
      <c r="DP135" s="451">
        <v>0</v>
      </c>
      <c r="DQ135" s="2707"/>
      <c r="DR135" s="451">
        <v>0</v>
      </c>
      <c r="DS135" s="2707"/>
      <c r="DT135" s="451">
        <v>0</v>
      </c>
      <c r="DU135" s="2707"/>
      <c r="DV135" s="451">
        <v>0</v>
      </c>
      <c r="DW135" s="2707"/>
      <c r="DX135" s="75">
        <f t="shared" si="50"/>
        <v>0</v>
      </c>
      <c r="DY135" s="2710"/>
      <c r="DZ135" s="328">
        <f>BB135</f>
        <v>0</v>
      </c>
      <c r="EA135" s="2710"/>
      <c r="EB135" s="328">
        <f>BD135</f>
        <v>0</v>
      </c>
      <c r="EC135" s="2710"/>
      <c r="ED135" s="328">
        <f>BF135</f>
        <v>0</v>
      </c>
      <c r="EE135" s="2710"/>
      <c r="EF135" s="328">
        <f>BH135</f>
        <v>0</v>
      </c>
      <c r="EG135" s="2710"/>
      <c r="EH135" s="328">
        <f>BJ135</f>
        <v>0</v>
      </c>
      <c r="EI135" s="2710"/>
      <c r="EJ135" s="553">
        <v>0</v>
      </c>
      <c r="EK135" s="2707"/>
      <c r="EL135" s="2228">
        <f>CX135+CZ135</f>
        <v>72000</v>
      </c>
      <c r="EM135" s="2710"/>
      <c r="EN135" s="2252">
        <f>CX135/1000</f>
        <v>67.75</v>
      </c>
      <c r="EO135" s="2710"/>
      <c r="EP135" s="533">
        <f>EN135*0.2</f>
        <v>13.55</v>
      </c>
      <c r="EQ135" s="2710"/>
      <c r="ER135" s="554">
        <f>EN135*0.25</f>
        <v>16.9375</v>
      </c>
      <c r="ES135" s="2707"/>
      <c r="ET135" s="456">
        <f t="shared" si="51"/>
        <v>24.575000000000003</v>
      </c>
      <c r="EU135" s="2710"/>
      <c r="EV135" s="555">
        <f>2.87*EN135</f>
        <v>194.4425</v>
      </c>
      <c r="EW135" s="2710"/>
      <c r="EX135" s="2238">
        <f>ROUND((DH135+DF135+DD135)/1000*3,0)+ROUND((ROUND(DL135/400,0))/2.67,0)+ROUND(DV135+DJ135/1000,0)+ROUND((DZ135+EB135+EJ135+EH135)/1000*3,0)+ROUND(EN135/25,0)+ROUND(ET135/50,0)</f>
        <v>16</v>
      </c>
      <c r="EY135" s="2710"/>
      <c r="EZ135" s="2243">
        <f>FA135</f>
        <v>20.325000000000003</v>
      </c>
      <c r="FA135" s="2281">
        <f>(0.75*EN135)*0.4</f>
        <v>20.325000000000003</v>
      </c>
      <c r="FB135" s="2710"/>
      <c r="FC135" s="2228">
        <v>0</v>
      </c>
      <c r="FD135" s="2710"/>
      <c r="FE135" s="2228">
        <v>0</v>
      </c>
      <c r="FF135" s="2710"/>
      <c r="FG135" s="2228">
        <f>SUM(DJ135,DD135,DH135,DN135,DT135)/1000</f>
        <v>4.25</v>
      </c>
      <c r="FH135" s="2710"/>
      <c r="FI135" s="2228">
        <f>DF135/1000</f>
        <v>0</v>
      </c>
      <c r="FJ135" s="2710"/>
      <c r="FK135" s="2243">
        <f>((DL135/400)/12)</f>
        <v>0</v>
      </c>
      <c r="FL135" s="2710"/>
      <c r="FM135" s="2243">
        <f>IF(DX135&gt;0,"Calculate",0)</f>
        <v>0</v>
      </c>
      <c r="FN135" s="2710"/>
      <c r="FO135" s="2243">
        <v>0</v>
      </c>
      <c r="FP135" s="2710"/>
      <c r="FQ135" s="2243">
        <f>DX135/1000</f>
        <v>0</v>
      </c>
      <c r="FR135" s="2710"/>
      <c r="FS135" s="556">
        <v>115</v>
      </c>
      <c r="FT135" s="2607"/>
      <c r="FU135" s="2603"/>
      <c r="FV135" s="2609"/>
      <c r="FW135" s="2609"/>
      <c r="FX135" s="2603"/>
      <c r="FY135" s="2603"/>
      <c r="FZ135" s="2603"/>
      <c r="GA135" s="2603"/>
      <c r="GB135" s="2603"/>
      <c r="GC135" s="2603"/>
      <c r="GD135" s="2603"/>
      <c r="GE135" s="2603"/>
      <c r="GF135" s="2603"/>
      <c r="GG135" s="2603"/>
      <c r="GH135" s="2603"/>
      <c r="GI135" s="2603"/>
      <c r="GJ135" s="2603"/>
      <c r="GK135" s="2603"/>
      <c r="GL135" s="2609"/>
      <c r="GM135" s="2609"/>
      <c r="GN135" s="2609"/>
      <c r="GO135" s="2583"/>
      <c r="GP135" s="89">
        <f>EP135-BR135</f>
        <v>13.55</v>
      </c>
      <c r="GQ135" s="2583"/>
      <c r="GR135" s="89">
        <f>EV135-BT135</f>
        <v>194.4425</v>
      </c>
      <c r="GS135" s="2678"/>
      <c r="GT135" s="190">
        <f>EX135-BV135</f>
        <v>0</v>
      </c>
      <c r="GU135" s="113">
        <f>FA135-BX135</f>
        <v>20.325000000000003</v>
      </c>
      <c r="GV135" s="190">
        <f>FI135-CD135</f>
        <v>0</v>
      </c>
      <c r="GW135" s="190">
        <v>0</v>
      </c>
      <c r="GX135" s="190">
        <f>FG135-CB135</f>
        <v>4.25</v>
      </c>
      <c r="GY135" s="190">
        <f>FK135-CF135</f>
        <v>0</v>
      </c>
      <c r="GZ135" s="89">
        <f>FM135-CH135</f>
        <v>0</v>
      </c>
      <c r="HA135" s="438">
        <f>FO135-CJ135</f>
        <v>0</v>
      </c>
      <c r="HB135" s="438">
        <f>FQ135-CL135</f>
        <v>0</v>
      </c>
      <c r="HC135" s="2617"/>
      <c r="HD135" s="2706"/>
      <c r="HE135" s="2227"/>
      <c r="HF135" s="2706"/>
      <c r="HG135" s="2227"/>
      <c r="HH135" s="2706"/>
      <c r="HI135" s="2227"/>
      <c r="HJ135" s="2706"/>
      <c r="HK135" s="2227"/>
      <c r="HL135" s="2706"/>
      <c r="HM135" s="2228"/>
      <c r="HN135" s="2707"/>
      <c r="HO135" s="2228"/>
      <c r="HP135" s="2707"/>
      <c r="HQ135" s="2228"/>
      <c r="HR135" s="2707"/>
      <c r="HS135" s="2228"/>
      <c r="HT135" s="2707"/>
      <c r="HU135" s="2228"/>
      <c r="HV135" s="2707"/>
      <c r="HW135" s="2228"/>
      <c r="HX135" s="2707"/>
      <c r="HY135" s="2228"/>
      <c r="HZ135" s="2707"/>
      <c r="IA135" s="2228"/>
      <c r="IB135" s="2707"/>
      <c r="IC135" s="2228"/>
      <c r="ID135" s="2707"/>
      <c r="IE135" s="2228"/>
      <c r="IF135" s="2707"/>
      <c r="IG135" s="557"/>
      <c r="IH135" s="491"/>
      <c r="II135" s="491"/>
      <c r="IJ135" s="491"/>
      <c r="IK135" s="491"/>
      <c r="IL135" s="491"/>
      <c r="IM135" s="491"/>
      <c r="IN135" s="491"/>
      <c r="IO135" s="491"/>
    </row>
    <row r="136" spans="1:249" s="95" customFormat="1" ht="15.75" thickBot="1">
      <c r="A136" s="559"/>
      <c r="B136" s="560"/>
      <c r="C136" s="561"/>
      <c r="D136" s="561"/>
      <c r="E136" s="562"/>
      <c r="F136" s="563"/>
      <c r="G136" s="564"/>
      <c r="H136" s="565"/>
      <c r="I136" s="561"/>
      <c r="J136" s="561"/>
      <c r="K136" s="561"/>
      <c r="L136" s="561"/>
      <c r="M136" s="563"/>
      <c r="N136" s="563"/>
      <c r="O136" s="563"/>
      <c r="P136" s="563"/>
      <c r="Q136" s="566"/>
      <c r="R136" s="567"/>
      <c r="S136" s="568"/>
      <c r="T136" s="569"/>
      <c r="U136" s="568"/>
      <c r="V136" s="570"/>
      <c r="W136" s="568"/>
      <c r="X136" s="569"/>
      <c r="Y136" s="568"/>
      <c r="Z136" s="569"/>
      <c r="AA136" s="568"/>
      <c r="AB136" s="569"/>
      <c r="AC136" s="568"/>
      <c r="AD136" s="571"/>
      <c r="AE136" s="572"/>
      <c r="AF136" s="571"/>
      <c r="AG136" s="571"/>
      <c r="AH136" s="571"/>
      <c r="AI136" s="571"/>
      <c r="AJ136" s="571"/>
      <c r="AK136" s="571"/>
      <c r="AL136" s="571"/>
      <c r="AM136" s="572"/>
      <c r="AN136" s="571"/>
      <c r="AO136" s="571"/>
      <c r="AP136" s="571"/>
      <c r="AQ136" s="572"/>
      <c r="AR136" s="571"/>
      <c r="AS136" s="571"/>
      <c r="AT136" s="571"/>
      <c r="AU136" s="571"/>
      <c r="AV136" s="571"/>
      <c r="AW136" s="571"/>
      <c r="AX136" s="571"/>
      <c r="AY136" s="571"/>
      <c r="AZ136" s="571"/>
      <c r="BA136" s="571"/>
      <c r="BB136" s="571"/>
      <c r="BC136" s="571"/>
      <c r="BD136" s="571"/>
      <c r="BE136" s="571"/>
      <c r="BF136" s="571"/>
      <c r="BG136" s="571"/>
      <c r="BH136" s="571"/>
      <c r="BI136" s="571"/>
      <c r="BJ136" s="571"/>
      <c r="BK136" s="571"/>
      <c r="BL136" s="571"/>
      <c r="BM136" s="571"/>
      <c r="BN136" s="569"/>
      <c r="BO136" s="573"/>
      <c r="BP136" s="573"/>
      <c r="BQ136" s="569"/>
      <c r="BR136" s="569"/>
      <c r="BS136" s="569"/>
      <c r="BT136" s="574"/>
      <c r="BU136" s="574"/>
      <c r="BV136" s="575"/>
      <c r="BW136" s="575"/>
      <c r="BX136" s="576"/>
      <c r="BY136" s="569"/>
      <c r="BZ136" s="569"/>
      <c r="CA136" s="569"/>
      <c r="CB136" s="569"/>
      <c r="CC136" s="569"/>
      <c r="CD136" s="569"/>
      <c r="CE136" s="569"/>
      <c r="CF136" s="569"/>
      <c r="CG136" s="569"/>
      <c r="CH136" s="577"/>
      <c r="CI136" s="577"/>
      <c r="CJ136" s="573"/>
      <c r="CK136" s="569"/>
      <c r="CL136" s="569"/>
      <c r="CM136" s="569"/>
      <c r="CN136" s="569"/>
      <c r="CO136" s="569"/>
      <c r="CP136" s="578"/>
      <c r="CQ136" s="570"/>
      <c r="CR136" s="570"/>
      <c r="CS136" s="570"/>
      <c r="CT136" s="570"/>
      <c r="CU136" s="579"/>
      <c r="CV136" s="580"/>
      <c r="CW136" s="581"/>
      <c r="CX136" s="569"/>
      <c r="CY136" s="582"/>
      <c r="CZ136" s="581"/>
      <c r="DA136" s="581"/>
      <c r="DB136" s="581"/>
      <c r="DC136" s="583"/>
      <c r="DD136" s="581"/>
      <c r="DE136" s="584"/>
      <c r="DF136" s="581"/>
      <c r="DG136" s="584"/>
      <c r="DH136" s="581"/>
      <c r="DI136" s="581"/>
      <c r="DJ136" s="581"/>
      <c r="DK136" s="581"/>
      <c r="DL136" s="581"/>
      <c r="DM136" s="584"/>
      <c r="DN136" s="585"/>
      <c r="DO136" s="585"/>
      <c r="DP136" s="581"/>
      <c r="DQ136" s="581"/>
      <c r="DR136" s="581"/>
      <c r="DS136" s="581"/>
      <c r="DT136" s="581"/>
      <c r="DU136" s="581"/>
      <c r="DV136" s="581"/>
      <c r="DW136" s="584"/>
      <c r="DX136" s="586"/>
      <c r="DY136" s="586"/>
      <c r="DZ136" s="586"/>
      <c r="EA136" s="586"/>
      <c r="EB136" s="586"/>
      <c r="EC136" s="586"/>
      <c r="ED136" s="586"/>
      <c r="EE136" s="586"/>
      <c r="EF136" s="586"/>
      <c r="EG136" s="586"/>
      <c r="EH136" s="586"/>
      <c r="EI136" s="586"/>
      <c r="EJ136" s="586"/>
      <c r="EK136" s="587"/>
      <c r="EL136" s="581"/>
      <c r="EM136" s="588"/>
      <c r="EN136" s="589"/>
      <c r="EO136" s="588"/>
      <c r="EP136" s="590"/>
      <c r="EQ136" s="589"/>
      <c r="ER136" s="589"/>
      <c r="ES136" s="589"/>
      <c r="ET136" s="139"/>
      <c r="EU136" s="139"/>
      <c r="EV136" s="590"/>
      <c r="EW136" s="589"/>
      <c r="EX136" s="591"/>
      <c r="EY136" s="591"/>
      <c r="EZ136" s="589"/>
      <c r="FA136" s="592"/>
      <c r="FB136" s="592"/>
      <c r="FC136" s="592"/>
      <c r="FD136" s="592"/>
      <c r="FE136" s="592"/>
      <c r="FF136" s="592"/>
      <c r="FG136" s="589"/>
      <c r="FH136" s="589"/>
      <c r="FI136" s="589"/>
      <c r="FJ136" s="589"/>
      <c r="FK136" s="589"/>
      <c r="FL136" s="589"/>
      <c r="FM136" s="589"/>
      <c r="FN136" s="589"/>
      <c r="FO136" s="589"/>
      <c r="FP136" s="589"/>
      <c r="FQ136" s="589"/>
      <c r="FR136" s="589"/>
      <c r="FS136" s="584"/>
      <c r="FT136" s="593"/>
      <c r="FU136" s="594"/>
      <c r="FV136" s="595"/>
      <c r="FW136" s="596"/>
      <c r="FX136" s="594"/>
      <c r="FY136" s="594"/>
      <c r="FZ136" s="594"/>
      <c r="GA136" s="594"/>
      <c r="GB136" s="594"/>
      <c r="GC136" s="594"/>
      <c r="GD136" s="594"/>
      <c r="GE136" s="594"/>
      <c r="GF136" s="594"/>
      <c r="GG136" s="594"/>
      <c r="GH136" s="594"/>
      <c r="GI136" s="594"/>
      <c r="GJ136" s="594"/>
      <c r="GK136" s="594"/>
      <c r="GL136" s="596"/>
      <c r="GM136" s="596"/>
      <c r="GN136" s="595"/>
      <c r="GO136" s="595"/>
      <c r="GP136" s="597"/>
      <c r="GQ136" s="595"/>
      <c r="GR136" s="597"/>
      <c r="GS136" s="595"/>
      <c r="GT136" s="597"/>
      <c r="GU136" s="598"/>
      <c r="GV136" s="597"/>
      <c r="GW136" s="597"/>
      <c r="GX136" s="597"/>
      <c r="GY136" s="597"/>
      <c r="GZ136" s="597"/>
      <c r="HA136" s="597"/>
      <c r="HB136" s="597"/>
      <c r="HC136" s="599"/>
    </row>
    <row r="137" spans="1:249" s="625" customFormat="1" ht="13.5" thickBot="1">
      <c r="A137" s="600" t="s">
        <v>781</v>
      </c>
      <c r="B137" s="601"/>
      <c r="C137" s="602"/>
      <c r="D137" s="602"/>
      <c r="E137" s="603"/>
      <c r="F137" s="602"/>
      <c r="G137" s="604"/>
      <c r="H137" s="605"/>
      <c r="I137" s="602"/>
      <c r="J137" s="602"/>
      <c r="K137" s="602"/>
      <c r="L137" s="602"/>
      <c r="M137" s="606">
        <f>SUM(M4:M135)</f>
        <v>714711</v>
      </c>
      <c r="N137" s="606">
        <f>SUM(N4:N135)</f>
        <v>126802</v>
      </c>
      <c r="O137" s="606">
        <f>SUM(O4:O135)</f>
        <v>27318</v>
      </c>
      <c r="P137" s="606">
        <f>SUM(P4:P135)</f>
        <v>808397</v>
      </c>
      <c r="Q137" s="606">
        <f>SUM(Q4:Q135)</f>
        <v>194</v>
      </c>
      <c r="R137" s="607"/>
      <c r="S137" s="608">
        <f t="shared" ref="S137:CD137" si="52">SUM(S4:S135)</f>
        <v>982385.94</v>
      </c>
      <c r="T137" s="609">
        <f t="shared" si="52"/>
        <v>982385.94</v>
      </c>
      <c r="U137" s="610">
        <f t="shared" si="52"/>
        <v>907064.6</v>
      </c>
      <c r="V137" s="606">
        <f t="shared" si="52"/>
        <v>907064.6</v>
      </c>
      <c r="W137" s="611">
        <f t="shared" si="52"/>
        <v>893053.2</v>
      </c>
      <c r="X137" s="611">
        <f t="shared" si="52"/>
        <v>904804.2</v>
      </c>
      <c r="Y137" s="611">
        <f t="shared" si="52"/>
        <v>2260.4</v>
      </c>
      <c r="Z137" s="611">
        <f t="shared" si="52"/>
        <v>2260.4</v>
      </c>
      <c r="AA137" s="611">
        <f t="shared" si="52"/>
        <v>28405.200000000001</v>
      </c>
      <c r="AB137" s="611">
        <f t="shared" si="52"/>
        <v>28405.200000000001</v>
      </c>
      <c r="AC137" s="611">
        <f t="shared" si="52"/>
        <v>215669.8</v>
      </c>
      <c r="AD137" s="611">
        <f t="shared" si="52"/>
        <v>215669.8</v>
      </c>
      <c r="AE137" s="611">
        <f t="shared" si="52"/>
        <v>126802</v>
      </c>
      <c r="AF137" s="611">
        <f t="shared" si="52"/>
        <v>126802</v>
      </c>
      <c r="AG137" s="611">
        <f t="shared" si="52"/>
        <v>11218</v>
      </c>
      <c r="AH137" s="611">
        <f t="shared" si="52"/>
        <v>11218</v>
      </c>
      <c r="AI137" s="611">
        <f t="shared" si="52"/>
        <v>115584</v>
      </c>
      <c r="AJ137" s="611">
        <f t="shared" si="52"/>
        <v>115584</v>
      </c>
      <c r="AK137" s="611">
        <f t="shared" si="52"/>
        <v>0</v>
      </c>
      <c r="AL137" s="611">
        <f t="shared" si="52"/>
        <v>0</v>
      </c>
      <c r="AM137" s="611">
        <f t="shared" si="52"/>
        <v>4818</v>
      </c>
      <c r="AN137" s="611">
        <f t="shared" si="52"/>
        <v>4818</v>
      </c>
      <c r="AO137" s="612">
        <f t="shared" si="52"/>
        <v>0</v>
      </c>
      <c r="AP137" s="612">
        <f t="shared" si="52"/>
        <v>0</v>
      </c>
      <c r="AQ137" s="613">
        <f t="shared" si="52"/>
        <v>188650</v>
      </c>
      <c r="AR137" s="614">
        <f t="shared" si="52"/>
        <v>188650</v>
      </c>
      <c r="AS137" s="614">
        <f t="shared" si="52"/>
        <v>72154</v>
      </c>
      <c r="AT137" s="614">
        <f t="shared" si="52"/>
        <v>72154</v>
      </c>
      <c r="AU137" s="612">
        <f t="shared" si="52"/>
        <v>600</v>
      </c>
      <c r="AV137" s="612">
        <f t="shared" si="52"/>
        <v>600</v>
      </c>
      <c r="AW137" s="614">
        <f t="shared" si="52"/>
        <v>36295</v>
      </c>
      <c r="AX137" s="614">
        <f t="shared" si="52"/>
        <v>36295</v>
      </c>
      <c r="AY137" s="615">
        <f t="shared" si="52"/>
        <v>256448.2</v>
      </c>
      <c r="AZ137" s="615">
        <f t="shared" si="52"/>
        <v>256448.2</v>
      </c>
      <c r="BA137" s="609">
        <f t="shared" si="52"/>
        <v>12805</v>
      </c>
      <c r="BB137" s="609">
        <f t="shared" si="52"/>
        <v>12805</v>
      </c>
      <c r="BC137" s="609">
        <f t="shared" si="52"/>
        <v>36120</v>
      </c>
      <c r="BD137" s="609">
        <f t="shared" si="52"/>
        <v>36120</v>
      </c>
      <c r="BE137" s="609">
        <f t="shared" si="52"/>
        <v>2016</v>
      </c>
      <c r="BF137" s="609">
        <f t="shared" si="52"/>
        <v>2016</v>
      </c>
      <c r="BG137" s="609">
        <f t="shared" si="52"/>
        <v>15800</v>
      </c>
      <c r="BH137" s="609">
        <f t="shared" si="52"/>
        <v>15800</v>
      </c>
      <c r="BI137" s="609">
        <f t="shared" si="52"/>
        <v>79099.7</v>
      </c>
      <c r="BJ137" s="609">
        <f t="shared" si="52"/>
        <v>79099.7</v>
      </c>
      <c r="BK137" s="609">
        <f t="shared" si="52"/>
        <v>110607.5</v>
      </c>
      <c r="BL137" s="609">
        <f t="shared" si="52"/>
        <v>110607.5</v>
      </c>
      <c r="BM137" s="609">
        <f t="shared" si="52"/>
        <v>1925571.14</v>
      </c>
      <c r="BN137" s="609">
        <f t="shared" si="52"/>
        <v>1925571.14</v>
      </c>
      <c r="BO137" s="606">
        <f t="shared" si="52"/>
        <v>867.34950000000003</v>
      </c>
      <c r="BP137" s="606">
        <f t="shared" si="52"/>
        <v>867.34950000000003</v>
      </c>
      <c r="BQ137" s="606">
        <f t="shared" si="52"/>
        <v>0</v>
      </c>
      <c r="BR137" s="606">
        <f t="shared" si="52"/>
        <v>0</v>
      </c>
      <c r="BS137" s="609">
        <f t="shared" si="52"/>
        <v>2536</v>
      </c>
      <c r="BT137" s="609">
        <f t="shared" si="52"/>
        <v>2536</v>
      </c>
      <c r="BU137" s="609">
        <f t="shared" si="52"/>
        <v>1726</v>
      </c>
      <c r="BV137" s="609">
        <f t="shared" si="52"/>
        <v>1726</v>
      </c>
      <c r="BW137" s="609">
        <f t="shared" si="52"/>
        <v>313.57470000000001</v>
      </c>
      <c r="BX137" s="609">
        <f t="shared" si="52"/>
        <v>313.57470000000001</v>
      </c>
      <c r="BY137" s="609">
        <f t="shared" si="52"/>
        <v>0</v>
      </c>
      <c r="BZ137" s="609">
        <f t="shared" si="52"/>
        <v>0</v>
      </c>
      <c r="CA137" s="609">
        <f t="shared" si="52"/>
        <v>527.37239999999997</v>
      </c>
      <c r="CB137" s="609">
        <f t="shared" si="52"/>
        <v>527.37239999999997</v>
      </c>
      <c r="CC137" s="609">
        <f t="shared" si="52"/>
        <v>27.725000000000001</v>
      </c>
      <c r="CD137" s="609">
        <f t="shared" si="52"/>
        <v>27.725000000000001</v>
      </c>
      <c r="CE137" s="609">
        <f t="shared" ref="CE137:CN137" si="53">SUM(CE4:CE135)</f>
        <v>0</v>
      </c>
      <c r="CF137" s="609">
        <f t="shared" si="53"/>
        <v>0</v>
      </c>
      <c r="CG137" s="609">
        <f t="shared" si="53"/>
        <v>339</v>
      </c>
      <c r="CH137" s="609">
        <f t="shared" si="53"/>
        <v>339</v>
      </c>
      <c r="CI137" s="609">
        <f t="shared" si="53"/>
        <v>0.432</v>
      </c>
      <c r="CJ137" s="609">
        <f t="shared" si="53"/>
        <v>0.432</v>
      </c>
      <c r="CK137" s="609">
        <f t="shared" si="53"/>
        <v>8.016</v>
      </c>
      <c r="CL137" s="609">
        <f t="shared" si="53"/>
        <v>8.016</v>
      </c>
      <c r="CM137" s="606">
        <f t="shared" si="53"/>
        <v>1216.1201000000001</v>
      </c>
      <c r="CN137" s="606">
        <f t="shared" si="53"/>
        <v>1216.1201000000001</v>
      </c>
      <c r="CO137" s="606"/>
      <c r="CP137" s="616"/>
      <c r="CQ137" s="602"/>
      <c r="CR137" s="602"/>
      <c r="CS137" s="602"/>
      <c r="CT137" s="602"/>
      <c r="CU137" s="617"/>
      <c r="CV137" s="618"/>
      <c r="CW137" s="609">
        <f t="shared" ref="CW137:DR137" si="54">SUM(CW4:CW135)</f>
        <v>4521657.34</v>
      </c>
      <c r="CX137" s="609">
        <f t="shared" si="54"/>
        <v>4521657.34</v>
      </c>
      <c r="CY137" s="609">
        <f t="shared" si="54"/>
        <v>1164012.7999999998</v>
      </c>
      <c r="CZ137" s="609">
        <f t="shared" si="54"/>
        <v>1164012.8</v>
      </c>
      <c r="DA137" s="609">
        <f t="shared" si="54"/>
        <v>1015892.6</v>
      </c>
      <c r="DB137" s="609">
        <f t="shared" si="54"/>
        <v>1015892.6000000001</v>
      </c>
      <c r="DC137" s="609">
        <f t="shared" si="54"/>
        <v>21390.7</v>
      </c>
      <c r="DD137" s="609">
        <f t="shared" si="54"/>
        <v>21390.7</v>
      </c>
      <c r="DE137" s="609">
        <f t="shared" si="54"/>
        <v>64062</v>
      </c>
      <c r="DF137" s="609">
        <f t="shared" si="54"/>
        <v>64062</v>
      </c>
      <c r="DG137" s="609">
        <f t="shared" si="54"/>
        <v>556203.94999999995</v>
      </c>
      <c r="DH137" s="609">
        <f t="shared" si="54"/>
        <v>556203.94999999995</v>
      </c>
      <c r="DI137" s="609">
        <f t="shared" si="54"/>
        <v>0</v>
      </c>
      <c r="DJ137" s="609">
        <f t="shared" si="54"/>
        <v>0</v>
      </c>
      <c r="DK137" s="609">
        <f t="shared" si="54"/>
        <v>0</v>
      </c>
      <c r="DL137" s="609">
        <f t="shared" si="54"/>
        <v>0</v>
      </c>
      <c r="DM137" s="609">
        <f t="shared" si="54"/>
        <v>44104.800000000003</v>
      </c>
      <c r="DN137" s="609">
        <f t="shared" si="54"/>
        <v>44104.800000000003</v>
      </c>
      <c r="DO137" s="609">
        <f t="shared" si="54"/>
        <v>0</v>
      </c>
      <c r="DP137" s="609">
        <f t="shared" si="54"/>
        <v>0</v>
      </c>
      <c r="DQ137" s="609">
        <f t="shared" si="54"/>
        <v>0</v>
      </c>
      <c r="DR137" s="609">
        <f t="shared" si="54"/>
        <v>0</v>
      </c>
      <c r="DS137" s="609"/>
      <c r="DT137" s="609">
        <f>SUM(DT4:DT135)</f>
        <v>0</v>
      </c>
      <c r="DU137" s="609"/>
      <c r="DV137" s="609">
        <f t="shared" ref="DV137:FQ137" si="55">SUM(DV4:DV135)</f>
        <v>0</v>
      </c>
      <c r="DW137" s="609">
        <f t="shared" si="55"/>
        <v>478289.35000000003</v>
      </c>
      <c r="DX137" s="609">
        <f t="shared" si="55"/>
        <v>478289.35000000003</v>
      </c>
      <c r="DY137" s="612">
        <f t="shared" si="55"/>
        <v>15305</v>
      </c>
      <c r="DZ137" s="612">
        <f t="shared" si="55"/>
        <v>15305</v>
      </c>
      <c r="EA137" s="612">
        <f t="shared" si="55"/>
        <v>53896.25</v>
      </c>
      <c r="EB137" s="612">
        <f t="shared" si="55"/>
        <v>53896.25</v>
      </c>
      <c r="EC137" s="612">
        <f t="shared" si="55"/>
        <v>23099.15</v>
      </c>
      <c r="ED137" s="612">
        <f t="shared" si="55"/>
        <v>23099.15</v>
      </c>
      <c r="EE137" s="612">
        <f t="shared" si="55"/>
        <v>15800</v>
      </c>
      <c r="EF137" s="612">
        <f t="shared" si="55"/>
        <v>15800</v>
      </c>
      <c r="EG137" s="612">
        <f t="shared" si="55"/>
        <v>132995.95000000001</v>
      </c>
      <c r="EH137" s="612">
        <f t="shared" si="55"/>
        <v>132995.95000000001</v>
      </c>
      <c r="EI137" s="619">
        <f t="shared" si="55"/>
        <v>237193</v>
      </c>
      <c r="EJ137" s="619">
        <f t="shared" si="55"/>
        <v>237193</v>
      </c>
      <c r="EK137" s="619">
        <f t="shared" si="55"/>
        <v>5685673.7400000002</v>
      </c>
      <c r="EL137" s="619">
        <f t="shared" si="55"/>
        <v>5685673.7400000002</v>
      </c>
      <c r="EM137" s="608">
        <f t="shared" si="55"/>
        <v>4647.0571500000005</v>
      </c>
      <c r="EN137" s="608">
        <f t="shared" si="55"/>
        <v>4647.0571500000005</v>
      </c>
      <c r="EO137" s="608">
        <f t="shared" si="55"/>
        <v>2638.3032050000002</v>
      </c>
      <c r="EP137" s="608">
        <f t="shared" si="55"/>
        <v>2638.3032050000006</v>
      </c>
      <c r="EQ137" s="608">
        <f t="shared" si="55"/>
        <v>2726.9164125000002</v>
      </c>
      <c r="ER137" s="608">
        <f t="shared" si="55"/>
        <v>2726.9164124999998</v>
      </c>
      <c r="ES137" s="608">
        <f t="shared" si="55"/>
        <v>1701.2383874999998</v>
      </c>
      <c r="ET137" s="608">
        <f t="shared" si="55"/>
        <v>1701.2383875000005</v>
      </c>
      <c r="EU137" s="608">
        <f t="shared" si="55"/>
        <v>13634.576271499998</v>
      </c>
      <c r="EV137" s="608">
        <f t="shared" si="55"/>
        <v>13634.576271500002</v>
      </c>
      <c r="EW137" s="608">
        <f t="shared" si="55"/>
        <v>3532</v>
      </c>
      <c r="EX137" s="608">
        <f t="shared" si="55"/>
        <v>3532</v>
      </c>
      <c r="EY137" s="608">
        <f t="shared" si="55"/>
        <v>595.00928749999991</v>
      </c>
      <c r="EZ137" s="608">
        <f t="shared" si="55"/>
        <v>595.00928749999991</v>
      </c>
      <c r="FA137" s="619">
        <f t="shared" si="55"/>
        <v>595.00928749999991</v>
      </c>
      <c r="FB137" s="619">
        <f t="shared" si="55"/>
        <v>0</v>
      </c>
      <c r="FC137" s="619">
        <f t="shared" si="55"/>
        <v>0</v>
      </c>
      <c r="FD137" s="619">
        <f t="shared" si="55"/>
        <v>0</v>
      </c>
      <c r="FE137" s="619">
        <f t="shared" si="55"/>
        <v>0</v>
      </c>
      <c r="FF137" s="619">
        <f t="shared" si="55"/>
        <v>628.73974999999996</v>
      </c>
      <c r="FG137" s="619">
        <f t="shared" si="55"/>
        <v>628.73974999999996</v>
      </c>
      <c r="FH137" s="619">
        <f t="shared" si="55"/>
        <v>6.12</v>
      </c>
      <c r="FI137" s="619">
        <f t="shared" si="55"/>
        <v>6.12</v>
      </c>
      <c r="FJ137" s="619">
        <f t="shared" si="55"/>
        <v>0</v>
      </c>
      <c r="FK137" s="619">
        <f t="shared" si="55"/>
        <v>0</v>
      </c>
      <c r="FL137" s="619">
        <f t="shared" si="55"/>
        <v>0</v>
      </c>
      <c r="FM137" s="619">
        <f t="shared" si="55"/>
        <v>0</v>
      </c>
      <c r="FN137" s="619">
        <f t="shared" si="55"/>
        <v>0</v>
      </c>
      <c r="FO137" s="619">
        <f t="shared" si="55"/>
        <v>0</v>
      </c>
      <c r="FP137" s="619">
        <f t="shared" si="55"/>
        <v>477.48935</v>
      </c>
      <c r="FQ137" s="619">
        <f t="shared" si="55"/>
        <v>477.48935</v>
      </c>
      <c r="FR137" s="619"/>
      <c r="FS137" s="620"/>
      <c r="FT137" s="621">
        <f t="shared" ref="FT137:HC137" si="56">SUM(FT4:FT135)</f>
        <v>3539271.3999999994</v>
      </c>
      <c r="FU137" s="621">
        <f t="shared" si="56"/>
        <v>256948.19999999995</v>
      </c>
      <c r="FV137" s="621">
        <f t="shared" si="56"/>
        <v>268519.25000000006</v>
      </c>
      <c r="FW137" s="621">
        <f t="shared" si="56"/>
        <v>340534.15</v>
      </c>
      <c r="FX137" s="621">
        <f t="shared" si="56"/>
        <v>35656.800000000003</v>
      </c>
      <c r="FY137" s="621">
        <f t="shared" si="56"/>
        <v>19130.3</v>
      </c>
      <c r="FZ137" s="621">
        <f t="shared" si="56"/>
        <v>-126802</v>
      </c>
      <c r="GA137" s="621">
        <f t="shared" si="56"/>
        <v>0</v>
      </c>
      <c r="GB137" s="621">
        <f t="shared" si="56"/>
        <v>39286.800000000003</v>
      </c>
      <c r="GC137" s="621">
        <f t="shared" si="56"/>
        <v>-188650</v>
      </c>
      <c r="GD137" s="621">
        <f t="shared" si="56"/>
        <v>-72154</v>
      </c>
      <c r="GE137" s="621">
        <f t="shared" si="56"/>
        <v>-600</v>
      </c>
      <c r="GF137" s="621">
        <f t="shared" si="56"/>
        <v>-36295</v>
      </c>
      <c r="GG137" s="621">
        <f t="shared" si="56"/>
        <v>2500</v>
      </c>
      <c r="GH137" s="621">
        <f t="shared" si="56"/>
        <v>17776.249999999996</v>
      </c>
      <c r="GI137" s="621">
        <f t="shared" si="56"/>
        <v>21083.15</v>
      </c>
      <c r="GJ137" s="621">
        <f t="shared" si="56"/>
        <v>0</v>
      </c>
      <c r="GK137" s="621">
        <f t="shared" si="56"/>
        <v>53896.25</v>
      </c>
      <c r="GL137" s="621">
        <f t="shared" si="56"/>
        <v>221841.15</v>
      </c>
      <c r="GM137" s="621">
        <f t="shared" si="56"/>
        <v>3760102.6</v>
      </c>
      <c r="GN137" s="621">
        <f t="shared" si="56"/>
        <v>3779.7076500000003</v>
      </c>
      <c r="GO137" s="621">
        <f t="shared" si="56"/>
        <v>2638.3032050000002</v>
      </c>
      <c r="GP137" s="621">
        <f t="shared" si="56"/>
        <v>2638.3032050000006</v>
      </c>
      <c r="GQ137" s="621">
        <f t="shared" si="56"/>
        <v>11098.576271499998</v>
      </c>
      <c r="GR137" s="621">
        <f t="shared" si="56"/>
        <v>11098.576271500002</v>
      </c>
      <c r="GS137" s="621">
        <f t="shared" si="56"/>
        <v>1806</v>
      </c>
      <c r="GT137" s="621">
        <f t="shared" si="56"/>
        <v>1806</v>
      </c>
      <c r="GU137" s="621">
        <f t="shared" si="56"/>
        <v>281.43458750000008</v>
      </c>
      <c r="GV137" s="621">
        <f t="shared" si="56"/>
        <v>-21.605</v>
      </c>
      <c r="GW137" s="621">
        <f t="shared" si="56"/>
        <v>0</v>
      </c>
      <c r="GX137" s="621">
        <f t="shared" si="56"/>
        <v>101.36734999999999</v>
      </c>
      <c r="GY137" s="621">
        <f t="shared" si="56"/>
        <v>0</v>
      </c>
      <c r="GZ137" s="621">
        <f t="shared" si="56"/>
        <v>-339</v>
      </c>
      <c r="HA137" s="621">
        <f t="shared" si="56"/>
        <v>-0.432</v>
      </c>
      <c r="HB137" s="621">
        <f t="shared" si="56"/>
        <v>469.47335000000004</v>
      </c>
      <c r="HC137" s="621">
        <f t="shared" si="56"/>
        <v>481.61828749999995</v>
      </c>
      <c r="HD137" s="622"/>
      <c r="HE137" s="623"/>
      <c r="HF137" s="623"/>
      <c r="HG137" s="623"/>
      <c r="HH137" s="623"/>
      <c r="HI137" s="623"/>
      <c r="HJ137" s="623"/>
      <c r="HK137" s="623"/>
      <c r="HL137" s="623"/>
      <c r="HM137" s="623"/>
      <c r="HN137" s="624"/>
      <c r="HO137" s="624"/>
      <c r="HP137" s="624"/>
    </row>
    <row r="138" spans="1:249" s="23" customFormat="1" ht="15" customHeight="1">
      <c r="A138" s="626"/>
      <c r="C138" s="322"/>
      <c r="D138" s="322"/>
      <c r="E138" s="96"/>
      <c r="F138" s="107"/>
      <c r="G138" s="107"/>
      <c r="H138" s="627"/>
      <c r="I138" s="139"/>
      <c r="J138" s="139"/>
      <c r="K138" s="139"/>
      <c r="L138" s="139"/>
      <c r="M138" s="139"/>
      <c r="N138" s="139"/>
      <c r="O138" s="139"/>
      <c r="P138" s="139"/>
      <c r="Q138" s="139"/>
      <c r="R138" s="95"/>
      <c r="S138" s="101"/>
      <c r="T138" s="95"/>
      <c r="U138" s="101"/>
      <c r="V138" s="139"/>
      <c r="W138" s="101"/>
      <c r="X138" s="95"/>
      <c r="Y138" s="101"/>
      <c r="Z138" s="95"/>
      <c r="AA138" s="101"/>
      <c r="AB138" s="95"/>
      <c r="AC138" s="101"/>
      <c r="AD138" s="270"/>
      <c r="AE138" s="271"/>
      <c r="AF138" s="270"/>
      <c r="AG138" s="270"/>
      <c r="AH138" s="270"/>
      <c r="AI138" s="270"/>
      <c r="AJ138" s="270"/>
      <c r="AK138" s="270"/>
      <c r="AL138" s="323"/>
      <c r="AM138" s="324"/>
      <c r="AN138" s="323"/>
      <c r="AO138" s="323"/>
      <c r="AP138" s="323"/>
      <c r="AQ138" s="324"/>
      <c r="AR138" s="323"/>
      <c r="AS138" s="323"/>
      <c r="AT138" s="323"/>
      <c r="AU138" s="323"/>
      <c r="AV138" s="323"/>
      <c r="AW138" s="323"/>
      <c r="AX138" s="323"/>
      <c r="AY138" s="323"/>
      <c r="AZ138" s="323"/>
      <c r="BA138" s="323"/>
      <c r="CP138" s="95"/>
      <c r="CQ138" s="139"/>
      <c r="CR138" s="322"/>
      <c r="CS138" s="322"/>
      <c r="CT138" s="322"/>
      <c r="CU138" s="108"/>
      <c r="CV138" s="325"/>
      <c r="CX138" s="628"/>
      <c r="CY138" s="629"/>
      <c r="DC138" s="628"/>
      <c r="DE138" s="321"/>
      <c r="DG138" s="321"/>
      <c r="DM138" s="321"/>
      <c r="DW138" s="321"/>
      <c r="DX138" s="323"/>
      <c r="DY138" s="323"/>
      <c r="DZ138" s="323"/>
      <c r="EA138" s="323"/>
      <c r="EB138" s="323"/>
      <c r="EC138" s="323"/>
      <c r="ED138" s="323"/>
      <c r="EE138" s="323"/>
      <c r="EF138" s="323"/>
      <c r="EG138" s="323"/>
      <c r="EH138" s="323"/>
      <c r="EI138" s="323"/>
      <c r="EJ138" s="323"/>
      <c r="EK138" s="324"/>
      <c r="EM138" s="329"/>
      <c r="EN138" s="322"/>
      <c r="EO138" s="329"/>
      <c r="EP138" s="322"/>
      <c r="EQ138" s="322"/>
      <c r="ER138" s="322"/>
      <c r="ES138" s="322"/>
      <c r="ET138" s="322"/>
      <c r="EU138" s="322"/>
      <c r="EV138" s="322"/>
      <c r="EW138" s="322"/>
      <c r="EX138" s="322"/>
      <c r="EY138" s="322"/>
      <c r="EZ138" s="322"/>
      <c r="FA138" s="323"/>
      <c r="FB138" s="323"/>
      <c r="FC138" s="323"/>
      <c r="FD138" s="323"/>
      <c r="FE138" s="323"/>
      <c r="FF138" s="323"/>
      <c r="FG138" s="322"/>
      <c r="FH138" s="322"/>
      <c r="FI138" s="322"/>
      <c r="FJ138" s="322"/>
      <c r="FK138" s="322"/>
      <c r="FL138" s="322"/>
      <c r="FM138" s="322">
        <f>SUM(FM3:FM137)</f>
        <v>0</v>
      </c>
      <c r="FN138" s="322"/>
      <c r="FO138" s="322"/>
      <c r="FP138" s="322"/>
      <c r="FQ138" s="322"/>
      <c r="FR138" s="322"/>
      <c r="FS138" s="321"/>
      <c r="FT138" s="266"/>
      <c r="FU138" s="2246"/>
      <c r="FV138" s="630"/>
      <c r="FW138" s="630"/>
      <c r="FX138" s="2246"/>
      <c r="FY138" s="2246"/>
      <c r="FZ138" s="2246"/>
      <c r="GA138" s="2246"/>
      <c r="GB138" s="2246"/>
      <c r="GC138" s="2246"/>
      <c r="GD138" s="2246"/>
      <c r="GE138" s="2246"/>
      <c r="GF138" s="2246"/>
      <c r="GG138" s="2246"/>
      <c r="GH138" s="2246"/>
      <c r="GI138" s="2246"/>
      <c r="GJ138" s="2246"/>
      <c r="GK138" s="2246"/>
      <c r="GL138" s="630"/>
      <c r="GM138" s="630"/>
      <c r="GN138" s="630"/>
      <c r="GO138" s="630"/>
      <c r="GP138" s="266"/>
      <c r="GQ138" s="630"/>
      <c r="GR138" s="266"/>
      <c r="GS138" s="630"/>
      <c r="GT138" s="266">
        <f>EX137-BV137</f>
        <v>1806</v>
      </c>
      <c r="GU138" s="266"/>
      <c r="GV138" s="266"/>
      <c r="GW138" s="266"/>
      <c r="GX138" s="266"/>
      <c r="GY138" s="266"/>
      <c r="GZ138" s="266"/>
      <c r="HC138" s="321"/>
      <c r="HD138" s="95"/>
      <c r="HI138" s="95"/>
      <c r="HJ138" s="95"/>
      <c r="HK138" s="95"/>
      <c r="HL138" s="95"/>
      <c r="HM138" s="95"/>
    </row>
    <row r="139" spans="1:249" ht="15" customHeight="1">
      <c r="A139" s="631"/>
      <c r="B139" s="632"/>
      <c r="C139" s="23"/>
      <c r="D139" s="23"/>
      <c r="E139" s="96"/>
      <c r="F139" s="95"/>
      <c r="G139" s="95"/>
      <c r="H139" s="99"/>
      <c r="I139" s="95"/>
      <c r="J139" s="95"/>
      <c r="K139" s="95"/>
      <c r="L139" s="95"/>
      <c r="M139" s="23"/>
      <c r="N139" s="23"/>
      <c r="O139" s="23"/>
      <c r="P139" s="23"/>
      <c r="Q139" s="23"/>
      <c r="R139" s="95"/>
      <c r="S139" s="101"/>
      <c r="T139" s="23"/>
      <c r="U139" s="321"/>
      <c r="V139" s="322"/>
      <c r="W139" s="321"/>
      <c r="X139" s="23"/>
      <c r="Y139" s="321"/>
      <c r="Z139" s="23"/>
      <c r="AA139" s="321"/>
      <c r="AB139" s="23"/>
      <c r="AC139" s="321"/>
      <c r="AD139" s="323"/>
      <c r="AE139" s="324"/>
      <c r="AF139" s="323"/>
      <c r="AG139" s="323"/>
      <c r="AH139" s="323"/>
      <c r="AI139" s="323"/>
      <c r="AJ139" s="323"/>
      <c r="AK139" s="323"/>
      <c r="AL139" s="323"/>
      <c r="AM139" s="324"/>
      <c r="AN139" s="323"/>
      <c r="AO139" s="323"/>
      <c r="AP139" s="323"/>
      <c r="AQ139" s="324"/>
      <c r="AR139" s="323"/>
      <c r="AS139" s="323"/>
      <c r="AT139" s="323"/>
      <c r="AU139" s="323"/>
      <c r="AV139" s="323"/>
      <c r="AW139" s="323"/>
      <c r="AX139" s="323"/>
      <c r="AY139" s="323"/>
      <c r="AZ139" s="323"/>
      <c r="BA139" s="323"/>
      <c r="BB139" s="23"/>
      <c r="BC139" s="23"/>
      <c r="BD139" s="23"/>
      <c r="BE139" s="23"/>
      <c r="BF139" s="23"/>
      <c r="BG139" s="23"/>
      <c r="BH139" s="23"/>
      <c r="BI139" s="23"/>
      <c r="BJ139" s="23"/>
      <c r="BK139" s="23"/>
      <c r="BL139" s="23"/>
      <c r="BM139" s="23"/>
      <c r="BN139" s="23"/>
      <c r="BO139" s="23"/>
      <c r="BP139" s="23"/>
      <c r="BQ139" s="23"/>
      <c r="BR139" s="23"/>
      <c r="BS139" s="23"/>
      <c r="BT139" s="23"/>
      <c r="BU139" s="23"/>
      <c r="BV139" s="23"/>
      <c r="BW139" s="23"/>
      <c r="BX139" s="23"/>
      <c r="BY139" s="23"/>
      <c r="BZ139" s="23"/>
      <c r="CA139" s="23"/>
      <c r="CB139" s="23"/>
      <c r="CC139" s="23"/>
      <c r="CD139" s="23"/>
      <c r="CE139" s="23"/>
      <c r="CF139" s="23"/>
      <c r="CG139" s="23"/>
      <c r="CH139" s="23"/>
      <c r="CI139" s="23"/>
      <c r="CJ139" s="23"/>
      <c r="CK139" s="23"/>
      <c r="CL139" s="23"/>
      <c r="CM139" s="23"/>
      <c r="CN139" s="23"/>
      <c r="CO139" s="23"/>
      <c r="CP139" s="95"/>
      <c r="CQ139" s="95"/>
      <c r="CR139" s="23"/>
      <c r="CS139" s="23"/>
      <c r="CT139" s="23"/>
      <c r="CU139" s="108"/>
      <c r="CV139" s="325"/>
      <c r="CW139" s="633">
        <f>SUM(CW4:CW135)</f>
        <v>4521657.34</v>
      </c>
      <c r="CX139" s="628"/>
      <c r="CZ139" s="23"/>
      <c r="DA139" s="23"/>
      <c r="DB139" s="23"/>
      <c r="DC139" s="628"/>
      <c r="DD139" s="23"/>
      <c r="DE139" s="321"/>
      <c r="DF139" s="23"/>
      <c r="DH139" s="23"/>
      <c r="DI139" s="23"/>
      <c r="DJ139" s="23"/>
      <c r="DK139" s="23"/>
      <c r="DL139" s="23"/>
      <c r="DM139" s="321"/>
      <c r="DN139" s="23"/>
      <c r="DO139" s="23"/>
      <c r="DP139" s="23"/>
      <c r="DQ139" s="23"/>
      <c r="DR139" s="23"/>
      <c r="DS139" s="23"/>
      <c r="DT139" s="23"/>
      <c r="DU139" s="23"/>
      <c r="DV139" s="23"/>
      <c r="DW139" s="321"/>
      <c r="DX139" s="323"/>
      <c r="DY139" s="323"/>
      <c r="DZ139" s="323"/>
      <c r="EA139" s="323"/>
      <c r="EB139" s="323"/>
      <c r="EC139" s="323"/>
      <c r="ED139" s="323"/>
      <c r="EE139" s="323"/>
      <c r="EF139" s="323"/>
      <c r="EG139" s="323"/>
      <c r="EH139" s="323"/>
      <c r="EI139" s="323"/>
      <c r="EJ139" s="323"/>
      <c r="EK139" s="324"/>
      <c r="EL139" s="23"/>
      <c r="EN139" s="322"/>
      <c r="EO139" s="329"/>
      <c r="EP139" s="322"/>
      <c r="EQ139" s="322"/>
      <c r="ER139" s="322"/>
      <c r="ET139" s="322"/>
      <c r="EU139" s="322"/>
      <c r="EV139" s="330">
        <f>SUM(EV4:EV138)</f>
        <v>27269.152543000004</v>
      </c>
      <c r="EW139" s="330"/>
      <c r="EX139" s="330">
        <f>SUM(EX4:EX135)</f>
        <v>3532</v>
      </c>
      <c r="EY139" s="330"/>
      <c r="EZ139" s="322"/>
      <c r="FA139" s="323" t="s">
        <v>782</v>
      </c>
      <c r="FB139" s="323"/>
      <c r="FC139" s="323"/>
      <c r="FD139" s="323"/>
      <c r="FE139" s="323"/>
      <c r="FF139" s="323"/>
      <c r="FG139" s="322"/>
      <c r="FH139" s="322"/>
      <c r="FI139" s="322"/>
      <c r="FJ139" s="322"/>
      <c r="FK139" s="322"/>
      <c r="FL139" s="322"/>
      <c r="FM139" s="322"/>
      <c r="FN139" s="322"/>
      <c r="FO139" s="322"/>
      <c r="FP139" s="322"/>
      <c r="FQ139" s="322"/>
      <c r="FR139" s="322"/>
      <c r="FS139" s="101"/>
      <c r="FT139" s="95"/>
      <c r="FU139" s="634"/>
      <c r="FV139" s="101"/>
      <c r="FW139" s="101"/>
      <c r="FX139" s="634"/>
      <c r="FY139" s="634"/>
      <c r="FZ139" s="634"/>
      <c r="GA139" s="634"/>
      <c r="GB139" s="634"/>
      <c r="GC139" s="634"/>
      <c r="GD139" s="634"/>
      <c r="GE139" s="634"/>
      <c r="GF139" s="634"/>
      <c r="GG139" s="634"/>
      <c r="GH139" s="634"/>
      <c r="GI139" s="634"/>
      <c r="GJ139" s="634"/>
      <c r="GK139" s="634"/>
      <c r="GL139" s="101"/>
      <c r="GM139" s="101"/>
      <c r="GN139" s="101"/>
      <c r="GO139" s="101"/>
      <c r="GP139" s="95"/>
      <c r="GQ139" s="101"/>
      <c r="GR139" s="95"/>
      <c r="GS139" s="101"/>
      <c r="GT139" s="95"/>
      <c r="GU139" s="95"/>
      <c r="GV139" s="95"/>
      <c r="GW139" s="95"/>
      <c r="GX139" s="95"/>
      <c r="GY139" s="95"/>
      <c r="GZ139" s="95"/>
      <c r="HA139" s="23"/>
      <c r="HB139" s="23"/>
      <c r="HC139" s="321"/>
      <c r="HI139" s="491"/>
      <c r="HJ139" s="491"/>
      <c r="HK139" s="491"/>
      <c r="HL139" s="491"/>
      <c r="HM139" s="491"/>
    </row>
    <row r="140" spans="1:249" ht="15" customHeight="1">
      <c r="A140" s="631"/>
      <c r="C140" s="23"/>
      <c r="D140" s="23"/>
      <c r="E140" s="96"/>
      <c r="F140" s="95"/>
      <c r="G140" s="95"/>
      <c r="H140" s="99"/>
      <c r="I140" s="95"/>
      <c r="J140" s="95"/>
      <c r="K140" s="95"/>
      <c r="L140" s="95"/>
      <c r="M140" s="95"/>
      <c r="N140" s="95" t="s">
        <v>783</v>
      </c>
      <c r="O140" s="95"/>
      <c r="P140" s="95"/>
      <c r="Q140" s="95" t="s">
        <v>784</v>
      </c>
      <c r="R140" s="95"/>
      <c r="S140" s="101"/>
      <c r="T140" s="95" t="s">
        <v>785</v>
      </c>
      <c r="U140" s="101"/>
      <c r="V140" s="139"/>
      <c r="W140" s="101"/>
      <c r="X140" s="95"/>
      <c r="Y140" s="101"/>
      <c r="Z140" s="95"/>
      <c r="AA140" s="101"/>
      <c r="AB140" s="95"/>
      <c r="AC140" s="101"/>
      <c r="AD140" s="103"/>
      <c r="AE140" s="2251"/>
      <c r="AF140" s="270"/>
      <c r="AG140" s="270"/>
      <c r="AH140" s="270"/>
      <c r="AI140" s="270"/>
      <c r="AJ140" s="270"/>
      <c r="AK140" s="270"/>
      <c r="AL140" s="323"/>
      <c r="AM140" s="324"/>
      <c r="AN140" s="323"/>
      <c r="AO140" s="323"/>
      <c r="AP140" s="323"/>
      <c r="AQ140" s="324"/>
      <c r="AR140" s="323"/>
      <c r="AS140" s="323"/>
      <c r="AT140" s="323"/>
      <c r="AU140" s="323"/>
      <c r="AV140" s="323"/>
      <c r="AW140" s="323"/>
      <c r="AX140" s="323"/>
      <c r="AY140" s="323"/>
      <c r="AZ140" s="323"/>
      <c r="BA140" s="323"/>
      <c r="BB140" s="23"/>
      <c r="BC140" s="23"/>
      <c r="BD140" s="23"/>
      <c r="BE140" s="23"/>
      <c r="BF140" s="23"/>
      <c r="BG140" s="23"/>
      <c r="BH140" s="23"/>
      <c r="BI140" s="23"/>
      <c r="BJ140" s="23"/>
      <c r="BK140" s="23"/>
      <c r="BL140" s="23"/>
      <c r="BM140" s="23"/>
      <c r="BN140" s="23"/>
      <c r="BO140" s="23"/>
      <c r="BP140" s="23"/>
      <c r="BQ140" s="23"/>
      <c r="BR140" s="23"/>
      <c r="BS140" s="23"/>
      <c r="BT140" s="23"/>
      <c r="BU140" s="23"/>
      <c r="BV140" s="274"/>
      <c r="BW140" s="274"/>
      <c r="BX140" s="23"/>
      <c r="BY140" s="23"/>
      <c r="BZ140" s="23" t="s">
        <v>786</v>
      </c>
      <c r="CA140" s="23"/>
      <c r="CB140" s="23"/>
      <c r="CC140" s="23"/>
      <c r="CD140" s="23" t="s">
        <v>787</v>
      </c>
      <c r="CE140" s="23"/>
      <c r="CF140" s="23"/>
      <c r="CG140" s="23"/>
      <c r="CH140" s="23"/>
      <c r="CI140" s="23"/>
      <c r="CJ140" s="23"/>
      <c r="CK140" s="23"/>
      <c r="CL140" s="23"/>
      <c r="CM140" s="23"/>
      <c r="CN140" s="23"/>
      <c r="CO140" s="23"/>
      <c r="CP140" s="95"/>
      <c r="CQ140" s="95"/>
      <c r="CR140" s="23"/>
      <c r="CS140" s="23"/>
      <c r="CT140" s="23"/>
      <c r="CU140" s="108"/>
      <c r="CV140" s="325"/>
      <c r="CW140" s="23" t="s">
        <v>788</v>
      </c>
      <c r="CX140" s="628"/>
      <c r="CZ140" s="23" t="s">
        <v>789</v>
      </c>
      <c r="DA140" s="23"/>
      <c r="DB140" s="23"/>
      <c r="DC140" s="628"/>
      <c r="DD140" s="23"/>
      <c r="DE140" s="321"/>
      <c r="DF140" s="23"/>
      <c r="DH140" s="23"/>
      <c r="DI140" s="23"/>
      <c r="DJ140" s="23"/>
      <c r="DK140" s="23"/>
      <c r="DL140" s="23"/>
      <c r="DM140" s="321"/>
      <c r="DN140" s="23"/>
      <c r="DO140" s="23"/>
      <c r="DP140" s="23"/>
      <c r="DQ140" s="23"/>
      <c r="DR140" s="23"/>
      <c r="DS140" s="23"/>
      <c r="DT140" s="23"/>
      <c r="DU140" s="23"/>
      <c r="DV140" s="23"/>
      <c r="DW140" s="321"/>
      <c r="DX140" s="323"/>
      <c r="DY140" s="323"/>
      <c r="DZ140" s="323"/>
      <c r="EA140" s="323"/>
      <c r="EB140" s="323"/>
      <c r="EC140" s="323"/>
      <c r="ED140" s="323"/>
      <c r="EE140" s="323"/>
      <c r="EF140" s="323"/>
      <c r="EG140" s="323"/>
      <c r="EH140" s="323"/>
      <c r="EI140" s="323"/>
      <c r="EJ140" s="323"/>
      <c r="EK140" s="324"/>
      <c r="EL140" s="23"/>
      <c r="EN140" s="322"/>
      <c r="EO140" s="329"/>
      <c r="EP140" s="322"/>
      <c r="EQ140" s="322"/>
      <c r="ER140" s="322"/>
      <c r="ET140" s="322"/>
      <c r="EU140" s="322"/>
      <c r="EV140" s="322"/>
      <c r="EW140" s="322"/>
      <c r="EX140" s="322"/>
      <c r="EY140" s="322"/>
      <c r="EZ140" s="322"/>
      <c r="FA140" s="323"/>
      <c r="FB140" s="323"/>
      <c r="FC140" s="323"/>
      <c r="FD140" s="323"/>
      <c r="FE140" s="323"/>
      <c r="FF140" s="323"/>
      <c r="FG140" s="322"/>
      <c r="FH140" s="322"/>
      <c r="FI140" s="322"/>
      <c r="FJ140" s="322"/>
      <c r="FK140" s="322"/>
      <c r="FL140" s="322"/>
      <c r="FM140" s="322" t="s">
        <v>790</v>
      </c>
      <c r="FN140" s="322"/>
      <c r="FO140" s="322"/>
      <c r="FP140" s="322"/>
      <c r="FQ140" s="322"/>
      <c r="FR140" s="322"/>
      <c r="FS140" s="101"/>
      <c r="FT140" s="95"/>
      <c r="FU140" s="634"/>
      <c r="FV140" s="101"/>
      <c r="FW140" s="101"/>
      <c r="FX140" s="634"/>
      <c r="FY140" s="634"/>
      <c r="FZ140" s="634"/>
      <c r="GA140" s="634"/>
      <c r="GB140" s="634"/>
      <c r="GC140" s="634"/>
      <c r="GD140" s="634"/>
      <c r="GE140" s="634"/>
      <c r="GF140" s="634"/>
      <c r="GG140" s="634"/>
      <c r="GH140" s="634"/>
      <c r="GI140" s="634"/>
      <c r="GJ140" s="634"/>
      <c r="GK140" s="634"/>
      <c r="GL140" s="101"/>
      <c r="GM140" s="101"/>
      <c r="GN140" s="101"/>
      <c r="GO140" s="101"/>
      <c r="GP140" s="95"/>
      <c r="GQ140" s="101"/>
      <c r="GR140" s="95"/>
      <c r="GS140" s="101"/>
      <c r="GT140" s="95"/>
      <c r="GU140" s="95"/>
      <c r="GV140" s="95"/>
      <c r="GW140" s="95"/>
      <c r="GX140" s="95"/>
      <c r="GY140" s="95"/>
      <c r="GZ140" s="95"/>
      <c r="HA140" s="23"/>
      <c r="HB140" s="23"/>
      <c r="HC140" s="321"/>
      <c r="HI140" s="491"/>
      <c r="HJ140" s="491"/>
      <c r="HK140" s="491"/>
      <c r="HL140" s="491"/>
      <c r="HM140" s="491"/>
    </row>
    <row r="141" spans="1:249" ht="15" customHeight="1">
      <c r="A141" s="631"/>
      <c r="C141" s="23"/>
      <c r="D141" s="23"/>
      <c r="E141" s="96"/>
      <c r="F141" s="95"/>
      <c r="G141" s="95"/>
      <c r="H141" s="99"/>
      <c r="I141" s="95"/>
      <c r="J141" s="95"/>
      <c r="K141" s="95"/>
      <c r="L141" s="95"/>
      <c r="M141" s="95"/>
      <c r="N141" s="95"/>
      <c r="O141" s="95"/>
      <c r="P141" s="95"/>
      <c r="Q141" s="95"/>
      <c r="R141" s="95"/>
      <c r="S141" s="101"/>
      <c r="T141" s="95"/>
      <c r="U141" s="101"/>
      <c r="V141" s="139"/>
      <c r="W141" s="101"/>
      <c r="X141" s="95"/>
      <c r="Y141" s="101"/>
      <c r="Z141" s="95"/>
      <c r="AA141" s="101"/>
      <c r="AB141" s="95"/>
      <c r="AC141" s="101"/>
      <c r="AD141" s="270"/>
      <c r="AE141" s="271"/>
      <c r="AF141" s="270"/>
      <c r="AG141" s="270"/>
      <c r="AH141" s="270"/>
      <c r="AI141" s="270"/>
      <c r="AJ141" s="270"/>
      <c r="AK141" s="270"/>
      <c r="AL141" s="323" t="s">
        <v>785</v>
      </c>
      <c r="AM141" s="324"/>
      <c r="AN141" s="323"/>
      <c r="AO141" s="323"/>
      <c r="AP141" s="323"/>
      <c r="AQ141" s="324"/>
      <c r="AR141" s="323" t="s">
        <v>785</v>
      </c>
      <c r="AS141" s="323"/>
      <c r="AT141" s="323" t="s">
        <v>785</v>
      </c>
      <c r="AU141" s="323"/>
      <c r="AV141" s="323" t="s">
        <v>785</v>
      </c>
      <c r="AW141" s="323"/>
      <c r="AX141" s="323" t="s">
        <v>791</v>
      </c>
      <c r="AY141" s="323"/>
      <c r="AZ141" s="323"/>
      <c r="BA141" s="323"/>
      <c r="BB141" s="23"/>
      <c r="BC141" s="23"/>
      <c r="BD141" s="23"/>
      <c r="BE141" s="23"/>
      <c r="BF141" s="23"/>
      <c r="BG141" s="23"/>
      <c r="BH141" s="23"/>
      <c r="BI141" s="23"/>
      <c r="BJ141" s="23"/>
      <c r="BK141" s="23"/>
      <c r="BL141" s="23"/>
      <c r="BM141" s="23"/>
      <c r="BN141" s="23"/>
      <c r="BO141" s="23"/>
      <c r="BP141" s="23"/>
      <c r="BQ141" s="23"/>
      <c r="BR141" s="23" t="s">
        <v>792</v>
      </c>
      <c r="BS141" s="23"/>
      <c r="BT141" s="23"/>
      <c r="BU141" s="23"/>
      <c r="BV141" s="274"/>
      <c r="BW141" s="274"/>
      <c r="BX141" s="23"/>
      <c r="BY141" s="23"/>
      <c r="BZ141" s="23"/>
      <c r="CA141" s="23"/>
      <c r="CB141" s="23"/>
      <c r="CC141" s="23"/>
      <c r="CD141" s="23"/>
      <c r="CE141" s="23"/>
      <c r="CF141" s="23" t="s">
        <v>790</v>
      </c>
      <c r="CG141" s="23"/>
      <c r="CH141" s="23" t="s">
        <v>793</v>
      </c>
      <c r="CI141" s="23"/>
      <c r="CJ141" s="23"/>
      <c r="CK141" s="23"/>
      <c r="CL141" s="23"/>
      <c r="CM141" s="23"/>
      <c r="CN141" s="23"/>
      <c r="CO141" s="23"/>
      <c r="CP141" s="95" t="s">
        <v>794</v>
      </c>
      <c r="CQ141" s="95"/>
      <c r="CR141" s="23"/>
      <c r="CS141" s="23"/>
      <c r="CT141" s="23"/>
      <c r="CU141" s="108"/>
      <c r="CV141" s="325"/>
      <c r="CW141" s="23"/>
      <c r="CX141" s="628"/>
      <c r="CZ141" s="23"/>
      <c r="DA141" s="23"/>
      <c r="DB141" s="23"/>
      <c r="DC141" s="628"/>
      <c r="DD141" s="23"/>
      <c r="DE141" s="321"/>
      <c r="DF141" s="23"/>
      <c r="DH141" s="23"/>
      <c r="DI141" s="23"/>
      <c r="DJ141" s="23"/>
      <c r="DK141" s="23"/>
      <c r="DL141" s="23"/>
      <c r="DM141" s="321"/>
      <c r="DN141" s="635" t="s">
        <v>795</v>
      </c>
      <c r="DO141" s="635"/>
      <c r="DP141" s="23"/>
      <c r="DQ141" s="23"/>
      <c r="DR141" s="23"/>
      <c r="DS141" s="23"/>
      <c r="DT141" s="23"/>
      <c r="DU141" s="23"/>
      <c r="DV141" s="23"/>
      <c r="DW141" s="321"/>
      <c r="DX141" s="323"/>
      <c r="DY141" s="323"/>
      <c r="DZ141" s="323" t="s">
        <v>796</v>
      </c>
      <c r="EA141" s="323"/>
      <c r="EB141" s="323"/>
      <c r="EC141" s="323"/>
      <c r="ED141" s="323"/>
      <c r="EE141" s="323"/>
      <c r="EF141" s="323"/>
      <c r="EG141" s="323"/>
      <c r="EH141" s="323"/>
      <c r="EI141" s="323"/>
      <c r="EJ141" s="323"/>
      <c r="EK141" s="324"/>
      <c r="EL141" s="23"/>
      <c r="EN141" s="322" t="s">
        <v>797</v>
      </c>
      <c r="EO141" s="329"/>
      <c r="EP141" s="322">
        <v>1000</v>
      </c>
      <c r="EQ141" s="322"/>
      <c r="ER141" s="322"/>
      <c r="ET141" s="322"/>
      <c r="EU141" s="322"/>
      <c r="EV141" s="322"/>
      <c r="EW141" s="322"/>
      <c r="EX141" s="322"/>
      <c r="EY141" s="322"/>
      <c r="EZ141" s="322"/>
      <c r="FA141" s="323"/>
      <c r="FB141" s="323"/>
      <c r="FC141" s="323"/>
      <c r="FD141" s="323"/>
      <c r="FE141" s="323"/>
      <c r="FF141" s="323"/>
      <c r="FG141" s="322"/>
      <c r="FH141" s="322"/>
      <c r="FI141" s="322"/>
      <c r="FJ141" s="322"/>
      <c r="FK141" s="322"/>
      <c r="FL141" s="322"/>
      <c r="FM141" s="322"/>
      <c r="FN141" s="322"/>
      <c r="FO141" s="322"/>
      <c r="FP141" s="322"/>
      <c r="FQ141" s="322"/>
      <c r="FR141" s="322"/>
      <c r="FS141" s="101"/>
      <c r="FT141" s="95"/>
      <c r="FU141" s="634"/>
      <c r="FV141" s="101"/>
      <c r="FW141" s="101"/>
      <c r="FX141" s="634"/>
      <c r="FY141" s="634"/>
      <c r="FZ141" s="634"/>
      <c r="GA141" s="634"/>
      <c r="GB141" s="634"/>
      <c r="GC141" s="634"/>
      <c r="GD141" s="634"/>
      <c r="GE141" s="634"/>
      <c r="GF141" s="634"/>
      <c r="GG141" s="634"/>
      <c r="GH141" s="634"/>
      <c r="GI141" s="634"/>
      <c r="GJ141" s="634"/>
      <c r="GK141" s="634"/>
      <c r="GL141" s="101"/>
      <c r="GM141" s="101"/>
      <c r="GN141" s="101"/>
      <c r="GO141" s="101"/>
      <c r="GP141" s="95"/>
      <c r="GQ141" s="101"/>
      <c r="GR141" s="95"/>
      <c r="GS141" s="101"/>
      <c r="GT141" s="95"/>
      <c r="GU141" s="95"/>
      <c r="GV141" s="95"/>
      <c r="GW141" s="95"/>
      <c r="GX141" s="95"/>
      <c r="GY141" s="95"/>
      <c r="GZ141" s="95"/>
      <c r="HA141" s="23"/>
      <c r="HB141" s="23"/>
      <c r="HC141" s="321"/>
      <c r="HI141" s="491"/>
      <c r="HJ141" s="491"/>
      <c r="HK141" s="491"/>
      <c r="HL141" s="491"/>
      <c r="HM141" s="491"/>
    </row>
    <row r="142" spans="1:249" ht="15" customHeight="1">
      <c r="A142" s="631"/>
      <c r="C142" s="23"/>
      <c r="D142" s="23"/>
      <c r="E142" s="96"/>
      <c r="F142" s="95"/>
      <c r="G142" s="95"/>
      <c r="H142" s="99"/>
      <c r="I142" s="95"/>
      <c r="J142" s="95"/>
      <c r="K142" s="95"/>
      <c r="L142" s="95"/>
      <c r="M142" s="95"/>
      <c r="N142" s="95"/>
      <c r="O142" s="95"/>
      <c r="P142" s="95"/>
      <c r="Q142" s="95"/>
      <c r="R142" s="95"/>
      <c r="S142" s="101"/>
      <c r="T142" s="95"/>
      <c r="U142" s="101"/>
      <c r="V142" s="139"/>
      <c r="W142" s="101"/>
      <c r="X142" s="95" t="s">
        <v>798</v>
      </c>
      <c r="Y142" s="101"/>
      <c r="Z142" s="95"/>
      <c r="AA142" s="101"/>
      <c r="AB142" s="95"/>
      <c r="AC142" s="101"/>
      <c r="AD142" s="270"/>
      <c r="AE142" s="271"/>
      <c r="AF142" s="270"/>
      <c r="AG142" s="270"/>
      <c r="AH142" s="270"/>
      <c r="AI142" s="270"/>
      <c r="AJ142" s="270"/>
      <c r="AK142" s="270"/>
      <c r="AL142" s="323"/>
      <c r="AM142" s="324"/>
      <c r="AN142" s="323"/>
      <c r="AO142" s="323"/>
      <c r="AP142" s="323"/>
      <c r="AQ142" s="324"/>
      <c r="AR142" s="323"/>
      <c r="AS142" s="323"/>
      <c r="AT142" s="323"/>
      <c r="AU142" s="323"/>
      <c r="AV142" s="323"/>
      <c r="AW142" s="323"/>
      <c r="AX142" s="323"/>
      <c r="AY142" s="323"/>
      <c r="AZ142" s="323"/>
      <c r="BA142" s="323"/>
      <c r="BB142" s="23"/>
      <c r="BC142" s="23"/>
      <c r="BD142" s="23"/>
      <c r="BE142" s="23"/>
      <c r="BF142" s="23"/>
      <c r="BG142" s="23"/>
      <c r="BH142" s="23"/>
      <c r="BI142" s="23"/>
      <c r="BJ142" s="23"/>
      <c r="BK142" s="23"/>
      <c r="BL142" s="23"/>
      <c r="BM142" s="23"/>
      <c r="BN142" s="23"/>
      <c r="BO142" s="23"/>
      <c r="BP142" s="23"/>
      <c r="BQ142" s="23"/>
      <c r="BR142" s="23">
        <v>0.7</v>
      </c>
      <c r="BS142" s="23"/>
      <c r="BT142" s="23"/>
      <c r="BU142" s="23"/>
      <c r="BV142" s="274"/>
      <c r="BW142" s="274"/>
      <c r="BX142" s="23" t="s">
        <v>799</v>
      </c>
      <c r="BY142" s="23"/>
      <c r="BZ142" s="23"/>
      <c r="CA142" s="23"/>
      <c r="CB142" s="23"/>
      <c r="CC142" s="23"/>
      <c r="CD142" s="23"/>
      <c r="CE142" s="23"/>
      <c r="CF142" s="23"/>
      <c r="CG142" s="23"/>
      <c r="CH142" s="23"/>
      <c r="CI142" s="23"/>
      <c r="CJ142" s="23"/>
      <c r="CK142" s="23"/>
      <c r="CL142" s="23"/>
      <c r="CM142" s="23"/>
      <c r="CN142" s="23"/>
      <c r="CO142" s="23"/>
      <c r="CP142" s="95"/>
      <c r="CQ142" s="95"/>
      <c r="CR142" s="23"/>
      <c r="CS142" s="23"/>
      <c r="CT142" s="23"/>
      <c r="CU142" s="108"/>
      <c r="CV142" s="325"/>
      <c r="CW142" s="23"/>
      <c r="CX142" s="628"/>
      <c r="CZ142" s="23" t="s">
        <v>800</v>
      </c>
      <c r="DA142" s="23"/>
      <c r="DB142" s="23"/>
      <c r="DC142" s="628"/>
      <c r="DD142" s="23"/>
      <c r="DE142" s="321"/>
      <c r="DF142" s="23"/>
      <c r="DH142" s="23"/>
      <c r="DI142" s="23"/>
      <c r="DJ142" s="23"/>
      <c r="DK142" s="23"/>
      <c r="DL142" s="23"/>
      <c r="DM142" s="321"/>
      <c r="DN142" s="23"/>
      <c r="DO142" s="23"/>
      <c r="DP142" s="23"/>
      <c r="DQ142" s="23"/>
      <c r="DR142" s="23"/>
      <c r="DS142" s="23"/>
      <c r="DT142" s="23"/>
      <c r="DU142" s="23"/>
      <c r="DV142" s="23"/>
      <c r="DW142" s="321"/>
      <c r="DX142" s="323"/>
      <c r="DY142" s="323"/>
      <c r="DZ142" s="323"/>
      <c r="EA142" s="323"/>
      <c r="EB142" s="323"/>
      <c r="EC142" s="323"/>
      <c r="ED142" s="323"/>
      <c r="EE142" s="323"/>
      <c r="EF142" s="323"/>
      <c r="EG142" s="323"/>
      <c r="EH142" s="323"/>
      <c r="EI142" s="323"/>
      <c r="EJ142" s="323"/>
      <c r="EK142" s="324"/>
      <c r="EL142" s="23"/>
      <c r="EN142" s="322"/>
      <c r="EO142" s="329"/>
      <c r="EP142" s="322"/>
      <c r="EQ142" s="322"/>
      <c r="ER142" s="322"/>
      <c r="ET142" s="322"/>
      <c r="EU142" s="322"/>
      <c r="EV142" s="322" t="s">
        <v>801</v>
      </c>
      <c r="EW142" s="322"/>
      <c r="EX142" s="322"/>
      <c r="EY142" s="322"/>
      <c r="EZ142" s="322"/>
      <c r="FA142" s="323"/>
      <c r="FB142" s="323"/>
      <c r="FC142" s="323"/>
      <c r="FD142" s="323"/>
      <c r="FE142" s="323"/>
      <c r="FF142" s="323"/>
      <c r="FG142" s="322"/>
      <c r="FH142" s="322"/>
      <c r="FI142" s="322"/>
      <c r="FJ142" s="322"/>
      <c r="FK142" s="322"/>
      <c r="FL142" s="322"/>
      <c r="FM142" s="322"/>
      <c r="FN142" s="322"/>
      <c r="FO142" s="322"/>
      <c r="FP142" s="322"/>
      <c r="FQ142" s="322"/>
      <c r="FR142" s="322"/>
      <c r="FS142" s="101"/>
      <c r="FT142" s="95"/>
      <c r="FU142" s="634"/>
      <c r="FV142" s="101"/>
      <c r="FW142" s="101"/>
      <c r="FX142" s="634"/>
      <c r="FY142" s="634"/>
      <c r="FZ142" s="634"/>
      <c r="GA142" s="634"/>
      <c r="GB142" s="634"/>
      <c r="GC142" s="634"/>
      <c r="GD142" s="634"/>
      <c r="GE142" s="634"/>
      <c r="GF142" s="634"/>
      <c r="GG142" s="634"/>
      <c r="GH142" s="634"/>
      <c r="GI142" s="634"/>
      <c r="GJ142" s="634"/>
      <c r="GK142" s="634"/>
      <c r="GL142" s="101"/>
      <c r="GM142" s="101"/>
      <c r="GN142" s="2244"/>
      <c r="GO142" s="2244"/>
      <c r="GP142" s="95"/>
      <c r="GQ142" s="2244"/>
      <c r="GR142" s="95"/>
      <c r="GS142" s="2244"/>
      <c r="GT142" s="95"/>
      <c r="GU142" s="95"/>
      <c r="GV142" s="95"/>
      <c r="GW142" s="95"/>
      <c r="GX142" s="95"/>
      <c r="GY142" s="95"/>
      <c r="GZ142" s="95"/>
      <c r="HA142" s="23"/>
      <c r="HB142" s="23"/>
      <c r="HC142" s="321"/>
      <c r="HI142" s="491"/>
      <c r="HJ142" s="491"/>
      <c r="HK142" s="491"/>
      <c r="HL142" s="491"/>
      <c r="HM142" s="491"/>
    </row>
    <row r="143" spans="1:249" ht="15" customHeight="1">
      <c r="A143" s="631"/>
      <c r="C143" s="23"/>
      <c r="D143" s="23"/>
      <c r="E143" s="96"/>
      <c r="F143" s="95"/>
      <c r="G143" s="95"/>
      <c r="H143" s="99"/>
      <c r="I143" s="95"/>
      <c r="J143" s="95"/>
      <c r="K143" s="95"/>
      <c r="L143" s="95"/>
      <c r="M143" s="95" t="s">
        <v>802</v>
      </c>
      <c r="N143" s="95"/>
      <c r="O143" s="95"/>
      <c r="P143" s="95"/>
      <c r="Q143" s="95"/>
      <c r="R143" s="95"/>
      <c r="S143" s="101"/>
      <c r="T143" s="95"/>
      <c r="U143" s="101"/>
      <c r="V143" s="139"/>
      <c r="W143" s="101"/>
      <c r="X143" s="95"/>
      <c r="Y143" s="101"/>
      <c r="Z143" s="95"/>
      <c r="AA143" s="101"/>
      <c r="AB143" s="95"/>
      <c r="AC143" s="101"/>
      <c r="AD143" s="270"/>
      <c r="AE143" s="271"/>
      <c r="AF143" s="270"/>
      <c r="AG143" s="270"/>
      <c r="AH143" s="270"/>
      <c r="AI143" s="270"/>
      <c r="AJ143" s="270"/>
      <c r="AK143" s="270"/>
      <c r="AL143" s="323"/>
      <c r="AM143" s="324"/>
      <c r="AN143" s="323"/>
      <c r="AO143" s="323"/>
      <c r="AP143" s="323"/>
      <c r="AQ143" s="324"/>
      <c r="AR143" s="323"/>
      <c r="AS143" s="323"/>
      <c r="AT143" s="323"/>
      <c r="AU143" s="323"/>
      <c r="AV143" s="323"/>
      <c r="AW143" s="323"/>
      <c r="AX143" s="323"/>
      <c r="AY143" s="323"/>
      <c r="AZ143" s="323"/>
      <c r="BA143" s="323"/>
      <c r="BB143" s="23"/>
      <c r="BC143" s="23"/>
      <c r="BD143" s="23"/>
      <c r="BE143" s="23"/>
      <c r="BF143" s="23"/>
      <c r="BG143" s="23"/>
      <c r="BH143" s="23"/>
      <c r="BI143" s="23"/>
      <c r="BJ143" s="23"/>
      <c r="BK143" s="23"/>
      <c r="BL143" s="23"/>
      <c r="BM143" s="23"/>
      <c r="BN143" s="23"/>
      <c r="BO143" s="23"/>
      <c r="BP143" s="23"/>
      <c r="BQ143" s="23"/>
      <c r="BR143" s="23"/>
      <c r="BS143" s="23"/>
      <c r="BT143" s="23"/>
      <c r="BU143" s="23"/>
      <c r="BV143" s="23"/>
      <c r="BW143" s="23"/>
      <c r="BX143" s="23"/>
      <c r="BY143" s="23"/>
      <c r="BZ143" s="23"/>
      <c r="CA143" s="23"/>
      <c r="CB143" s="23"/>
      <c r="CC143" s="23"/>
      <c r="CD143" s="23"/>
      <c r="CE143" s="23"/>
      <c r="CF143" s="23"/>
      <c r="CG143" s="23"/>
      <c r="CH143" s="23"/>
      <c r="CI143" s="23"/>
      <c r="CJ143" s="23"/>
      <c r="CK143" s="23"/>
      <c r="CL143" s="23"/>
      <c r="CM143" s="23"/>
      <c r="CN143" s="23"/>
      <c r="CO143" s="23"/>
      <c r="CP143" s="95"/>
      <c r="CQ143" s="95"/>
      <c r="CR143" s="23"/>
      <c r="CS143" s="23"/>
      <c r="CT143" s="23"/>
      <c r="CU143" s="108"/>
      <c r="CV143" s="325"/>
      <c r="CW143" s="23"/>
      <c r="CX143" s="628"/>
      <c r="CZ143" s="633">
        <f>DD137+DF137+DH137+DJ137+DL137+DN137+DP137+DR137+DT137</f>
        <v>685761.45</v>
      </c>
      <c r="DA143" s="633"/>
      <c r="DB143" s="23"/>
      <c r="DC143" s="628"/>
      <c r="DD143" s="23"/>
      <c r="DE143" s="321"/>
      <c r="DF143" s="633">
        <f>DH137+DF137+DD137+DJ137+DL137+DN137+DP137+DR137</f>
        <v>685761.45</v>
      </c>
      <c r="DG143" s="636"/>
      <c r="DH143" s="23"/>
      <c r="DI143" s="23"/>
      <c r="DJ143" s="23"/>
      <c r="DK143" s="23"/>
      <c r="DL143" s="23"/>
      <c r="DM143" s="321"/>
      <c r="DN143" s="23"/>
      <c r="DO143" s="23"/>
      <c r="DP143" s="23"/>
      <c r="DQ143" s="23"/>
      <c r="DR143" s="23"/>
      <c r="DS143" s="23"/>
      <c r="DT143" s="23"/>
      <c r="DU143" s="23"/>
      <c r="DV143" s="23"/>
      <c r="DW143" s="321"/>
      <c r="DX143" s="323"/>
      <c r="DY143" s="323"/>
      <c r="DZ143" s="323"/>
      <c r="EA143" s="323"/>
      <c r="EB143" s="323"/>
      <c r="EC143" s="323"/>
      <c r="ED143" s="323"/>
      <c r="EE143" s="323"/>
      <c r="EF143" s="323"/>
      <c r="EG143" s="323"/>
      <c r="EH143" s="323"/>
      <c r="EI143" s="323"/>
      <c r="EJ143" s="323"/>
      <c r="EK143" s="324"/>
      <c r="EL143" s="23"/>
      <c r="EN143" s="322"/>
      <c r="EO143" s="329"/>
      <c r="EP143" s="322"/>
      <c r="EQ143" s="322"/>
      <c r="ER143" s="322"/>
      <c r="ET143" s="322"/>
      <c r="EU143" s="322"/>
      <c r="EV143" s="322">
        <v>1</v>
      </c>
      <c r="EW143" s="322"/>
      <c r="EX143" s="322"/>
      <c r="EY143" s="322"/>
      <c r="EZ143" s="322"/>
      <c r="FA143" s="323"/>
      <c r="FB143" s="323"/>
      <c r="FC143" s="323"/>
      <c r="FD143" s="323"/>
      <c r="FE143" s="323"/>
      <c r="FF143" s="323"/>
      <c r="FG143" s="322"/>
      <c r="FH143" s="322"/>
      <c r="FI143" s="322"/>
      <c r="FJ143" s="322"/>
      <c r="FK143" s="322"/>
      <c r="FL143" s="322"/>
      <c r="FM143" s="322"/>
      <c r="FN143" s="322"/>
      <c r="FO143" s="322"/>
      <c r="FP143" s="322"/>
      <c r="FQ143" s="322"/>
      <c r="FR143" s="322"/>
      <c r="FS143" s="101"/>
      <c r="FT143" s="95"/>
      <c r="FU143" s="634"/>
      <c r="FV143" s="101"/>
      <c r="FW143" s="101"/>
      <c r="FX143" s="634"/>
      <c r="FY143" s="634"/>
      <c r="FZ143" s="634"/>
      <c r="GA143" s="634"/>
      <c r="GB143" s="634"/>
      <c r="GC143" s="634"/>
      <c r="GD143" s="634"/>
      <c r="GE143" s="634"/>
      <c r="GF143" s="634"/>
      <c r="GG143" s="634"/>
      <c r="GH143" s="634"/>
      <c r="GI143" s="634"/>
      <c r="GJ143" s="634"/>
      <c r="GK143" s="634"/>
      <c r="GL143" s="101"/>
      <c r="GM143" s="101"/>
      <c r="GN143" s="2244"/>
      <c r="GO143" s="2244"/>
      <c r="GP143" s="95"/>
      <c r="GQ143" s="2244"/>
      <c r="GR143" s="95"/>
      <c r="GS143" s="2244"/>
      <c r="GT143" s="95"/>
      <c r="GU143" s="95"/>
      <c r="GV143" s="95"/>
      <c r="GW143" s="95"/>
      <c r="GX143" s="95"/>
      <c r="GY143" s="95"/>
      <c r="GZ143" s="95"/>
      <c r="HA143" s="23"/>
      <c r="HB143" s="23"/>
      <c r="HC143" s="321"/>
      <c r="HI143" s="491"/>
      <c r="HJ143" s="491"/>
      <c r="HK143" s="491"/>
      <c r="HL143" s="491"/>
      <c r="HM143" s="491"/>
    </row>
    <row r="144" spans="1:249" ht="15" customHeight="1">
      <c r="A144" s="631"/>
      <c r="C144" s="23"/>
      <c r="D144" s="23"/>
      <c r="E144" s="96"/>
      <c r="F144" s="95"/>
      <c r="G144" s="95"/>
      <c r="H144" s="99"/>
      <c r="I144" s="95"/>
      <c r="J144" s="95"/>
      <c r="K144" s="95"/>
      <c r="L144" s="95"/>
      <c r="M144" s="95" t="s">
        <v>803</v>
      </c>
      <c r="N144" s="95"/>
      <c r="O144" s="95"/>
      <c r="P144" s="95"/>
      <c r="Q144" s="95"/>
      <c r="R144" s="95"/>
      <c r="S144" s="101"/>
      <c r="T144" s="95"/>
      <c r="U144" s="101"/>
      <c r="V144" s="139"/>
      <c r="W144" s="101"/>
      <c r="X144" s="95"/>
      <c r="Y144" s="101"/>
      <c r="Z144" s="95"/>
      <c r="AA144" s="101"/>
      <c r="AB144" s="95"/>
      <c r="AC144" s="101"/>
      <c r="AD144" s="270"/>
      <c r="AE144" s="271"/>
      <c r="AF144" s="270"/>
      <c r="AG144" s="270"/>
      <c r="AH144" s="270"/>
      <c r="AI144" s="270"/>
      <c r="AJ144" s="270"/>
      <c r="AK144" s="270"/>
      <c r="AL144" s="323"/>
      <c r="AM144" s="324"/>
      <c r="AN144" s="323"/>
      <c r="AO144" s="323"/>
      <c r="AP144" s="323"/>
      <c r="AQ144" s="324"/>
      <c r="AR144" s="323"/>
      <c r="AS144" s="323"/>
      <c r="AT144" s="323"/>
      <c r="AU144" s="323"/>
      <c r="AV144" s="323"/>
      <c r="AW144" s="323"/>
      <c r="AX144" s="323"/>
      <c r="AY144" s="323"/>
      <c r="AZ144" s="323"/>
      <c r="BA144" s="323"/>
      <c r="BB144" s="23"/>
      <c r="BC144" s="23"/>
      <c r="BD144" s="23"/>
      <c r="BE144" s="23"/>
      <c r="BF144" s="23"/>
      <c r="BG144" s="23"/>
      <c r="BH144" s="23"/>
      <c r="BI144" s="23"/>
      <c r="BJ144" s="23"/>
      <c r="BK144" s="23"/>
      <c r="BL144" s="23"/>
      <c r="BM144" s="23"/>
      <c r="BN144" s="23"/>
      <c r="BO144" s="23"/>
      <c r="BP144" s="23"/>
      <c r="BQ144" s="23"/>
      <c r="BR144" s="23"/>
      <c r="BS144" s="23"/>
      <c r="BT144" s="23"/>
      <c r="BU144" s="23"/>
      <c r="BV144" s="23"/>
      <c r="BW144" s="23"/>
      <c r="BX144" s="23"/>
      <c r="BY144" s="23"/>
      <c r="BZ144" s="23"/>
      <c r="CA144" s="23"/>
      <c r="CB144" s="23"/>
      <c r="CC144" s="23"/>
      <c r="CD144" s="23"/>
      <c r="CE144" s="23"/>
      <c r="CF144" s="23"/>
      <c r="CG144" s="23"/>
      <c r="CH144" s="23"/>
      <c r="CI144" s="23"/>
      <c r="CJ144" s="23"/>
      <c r="CK144" s="23"/>
      <c r="CL144" s="23"/>
      <c r="CM144" s="23"/>
      <c r="CN144" s="23"/>
      <c r="CO144" s="23"/>
      <c r="CP144" s="95"/>
      <c r="CQ144" s="95"/>
      <c r="CR144" s="23"/>
      <c r="CS144" s="23"/>
      <c r="CT144" s="23"/>
      <c r="CU144" s="108"/>
      <c r="CV144" s="325"/>
      <c r="CW144" s="23"/>
      <c r="CX144" s="496"/>
      <c r="CY144" s="637"/>
      <c r="CZ144" s="633">
        <f>CZ137-DV137-DX137</f>
        <v>685723.45</v>
      </c>
      <c r="DA144" s="633"/>
      <c r="DB144" s="23"/>
      <c r="DC144" s="628"/>
      <c r="DD144" s="23"/>
      <c r="DE144" s="321"/>
      <c r="DF144" s="23"/>
      <c r="DH144" s="23"/>
      <c r="DI144" s="23"/>
      <c r="DJ144" s="23"/>
      <c r="DK144" s="23"/>
      <c r="DL144" s="23"/>
      <c r="DM144" s="321"/>
      <c r="DN144" s="23"/>
      <c r="DO144" s="23"/>
      <c r="DP144" s="23"/>
      <c r="DQ144" s="23"/>
      <c r="DR144" s="23"/>
      <c r="DS144" s="23"/>
      <c r="DT144" s="23"/>
      <c r="DU144" s="23"/>
      <c r="DV144" s="23"/>
      <c r="DW144" s="321"/>
      <c r="DX144" s="323"/>
      <c r="DY144" s="323"/>
      <c r="DZ144" s="323"/>
      <c r="EA144" s="323"/>
      <c r="EB144" s="323"/>
      <c r="EC144" s="323"/>
      <c r="ED144" s="323"/>
      <c r="EE144" s="323"/>
      <c r="EF144" s="323"/>
      <c r="EG144" s="323"/>
      <c r="EH144" s="323"/>
      <c r="EI144" s="323"/>
      <c r="EJ144" s="323"/>
      <c r="EK144" s="324"/>
      <c r="EL144" s="23"/>
      <c r="EN144" s="322"/>
      <c r="EO144" s="329"/>
      <c r="EP144" s="322"/>
      <c r="EQ144" s="322"/>
      <c r="ER144" s="322"/>
      <c r="ET144" s="322"/>
      <c r="EU144" s="322"/>
      <c r="EV144" s="322"/>
      <c r="EW144" s="322"/>
      <c r="EX144" s="322"/>
      <c r="EY144" s="322"/>
      <c r="EZ144" s="322"/>
      <c r="FA144" s="323"/>
      <c r="FB144" s="323"/>
      <c r="FC144" s="323"/>
      <c r="FD144" s="323"/>
      <c r="FE144" s="323"/>
      <c r="FF144" s="323"/>
      <c r="FG144" s="322"/>
      <c r="FH144" s="322"/>
      <c r="FI144" s="322"/>
      <c r="FJ144" s="322"/>
      <c r="FK144" s="322"/>
      <c r="FL144" s="322"/>
      <c r="FM144" s="322"/>
      <c r="FN144" s="322"/>
      <c r="FO144" s="322"/>
      <c r="FP144" s="322"/>
      <c r="FQ144" s="322"/>
      <c r="FR144" s="322"/>
      <c r="FS144" s="101"/>
      <c r="FT144" s="95"/>
      <c r="FU144" s="634"/>
      <c r="FV144" s="101"/>
      <c r="FW144" s="101"/>
      <c r="FX144" s="634"/>
      <c r="FY144" s="634"/>
      <c r="FZ144" s="634"/>
      <c r="GA144" s="634"/>
      <c r="GB144" s="634"/>
      <c r="GC144" s="634"/>
      <c r="GD144" s="634"/>
      <c r="GE144" s="634"/>
      <c r="GF144" s="634"/>
      <c r="GG144" s="634"/>
      <c r="GH144" s="634"/>
      <c r="GI144" s="634"/>
      <c r="GJ144" s="634"/>
      <c r="GK144" s="634"/>
      <c r="GL144" s="101"/>
      <c r="GM144" s="101"/>
      <c r="GN144" s="101"/>
      <c r="GO144" s="101"/>
      <c r="GP144" s="95"/>
      <c r="GQ144" s="101"/>
      <c r="GR144" s="95"/>
      <c r="GS144" s="101"/>
      <c r="GT144" s="95"/>
      <c r="GU144" s="95"/>
      <c r="GV144" s="95"/>
      <c r="GW144" s="95"/>
      <c r="GX144" s="95"/>
      <c r="GY144" s="95"/>
      <c r="GZ144" s="95"/>
      <c r="HA144" s="23"/>
      <c r="HB144" s="23"/>
      <c r="HC144" s="321"/>
      <c r="HI144" s="491"/>
      <c r="HJ144" s="491"/>
      <c r="HK144" s="491"/>
      <c r="HL144" s="491"/>
      <c r="HM144" s="491"/>
    </row>
    <row r="145" spans="1:221" ht="15" customHeight="1">
      <c r="A145" s="638"/>
      <c r="B145" s="95"/>
      <c r="C145" s="95"/>
      <c r="D145" s="95"/>
      <c r="E145" s="96"/>
      <c r="F145" s="95"/>
      <c r="G145" s="95"/>
      <c r="H145" s="99"/>
      <c r="I145" s="95"/>
      <c r="J145" s="95"/>
      <c r="K145" s="95"/>
      <c r="L145" s="95"/>
      <c r="M145" s="95"/>
      <c r="N145" s="95"/>
      <c r="O145" s="95"/>
      <c r="P145" s="95"/>
      <c r="Q145" s="95"/>
      <c r="R145" s="95"/>
      <c r="S145" s="101"/>
      <c r="T145" s="95"/>
      <c r="U145" s="101"/>
      <c r="V145" s="139" t="s">
        <v>800</v>
      </c>
      <c r="W145" s="101"/>
      <c r="X145" s="95"/>
      <c r="Y145" s="101"/>
      <c r="Z145" s="95"/>
      <c r="AA145" s="101"/>
      <c r="AB145" s="95"/>
      <c r="AC145" s="101"/>
      <c r="AD145" s="103"/>
      <c r="AE145" s="2251"/>
      <c r="AF145" s="270"/>
      <c r="AG145" s="270"/>
      <c r="AH145" s="270"/>
      <c r="AI145" s="270"/>
      <c r="AJ145" s="270"/>
      <c r="AK145" s="270"/>
      <c r="AL145" s="270"/>
      <c r="AM145" s="271"/>
      <c r="AN145" s="270"/>
      <c r="AO145" s="270"/>
      <c r="AP145" s="270"/>
      <c r="AQ145" s="271"/>
      <c r="AR145" s="270"/>
      <c r="AS145" s="270"/>
      <c r="AT145" s="270"/>
      <c r="AU145" s="270"/>
      <c r="AV145" s="270"/>
      <c r="AW145" s="270"/>
      <c r="AX145" s="270"/>
      <c r="AY145" s="270"/>
      <c r="AZ145" s="270"/>
      <c r="BA145" s="270"/>
      <c r="BB145" s="95"/>
      <c r="BC145" s="95"/>
      <c r="BD145" s="95"/>
      <c r="BE145" s="95"/>
      <c r="BF145" s="95"/>
      <c r="BG145" s="95"/>
      <c r="BH145" s="95"/>
      <c r="BI145" s="95"/>
      <c r="BJ145" s="95"/>
      <c r="BK145" s="95"/>
      <c r="BL145" s="95"/>
      <c r="BM145" s="95"/>
      <c r="BN145" s="95"/>
      <c r="BO145" s="95"/>
      <c r="BP145" s="95"/>
      <c r="BQ145" s="95"/>
      <c r="BR145" s="95"/>
      <c r="BS145" s="95"/>
      <c r="BT145" s="95"/>
      <c r="BU145" s="95"/>
      <c r="BV145" s="95"/>
      <c r="BW145" s="95"/>
      <c r="BX145" s="95"/>
      <c r="BY145" s="95"/>
      <c r="BZ145" s="95"/>
      <c r="CA145" s="95"/>
      <c r="CB145" s="95"/>
      <c r="CC145" s="95"/>
      <c r="CD145" s="95"/>
      <c r="CE145" s="95"/>
      <c r="CF145" s="95"/>
      <c r="CG145" s="95"/>
      <c r="CH145" s="95" t="s">
        <v>804</v>
      </c>
      <c r="CI145" s="95"/>
      <c r="CJ145" s="95"/>
      <c r="CK145" s="95"/>
      <c r="CL145" s="95"/>
      <c r="CM145" s="95"/>
      <c r="CN145" s="95"/>
      <c r="CO145" s="95"/>
      <c r="CP145" s="95"/>
      <c r="CQ145" s="95"/>
      <c r="CR145" s="95"/>
      <c r="CS145" s="95"/>
      <c r="CT145" s="95"/>
      <c r="CU145" s="108"/>
      <c r="CV145" s="109"/>
      <c r="CW145" s="95"/>
      <c r="CX145" s="496"/>
      <c r="CY145" s="637"/>
      <c r="CZ145" s="95"/>
      <c r="DA145" s="95"/>
      <c r="DB145" s="95"/>
      <c r="DC145" s="496"/>
      <c r="DD145" s="95"/>
      <c r="DE145" s="101"/>
      <c r="DF145" s="95"/>
      <c r="DG145" s="101"/>
      <c r="DH145" s="95"/>
      <c r="DI145" s="95"/>
      <c r="DJ145" s="95"/>
      <c r="DK145" s="95"/>
      <c r="DL145" s="95"/>
      <c r="DM145" s="101"/>
      <c r="DN145" s="95"/>
      <c r="DO145" s="95"/>
      <c r="DP145" s="95"/>
      <c r="DQ145" s="95"/>
      <c r="DR145" s="95"/>
      <c r="DS145" s="95"/>
      <c r="DT145" s="95"/>
      <c r="DU145" s="95"/>
      <c r="DV145" s="95"/>
      <c r="DW145" s="101"/>
      <c r="DX145" s="270"/>
      <c r="DY145" s="270"/>
      <c r="DZ145" s="270"/>
      <c r="EA145" s="270"/>
      <c r="EB145" s="270"/>
      <c r="EC145" s="270"/>
      <c r="ED145" s="270"/>
      <c r="EE145" s="270"/>
      <c r="EF145" s="270"/>
      <c r="EG145" s="270"/>
      <c r="EH145" s="270"/>
      <c r="EI145" s="270"/>
      <c r="EJ145" s="270"/>
      <c r="EK145" s="271"/>
      <c r="EL145" s="95"/>
      <c r="EM145" s="322" t="s">
        <v>805</v>
      </c>
      <c r="EN145" s="139"/>
      <c r="EO145" s="634"/>
      <c r="EP145" s="139"/>
      <c r="EQ145" s="139"/>
      <c r="ER145" s="139"/>
      <c r="ES145" s="139"/>
      <c r="ET145" s="322"/>
      <c r="EU145" s="322"/>
      <c r="EV145" s="326"/>
      <c r="EW145" s="326"/>
      <c r="EX145" s="139"/>
      <c r="EY145" s="139"/>
      <c r="EZ145" s="139"/>
      <c r="FA145" s="270"/>
      <c r="FB145" s="270"/>
      <c r="FC145" s="270"/>
      <c r="FD145" s="270"/>
      <c r="FE145" s="270"/>
      <c r="FF145" s="270"/>
      <c r="FG145" s="139"/>
      <c r="FH145" s="139"/>
      <c r="FI145" s="139"/>
      <c r="FJ145" s="139"/>
      <c r="FK145" s="139"/>
      <c r="FL145" s="139"/>
      <c r="FM145" s="139"/>
      <c r="FN145" s="139"/>
      <c r="FO145" s="139"/>
      <c r="FP145" s="139"/>
      <c r="FQ145" s="139"/>
      <c r="FR145" s="139"/>
      <c r="FS145" s="101"/>
      <c r="FT145" s="95"/>
      <c r="FU145" s="634"/>
      <c r="FV145" s="101"/>
      <c r="FW145" s="101"/>
      <c r="FX145" s="634"/>
      <c r="FY145" s="634"/>
      <c r="FZ145" s="634"/>
      <c r="GA145" s="634"/>
      <c r="GB145" s="634"/>
      <c r="GC145" s="634"/>
      <c r="GD145" s="634"/>
      <c r="GE145" s="634"/>
      <c r="GF145" s="634"/>
      <c r="GG145" s="634"/>
      <c r="GH145" s="634"/>
      <c r="GI145" s="634"/>
      <c r="GJ145" s="634"/>
      <c r="GK145" s="634"/>
      <c r="GL145" s="101"/>
      <c r="GM145" s="101"/>
      <c r="GN145" s="2244"/>
      <c r="GO145" s="2244"/>
      <c r="GP145" s="95"/>
      <c r="GQ145" s="2244"/>
      <c r="GR145" s="95"/>
      <c r="GS145" s="2244"/>
      <c r="GT145" s="95"/>
      <c r="GU145" s="95"/>
      <c r="GV145" s="95"/>
      <c r="GW145" s="95"/>
      <c r="GX145" s="95"/>
      <c r="GY145" s="95"/>
      <c r="GZ145" s="95"/>
      <c r="HA145" s="23"/>
      <c r="HB145" s="23"/>
      <c r="HC145" s="321"/>
      <c r="HI145" s="491"/>
      <c r="HJ145" s="491"/>
      <c r="HK145" s="491"/>
      <c r="HL145" s="491"/>
      <c r="HM145" s="491"/>
    </row>
    <row r="146" spans="1:221" ht="15" customHeight="1">
      <c r="A146" s="638"/>
      <c r="B146" s="95"/>
      <c r="C146" s="95"/>
      <c r="D146" s="95"/>
      <c r="E146" s="96"/>
      <c r="F146" s="95"/>
      <c r="G146" s="95"/>
      <c r="H146" s="99"/>
      <c r="I146" s="95"/>
      <c r="J146" s="95"/>
      <c r="K146" s="95"/>
      <c r="L146" s="95"/>
      <c r="M146" s="95"/>
      <c r="N146" s="95"/>
      <c r="O146" s="95"/>
      <c r="P146" s="95"/>
      <c r="Q146" s="95"/>
      <c r="R146" s="95"/>
      <c r="S146" s="101"/>
      <c r="T146" s="95"/>
      <c r="U146" s="101"/>
      <c r="V146" s="102">
        <f>Z137+AB137+AD137+AF137+AL137+AN137+AR137+AT137+AV137</f>
        <v>639359.4</v>
      </c>
      <c r="W146" s="101"/>
      <c r="X146" s="95"/>
      <c r="Y146" s="101"/>
      <c r="Z146" s="95"/>
      <c r="AA146" s="101"/>
      <c r="AB146" s="95"/>
      <c r="AC146" s="101"/>
      <c r="AD146" s="103"/>
      <c r="AE146" s="2251"/>
      <c r="AF146" s="270"/>
      <c r="AG146" s="270"/>
      <c r="AH146" s="270"/>
      <c r="AI146" s="270"/>
      <c r="AJ146" s="270"/>
      <c r="AK146" s="270"/>
      <c r="AL146" s="270"/>
      <c r="AM146" s="271"/>
      <c r="AN146" s="270"/>
      <c r="AO146" s="270"/>
      <c r="AP146" s="270"/>
      <c r="AQ146" s="271"/>
      <c r="AR146" s="270"/>
      <c r="AS146" s="270"/>
      <c r="AT146" s="270"/>
      <c r="AU146" s="270"/>
      <c r="AV146" s="270"/>
      <c r="AW146" s="270"/>
      <c r="AX146" s="270"/>
      <c r="AY146" s="270"/>
      <c r="AZ146" s="270"/>
      <c r="BA146" s="270"/>
      <c r="BB146" s="95"/>
      <c r="BC146" s="95"/>
      <c r="BD146" s="95"/>
      <c r="BE146" s="95"/>
      <c r="BF146" s="95"/>
      <c r="BG146" s="95"/>
      <c r="BH146" s="95"/>
      <c r="BI146" s="95"/>
      <c r="BJ146" s="95"/>
      <c r="BK146" s="95"/>
      <c r="BL146" s="95"/>
      <c r="BM146" s="95"/>
      <c r="BN146" s="95"/>
      <c r="BO146" s="95"/>
      <c r="BP146" s="95"/>
      <c r="BQ146" s="95"/>
      <c r="BR146" s="95"/>
      <c r="BS146" s="95"/>
      <c r="BT146" s="95"/>
      <c r="BU146" s="95"/>
      <c r="BV146" s="95"/>
      <c r="BW146" s="95"/>
      <c r="BX146" s="95"/>
      <c r="BY146" s="95"/>
      <c r="BZ146" s="95"/>
      <c r="CA146" s="95"/>
      <c r="CB146" s="95"/>
      <c r="CC146" s="95"/>
      <c r="CD146" s="95"/>
      <c r="CE146" s="95"/>
      <c r="CF146" s="95"/>
      <c r="CG146" s="95"/>
      <c r="CH146" s="95" t="s">
        <v>806</v>
      </c>
      <c r="CI146" s="95"/>
      <c r="CJ146" s="95"/>
      <c r="CK146" s="95"/>
      <c r="CL146" s="95"/>
      <c r="CM146" s="95"/>
      <c r="CN146" s="95"/>
      <c r="CO146" s="95"/>
      <c r="CP146" s="95"/>
      <c r="CQ146" s="95"/>
      <c r="CR146" s="95"/>
      <c r="CS146" s="95"/>
      <c r="CT146" s="95"/>
      <c r="CU146" s="108"/>
      <c r="CV146" s="109"/>
      <c r="CW146" s="639"/>
      <c r="CX146" s="639"/>
      <c r="CY146" s="637"/>
      <c r="CZ146" s="95"/>
      <c r="DA146" s="95"/>
      <c r="DB146" s="95"/>
      <c r="DC146" s="496"/>
      <c r="DD146" s="95"/>
      <c r="DE146" s="101"/>
      <c r="DF146" s="95"/>
      <c r="DG146" s="101"/>
      <c r="DH146" s="95"/>
      <c r="DI146" s="95"/>
      <c r="DJ146" s="95"/>
      <c r="DK146" s="95"/>
      <c r="DL146" s="95"/>
      <c r="DM146" s="101"/>
      <c r="DN146" s="95"/>
      <c r="DO146" s="95"/>
      <c r="DP146" s="95"/>
      <c r="DQ146" s="95"/>
      <c r="DR146" s="95"/>
      <c r="DS146" s="95"/>
      <c r="DT146" s="95"/>
      <c r="DU146" s="95"/>
      <c r="DV146" s="95"/>
      <c r="DW146" s="101"/>
      <c r="DX146" s="270"/>
      <c r="DY146" s="270"/>
      <c r="DZ146" s="270"/>
      <c r="EA146" s="270"/>
      <c r="EB146" s="270"/>
      <c r="EC146" s="270"/>
      <c r="ED146" s="270"/>
      <c r="EE146" s="270"/>
      <c r="EF146" s="270"/>
      <c r="EG146" s="270"/>
      <c r="EH146" s="270"/>
      <c r="EI146" s="270"/>
      <c r="EJ146" s="270"/>
      <c r="EK146" s="271"/>
      <c r="EL146" s="95"/>
      <c r="EM146" s="322" t="s">
        <v>807</v>
      </c>
      <c r="EN146" s="139"/>
      <c r="EO146" s="634"/>
      <c r="EP146" s="139"/>
      <c r="EQ146" s="139"/>
      <c r="ER146" s="139"/>
      <c r="ES146" s="139"/>
      <c r="ET146" s="322"/>
      <c r="EU146" s="322"/>
      <c r="EV146" s="326"/>
      <c r="EW146" s="326"/>
      <c r="EX146" s="139"/>
      <c r="EY146" s="139"/>
      <c r="EZ146" s="139"/>
      <c r="FA146" s="270"/>
      <c r="FB146" s="270"/>
      <c r="FC146" s="270"/>
      <c r="FD146" s="270"/>
      <c r="FE146" s="270"/>
      <c r="FF146" s="270"/>
      <c r="FG146" s="139"/>
      <c r="FH146" s="139"/>
      <c r="FI146" s="139"/>
      <c r="FJ146" s="139"/>
      <c r="FK146" s="139"/>
      <c r="FL146" s="139"/>
      <c r="FM146" s="139"/>
      <c r="FN146" s="139"/>
      <c r="FO146" s="139"/>
      <c r="FP146" s="139"/>
      <c r="FQ146" s="139"/>
      <c r="FR146" s="139"/>
      <c r="FS146" s="101"/>
      <c r="FT146" s="95"/>
      <c r="FU146" s="634"/>
      <c r="FV146" s="101"/>
      <c r="FW146" s="101"/>
      <c r="FX146" s="634"/>
      <c r="FY146" s="634"/>
      <c r="FZ146" s="634"/>
      <c r="GA146" s="634"/>
      <c r="GB146" s="634"/>
      <c r="GC146" s="634"/>
      <c r="GD146" s="634"/>
      <c r="GE146" s="634"/>
      <c r="GF146" s="634"/>
      <c r="GG146" s="634"/>
      <c r="GH146" s="634"/>
      <c r="GI146" s="634"/>
      <c r="GJ146" s="634"/>
      <c r="GK146" s="634"/>
      <c r="GL146" s="101"/>
      <c r="GM146" s="101"/>
      <c r="GN146" s="2244"/>
      <c r="GO146" s="2244"/>
      <c r="GP146" s="95"/>
      <c r="GQ146" s="2244"/>
      <c r="GR146" s="95"/>
      <c r="GS146" s="2244"/>
      <c r="GT146" s="95"/>
      <c r="GU146" s="95"/>
      <c r="GV146" s="95"/>
      <c r="GW146" s="95"/>
      <c r="GX146" s="95"/>
      <c r="GY146" s="95"/>
      <c r="GZ146" s="95"/>
      <c r="HA146" s="23"/>
      <c r="HB146" s="23"/>
      <c r="HC146" s="321"/>
      <c r="HI146" s="491"/>
      <c r="HJ146" s="491"/>
      <c r="HK146" s="491"/>
      <c r="HL146" s="491"/>
      <c r="HM146" s="491"/>
    </row>
    <row r="147" spans="1:221" ht="15" customHeight="1">
      <c r="A147" s="638"/>
      <c r="B147" s="95"/>
      <c r="C147" s="95"/>
      <c r="D147" s="95"/>
      <c r="E147" s="96"/>
      <c r="F147" s="95"/>
      <c r="G147" s="95"/>
      <c r="H147" s="99"/>
      <c r="I147" s="95"/>
      <c r="J147" s="95"/>
      <c r="K147" s="95"/>
      <c r="L147" s="95"/>
      <c r="M147" s="95"/>
      <c r="N147" s="95"/>
      <c r="O147" s="95"/>
      <c r="P147" s="95"/>
      <c r="Q147" s="95"/>
      <c r="R147" s="95"/>
      <c r="S147" s="101"/>
      <c r="T147" s="95"/>
      <c r="U147" s="101"/>
      <c r="V147" s="102">
        <f>V137-AX137-AZ137</f>
        <v>614321.39999999991</v>
      </c>
      <c r="W147" s="101"/>
      <c r="X147" s="95"/>
      <c r="Y147" s="101"/>
      <c r="Z147" s="95"/>
      <c r="AA147" s="101"/>
      <c r="AB147" s="95"/>
      <c r="AC147" s="101"/>
      <c r="AD147" s="270"/>
      <c r="AE147" s="271"/>
      <c r="AF147" s="103"/>
      <c r="AG147" s="270"/>
      <c r="AH147" s="270"/>
      <c r="AI147" s="270"/>
      <c r="AJ147" s="270"/>
      <c r="AK147" s="270"/>
      <c r="AL147" s="270"/>
      <c r="AM147" s="271"/>
      <c r="AN147" s="270"/>
      <c r="AO147" s="270"/>
      <c r="AP147" s="270"/>
      <c r="AQ147" s="271"/>
      <c r="AR147" s="270"/>
      <c r="AS147" s="270"/>
      <c r="AT147" s="270"/>
      <c r="AU147" s="270"/>
      <c r="AV147" s="270"/>
      <c r="AW147" s="270"/>
      <c r="AX147" s="270"/>
      <c r="AY147" s="270"/>
      <c r="AZ147" s="270"/>
      <c r="BA147" s="270"/>
      <c r="BB147" s="95"/>
      <c r="BC147" s="95"/>
      <c r="BD147" s="95"/>
      <c r="BE147" s="95"/>
      <c r="BF147" s="95"/>
      <c r="BG147" s="95"/>
      <c r="BH147" s="95"/>
      <c r="BI147" s="95"/>
      <c r="BJ147" s="95"/>
      <c r="BK147" s="95"/>
      <c r="BL147" s="95"/>
      <c r="BM147" s="95"/>
      <c r="BN147" s="95"/>
      <c r="BO147" s="95"/>
      <c r="BP147" s="95"/>
      <c r="BQ147" s="95"/>
      <c r="BR147" s="95"/>
      <c r="BS147" s="95"/>
      <c r="BT147" s="95"/>
      <c r="BU147" s="95"/>
      <c r="BV147" s="95"/>
      <c r="BW147" s="95"/>
      <c r="BX147" s="95"/>
      <c r="BY147" s="95"/>
      <c r="BZ147" s="95"/>
      <c r="CA147" s="95"/>
      <c r="CB147" s="95"/>
      <c r="CC147" s="95"/>
      <c r="CD147" s="95"/>
      <c r="CE147" s="95"/>
      <c r="CF147" s="95"/>
      <c r="CG147" s="95"/>
      <c r="CH147" s="95" t="s">
        <v>808</v>
      </c>
      <c r="CI147" s="95"/>
      <c r="CJ147" s="95"/>
      <c r="CK147" s="95"/>
      <c r="CL147" s="95"/>
      <c r="CM147" s="95"/>
      <c r="CN147" s="95"/>
      <c r="CO147" s="95"/>
      <c r="CP147" s="95"/>
      <c r="CQ147" s="95"/>
      <c r="CR147" s="95"/>
      <c r="CS147" s="95"/>
      <c r="CT147" s="95"/>
      <c r="CU147" s="108"/>
      <c r="CV147" s="109"/>
      <c r="CW147" s="639"/>
      <c r="CX147" s="639"/>
      <c r="CY147" s="637"/>
      <c r="CZ147" s="95"/>
      <c r="DA147" s="95"/>
      <c r="DB147" s="95"/>
      <c r="DC147" s="496"/>
      <c r="DD147" s="95"/>
      <c r="DE147" s="101"/>
      <c r="DF147" s="95"/>
      <c r="DG147" s="101"/>
      <c r="DH147" s="95"/>
      <c r="DI147" s="95"/>
      <c r="DJ147" s="95"/>
      <c r="DK147" s="95"/>
      <c r="DL147" s="95"/>
      <c r="DM147" s="101"/>
      <c r="DN147" s="95"/>
      <c r="DO147" s="95"/>
      <c r="DP147" s="95"/>
      <c r="DQ147" s="95"/>
      <c r="DR147" s="95"/>
      <c r="DS147" s="95"/>
      <c r="DT147" s="95"/>
      <c r="DU147" s="95"/>
      <c r="DV147" s="95"/>
      <c r="DW147" s="101"/>
      <c r="DX147" s="270"/>
      <c r="DY147" s="270"/>
      <c r="DZ147" s="270"/>
      <c r="EA147" s="270"/>
      <c r="EB147" s="270"/>
      <c r="EC147" s="270"/>
      <c r="ED147" s="270"/>
      <c r="EE147" s="270"/>
      <c r="EF147" s="270"/>
      <c r="EG147" s="270"/>
      <c r="EH147" s="270"/>
      <c r="EI147" s="270"/>
      <c r="EJ147" s="270"/>
      <c r="EK147" s="271"/>
      <c r="EL147" s="95"/>
      <c r="EM147" s="640"/>
      <c r="EN147" s="139"/>
      <c r="EO147" s="634"/>
      <c r="EP147" s="139"/>
      <c r="EQ147" s="139"/>
      <c r="ER147" s="139"/>
      <c r="ES147" s="139"/>
      <c r="ET147" s="322"/>
      <c r="EU147" s="322"/>
      <c r="EV147" s="139"/>
      <c r="EW147" s="139"/>
      <c r="EX147" s="139"/>
      <c r="EY147" s="139"/>
      <c r="EZ147" s="139"/>
      <c r="FA147" s="270"/>
      <c r="FB147" s="270"/>
      <c r="FC147" s="270"/>
      <c r="FD147" s="270"/>
      <c r="FE147" s="270"/>
      <c r="FF147" s="270"/>
      <c r="FG147" s="139"/>
      <c r="FH147" s="139"/>
      <c r="FI147" s="139"/>
      <c r="FJ147" s="139"/>
      <c r="FK147" s="139"/>
      <c r="FL147" s="139"/>
      <c r="FM147" s="139"/>
      <c r="FN147" s="139"/>
      <c r="FO147" s="139"/>
      <c r="FP147" s="139"/>
      <c r="FQ147" s="139"/>
      <c r="FR147" s="139"/>
      <c r="FS147" s="101"/>
      <c r="FT147" s="95"/>
      <c r="FU147" s="634"/>
      <c r="FV147" s="101"/>
      <c r="FW147" s="101"/>
      <c r="FX147" s="634"/>
      <c r="FY147" s="634"/>
      <c r="FZ147" s="634"/>
      <c r="GA147" s="634"/>
      <c r="GB147" s="634"/>
      <c r="GC147" s="634"/>
      <c r="GD147" s="634"/>
      <c r="GE147" s="634"/>
      <c r="GF147" s="634"/>
      <c r="GG147" s="634"/>
      <c r="GH147" s="634"/>
      <c r="GI147" s="634"/>
      <c r="GJ147" s="634"/>
      <c r="GK147" s="634"/>
      <c r="GL147" s="101"/>
      <c r="GM147" s="101"/>
      <c r="GN147" s="101"/>
      <c r="GO147" s="101"/>
      <c r="GP147" s="95"/>
      <c r="GQ147" s="101"/>
      <c r="GR147" s="97"/>
      <c r="GS147" s="101"/>
      <c r="GT147" s="95"/>
      <c r="GU147" s="95"/>
      <c r="GV147" s="95"/>
      <c r="GW147" s="95"/>
      <c r="GX147" s="95"/>
      <c r="GY147" s="95"/>
      <c r="GZ147" s="95"/>
      <c r="HA147" s="23"/>
      <c r="HB147" s="23"/>
      <c r="HC147" s="321"/>
      <c r="HI147" s="491"/>
      <c r="HJ147" s="491"/>
      <c r="HK147" s="491"/>
      <c r="HL147" s="491"/>
      <c r="HM147" s="491"/>
    </row>
    <row r="148" spans="1:221" ht="15" customHeight="1">
      <c r="A148" s="638"/>
      <c r="B148" s="95"/>
      <c r="C148" s="95"/>
      <c r="D148" s="95"/>
      <c r="E148" s="96"/>
      <c r="F148" s="95"/>
      <c r="G148" s="95"/>
      <c r="H148" s="99"/>
      <c r="I148" s="95"/>
      <c r="J148" s="95"/>
      <c r="K148" s="95"/>
      <c r="L148" s="95"/>
      <c r="M148" s="95"/>
      <c r="N148" s="95"/>
      <c r="O148" s="95"/>
      <c r="P148" s="95"/>
      <c r="Q148" s="95"/>
      <c r="R148" s="95"/>
      <c r="S148" s="101"/>
      <c r="T148" s="95"/>
      <c r="U148" s="101"/>
      <c r="V148" s="139"/>
      <c r="W148" s="101"/>
      <c r="X148" s="95"/>
      <c r="Y148" s="101"/>
      <c r="Z148" s="95"/>
      <c r="AA148" s="101"/>
      <c r="AB148" s="95"/>
      <c r="AC148" s="101"/>
      <c r="AD148" s="270"/>
      <c r="AE148" s="271"/>
      <c r="AF148" s="270"/>
      <c r="AG148" s="270"/>
      <c r="AH148" s="270"/>
      <c r="AI148" s="270"/>
      <c r="AJ148" s="270"/>
      <c r="AK148" s="270"/>
      <c r="AL148" s="270"/>
      <c r="AM148" s="271"/>
      <c r="AN148" s="270"/>
      <c r="AO148" s="270"/>
      <c r="AP148" s="270"/>
      <c r="AQ148" s="271"/>
      <c r="AR148" s="270"/>
      <c r="AS148" s="270"/>
      <c r="AT148" s="270"/>
      <c r="AU148" s="270"/>
      <c r="AV148" s="270"/>
      <c r="AW148" s="270"/>
      <c r="AX148" s="270"/>
      <c r="AY148" s="270"/>
      <c r="AZ148" s="270"/>
      <c r="BA148" s="270"/>
      <c r="BB148" s="95"/>
      <c r="BC148" s="95"/>
      <c r="BD148" s="95"/>
      <c r="BE148" s="95"/>
      <c r="BF148" s="95"/>
      <c r="BG148" s="95"/>
      <c r="BH148" s="95"/>
      <c r="BI148" s="95"/>
      <c r="BJ148" s="95"/>
      <c r="BK148" s="95"/>
      <c r="BL148" s="95"/>
      <c r="BM148" s="95"/>
      <c r="BN148" s="95"/>
      <c r="BO148" s="95"/>
      <c r="BP148" s="95"/>
      <c r="BQ148" s="95"/>
      <c r="BR148" s="95"/>
      <c r="BS148" s="95"/>
      <c r="BT148" s="95"/>
      <c r="BU148" s="95"/>
      <c r="BV148" s="95"/>
      <c r="BW148" s="95"/>
      <c r="BX148" s="95"/>
      <c r="BY148" s="95"/>
      <c r="BZ148" s="95"/>
      <c r="CA148" s="95"/>
      <c r="CB148" s="95"/>
      <c r="CC148" s="95"/>
      <c r="CD148" s="95"/>
      <c r="CE148" s="95"/>
      <c r="CF148" s="95"/>
      <c r="CG148" s="95"/>
      <c r="CH148" s="95"/>
      <c r="CI148" s="95"/>
      <c r="CJ148" s="95"/>
      <c r="CK148" s="95"/>
      <c r="CL148" s="95"/>
      <c r="CM148" s="95"/>
      <c r="CN148" s="95"/>
      <c r="CO148" s="95"/>
      <c r="CP148" s="95"/>
      <c r="CQ148" s="95"/>
      <c r="CR148" s="95"/>
      <c r="CS148" s="95"/>
      <c r="CT148" s="95"/>
      <c r="CU148" s="108"/>
      <c r="CV148" s="109"/>
      <c r="CW148" s="639"/>
      <c r="CX148" s="639"/>
      <c r="CY148" s="637"/>
      <c r="CZ148" s="95"/>
      <c r="DA148" s="95"/>
      <c r="DB148" s="95"/>
      <c r="DC148" s="496"/>
      <c r="DD148" s="95"/>
      <c r="DE148" s="101"/>
      <c r="DF148" s="95"/>
      <c r="DG148" s="101"/>
      <c r="DH148" s="95"/>
      <c r="DI148" s="95"/>
      <c r="DJ148" s="95"/>
      <c r="DK148" s="95"/>
      <c r="DL148" s="95"/>
      <c r="DM148" s="101"/>
      <c r="DN148" s="95"/>
      <c r="DO148" s="95"/>
      <c r="DP148" s="95"/>
      <c r="DQ148" s="95"/>
      <c r="DR148" s="95"/>
      <c r="DS148" s="95"/>
      <c r="DT148" s="95"/>
      <c r="DU148" s="95"/>
      <c r="DV148" s="95"/>
      <c r="DW148" s="101"/>
      <c r="DX148" s="270"/>
      <c r="DY148" s="270"/>
      <c r="DZ148" s="270"/>
      <c r="EA148" s="270"/>
      <c r="EB148" s="270"/>
      <c r="EC148" s="270"/>
      <c r="ED148" s="270"/>
      <c r="EE148" s="270"/>
      <c r="EF148" s="270"/>
      <c r="EG148" s="270"/>
      <c r="EH148" s="270"/>
      <c r="EI148" s="270"/>
      <c r="EJ148" s="270"/>
      <c r="EK148" s="271"/>
      <c r="EL148" s="95"/>
      <c r="EM148" s="322" t="s">
        <v>809</v>
      </c>
      <c r="EN148" s="139"/>
      <c r="EO148" s="634"/>
      <c r="EP148" s="139"/>
      <c r="EQ148" s="139"/>
      <c r="ER148" s="139"/>
      <c r="ES148" s="139"/>
      <c r="ET148" s="322"/>
      <c r="EU148" s="322"/>
      <c r="EV148" s="139"/>
      <c r="EW148" s="139"/>
      <c r="EX148" s="139"/>
      <c r="EY148" s="139"/>
      <c r="EZ148" s="139"/>
      <c r="FA148" s="270"/>
      <c r="FB148" s="270"/>
      <c r="FC148" s="270"/>
      <c r="FD148" s="270"/>
      <c r="FE148" s="270"/>
      <c r="FF148" s="270"/>
      <c r="FG148" s="139"/>
      <c r="FH148" s="139"/>
      <c r="FI148" s="139"/>
      <c r="FJ148" s="139"/>
      <c r="FK148" s="139"/>
      <c r="FL148" s="139"/>
      <c r="FM148" s="139"/>
      <c r="FN148" s="139"/>
      <c r="FO148" s="139"/>
      <c r="FP148" s="139"/>
      <c r="FQ148" s="139"/>
      <c r="FR148" s="139"/>
      <c r="FS148" s="101"/>
      <c r="FT148" s="95"/>
      <c r="FU148" s="634"/>
      <c r="FV148" s="101"/>
      <c r="FW148" s="101"/>
      <c r="FX148" s="634"/>
      <c r="FY148" s="634"/>
      <c r="FZ148" s="634"/>
      <c r="GA148" s="634"/>
      <c r="GB148" s="634"/>
      <c r="GC148" s="634"/>
      <c r="GD148" s="634"/>
      <c r="GE148" s="634"/>
      <c r="GF148" s="634"/>
      <c r="GG148" s="634"/>
      <c r="GH148" s="634"/>
      <c r="GI148" s="634"/>
      <c r="GJ148" s="634"/>
      <c r="GK148" s="634"/>
      <c r="GL148" s="101"/>
      <c r="GM148" s="101"/>
      <c r="GN148" s="101"/>
      <c r="GO148" s="101"/>
      <c r="GP148" s="95"/>
      <c r="GQ148" s="101"/>
      <c r="GR148" s="95"/>
      <c r="GS148" s="101"/>
      <c r="GT148" s="95"/>
      <c r="GU148" s="95"/>
      <c r="GV148" s="95"/>
      <c r="GW148" s="95"/>
      <c r="GX148" s="95"/>
      <c r="GY148" s="95"/>
      <c r="GZ148" s="95"/>
      <c r="HA148" s="23"/>
      <c r="HB148" s="23"/>
      <c r="HC148" s="321"/>
      <c r="HI148" s="491"/>
      <c r="HJ148" s="491"/>
      <c r="HK148" s="491"/>
      <c r="HL148" s="491"/>
      <c r="HM148" s="491"/>
    </row>
    <row r="149" spans="1:221">
      <c r="A149" s="638"/>
      <c r="B149" s="95"/>
      <c r="C149" s="95"/>
      <c r="D149" s="95"/>
      <c r="E149" s="96"/>
      <c r="F149" s="95"/>
      <c r="G149" s="95"/>
      <c r="H149" s="99"/>
      <c r="I149" s="95"/>
      <c r="J149" s="95"/>
      <c r="K149" s="95"/>
      <c r="L149" s="95"/>
      <c r="M149" s="95"/>
      <c r="N149" s="95"/>
      <c r="O149" s="95"/>
      <c r="P149" s="95"/>
      <c r="Q149" s="95"/>
      <c r="R149" s="95"/>
      <c r="S149" s="101"/>
      <c r="T149" s="95"/>
      <c r="U149" s="101"/>
      <c r="V149" s="139"/>
      <c r="W149" s="101"/>
      <c r="X149" s="95"/>
      <c r="Y149" s="101"/>
      <c r="Z149" s="95"/>
      <c r="AA149" s="101"/>
      <c r="AB149" s="95"/>
      <c r="AC149" s="101"/>
      <c r="AD149" s="270"/>
      <c r="AE149" s="271"/>
      <c r="AF149" s="270"/>
      <c r="AG149" s="270"/>
      <c r="AH149" s="270"/>
      <c r="AI149" s="270"/>
      <c r="AJ149" s="270"/>
      <c r="AK149" s="270"/>
      <c r="AL149" s="270"/>
      <c r="AM149" s="271"/>
      <c r="AN149" s="270"/>
      <c r="AO149" s="270"/>
      <c r="AP149" s="270"/>
      <c r="AQ149" s="271"/>
      <c r="AR149" s="270"/>
      <c r="AS149" s="270"/>
      <c r="AT149" s="270"/>
      <c r="AU149" s="270"/>
      <c r="AV149" s="270"/>
      <c r="AW149" s="270"/>
      <c r="AX149" s="270"/>
      <c r="AY149" s="270"/>
      <c r="AZ149" s="270"/>
      <c r="BA149" s="270"/>
      <c r="BB149" s="95"/>
      <c r="BC149" s="95"/>
      <c r="BD149" s="95"/>
      <c r="BE149" s="95"/>
      <c r="BF149" s="95"/>
      <c r="BG149" s="95"/>
      <c r="BH149" s="95"/>
      <c r="BI149" s="95"/>
      <c r="BJ149" s="95"/>
      <c r="BK149" s="95"/>
      <c r="BL149" s="95"/>
      <c r="BM149" s="95"/>
      <c r="BN149" s="95"/>
      <c r="BO149" s="95"/>
      <c r="BP149" s="95"/>
      <c r="BQ149" s="95"/>
      <c r="BR149" s="95"/>
      <c r="BS149" s="95"/>
      <c r="BT149" s="95"/>
      <c r="BU149" s="95"/>
      <c r="BV149" s="95"/>
      <c r="BW149" s="95"/>
      <c r="BX149" s="95"/>
      <c r="BY149" s="95"/>
      <c r="BZ149" s="95"/>
      <c r="CA149" s="95"/>
      <c r="CB149" s="95"/>
      <c r="CC149" s="95"/>
      <c r="CD149" s="95"/>
      <c r="CE149" s="95"/>
      <c r="CF149" s="95"/>
      <c r="CG149" s="95"/>
      <c r="CH149" s="95"/>
      <c r="CI149" s="95"/>
      <c r="CJ149" s="95"/>
      <c r="CK149" s="95"/>
      <c r="CL149" s="95"/>
      <c r="CM149" s="95"/>
      <c r="CN149" s="95"/>
      <c r="CO149" s="95"/>
      <c r="CP149" s="95"/>
      <c r="CQ149" s="95"/>
      <c r="CR149" s="95"/>
      <c r="CS149" s="95"/>
      <c r="CT149" s="95"/>
      <c r="CU149" s="108"/>
      <c r="CV149" s="109"/>
      <c r="CW149" s="95"/>
      <c r="CX149" s="496"/>
      <c r="CY149" s="637"/>
      <c r="CZ149" s="95"/>
      <c r="DA149" s="95"/>
      <c r="DB149" s="95"/>
      <c r="DC149" s="496"/>
      <c r="DD149" s="95"/>
      <c r="DE149" s="101"/>
      <c r="DF149" s="95"/>
      <c r="DG149" s="101"/>
      <c r="DH149" s="95"/>
      <c r="DI149" s="95"/>
      <c r="DJ149" s="95"/>
      <c r="DK149" s="95"/>
      <c r="DL149" s="95"/>
      <c r="DM149" s="101"/>
      <c r="DN149" s="95"/>
      <c r="DO149" s="95"/>
      <c r="DP149" s="95"/>
      <c r="DQ149" s="95"/>
      <c r="DR149" s="95"/>
      <c r="DS149" s="95"/>
      <c r="DT149" s="95"/>
      <c r="DU149" s="95"/>
      <c r="DV149" s="95"/>
      <c r="DW149" s="101"/>
      <c r="DX149" s="270"/>
      <c r="DY149" s="270"/>
      <c r="DZ149" s="270"/>
      <c r="EA149" s="270"/>
      <c r="EB149" s="270"/>
      <c r="EC149" s="270"/>
      <c r="ED149" s="270"/>
      <c r="EE149" s="270"/>
      <c r="EF149" s="270"/>
      <c r="EG149" s="270"/>
      <c r="EH149" s="270"/>
      <c r="EI149" s="270"/>
      <c r="EJ149" s="270"/>
      <c r="EK149" s="271"/>
      <c r="EL149" s="95"/>
      <c r="EM149" s="634"/>
      <c r="EN149" s="641" t="s">
        <v>810</v>
      </c>
      <c r="EO149" s="634"/>
      <c r="EP149" s="139"/>
      <c r="EQ149" s="139"/>
      <c r="ER149" s="139"/>
      <c r="ES149" s="139"/>
      <c r="ET149" s="322"/>
      <c r="EU149" s="322"/>
      <c r="EV149" s="139"/>
      <c r="EW149" s="139"/>
      <c r="EX149" s="139"/>
      <c r="EY149" s="139"/>
      <c r="EZ149" s="139"/>
      <c r="FA149" s="270"/>
      <c r="FB149" s="270"/>
      <c r="FC149" s="270"/>
      <c r="FD149" s="270"/>
      <c r="FE149" s="270"/>
      <c r="FF149" s="270"/>
      <c r="FG149" s="139"/>
      <c r="FH149" s="139"/>
      <c r="FI149" s="139"/>
      <c r="FJ149" s="139"/>
      <c r="FK149" s="139"/>
      <c r="FL149" s="139"/>
      <c r="FM149" s="139"/>
      <c r="FN149" s="139"/>
      <c r="FO149" s="139"/>
      <c r="FP149" s="139"/>
      <c r="FQ149" s="139"/>
      <c r="FR149" s="139"/>
      <c r="FS149" s="101"/>
      <c r="FT149" s="95"/>
      <c r="FU149" s="634"/>
      <c r="FV149" s="101"/>
      <c r="FW149" s="101"/>
      <c r="FX149" s="634"/>
      <c r="FY149" s="634"/>
      <c r="FZ149" s="634"/>
      <c r="GA149" s="634"/>
      <c r="GB149" s="634"/>
      <c r="GC149" s="634"/>
      <c r="GD149" s="634"/>
      <c r="GE149" s="634"/>
      <c r="GF149" s="634"/>
      <c r="GG149" s="634"/>
      <c r="GH149" s="634"/>
      <c r="GI149" s="634"/>
      <c r="GJ149" s="634"/>
      <c r="GK149" s="634"/>
      <c r="GL149" s="101"/>
      <c r="GM149" s="101"/>
      <c r="GN149" s="101"/>
      <c r="GO149" s="101"/>
      <c r="GP149" s="95"/>
      <c r="GQ149" s="101"/>
      <c r="GR149" s="95"/>
      <c r="GS149" s="101"/>
      <c r="GT149" s="95"/>
      <c r="GU149" s="95"/>
      <c r="GV149" s="95"/>
      <c r="GW149" s="95"/>
      <c r="GX149" s="95"/>
      <c r="GY149" s="95"/>
      <c r="GZ149" s="95"/>
      <c r="HA149" s="23"/>
      <c r="HB149" s="23"/>
      <c r="HC149" s="321"/>
      <c r="HI149" s="491"/>
      <c r="HJ149" s="491"/>
      <c r="HK149" s="491"/>
      <c r="HL149" s="491"/>
      <c r="HM149" s="491"/>
    </row>
    <row r="150" spans="1:221">
      <c r="A150" s="638"/>
      <c r="B150" s="95"/>
      <c r="C150" s="95"/>
      <c r="D150" s="95"/>
      <c r="E150" s="96"/>
      <c r="F150" s="95"/>
      <c r="G150" s="95"/>
      <c r="H150" s="99"/>
      <c r="I150" s="95"/>
      <c r="J150" s="95"/>
      <c r="K150" s="95"/>
      <c r="L150" s="95"/>
      <c r="M150" s="95"/>
      <c r="N150" s="95"/>
      <c r="O150" s="95"/>
      <c r="P150" s="95"/>
      <c r="Q150" s="95"/>
      <c r="R150" s="95"/>
      <c r="S150" s="101"/>
      <c r="T150" s="95"/>
      <c r="U150" s="101"/>
      <c r="V150" s="139"/>
      <c r="W150" s="101"/>
      <c r="X150" s="95"/>
      <c r="Y150" s="101"/>
      <c r="Z150" s="95"/>
      <c r="AA150" s="101"/>
      <c r="AB150" s="95"/>
      <c r="AC150" s="101"/>
      <c r="AD150" s="270"/>
      <c r="AE150" s="271"/>
      <c r="AF150" s="270"/>
      <c r="AG150" s="270"/>
      <c r="AH150" s="270"/>
      <c r="AI150" s="270"/>
      <c r="AJ150" s="270"/>
      <c r="AK150" s="270"/>
      <c r="AL150" s="270"/>
      <c r="AM150" s="271"/>
      <c r="AN150" s="270"/>
      <c r="AO150" s="270"/>
      <c r="AP150" s="270"/>
      <c r="AQ150" s="271"/>
      <c r="AR150" s="270"/>
      <c r="AS150" s="270"/>
      <c r="AT150" s="270"/>
      <c r="AU150" s="270"/>
      <c r="AV150" s="270"/>
      <c r="AW150" s="270"/>
      <c r="AX150" s="270"/>
      <c r="AY150" s="270"/>
      <c r="AZ150" s="270"/>
      <c r="BA150" s="270"/>
      <c r="BB150" s="95"/>
      <c r="BC150" s="95"/>
      <c r="BD150" s="95"/>
      <c r="BE150" s="95"/>
      <c r="BF150" s="95"/>
      <c r="BG150" s="95"/>
      <c r="BH150" s="95"/>
      <c r="BI150" s="95"/>
      <c r="BJ150" s="95"/>
      <c r="BK150" s="95"/>
      <c r="BL150" s="95"/>
      <c r="BM150" s="95"/>
      <c r="BN150" s="95"/>
      <c r="BO150" s="95"/>
      <c r="BP150" s="95"/>
      <c r="BQ150" s="95"/>
      <c r="BR150" s="95"/>
      <c r="BS150" s="95"/>
      <c r="BT150" s="95"/>
      <c r="BU150" s="95"/>
      <c r="BV150" s="95"/>
      <c r="BW150" s="95"/>
      <c r="BX150" s="95"/>
      <c r="BY150" s="95"/>
      <c r="BZ150" s="95"/>
      <c r="CA150" s="95"/>
      <c r="CB150" s="95"/>
      <c r="CC150" s="95"/>
      <c r="CD150" s="95"/>
      <c r="CE150" s="95"/>
      <c r="CF150" s="95"/>
      <c r="CG150" s="95"/>
      <c r="CH150" s="95"/>
      <c r="CI150" s="95"/>
      <c r="CJ150" s="95"/>
      <c r="CK150" s="95"/>
      <c r="CL150" s="95"/>
      <c r="CM150" s="95"/>
      <c r="CN150" s="95"/>
      <c r="CO150" s="95"/>
      <c r="CP150" s="95"/>
      <c r="CQ150" s="95"/>
      <c r="CR150" s="95"/>
      <c r="CS150" s="95"/>
      <c r="CT150" s="95"/>
      <c r="CU150" s="108"/>
      <c r="CV150" s="109"/>
      <c r="CW150" s="95"/>
      <c r="CX150" s="496"/>
      <c r="CY150" s="637"/>
      <c r="CZ150" s="95"/>
      <c r="DA150" s="95"/>
      <c r="DB150" s="95"/>
      <c r="DC150" s="496"/>
      <c r="DD150" s="95"/>
      <c r="DE150" s="101"/>
      <c r="DF150" s="95"/>
      <c r="DG150" s="101"/>
      <c r="DH150" s="95"/>
      <c r="DI150" s="95"/>
      <c r="DJ150" s="95"/>
      <c r="DK150" s="95"/>
      <c r="DL150" s="95"/>
      <c r="DM150" s="101"/>
      <c r="DN150" s="95"/>
      <c r="DO150" s="95"/>
      <c r="DP150" s="95"/>
      <c r="DQ150" s="95"/>
      <c r="DR150" s="95"/>
      <c r="DS150" s="95"/>
      <c r="DT150" s="95"/>
      <c r="DU150" s="95"/>
      <c r="DV150" s="95"/>
      <c r="DW150" s="101"/>
      <c r="DX150" s="270"/>
      <c r="DY150" s="270"/>
      <c r="DZ150" s="270"/>
      <c r="EA150" s="270"/>
      <c r="EB150" s="270"/>
      <c r="EC150" s="270"/>
      <c r="ED150" s="270"/>
      <c r="EE150" s="270"/>
      <c r="EF150" s="270"/>
      <c r="EG150" s="270"/>
      <c r="EH150" s="270"/>
      <c r="EI150" s="270"/>
      <c r="EJ150" s="270"/>
      <c r="EK150" s="271"/>
      <c r="EL150" s="95"/>
      <c r="EM150" s="634"/>
      <c r="EN150" s="139" t="s">
        <v>811</v>
      </c>
      <c r="EO150" s="634"/>
      <c r="EP150" s="139"/>
      <c r="EQ150" s="139"/>
      <c r="ER150" s="139"/>
      <c r="ES150" s="139"/>
      <c r="ET150" s="322"/>
      <c r="EU150" s="322"/>
      <c r="EV150" s="139"/>
      <c r="EW150" s="139"/>
      <c r="EX150" s="139"/>
      <c r="EY150" s="139"/>
      <c r="EZ150" s="139"/>
      <c r="FA150" s="270"/>
      <c r="FB150" s="270"/>
      <c r="FC150" s="270"/>
      <c r="FD150" s="270"/>
      <c r="FE150" s="270"/>
      <c r="FF150" s="270"/>
      <c r="FG150" s="139"/>
      <c r="FH150" s="139"/>
      <c r="FI150" s="139"/>
      <c r="FJ150" s="139"/>
      <c r="FK150" s="139"/>
      <c r="FL150" s="139"/>
      <c r="FM150" s="139"/>
      <c r="FN150" s="139"/>
      <c r="FO150" s="139"/>
      <c r="FP150" s="139"/>
      <c r="FQ150" s="139"/>
      <c r="FR150" s="139"/>
      <c r="FS150" s="101"/>
      <c r="FT150" s="95"/>
      <c r="FU150" s="634"/>
      <c r="FV150" s="101"/>
      <c r="FW150" s="101"/>
      <c r="FX150" s="634"/>
      <c r="FY150" s="634"/>
      <c r="FZ150" s="634"/>
      <c r="GA150" s="634"/>
      <c r="GB150" s="634"/>
      <c r="GC150" s="634"/>
      <c r="GD150" s="634"/>
      <c r="GE150" s="634"/>
      <c r="GF150" s="634"/>
      <c r="GG150" s="634"/>
      <c r="GH150" s="634"/>
      <c r="GI150" s="634"/>
      <c r="GJ150" s="634"/>
      <c r="GK150" s="634"/>
      <c r="GL150" s="101"/>
      <c r="GM150" s="101"/>
      <c r="GN150" s="101"/>
      <c r="GO150" s="101"/>
      <c r="GP150" s="95"/>
      <c r="GQ150" s="101"/>
      <c r="GR150" s="95"/>
      <c r="GS150" s="101"/>
      <c r="GT150" s="95"/>
      <c r="GU150" s="95"/>
      <c r="GV150" s="95"/>
      <c r="GW150" s="95"/>
      <c r="GX150" s="95"/>
      <c r="GY150" s="95"/>
      <c r="GZ150" s="95"/>
      <c r="HA150" s="23"/>
      <c r="HB150" s="23"/>
    </row>
    <row r="151" spans="1:221">
      <c r="A151" s="638"/>
      <c r="B151" s="95"/>
      <c r="C151" s="95"/>
      <c r="D151" s="95"/>
      <c r="E151" s="96"/>
      <c r="F151" s="95"/>
      <c r="G151" s="95"/>
      <c r="H151" s="99"/>
      <c r="I151" s="95"/>
      <c r="J151" s="95"/>
      <c r="K151" s="95"/>
      <c r="L151" s="95"/>
      <c r="M151" s="95"/>
      <c r="N151" s="95"/>
      <c r="O151" s="95"/>
      <c r="P151" s="95"/>
      <c r="Q151" s="95"/>
      <c r="R151" s="95"/>
      <c r="S151" s="101"/>
      <c r="T151" s="95"/>
      <c r="U151" s="101"/>
      <c r="V151" s="139"/>
      <c r="W151" s="101"/>
      <c r="X151" s="95"/>
      <c r="Y151" s="101"/>
      <c r="Z151" s="95"/>
      <c r="AA151" s="101"/>
      <c r="AB151" s="95"/>
      <c r="AC151" s="101"/>
      <c r="AD151" s="270"/>
      <c r="AE151" s="271"/>
      <c r="AF151" s="270"/>
      <c r="AG151" s="270"/>
      <c r="AH151" s="270"/>
      <c r="AI151" s="270"/>
      <c r="AJ151" s="270"/>
      <c r="AK151" s="270"/>
      <c r="AL151" s="270"/>
      <c r="AM151" s="271"/>
      <c r="AN151" s="270"/>
      <c r="AO151" s="270"/>
      <c r="AP151" s="270"/>
      <c r="AQ151" s="271"/>
      <c r="AR151" s="270"/>
      <c r="AS151" s="270"/>
      <c r="AT151" s="270"/>
      <c r="AU151" s="270"/>
      <c r="AV151" s="270"/>
      <c r="AW151" s="270"/>
      <c r="AX151" s="270"/>
      <c r="AY151" s="270"/>
      <c r="AZ151" s="270"/>
      <c r="BA151" s="270"/>
      <c r="BB151" s="95"/>
      <c r="BC151" s="95"/>
      <c r="BD151" s="95"/>
      <c r="BE151" s="95"/>
      <c r="BF151" s="95"/>
      <c r="BG151" s="95"/>
      <c r="BH151" s="95"/>
      <c r="BI151" s="95"/>
      <c r="BJ151" s="95"/>
      <c r="BK151" s="95"/>
      <c r="BL151" s="95"/>
      <c r="BM151" s="95"/>
      <c r="BN151" s="95"/>
      <c r="BO151" s="95"/>
      <c r="BP151" s="95"/>
      <c r="BQ151" s="95"/>
      <c r="BR151" s="95"/>
      <c r="BS151" s="95"/>
      <c r="BT151" s="95"/>
      <c r="BU151" s="95"/>
      <c r="BV151" s="95"/>
      <c r="BW151" s="95"/>
      <c r="BX151" s="95"/>
      <c r="BY151" s="95"/>
      <c r="BZ151" s="95"/>
      <c r="CA151" s="95"/>
      <c r="CB151" s="95"/>
      <c r="CC151" s="95"/>
      <c r="CD151" s="95"/>
      <c r="CE151" s="95"/>
      <c r="CF151" s="95"/>
      <c r="CG151" s="95"/>
      <c r="CH151" s="95"/>
      <c r="CI151" s="95"/>
      <c r="CJ151" s="95"/>
      <c r="CK151" s="95"/>
      <c r="CL151" s="95"/>
      <c r="CM151" s="95"/>
      <c r="CN151" s="95"/>
      <c r="CO151" s="95"/>
      <c r="CP151" s="95"/>
      <c r="CQ151" s="95"/>
      <c r="CR151" s="95"/>
      <c r="CS151" s="95"/>
      <c r="CT151" s="95"/>
      <c r="CU151" s="108"/>
      <c r="CV151" s="109"/>
      <c r="CW151" s="95"/>
      <c r="CX151" s="496"/>
      <c r="CY151" s="637"/>
      <c r="CZ151" s="95"/>
      <c r="DA151" s="95"/>
      <c r="DB151" s="95"/>
      <c r="DC151" s="496"/>
      <c r="DD151" s="95"/>
      <c r="DE151" s="101"/>
      <c r="DF151" s="95"/>
      <c r="DG151" s="101"/>
      <c r="DH151" s="95"/>
      <c r="DI151" s="95"/>
      <c r="DJ151" s="95"/>
      <c r="DK151" s="95"/>
      <c r="DL151" s="95"/>
      <c r="DM151" s="101"/>
      <c r="DN151" s="95"/>
      <c r="DO151" s="95"/>
      <c r="DP151" s="95"/>
      <c r="DQ151" s="95"/>
      <c r="DR151" s="95"/>
      <c r="DS151" s="95"/>
      <c r="DT151" s="95"/>
      <c r="DU151" s="95"/>
      <c r="DV151" s="95"/>
      <c r="DW151" s="101"/>
      <c r="DX151" s="270"/>
      <c r="DY151" s="270"/>
      <c r="DZ151" s="270"/>
      <c r="EA151" s="270"/>
      <c r="EB151" s="270"/>
      <c r="EC151" s="270"/>
      <c r="ED151" s="270"/>
      <c r="EE151" s="270"/>
      <c r="EF151" s="270"/>
      <c r="EG151" s="270"/>
      <c r="EH151" s="270"/>
      <c r="EI151" s="270"/>
      <c r="EJ151" s="270"/>
      <c r="EK151" s="271"/>
      <c r="EL151" s="95"/>
      <c r="EM151" s="634"/>
      <c r="EN151" s="132" t="s">
        <v>812</v>
      </c>
      <c r="EO151" s="634"/>
      <c r="EP151" s="139"/>
      <c r="EQ151" s="139"/>
      <c r="ER151" s="139"/>
      <c r="ES151" s="139"/>
      <c r="ET151" s="322"/>
      <c r="EU151" s="322"/>
      <c r="EV151" s="139"/>
      <c r="EW151" s="139"/>
      <c r="EX151" s="139"/>
      <c r="EY151" s="139"/>
      <c r="EZ151" s="139"/>
      <c r="FA151" s="270"/>
      <c r="FB151" s="270"/>
      <c r="FC151" s="270"/>
      <c r="FD151" s="270"/>
      <c r="FE151" s="270"/>
      <c r="FF151" s="270"/>
      <c r="FG151" s="139"/>
      <c r="FH151" s="139"/>
      <c r="FI151" s="139"/>
      <c r="FJ151" s="139"/>
      <c r="FK151" s="139"/>
      <c r="FL151" s="139"/>
      <c r="FM151" s="139"/>
      <c r="FN151" s="139"/>
      <c r="FO151" s="139"/>
      <c r="FP151" s="139"/>
      <c r="FQ151" s="139"/>
      <c r="FR151" s="139"/>
      <c r="FS151" s="101"/>
      <c r="FT151" s="95"/>
      <c r="FU151" s="634"/>
      <c r="FV151" s="101"/>
      <c r="FW151" s="101"/>
      <c r="FX151" s="634"/>
      <c r="FY151" s="634"/>
      <c r="FZ151" s="634"/>
      <c r="GA151" s="634"/>
      <c r="GB151" s="634"/>
      <c r="GC151" s="634"/>
      <c r="GD151" s="634"/>
      <c r="GE151" s="634"/>
      <c r="GF151" s="634"/>
      <c r="GG151" s="634"/>
      <c r="GH151" s="634"/>
      <c r="GI151" s="634"/>
      <c r="GJ151" s="634"/>
      <c r="GK151" s="634"/>
      <c r="GL151" s="101"/>
      <c r="GM151" s="101"/>
      <c r="GN151" s="101"/>
      <c r="GO151" s="101"/>
      <c r="GP151" s="95"/>
      <c r="GQ151" s="101"/>
      <c r="GR151" s="95"/>
      <c r="GS151" s="101"/>
      <c r="GT151" s="95"/>
      <c r="GU151" s="95"/>
      <c r="GV151" s="95"/>
      <c r="GW151" s="95"/>
      <c r="GX151" s="95"/>
      <c r="GY151" s="95"/>
      <c r="GZ151" s="95"/>
      <c r="HA151" s="23"/>
      <c r="HB151" s="23"/>
    </row>
    <row r="152" spans="1:221">
      <c r="A152" s="638"/>
      <c r="B152" s="95"/>
      <c r="C152" s="95"/>
      <c r="D152" s="95"/>
      <c r="E152" s="96"/>
      <c r="F152" s="95"/>
      <c r="G152" s="95"/>
      <c r="H152" s="99"/>
      <c r="I152" s="95"/>
      <c r="J152" s="95"/>
      <c r="K152" s="95"/>
      <c r="L152" s="95"/>
      <c r="M152" s="95"/>
      <c r="N152" s="95"/>
      <c r="O152" s="95"/>
      <c r="P152" s="95"/>
      <c r="Q152" s="95"/>
      <c r="R152" s="95"/>
      <c r="S152" s="101"/>
      <c r="T152" s="95"/>
      <c r="U152" s="101"/>
      <c r="V152" s="139"/>
      <c r="W152" s="101"/>
      <c r="X152" s="95"/>
      <c r="Y152" s="101"/>
      <c r="Z152" s="95"/>
      <c r="AA152" s="101"/>
      <c r="AB152" s="95"/>
      <c r="AC152" s="101"/>
      <c r="AD152" s="270"/>
      <c r="AE152" s="271"/>
      <c r="AF152" s="270"/>
      <c r="AG152" s="270"/>
      <c r="AH152" s="270"/>
      <c r="AI152" s="270"/>
      <c r="AJ152" s="270"/>
      <c r="AK152" s="270"/>
      <c r="AL152" s="270"/>
      <c r="AM152" s="271"/>
      <c r="AN152" s="270"/>
      <c r="AO152" s="270"/>
      <c r="AP152" s="270"/>
      <c r="AQ152" s="271"/>
      <c r="AR152" s="270"/>
      <c r="AS152" s="270"/>
      <c r="AT152" s="270"/>
      <c r="AU152" s="270"/>
      <c r="AV152" s="270"/>
      <c r="AW152" s="270"/>
      <c r="AX152" s="270"/>
      <c r="AY152" s="270"/>
      <c r="AZ152" s="270"/>
      <c r="BA152" s="270"/>
      <c r="BB152" s="95"/>
      <c r="BC152" s="95"/>
      <c r="BD152" s="95"/>
      <c r="BE152" s="95"/>
      <c r="BF152" s="95"/>
      <c r="BG152" s="95"/>
      <c r="BH152" s="95"/>
      <c r="BI152" s="95"/>
      <c r="BJ152" s="95"/>
      <c r="BK152" s="95"/>
      <c r="BL152" s="95"/>
      <c r="BM152" s="95"/>
      <c r="BN152" s="95"/>
      <c r="BO152" s="95"/>
      <c r="BP152" s="95"/>
      <c r="BQ152" s="95"/>
      <c r="BR152" s="95"/>
      <c r="BS152" s="95"/>
      <c r="BT152" s="95"/>
      <c r="BU152" s="95"/>
      <c r="BV152" s="95"/>
      <c r="BW152" s="95"/>
      <c r="BX152" s="95"/>
      <c r="BY152" s="95"/>
      <c r="BZ152" s="95"/>
      <c r="CA152" s="95"/>
      <c r="CB152" s="95"/>
      <c r="CC152" s="95"/>
      <c r="CD152" s="95"/>
      <c r="CE152" s="95"/>
      <c r="CF152" s="95"/>
      <c r="CG152" s="95"/>
      <c r="CH152" s="95"/>
      <c r="CI152" s="95"/>
      <c r="CJ152" s="95"/>
      <c r="CK152" s="95"/>
      <c r="CL152" s="95"/>
      <c r="CM152" s="95"/>
      <c r="CN152" s="95"/>
      <c r="CO152" s="95"/>
      <c r="CP152" s="95"/>
      <c r="CQ152" s="95"/>
      <c r="CR152" s="95"/>
      <c r="CS152" s="95"/>
      <c r="CT152" s="95"/>
      <c r="CU152" s="108"/>
      <c r="CV152" s="109"/>
      <c r="CW152" s="95"/>
      <c r="CX152" s="496"/>
      <c r="CY152" s="637"/>
      <c r="CZ152" s="95"/>
      <c r="DA152" s="95"/>
      <c r="DB152" s="95"/>
      <c r="DC152" s="496"/>
      <c r="DD152" s="95"/>
      <c r="DE152" s="101"/>
      <c r="DF152" s="95"/>
      <c r="DG152" s="101"/>
      <c r="DH152" s="95"/>
      <c r="DI152" s="95"/>
      <c r="DJ152" s="95"/>
      <c r="DK152" s="95"/>
      <c r="DL152" s="95"/>
      <c r="DM152" s="101"/>
      <c r="DN152" s="95"/>
      <c r="DO152" s="95"/>
      <c r="DP152" s="95"/>
      <c r="DQ152" s="95"/>
      <c r="DR152" s="95"/>
      <c r="DS152" s="95"/>
      <c r="DT152" s="95"/>
      <c r="DU152" s="95"/>
      <c r="DV152" s="95"/>
      <c r="DW152" s="101"/>
      <c r="DX152" s="270"/>
      <c r="DY152" s="270"/>
      <c r="DZ152" s="270"/>
      <c r="EA152" s="270"/>
      <c r="EB152" s="270"/>
      <c r="EC152" s="270"/>
      <c r="ED152" s="270"/>
      <c r="EE152" s="270"/>
      <c r="EF152" s="270"/>
      <c r="EG152" s="270"/>
      <c r="EH152" s="270"/>
      <c r="EI152" s="270"/>
      <c r="EJ152" s="270"/>
      <c r="EK152" s="271"/>
      <c r="EL152" s="95"/>
      <c r="EM152" s="634"/>
      <c r="EN152" s="139" t="s">
        <v>813</v>
      </c>
      <c r="EO152" s="634"/>
      <c r="EP152" s="139"/>
      <c r="EQ152" s="139"/>
      <c r="ER152" s="139"/>
      <c r="ES152" s="139"/>
      <c r="ET152" s="322"/>
      <c r="EU152" s="322"/>
      <c r="EV152" s="139"/>
      <c r="EW152" s="139"/>
      <c r="EX152" s="139"/>
      <c r="EY152" s="139"/>
      <c r="EZ152" s="139"/>
      <c r="FA152" s="270"/>
      <c r="FB152" s="270"/>
      <c r="FC152" s="270"/>
      <c r="FD152" s="270"/>
      <c r="FE152" s="270"/>
      <c r="FF152" s="270"/>
      <c r="FG152" s="139"/>
      <c r="FH152" s="139"/>
      <c r="FI152" s="139"/>
      <c r="FJ152" s="139"/>
      <c r="FK152" s="139"/>
      <c r="FL152" s="139"/>
      <c r="FM152" s="139"/>
      <c r="FN152" s="139"/>
      <c r="FO152" s="139"/>
      <c r="FP152" s="139"/>
      <c r="FQ152" s="139"/>
      <c r="FR152" s="139"/>
      <c r="FS152" s="101"/>
      <c r="FT152" s="95"/>
      <c r="FU152" s="634"/>
      <c r="FV152" s="101"/>
      <c r="FW152" s="101"/>
      <c r="FX152" s="634"/>
      <c r="FY152" s="634"/>
      <c r="FZ152" s="634"/>
      <c r="GA152" s="634"/>
      <c r="GB152" s="634"/>
      <c r="GC152" s="634"/>
      <c r="GD152" s="634"/>
      <c r="GE152" s="634"/>
      <c r="GF152" s="634"/>
      <c r="GG152" s="634"/>
      <c r="GH152" s="634"/>
      <c r="GI152" s="634"/>
      <c r="GJ152" s="634"/>
      <c r="GK152" s="634"/>
      <c r="GL152" s="101"/>
      <c r="GM152" s="101"/>
      <c r="GN152" s="101"/>
      <c r="GO152" s="101"/>
      <c r="GP152" s="95"/>
      <c r="GQ152" s="101"/>
      <c r="GR152" s="95"/>
      <c r="GS152" s="101"/>
      <c r="GT152" s="95"/>
      <c r="GU152" s="95"/>
      <c r="GV152" s="95"/>
      <c r="GW152" s="95"/>
      <c r="GX152" s="95"/>
      <c r="GY152" s="95"/>
      <c r="GZ152" s="95"/>
      <c r="HA152" s="23"/>
      <c r="HB152" s="23"/>
    </row>
    <row r="153" spans="1:221">
      <c r="A153" s="638"/>
      <c r="B153" s="95"/>
      <c r="C153" s="95"/>
      <c r="D153" s="95"/>
      <c r="E153" s="96"/>
      <c r="F153" s="95"/>
      <c r="G153" s="95"/>
      <c r="H153" s="99"/>
      <c r="I153" s="95"/>
      <c r="J153" s="95"/>
      <c r="K153" s="95"/>
      <c r="L153" s="95"/>
      <c r="M153" s="95"/>
      <c r="N153" s="95"/>
      <c r="O153" s="95"/>
      <c r="P153" s="95"/>
      <c r="Q153" s="95"/>
      <c r="R153" s="95"/>
      <c r="S153" s="101"/>
      <c r="T153" s="95"/>
      <c r="U153" s="101"/>
      <c r="V153" s="139"/>
      <c r="W153" s="101"/>
      <c r="X153" s="95"/>
      <c r="Y153" s="101"/>
      <c r="Z153" s="95"/>
      <c r="AA153" s="101"/>
      <c r="AB153" s="95"/>
      <c r="AC153" s="101"/>
      <c r="AD153" s="270"/>
      <c r="AE153" s="271"/>
      <c r="AF153" s="270"/>
      <c r="AG153" s="270"/>
      <c r="AH153" s="270"/>
      <c r="AI153" s="270"/>
      <c r="AJ153" s="270"/>
      <c r="AK153" s="270"/>
      <c r="AL153" s="270"/>
      <c r="AM153" s="271"/>
      <c r="AN153" s="270"/>
      <c r="AO153" s="270"/>
      <c r="AP153" s="270"/>
      <c r="AQ153" s="271"/>
      <c r="AR153" s="270"/>
      <c r="AS153" s="270"/>
      <c r="AT153" s="270"/>
      <c r="AU153" s="270"/>
      <c r="AV153" s="270"/>
      <c r="AW153" s="270"/>
      <c r="AX153" s="270"/>
      <c r="AY153" s="270"/>
      <c r="AZ153" s="270"/>
      <c r="BA153" s="270"/>
      <c r="BB153" s="95"/>
      <c r="BC153" s="95"/>
      <c r="BD153" s="95"/>
      <c r="BE153" s="95"/>
      <c r="BF153" s="95"/>
      <c r="BG153" s="95"/>
      <c r="BH153" s="95"/>
      <c r="BI153" s="95"/>
      <c r="BJ153" s="95"/>
      <c r="BK153" s="95"/>
      <c r="BL153" s="95"/>
      <c r="BM153" s="95"/>
      <c r="BN153" s="95"/>
      <c r="BO153" s="95"/>
      <c r="BP153" s="95"/>
      <c r="BQ153" s="95"/>
      <c r="BR153" s="95"/>
      <c r="BS153" s="95"/>
      <c r="BT153" s="95"/>
      <c r="BU153" s="95"/>
      <c r="BV153" s="95"/>
      <c r="BW153" s="95"/>
      <c r="BX153" s="95"/>
      <c r="BY153" s="95"/>
      <c r="BZ153" s="95"/>
      <c r="CA153" s="95"/>
      <c r="CB153" s="95"/>
      <c r="CC153" s="95"/>
      <c r="CD153" s="95"/>
      <c r="CE153" s="95"/>
      <c r="CF153" s="95"/>
      <c r="CG153" s="95"/>
      <c r="CH153" s="95"/>
      <c r="CI153" s="95"/>
      <c r="CJ153" s="95"/>
      <c r="CK153" s="95"/>
      <c r="CL153" s="95"/>
      <c r="CM153" s="95"/>
      <c r="CN153" s="95"/>
      <c r="CO153" s="95"/>
      <c r="CP153" s="95"/>
      <c r="CQ153" s="95"/>
      <c r="CR153" s="95"/>
      <c r="CS153" s="95"/>
      <c r="CT153" s="95"/>
      <c r="CU153" s="108"/>
      <c r="CV153" s="109"/>
      <c r="CW153" s="95"/>
      <c r="CX153" s="496"/>
      <c r="CY153" s="637"/>
      <c r="CZ153" s="95"/>
      <c r="DA153" s="95"/>
      <c r="DB153" s="95"/>
      <c r="DC153" s="496"/>
      <c r="DD153" s="95"/>
      <c r="DE153" s="101"/>
      <c r="DF153" s="95"/>
      <c r="DG153" s="101"/>
      <c r="DH153" s="95"/>
      <c r="DI153" s="95"/>
      <c r="DJ153" s="95"/>
      <c r="DK153" s="95"/>
      <c r="DL153" s="95"/>
      <c r="DM153" s="101"/>
      <c r="DN153" s="95"/>
      <c r="DO153" s="95"/>
      <c r="DP153" s="95"/>
      <c r="DQ153" s="95"/>
      <c r="DR153" s="95"/>
      <c r="DS153" s="95"/>
      <c r="DT153" s="95"/>
      <c r="DU153" s="95"/>
      <c r="DV153" s="95"/>
      <c r="DW153" s="101"/>
      <c r="DX153" s="270"/>
      <c r="DY153" s="270"/>
      <c r="DZ153" s="270"/>
      <c r="EA153" s="270"/>
      <c r="EB153" s="270"/>
      <c r="EC153" s="270"/>
      <c r="ED153" s="270"/>
      <c r="EE153" s="270"/>
      <c r="EF153" s="270"/>
      <c r="EG153" s="270"/>
      <c r="EH153" s="270"/>
      <c r="EI153" s="270"/>
      <c r="EJ153" s="270"/>
      <c r="EK153" s="271"/>
      <c r="EL153" s="95"/>
      <c r="EM153" s="634"/>
      <c r="EN153" s="139"/>
      <c r="EO153" s="634"/>
      <c r="EP153" s="139"/>
      <c r="EQ153" s="139"/>
      <c r="ER153" s="139"/>
      <c r="ES153" s="139"/>
      <c r="ET153" s="322"/>
      <c r="EU153" s="322"/>
      <c r="EV153" s="139"/>
      <c r="EW153" s="139"/>
      <c r="EX153" s="139"/>
      <c r="EY153" s="139"/>
      <c r="EZ153" s="139"/>
      <c r="FA153" s="270"/>
      <c r="FB153" s="270"/>
      <c r="FC153" s="270"/>
      <c r="FD153" s="270"/>
      <c r="FE153" s="270"/>
      <c r="FF153" s="270"/>
      <c r="FG153" s="139"/>
      <c r="FH153" s="139"/>
      <c r="FI153" s="139"/>
      <c r="FJ153" s="139"/>
      <c r="FK153" s="139"/>
      <c r="FL153" s="139"/>
      <c r="FM153" s="139"/>
      <c r="FN153" s="139"/>
      <c r="FO153" s="139"/>
      <c r="FP153" s="139"/>
      <c r="FQ153" s="139"/>
      <c r="FR153" s="139"/>
      <c r="FS153" s="101"/>
      <c r="FT153" s="95"/>
      <c r="FU153" s="634"/>
      <c r="FV153" s="101"/>
      <c r="FW153" s="101"/>
      <c r="FX153" s="634"/>
      <c r="FY153" s="634"/>
      <c r="FZ153" s="634"/>
      <c r="GA153" s="634"/>
      <c r="GB153" s="634"/>
      <c r="GC153" s="634"/>
      <c r="GD153" s="634"/>
      <c r="GE153" s="634"/>
      <c r="GF153" s="634"/>
      <c r="GG153" s="634"/>
      <c r="GH153" s="634"/>
      <c r="GI153" s="634"/>
      <c r="GJ153" s="634"/>
      <c r="GK153" s="634"/>
      <c r="GL153" s="101"/>
      <c r="GM153" s="101"/>
      <c r="GN153" s="101"/>
      <c r="GO153" s="101"/>
      <c r="GP153" s="95"/>
      <c r="GQ153" s="101"/>
      <c r="GR153" s="95"/>
      <c r="GS153" s="101"/>
      <c r="GT153" s="95"/>
      <c r="GU153" s="95"/>
      <c r="GV153" s="95"/>
      <c r="GW153" s="95"/>
      <c r="GX153" s="95"/>
      <c r="GY153" s="95"/>
      <c r="GZ153" s="95"/>
      <c r="HA153" s="23"/>
      <c r="HB153" s="23"/>
    </row>
    <row r="154" spans="1:221">
      <c r="A154" s="638"/>
      <c r="B154" s="95"/>
      <c r="C154" s="95"/>
      <c r="D154" s="95"/>
      <c r="E154" s="96"/>
      <c r="F154" s="95"/>
      <c r="G154" s="95"/>
      <c r="H154" s="99"/>
      <c r="I154" s="95"/>
      <c r="J154" s="95"/>
      <c r="K154" s="95"/>
      <c r="L154" s="95"/>
      <c r="M154" s="95"/>
      <c r="N154" s="95"/>
      <c r="O154" s="95"/>
      <c r="P154" s="95"/>
      <c r="Q154" s="95"/>
      <c r="R154" s="95"/>
      <c r="S154" s="101"/>
      <c r="T154" s="95"/>
      <c r="U154" s="101"/>
      <c r="V154" s="139"/>
      <c r="W154" s="101"/>
      <c r="X154" s="95"/>
      <c r="Y154" s="101"/>
      <c r="Z154" s="95"/>
      <c r="AA154" s="101"/>
      <c r="AB154" s="95"/>
      <c r="AC154" s="101"/>
      <c r="AD154" s="270"/>
      <c r="AE154" s="271"/>
      <c r="AF154" s="270"/>
      <c r="AG154" s="270"/>
      <c r="AH154" s="270"/>
      <c r="AI154" s="270"/>
      <c r="AJ154" s="270"/>
      <c r="AK154" s="270"/>
      <c r="AL154" s="270"/>
      <c r="AM154" s="271"/>
      <c r="AN154" s="270"/>
      <c r="AO154" s="270"/>
      <c r="AP154" s="270"/>
      <c r="AQ154" s="271"/>
      <c r="AR154" s="270"/>
      <c r="AS154" s="270"/>
      <c r="AT154" s="270"/>
      <c r="AU154" s="270"/>
      <c r="AV154" s="270"/>
      <c r="AW154" s="270"/>
      <c r="AX154" s="270"/>
      <c r="AY154" s="270"/>
      <c r="AZ154" s="270"/>
      <c r="BA154" s="270"/>
      <c r="BB154" s="95"/>
      <c r="BC154" s="95"/>
      <c r="BD154" s="95"/>
      <c r="BE154" s="95"/>
      <c r="BF154" s="95"/>
      <c r="BG154" s="95"/>
      <c r="BH154" s="95"/>
      <c r="BI154" s="95"/>
      <c r="BJ154" s="95"/>
      <c r="BK154" s="95"/>
      <c r="BL154" s="95"/>
      <c r="BM154" s="95"/>
      <c r="BN154" s="95"/>
      <c r="BO154" s="95"/>
      <c r="BP154" s="95"/>
      <c r="BQ154" s="95"/>
      <c r="BR154" s="95"/>
      <c r="BS154" s="95"/>
      <c r="BT154" s="95"/>
      <c r="BU154" s="95"/>
      <c r="BV154" s="95"/>
      <c r="BW154" s="95"/>
      <c r="BX154" s="95"/>
      <c r="BY154" s="95"/>
      <c r="BZ154" s="95"/>
      <c r="CA154" s="95"/>
      <c r="CB154" s="95"/>
      <c r="CC154" s="95"/>
      <c r="CD154" s="95"/>
      <c r="CE154" s="95"/>
      <c r="CF154" s="95"/>
      <c r="CG154" s="95"/>
      <c r="CH154" s="95"/>
      <c r="CI154" s="95"/>
      <c r="CJ154" s="95"/>
      <c r="CK154" s="95"/>
      <c r="CL154" s="95"/>
      <c r="CM154" s="95"/>
      <c r="CN154" s="95"/>
      <c r="CO154" s="95"/>
      <c r="CP154" s="95"/>
      <c r="CQ154" s="95"/>
      <c r="CR154" s="95"/>
      <c r="CS154" s="95"/>
      <c r="CT154" s="95"/>
      <c r="CU154" s="108"/>
      <c r="CV154" s="109"/>
      <c r="CW154" s="95"/>
      <c r="CX154" s="496"/>
      <c r="CY154" s="637"/>
      <c r="CZ154" s="95"/>
      <c r="DA154" s="95"/>
      <c r="DB154" s="95"/>
      <c r="DC154" s="496"/>
      <c r="DD154" s="95"/>
      <c r="DE154" s="101"/>
      <c r="DF154" s="95"/>
      <c r="DG154" s="101"/>
      <c r="DH154" s="95"/>
      <c r="DI154" s="95"/>
      <c r="DJ154" s="95"/>
      <c r="DK154" s="95"/>
      <c r="DL154" s="95"/>
      <c r="DM154" s="101"/>
      <c r="DN154" s="95"/>
      <c r="DO154" s="95"/>
      <c r="DP154" s="95"/>
      <c r="DQ154" s="95"/>
      <c r="DR154" s="95"/>
      <c r="DS154" s="95"/>
      <c r="DT154" s="95"/>
      <c r="DU154" s="95"/>
      <c r="DV154" s="95"/>
      <c r="DW154" s="101"/>
      <c r="DX154" s="270"/>
      <c r="DY154" s="270"/>
      <c r="DZ154" s="270"/>
      <c r="EA154" s="270"/>
      <c r="EB154" s="270"/>
      <c r="EC154" s="270"/>
      <c r="ED154" s="270"/>
      <c r="EE154" s="270"/>
      <c r="EF154" s="270"/>
      <c r="EG154" s="270"/>
      <c r="EH154" s="270"/>
      <c r="EI154" s="270"/>
      <c r="EJ154" s="270"/>
      <c r="EK154" s="271"/>
      <c r="EL154" s="95"/>
      <c r="EM154" s="634"/>
      <c r="EN154" s="139"/>
      <c r="EO154" s="634"/>
      <c r="EP154" s="139"/>
      <c r="EQ154" s="139"/>
      <c r="ER154" s="139"/>
      <c r="ES154" s="139"/>
      <c r="ET154" s="322"/>
      <c r="EU154" s="322"/>
      <c r="EV154" s="139"/>
      <c r="EW154" s="139"/>
      <c r="EX154" s="139"/>
      <c r="EY154" s="139"/>
      <c r="EZ154" s="139"/>
      <c r="FA154" s="270"/>
      <c r="FB154" s="270"/>
      <c r="FC154" s="270"/>
      <c r="FD154" s="270"/>
      <c r="FE154" s="270"/>
      <c r="FF154" s="270"/>
      <c r="FG154" s="139"/>
      <c r="FH154" s="139"/>
      <c r="FI154" s="139"/>
      <c r="FJ154" s="139"/>
      <c r="FK154" s="139"/>
      <c r="FL154" s="139"/>
      <c r="FM154" s="139"/>
      <c r="FN154" s="139"/>
      <c r="FO154" s="139"/>
      <c r="FP154" s="139"/>
      <c r="FQ154" s="139"/>
      <c r="FR154" s="139"/>
      <c r="FS154" s="101"/>
      <c r="FT154" s="95"/>
      <c r="FU154" s="634"/>
      <c r="FV154" s="101"/>
      <c r="FW154" s="101"/>
      <c r="FX154" s="634"/>
      <c r="FY154" s="634"/>
      <c r="FZ154" s="634"/>
      <c r="GA154" s="634"/>
      <c r="GB154" s="634"/>
      <c r="GC154" s="634"/>
      <c r="GD154" s="634"/>
      <c r="GE154" s="634"/>
      <c r="GF154" s="634"/>
      <c r="GG154" s="634"/>
      <c r="GH154" s="634"/>
      <c r="GI154" s="634"/>
      <c r="GJ154" s="634"/>
      <c r="GK154" s="634"/>
      <c r="GL154" s="101"/>
      <c r="GM154" s="101"/>
      <c r="GN154" s="101"/>
      <c r="GO154" s="101"/>
      <c r="GP154" s="95"/>
      <c r="GQ154" s="101"/>
      <c r="GR154" s="95"/>
      <c r="GS154" s="101"/>
      <c r="GT154" s="95"/>
      <c r="GU154" s="95"/>
      <c r="GV154" s="95"/>
      <c r="GW154" s="95"/>
      <c r="GX154" s="95"/>
      <c r="GY154" s="95"/>
      <c r="GZ154" s="95"/>
      <c r="HA154" s="23"/>
      <c r="HB154" s="23"/>
    </row>
    <row r="155" spans="1:221">
      <c r="A155" s="638"/>
      <c r="B155" s="95"/>
      <c r="C155" s="95"/>
      <c r="D155" s="95" t="s">
        <v>814</v>
      </c>
      <c r="E155" s="96"/>
      <c r="F155" s="95"/>
      <c r="G155" s="139"/>
      <c r="H155" s="99"/>
      <c r="I155" s="95"/>
      <c r="J155" s="95"/>
      <c r="K155" s="95"/>
      <c r="L155" s="95"/>
      <c r="M155" s="95"/>
      <c r="N155" s="95"/>
      <c r="O155" s="95"/>
      <c r="P155" s="95"/>
      <c r="Q155" s="95"/>
      <c r="R155" s="95"/>
      <c r="S155" s="101"/>
      <c r="T155" s="95"/>
      <c r="U155" s="101"/>
      <c r="V155" s="139"/>
      <c r="W155" s="101"/>
      <c r="X155" s="95"/>
      <c r="Y155" s="101"/>
      <c r="Z155" s="95"/>
      <c r="AA155" s="101"/>
      <c r="AB155" s="95"/>
      <c r="AC155" s="101"/>
      <c r="AD155" s="270"/>
      <c r="AE155" s="271"/>
      <c r="AF155" s="270"/>
      <c r="AG155" s="270"/>
      <c r="AH155" s="270"/>
      <c r="AI155" s="270"/>
      <c r="AJ155" s="270"/>
      <c r="AK155" s="270"/>
      <c r="AL155" s="270"/>
      <c r="AM155" s="271"/>
      <c r="AN155" s="270"/>
      <c r="AO155" s="270"/>
      <c r="AP155" s="270"/>
      <c r="AQ155" s="271"/>
      <c r="AR155" s="270"/>
      <c r="AS155" s="270"/>
      <c r="AT155" s="270"/>
      <c r="AU155" s="270"/>
      <c r="AV155" s="270"/>
      <c r="AW155" s="270"/>
      <c r="AX155" s="270"/>
      <c r="AY155" s="270"/>
      <c r="AZ155" s="270"/>
      <c r="BA155" s="270"/>
      <c r="BB155" s="95"/>
      <c r="BC155" s="95"/>
      <c r="BD155" s="95"/>
      <c r="BE155" s="95"/>
      <c r="BF155" s="95"/>
      <c r="BG155" s="95"/>
      <c r="BH155" s="95"/>
      <c r="BI155" s="95"/>
      <c r="BJ155" s="95"/>
      <c r="BK155" s="95"/>
      <c r="BL155" s="95"/>
      <c r="BM155" s="95"/>
      <c r="BN155" s="95"/>
      <c r="BO155" s="95"/>
      <c r="BP155" s="95"/>
      <c r="BQ155" s="95"/>
      <c r="BR155" s="95"/>
      <c r="BS155" s="95"/>
      <c r="BT155" s="95"/>
      <c r="BU155" s="95"/>
      <c r="BV155" s="95"/>
      <c r="BW155" s="95"/>
      <c r="BX155" s="95"/>
      <c r="BY155" s="95"/>
      <c r="BZ155" s="95"/>
      <c r="CA155" s="95"/>
      <c r="CB155" s="95"/>
      <c r="CC155" s="95"/>
      <c r="CD155" s="95"/>
      <c r="CE155" s="95"/>
      <c r="CF155" s="95"/>
      <c r="CG155" s="95"/>
      <c r="CH155" s="95"/>
      <c r="CI155" s="95"/>
      <c r="CJ155" s="95"/>
      <c r="CK155" s="95"/>
      <c r="CL155" s="95"/>
      <c r="CM155" s="95"/>
      <c r="CN155" s="95"/>
      <c r="CO155" s="95"/>
      <c r="CP155" s="95"/>
      <c r="CQ155" s="95"/>
      <c r="CR155" s="95"/>
      <c r="CS155" s="95"/>
      <c r="CT155" s="95"/>
      <c r="CU155" s="108"/>
      <c r="CV155" s="109"/>
      <c r="CW155" s="95"/>
      <c r="CX155" s="496"/>
      <c r="CY155" s="637"/>
      <c r="CZ155" s="95"/>
      <c r="DA155" s="95"/>
      <c r="DB155" s="95"/>
      <c r="DC155" s="496"/>
      <c r="DD155" s="95"/>
      <c r="DE155" s="101"/>
      <c r="DF155" s="95"/>
      <c r="DG155" s="101"/>
      <c r="DH155" s="95"/>
      <c r="DI155" s="95"/>
      <c r="DJ155" s="95"/>
      <c r="DK155" s="95"/>
      <c r="DL155" s="95"/>
      <c r="DM155" s="101"/>
      <c r="DN155" s="95"/>
      <c r="DO155" s="95"/>
      <c r="DP155" s="95"/>
      <c r="DQ155" s="95"/>
      <c r="DR155" s="95"/>
      <c r="DS155" s="95"/>
      <c r="DT155" s="95"/>
      <c r="DU155" s="95"/>
      <c r="DV155" s="95"/>
      <c r="DW155" s="101"/>
      <c r="DX155" s="270"/>
      <c r="DY155" s="270"/>
      <c r="DZ155" s="270"/>
      <c r="EA155" s="270"/>
      <c r="EB155" s="270"/>
      <c r="EC155" s="270"/>
      <c r="ED155" s="270"/>
      <c r="EE155" s="270"/>
      <c r="EF155" s="270"/>
      <c r="EG155" s="270"/>
      <c r="EH155" s="270"/>
      <c r="EI155" s="270"/>
      <c r="EJ155" s="270"/>
      <c r="EK155" s="271"/>
      <c r="EL155" s="95"/>
      <c r="EM155" s="634"/>
      <c r="EN155" s="139"/>
      <c r="EO155" s="634"/>
      <c r="EP155" s="139"/>
      <c r="EQ155" s="139"/>
      <c r="ER155" s="139"/>
      <c r="ES155" s="139"/>
      <c r="ET155" s="322"/>
      <c r="EU155" s="322"/>
      <c r="EV155" s="139"/>
      <c r="EW155" s="139"/>
      <c r="EX155" s="139"/>
      <c r="EY155" s="139"/>
      <c r="EZ155" s="139"/>
      <c r="FA155" s="270"/>
      <c r="FB155" s="270"/>
      <c r="FC155" s="270"/>
      <c r="FD155" s="270"/>
      <c r="FE155" s="270"/>
      <c r="FF155" s="270"/>
      <c r="FG155" s="139"/>
      <c r="FH155" s="139"/>
      <c r="FI155" s="139"/>
      <c r="FJ155" s="139"/>
      <c r="FK155" s="139"/>
      <c r="FL155" s="139"/>
      <c r="FM155" s="139"/>
      <c r="FN155" s="139"/>
      <c r="FO155" s="139"/>
      <c r="FP155" s="139"/>
      <c r="FQ155" s="139"/>
      <c r="FR155" s="139"/>
      <c r="FS155" s="101"/>
      <c r="FT155" s="95"/>
      <c r="FU155" s="634"/>
      <c r="FV155" s="101"/>
      <c r="FW155" s="101"/>
      <c r="FX155" s="634"/>
      <c r="FY155" s="634"/>
      <c r="FZ155" s="634"/>
      <c r="GA155" s="634"/>
      <c r="GB155" s="634"/>
      <c r="GC155" s="634"/>
      <c r="GD155" s="634"/>
      <c r="GE155" s="634"/>
      <c r="GF155" s="634"/>
      <c r="GG155" s="634"/>
      <c r="GH155" s="634"/>
      <c r="GI155" s="634"/>
      <c r="GJ155" s="634"/>
      <c r="GK155" s="634"/>
      <c r="GL155" s="101"/>
      <c r="GM155" s="101"/>
      <c r="GN155" s="101"/>
      <c r="GO155" s="101"/>
      <c r="GP155" s="95"/>
      <c r="GQ155" s="101"/>
      <c r="GR155" s="95"/>
      <c r="GS155" s="101"/>
      <c r="GT155" s="95"/>
      <c r="GU155" s="95"/>
      <c r="GV155" s="95"/>
      <c r="GW155" s="95"/>
      <c r="GX155" s="95"/>
      <c r="GY155" s="95"/>
      <c r="GZ155" s="95"/>
      <c r="HA155" s="23"/>
      <c r="HB155" s="23"/>
    </row>
    <row r="156" spans="1:221">
      <c r="A156" s="638"/>
      <c r="B156" s="95"/>
      <c r="C156" s="95"/>
      <c r="D156" s="95"/>
      <c r="E156" s="96"/>
      <c r="F156" s="95"/>
      <c r="G156" s="95"/>
      <c r="H156" s="99"/>
      <c r="I156" s="95"/>
      <c r="J156" s="95"/>
      <c r="K156" s="95"/>
      <c r="L156" s="95"/>
      <c r="M156" s="95"/>
      <c r="N156" s="95"/>
      <c r="O156" s="95"/>
      <c r="P156" s="95"/>
      <c r="Q156" s="95"/>
      <c r="R156" s="95"/>
      <c r="S156" s="101"/>
      <c r="T156" s="95"/>
      <c r="U156" s="101"/>
      <c r="V156" s="139"/>
      <c r="W156" s="101"/>
      <c r="X156" s="95"/>
      <c r="Y156" s="101"/>
      <c r="Z156" s="95"/>
      <c r="AA156" s="101"/>
      <c r="AB156" s="95"/>
      <c r="AC156" s="101"/>
      <c r="AD156" s="270"/>
      <c r="AE156" s="271"/>
      <c r="AF156" s="270"/>
      <c r="AG156" s="270"/>
      <c r="AH156" s="270"/>
      <c r="AI156" s="270"/>
      <c r="AJ156" s="270"/>
      <c r="AK156" s="270"/>
      <c r="AL156" s="270"/>
      <c r="AM156" s="271"/>
      <c r="AN156" s="270"/>
      <c r="AO156" s="270"/>
      <c r="AP156" s="270"/>
      <c r="AQ156" s="271"/>
      <c r="AR156" s="270"/>
      <c r="AS156" s="270"/>
      <c r="AT156" s="270"/>
      <c r="AU156" s="270"/>
      <c r="AV156" s="270"/>
      <c r="AW156" s="270"/>
      <c r="AX156" s="270"/>
      <c r="AY156" s="270"/>
      <c r="AZ156" s="270"/>
      <c r="BA156" s="270"/>
      <c r="BB156" s="95"/>
      <c r="BC156" s="95"/>
      <c r="BD156" s="95"/>
      <c r="BE156" s="95"/>
      <c r="BF156" s="95"/>
      <c r="BG156" s="95"/>
      <c r="BH156" s="95"/>
      <c r="BI156" s="95"/>
      <c r="BJ156" s="95"/>
      <c r="BK156" s="95"/>
      <c r="BL156" s="95"/>
      <c r="BM156" s="95"/>
      <c r="BN156" s="95"/>
      <c r="BO156" s="95"/>
      <c r="BP156" s="95"/>
      <c r="BQ156" s="95"/>
      <c r="BR156" s="95"/>
      <c r="BS156" s="95"/>
      <c r="BT156" s="95"/>
      <c r="BU156" s="95"/>
      <c r="BV156" s="95"/>
      <c r="BW156" s="95"/>
      <c r="BX156" s="95"/>
      <c r="BY156" s="95"/>
      <c r="BZ156" s="95"/>
      <c r="CA156" s="95"/>
      <c r="CB156" s="95"/>
      <c r="CC156" s="95"/>
      <c r="CD156" s="95"/>
      <c r="CE156" s="95"/>
      <c r="CF156" s="95"/>
      <c r="CG156" s="95"/>
      <c r="CH156" s="95"/>
      <c r="CI156" s="95"/>
      <c r="CJ156" s="95"/>
      <c r="CK156" s="95"/>
      <c r="CL156" s="95"/>
      <c r="CM156" s="95"/>
      <c r="CN156" s="95"/>
      <c r="CO156" s="95"/>
      <c r="CP156" s="95"/>
      <c r="CQ156" s="95"/>
      <c r="CR156" s="95"/>
      <c r="CS156" s="95"/>
      <c r="CT156" s="95"/>
      <c r="CU156" s="108"/>
      <c r="CV156" s="109"/>
      <c r="CW156" s="95"/>
      <c r="CX156" s="496"/>
      <c r="CY156" s="637"/>
      <c r="CZ156" s="95"/>
      <c r="DA156" s="95"/>
      <c r="DB156" s="95"/>
      <c r="DC156" s="496"/>
      <c r="DD156" s="95"/>
      <c r="DE156" s="101"/>
      <c r="DF156" s="95"/>
      <c r="DG156" s="101"/>
      <c r="DH156" s="95"/>
      <c r="DI156" s="95"/>
      <c r="DJ156" s="95"/>
      <c r="DK156" s="95"/>
      <c r="DL156" s="95"/>
      <c r="DM156" s="101"/>
      <c r="DN156" s="95"/>
      <c r="DO156" s="95"/>
      <c r="DP156" s="95"/>
      <c r="DQ156" s="95"/>
      <c r="DR156" s="95"/>
      <c r="DS156" s="95"/>
      <c r="DT156" s="95"/>
      <c r="DU156" s="95"/>
      <c r="DV156" s="95"/>
      <c r="DW156" s="101"/>
      <c r="DX156" s="270"/>
      <c r="DY156" s="270"/>
      <c r="DZ156" s="270"/>
      <c r="EA156" s="270"/>
      <c r="EB156" s="270"/>
      <c r="EC156" s="270"/>
      <c r="ED156" s="270"/>
      <c r="EE156" s="270"/>
      <c r="EF156" s="270"/>
      <c r="EG156" s="270"/>
      <c r="EH156" s="270"/>
      <c r="EI156" s="270"/>
      <c r="EJ156" s="270"/>
      <c r="EK156" s="271"/>
      <c r="EL156" s="95"/>
      <c r="EM156" s="634"/>
      <c r="EN156" s="139"/>
      <c r="EO156" s="634"/>
      <c r="EP156" s="139"/>
      <c r="EQ156" s="139"/>
      <c r="ER156" s="139"/>
      <c r="ES156" s="139"/>
      <c r="ET156" s="322"/>
      <c r="EU156" s="322"/>
      <c r="EV156" s="139"/>
      <c r="EW156" s="139"/>
      <c r="EX156" s="139"/>
      <c r="EY156" s="139"/>
      <c r="EZ156" s="139"/>
      <c r="FA156" s="270"/>
      <c r="FB156" s="270"/>
      <c r="FC156" s="270"/>
      <c r="FD156" s="270"/>
      <c r="FE156" s="270"/>
      <c r="FF156" s="270"/>
      <c r="FG156" s="139"/>
      <c r="FH156" s="139"/>
      <c r="FI156" s="139"/>
      <c r="FJ156" s="139"/>
      <c r="FK156" s="139"/>
      <c r="FL156" s="139"/>
      <c r="FM156" s="139"/>
      <c r="FN156" s="139"/>
      <c r="FO156" s="139"/>
      <c r="FP156" s="139"/>
      <c r="FQ156" s="139"/>
      <c r="FR156" s="139"/>
      <c r="FS156" s="101"/>
      <c r="FT156" s="95"/>
      <c r="FU156" s="634"/>
      <c r="FV156" s="101"/>
      <c r="FW156" s="101"/>
      <c r="FX156" s="634"/>
      <c r="FY156" s="634"/>
      <c r="FZ156" s="634"/>
      <c r="GA156" s="634"/>
      <c r="GB156" s="634"/>
      <c r="GC156" s="634"/>
      <c r="GD156" s="634"/>
      <c r="GE156" s="634"/>
      <c r="GF156" s="634"/>
      <c r="GG156" s="634"/>
      <c r="GH156" s="634"/>
      <c r="GI156" s="634"/>
      <c r="GJ156" s="634"/>
      <c r="GK156" s="634"/>
      <c r="GL156" s="101"/>
      <c r="GM156" s="101"/>
      <c r="GN156" s="101"/>
      <c r="GO156" s="101"/>
      <c r="GP156" s="95"/>
      <c r="GQ156" s="101"/>
      <c r="GR156" s="95"/>
      <c r="GS156" s="101"/>
      <c r="GT156" s="95"/>
      <c r="GU156" s="95"/>
      <c r="GV156" s="95"/>
      <c r="GW156" s="95"/>
      <c r="GX156" s="95"/>
      <c r="GY156" s="95"/>
      <c r="GZ156" s="95"/>
      <c r="HA156" s="23"/>
      <c r="HB156" s="23"/>
    </row>
    <row r="157" spans="1:221">
      <c r="A157" s="638"/>
      <c r="B157" s="95"/>
      <c r="C157" s="95"/>
      <c r="D157" s="95"/>
      <c r="E157" s="96"/>
      <c r="F157" s="95"/>
      <c r="G157" s="95"/>
      <c r="H157" s="99"/>
      <c r="I157" s="95"/>
      <c r="J157" s="95"/>
      <c r="K157" s="95"/>
      <c r="L157" s="95"/>
      <c r="M157" s="95"/>
      <c r="N157" s="95"/>
      <c r="O157" s="95"/>
      <c r="P157" s="95"/>
      <c r="Q157" s="95"/>
      <c r="R157" s="95"/>
      <c r="S157" s="101"/>
      <c r="T157" s="95"/>
      <c r="U157" s="101"/>
      <c r="V157" s="139"/>
      <c r="W157" s="101"/>
      <c r="X157" s="95"/>
      <c r="Y157" s="101"/>
      <c r="Z157" s="95"/>
      <c r="AA157" s="101"/>
      <c r="AB157" s="95"/>
      <c r="AC157" s="101"/>
      <c r="AD157" s="270"/>
      <c r="AE157" s="271"/>
      <c r="AF157" s="270"/>
      <c r="AG157" s="270"/>
      <c r="AH157" s="270"/>
      <c r="AI157" s="270"/>
      <c r="AJ157" s="270"/>
      <c r="AK157" s="270"/>
      <c r="AL157" s="270"/>
      <c r="AM157" s="271"/>
      <c r="AN157" s="270"/>
      <c r="AO157" s="270"/>
      <c r="AP157" s="270"/>
      <c r="AQ157" s="271"/>
      <c r="AR157" s="270"/>
      <c r="AS157" s="270"/>
      <c r="AT157" s="270"/>
      <c r="AU157" s="270"/>
      <c r="AV157" s="270"/>
      <c r="AW157" s="270"/>
      <c r="AX157" s="270"/>
      <c r="AY157" s="270"/>
      <c r="AZ157" s="270"/>
      <c r="BA157" s="270"/>
      <c r="BB157" s="95"/>
      <c r="BC157" s="95"/>
      <c r="BD157" s="95"/>
      <c r="BE157" s="95"/>
      <c r="BF157" s="95"/>
      <c r="BG157" s="95"/>
      <c r="BH157" s="95"/>
      <c r="BI157" s="95"/>
      <c r="BJ157" s="95"/>
      <c r="BK157" s="95"/>
      <c r="BL157" s="95"/>
      <c r="BM157" s="95"/>
      <c r="BN157" s="95"/>
      <c r="BO157" s="95"/>
      <c r="BP157" s="95"/>
      <c r="BQ157" s="95"/>
      <c r="BR157" s="95"/>
      <c r="BS157" s="95"/>
      <c r="BT157" s="95"/>
      <c r="BU157" s="95"/>
      <c r="BV157" s="95"/>
      <c r="BW157" s="95"/>
      <c r="BX157" s="95"/>
      <c r="BY157" s="95"/>
      <c r="BZ157" s="95"/>
      <c r="CA157" s="95"/>
      <c r="CB157" s="95"/>
      <c r="CC157" s="95"/>
      <c r="CD157" s="95"/>
      <c r="CE157" s="95"/>
      <c r="CF157" s="95"/>
      <c r="CG157" s="95"/>
      <c r="CH157" s="95"/>
      <c r="CI157" s="95"/>
      <c r="CJ157" s="95"/>
      <c r="CK157" s="95"/>
      <c r="CL157" s="95"/>
      <c r="CM157" s="95"/>
      <c r="CN157" s="95"/>
      <c r="CO157" s="95"/>
      <c r="CP157" s="95"/>
      <c r="CQ157" s="95"/>
      <c r="CR157" s="95"/>
      <c r="CS157" s="95"/>
      <c r="CT157" s="95"/>
      <c r="CU157" s="108"/>
      <c r="CV157" s="109"/>
      <c r="CW157" s="95"/>
      <c r="CX157" s="496"/>
      <c r="CY157" s="637"/>
      <c r="CZ157" s="95"/>
      <c r="DA157" s="95"/>
      <c r="DB157" s="95"/>
      <c r="DC157" s="496"/>
      <c r="DD157" s="95"/>
      <c r="DE157" s="101"/>
      <c r="DF157" s="95"/>
      <c r="DG157" s="101"/>
      <c r="DH157" s="95"/>
      <c r="DI157" s="95"/>
      <c r="DJ157" s="95"/>
      <c r="DK157" s="95"/>
      <c r="DL157" s="95"/>
      <c r="DM157" s="101"/>
      <c r="DN157" s="95"/>
      <c r="DO157" s="95"/>
      <c r="DP157" s="95"/>
      <c r="DQ157" s="95"/>
      <c r="DR157" s="95"/>
      <c r="DS157" s="95"/>
      <c r="DT157" s="95"/>
      <c r="DU157" s="95"/>
      <c r="DV157" s="95"/>
      <c r="DW157" s="101"/>
      <c r="DX157" s="270"/>
      <c r="DY157" s="270"/>
      <c r="DZ157" s="270"/>
      <c r="EA157" s="270"/>
      <c r="EB157" s="270"/>
      <c r="EC157" s="270"/>
      <c r="ED157" s="270"/>
      <c r="EE157" s="270"/>
      <c r="EF157" s="270"/>
      <c r="EG157" s="270"/>
      <c r="EH157" s="270"/>
      <c r="EI157" s="270"/>
      <c r="EJ157" s="270"/>
      <c r="EK157" s="271"/>
      <c r="EL157" s="95"/>
      <c r="EM157" s="634"/>
      <c r="EN157" s="139"/>
      <c r="EO157" s="634"/>
      <c r="EP157" s="139"/>
      <c r="EQ157" s="139"/>
      <c r="ER157" s="139"/>
      <c r="ES157" s="139"/>
      <c r="ET157" s="322"/>
      <c r="EU157" s="322"/>
      <c r="EV157" s="139"/>
      <c r="EW157" s="139"/>
      <c r="EX157" s="139"/>
      <c r="EY157" s="139"/>
      <c r="EZ157" s="139"/>
      <c r="FA157" s="270"/>
      <c r="FB157" s="270"/>
      <c r="FC157" s="270"/>
      <c r="FD157" s="270"/>
      <c r="FE157" s="270"/>
      <c r="FF157" s="270"/>
      <c r="FG157" s="139"/>
      <c r="FH157" s="139"/>
      <c r="FI157" s="139"/>
      <c r="FJ157" s="139"/>
      <c r="FK157" s="139"/>
      <c r="FL157" s="139"/>
      <c r="FM157" s="139"/>
      <c r="FN157" s="139"/>
      <c r="FO157" s="139"/>
      <c r="FP157" s="139"/>
      <c r="FQ157" s="139"/>
      <c r="FR157" s="139"/>
      <c r="FS157" s="101"/>
      <c r="FT157" s="95"/>
      <c r="FU157" s="634"/>
      <c r="FV157" s="101"/>
      <c r="FW157" s="101"/>
      <c r="FX157" s="634"/>
      <c r="FY157" s="634"/>
      <c r="FZ157" s="634"/>
      <c r="GA157" s="634"/>
      <c r="GB157" s="634"/>
      <c r="GC157" s="634"/>
      <c r="GD157" s="634"/>
      <c r="GE157" s="634"/>
      <c r="GF157" s="634"/>
      <c r="GG157" s="634"/>
      <c r="GH157" s="634"/>
      <c r="GI157" s="634"/>
      <c r="GJ157" s="634"/>
      <c r="GK157" s="634"/>
      <c r="GL157" s="101"/>
      <c r="GM157" s="101"/>
      <c r="GN157" s="101"/>
      <c r="GO157" s="101"/>
      <c r="GP157" s="95"/>
      <c r="GQ157" s="101"/>
      <c r="GR157" s="95"/>
      <c r="GS157" s="101"/>
      <c r="GT157" s="95"/>
      <c r="GU157" s="95"/>
      <c r="GV157" s="95"/>
      <c r="GW157" s="95"/>
      <c r="GX157" s="95"/>
      <c r="GY157" s="95"/>
      <c r="GZ157" s="95"/>
      <c r="HA157" s="23"/>
      <c r="HB157" s="23"/>
    </row>
    <row r="158" spans="1:221">
      <c r="A158" s="638"/>
      <c r="B158" s="95"/>
      <c r="C158" s="95"/>
      <c r="D158" s="95"/>
      <c r="E158" s="96"/>
      <c r="F158" s="95"/>
      <c r="G158" s="95"/>
      <c r="H158" s="99"/>
      <c r="I158" s="95"/>
      <c r="J158" s="95"/>
      <c r="K158" s="95"/>
      <c r="L158" s="95"/>
      <c r="M158" s="95"/>
      <c r="N158" s="95"/>
      <c r="O158" s="95"/>
      <c r="P158" s="95"/>
      <c r="Q158" s="95"/>
      <c r="R158" s="95"/>
      <c r="S158" s="101"/>
      <c r="T158" s="95"/>
      <c r="U158" s="101"/>
      <c r="V158" s="139"/>
      <c r="W158" s="101"/>
      <c r="X158" s="95"/>
      <c r="Y158" s="101"/>
      <c r="Z158" s="95"/>
      <c r="AA158" s="101"/>
      <c r="AB158" s="95"/>
      <c r="AC158" s="101"/>
      <c r="AD158" s="270"/>
      <c r="AE158" s="271"/>
      <c r="AF158" s="270"/>
      <c r="AG158" s="270"/>
      <c r="AH158" s="270"/>
      <c r="AI158" s="270"/>
      <c r="AJ158" s="270"/>
      <c r="AK158" s="270"/>
      <c r="AL158" s="270"/>
      <c r="AM158" s="271"/>
      <c r="AN158" s="270"/>
      <c r="AO158" s="270"/>
      <c r="AP158" s="270"/>
      <c r="AQ158" s="271"/>
      <c r="AR158" s="270"/>
      <c r="AS158" s="270"/>
      <c r="AT158" s="270"/>
      <c r="AU158" s="270"/>
      <c r="AV158" s="270"/>
      <c r="AW158" s="270"/>
      <c r="AX158" s="270"/>
      <c r="AY158" s="270"/>
      <c r="AZ158" s="270"/>
      <c r="BA158" s="270"/>
      <c r="BB158" s="95"/>
      <c r="BC158" s="95"/>
      <c r="BD158" s="95"/>
      <c r="BE158" s="95"/>
      <c r="BF158" s="95"/>
      <c r="BG158" s="95"/>
      <c r="BH158" s="95"/>
      <c r="BI158" s="95"/>
      <c r="BJ158" s="95"/>
      <c r="BK158" s="95"/>
      <c r="BL158" s="95"/>
      <c r="BM158" s="95"/>
      <c r="BN158" s="95"/>
      <c r="BO158" s="95"/>
      <c r="BP158" s="95"/>
      <c r="BQ158" s="95"/>
      <c r="BR158" s="95"/>
      <c r="BS158" s="95"/>
      <c r="BT158" s="95"/>
      <c r="BU158" s="95"/>
      <c r="BV158" s="95"/>
      <c r="BW158" s="95"/>
      <c r="BX158" s="95"/>
      <c r="BY158" s="95"/>
      <c r="BZ158" s="95"/>
      <c r="CA158" s="95"/>
      <c r="CB158" s="95"/>
      <c r="CC158" s="95"/>
      <c r="CD158" s="95"/>
      <c r="CE158" s="95"/>
      <c r="CF158" s="95"/>
      <c r="CG158" s="95"/>
      <c r="CH158" s="95"/>
      <c r="CI158" s="95"/>
      <c r="CJ158" s="95"/>
      <c r="CK158" s="95"/>
      <c r="CL158" s="95"/>
      <c r="CM158" s="95"/>
      <c r="CN158" s="95"/>
      <c r="CO158" s="95"/>
      <c r="CP158" s="95"/>
      <c r="CQ158" s="95"/>
      <c r="CR158" s="95"/>
      <c r="CS158" s="95"/>
      <c r="CT158" s="95"/>
      <c r="CU158" s="108"/>
      <c r="CV158" s="109"/>
      <c r="CW158" s="95"/>
      <c r="CX158" s="496"/>
      <c r="CY158" s="637"/>
      <c r="CZ158" s="95"/>
      <c r="DA158" s="95"/>
      <c r="DB158" s="95"/>
      <c r="DC158" s="496"/>
      <c r="DD158" s="95"/>
      <c r="DE158" s="101"/>
      <c r="DF158" s="95"/>
      <c r="DG158" s="101"/>
      <c r="DH158" s="95"/>
      <c r="DI158" s="95"/>
      <c r="DJ158" s="95"/>
      <c r="DK158" s="95"/>
      <c r="DL158" s="95"/>
      <c r="DM158" s="101"/>
      <c r="DN158" s="95"/>
      <c r="DO158" s="95"/>
      <c r="DP158" s="95"/>
      <c r="DQ158" s="95"/>
      <c r="DR158" s="95"/>
      <c r="DS158" s="95"/>
      <c r="DT158" s="95"/>
      <c r="DU158" s="95"/>
      <c r="DV158" s="95"/>
      <c r="DW158" s="101"/>
      <c r="DX158" s="270"/>
      <c r="DY158" s="270"/>
      <c r="DZ158" s="270"/>
      <c r="EA158" s="270"/>
      <c r="EB158" s="270"/>
      <c r="EC158" s="270"/>
      <c r="ED158" s="270"/>
      <c r="EE158" s="270"/>
      <c r="EF158" s="270"/>
      <c r="EG158" s="270"/>
      <c r="EH158" s="270"/>
      <c r="EI158" s="270"/>
      <c r="EJ158" s="270"/>
      <c r="EK158" s="271"/>
      <c r="EL158" s="95"/>
      <c r="EM158" s="634"/>
      <c r="EN158" s="139"/>
      <c r="EO158" s="634"/>
      <c r="EP158" s="139"/>
      <c r="EQ158" s="139"/>
      <c r="ER158" s="139"/>
      <c r="ES158" s="139"/>
      <c r="ET158" s="322"/>
      <c r="EU158" s="322"/>
      <c r="EV158" s="139"/>
      <c r="EW158" s="139"/>
      <c r="EX158" s="139"/>
      <c r="EY158" s="139"/>
      <c r="EZ158" s="139"/>
      <c r="FA158" s="270"/>
      <c r="FB158" s="270"/>
      <c r="FC158" s="270"/>
      <c r="FD158" s="270"/>
      <c r="FE158" s="270"/>
      <c r="FF158" s="270"/>
      <c r="FG158" s="139"/>
      <c r="FH158" s="139"/>
      <c r="FI158" s="139"/>
      <c r="FJ158" s="139"/>
      <c r="FK158" s="139"/>
      <c r="FL158" s="139"/>
      <c r="FM158" s="139"/>
      <c r="FN158" s="139"/>
      <c r="FO158" s="139"/>
      <c r="FP158" s="139"/>
      <c r="FQ158" s="139"/>
      <c r="FR158" s="139"/>
      <c r="FS158" s="101"/>
      <c r="FT158" s="95"/>
      <c r="FU158" s="634"/>
      <c r="FV158" s="101"/>
      <c r="FW158" s="101"/>
      <c r="FX158" s="634"/>
      <c r="FY158" s="634"/>
      <c r="FZ158" s="634"/>
      <c r="GA158" s="634"/>
      <c r="GB158" s="634"/>
      <c r="GC158" s="634"/>
      <c r="GD158" s="634"/>
      <c r="GE158" s="634"/>
      <c r="GF158" s="634"/>
      <c r="GG158" s="634"/>
      <c r="GH158" s="634"/>
      <c r="GI158" s="634"/>
      <c r="GJ158" s="634"/>
      <c r="GK158" s="634"/>
      <c r="GL158" s="101"/>
      <c r="GM158" s="101"/>
      <c r="GN158" s="101"/>
      <c r="GO158" s="101"/>
      <c r="GP158" s="95"/>
      <c r="GQ158" s="101"/>
      <c r="GR158" s="95"/>
      <c r="GS158" s="101"/>
      <c r="GT158" s="95"/>
      <c r="GU158" s="95"/>
      <c r="GV158" s="95"/>
      <c r="GW158" s="95"/>
      <c r="GX158" s="95"/>
      <c r="GY158" s="95"/>
      <c r="GZ158" s="95"/>
      <c r="HA158" s="23"/>
      <c r="HB158" s="23"/>
    </row>
    <row r="159" spans="1:221">
      <c r="A159" s="638"/>
      <c r="B159" s="95"/>
      <c r="C159" s="95"/>
      <c r="D159" s="95"/>
      <c r="E159" s="96"/>
      <c r="F159" s="95"/>
      <c r="G159" s="95"/>
      <c r="H159" s="99"/>
      <c r="I159" s="95"/>
      <c r="J159" s="95"/>
      <c r="K159" s="95"/>
      <c r="L159" s="95"/>
      <c r="M159" s="95"/>
      <c r="N159" s="95"/>
      <c r="O159" s="95"/>
      <c r="P159" s="95"/>
      <c r="Q159" s="95"/>
      <c r="R159" s="95"/>
      <c r="S159" s="101"/>
      <c r="T159" s="95"/>
      <c r="U159" s="101"/>
      <c r="V159" s="139"/>
      <c r="W159" s="101"/>
      <c r="X159" s="95"/>
      <c r="Y159" s="101"/>
      <c r="Z159" s="95"/>
      <c r="AA159" s="101"/>
      <c r="AB159" s="95"/>
      <c r="AC159" s="101"/>
      <c r="AD159" s="270"/>
      <c r="AE159" s="271"/>
      <c r="AF159" s="270"/>
      <c r="AG159" s="270"/>
      <c r="AH159" s="270"/>
      <c r="AI159" s="270"/>
      <c r="AJ159" s="270"/>
      <c r="AK159" s="270"/>
      <c r="AL159" s="270"/>
      <c r="AM159" s="271"/>
      <c r="AN159" s="270"/>
      <c r="AO159" s="270"/>
      <c r="AP159" s="270"/>
      <c r="AQ159" s="271"/>
      <c r="AR159" s="270"/>
      <c r="AS159" s="270"/>
      <c r="AT159" s="270"/>
      <c r="AU159" s="270"/>
      <c r="AV159" s="270"/>
      <c r="AW159" s="270"/>
      <c r="AX159" s="270"/>
      <c r="AY159" s="270"/>
      <c r="AZ159" s="270"/>
      <c r="BA159" s="270"/>
      <c r="BB159" s="95"/>
      <c r="BC159" s="95"/>
      <c r="BD159" s="95"/>
      <c r="BE159" s="95"/>
      <c r="BF159" s="95"/>
      <c r="BG159" s="95"/>
      <c r="BH159" s="95"/>
      <c r="BI159" s="95"/>
      <c r="BJ159" s="95"/>
      <c r="BK159" s="95"/>
      <c r="BL159" s="95"/>
      <c r="BM159" s="95"/>
      <c r="BN159" s="95"/>
      <c r="BO159" s="95"/>
      <c r="BP159" s="95"/>
      <c r="BQ159" s="95"/>
      <c r="BR159" s="95"/>
      <c r="BS159" s="95"/>
      <c r="BT159" s="95"/>
      <c r="BU159" s="95"/>
      <c r="BV159" s="95"/>
      <c r="BW159" s="95"/>
      <c r="BX159" s="95"/>
      <c r="BY159" s="95"/>
      <c r="BZ159" s="95"/>
      <c r="CA159" s="95"/>
      <c r="CB159" s="95"/>
      <c r="CC159" s="95"/>
      <c r="CD159" s="95"/>
      <c r="CE159" s="95"/>
      <c r="CF159" s="95"/>
      <c r="CG159" s="95"/>
      <c r="CH159" s="95"/>
      <c r="CI159" s="95"/>
      <c r="CJ159" s="95"/>
      <c r="CK159" s="95"/>
      <c r="CL159" s="95"/>
      <c r="CM159" s="95"/>
      <c r="CN159" s="95"/>
      <c r="CO159" s="95"/>
      <c r="CP159" s="95"/>
      <c r="CQ159" s="95"/>
      <c r="CR159" s="95"/>
      <c r="CS159" s="95"/>
      <c r="CT159" s="95"/>
      <c r="CU159" s="108"/>
      <c r="CV159" s="109"/>
      <c r="CW159" s="95"/>
      <c r="CX159" s="496"/>
      <c r="CY159" s="637"/>
      <c r="CZ159" s="95"/>
      <c r="DA159" s="95"/>
      <c r="DB159" s="95"/>
      <c r="DC159" s="496"/>
      <c r="DD159" s="95"/>
      <c r="DE159" s="101"/>
      <c r="DF159" s="95"/>
      <c r="DG159" s="101"/>
      <c r="DH159" s="95"/>
      <c r="DI159" s="95"/>
      <c r="DJ159" s="95"/>
      <c r="DK159" s="95"/>
      <c r="DL159" s="95"/>
      <c r="DM159" s="101"/>
      <c r="DN159" s="95"/>
      <c r="DO159" s="95"/>
      <c r="DP159" s="95"/>
      <c r="DQ159" s="95"/>
      <c r="DR159" s="95"/>
      <c r="DS159" s="95"/>
      <c r="DT159" s="95"/>
      <c r="DU159" s="95"/>
      <c r="DV159" s="95"/>
      <c r="DW159" s="101"/>
      <c r="DX159" s="270"/>
      <c r="DY159" s="270"/>
      <c r="DZ159" s="270"/>
      <c r="EA159" s="270"/>
      <c r="EB159" s="270"/>
      <c r="EC159" s="270"/>
      <c r="ED159" s="270"/>
      <c r="EE159" s="270"/>
      <c r="EF159" s="270"/>
      <c r="EG159" s="270"/>
      <c r="EH159" s="270"/>
      <c r="EI159" s="270"/>
      <c r="EJ159" s="270"/>
      <c r="EK159" s="271"/>
      <c r="EL159" s="95"/>
      <c r="EM159" s="634"/>
      <c r="EN159" s="139"/>
      <c r="EO159" s="634"/>
      <c r="EP159" s="139"/>
      <c r="EQ159" s="139"/>
      <c r="ER159" s="139"/>
      <c r="ES159" s="139"/>
      <c r="ET159" s="322"/>
      <c r="EU159" s="322"/>
      <c r="EV159" s="139"/>
      <c r="EW159" s="139"/>
      <c r="EX159" s="139"/>
      <c r="EY159" s="139"/>
      <c r="EZ159" s="139"/>
      <c r="FA159" s="270"/>
      <c r="FB159" s="270"/>
      <c r="FC159" s="270"/>
      <c r="FD159" s="270"/>
      <c r="FE159" s="270"/>
      <c r="FF159" s="270"/>
      <c r="FG159" s="139"/>
      <c r="FH159" s="139"/>
      <c r="FI159" s="139"/>
      <c r="FJ159" s="139"/>
      <c r="FK159" s="139"/>
      <c r="FL159" s="139"/>
      <c r="FM159" s="139"/>
      <c r="FN159" s="139"/>
      <c r="FO159" s="139"/>
      <c r="FP159" s="139"/>
      <c r="FQ159" s="139"/>
      <c r="FR159" s="139"/>
      <c r="FS159" s="101"/>
      <c r="FT159" s="95"/>
      <c r="FU159" s="634"/>
      <c r="FV159" s="101"/>
      <c r="FW159" s="101"/>
      <c r="FX159" s="634"/>
      <c r="FY159" s="634"/>
      <c r="FZ159" s="634"/>
      <c r="GA159" s="634"/>
      <c r="GB159" s="634"/>
      <c r="GC159" s="634"/>
      <c r="GD159" s="634"/>
      <c r="GE159" s="634"/>
      <c r="GF159" s="634"/>
      <c r="GG159" s="634"/>
      <c r="GH159" s="634"/>
      <c r="GI159" s="634"/>
      <c r="GJ159" s="634"/>
      <c r="GK159" s="634"/>
      <c r="GL159" s="101"/>
      <c r="GM159" s="101"/>
      <c r="GN159" s="101"/>
      <c r="GO159" s="101"/>
      <c r="GP159" s="95"/>
      <c r="GQ159" s="101"/>
      <c r="GR159" s="95"/>
      <c r="GS159" s="101"/>
      <c r="GT159" s="95"/>
      <c r="GU159" s="95"/>
      <c r="GV159" s="95"/>
      <c r="GW159" s="95"/>
      <c r="GX159" s="95"/>
      <c r="GY159" s="95"/>
      <c r="GZ159" s="95"/>
      <c r="HA159" s="23"/>
      <c r="HB159" s="23"/>
    </row>
    <row r="160" spans="1:221">
      <c r="A160" s="638"/>
      <c r="B160" s="95"/>
      <c r="C160" s="95"/>
      <c r="D160" s="95"/>
      <c r="E160" s="96"/>
      <c r="F160" s="95"/>
      <c r="G160" s="95"/>
      <c r="H160" s="99"/>
      <c r="I160" s="95"/>
      <c r="J160" s="95"/>
      <c r="K160" s="95"/>
      <c r="L160" s="95"/>
      <c r="M160" s="95"/>
      <c r="N160" s="95"/>
      <c r="O160" s="95"/>
      <c r="P160" s="95"/>
      <c r="Q160" s="95"/>
      <c r="R160" s="95"/>
      <c r="S160" s="101"/>
      <c r="T160" s="95"/>
      <c r="U160" s="101"/>
      <c r="V160" s="139"/>
      <c r="W160" s="101"/>
      <c r="X160" s="95"/>
      <c r="Y160" s="101"/>
      <c r="Z160" s="95"/>
      <c r="AA160" s="101"/>
      <c r="AB160" s="95"/>
      <c r="AC160" s="101"/>
      <c r="AD160" s="270"/>
      <c r="AE160" s="271"/>
      <c r="AF160" s="270"/>
      <c r="AG160" s="270"/>
      <c r="AH160" s="270"/>
      <c r="AI160" s="270"/>
      <c r="AJ160" s="270"/>
      <c r="AK160" s="270"/>
      <c r="AL160" s="270"/>
      <c r="AM160" s="271"/>
      <c r="AN160" s="270"/>
      <c r="AO160" s="270"/>
      <c r="AP160" s="270"/>
      <c r="AQ160" s="271"/>
      <c r="AR160" s="270"/>
      <c r="AS160" s="270"/>
      <c r="AT160" s="270"/>
      <c r="AU160" s="270"/>
      <c r="AV160" s="270"/>
      <c r="AW160" s="270"/>
      <c r="AX160" s="270"/>
      <c r="AY160" s="270"/>
      <c r="AZ160" s="270"/>
      <c r="BA160" s="270"/>
      <c r="BB160" s="95"/>
      <c r="BC160" s="95"/>
      <c r="BD160" s="95"/>
      <c r="BE160" s="95"/>
      <c r="BF160" s="95"/>
      <c r="BG160" s="95"/>
      <c r="BH160" s="95"/>
      <c r="BI160" s="95"/>
      <c r="BJ160" s="95"/>
      <c r="BK160" s="95"/>
      <c r="BL160" s="95"/>
      <c r="BM160" s="95"/>
      <c r="BN160" s="95"/>
      <c r="BO160" s="95"/>
      <c r="BP160" s="95"/>
      <c r="BQ160" s="95"/>
      <c r="BR160" s="95"/>
      <c r="BS160" s="95"/>
      <c r="BT160" s="95"/>
      <c r="BU160" s="95"/>
      <c r="BV160" s="95"/>
      <c r="BW160" s="95"/>
      <c r="BX160" s="95"/>
      <c r="BY160" s="95"/>
      <c r="BZ160" s="95"/>
      <c r="CA160" s="95"/>
      <c r="CB160" s="95"/>
      <c r="CC160" s="95"/>
      <c r="CD160" s="95"/>
      <c r="CE160" s="95"/>
      <c r="CF160" s="95"/>
      <c r="CG160" s="95"/>
      <c r="CH160" s="95"/>
      <c r="CI160" s="95"/>
      <c r="CJ160" s="95"/>
      <c r="CK160" s="95"/>
      <c r="CL160" s="95"/>
      <c r="CM160" s="95"/>
      <c r="CN160" s="95"/>
      <c r="CO160" s="95"/>
      <c r="CP160" s="95"/>
      <c r="CQ160" s="95"/>
      <c r="CR160" s="95"/>
      <c r="CS160" s="95"/>
      <c r="CT160" s="95"/>
      <c r="CU160" s="108"/>
      <c r="CV160" s="109"/>
      <c r="CW160" s="95"/>
      <c r="CX160" s="496"/>
      <c r="CY160" s="637"/>
      <c r="CZ160" s="95"/>
      <c r="DA160" s="95"/>
      <c r="DB160" s="95"/>
      <c r="DC160" s="496"/>
      <c r="DD160" s="95"/>
      <c r="DE160" s="101"/>
      <c r="DF160" s="95"/>
      <c r="DG160" s="101"/>
      <c r="DH160" s="95"/>
      <c r="DI160" s="95"/>
      <c r="DJ160" s="95"/>
      <c r="DK160" s="95"/>
      <c r="DL160" s="95"/>
      <c r="DM160" s="101"/>
      <c r="DN160" s="95"/>
      <c r="DO160" s="95"/>
      <c r="DP160" s="95"/>
      <c r="DQ160" s="95"/>
      <c r="DR160" s="95"/>
      <c r="DS160" s="95"/>
      <c r="DT160" s="95"/>
      <c r="DU160" s="95"/>
      <c r="DV160" s="95"/>
      <c r="DW160" s="101"/>
      <c r="DX160" s="270"/>
      <c r="DY160" s="270"/>
      <c r="DZ160" s="270"/>
      <c r="EA160" s="270"/>
      <c r="EB160" s="270"/>
      <c r="EC160" s="270"/>
      <c r="ED160" s="270"/>
      <c r="EE160" s="270"/>
      <c r="EF160" s="270"/>
      <c r="EG160" s="270"/>
      <c r="EH160" s="270"/>
      <c r="EI160" s="270"/>
      <c r="EJ160" s="270"/>
      <c r="EK160" s="271"/>
      <c r="EL160" s="95"/>
      <c r="EM160" s="634"/>
      <c r="EN160" s="139"/>
      <c r="EO160" s="634"/>
      <c r="EP160" s="139"/>
      <c r="EQ160" s="139"/>
      <c r="ER160" s="139"/>
      <c r="ES160" s="139"/>
      <c r="ET160" s="322"/>
      <c r="EU160" s="322"/>
      <c r="EV160" s="139"/>
      <c r="EW160" s="139"/>
      <c r="EX160" s="139"/>
      <c r="EY160" s="139"/>
      <c r="EZ160" s="139"/>
      <c r="FA160" s="270"/>
      <c r="FB160" s="270"/>
      <c r="FC160" s="270"/>
      <c r="FD160" s="270"/>
      <c r="FE160" s="270"/>
      <c r="FF160" s="270"/>
      <c r="FG160" s="139"/>
      <c r="FH160" s="139"/>
      <c r="FI160" s="139"/>
      <c r="FJ160" s="139"/>
      <c r="FK160" s="139"/>
      <c r="FL160" s="139"/>
      <c r="FM160" s="139"/>
      <c r="FN160" s="139"/>
      <c r="FO160" s="139"/>
      <c r="FP160" s="139"/>
      <c r="FQ160" s="139"/>
      <c r="FR160" s="139"/>
      <c r="FS160" s="101"/>
      <c r="FT160" s="95"/>
      <c r="FU160" s="634"/>
      <c r="FV160" s="101"/>
      <c r="FW160" s="101"/>
      <c r="FX160" s="634"/>
      <c r="FY160" s="634"/>
      <c r="FZ160" s="634"/>
      <c r="GA160" s="634"/>
      <c r="GB160" s="634"/>
      <c r="GC160" s="634"/>
      <c r="GD160" s="634"/>
      <c r="GE160" s="634"/>
      <c r="GF160" s="634"/>
      <c r="GG160" s="634"/>
      <c r="GH160" s="634"/>
      <c r="GI160" s="634"/>
      <c r="GJ160" s="634"/>
      <c r="GK160" s="634"/>
      <c r="GL160" s="101"/>
      <c r="GM160" s="101"/>
      <c r="GN160" s="101"/>
      <c r="GO160" s="101"/>
      <c r="GP160" s="95"/>
      <c r="GQ160" s="101"/>
      <c r="GR160" s="95"/>
      <c r="GS160" s="101"/>
      <c r="GT160" s="95"/>
      <c r="GU160" s="95"/>
      <c r="GV160" s="95"/>
      <c r="GW160" s="95"/>
      <c r="GX160" s="95"/>
      <c r="GY160" s="95"/>
      <c r="GZ160" s="95"/>
      <c r="HA160" s="23"/>
      <c r="HB160" s="23"/>
    </row>
    <row r="161" spans="1:210">
      <c r="A161" s="638"/>
      <c r="B161" s="95"/>
      <c r="C161" s="95"/>
      <c r="D161" s="95"/>
      <c r="E161" s="96"/>
      <c r="F161" s="95"/>
      <c r="G161" s="95"/>
      <c r="H161" s="99"/>
      <c r="I161" s="95"/>
      <c r="J161" s="95"/>
      <c r="K161" s="95"/>
      <c r="L161" s="95"/>
      <c r="M161" s="95"/>
      <c r="N161" s="95"/>
      <c r="O161" s="95"/>
      <c r="P161" s="95"/>
      <c r="Q161" s="95"/>
      <c r="R161" s="95"/>
      <c r="S161" s="101"/>
      <c r="T161" s="95"/>
      <c r="U161" s="101"/>
      <c r="V161" s="139"/>
      <c r="W161" s="101"/>
      <c r="X161" s="95"/>
      <c r="Y161" s="101"/>
      <c r="Z161" s="95"/>
      <c r="AA161" s="101"/>
      <c r="AB161" s="95"/>
      <c r="AC161" s="101"/>
      <c r="AD161" s="270"/>
      <c r="AE161" s="271"/>
      <c r="AF161" s="270"/>
      <c r="AG161" s="270"/>
      <c r="AH161" s="270"/>
      <c r="AI161" s="270"/>
      <c r="AJ161" s="270"/>
      <c r="AK161" s="270"/>
      <c r="AL161" s="270"/>
      <c r="AM161" s="271"/>
      <c r="AN161" s="270"/>
      <c r="AO161" s="270"/>
      <c r="AP161" s="270"/>
      <c r="AQ161" s="271"/>
      <c r="AR161" s="270"/>
      <c r="AS161" s="270"/>
      <c r="AT161" s="270"/>
      <c r="AU161" s="270"/>
      <c r="AV161" s="270"/>
      <c r="AW161" s="270"/>
      <c r="AX161" s="270"/>
      <c r="AY161" s="270"/>
      <c r="AZ161" s="270"/>
      <c r="BA161" s="270"/>
      <c r="BB161" s="95"/>
      <c r="BC161" s="95"/>
      <c r="BD161" s="95"/>
      <c r="BE161" s="95"/>
      <c r="BF161" s="95"/>
      <c r="BG161" s="95"/>
      <c r="BH161" s="95"/>
      <c r="BI161" s="95"/>
      <c r="BJ161" s="95"/>
      <c r="BK161" s="95"/>
      <c r="BL161" s="95"/>
      <c r="BM161" s="95"/>
      <c r="BN161" s="95"/>
      <c r="BO161" s="95"/>
      <c r="BP161" s="95"/>
      <c r="BQ161" s="95"/>
      <c r="BR161" s="95"/>
      <c r="BS161" s="95"/>
      <c r="BT161" s="95"/>
      <c r="BU161" s="95"/>
      <c r="BV161" s="95"/>
      <c r="BW161" s="95"/>
      <c r="BX161" s="95"/>
      <c r="BY161" s="95"/>
      <c r="BZ161" s="95"/>
      <c r="CA161" s="95"/>
      <c r="CB161" s="95"/>
      <c r="CC161" s="95"/>
      <c r="CD161" s="95"/>
      <c r="CE161" s="95"/>
      <c r="CF161" s="95"/>
      <c r="CG161" s="95"/>
      <c r="CH161" s="95"/>
      <c r="CI161" s="95"/>
      <c r="CJ161" s="95"/>
      <c r="CK161" s="95"/>
      <c r="CL161" s="95"/>
      <c r="CM161" s="95"/>
      <c r="CN161" s="95"/>
      <c r="CO161" s="95"/>
      <c r="CP161" s="95"/>
      <c r="CQ161" s="95"/>
      <c r="CR161" s="95"/>
      <c r="CS161" s="95"/>
      <c r="CT161" s="95"/>
      <c r="CU161" s="108"/>
      <c r="CV161" s="109"/>
      <c r="CW161" s="95"/>
      <c r="CX161" s="496"/>
      <c r="CY161" s="637"/>
      <c r="CZ161" s="95"/>
      <c r="DA161" s="95"/>
      <c r="DB161" s="95"/>
      <c r="DC161" s="496"/>
      <c r="DD161" s="95"/>
      <c r="DE161" s="101"/>
      <c r="DF161" s="95"/>
      <c r="DG161" s="101"/>
      <c r="DH161" s="95"/>
      <c r="DI161" s="95"/>
      <c r="DJ161" s="95"/>
      <c r="DK161" s="95"/>
      <c r="DL161" s="95"/>
      <c r="DM161" s="101"/>
      <c r="DN161" s="95"/>
      <c r="DO161" s="95"/>
      <c r="DP161" s="95"/>
      <c r="DQ161" s="95"/>
      <c r="DR161" s="95"/>
      <c r="DS161" s="95"/>
      <c r="DT161" s="95"/>
      <c r="DU161" s="95"/>
      <c r="DV161" s="95"/>
      <c r="DW161" s="101"/>
      <c r="DX161" s="270"/>
      <c r="DY161" s="270"/>
      <c r="DZ161" s="270"/>
      <c r="EA161" s="270"/>
      <c r="EB161" s="270"/>
      <c r="EC161" s="270"/>
      <c r="ED161" s="270"/>
      <c r="EE161" s="270"/>
      <c r="EF161" s="270"/>
      <c r="EG161" s="270"/>
      <c r="EH161" s="270"/>
      <c r="EI161" s="270"/>
      <c r="EJ161" s="270"/>
      <c r="EK161" s="271"/>
      <c r="EL161" s="95"/>
      <c r="EM161" s="634"/>
      <c r="EN161" s="139"/>
      <c r="EO161" s="634"/>
      <c r="EP161" s="139"/>
      <c r="EQ161" s="139"/>
      <c r="ER161" s="139"/>
      <c r="ES161" s="139"/>
      <c r="ET161" s="322"/>
      <c r="EU161" s="322"/>
      <c r="EV161" s="139"/>
      <c r="EW161" s="139"/>
      <c r="EX161" s="139"/>
      <c r="EY161" s="139"/>
      <c r="EZ161" s="139"/>
      <c r="FA161" s="270"/>
      <c r="FB161" s="270"/>
      <c r="FC161" s="270"/>
      <c r="FD161" s="270"/>
      <c r="FE161" s="270"/>
      <c r="FF161" s="270"/>
      <c r="FG161" s="139"/>
      <c r="FH161" s="139"/>
      <c r="FI161" s="139"/>
      <c r="FJ161" s="139"/>
      <c r="FK161" s="139"/>
      <c r="FL161" s="139"/>
      <c r="FM161" s="139"/>
      <c r="FN161" s="139"/>
      <c r="FO161" s="139"/>
      <c r="FP161" s="139"/>
      <c r="FQ161" s="139"/>
      <c r="FR161" s="139"/>
      <c r="FS161" s="101"/>
      <c r="FT161" s="95"/>
      <c r="FU161" s="634"/>
      <c r="FV161" s="101"/>
      <c r="FW161" s="101"/>
      <c r="FX161" s="634"/>
      <c r="FY161" s="634"/>
      <c r="FZ161" s="634"/>
      <c r="GA161" s="634"/>
      <c r="GB161" s="634"/>
      <c r="GC161" s="634"/>
      <c r="GD161" s="634"/>
      <c r="GE161" s="634"/>
      <c r="GF161" s="634"/>
      <c r="GG161" s="634"/>
      <c r="GH161" s="634"/>
      <c r="GI161" s="634"/>
      <c r="GJ161" s="634"/>
      <c r="GK161" s="634"/>
      <c r="GL161" s="101"/>
      <c r="GM161" s="101"/>
      <c r="GN161" s="101"/>
      <c r="GO161" s="101"/>
      <c r="GP161" s="95"/>
      <c r="GQ161" s="101"/>
      <c r="GR161" s="95"/>
      <c r="GS161" s="101"/>
      <c r="GT161" s="95"/>
      <c r="GU161" s="95"/>
      <c r="GV161" s="95"/>
      <c r="GW161" s="95"/>
      <c r="GX161" s="95"/>
      <c r="GY161" s="95"/>
      <c r="GZ161" s="95"/>
      <c r="HA161" s="23"/>
      <c r="HB161" s="23"/>
    </row>
    <row r="162" spans="1:210">
      <c r="A162" s="638"/>
      <c r="B162" s="95"/>
      <c r="C162" s="95"/>
      <c r="D162" s="95"/>
      <c r="E162" s="96"/>
      <c r="F162" s="95"/>
      <c r="G162" s="95"/>
      <c r="H162" s="99"/>
      <c r="I162" s="95"/>
      <c r="J162" s="95"/>
      <c r="K162" s="95"/>
      <c r="L162" s="95"/>
      <c r="M162" s="95"/>
      <c r="N162" s="95"/>
      <c r="O162" s="95"/>
      <c r="P162" s="95"/>
      <c r="Q162" s="95"/>
      <c r="R162" s="95"/>
      <c r="S162" s="101"/>
      <c r="T162" s="95"/>
      <c r="U162" s="101"/>
      <c r="V162" s="139"/>
      <c r="W162" s="101"/>
      <c r="X162" s="95"/>
      <c r="Y162" s="101"/>
      <c r="Z162" s="95"/>
      <c r="AA162" s="101"/>
      <c r="AB162" s="95"/>
      <c r="AC162" s="101"/>
      <c r="AD162" s="270"/>
      <c r="AE162" s="271"/>
      <c r="AF162" s="270"/>
      <c r="AG162" s="270"/>
      <c r="AH162" s="270"/>
      <c r="AI162" s="270"/>
      <c r="AJ162" s="270"/>
      <c r="AK162" s="270"/>
      <c r="AL162" s="270"/>
      <c r="AM162" s="271"/>
      <c r="AN162" s="270"/>
      <c r="AO162" s="270"/>
      <c r="AP162" s="270"/>
      <c r="AQ162" s="271"/>
      <c r="AR162" s="270"/>
      <c r="AS162" s="270"/>
      <c r="AT162" s="270"/>
      <c r="AU162" s="270"/>
      <c r="AV162" s="270"/>
      <c r="AW162" s="270"/>
      <c r="AX162" s="270"/>
      <c r="AY162" s="270"/>
      <c r="AZ162" s="270"/>
      <c r="BA162" s="270"/>
      <c r="BB162" s="95"/>
      <c r="BC162" s="95"/>
      <c r="BD162" s="95"/>
      <c r="BE162" s="95"/>
      <c r="BF162" s="95"/>
      <c r="BG162" s="95"/>
      <c r="BH162" s="95"/>
      <c r="BI162" s="95"/>
      <c r="BJ162" s="95"/>
      <c r="BK162" s="95"/>
      <c r="BL162" s="95"/>
      <c r="BM162" s="95"/>
      <c r="BN162" s="95"/>
      <c r="BO162" s="95"/>
      <c r="BP162" s="95"/>
      <c r="BQ162" s="95"/>
      <c r="BR162" s="95"/>
      <c r="BS162" s="95"/>
      <c r="BT162" s="95"/>
      <c r="BU162" s="95"/>
      <c r="BV162" s="95"/>
      <c r="BW162" s="95"/>
      <c r="BX162" s="95"/>
      <c r="BY162" s="95"/>
      <c r="BZ162" s="95"/>
      <c r="CA162" s="95"/>
      <c r="CB162" s="95"/>
      <c r="CC162" s="95"/>
      <c r="CD162" s="95"/>
      <c r="CE162" s="95"/>
      <c r="CF162" s="95"/>
      <c r="CG162" s="95"/>
      <c r="CH162" s="95"/>
      <c r="CI162" s="95"/>
      <c r="CJ162" s="95"/>
      <c r="CK162" s="95"/>
      <c r="CL162" s="95"/>
      <c r="CM162" s="95"/>
      <c r="CN162" s="95"/>
      <c r="CO162" s="95"/>
      <c r="CP162" s="95"/>
      <c r="CQ162" s="95"/>
      <c r="CR162" s="95"/>
      <c r="CS162" s="95"/>
      <c r="CT162" s="95"/>
      <c r="CU162" s="108"/>
      <c r="CV162" s="109"/>
      <c r="CW162" s="95"/>
      <c r="CX162" s="496"/>
      <c r="CY162" s="637"/>
      <c r="CZ162" s="95"/>
      <c r="DA162" s="95"/>
      <c r="DB162" s="95"/>
      <c r="DC162" s="496"/>
      <c r="DD162" s="95"/>
      <c r="DE162" s="101"/>
      <c r="DF162" s="95"/>
      <c r="DG162" s="101"/>
      <c r="DH162" s="95"/>
      <c r="DI162" s="95"/>
      <c r="DJ162" s="95"/>
      <c r="DK162" s="95"/>
      <c r="DL162" s="95"/>
      <c r="DM162" s="101"/>
      <c r="DN162" s="95"/>
      <c r="DO162" s="95"/>
      <c r="DP162" s="95"/>
      <c r="DQ162" s="95"/>
      <c r="DR162" s="95"/>
      <c r="DS162" s="95"/>
      <c r="DT162" s="95"/>
      <c r="DU162" s="95"/>
      <c r="DV162" s="95"/>
      <c r="DW162" s="101"/>
      <c r="DX162" s="270"/>
      <c r="DY162" s="270"/>
      <c r="DZ162" s="270"/>
      <c r="EA162" s="270"/>
      <c r="EB162" s="270"/>
      <c r="EC162" s="270"/>
      <c r="ED162" s="270"/>
      <c r="EE162" s="270"/>
      <c r="EF162" s="270"/>
      <c r="EG162" s="270"/>
      <c r="EH162" s="270"/>
      <c r="EI162" s="270"/>
      <c r="EJ162" s="270"/>
      <c r="EK162" s="271"/>
      <c r="EL162" s="95"/>
      <c r="EM162" s="634"/>
      <c r="EN162" s="139"/>
      <c r="EO162" s="634"/>
      <c r="EP162" s="139"/>
      <c r="EQ162" s="139"/>
      <c r="ER162" s="139"/>
      <c r="ES162" s="139"/>
      <c r="ET162" s="322"/>
      <c r="EU162" s="322"/>
      <c r="EV162" s="139"/>
      <c r="EW162" s="139"/>
      <c r="EX162" s="139"/>
      <c r="EY162" s="139"/>
      <c r="EZ162" s="139"/>
      <c r="FA162" s="270"/>
      <c r="FB162" s="270"/>
      <c r="FC162" s="270"/>
      <c r="FD162" s="270"/>
      <c r="FE162" s="270"/>
      <c r="FF162" s="270"/>
      <c r="FG162" s="139"/>
      <c r="FH162" s="139"/>
      <c r="FI162" s="139"/>
      <c r="FJ162" s="139"/>
      <c r="FK162" s="139"/>
      <c r="FL162" s="139"/>
      <c r="FM162" s="139"/>
      <c r="FN162" s="139"/>
      <c r="FO162" s="139"/>
      <c r="FP162" s="139"/>
      <c r="FQ162" s="139"/>
      <c r="FR162" s="139"/>
      <c r="FS162" s="101"/>
      <c r="FT162" s="95"/>
      <c r="FU162" s="634"/>
      <c r="FV162" s="101"/>
      <c r="FW162" s="101"/>
      <c r="FX162" s="634"/>
      <c r="FY162" s="634"/>
      <c r="FZ162" s="634"/>
      <c r="GA162" s="634"/>
      <c r="GB162" s="634"/>
      <c r="GC162" s="634"/>
      <c r="GD162" s="634"/>
      <c r="GE162" s="634"/>
      <c r="GF162" s="634"/>
      <c r="GG162" s="634"/>
      <c r="GH162" s="634"/>
      <c r="GI162" s="634"/>
      <c r="GJ162" s="634"/>
      <c r="GK162" s="634"/>
      <c r="GL162" s="101"/>
      <c r="GM162" s="101"/>
      <c r="GN162" s="101"/>
      <c r="GO162" s="101"/>
      <c r="GP162" s="95"/>
      <c r="GQ162" s="101"/>
      <c r="GR162" s="95"/>
      <c r="GS162" s="101"/>
      <c r="GT162" s="95"/>
      <c r="GU162" s="95"/>
      <c r="GV162" s="95"/>
      <c r="GW162" s="95"/>
      <c r="GX162" s="95"/>
      <c r="GY162" s="95"/>
      <c r="GZ162" s="95"/>
      <c r="HA162" s="23"/>
      <c r="HB162" s="23"/>
    </row>
    <row r="163" spans="1:210">
      <c r="A163" s="638"/>
      <c r="B163" s="95"/>
      <c r="C163" s="95"/>
      <c r="D163" s="95"/>
      <c r="E163" s="96"/>
      <c r="F163" s="95"/>
      <c r="G163" s="95"/>
      <c r="H163" s="99"/>
      <c r="I163" s="95"/>
      <c r="J163" s="95"/>
      <c r="K163" s="95"/>
      <c r="L163" s="95"/>
      <c r="M163" s="95"/>
      <c r="N163" s="95"/>
      <c r="O163" s="95"/>
      <c r="P163" s="95"/>
      <c r="Q163" s="95"/>
      <c r="R163" s="95"/>
      <c r="S163" s="101"/>
      <c r="T163" s="95"/>
      <c r="U163" s="101"/>
      <c r="V163" s="139"/>
      <c r="W163" s="101"/>
      <c r="X163" s="95"/>
      <c r="Y163" s="101"/>
      <c r="Z163" s="95"/>
      <c r="AA163" s="101"/>
      <c r="AB163" s="95"/>
      <c r="AC163" s="101"/>
      <c r="AD163" s="270"/>
      <c r="AE163" s="271"/>
      <c r="AF163" s="270"/>
      <c r="AG163" s="270"/>
      <c r="AH163" s="270"/>
      <c r="AI163" s="270"/>
      <c r="AJ163" s="270"/>
      <c r="AK163" s="270"/>
      <c r="AL163" s="270"/>
      <c r="AM163" s="271"/>
      <c r="AN163" s="270"/>
      <c r="AO163" s="270"/>
      <c r="AP163" s="270"/>
      <c r="AQ163" s="271"/>
      <c r="AR163" s="270"/>
      <c r="AS163" s="270"/>
      <c r="AT163" s="270"/>
      <c r="AU163" s="270"/>
      <c r="AV163" s="270"/>
      <c r="AW163" s="270"/>
      <c r="AX163" s="270"/>
      <c r="AY163" s="270"/>
      <c r="AZ163" s="270"/>
      <c r="BA163" s="270"/>
      <c r="BB163" s="95"/>
      <c r="BC163" s="95"/>
      <c r="BD163" s="95"/>
      <c r="BE163" s="95"/>
      <c r="BF163" s="95"/>
      <c r="BG163" s="95"/>
      <c r="BH163" s="95"/>
      <c r="BI163" s="95"/>
      <c r="BJ163" s="95"/>
      <c r="BK163" s="95"/>
      <c r="BL163" s="95"/>
      <c r="BM163" s="95"/>
      <c r="BN163" s="95"/>
      <c r="BO163" s="95"/>
      <c r="BP163" s="95"/>
      <c r="BQ163" s="95"/>
      <c r="BR163" s="95"/>
      <c r="BS163" s="95"/>
      <c r="BT163" s="95"/>
      <c r="BU163" s="95"/>
      <c r="BV163" s="95"/>
      <c r="BW163" s="95"/>
      <c r="BX163" s="95"/>
      <c r="BY163" s="95"/>
      <c r="BZ163" s="95"/>
      <c r="CA163" s="95"/>
      <c r="CB163" s="95"/>
      <c r="CC163" s="95"/>
      <c r="CD163" s="95"/>
      <c r="CE163" s="95"/>
      <c r="CF163" s="95"/>
      <c r="CG163" s="95"/>
      <c r="CH163" s="95"/>
      <c r="CI163" s="95"/>
      <c r="CJ163" s="95"/>
      <c r="CK163" s="95"/>
      <c r="CL163" s="95"/>
      <c r="CM163" s="95"/>
      <c r="CN163" s="95"/>
      <c r="CO163" s="95"/>
      <c r="CP163" s="95"/>
      <c r="CQ163" s="95"/>
      <c r="CR163" s="95"/>
      <c r="CS163" s="95"/>
      <c r="CT163" s="95"/>
      <c r="CU163" s="108"/>
      <c r="CV163" s="109"/>
      <c r="CW163" s="95"/>
      <c r="CX163" s="496"/>
      <c r="CY163" s="637"/>
      <c r="CZ163" s="95"/>
      <c r="DA163" s="95"/>
      <c r="DB163" s="95"/>
      <c r="DC163" s="496"/>
      <c r="DD163" s="95"/>
      <c r="DE163" s="101"/>
      <c r="DF163" s="95"/>
      <c r="DG163" s="101"/>
      <c r="DH163" s="95"/>
      <c r="DI163" s="95"/>
      <c r="DJ163" s="95"/>
      <c r="DK163" s="95"/>
      <c r="DL163" s="95"/>
      <c r="DM163" s="101"/>
      <c r="DN163" s="95"/>
      <c r="DO163" s="95"/>
      <c r="DP163" s="95"/>
      <c r="DQ163" s="95"/>
      <c r="DR163" s="95"/>
      <c r="DS163" s="95"/>
      <c r="DT163" s="95"/>
      <c r="DU163" s="95"/>
      <c r="DV163" s="95"/>
      <c r="DW163" s="101"/>
      <c r="DX163" s="270"/>
      <c r="DY163" s="270"/>
      <c r="DZ163" s="270"/>
      <c r="EA163" s="270"/>
      <c r="EB163" s="270"/>
      <c r="EC163" s="270"/>
      <c r="ED163" s="270"/>
      <c r="EE163" s="270"/>
      <c r="EF163" s="270"/>
      <c r="EG163" s="270"/>
      <c r="EH163" s="270"/>
      <c r="EI163" s="270"/>
      <c r="EJ163" s="270"/>
      <c r="EK163" s="271"/>
      <c r="EL163" s="95"/>
      <c r="EM163" s="634"/>
      <c r="EN163" s="139"/>
      <c r="EO163" s="634"/>
      <c r="EP163" s="139"/>
      <c r="EQ163" s="139"/>
      <c r="ER163" s="139"/>
      <c r="ES163" s="139"/>
      <c r="ET163" s="322"/>
      <c r="EU163" s="322"/>
      <c r="EV163" s="139"/>
      <c r="EW163" s="139"/>
      <c r="EX163" s="139"/>
      <c r="EY163" s="139"/>
      <c r="EZ163" s="139"/>
      <c r="FA163" s="270"/>
      <c r="FB163" s="270"/>
      <c r="FC163" s="270"/>
      <c r="FD163" s="270"/>
      <c r="FE163" s="270"/>
      <c r="FF163" s="270"/>
      <c r="FG163" s="139"/>
      <c r="FH163" s="139"/>
      <c r="FI163" s="139"/>
      <c r="FJ163" s="139"/>
      <c r="FK163" s="139"/>
      <c r="FL163" s="139"/>
      <c r="FM163" s="139"/>
      <c r="FN163" s="139"/>
      <c r="FO163" s="139"/>
      <c r="FP163" s="139"/>
      <c r="FQ163" s="139"/>
      <c r="FR163" s="139"/>
      <c r="FS163" s="101"/>
      <c r="FT163" s="95"/>
      <c r="FU163" s="634"/>
      <c r="FV163" s="101"/>
      <c r="FW163" s="101"/>
      <c r="FX163" s="634"/>
      <c r="FY163" s="634"/>
      <c r="FZ163" s="634"/>
      <c r="GA163" s="634"/>
      <c r="GB163" s="634"/>
      <c r="GC163" s="634"/>
      <c r="GD163" s="634"/>
      <c r="GE163" s="634"/>
      <c r="GF163" s="634"/>
      <c r="GG163" s="634"/>
      <c r="GH163" s="634"/>
      <c r="GI163" s="634"/>
      <c r="GJ163" s="634"/>
      <c r="GK163" s="634"/>
      <c r="GL163" s="101"/>
      <c r="GM163" s="101"/>
      <c r="GN163" s="101"/>
      <c r="GO163" s="643"/>
      <c r="GP163" s="644"/>
      <c r="GQ163" s="643"/>
      <c r="GR163" s="644"/>
      <c r="GS163" s="643"/>
      <c r="GT163" s="644"/>
      <c r="GU163" s="644"/>
      <c r="GV163" s="644"/>
      <c r="GW163" s="644"/>
      <c r="GX163" s="644"/>
      <c r="GY163" s="644"/>
      <c r="GZ163" s="644"/>
    </row>
    <row r="164" spans="1:210">
      <c r="A164" s="638"/>
      <c r="B164" s="95"/>
      <c r="C164" s="95"/>
      <c r="D164" s="95"/>
      <c r="E164" s="96"/>
      <c r="F164" s="95"/>
      <c r="G164" s="95"/>
      <c r="H164" s="99"/>
      <c r="I164" s="95"/>
      <c r="J164" s="95"/>
      <c r="K164" s="95"/>
      <c r="L164" s="95"/>
      <c r="M164" s="95"/>
      <c r="N164" s="95"/>
      <c r="O164" s="95"/>
      <c r="P164" s="95"/>
      <c r="Q164" s="95"/>
      <c r="R164" s="95"/>
      <c r="S164" s="101"/>
      <c r="T164" s="95"/>
      <c r="U164" s="101"/>
      <c r="V164" s="139"/>
      <c r="W164" s="101"/>
      <c r="X164" s="95"/>
      <c r="Y164" s="101"/>
      <c r="Z164" s="95"/>
      <c r="AA164" s="101"/>
      <c r="AB164" s="95"/>
      <c r="AC164" s="101"/>
      <c r="AD164" s="270"/>
      <c r="AE164" s="271"/>
      <c r="AF164" s="270"/>
      <c r="AG164" s="270"/>
      <c r="AH164" s="270"/>
      <c r="AI164" s="270"/>
      <c r="AJ164" s="270"/>
      <c r="AK164" s="270"/>
      <c r="AL164" s="270"/>
      <c r="AM164" s="271"/>
      <c r="AN164" s="270"/>
      <c r="AO164" s="270"/>
      <c r="AP164" s="270"/>
      <c r="AQ164" s="271"/>
      <c r="AR164" s="270"/>
      <c r="AS164" s="270"/>
      <c r="AT164" s="270"/>
      <c r="AU164" s="270"/>
      <c r="AV164" s="270"/>
      <c r="AW164" s="270"/>
      <c r="AX164" s="270"/>
      <c r="AY164" s="270"/>
      <c r="AZ164" s="270"/>
      <c r="BA164" s="270"/>
      <c r="BB164" s="95"/>
      <c r="BC164" s="95"/>
      <c r="BD164" s="95"/>
      <c r="BE164" s="95"/>
      <c r="BF164" s="95"/>
      <c r="BG164" s="95"/>
      <c r="BH164" s="95"/>
      <c r="BI164" s="95"/>
      <c r="BJ164" s="95"/>
      <c r="BK164" s="95"/>
      <c r="BL164" s="95"/>
      <c r="BM164" s="95"/>
      <c r="BN164" s="95"/>
      <c r="BO164" s="95"/>
      <c r="BP164" s="95"/>
      <c r="BQ164" s="95"/>
      <c r="BR164" s="95"/>
      <c r="BS164" s="95"/>
      <c r="BT164" s="95"/>
      <c r="BU164" s="95"/>
      <c r="BV164" s="95"/>
      <c r="BW164" s="95"/>
      <c r="BX164" s="95"/>
      <c r="BY164" s="95"/>
      <c r="BZ164" s="95"/>
      <c r="CA164" s="95"/>
      <c r="CB164" s="95"/>
      <c r="CC164" s="95"/>
      <c r="CD164" s="95"/>
      <c r="CE164" s="95"/>
      <c r="CF164" s="95"/>
      <c r="CG164" s="95"/>
      <c r="CH164" s="95"/>
      <c r="CI164" s="95"/>
      <c r="CJ164" s="95"/>
      <c r="CK164" s="95"/>
      <c r="CL164" s="95"/>
      <c r="CM164" s="95"/>
      <c r="CN164" s="95"/>
      <c r="CO164" s="95"/>
      <c r="CP164" s="95"/>
      <c r="CQ164" s="95"/>
      <c r="CR164" s="95"/>
      <c r="CS164" s="95"/>
      <c r="CT164" s="95"/>
      <c r="CU164" s="108"/>
      <c r="CV164" s="109"/>
      <c r="CW164" s="95"/>
      <c r="CX164" s="496"/>
      <c r="CY164" s="637"/>
      <c r="CZ164" s="95"/>
      <c r="DA164" s="95"/>
      <c r="DB164" s="95"/>
      <c r="DC164" s="496"/>
      <c r="DD164" s="95"/>
      <c r="DE164" s="101"/>
      <c r="DF164" s="95"/>
      <c r="DG164" s="101"/>
      <c r="DH164" s="95"/>
      <c r="DI164" s="95"/>
      <c r="DJ164" s="95"/>
      <c r="DK164" s="95"/>
      <c r="DL164" s="95"/>
      <c r="DM164" s="101"/>
      <c r="DN164" s="95"/>
      <c r="DO164" s="95"/>
      <c r="DP164" s="95"/>
      <c r="DQ164" s="95"/>
      <c r="DR164" s="95"/>
      <c r="DS164" s="95"/>
      <c r="DT164" s="95"/>
      <c r="DU164" s="95"/>
      <c r="DV164" s="95"/>
      <c r="DW164" s="101"/>
      <c r="DX164" s="270"/>
      <c r="DY164" s="270"/>
      <c r="DZ164" s="270"/>
      <c r="EA164" s="270"/>
      <c r="EB164" s="270"/>
      <c r="EC164" s="270"/>
      <c r="ED164" s="270"/>
      <c r="EE164" s="270"/>
      <c r="EF164" s="270"/>
      <c r="EG164" s="270"/>
      <c r="EH164" s="270"/>
      <c r="EI164" s="270"/>
      <c r="EJ164" s="270"/>
      <c r="EK164" s="271"/>
      <c r="EL164" s="95"/>
      <c r="EM164" s="634"/>
      <c r="EN164" s="139"/>
      <c r="EO164" s="634"/>
      <c r="EP164" s="139"/>
      <c r="EQ164" s="139"/>
      <c r="ER164" s="139"/>
      <c r="ES164" s="139"/>
      <c r="ET164" s="322"/>
      <c r="EU164" s="322"/>
      <c r="EV164" s="139"/>
      <c r="EW164" s="139"/>
      <c r="EX164" s="139"/>
      <c r="EY164" s="139"/>
      <c r="EZ164" s="139"/>
      <c r="FA164" s="270"/>
      <c r="FB164" s="270"/>
      <c r="FC164" s="270"/>
      <c r="FD164" s="270"/>
      <c r="FE164" s="270"/>
      <c r="FF164" s="270"/>
      <c r="FG164" s="139"/>
      <c r="FH164" s="139"/>
      <c r="FI164" s="139"/>
      <c r="FJ164" s="139"/>
      <c r="FK164" s="139"/>
      <c r="FL164" s="139"/>
      <c r="FM164" s="139"/>
      <c r="FN164" s="139"/>
      <c r="FO164" s="139"/>
      <c r="FP164" s="139"/>
      <c r="FQ164" s="139"/>
      <c r="FR164" s="139"/>
      <c r="FS164" s="101"/>
      <c r="FT164" s="95"/>
      <c r="FU164" s="634"/>
      <c r="FV164" s="101"/>
      <c r="FW164" s="101"/>
      <c r="FX164" s="634"/>
      <c r="FY164" s="634"/>
      <c r="FZ164" s="634"/>
      <c r="GA164" s="634"/>
      <c r="GB164" s="634"/>
      <c r="GC164" s="634"/>
      <c r="GD164" s="634"/>
      <c r="GE164" s="634"/>
      <c r="GF164" s="634"/>
      <c r="GG164" s="634"/>
      <c r="GH164" s="634"/>
      <c r="GI164" s="634"/>
      <c r="GJ164" s="634"/>
      <c r="GK164" s="634"/>
      <c r="GL164" s="101"/>
      <c r="GM164" s="101"/>
      <c r="GN164" s="101"/>
      <c r="GO164" s="643"/>
      <c r="GP164" s="644"/>
      <c r="GQ164" s="643"/>
      <c r="GR164" s="644"/>
      <c r="GS164" s="643"/>
      <c r="GT164" s="644"/>
      <c r="GU164" s="644"/>
      <c r="GV164" s="644"/>
      <c r="GW164" s="644"/>
      <c r="GX164" s="644"/>
      <c r="GY164" s="644"/>
      <c r="GZ164" s="644"/>
    </row>
    <row r="165" spans="1:210">
      <c r="A165" s="638"/>
      <c r="B165" s="95"/>
      <c r="C165" s="95"/>
      <c r="D165" s="95"/>
      <c r="E165" s="96"/>
      <c r="F165" s="95"/>
      <c r="G165" s="95"/>
      <c r="H165" s="99"/>
      <c r="I165" s="95"/>
      <c r="J165" s="95"/>
      <c r="K165" s="95"/>
      <c r="L165" s="95"/>
      <c r="M165" s="95"/>
      <c r="N165" s="95"/>
      <c r="O165" s="95"/>
      <c r="P165" s="95"/>
      <c r="Q165" s="95"/>
      <c r="R165" s="95"/>
      <c r="S165" s="101"/>
      <c r="T165" s="95"/>
      <c r="U165" s="101"/>
      <c r="V165" s="139"/>
      <c r="W165" s="101"/>
      <c r="X165" s="95"/>
      <c r="Y165" s="101"/>
      <c r="Z165" s="95"/>
      <c r="AA165" s="101"/>
      <c r="AB165" s="95"/>
      <c r="AC165" s="101"/>
      <c r="AD165" s="270"/>
      <c r="AE165" s="271"/>
      <c r="AF165" s="270"/>
      <c r="AG165" s="270"/>
      <c r="AH165" s="270"/>
      <c r="AI165" s="270"/>
      <c r="AJ165" s="270"/>
      <c r="AK165" s="270"/>
      <c r="AL165" s="270"/>
      <c r="AM165" s="271"/>
      <c r="AN165" s="270"/>
      <c r="AO165" s="270"/>
      <c r="AP165" s="270"/>
      <c r="AQ165" s="271"/>
      <c r="AR165" s="270"/>
      <c r="AS165" s="270"/>
      <c r="AT165" s="270"/>
      <c r="AU165" s="270"/>
      <c r="AV165" s="270"/>
      <c r="AW165" s="270"/>
      <c r="AX165" s="270"/>
      <c r="AY165" s="270"/>
      <c r="AZ165" s="646"/>
      <c r="BA165" s="646"/>
      <c r="BB165" s="644"/>
      <c r="BC165" s="644"/>
      <c r="BD165" s="644"/>
      <c r="BE165" s="644"/>
      <c r="BF165" s="644"/>
      <c r="BG165" s="644"/>
      <c r="BH165" s="644"/>
      <c r="BI165" s="644"/>
      <c r="BJ165" s="644"/>
      <c r="BK165" s="644"/>
      <c r="BL165" s="644"/>
      <c r="BM165" s="95"/>
      <c r="BN165" s="644"/>
      <c r="BO165" s="95"/>
      <c r="BP165" s="644"/>
      <c r="BQ165" s="644"/>
      <c r="BR165" s="644"/>
      <c r="BS165" s="644"/>
      <c r="BT165" s="644"/>
      <c r="BU165" s="644"/>
      <c r="BV165" s="644"/>
      <c r="BW165" s="644"/>
      <c r="BX165" s="644"/>
      <c r="BY165" s="644"/>
      <c r="BZ165" s="644"/>
      <c r="CA165" s="644"/>
      <c r="CB165" s="644"/>
      <c r="CC165" s="644"/>
      <c r="CD165" s="644"/>
      <c r="CE165" s="644"/>
      <c r="CF165" s="644"/>
      <c r="CG165" s="644"/>
      <c r="CH165" s="644"/>
      <c r="CI165" s="644"/>
      <c r="CJ165" s="644"/>
      <c r="CK165" s="644"/>
      <c r="CL165" s="644"/>
      <c r="CM165" s="95"/>
      <c r="CN165" s="644"/>
      <c r="CO165" s="644"/>
      <c r="CP165" s="95"/>
      <c r="CQ165" s="95"/>
      <c r="CR165" s="95"/>
      <c r="CS165" s="95"/>
      <c r="CT165" s="95"/>
      <c r="CU165" s="108"/>
      <c r="CV165" s="109"/>
      <c r="CW165" s="644"/>
      <c r="CX165" s="496"/>
      <c r="CY165" s="637"/>
      <c r="CZ165" s="644"/>
      <c r="DA165" s="644"/>
      <c r="DB165" s="644"/>
      <c r="DC165" s="496"/>
      <c r="DD165" s="644"/>
      <c r="DE165" s="101"/>
      <c r="DF165" s="644"/>
      <c r="DG165" s="101"/>
      <c r="DH165" s="644"/>
      <c r="DI165" s="644"/>
      <c r="DJ165" s="644"/>
      <c r="DK165" s="644"/>
      <c r="DL165" s="644"/>
      <c r="DM165" s="101"/>
      <c r="DN165" s="644"/>
      <c r="DO165" s="644"/>
      <c r="DP165" s="644"/>
      <c r="DQ165" s="644"/>
      <c r="DR165" s="644"/>
      <c r="DS165" s="644"/>
      <c r="DT165" s="644"/>
      <c r="DU165" s="644"/>
      <c r="DV165" s="644"/>
      <c r="DW165" s="101"/>
      <c r="DX165" s="646"/>
      <c r="DY165" s="646"/>
      <c r="DZ165" s="646"/>
      <c r="EA165" s="646"/>
      <c r="EB165" s="646"/>
      <c r="EC165" s="646"/>
      <c r="ED165" s="646"/>
      <c r="EE165" s="646"/>
      <c r="EF165" s="646"/>
      <c r="EG165" s="646"/>
      <c r="EH165" s="646"/>
      <c r="EI165" s="646"/>
      <c r="EJ165" s="646"/>
      <c r="EK165" s="271"/>
      <c r="EL165" s="644"/>
      <c r="EM165" s="634"/>
      <c r="EN165" s="647"/>
      <c r="EO165" s="648"/>
      <c r="EP165" s="647"/>
      <c r="EQ165" s="647"/>
      <c r="ER165" s="647"/>
      <c r="ES165" s="139"/>
      <c r="EV165" s="647"/>
      <c r="EW165" s="647"/>
      <c r="EX165" s="647"/>
      <c r="EY165" s="647"/>
      <c r="EZ165" s="647"/>
      <c r="FA165" s="646"/>
      <c r="FB165" s="646"/>
      <c r="FC165" s="646"/>
      <c r="FD165" s="646"/>
      <c r="FE165" s="646"/>
      <c r="FF165" s="646"/>
      <c r="FG165" s="647"/>
      <c r="FH165" s="647"/>
      <c r="FI165" s="647"/>
      <c r="FJ165" s="647"/>
      <c r="FK165" s="647"/>
      <c r="FL165" s="647"/>
      <c r="FM165" s="647"/>
      <c r="FN165" s="647"/>
      <c r="FO165" s="647"/>
      <c r="FP165" s="647"/>
      <c r="FQ165" s="647"/>
      <c r="FR165" s="647"/>
      <c r="FS165" s="101"/>
      <c r="FT165" s="95"/>
      <c r="FU165" s="634"/>
      <c r="FV165" s="101"/>
      <c r="FW165" s="101"/>
      <c r="FX165" s="634"/>
      <c r="FY165" s="634"/>
      <c r="FZ165" s="634"/>
      <c r="GA165" s="634"/>
      <c r="GB165" s="634"/>
      <c r="GC165" s="634"/>
      <c r="GD165" s="634"/>
      <c r="GE165" s="634"/>
      <c r="GF165" s="634"/>
      <c r="GG165" s="634"/>
      <c r="GH165" s="634"/>
      <c r="GI165" s="634"/>
      <c r="GJ165" s="634"/>
      <c r="GK165" s="634"/>
      <c r="GL165" s="101"/>
      <c r="GM165" s="101"/>
      <c r="GN165" s="101"/>
      <c r="GO165" s="643"/>
      <c r="GP165" s="644"/>
      <c r="GQ165" s="643"/>
      <c r="GR165" s="644"/>
      <c r="GS165" s="643"/>
      <c r="GT165" s="644"/>
      <c r="GU165" s="644"/>
      <c r="GV165" s="644"/>
      <c r="GW165" s="644"/>
      <c r="GX165" s="644"/>
      <c r="GY165" s="644"/>
      <c r="GZ165" s="644"/>
    </row>
    <row r="166" spans="1:210">
      <c r="A166" s="638"/>
      <c r="B166" s="95"/>
      <c r="C166" s="95"/>
      <c r="D166" s="95"/>
      <c r="E166" s="96"/>
      <c r="F166" s="95"/>
      <c r="G166" s="95"/>
      <c r="H166" s="99"/>
      <c r="I166" s="95"/>
      <c r="J166" s="95"/>
      <c r="K166" s="95"/>
      <c r="L166" s="95"/>
      <c r="M166" s="95"/>
      <c r="N166" s="95"/>
      <c r="O166" s="95"/>
      <c r="P166" s="95"/>
      <c r="Q166" s="95"/>
      <c r="R166" s="95"/>
      <c r="S166" s="101"/>
      <c r="T166" s="95"/>
      <c r="U166" s="101"/>
      <c r="V166" s="139"/>
      <c r="W166" s="101"/>
      <c r="X166" s="95"/>
      <c r="Y166" s="101"/>
      <c r="Z166" s="95"/>
      <c r="AA166" s="101"/>
      <c r="AB166" s="95"/>
      <c r="AC166" s="101"/>
      <c r="AD166" s="270"/>
      <c r="AE166" s="271"/>
      <c r="AF166" s="270"/>
      <c r="AG166" s="270"/>
      <c r="AH166" s="270"/>
      <c r="AI166" s="270"/>
      <c r="AJ166" s="270"/>
      <c r="AK166" s="270"/>
      <c r="AL166" s="270"/>
      <c r="AM166" s="271"/>
      <c r="AN166" s="270"/>
      <c r="AO166" s="270"/>
      <c r="AP166" s="270"/>
      <c r="AQ166" s="271"/>
      <c r="AR166" s="270"/>
      <c r="AS166" s="270"/>
      <c r="AT166" s="270"/>
      <c r="AU166" s="270"/>
      <c r="AV166" s="270"/>
      <c r="AW166" s="270"/>
      <c r="AX166" s="270"/>
      <c r="AY166" s="270"/>
      <c r="AZ166" s="646"/>
      <c r="BA166" s="646"/>
      <c r="BB166" s="644"/>
      <c r="BC166" s="644"/>
      <c r="BD166" s="644"/>
      <c r="BE166" s="644"/>
      <c r="BF166" s="644"/>
      <c r="BG166" s="644"/>
      <c r="BH166" s="644"/>
      <c r="BI166" s="644"/>
      <c r="BJ166" s="644"/>
      <c r="BK166" s="644"/>
      <c r="BL166" s="644"/>
      <c r="BM166" s="95"/>
      <c r="BN166" s="644"/>
      <c r="BO166" s="95"/>
      <c r="BP166" s="644"/>
      <c r="BQ166" s="644"/>
      <c r="BR166" s="644"/>
      <c r="BS166" s="644"/>
      <c r="BT166" s="644"/>
      <c r="BU166" s="644"/>
      <c r="BV166" s="644"/>
      <c r="BW166" s="644"/>
      <c r="BX166" s="644"/>
      <c r="BY166" s="644"/>
      <c r="BZ166" s="644"/>
      <c r="CA166" s="644"/>
      <c r="CB166" s="644"/>
      <c r="CC166" s="644"/>
      <c r="CD166" s="644"/>
      <c r="CE166" s="644"/>
      <c r="CF166" s="644"/>
      <c r="CG166" s="644"/>
      <c r="CH166" s="644"/>
      <c r="CI166" s="644"/>
      <c r="CJ166" s="644"/>
      <c r="CK166" s="644"/>
      <c r="CL166" s="644"/>
      <c r="CM166" s="95"/>
      <c r="CN166" s="644"/>
      <c r="CO166" s="644"/>
      <c r="CP166" s="95"/>
      <c r="CQ166" s="95"/>
      <c r="CR166" s="95"/>
      <c r="CS166" s="95"/>
      <c r="CT166" s="95"/>
      <c r="CU166" s="108"/>
      <c r="CV166" s="109"/>
      <c r="CW166" s="644"/>
      <c r="CX166" s="496"/>
      <c r="CY166" s="637"/>
      <c r="CZ166" s="644"/>
      <c r="DA166" s="644"/>
      <c r="DB166" s="644"/>
      <c r="DC166" s="496"/>
      <c r="DD166" s="644"/>
      <c r="DE166" s="101"/>
      <c r="DF166" s="644"/>
      <c r="DG166" s="101"/>
      <c r="DH166" s="644"/>
      <c r="DI166" s="644"/>
      <c r="DJ166" s="644"/>
      <c r="DK166" s="644"/>
      <c r="DL166" s="644"/>
      <c r="DM166" s="101"/>
      <c r="DN166" s="644"/>
      <c r="DO166" s="644"/>
      <c r="DP166" s="644"/>
      <c r="DQ166" s="644"/>
      <c r="DR166" s="644"/>
      <c r="DS166" s="644"/>
      <c r="DT166" s="644"/>
      <c r="DU166" s="644"/>
      <c r="DV166" s="644"/>
      <c r="DW166" s="101"/>
      <c r="DX166" s="646"/>
      <c r="DY166" s="646"/>
      <c r="DZ166" s="646"/>
      <c r="EA166" s="646"/>
      <c r="EB166" s="646"/>
      <c r="EC166" s="646"/>
      <c r="ED166" s="646"/>
      <c r="EE166" s="646"/>
      <c r="EF166" s="646"/>
      <c r="EG166" s="646"/>
      <c r="EH166" s="646"/>
      <c r="EI166" s="646"/>
      <c r="EJ166" s="646"/>
      <c r="EK166" s="271"/>
      <c r="EL166" s="644"/>
      <c r="EM166" s="634"/>
      <c r="EN166" s="647"/>
      <c r="EO166" s="648"/>
      <c r="EP166" s="647"/>
      <c r="EQ166" s="647"/>
      <c r="ER166" s="647"/>
      <c r="ES166" s="139"/>
      <c r="EV166" s="647"/>
      <c r="EW166" s="647"/>
      <c r="EX166" s="647"/>
      <c r="EY166" s="647"/>
      <c r="EZ166" s="647"/>
      <c r="FA166" s="646"/>
      <c r="FB166" s="646"/>
      <c r="FC166" s="646"/>
      <c r="FD166" s="646"/>
      <c r="FE166" s="646"/>
      <c r="FF166" s="646"/>
      <c r="FG166" s="647"/>
      <c r="FH166" s="647"/>
      <c r="FI166" s="647"/>
      <c r="FJ166" s="647"/>
      <c r="FK166" s="647"/>
      <c r="FL166" s="647"/>
      <c r="FM166" s="647"/>
      <c r="FN166" s="647"/>
      <c r="FO166" s="647"/>
      <c r="FP166" s="647"/>
      <c r="FQ166" s="647"/>
      <c r="FR166" s="647"/>
      <c r="FS166" s="101"/>
      <c r="FT166" s="95"/>
      <c r="FU166" s="634"/>
      <c r="FV166" s="101"/>
      <c r="FW166" s="101"/>
      <c r="FX166" s="634"/>
      <c r="FY166" s="634"/>
      <c r="FZ166" s="634"/>
      <c r="GA166" s="634"/>
      <c r="GB166" s="634"/>
      <c r="GC166" s="634"/>
      <c r="GD166" s="634"/>
      <c r="GE166" s="634"/>
      <c r="GF166" s="634"/>
      <c r="GG166" s="634"/>
      <c r="GH166" s="634"/>
      <c r="GI166" s="634"/>
      <c r="GJ166" s="634"/>
      <c r="GK166" s="634"/>
      <c r="GL166" s="101"/>
      <c r="GM166" s="101"/>
      <c r="GN166" s="101"/>
      <c r="GO166" s="643"/>
      <c r="GP166" s="644"/>
      <c r="GQ166" s="643"/>
      <c r="GR166" s="644"/>
      <c r="GS166" s="643"/>
      <c r="GT166" s="644"/>
      <c r="GU166" s="644"/>
      <c r="GV166" s="644"/>
      <c r="GW166" s="644"/>
      <c r="GX166" s="644"/>
      <c r="GY166" s="644"/>
      <c r="GZ166" s="644"/>
    </row>
    <row r="167" spans="1:210">
      <c r="A167" s="638"/>
      <c r="B167" s="95"/>
      <c r="C167" s="95"/>
      <c r="D167" s="95"/>
      <c r="E167" s="96"/>
      <c r="F167" s="95"/>
      <c r="G167" s="95"/>
      <c r="H167" s="99"/>
      <c r="I167" s="95"/>
      <c r="J167" s="95"/>
      <c r="K167" s="95"/>
      <c r="L167" s="95"/>
      <c r="M167" s="95"/>
      <c r="N167" s="95"/>
      <c r="O167" s="95"/>
      <c r="P167" s="95"/>
      <c r="Q167" s="95"/>
      <c r="R167" s="95"/>
      <c r="S167" s="101"/>
      <c r="T167" s="95"/>
      <c r="U167" s="101"/>
      <c r="V167" s="139"/>
      <c r="W167" s="101"/>
      <c r="X167" s="95"/>
      <c r="Y167" s="101"/>
      <c r="Z167" s="95"/>
      <c r="AA167" s="101"/>
      <c r="AB167" s="95"/>
      <c r="AC167" s="101"/>
      <c r="AD167" s="270"/>
      <c r="AE167" s="271"/>
      <c r="AF167" s="270"/>
      <c r="AG167" s="270"/>
      <c r="AH167" s="270"/>
      <c r="AI167" s="270"/>
      <c r="AJ167" s="270"/>
      <c r="AK167" s="270"/>
      <c r="AL167" s="270"/>
      <c r="AM167" s="271"/>
      <c r="AN167" s="270"/>
      <c r="AO167" s="270"/>
      <c r="AP167" s="270"/>
      <c r="AQ167" s="271"/>
      <c r="AR167" s="270"/>
      <c r="AS167" s="270"/>
      <c r="AT167" s="270"/>
      <c r="AU167" s="270"/>
      <c r="AV167" s="270"/>
      <c r="AW167" s="270"/>
      <c r="AX167" s="270"/>
      <c r="AY167" s="270"/>
      <c r="AZ167" s="646"/>
      <c r="BA167" s="646"/>
      <c r="BB167" s="644"/>
      <c r="BC167" s="644"/>
      <c r="BD167" s="644"/>
      <c r="BE167" s="644"/>
      <c r="BF167" s="644"/>
      <c r="BG167" s="644"/>
      <c r="BH167" s="644"/>
      <c r="BI167" s="644"/>
      <c r="BJ167" s="644"/>
      <c r="BK167" s="644"/>
      <c r="BL167" s="644"/>
      <c r="BM167" s="95"/>
      <c r="BN167" s="644"/>
      <c r="BO167" s="95"/>
      <c r="BP167" s="644"/>
      <c r="BQ167" s="644"/>
      <c r="BR167" s="644"/>
      <c r="BS167" s="644"/>
      <c r="BT167" s="644"/>
      <c r="BU167" s="644"/>
      <c r="BV167" s="644"/>
      <c r="BW167" s="644"/>
      <c r="BX167" s="644"/>
      <c r="BY167" s="644"/>
      <c r="BZ167" s="644"/>
      <c r="CA167" s="644"/>
      <c r="CB167" s="644"/>
      <c r="CC167" s="644"/>
      <c r="CD167" s="644"/>
      <c r="CE167" s="644"/>
      <c r="CF167" s="644"/>
      <c r="CG167" s="644"/>
      <c r="CH167" s="644"/>
      <c r="CI167" s="644"/>
      <c r="CJ167" s="644"/>
      <c r="CK167" s="644"/>
      <c r="CL167" s="644"/>
      <c r="CM167" s="95"/>
      <c r="CN167" s="644"/>
      <c r="CO167" s="644"/>
      <c r="CP167" s="95"/>
      <c r="CQ167" s="95"/>
      <c r="CR167" s="95"/>
      <c r="CS167" s="95"/>
      <c r="CT167" s="95"/>
      <c r="CU167" s="108"/>
      <c r="CV167" s="109"/>
      <c r="CW167" s="644"/>
      <c r="CX167" s="496"/>
      <c r="CY167" s="637"/>
      <c r="CZ167" s="644"/>
      <c r="DA167" s="644"/>
      <c r="DB167" s="644"/>
      <c r="DC167" s="496"/>
      <c r="DD167" s="644"/>
      <c r="DE167" s="101"/>
      <c r="DF167" s="644"/>
      <c r="DG167" s="101"/>
      <c r="DH167" s="644"/>
      <c r="DI167" s="644"/>
      <c r="DJ167" s="644"/>
      <c r="DK167" s="644"/>
      <c r="DL167" s="644"/>
      <c r="DM167" s="101"/>
      <c r="DN167" s="644"/>
      <c r="DO167" s="644"/>
      <c r="DP167" s="644"/>
      <c r="DQ167" s="644"/>
      <c r="DR167" s="644"/>
      <c r="DS167" s="644"/>
      <c r="DT167" s="644"/>
      <c r="DU167" s="644"/>
      <c r="DV167" s="644"/>
      <c r="DW167" s="101"/>
      <c r="DX167" s="646"/>
      <c r="DY167" s="646"/>
      <c r="DZ167" s="646"/>
      <c r="EA167" s="646"/>
      <c r="EB167" s="646"/>
      <c r="EC167" s="646"/>
      <c r="ED167" s="646"/>
      <c r="EE167" s="646"/>
      <c r="EF167" s="646"/>
      <c r="EG167" s="646"/>
      <c r="EH167" s="646"/>
      <c r="EI167" s="646"/>
      <c r="EJ167" s="646"/>
      <c r="EK167" s="271"/>
      <c r="EL167" s="644"/>
      <c r="EM167" s="634"/>
      <c r="EN167" s="647"/>
      <c r="EO167" s="648"/>
      <c r="EP167" s="647"/>
      <c r="EQ167" s="647"/>
      <c r="ER167" s="647"/>
      <c r="ES167" s="139"/>
      <c r="EV167" s="647"/>
      <c r="EW167" s="647"/>
      <c r="EX167" s="647"/>
      <c r="EY167" s="647"/>
      <c r="EZ167" s="647"/>
      <c r="FA167" s="646"/>
      <c r="FB167" s="646"/>
      <c r="FC167" s="646"/>
      <c r="FD167" s="646"/>
      <c r="FE167" s="646"/>
      <c r="FF167" s="646"/>
      <c r="FG167" s="647"/>
      <c r="FH167" s="647"/>
      <c r="FI167" s="647"/>
      <c r="FJ167" s="647"/>
      <c r="FK167" s="647"/>
      <c r="FL167" s="647"/>
      <c r="FM167" s="647"/>
      <c r="FN167" s="647"/>
      <c r="FO167" s="647"/>
      <c r="FP167" s="647"/>
      <c r="FQ167" s="647"/>
      <c r="FR167" s="647"/>
      <c r="FS167" s="101"/>
      <c r="FT167" s="95"/>
      <c r="FU167" s="634"/>
      <c r="FV167" s="101"/>
      <c r="FW167" s="101"/>
      <c r="FX167" s="634"/>
      <c r="FY167" s="634"/>
      <c r="FZ167" s="634"/>
      <c r="GA167" s="634"/>
      <c r="GB167" s="634"/>
      <c r="GC167" s="634"/>
      <c r="GD167" s="634"/>
      <c r="GE167" s="634"/>
      <c r="GF167" s="634"/>
      <c r="GG167" s="634"/>
      <c r="GH167" s="634"/>
      <c r="GI167" s="634"/>
      <c r="GJ167" s="634"/>
      <c r="GK167" s="634"/>
      <c r="GL167" s="101"/>
      <c r="GM167" s="101"/>
      <c r="GN167" s="101"/>
      <c r="GO167" s="643"/>
      <c r="GP167" s="644"/>
      <c r="GQ167" s="643"/>
      <c r="GR167" s="644"/>
      <c r="GS167" s="643"/>
      <c r="GT167" s="644"/>
      <c r="GU167" s="644"/>
      <c r="GV167" s="644"/>
      <c r="GW167" s="644"/>
      <c r="GX167" s="644"/>
      <c r="GY167" s="644"/>
      <c r="GZ167" s="644"/>
    </row>
    <row r="168" spans="1:210">
      <c r="A168" s="638"/>
      <c r="B168" s="95"/>
      <c r="C168" s="95"/>
      <c r="D168" s="95"/>
      <c r="E168" s="96"/>
      <c r="F168" s="95"/>
      <c r="G168" s="95"/>
      <c r="H168" s="99"/>
      <c r="I168" s="95"/>
      <c r="J168" s="95"/>
      <c r="K168" s="95"/>
      <c r="L168" s="95"/>
      <c r="M168" s="95"/>
      <c r="N168" s="95"/>
      <c r="O168" s="95"/>
      <c r="P168" s="95"/>
      <c r="Q168" s="95"/>
      <c r="R168" s="95"/>
      <c r="S168" s="101"/>
      <c r="T168" s="95"/>
      <c r="U168" s="101"/>
      <c r="V168" s="139"/>
      <c r="W168" s="101"/>
      <c r="X168" s="95"/>
      <c r="Y168" s="101"/>
      <c r="Z168" s="95"/>
      <c r="AA168" s="101"/>
      <c r="AB168" s="95"/>
      <c r="AC168" s="101"/>
      <c r="AD168" s="270"/>
      <c r="AE168" s="271"/>
      <c r="AF168" s="270"/>
      <c r="AG168" s="270"/>
      <c r="AH168" s="270"/>
      <c r="AI168" s="270"/>
      <c r="AJ168" s="270"/>
      <c r="AK168" s="270"/>
      <c r="AL168" s="270"/>
      <c r="AM168" s="271"/>
      <c r="AN168" s="270"/>
      <c r="AO168" s="270"/>
      <c r="AP168" s="270"/>
      <c r="AQ168" s="271"/>
      <c r="AR168" s="270"/>
      <c r="AS168" s="270"/>
      <c r="AT168" s="270"/>
      <c r="AU168" s="270"/>
      <c r="AV168" s="270"/>
      <c r="AW168" s="270"/>
      <c r="AX168" s="270"/>
      <c r="AY168" s="270"/>
      <c r="AZ168" s="646"/>
      <c r="BA168" s="646"/>
      <c r="BB168" s="644"/>
      <c r="BC168" s="644"/>
      <c r="BD168" s="644"/>
      <c r="BE168" s="644"/>
      <c r="BF168" s="644"/>
      <c r="BG168" s="644"/>
      <c r="BH168" s="644"/>
      <c r="BI168" s="644"/>
      <c r="BJ168" s="644"/>
      <c r="BK168" s="644"/>
      <c r="BL168" s="644"/>
      <c r="BM168" s="95"/>
      <c r="BN168" s="644"/>
      <c r="BO168" s="95"/>
      <c r="BP168" s="644"/>
      <c r="BQ168" s="644"/>
      <c r="BR168" s="644"/>
      <c r="BS168" s="644"/>
      <c r="BT168" s="644"/>
      <c r="BU168" s="644"/>
      <c r="BV168" s="644"/>
      <c r="BW168" s="644"/>
      <c r="BX168" s="644"/>
      <c r="BY168" s="644"/>
      <c r="BZ168" s="644"/>
      <c r="CA168" s="644"/>
      <c r="CB168" s="644"/>
      <c r="CC168" s="644"/>
      <c r="CD168" s="644"/>
      <c r="CE168" s="644"/>
      <c r="CF168" s="644"/>
      <c r="CG168" s="644"/>
      <c r="CH168" s="644"/>
      <c r="CI168" s="644"/>
      <c r="CJ168" s="644"/>
      <c r="CK168" s="644"/>
      <c r="CL168" s="644"/>
      <c r="CM168" s="95"/>
      <c r="CN168" s="644"/>
      <c r="CO168" s="644"/>
      <c r="CP168" s="95"/>
      <c r="CQ168" s="95"/>
      <c r="CR168" s="95"/>
      <c r="CS168" s="95"/>
      <c r="CT168" s="95"/>
      <c r="CU168" s="108"/>
      <c r="CV168" s="109"/>
      <c r="CW168" s="644"/>
      <c r="CX168" s="496"/>
      <c r="CY168" s="637"/>
      <c r="CZ168" s="644"/>
      <c r="DA168" s="644"/>
      <c r="DB168" s="644"/>
      <c r="DC168" s="496"/>
      <c r="DD168" s="644"/>
      <c r="DE168" s="101"/>
      <c r="DF168" s="644"/>
      <c r="DG168" s="101"/>
      <c r="DH168" s="644"/>
      <c r="DI168" s="644"/>
      <c r="DJ168" s="644"/>
      <c r="DK168" s="644"/>
      <c r="DL168" s="644"/>
      <c r="DM168" s="101"/>
      <c r="DN168" s="644"/>
      <c r="DO168" s="644"/>
      <c r="DP168" s="644"/>
      <c r="DQ168" s="644"/>
      <c r="DR168" s="644"/>
      <c r="DS168" s="644"/>
      <c r="DT168" s="644"/>
      <c r="DU168" s="644"/>
      <c r="DV168" s="644"/>
      <c r="DW168" s="101"/>
      <c r="DX168" s="646"/>
      <c r="DY168" s="646"/>
      <c r="DZ168" s="646"/>
      <c r="EA168" s="646"/>
      <c r="EB168" s="646"/>
      <c r="EC168" s="646"/>
      <c r="ED168" s="646"/>
      <c r="EE168" s="646"/>
      <c r="EF168" s="646"/>
      <c r="EG168" s="646"/>
      <c r="EH168" s="646"/>
      <c r="EI168" s="646"/>
      <c r="EJ168" s="646"/>
      <c r="EK168" s="271"/>
      <c r="EL168" s="644"/>
      <c r="EM168" s="634"/>
      <c r="EN168" s="647"/>
      <c r="EO168" s="648"/>
      <c r="EP168" s="647"/>
      <c r="EQ168" s="647"/>
      <c r="ER168" s="647"/>
      <c r="ES168" s="139"/>
      <c r="EV168" s="647"/>
      <c r="EW168" s="647"/>
      <c r="EX168" s="647"/>
      <c r="EY168" s="647"/>
      <c r="EZ168" s="647"/>
      <c r="FA168" s="646"/>
      <c r="FB168" s="646"/>
      <c r="FC168" s="646"/>
      <c r="FD168" s="646"/>
      <c r="FE168" s="646"/>
      <c r="FF168" s="646"/>
      <c r="FG168" s="647"/>
      <c r="FH168" s="647"/>
      <c r="FI168" s="647"/>
      <c r="FJ168" s="647"/>
      <c r="FK168" s="647"/>
      <c r="FL168" s="647"/>
      <c r="FM168" s="647"/>
      <c r="FN168" s="647"/>
      <c r="FO168" s="647"/>
      <c r="FP168" s="647"/>
      <c r="FQ168" s="647"/>
      <c r="FR168" s="647"/>
      <c r="FS168" s="101"/>
      <c r="FT168" s="95"/>
      <c r="FU168" s="634"/>
      <c r="FV168" s="101"/>
      <c r="FW168" s="101"/>
      <c r="FX168" s="634"/>
      <c r="FY168" s="634"/>
      <c r="FZ168" s="634"/>
      <c r="GA168" s="634"/>
      <c r="GB168" s="634"/>
      <c r="GC168" s="634"/>
      <c r="GD168" s="634"/>
      <c r="GE168" s="634"/>
      <c r="GF168" s="634"/>
      <c r="GG168" s="634"/>
      <c r="GH168" s="634"/>
      <c r="GI168" s="634"/>
      <c r="GJ168" s="634"/>
      <c r="GK168" s="634"/>
      <c r="GL168" s="101"/>
      <c r="GM168" s="101"/>
      <c r="GN168" s="101"/>
      <c r="GO168" s="643"/>
      <c r="GP168" s="644"/>
      <c r="GQ168" s="643"/>
      <c r="GR168" s="644"/>
      <c r="GS168" s="643"/>
      <c r="GT168" s="644"/>
      <c r="GU168" s="644"/>
      <c r="GV168" s="644"/>
      <c r="GW168" s="644"/>
      <c r="GX168" s="644"/>
      <c r="GY168" s="644"/>
      <c r="GZ168" s="644"/>
    </row>
    <row r="169" spans="1:210">
      <c r="A169" s="638"/>
      <c r="B169" s="95"/>
      <c r="C169" s="95"/>
      <c r="D169" s="95"/>
      <c r="E169" s="96"/>
      <c r="F169" s="95"/>
      <c r="G169" s="95"/>
      <c r="H169" s="99"/>
      <c r="I169" s="95"/>
      <c r="J169" s="95"/>
      <c r="K169" s="95"/>
      <c r="L169" s="95"/>
      <c r="M169" s="95"/>
      <c r="N169" s="95"/>
      <c r="O169" s="95"/>
      <c r="P169" s="95"/>
      <c r="Q169" s="95"/>
      <c r="R169" s="95"/>
      <c r="S169" s="101"/>
      <c r="T169" s="95"/>
      <c r="U169" s="101"/>
      <c r="V169" s="139"/>
      <c r="W169" s="101"/>
      <c r="X169" s="95"/>
      <c r="Y169" s="101"/>
      <c r="Z169" s="95"/>
      <c r="AA169" s="101"/>
      <c r="AB169" s="95"/>
      <c r="AC169" s="101"/>
      <c r="AD169" s="270"/>
      <c r="AE169" s="271"/>
      <c r="AF169" s="270"/>
      <c r="AG169" s="270"/>
      <c r="AH169" s="270"/>
      <c r="AI169" s="270"/>
      <c r="AJ169" s="270"/>
      <c r="AK169" s="270"/>
      <c r="AL169" s="270"/>
      <c r="AM169" s="271"/>
      <c r="AN169" s="270"/>
      <c r="AO169" s="270"/>
      <c r="AP169" s="270"/>
      <c r="AQ169" s="271"/>
      <c r="AR169" s="270"/>
      <c r="AS169" s="270"/>
      <c r="AT169" s="270"/>
      <c r="AU169" s="270"/>
      <c r="AV169" s="270"/>
      <c r="AW169" s="270"/>
      <c r="AX169" s="270"/>
      <c r="AY169" s="270"/>
      <c r="AZ169" s="646"/>
      <c r="BA169" s="646"/>
      <c r="BB169" s="644"/>
      <c r="BC169" s="644"/>
      <c r="BD169" s="644"/>
      <c r="BE169" s="644"/>
      <c r="BF169" s="644"/>
      <c r="BG169" s="644"/>
      <c r="BH169" s="644"/>
      <c r="BI169" s="644"/>
      <c r="BJ169" s="644"/>
      <c r="BK169" s="644"/>
      <c r="BL169" s="644"/>
      <c r="BM169" s="95"/>
      <c r="BN169" s="644"/>
      <c r="BO169" s="95"/>
      <c r="BP169" s="644"/>
      <c r="BQ169" s="644"/>
      <c r="BR169" s="644"/>
      <c r="BS169" s="644"/>
      <c r="BT169" s="644"/>
      <c r="BU169" s="644"/>
      <c r="BV169" s="644"/>
      <c r="BW169" s="644"/>
      <c r="BX169" s="644"/>
      <c r="BY169" s="644"/>
      <c r="BZ169" s="644"/>
      <c r="CA169" s="644"/>
      <c r="CB169" s="644"/>
      <c r="CC169" s="644"/>
      <c r="CD169" s="644"/>
      <c r="CE169" s="644"/>
      <c r="CF169" s="644"/>
      <c r="CG169" s="644"/>
      <c r="CH169" s="644"/>
      <c r="CI169" s="644"/>
      <c r="CJ169" s="644"/>
      <c r="CK169" s="644"/>
      <c r="CL169" s="644"/>
      <c r="CM169" s="95"/>
      <c r="CN169" s="644"/>
      <c r="CO169" s="644"/>
      <c r="CP169" s="95"/>
      <c r="CQ169" s="95"/>
      <c r="CR169" s="95"/>
      <c r="CS169" s="95"/>
      <c r="CT169" s="95"/>
      <c r="CU169" s="108"/>
      <c r="CV169" s="109"/>
      <c r="CW169" s="644"/>
      <c r="CX169" s="496"/>
      <c r="CY169" s="637"/>
      <c r="CZ169" s="644"/>
      <c r="DA169" s="644"/>
      <c r="DB169" s="644"/>
      <c r="DC169" s="496"/>
      <c r="DD169" s="644"/>
      <c r="DE169" s="101"/>
      <c r="DF169" s="644"/>
      <c r="DG169" s="101"/>
      <c r="DH169" s="644"/>
      <c r="DI169" s="644"/>
      <c r="DJ169" s="644"/>
      <c r="DK169" s="644"/>
      <c r="DL169" s="644"/>
      <c r="DM169" s="101"/>
      <c r="DN169" s="644"/>
      <c r="DO169" s="644"/>
      <c r="DP169" s="644"/>
      <c r="DQ169" s="644"/>
      <c r="DR169" s="644"/>
      <c r="DS169" s="644"/>
      <c r="DT169" s="644"/>
      <c r="DU169" s="644"/>
      <c r="DV169" s="644"/>
      <c r="DW169" s="101"/>
      <c r="DX169" s="646"/>
      <c r="DY169" s="646"/>
      <c r="DZ169" s="646"/>
      <c r="EA169" s="646"/>
      <c r="EB169" s="646"/>
      <c r="EC169" s="646"/>
      <c r="ED169" s="646"/>
      <c r="EE169" s="646"/>
      <c r="EF169" s="646"/>
      <c r="EG169" s="646"/>
      <c r="EH169" s="646"/>
      <c r="EI169" s="646"/>
      <c r="EJ169" s="646"/>
      <c r="EK169" s="271"/>
      <c r="EL169" s="644"/>
      <c r="EM169" s="634"/>
      <c r="EN169" s="647"/>
      <c r="EO169" s="648"/>
      <c r="EP169" s="647"/>
      <c r="EQ169" s="647"/>
      <c r="ER169" s="647"/>
      <c r="ES169" s="139"/>
      <c r="EV169" s="647"/>
      <c r="EW169" s="647"/>
      <c r="EX169" s="647"/>
      <c r="EY169" s="647"/>
      <c r="EZ169" s="647"/>
      <c r="FA169" s="646"/>
      <c r="FB169" s="646"/>
      <c r="FC169" s="646"/>
      <c r="FD169" s="646"/>
      <c r="FE169" s="646"/>
      <c r="FF169" s="646"/>
      <c r="FG169" s="647"/>
      <c r="FH169" s="647"/>
      <c r="FI169" s="647"/>
      <c r="FJ169" s="647"/>
      <c r="FK169" s="647"/>
      <c r="FL169" s="647"/>
      <c r="FM169" s="647"/>
      <c r="FN169" s="647"/>
      <c r="FO169" s="647"/>
      <c r="FP169" s="647"/>
      <c r="FQ169" s="647"/>
      <c r="FR169" s="647"/>
      <c r="FS169" s="101"/>
      <c r="FT169" s="95"/>
      <c r="FU169" s="634"/>
      <c r="FV169" s="101"/>
      <c r="FW169" s="101"/>
      <c r="FX169" s="634"/>
      <c r="FY169" s="634"/>
      <c r="FZ169" s="634"/>
      <c r="GA169" s="634"/>
      <c r="GB169" s="634"/>
      <c r="GC169" s="634"/>
      <c r="GD169" s="634"/>
      <c r="GE169" s="634"/>
      <c r="GF169" s="634"/>
      <c r="GG169" s="634"/>
      <c r="GH169" s="634"/>
      <c r="GI169" s="634"/>
      <c r="GJ169" s="634"/>
      <c r="GK169" s="634"/>
      <c r="GL169" s="101"/>
      <c r="GM169" s="101"/>
      <c r="GN169" s="101"/>
      <c r="GO169" s="643"/>
      <c r="GP169" s="644"/>
      <c r="GQ169" s="643"/>
      <c r="GR169" s="644"/>
      <c r="GS169" s="643"/>
      <c r="GT169" s="644"/>
      <c r="GU169" s="644"/>
      <c r="GV169" s="644"/>
      <c r="GW169" s="644"/>
      <c r="GX169" s="644"/>
      <c r="GY169" s="644"/>
      <c r="GZ169" s="644"/>
    </row>
    <row r="170" spans="1:210">
      <c r="A170" s="638"/>
      <c r="B170" s="95"/>
      <c r="C170" s="95"/>
      <c r="D170" s="95"/>
      <c r="E170" s="96"/>
      <c r="F170" s="95"/>
      <c r="G170" s="95"/>
      <c r="H170" s="99"/>
      <c r="I170" s="95"/>
      <c r="J170" s="95"/>
      <c r="K170" s="95"/>
      <c r="L170" s="95"/>
      <c r="M170" s="95"/>
      <c r="N170" s="95"/>
      <c r="O170" s="95"/>
      <c r="P170" s="95"/>
      <c r="Q170" s="95"/>
      <c r="R170" s="95"/>
      <c r="S170" s="101"/>
      <c r="T170" s="95"/>
      <c r="U170" s="101"/>
      <c r="V170" s="139"/>
      <c r="W170" s="101"/>
      <c r="X170" s="95"/>
      <c r="Y170" s="101"/>
      <c r="Z170" s="95"/>
      <c r="AA170" s="101"/>
      <c r="AB170" s="95"/>
      <c r="AC170" s="101"/>
      <c r="AD170" s="270"/>
      <c r="AE170" s="271"/>
      <c r="AF170" s="270"/>
      <c r="AG170" s="270"/>
      <c r="AH170" s="270"/>
      <c r="AI170" s="270"/>
      <c r="AJ170" s="270"/>
      <c r="AK170" s="270"/>
      <c r="AL170" s="270"/>
      <c r="AM170" s="271"/>
      <c r="AN170" s="270"/>
      <c r="AO170" s="270"/>
      <c r="AP170" s="270"/>
      <c r="AQ170" s="271"/>
      <c r="AR170" s="270"/>
      <c r="AS170" s="270"/>
      <c r="AT170" s="270"/>
      <c r="AU170" s="270"/>
      <c r="AV170" s="270"/>
      <c r="AW170" s="270"/>
      <c r="AX170" s="270"/>
      <c r="AY170" s="270"/>
      <c r="AZ170" s="646"/>
      <c r="BA170" s="646"/>
      <c r="BB170" s="644"/>
      <c r="BC170" s="644"/>
      <c r="BD170" s="644"/>
      <c r="BE170" s="644"/>
      <c r="BF170" s="644"/>
      <c r="BG170" s="644"/>
      <c r="BH170" s="644"/>
      <c r="BI170" s="644"/>
      <c r="BJ170" s="644"/>
      <c r="BK170" s="644"/>
      <c r="BL170" s="644"/>
      <c r="BM170" s="95"/>
      <c r="BN170" s="644"/>
      <c r="BO170" s="95"/>
      <c r="BP170" s="644"/>
      <c r="BQ170" s="644"/>
      <c r="BR170" s="644"/>
      <c r="BS170" s="644"/>
      <c r="BT170" s="644"/>
      <c r="BU170" s="644"/>
      <c r="BV170" s="644"/>
      <c r="BW170" s="644"/>
      <c r="BX170" s="644"/>
      <c r="BY170" s="644"/>
      <c r="BZ170" s="644"/>
      <c r="CA170" s="644"/>
      <c r="CB170" s="644"/>
      <c r="CC170" s="644"/>
      <c r="CD170" s="644"/>
      <c r="CE170" s="644"/>
      <c r="CF170" s="644"/>
      <c r="CG170" s="644"/>
      <c r="CH170" s="644"/>
      <c r="CI170" s="644"/>
      <c r="CJ170" s="644"/>
      <c r="CK170" s="644"/>
      <c r="CL170" s="644"/>
      <c r="CM170" s="95"/>
      <c r="CN170" s="644"/>
      <c r="CO170" s="644"/>
      <c r="CP170" s="95"/>
      <c r="CQ170" s="95"/>
      <c r="CR170" s="95"/>
      <c r="CS170" s="95"/>
      <c r="CT170" s="95"/>
      <c r="CU170" s="108"/>
      <c r="CV170" s="109"/>
      <c r="CW170" s="644"/>
      <c r="CX170" s="496"/>
      <c r="CY170" s="637"/>
      <c r="CZ170" s="644"/>
      <c r="DA170" s="644"/>
      <c r="DB170" s="644"/>
      <c r="DC170" s="496"/>
      <c r="DD170" s="644"/>
      <c r="DE170" s="101"/>
      <c r="DF170" s="644"/>
      <c r="DG170" s="101"/>
      <c r="DH170" s="644"/>
      <c r="DI170" s="644"/>
      <c r="DJ170" s="644"/>
      <c r="DK170" s="644"/>
      <c r="DL170" s="644"/>
      <c r="DM170" s="101"/>
      <c r="DN170" s="644"/>
      <c r="DO170" s="644"/>
      <c r="DP170" s="644"/>
      <c r="DQ170" s="644"/>
      <c r="DR170" s="644"/>
      <c r="DS170" s="644"/>
      <c r="DT170" s="644"/>
      <c r="DU170" s="644"/>
      <c r="DV170" s="644"/>
      <c r="DW170" s="101"/>
      <c r="DX170" s="646"/>
      <c r="DY170" s="646"/>
      <c r="DZ170" s="646"/>
      <c r="EA170" s="646"/>
      <c r="EB170" s="646"/>
      <c r="EC170" s="646"/>
      <c r="ED170" s="646"/>
      <c r="EE170" s="646"/>
      <c r="EF170" s="646"/>
      <c r="EG170" s="646"/>
      <c r="EH170" s="646"/>
      <c r="EI170" s="646"/>
      <c r="EJ170" s="646"/>
      <c r="EK170" s="271"/>
      <c r="EL170" s="644"/>
      <c r="EM170" s="634"/>
      <c r="EN170" s="647"/>
      <c r="EO170" s="648"/>
      <c r="EP170" s="647"/>
      <c r="EQ170" s="647"/>
      <c r="ER170" s="647"/>
      <c r="ES170" s="139"/>
      <c r="EV170" s="647"/>
      <c r="EW170" s="647"/>
      <c r="EX170" s="647"/>
      <c r="EY170" s="647"/>
      <c r="EZ170" s="647"/>
      <c r="FA170" s="646"/>
      <c r="FB170" s="646"/>
      <c r="FC170" s="646"/>
      <c r="FD170" s="646"/>
      <c r="FE170" s="646"/>
      <c r="FF170" s="646"/>
      <c r="FG170" s="647"/>
      <c r="FH170" s="647"/>
      <c r="FI170" s="647"/>
      <c r="FJ170" s="647"/>
      <c r="FK170" s="647"/>
      <c r="FL170" s="647"/>
      <c r="FM170" s="647"/>
      <c r="FN170" s="647"/>
      <c r="FO170" s="647"/>
      <c r="FP170" s="647"/>
      <c r="FQ170" s="647"/>
      <c r="FR170" s="647"/>
      <c r="FS170" s="101"/>
      <c r="FT170" s="95"/>
      <c r="FU170" s="634"/>
      <c r="FV170" s="101"/>
      <c r="FW170" s="101"/>
      <c r="FX170" s="634"/>
      <c r="FY170" s="634"/>
      <c r="FZ170" s="634"/>
      <c r="GA170" s="634"/>
      <c r="GB170" s="634"/>
      <c r="GC170" s="634"/>
      <c r="GD170" s="634"/>
      <c r="GE170" s="634"/>
      <c r="GF170" s="634"/>
      <c r="GG170" s="634"/>
      <c r="GH170" s="634"/>
      <c r="GI170" s="634"/>
      <c r="GJ170" s="634"/>
      <c r="GK170" s="634"/>
      <c r="GL170" s="101"/>
      <c r="GM170" s="101"/>
      <c r="GN170" s="101"/>
      <c r="GO170" s="643"/>
      <c r="GP170" s="644"/>
      <c r="GQ170" s="643"/>
      <c r="GR170" s="644"/>
      <c r="GS170" s="643"/>
      <c r="GT170" s="644"/>
      <c r="GU170" s="644"/>
      <c r="GV170" s="644"/>
      <c r="GW170" s="644"/>
      <c r="GX170" s="644"/>
      <c r="GY170" s="644"/>
      <c r="GZ170" s="644"/>
    </row>
    <row r="171" spans="1:210">
      <c r="A171" s="638"/>
      <c r="B171" s="95"/>
      <c r="C171" s="95"/>
      <c r="D171" s="95"/>
      <c r="E171" s="96"/>
      <c r="F171" s="95"/>
      <c r="G171" s="95"/>
      <c r="H171" s="99"/>
      <c r="I171" s="95"/>
      <c r="J171" s="95"/>
      <c r="K171" s="95"/>
      <c r="L171" s="95"/>
      <c r="M171" s="95"/>
      <c r="N171" s="95"/>
      <c r="O171" s="95"/>
      <c r="P171" s="95"/>
      <c r="Q171" s="95"/>
      <c r="R171" s="95"/>
      <c r="S171" s="101"/>
      <c r="T171" s="95"/>
      <c r="U171" s="101"/>
      <c r="V171" s="139"/>
      <c r="W171" s="101"/>
      <c r="X171" s="95"/>
      <c r="Y171" s="101"/>
      <c r="Z171" s="95"/>
      <c r="AA171" s="101"/>
      <c r="AB171" s="95"/>
      <c r="AC171" s="101"/>
      <c r="AD171" s="270"/>
      <c r="AE171" s="271"/>
      <c r="AF171" s="270"/>
      <c r="AG171" s="270"/>
      <c r="AH171" s="270"/>
      <c r="AI171" s="270"/>
      <c r="AJ171" s="270"/>
      <c r="AK171" s="270"/>
      <c r="AL171" s="270"/>
      <c r="AM171" s="271"/>
      <c r="AN171" s="270"/>
      <c r="AO171" s="270"/>
      <c r="AP171" s="270"/>
      <c r="AQ171" s="271"/>
      <c r="AR171" s="270"/>
      <c r="AS171" s="270"/>
      <c r="AT171" s="270"/>
      <c r="AU171" s="270"/>
      <c r="AV171" s="270"/>
      <c r="AW171" s="270"/>
      <c r="AX171" s="270"/>
      <c r="AY171" s="270"/>
      <c r="AZ171" s="646"/>
      <c r="BA171" s="646"/>
      <c r="BB171" s="644"/>
      <c r="BC171" s="644"/>
      <c r="BD171" s="644"/>
      <c r="BE171" s="644"/>
      <c r="BF171" s="644"/>
      <c r="BG171" s="644"/>
      <c r="BH171" s="644"/>
      <c r="BI171" s="644"/>
      <c r="BJ171" s="644"/>
      <c r="BK171" s="644"/>
      <c r="BL171" s="644"/>
      <c r="BM171" s="95"/>
      <c r="BN171" s="644"/>
      <c r="BO171" s="95"/>
      <c r="BP171" s="644"/>
      <c r="BQ171" s="644"/>
      <c r="BR171" s="644"/>
      <c r="BS171" s="644"/>
      <c r="BT171" s="644"/>
      <c r="BU171" s="644"/>
      <c r="BV171" s="644"/>
      <c r="BW171" s="644"/>
      <c r="BX171" s="644"/>
      <c r="BY171" s="644"/>
      <c r="BZ171" s="644"/>
      <c r="CA171" s="644"/>
      <c r="CB171" s="644"/>
      <c r="CC171" s="644"/>
      <c r="CD171" s="644"/>
      <c r="CE171" s="644"/>
      <c r="CF171" s="644"/>
      <c r="CG171" s="644"/>
      <c r="CH171" s="644"/>
      <c r="CI171" s="644"/>
      <c r="CJ171" s="644"/>
      <c r="CK171" s="644"/>
      <c r="CL171" s="644"/>
      <c r="CM171" s="95"/>
      <c r="CN171" s="644"/>
      <c r="CO171" s="644"/>
      <c r="CP171" s="95"/>
      <c r="CQ171" s="95"/>
      <c r="CR171" s="95"/>
      <c r="CS171" s="95"/>
      <c r="CT171" s="95"/>
      <c r="CU171" s="108"/>
      <c r="CV171" s="109"/>
      <c r="CW171" s="644"/>
      <c r="CX171" s="496"/>
      <c r="CY171" s="637"/>
      <c r="CZ171" s="644"/>
      <c r="DA171" s="644"/>
      <c r="DB171" s="644"/>
      <c r="DC171" s="496"/>
      <c r="DD171" s="644"/>
      <c r="DE171" s="101"/>
      <c r="DF171" s="644"/>
      <c r="DG171" s="101"/>
      <c r="DH171" s="644"/>
      <c r="DI171" s="644"/>
      <c r="DJ171" s="644"/>
      <c r="DK171" s="644"/>
      <c r="DL171" s="644"/>
      <c r="DM171" s="101"/>
      <c r="DN171" s="644"/>
      <c r="DO171" s="644"/>
      <c r="DP171" s="644"/>
      <c r="DQ171" s="644"/>
      <c r="DR171" s="644"/>
      <c r="DS171" s="644"/>
      <c r="DT171" s="644"/>
      <c r="DU171" s="644"/>
      <c r="DV171" s="644"/>
      <c r="DW171" s="101"/>
      <c r="DX171" s="646"/>
      <c r="DY171" s="646"/>
      <c r="DZ171" s="646"/>
      <c r="EA171" s="646"/>
      <c r="EB171" s="646"/>
      <c r="EC171" s="646"/>
      <c r="ED171" s="646"/>
      <c r="EE171" s="646"/>
      <c r="EF171" s="646"/>
      <c r="EG171" s="646"/>
      <c r="EH171" s="646"/>
      <c r="EI171" s="646"/>
      <c r="EJ171" s="646"/>
      <c r="EK171" s="271"/>
      <c r="EL171" s="644"/>
      <c r="EM171" s="634"/>
      <c r="EN171" s="647"/>
      <c r="EO171" s="648"/>
      <c r="EP171" s="647"/>
      <c r="EQ171" s="647"/>
      <c r="ER171" s="647"/>
      <c r="ES171" s="139"/>
      <c r="EV171" s="647"/>
      <c r="EW171" s="647"/>
      <c r="EX171" s="647"/>
      <c r="EY171" s="647"/>
      <c r="EZ171" s="647"/>
      <c r="FA171" s="646"/>
      <c r="FB171" s="646"/>
      <c r="FC171" s="646"/>
      <c r="FD171" s="646"/>
      <c r="FE171" s="646"/>
      <c r="FF171" s="646"/>
      <c r="FG171" s="647"/>
      <c r="FH171" s="647"/>
      <c r="FI171" s="647"/>
      <c r="FJ171" s="647"/>
      <c r="FK171" s="647"/>
      <c r="FL171" s="647"/>
      <c r="FM171" s="647"/>
      <c r="FN171" s="647"/>
      <c r="FO171" s="647"/>
      <c r="FP171" s="647"/>
      <c r="FQ171" s="647"/>
      <c r="FR171" s="647"/>
      <c r="FS171" s="101"/>
      <c r="FT171" s="95"/>
      <c r="FU171" s="634"/>
      <c r="FV171" s="101"/>
      <c r="FW171" s="101"/>
      <c r="FX171" s="634"/>
      <c r="FY171" s="634"/>
      <c r="FZ171" s="634"/>
      <c r="GA171" s="634"/>
      <c r="GB171" s="634"/>
      <c r="GC171" s="634"/>
      <c r="GD171" s="634"/>
      <c r="GE171" s="634"/>
      <c r="GF171" s="634"/>
      <c r="GG171" s="634"/>
      <c r="GH171" s="634"/>
      <c r="GI171" s="634"/>
      <c r="GJ171" s="634"/>
      <c r="GK171" s="634"/>
      <c r="GL171" s="101"/>
      <c r="GM171" s="101"/>
      <c r="GN171" s="101"/>
      <c r="GO171" s="643"/>
      <c r="GP171" s="644"/>
      <c r="GQ171" s="643"/>
      <c r="GR171" s="644"/>
      <c r="GS171" s="643"/>
      <c r="GT171" s="644"/>
      <c r="GU171" s="644"/>
      <c r="GV171" s="644"/>
      <c r="GW171" s="644"/>
      <c r="GX171" s="644"/>
      <c r="GY171" s="644"/>
      <c r="GZ171" s="644"/>
    </row>
    <row r="172" spans="1:210">
      <c r="A172" s="638"/>
      <c r="B172" s="95"/>
      <c r="C172" s="95"/>
      <c r="D172" s="95"/>
      <c r="E172" s="96"/>
      <c r="F172" s="95"/>
      <c r="G172" s="95"/>
      <c r="H172" s="99"/>
      <c r="I172" s="95"/>
      <c r="J172" s="95"/>
      <c r="K172" s="95"/>
      <c r="L172" s="95"/>
      <c r="M172" s="95"/>
      <c r="N172" s="95"/>
      <c r="O172" s="95"/>
      <c r="P172" s="95"/>
      <c r="Q172" s="95"/>
      <c r="R172" s="95"/>
      <c r="S172" s="101"/>
      <c r="T172" s="95"/>
      <c r="U172" s="101"/>
      <c r="V172" s="139"/>
      <c r="W172" s="101"/>
      <c r="X172" s="95"/>
      <c r="Y172" s="101"/>
      <c r="Z172" s="95"/>
      <c r="AA172" s="101"/>
      <c r="AB172" s="95"/>
      <c r="AC172" s="101"/>
      <c r="AD172" s="270"/>
      <c r="AE172" s="271"/>
      <c r="AF172" s="270"/>
      <c r="AG172" s="270"/>
      <c r="AH172" s="270"/>
      <c r="AI172" s="270"/>
      <c r="AJ172" s="270"/>
      <c r="AK172" s="270"/>
      <c r="AL172" s="270"/>
      <c r="AM172" s="271"/>
      <c r="AN172" s="270"/>
      <c r="AO172" s="270"/>
      <c r="AP172" s="270"/>
      <c r="AQ172" s="271"/>
      <c r="AR172" s="270"/>
      <c r="AS172" s="270"/>
      <c r="AT172" s="270"/>
      <c r="AU172" s="270"/>
      <c r="AV172" s="270"/>
      <c r="AW172" s="270"/>
      <c r="AX172" s="270"/>
      <c r="AY172" s="270"/>
      <c r="AZ172" s="646"/>
      <c r="BA172" s="646"/>
      <c r="BB172" s="644"/>
      <c r="BC172" s="644"/>
      <c r="BD172" s="644"/>
      <c r="BE172" s="644"/>
      <c r="BF172" s="644"/>
      <c r="BG172" s="644"/>
      <c r="BH172" s="644"/>
      <c r="BI172" s="644"/>
      <c r="BJ172" s="644"/>
      <c r="BK172" s="644"/>
      <c r="BL172" s="644"/>
      <c r="BM172" s="95"/>
      <c r="BN172" s="644"/>
      <c r="BO172" s="95"/>
      <c r="BP172" s="644"/>
      <c r="BQ172" s="644"/>
      <c r="BR172" s="644"/>
      <c r="BS172" s="644"/>
      <c r="BT172" s="644"/>
      <c r="BU172" s="644"/>
      <c r="BV172" s="644"/>
      <c r="BW172" s="644"/>
      <c r="BX172" s="644"/>
      <c r="BY172" s="644"/>
      <c r="BZ172" s="644"/>
      <c r="CA172" s="644"/>
      <c r="CB172" s="644"/>
      <c r="CC172" s="644"/>
      <c r="CD172" s="644"/>
      <c r="CE172" s="644"/>
      <c r="CF172" s="644"/>
      <c r="CG172" s="644"/>
      <c r="CH172" s="644"/>
      <c r="CI172" s="644"/>
      <c r="CJ172" s="644"/>
      <c r="CK172" s="644"/>
      <c r="CL172" s="644"/>
      <c r="CM172" s="95"/>
      <c r="CN172" s="644"/>
      <c r="CO172" s="644"/>
      <c r="CP172" s="95"/>
      <c r="CQ172" s="95"/>
      <c r="CR172" s="95"/>
      <c r="CS172" s="95"/>
      <c r="CT172" s="95"/>
      <c r="CU172" s="108"/>
      <c r="CV172" s="109"/>
      <c r="CW172" s="644"/>
      <c r="CX172" s="496"/>
      <c r="CY172" s="637"/>
      <c r="CZ172" s="644"/>
      <c r="DA172" s="644"/>
      <c r="DB172" s="644"/>
      <c r="DC172" s="496"/>
      <c r="DD172" s="644"/>
      <c r="DE172" s="101"/>
      <c r="DF172" s="644"/>
      <c r="DG172" s="101"/>
      <c r="DH172" s="644"/>
      <c r="DI172" s="644"/>
      <c r="DJ172" s="644"/>
      <c r="DK172" s="644"/>
      <c r="DL172" s="644"/>
      <c r="DM172" s="101"/>
      <c r="DN172" s="644"/>
      <c r="DO172" s="644"/>
      <c r="DP172" s="644"/>
      <c r="DQ172" s="644"/>
      <c r="DR172" s="644"/>
      <c r="DS172" s="644"/>
      <c r="DT172" s="644"/>
      <c r="DU172" s="644"/>
      <c r="DV172" s="644"/>
      <c r="DW172" s="101"/>
      <c r="DX172" s="646"/>
      <c r="DY172" s="646"/>
      <c r="DZ172" s="646"/>
      <c r="EA172" s="646"/>
      <c r="EB172" s="646"/>
      <c r="EC172" s="646"/>
      <c r="ED172" s="646"/>
      <c r="EE172" s="646"/>
      <c r="EF172" s="646"/>
      <c r="EG172" s="646"/>
      <c r="EH172" s="646"/>
      <c r="EI172" s="646"/>
      <c r="EJ172" s="646"/>
      <c r="EK172" s="271"/>
      <c r="EL172" s="644"/>
      <c r="EM172" s="634"/>
      <c r="EN172" s="647"/>
      <c r="EO172" s="648"/>
      <c r="EP172" s="647"/>
      <c r="EQ172" s="647"/>
      <c r="ER172" s="647"/>
      <c r="ES172" s="139"/>
      <c r="EV172" s="647"/>
      <c r="EW172" s="647"/>
      <c r="EX172" s="647"/>
      <c r="EY172" s="647"/>
      <c r="EZ172" s="647"/>
      <c r="FA172" s="646"/>
      <c r="FB172" s="646"/>
      <c r="FC172" s="646"/>
      <c r="FD172" s="646"/>
      <c r="FE172" s="646"/>
      <c r="FF172" s="646"/>
      <c r="FG172" s="647"/>
      <c r="FH172" s="647"/>
      <c r="FI172" s="647"/>
      <c r="FJ172" s="647"/>
      <c r="FK172" s="647"/>
      <c r="FL172" s="647"/>
      <c r="FM172" s="647"/>
      <c r="FN172" s="647"/>
      <c r="FO172" s="647"/>
      <c r="FP172" s="647"/>
      <c r="FQ172" s="647"/>
      <c r="FR172" s="647"/>
      <c r="FS172" s="101"/>
      <c r="FT172" s="95"/>
      <c r="FU172" s="634"/>
      <c r="FV172" s="101"/>
      <c r="FW172" s="101"/>
      <c r="FX172" s="634"/>
      <c r="FY172" s="634"/>
      <c r="FZ172" s="634"/>
      <c r="GA172" s="634"/>
      <c r="GB172" s="634"/>
      <c r="GC172" s="634"/>
      <c r="GD172" s="634"/>
      <c r="GE172" s="634"/>
      <c r="GF172" s="634"/>
      <c r="GG172" s="634"/>
      <c r="GH172" s="634"/>
      <c r="GI172" s="634"/>
      <c r="GJ172" s="634"/>
      <c r="GK172" s="634"/>
      <c r="GL172" s="101"/>
      <c r="GM172" s="101"/>
      <c r="GN172" s="101"/>
      <c r="GO172" s="643"/>
      <c r="GP172" s="644"/>
      <c r="GQ172" s="643"/>
      <c r="GR172" s="644"/>
      <c r="GS172" s="643"/>
      <c r="GT172" s="644"/>
      <c r="GU172" s="644"/>
      <c r="GV172" s="644"/>
      <c r="GW172" s="644"/>
      <c r="GX172" s="644"/>
      <c r="GY172" s="644"/>
      <c r="GZ172" s="644"/>
    </row>
    <row r="173" spans="1:210">
      <c r="A173" s="638"/>
      <c r="B173" s="95"/>
      <c r="C173" s="95"/>
      <c r="D173" s="95"/>
      <c r="E173" s="650"/>
      <c r="F173" s="95"/>
      <c r="G173" s="95"/>
      <c r="H173" s="99"/>
      <c r="I173" s="95"/>
      <c r="J173" s="95"/>
      <c r="K173" s="95"/>
      <c r="L173" s="95"/>
      <c r="M173" s="95"/>
      <c r="N173" s="95"/>
      <c r="O173" s="95"/>
      <c r="P173" s="95"/>
      <c r="Q173" s="95"/>
      <c r="R173" s="95"/>
      <c r="S173" s="101"/>
      <c r="T173" s="95"/>
      <c r="U173" s="101"/>
      <c r="V173" s="139"/>
      <c r="W173" s="101"/>
      <c r="X173" s="95"/>
      <c r="Y173" s="101"/>
      <c r="Z173" s="95"/>
      <c r="AA173" s="101"/>
      <c r="AB173" s="95"/>
      <c r="AC173" s="101"/>
      <c r="AD173" s="270"/>
      <c r="AE173" s="271"/>
      <c r="AF173" s="270"/>
      <c r="AG173" s="270"/>
      <c r="AH173" s="270"/>
      <c r="AI173" s="270"/>
      <c r="AJ173" s="270"/>
      <c r="AK173" s="270"/>
      <c r="AL173" s="270"/>
      <c r="AM173" s="271"/>
      <c r="AN173" s="270"/>
      <c r="AO173" s="270"/>
      <c r="AP173" s="270"/>
      <c r="AQ173" s="271"/>
      <c r="AR173" s="270"/>
      <c r="AS173" s="270"/>
      <c r="AT173" s="270"/>
      <c r="AU173" s="270"/>
      <c r="AV173" s="270"/>
      <c r="AW173" s="270"/>
      <c r="AX173" s="270"/>
      <c r="AY173" s="270"/>
      <c r="AZ173" s="646"/>
      <c r="BA173" s="646"/>
      <c r="BB173" s="644"/>
      <c r="BC173" s="644"/>
      <c r="BD173" s="644"/>
      <c r="BE173" s="644"/>
      <c r="BF173" s="644"/>
      <c r="BG173" s="644"/>
      <c r="BH173" s="644"/>
      <c r="BI173" s="644"/>
      <c r="BJ173" s="644"/>
      <c r="BK173" s="644"/>
      <c r="BL173" s="644"/>
      <c r="BM173" s="95"/>
      <c r="BN173" s="644"/>
      <c r="BO173" s="95"/>
      <c r="BP173" s="644"/>
      <c r="BQ173" s="644"/>
      <c r="BR173" s="644"/>
      <c r="BS173" s="644"/>
      <c r="BT173" s="644"/>
      <c r="BU173" s="644"/>
      <c r="BV173" s="644"/>
      <c r="BW173" s="644"/>
      <c r="BX173" s="644"/>
      <c r="BY173" s="644"/>
      <c r="BZ173" s="644"/>
      <c r="CA173" s="644"/>
      <c r="CB173" s="644"/>
      <c r="CC173" s="644"/>
      <c r="CD173" s="644"/>
      <c r="CE173" s="644"/>
      <c r="CF173" s="644"/>
      <c r="CG173" s="644"/>
      <c r="CH173" s="644"/>
      <c r="CI173" s="644"/>
      <c r="CJ173" s="644"/>
      <c r="CK173" s="644"/>
      <c r="CL173" s="644"/>
      <c r="CM173" s="95"/>
      <c r="CN173" s="644"/>
      <c r="CO173" s="644"/>
      <c r="CP173" s="95"/>
      <c r="CQ173" s="95"/>
      <c r="CR173" s="95"/>
      <c r="CS173" s="95"/>
      <c r="CT173" s="95"/>
      <c r="CU173" s="108"/>
      <c r="CV173" s="109"/>
      <c r="CW173" s="644"/>
      <c r="CX173" s="496"/>
      <c r="CY173" s="637"/>
      <c r="CZ173" s="644"/>
      <c r="DA173" s="644"/>
      <c r="DB173" s="644"/>
      <c r="DC173" s="496"/>
      <c r="DD173" s="644"/>
      <c r="DE173" s="101"/>
      <c r="DF173" s="644"/>
      <c r="DG173" s="101"/>
      <c r="DH173" s="644"/>
      <c r="DI173" s="644"/>
      <c r="DJ173" s="644"/>
      <c r="DK173" s="644"/>
      <c r="DL173" s="644"/>
      <c r="DM173" s="101"/>
      <c r="DN173" s="644"/>
      <c r="DO173" s="644"/>
      <c r="DP173" s="644"/>
      <c r="DQ173" s="644"/>
      <c r="DR173" s="644"/>
      <c r="DS173" s="644"/>
      <c r="DT173" s="644"/>
      <c r="DU173" s="644"/>
      <c r="DV173" s="644"/>
      <c r="DW173" s="101"/>
      <c r="DX173" s="646"/>
      <c r="DY173" s="646"/>
      <c r="DZ173" s="646"/>
      <c r="EA173" s="646"/>
      <c r="EB173" s="646"/>
      <c r="EC173" s="646"/>
      <c r="ED173" s="646"/>
      <c r="EE173" s="646"/>
      <c r="EF173" s="646"/>
      <c r="EG173" s="646"/>
      <c r="EH173" s="646"/>
      <c r="EI173" s="646"/>
      <c r="EJ173" s="646"/>
      <c r="EK173" s="271"/>
      <c r="EL173" s="644"/>
      <c r="EM173" s="634"/>
      <c r="EN173" s="647"/>
      <c r="EO173" s="648"/>
      <c r="EP173" s="647"/>
      <c r="EQ173" s="647"/>
      <c r="ER173" s="647"/>
      <c r="ES173" s="139"/>
      <c r="EV173" s="647"/>
      <c r="EW173" s="647"/>
      <c r="EX173" s="647"/>
      <c r="EY173" s="647"/>
      <c r="EZ173" s="647"/>
      <c r="FA173" s="646"/>
      <c r="FB173" s="646"/>
      <c r="FC173" s="646"/>
      <c r="FD173" s="646"/>
      <c r="FE173" s="646"/>
      <c r="FF173" s="646"/>
      <c r="FG173" s="647"/>
      <c r="FH173" s="647"/>
      <c r="FI173" s="647"/>
      <c r="FJ173" s="647"/>
      <c r="FK173" s="647"/>
      <c r="FL173" s="647"/>
      <c r="FM173" s="647"/>
      <c r="FN173" s="647"/>
      <c r="FO173" s="647"/>
      <c r="FP173" s="647"/>
      <c r="FQ173" s="647"/>
      <c r="FR173" s="647"/>
      <c r="FS173" s="101"/>
      <c r="FT173" s="95"/>
      <c r="FU173" s="634"/>
      <c r="FV173" s="101"/>
      <c r="FW173" s="101"/>
      <c r="FX173" s="634"/>
      <c r="FY173" s="634"/>
      <c r="FZ173" s="634"/>
      <c r="GA173" s="634"/>
      <c r="GB173" s="634"/>
      <c r="GC173" s="634"/>
      <c r="GD173" s="634"/>
      <c r="GE173" s="634"/>
      <c r="GF173" s="634"/>
      <c r="GG173" s="634"/>
      <c r="GH173" s="634"/>
      <c r="GI173" s="634"/>
      <c r="GJ173" s="634"/>
      <c r="GK173" s="634"/>
      <c r="GL173" s="101"/>
      <c r="GM173" s="101"/>
      <c r="GN173" s="101"/>
      <c r="GO173" s="643"/>
      <c r="GP173" s="644"/>
      <c r="GQ173" s="643"/>
      <c r="GR173" s="644"/>
      <c r="GS173" s="643"/>
      <c r="GT173" s="644"/>
      <c r="GU173" s="644"/>
      <c r="GV173" s="644"/>
      <c r="GW173" s="644"/>
      <c r="GX173" s="644"/>
      <c r="GY173" s="644"/>
      <c r="GZ173" s="644"/>
    </row>
    <row r="174" spans="1:210">
      <c r="A174" s="638"/>
      <c r="B174" s="95"/>
      <c r="C174" s="95"/>
      <c r="D174" s="95"/>
      <c r="E174" s="650"/>
      <c r="F174" s="95"/>
      <c r="G174" s="95"/>
      <c r="H174" s="99"/>
      <c r="I174" s="95"/>
      <c r="J174" s="95"/>
      <c r="K174" s="95"/>
      <c r="L174" s="95"/>
      <c r="M174" s="95"/>
      <c r="N174" s="95"/>
      <c r="O174" s="95"/>
      <c r="P174" s="95"/>
      <c r="Q174" s="95"/>
      <c r="R174" s="95"/>
      <c r="S174" s="101"/>
      <c r="T174" s="95"/>
      <c r="U174" s="101"/>
      <c r="V174" s="139"/>
      <c r="W174" s="101"/>
      <c r="X174" s="95"/>
      <c r="Y174" s="101"/>
      <c r="Z174" s="95"/>
      <c r="AA174" s="101"/>
      <c r="AB174" s="95"/>
      <c r="AC174" s="101"/>
      <c r="AD174" s="270"/>
      <c r="AE174" s="271"/>
      <c r="AF174" s="270"/>
      <c r="AG174" s="270"/>
      <c r="AH174" s="270"/>
      <c r="AI174" s="270"/>
      <c r="AJ174" s="270"/>
      <c r="AK174" s="270"/>
      <c r="AL174" s="270"/>
      <c r="AM174" s="271"/>
      <c r="AN174" s="270"/>
      <c r="AO174" s="270"/>
      <c r="AP174" s="270"/>
      <c r="AQ174" s="271"/>
      <c r="AR174" s="270"/>
      <c r="AS174" s="270"/>
      <c r="AT174" s="270"/>
      <c r="AU174" s="270"/>
      <c r="AV174" s="270"/>
      <c r="AW174" s="270"/>
      <c r="AX174" s="270"/>
      <c r="AY174" s="270"/>
      <c r="AZ174" s="646"/>
      <c r="BA174" s="646"/>
      <c r="BB174" s="644"/>
      <c r="BC174" s="644"/>
      <c r="BD174" s="644"/>
      <c r="BE174" s="644"/>
      <c r="BF174" s="644"/>
      <c r="BG174" s="644"/>
      <c r="BH174" s="644"/>
      <c r="BI174" s="644"/>
      <c r="BJ174" s="644"/>
      <c r="BK174" s="644"/>
      <c r="BL174" s="644"/>
      <c r="BM174" s="95"/>
      <c r="BN174" s="644"/>
      <c r="BO174" s="95"/>
      <c r="BP174" s="644"/>
      <c r="BQ174" s="644"/>
      <c r="BR174" s="644"/>
      <c r="BS174" s="644"/>
      <c r="BT174" s="644"/>
      <c r="BU174" s="644"/>
      <c r="BV174" s="644"/>
      <c r="BW174" s="644"/>
      <c r="BX174" s="644"/>
      <c r="BY174" s="644"/>
      <c r="BZ174" s="644"/>
      <c r="CA174" s="644"/>
      <c r="CB174" s="644"/>
      <c r="CC174" s="644"/>
      <c r="CD174" s="644"/>
      <c r="CE174" s="644"/>
      <c r="CF174" s="644"/>
      <c r="CG174" s="644"/>
      <c r="CH174" s="644"/>
      <c r="CI174" s="644"/>
      <c r="CJ174" s="644"/>
      <c r="CK174" s="644"/>
      <c r="CL174" s="644"/>
      <c r="CM174" s="95"/>
      <c r="CN174" s="644"/>
      <c r="CO174" s="644"/>
      <c r="CP174" s="95"/>
      <c r="CQ174" s="95"/>
      <c r="CR174" s="95"/>
      <c r="CS174" s="95"/>
      <c r="CT174" s="95"/>
      <c r="CU174" s="108"/>
      <c r="CV174" s="109"/>
      <c r="CW174" s="644"/>
      <c r="CX174" s="496"/>
      <c r="CY174" s="637"/>
      <c r="CZ174" s="644"/>
      <c r="DA174" s="644"/>
      <c r="DB174" s="644"/>
      <c r="DC174" s="496"/>
      <c r="DD174" s="644"/>
      <c r="DE174" s="101"/>
      <c r="DF174" s="644"/>
      <c r="DG174" s="101"/>
      <c r="DH174" s="644"/>
      <c r="DI174" s="644"/>
      <c r="DJ174" s="644"/>
      <c r="DK174" s="644"/>
      <c r="DL174" s="644"/>
      <c r="DM174" s="101"/>
      <c r="DN174" s="644"/>
      <c r="DO174" s="644"/>
      <c r="DP174" s="644"/>
      <c r="DQ174" s="644"/>
      <c r="DR174" s="644"/>
      <c r="DS174" s="644"/>
      <c r="DT174" s="644"/>
      <c r="DU174" s="644"/>
      <c r="DV174" s="644"/>
      <c r="DW174" s="101"/>
      <c r="DX174" s="646"/>
      <c r="DY174" s="646"/>
      <c r="DZ174" s="646"/>
      <c r="EA174" s="646"/>
      <c r="EB174" s="646"/>
      <c r="EC174" s="646"/>
      <c r="ED174" s="646"/>
      <c r="EE174" s="646"/>
      <c r="EF174" s="646"/>
      <c r="EG174" s="646"/>
      <c r="EH174" s="646"/>
      <c r="EI174" s="646"/>
      <c r="EJ174" s="646"/>
      <c r="EK174" s="271"/>
      <c r="EL174" s="644"/>
      <c r="EM174" s="634"/>
      <c r="EN174" s="647"/>
      <c r="EO174" s="648"/>
      <c r="EP174" s="647"/>
      <c r="EQ174" s="647"/>
      <c r="ER174" s="647"/>
      <c r="ES174" s="139"/>
      <c r="EV174" s="647"/>
      <c r="EW174" s="647"/>
      <c r="EX174" s="647"/>
      <c r="EY174" s="647"/>
      <c r="EZ174" s="647"/>
      <c r="FA174" s="646"/>
      <c r="FB174" s="646"/>
      <c r="FC174" s="646"/>
      <c r="FD174" s="646"/>
      <c r="FE174" s="646"/>
      <c r="FF174" s="646"/>
      <c r="FG174" s="647"/>
      <c r="FH174" s="647"/>
      <c r="FI174" s="647"/>
      <c r="FJ174" s="647"/>
      <c r="FK174" s="647"/>
      <c r="FL174" s="647"/>
      <c r="FM174" s="647"/>
      <c r="FN174" s="647"/>
      <c r="FO174" s="647"/>
      <c r="FP174" s="647"/>
      <c r="FQ174" s="647"/>
      <c r="FR174" s="647"/>
      <c r="FS174" s="101"/>
      <c r="FT174" s="95"/>
      <c r="FU174" s="634"/>
      <c r="FV174" s="101"/>
      <c r="FW174" s="101"/>
      <c r="FX174" s="634"/>
      <c r="FY174" s="634"/>
      <c r="FZ174" s="634"/>
      <c r="GA174" s="634"/>
      <c r="GB174" s="634"/>
      <c r="GC174" s="634"/>
      <c r="GD174" s="634"/>
      <c r="GE174" s="634"/>
      <c r="GF174" s="634"/>
      <c r="GG174" s="634"/>
      <c r="GH174" s="634"/>
      <c r="GI174" s="634"/>
      <c r="GJ174" s="634"/>
      <c r="GK174" s="634"/>
      <c r="GL174" s="101"/>
      <c r="GM174" s="101"/>
      <c r="GN174" s="101"/>
      <c r="GO174" s="643"/>
      <c r="GP174" s="644"/>
      <c r="GQ174" s="643"/>
      <c r="GR174" s="644"/>
      <c r="GS174" s="643"/>
      <c r="GT174" s="644"/>
      <c r="GU174" s="644"/>
      <c r="GV174" s="644"/>
      <c r="GW174" s="644"/>
      <c r="GX174" s="644"/>
      <c r="GY174" s="644"/>
      <c r="GZ174" s="644"/>
    </row>
    <row r="175" spans="1:210">
      <c r="A175" s="638"/>
      <c r="B175" s="95"/>
      <c r="C175" s="95"/>
      <c r="D175" s="95"/>
      <c r="E175" s="650"/>
      <c r="F175" s="95"/>
      <c r="G175" s="95"/>
      <c r="H175" s="99"/>
      <c r="I175" s="95"/>
      <c r="J175" s="95"/>
      <c r="K175" s="95"/>
      <c r="L175" s="95"/>
      <c r="M175" s="95"/>
      <c r="N175" s="95"/>
      <c r="O175" s="95"/>
      <c r="P175" s="95"/>
      <c r="Q175" s="95"/>
      <c r="R175" s="95"/>
      <c r="S175" s="101"/>
      <c r="T175" s="95"/>
      <c r="U175" s="101"/>
      <c r="V175" s="139"/>
      <c r="W175" s="101"/>
      <c r="X175" s="95"/>
      <c r="Y175" s="101"/>
      <c r="Z175" s="95"/>
      <c r="AA175" s="101"/>
      <c r="AB175" s="95"/>
      <c r="AC175" s="101"/>
      <c r="AD175" s="270"/>
      <c r="AE175" s="271"/>
      <c r="AF175" s="270"/>
      <c r="AG175" s="270"/>
      <c r="AH175" s="270"/>
      <c r="AI175" s="270"/>
      <c r="AJ175" s="270"/>
      <c r="AK175" s="270"/>
      <c r="AL175" s="270"/>
      <c r="AM175" s="271"/>
      <c r="AN175" s="270"/>
      <c r="AO175" s="270"/>
      <c r="AP175" s="270"/>
      <c r="AQ175" s="271"/>
      <c r="AR175" s="270"/>
      <c r="AS175" s="270"/>
      <c r="AT175" s="270"/>
      <c r="AU175" s="270"/>
      <c r="AV175" s="270"/>
      <c r="AW175" s="270"/>
      <c r="AX175" s="270"/>
      <c r="AY175" s="270"/>
      <c r="AZ175" s="646"/>
      <c r="BA175" s="646"/>
      <c r="BB175" s="644"/>
      <c r="BC175" s="644"/>
      <c r="BD175" s="644"/>
      <c r="BE175" s="644"/>
      <c r="BF175" s="644"/>
      <c r="BG175" s="644"/>
      <c r="BH175" s="644"/>
      <c r="BI175" s="644"/>
      <c r="BJ175" s="644"/>
      <c r="BK175" s="644"/>
      <c r="BL175" s="644"/>
      <c r="BM175" s="95"/>
      <c r="BN175" s="644"/>
      <c r="BO175" s="95"/>
      <c r="BP175" s="644"/>
      <c r="BQ175" s="644"/>
      <c r="BR175" s="644"/>
      <c r="BS175" s="644"/>
      <c r="BT175" s="644"/>
      <c r="BU175" s="644"/>
      <c r="BV175" s="644"/>
      <c r="BW175" s="644"/>
      <c r="BX175" s="644"/>
      <c r="BY175" s="644"/>
      <c r="BZ175" s="644"/>
      <c r="CA175" s="644"/>
      <c r="CB175" s="644"/>
      <c r="CC175" s="644"/>
      <c r="CD175" s="644"/>
      <c r="CE175" s="644"/>
      <c r="CF175" s="644"/>
      <c r="CG175" s="644"/>
      <c r="CH175" s="644"/>
      <c r="CI175" s="644"/>
      <c r="CJ175" s="644"/>
      <c r="CK175" s="644"/>
      <c r="CL175" s="644"/>
      <c r="CM175" s="95"/>
      <c r="CN175" s="644"/>
      <c r="CO175" s="644"/>
      <c r="CP175" s="95"/>
      <c r="CQ175" s="95"/>
      <c r="CR175" s="95"/>
      <c r="CS175" s="95"/>
      <c r="CT175" s="95"/>
      <c r="CU175" s="108"/>
      <c r="CV175" s="109"/>
      <c r="CW175" s="644"/>
      <c r="CX175" s="496"/>
      <c r="CY175" s="637"/>
      <c r="CZ175" s="644"/>
      <c r="DA175" s="644"/>
      <c r="DB175" s="644"/>
      <c r="DC175" s="496"/>
      <c r="DD175" s="644"/>
      <c r="DE175" s="101"/>
      <c r="DF175" s="644"/>
      <c r="DG175" s="101"/>
      <c r="DH175" s="644"/>
      <c r="DI175" s="644"/>
      <c r="DJ175" s="644"/>
      <c r="DK175" s="644"/>
      <c r="DL175" s="644"/>
      <c r="DM175" s="101"/>
      <c r="DN175" s="644"/>
      <c r="DO175" s="644"/>
      <c r="DP175" s="644"/>
      <c r="DQ175" s="644"/>
      <c r="DR175" s="644"/>
      <c r="DS175" s="644"/>
      <c r="DT175" s="644"/>
      <c r="DU175" s="644"/>
      <c r="DV175" s="644"/>
      <c r="DW175" s="101"/>
      <c r="DX175" s="646"/>
      <c r="DY175" s="646"/>
      <c r="DZ175" s="646"/>
      <c r="EA175" s="646"/>
      <c r="EB175" s="646"/>
      <c r="EC175" s="646"/>
      <c r="ED175" s="646"/>
      <c r="EE175" s="646"/>
      <c r="EF175" s="646"/>
      <c r="EG175" s="646"/>
      <c r="EH175" s="646"/>
      <c r="EI175" s="646"/>
      <c r="EJ175" s="646"/>
      <c r="EK175" s="271"/>
      <c r="EL175" s="644"/>
      <c r="EM175" s="634"/>
      <c r="EN175" s="647"/>
      <c r="EO175" s="648"/>
      <c r="EP175" s="647"/>
      <c r="EQ175" s="647"/>
      <c r="ER175" s="647"/>
      <c r="ES175" s="139"/>
      <c r="EV175" s="647"/>
      <c r="EW175" s="647"/>
      <c r="EX175" s="647"/>
      <c r="EY175" s="647"/>
      <c r="EZ175" s="647"/>
      <c r="FA175" s="646"/>
      <c r="FB175" s="646"/>
      <c r="FC175" s="646"/>
      <c r="FD175" s="646"/>
      <c r="FE175" s="646"/>
      <c r="FF175" s="646"/>
      <c r="FG175" s="647"/>
      <c r="FH175" s="647"/>
      <c r="FI175" s="647"/>
      <c r="FJ175" s="647"/>
      <c r="FK175" s="647"/>
      <c r="FL175" s="647"/>
      <c r="FM175" s="647"/>
      <c r="FN175" s="647"/>
      <c r="FO175" s="647"/>
      <c r="FP175" s="647"/>
      <c r="FQ175" s="647"/>
      <c r="FR175" s="647"/>
      <c r="FS175" s="101"/>
      <c r="FT175" s="95"/>
      <c r="FU175" s="634"/>
      <c r="FV175" s="101"/>
      <c r="FW175" s="101"/>
      <c r="FX175" s="634"/>
      <c r="FY175" s="634"/>
      <c r="FZ175" s="634"/>
      <c r="GA175" s="634"/>
      <c r="GB175" s="634"/>
      <c r="GC175" s="634"/>
      <c r="GD175" s="634"/>
      <c r="GE175" s="634"/>
      <c r="GF175" s="634"/>
      <c r="GG175" s="634"/>
      <c r="GH175" s="634"/>
      <c r="GI175" s="634"/>
      <c r="GJ175" s="634"/>
      <c r="GK175" s="634"/>
      <c r="GL175" s="101"/>
      <c r="GM175" s="101"/>
      <c r="GN175" s="101"/>
      <c r="GO175" s="643"/>
      <c r="GP175" s="644"/>
      <c r="GQ175" s="643"/>
      <c r="GR175" s="644"/>
      <c r="GS175" s="643"/>
      <c r="GT175" s="644"/>
      <c r="GU175" s="644"/>
      <c r="GV175" s="644"/>
      <c r="GW175" s="644"/>
      <c r="GX175" s="644"/>
      <c r="GY175" s="644"/>
      <c r="GZ175" s="644"/>
    </row>
    <row r="176" spans="1:210">
      <c r="A176" s="638"/>
      <c r="B176" s="95"/>
      <c r="C176" s="95"/>
      <c r="D176" s="95"/>
      <c r="E176" s="650"/>
      <c r="F176" s="95"/>
      <c r="G176" s="95"/>
      <c r="H176" s="99"/>
      <c r="I176" s="95"/>
      <c r="J176" s="95"/>
      <c r="K176" s="95"/>
      <c r="L176" s="95"/>
      <c r="M176" s="95"/>
      <c r="N176" s="95"/>
      <c r="O176" s="95"/>
      <c r="P176" s="95"/>
      <c r="Q176" s="95"/>
      <c r="R176" s="95"/>
      <c r="S176" s="101"/>
      <c r="T176" s="95"/>
      <c r="U176" s="101"/>
      <c r="V176" s="139"/>
      <c r="W176" s="101"/>
      <c r="X176" s="95"/>
      <c r="Y176" s="101"/>
      <c r="Z176" s="95"/>
      <c r="AA176" s="101"/>
      <c r="AB176" s="95"/>
      <c r="AC176" s="101"/>
      <c r="AD176" s="270"/>
      <c r="AE176" s="271"/>
      <c r="AF176" s="270"/>
      <c r="AG176" s="270"/>
      <c r="AH176" s="270"/>
      <c r="AI176" s="270"/>
      <c r="AJ176" s="270"/>
      <c r="AK176" s="270"/>
      <c r="AL176" s="270"/>
      <c r="AM176" s="271"/>
      <c r="AN176" s="270"/>
      <c r="AO176" s="270"/>
      <c r="AP176" s="270"/>
      <c r="AQ176" s="271"/>
      <c r="AR176" s="270"/>
      <c r="AS176" s="270"/>
      <c r="AT176" s="270"/>
      <c r="AU176" s="270"/>
      <c r="AV176" s="270"/>
      <c r="AW176" s="270"/>
      <c r="AX176" s="270"/>
      <c r="AY176" s="270"/>
      <c r="AZ176" s="646"/>
      <c r="BA176" s="646"/>
      <c r="BB176" s="644"/>
      <c r="BC176" s="644"/>
      <c r="BD176" s="644"/>
      <c r="BE176" s="644"/>
      <c r="BF176" s="644"/>
      <c r="BG176" s="644"/>
      <c r="BH176" s="644"/>
      <c r="BI176" s="644"/>
      <c r="BJ176" s="644"/>
      <c r="BK176" s="644"/>
      <c r="BL176" s="644"/>
      <c r="BM176" s="95"/>
      <c r="BN176" s="644"/>
      <c r="BO176" s="95"/>
      <c r="BP176" s="644"/>
      <c r="BQ176" s="644"/>
      <c r="BR176" s="644"/>
      <c r="BS176" s="644"/>
      <c r="BT176" s="644"/>
      <c r="BU176" s="644"/>
      <c r="BV176" s="644"/>
      <c r="BW176" s="644"/>
      <c r="BX176" s="644"/>
      <c r="BY176" s="644"/>
      <c r="BZ176" s="644"/>
      <c r="CA176" s="644"/>
      <c r="CB176" s="644"/>
      <c r="CC176" s="644"/>
      <c r="CD176" s="644"/>
      <c r="CE176" s="644"/>
      <c r="CF176" s="644"/>
      <c r="CG176" s="644"/>
      <c r="CH176" s="644"/>
      <c r="CI176" s="644"/>
      <c r="CJ176" s="644"/>
      <c r="CK176" s="644"/>
      <c r="CL176" s="644"/>
      <c r="CM176" s="95"/>
      <c r="CN176" s="644"/>
      <c r="CO176" s="644"/>
      <c r="CP176" s="95"/>
      <c r="CQ176" s="95"/>
      <c r="CR176" s="95"/>
      <c r="CS176" s="95"/>
      <c r="CT176" s="95"/>
      <c r="CU176" s="108"/>
      <c r="CV176" s="109"/>
      <c r="CW176" s="644"/>
      <c r="CX176" s="496"/>
      <c r="CY176" s="637"/>
      <c r="CZ176" s="644"/>
      <c r="DA176" s="644"/>
      <c r="DB176" s="644"/>
      <c r="DC176" s="496"/>
      <c r="DD176" s="644"/>
      <c r="DE176" s="101"/>
      <c r="DF176" s="644"/>
      <c r="DG176" s="101"/>
      <c r="DH176" s="644"/>
      <c r="DI176" s="644"/>
      <c r="DJ176" s="644"/>
      <c r="DK176" s="644"/>
      <c r="DL176" s="644"/>
      <c r="DM176" s="101"/>
      <c r="DN176" s="644"/>
      <c r="DO176" s="644"/>
      <c r="DP176" s="644"/>
      <c r="DQ176" s="644"/>
      <c r="DR176" s="644"/>
      <c r="DS176" s="644"/>
      <c r="DT176" s="644"/>
      <c r="DU176" s="644"/>
      <c r="DV176" s="644"/>
      <c r="DW176" s="101"/>
      <c r="DX176" s="646"/>
      <c r="DY176" s="646"/>
      <c r="DZ176" s="646"/>
      <c r="EA176" s="646"/>
      <c r="EB176" s="646"/>
      <c r="EC176" s="646"/>
      <c r="ED176" s="646"/>
      <c r="EE176" s="646"/>
      <c r="EF176" s="646"/>
      <c r="EG176" s="646"/>
      <c r="EH176" s="646"/>
      <c r="EI176" s="646"/>
      <c r="EJ176" s="646"/>
      <c r="EK176" s="271"/>
      <c r="EL176" s="644"/>
      <c r="EM176" s="634"/>
      <c r="EN176" s="647"/>
      <c r="EO176" s="648"/>
      <c r="EP176" s="647"/>
      <c r="EQ176" s="647"/>
      <c r="ER176" s="647"/>
      <c r="ES176" s="139"/>
      <c r="EV176" s="647"/>
      <c r="EW176" s="647"/>
      <c r="EX176" s="647"/>
      <c r="EY176" s="647"/>
      <c r="EZ176" s="647"/>
      <c r="FA176" s="646"/>
      <c r="FB176" s="646"/>
      <c r="FC176" s="646"/>
      <c r="FD176" s="646"/>
      <c r="FE176" s="646"/>
      <c r="FF176" s="646"/>
      <c r="FG176" s="647"/>
      <c r="FH176" s="647"/>
      <c r="FI176" s="647"/>
      <c r="FJ176" s="647"/>
      <c r="FK176" s="647"/>
      <c r="FL176" s="647"/>
      <c r="FM176" s="647"/>
      <c r="FN176" s="647"/>
      <c r="FO176" s="647"/>
      <c r="FP176" s="647"/>
      <c r="FQ176" s="647"/>
      <c r="FR176" s="647"/>
      <c r="FS176" s="101"/>
      <c r="FT176" s="95"/>
      <c r="FU176" s="634"/>
      <c r="FV176" s="101"/>
      <c r="FW176" s="101"/>
      <c r="FX176" s="634"/>
      <c r="FY176" s="634"/>
      <c r="FZ176" s="634"/>
      <c r="GA176" s="634"/>
      <c r="GB176" s="634"/>
      <c r="GC176" s="634"/>
      <c r="GD176" s="634"/>
      <c r="GE176" s="634"/>
      <c r="GF176" s="634"/>
      <c r="GG176" s="634"/>
      <c r="GH176" s="634"/>
      <c r="GI176" s="634"/>
      <c r="GJ176" s="634"/>
      <c r="GK176" s="634"/>
      <c r="GL176" s="101"/>
      <c r="GM176" s="101"/>
      <c r="GN176" s="101"/>
      <c r="GO176" s="643"/>
      <c r="GP176" s="644"/>
      <c r="GQ176" s="643"/>
      <c r="GR176" s="644"/>
      <c r="GS176" s="643"/>
      <c r="GT176" s="644"/>
      <c r="GU176" s="644"/>
      <c r="GV176" s="644"/>
      <c r="GW176" s="644"/>
      <c r="GX176" s="644"/>
      <c r="GY176" s="644"/>
      <c r="GZ176" s="644"/>
    </row>
    <row r="177" spans="1:209">
      <c r="A177" s="638"/>
      <c r="B177" s="95"/>
      <c r="C177" s="95"/>
      <c r="D177" s="95"/>
      <c r="E177" s="650"/>
      <c r="F177" s="95"/>
      <c r="G177" s="95"/>
      <c r="H177" s="99"/>
      <c r="I177" s="95"/>
      <c r="J177" s="95"/>
      <c r="K177" s="95"/>
      <c r="L177" s="95"/>
      <c r="M177" s="95"/>
      <c r="N177" s="95"/>
      <c r="O177" s="95"/>
      <c r="P177" s="95"/>
      <c r="Q177" s="95"/>
      <c r="R177" s="95"/>
      <c r="S177" s="101"/>
      <c r="T177" s="95"/>
      <c r="U177" s="101"/>
      <c r="V177" s="139"/>
      <c r="W177" s="101"/>
      <c r="X177" s="95"/>
      <c r="Y177" s="101"/>
      <c r="Z177" s="95"/>
      <c r="AA177" s="101"/>
      <c r="AB177" s="95"/>
      <c r="AC177" s="101"/>
      <c r="AD177" s="270"/>
      <c r="AE177" s="271"/>
      <c r="AF177" s="270"/>
      <c r="AG177" s="270"/>
      <c r="AH177" s="270"/>
      <c r="AI177" s="270"/>
      <c r="AJ177" s="270"/>
      <c r="AK177" s="270"/>
      <c r="AL177" s="270"/>
      <c r="AM177" s="271"/>
      <c r="AN177" s="270"/>
      <c r="AO177" s="270"/>
      <c r="AP177" s="270"/>
      <c r="AQ177" s="271"/>
      <c r="AR177" s="270"/>
      <c r="AS177" s="270"/>
      <c r="AT177" s="270"/>
      <c r="AU177" s="270"/>
      <c r="AV177" s="270"/>
      <c r="AW177" s="270"/>
      <c r="AX177" s="270"/>
      <c r="AY177" s="270"/>
      <c r="AZ177" s="646"/>
      <c r="BA177" s="646"/>
      <c r="BB177" s="644"/>
      <c r="BC177" s="644"/>
      <c r="BD177" s="644"/>
      <c r="BE177" s="644"/>
      <c r="BF177" s="644"/>
      <c r="BG177" s="644"/>
      <c r="BH177" s="644"/>
      <c r="BI177" s="644"/>
      <c r="BJ177" s="644"/>
      <c r="BK177" s="644"/>
      <c r="BL177" s="644"/>
      <c r="BM177" s="95"/>
      <c r="BN177" s="644"/>
      <c r="BO177" s="95"/>
      <c r="BP177" s="644"/>
      <c r="BQ177" s="644"/>
      <c r="BR177" s="644"/>
      <c r="BS177" s="644"/>
      <c r="BT177" s="644"/>
      <c r="BU177" s="644"/>
      <c r="BV177" s="644"/>
      <c r="BW177" s="644"/>
      <c r="BX177" s="644"/>
      <c r="BY177" s="644"/>
      <c r="BZ177" s="644"/>
      <c r="CA177" s="644"/>
      <c r="CB177" s="644"/>
      <c r="CC177" s="644"/>
      <c r="CD177" s="644"/>
      <c r="CE177" s="644"/>
      <c r="CF177" s="644"/>
      <c r="CG177" s="644"/>
      <c r="CH177" s="644"/>
      <c r="CI177" s="644"/>
      <c r="CJ177" s="644"/>
      <c r="CK177" s="644"/>
      <c r="CL177" s="644"/>
      <c r="CM177" s="95"/>
      <c r="CN177" s="644"/>
      <c r="CO177" s="644"/>
      <c r="CP177" s="95"/>
      <c r="CQ177" s="95"/>
      <c r="CR177" s="95"/>
      <c r="CS177" s="95"/>
      <c r="CT177" s="95"/>
      <c r="CU177" s="108"/>
      <c r="CV177" s="109"/>
      <c r="CW177" s="644"/>
      <c r="CX177" s="496"/>
      <c r="CY177" s="637"/>
      <c r="CZ177" s="644"/>
      <c r="DA177" s="644"/>
      <c r="DB177" s="644"/>
      <c r="DC177" s="496"/>
      <c r="DD177" s="644"/>
      <c r="DE177" s="101"/>
      <c r="DF177" s="644"/>
      <c r="DG177" s="101"/>
      <c r="DH177" s="644"/>
      <c r="DI177" s="644"/>
      <c r="DJ177" s="644"/>
      <c r="DK177" s="644"/>
      <c r="DL177" s="644"/>
      <c r="DM177" s="101"/>
      <c r="DN177" s="644"/>
      <c r="DO177" s="644"/>
      <c r="DP177" s="644"/>
      <c r="DQ177" s="644"/>
      <c r="DR177" s="644"/>
      <c r="DS177" s="644"/>
      <c r="DT177" s="644"/>
      <c r="DU177" s="644"/>
      <c r="DV177" s="644"/>
      <c r="DW177" s="101"/>
      <c r="DX177" s="646"/>
      <c r="DY177" s="646"/>
      <c r="DZ177" s="646"/>
      <c r="EA177" s="646"/>
      <c r="EB177" s="646"/>
      <c r="EC177" s="646"/>
      <c r="ED177" s="646"/>
      <c r="EE177" s="646"/>
      <c r="EF177" s="646"/>
      <c r="EG177" s="646"/>
      <c r="EH177" s="646"/>
      <c r="EI177" s="646"/>
      <c r="EJ177" s="646"/>
      <c r="EK177" s="271"/>
      <c r="EL177" s="644"/>
      <c r="EM177" s="634"/>
      <c r="EN177" s="647"/>
      <c r="EO177" s="648"/>
      <c r="EP177" s="647"/>
      <c r="EQ177" s="647"/>
      <c r="ER177" s="647"/>
      <c r="ES177" s="139"/>
      <c r="EV177" s="647"/>
      <c r="EW177" s="647"/>
      <c r="EX177" s="647"/>
      <c r="EY177" s="647"/>
      <c r="EZ177" s="647"/>
      <c r="FA177" s="646"/>
      <c r="FB177" s="646"/>
      <c r="FC177" s="646"/>
      <c r="FD177" s="646"/>
      <c r="FE177" s="646"/>
      <c r="FF177" s="646"/>
      <c r="FG177" s="647"/>
      <c r="FH177" s="647"/>
      <c r="FI177" s="647"/>
      <c r="FJ177" s="647"/>
      <c r="FK177" s="647"/>
      <c r="FL177" s="647"/>
      <c r="FM177" s="647"/>
      <c r="FN177" s="647"/>
      <c r="FO177" s="647"/>
      <c r="FP177" s="647"/>
      <c r="FQ177" s="647"/>
      <c r="FR177" s="647"/>
      <c r="FS177" s="101"/>
      <c r="FT177" s="95"/>
      <c r="FU177" s="634"/>
      <c r="FV177" s="101"/>
      <c r="FW177" s="101"/>
      <c r="FX177" s="634"/>
      <c r="FY177" s="634"/>
      <c r="FZ177" s="634"/>
      <c r="GA177" s="634"/>
      <c r="GB177" s="634"/>
      <c r="GC177" s="634"/>
      <c r="GD177" s="634"/>
      <c r="GE177" s="634"/>
      <c r="GF177" s="634"/>
      <c r="GG177" s="634"/>
      <c r="GH177" s="634"/>
      <c r="GI177" s="634"/>
      <c r="GJ177" s="634"/>
      <c r="GK177" s="634"/>
      <c r="GL177" s="101"/>
      <c r="GM177" s="101"/>
      <c r="GN177" s="101"/>
      <c r="GO177" s="643"/>
      <c r="GP177" s="644"/>
      <c r="GQ177" s="643"/>
      <c r="GR177" s="644"/>
      <c r="GS177" s="643"/>
      <c r="GT177" s="644"/>
      <c r="GU177" s="644"/>
      <c r="GV177" s="644"/>
      <c r="GW177" s="644"/>
      <c r="GX177" s="644"/>
      <c r="GY177" s="644"/>
      <c r="GZ177" s="644"/>
    </row>
    <row r="178" spans="1:209">
      <c r="A178" s="638"/>
      <c r="B178" s="95"/>
      <c r="C178" s="95"/>
      <c r="D178" s="95"/>
      <c r="E178" s="650"/>
      <c r="F178" s="95"/>
      <c r="G178" s="95"/>
      <c r="H178" s="99"/>
      <c r="I178" s="95"/>
      <c r="J178" s="95"/>
      <c r="K178" s="95"/>
      <c r="L178" s="95"/>
      <c r="M178" s="95"/>
      <c r="N178" s="95"/>
      <c r="O178" s="95"/>
      <c r="P178" s="95"/>
      <c r="Q178" s="95"/>
      <c r="R178" s="95"/>
      <c r="S178" s="101"/>
      <c r="T178" s="95"/>
      <c r="U178" s="101"/>
      <c r="V178" s="139"/>
      <c r="W178" s="101"/>
      <c r="X178" s="95"/>
      <c r="Y178" s="101"/>
      <c r="Z178" s="95"/>
      <c r="AA178" s="101"/>
      <c r="AB178" s="95"/>
      <c r="AC178" s="101"/>
      <c r="AD178" s="270"/>
      <c r="AE178" s="271"/>
      <c r="AF178" s="270"/>
      <c r="AG178" s="270"/>
      <c r="AH178" s="270"/>
      <c r="AI178" s="270"/>
      <c r="AJ178" s="270"/>
      <c r="AK178" s="270"/>
      <c r="AL178" s="270"/>
      <c r="AM178" s="271"/>
      <c r="AN178" s="270"/>
      <c r="AO178" s="270"/>
      <c r="AP178" s="270"/>
      <c r="AQ178" s="271"/>
      <c r="AR178" s="270"/>
      <c r="AS178" s="270"/>
      <c r="AT178" s="270"/>
      <c r="AU178" s="270"/>
      <c r="AV178" s="270"/>
      <c r="AW178" s="270"/>
      <c r="AX178" s="270"/>
      <c r="AY178" s="270"/>
      <c r="AZ178" s="646"/>
      <c r="BA178" s="646"/>
      <c r="BB178" s="644"/>
      <c r="BC178" s="644"/>
      <c r="BD178" s="644"/>
      <c r="BE178" s="644"/>
      <c r="BF178" s="644"/>
      <c r="BG178" s="644"/>
      <c r="BH178" s="644"/>
      <c r="BI178" s="644"/>
      <c r="BJ178" s="644"/>
      <c r="BK178" s="644"/>
      <c r="BL178" s="644"/>
      <c r="BM178" s="95"/>
      <c r="BN178" s="644"/>
      <c r="BO178" s="95"/>
      <c r="BP178" s="644"/>
      <c r="BQ178" s="644"/>
      <c r="BR178" s="644"/>
      <c r="BS178" s="644"/>
      <c r="BT178" s="644"/>
      <c r="BU178" s="644"/>
      <c r="BV178" s="644"/>
      <c r="BW178" s="644"/>
      <c r="BX178" s="644"/>
      <c r="BY178" s="644"/>
      <c r="BZ178" s="644"/>
      <c r="CA178" s="644"/>
      <c r="CB178" s="644"/>
      <c r="CC178" s="644"/>
      <c r="CD178" s="644"/>
      <c r="CE178" s="644"/>
      <c r="CF178" s="644"/>
      <c r="CG178" s="644"/>
      <c r="CH178" s="644"/>
      <c r="CI178" s="644"/>
      <c r="CJ178" s="644"/>
      <c r="CK178" s="644"/>
      <c r="CL178" s="644"/>
      <c r="CM178" s="95"/>
      <c r="CN178" s="644"/>
      <c r="CO178" s="644"/>
      <c r="CP178" s="95"/>
      <c r="CQ178" s="95"/>
      <c r="CR178" s="95"/>
      <c r="CS178" s="95"/>
      <c r="CT178" s="95"/>
      <c r="CU178" s="108"/>
      <c r="CV178" s="109"/>
      <c r="CW178" s="644"/>
      <c r="CX178" s="496"/>
      <c r="CY178" s="637"/>
      <c r="CZ178" s="644"/>
      <c r="DA178" s="644"/>
      <c r="DB178" s="644"/>
      <c r="DC178" s="496"/>
      <c r="DD178" s="644"/>
      <c r="DE178" s="101"/>
      <c r="DF178" s="644"/>
      <c r="DG178" s="101"/>
      <c r="DH178" s="644"/>
      <c r="DI178" s="644"/>
      <c r="DJ178" s="644"/>
      <c r="DK178" s="644"/>
      <c r="DL178" s="644"/>
      <c r="DM178" s="101"/>
      <c r="DN178" s="644"/>
      <c r="DO178" s="644"/>
      <c r="DP178" s="644"/>
      <c r="DQ178" s="644"/>
      <c r="DR178" s="644"/>
      <c r="DS178" s="644"/>
      <c r="DT178" s="644"/>
      <c r="DU178" s="644"/>
      <c r="DV178" s="644"/>
      <c r="DW178" s="101"/>
      <c r="DX178" s="646"/>
      <c r="DY178" s="646"/>
      <c r="DZ178" s="646"/>
      <c r="EA178" s="646"/>
      <c r="EB178" s="646"/>
      <c r="EC178" s="646"/>
      <c r="ED178" s="646"/>
      <c r="EE178" s="646"/>
      <c r="EF178" s="646"/>
      <c r="EG178" s="646"/>
      <c r="EH178" s="646"/>
      <c r="EI178" s="646"/>
      <c r="EJ178" s="646"/>
      <c r="EK178" s="271"/>
      <c r="EL178" s="644"/>
      <c r="EM178" s="634"/>
      <c r="EN178" s="647"/>
      <c r="EO178" s="648"/>
      <c r="EP178" s="647"/>
      <c r="EQ178" s="647"/>
      <c r="ER178" s="647"/>
      <c r="ES178" s="139"/>
      <c r="EV178" s="647"/>
      <c r="EW178" s="647"/>
      <c r="EX178" s="647"/>
      <c r="EY178" s="647"/>
      <c r="EZ178" s="647"/>
      <c r="FA178" s="646"/>
      <c r="FB178" s="646"/>
      <c r="FC178" s="646"/>
      <c r="FD178" s="646"/>
      <c r="FE178" s="646"/>
      <c r="FF178" s="646"/>
      <c r="FG178" s="647"/>
      <c r="FH178" s="647"/>
      <c r="FI178" s="647"/>
      <c r="FJ178" s="647"/>
      <c r="FK178" s="647"/>
      <c r="FL178" s="647"/>
      <c r="FM178" s="647"/>
      <c r="FN178" s="647"/>
      <c r="FO178" s="647"/>
      <c r="FP178" s="647"/>
      <c r="FQ178" s="647"/>
      <c r="FR178" s="647"/>
      <c r="FS178" s="101"/>
      <c r="FT178" s="95"/>
      <c r="FU178" s="634"/>
      <c r="FV178" s="101"/>
      <c r="FW178" s="101"/>
      <c r="FX178" s="634"/>
      <c r="FY178" s="634"/>
      <c r="FZ178" s="634"/>
      <c r="GA178" s="634"/>
      <c r="GB178" s="634"/>
      <c r="GC178" s="634"/>
      <c r="GD178" s="634"/>
      <c r="GE178" s="634"/>
      <c r="GF178" s="634"/>
      <c r="GG178" s="634"/>
      <c r="GH178" s="634"/>
      <c r="GI178" s="634"/>
      <c r="GJ178" s="634"/>
      <c r="GK178" s="634"/>
      <c r="GL178" s="101"/>
      <c r="GM178" s="101"/>
      <c r="GN178" s="101"/>
      <c r="GO178" s="643"/>
      <c r="GP178" s="644"/>
      <c r="GQ178" s="643"/>
      <c r="GR178" s="644"/>
      <c r="GS178" s="643"/>
      <c r="GT178" s="644"/>
      <c r="GU178" s="644"/>
      <c r="GV178" s="644"/>
      <c r="GW178" s="644"/>
      <c r="GX178" s="644"/>
      <c r="GY178" s="644"/>
      <c r="GZ178" s="644"/>
    </row>
    <row r="179" spans="1:209">
      <c r="A179" s="638"/>
      <c r="B179" s="95"/>
      <c r="C179" s="95"/>
      <c r="D179" s="95"/>
      <c r="E179" s="650"/>
      <c r="F179" s="95"/>
      <c r="G179" s="95"/>
      <c r="H179" s="99"/>
      <c r="I179" s="95"/>
      <c r="J179" s="95"/>
      <c r="K179" s="95"/>
      <c r="L179" s="95"/>
      <c r="M179" s="95"/>
      <c r="N179" s="95"/>
      <c r="O179" s="95"/>
      <c r="P179" s="95"/>
      <c r="Q179" s="95"/>
      <c r="R179" s="95"/>
      <c r="S179" s="101"/>
      <c r="T179" s="644"/>
      <c r="U179" s="101"/>
      <c r="V179" s="647"/>
      <c r="W179" s="643"/>
      <c r="X179" s="644"/>
      <c r="Y179" s="101"/>
      <c r="Z179" s="644"/>
      <c r="AA179" s="101"/>
      <c r="AB179" s="644"/>
      <c r="AC179" s="101"/>
      <c r="AD179" s="646"/>
      <c r="AE179" s="271"/>
      <c r="AF179" s="646"/>
      <c r="AG179" s="646"/>
      <c r="AH179" s="646"/>
      <c r="AI179" s="646"/>
      <c r="AJ179" s="646"/>
      <c r="AK179" s="646"/>
      <c r="AL179" s="646"/>
      <c r="AM179" s="271"/>
      <c r="AN179" s="646"/>
      <c r="AO179" s="646"/>
      <c r="AP179" s="646"/>
      <c r="AQ179" s="271"/>
      <c r="AR179" s="646"/>
      <c r="AS179" s="270"/>
      <c r="AT179" s="646"/>
      <c r="AU179" s="646"/>
      <c r="AV179" s="646"/>
      <c r="AW179" s="270"/>
      <c r="AX179" s="646"/>
      <c r="AY179" s="270"/>
      <c r="AZ179" s="646"/>
      <c r="BA179" s="646"/>
      <c r="BB179" s="644"/>
      <c r="BC179" s="644"/>
      <c r="BD179" s="644"/>
      <c r="BE179" s="644"/>
      <c r="BF179" s="644"/>
      <c r="BG179" s="644"/>
      <c r="BH179" s="644"/>
      <c r="BI179" s="644"/>
      <c r="BJ179" s="644"/>
      <c r="BK179" s="644"/>
      <c r="BL179" s="644"/>
      <c r="BM179" s="95"/>
      <c r="BN179" s="644"/>
      <c r="BO179" s="95"/>
      <c r="BP179" s="644"/>
      <c r="BQ179" s="644"/>
      <c r="BR179" s="644"/>
      <c r="BS179" s="644"/>
      <c r="BT179" s="644"/>
      <c r="BU179" s="644"/>
      <c r="BV179" s="644"/>
      <c r="BW179" s="644"/>
      <c r="BX179" s="644"/>
      <c r="BY179" s="644"/>
      <c r="BZ179" s="644"/>
      <c r="CA179" s="644"/>
      <c r="CB179" s="644"/>
      <c r="CC179" s="644"/>
      <c r="CD179" s="644"/>
      <c r="CE179" s="644"/>
      <c r="CF179" s="644"/>
      <c r="CG179" s="644"/>
      <c r="CH179" s="644"/>
      <c r="CI179" s="644"/>
      <c r="CJ179" s="644"/>
      <c r="CK179" s="644"/>
      <c r="CL179" s="644"/>
      <c r="CM179" s="95"/>
      <c r="CN179" s="644"/>
      <c r="CO179" s="644"/>
      <c r="CP179" s="95"/>
      <c r="CQ179" s="95"/>
      <c r="CR179" s="95"/>
      <c r="CS179" s="95"/>
      <c r="CT179" s="95"/>
      <c r="CU179" s="108"/>
      <c r="CV179" s="109"/>
      <c r="CW179" s="644"/>
      <c r="CX179" s="496"/>
      <c r="CY179" s="637"/>
      <c r="CZ179" s="644"/>
      <c r="DA179" s="644"/>
      <c r="DB179" s="644"/>
      <c r="DC179" s="496"/>
      <c r="DD179" s="644"/>
      <c r="DE179" s="101"/>
      <c r="DF179" s="644"/>
      <c r="DG179" s="101"/>
      <c r="DH179" s="644"/>
      <c r="DI179" s="644"/>
      <c r="DJ179" s="644"/>
      <c r="DK179" s="644"/>
      <c r="DL179" s="644"/>
      <c r="DM179" s="101"/>
      <c r="DN179" s="644"/>
      <c r="DO179" s="644"/>
      <c r="DP179" s="644"/>
      <c r="DQ179" s="644"/>
      <c r="DR179" s="644"/>
      <c r="DS179" s="644"/>
      <c r="DT179" s="644"/>
      <c r="DU179" s="644"/>
      <c r="DV179" s="644"/>
      <c r="DW179" s="101"/>
      <c r="DX179" s="646"/>
      <c r="DY179" s="646"/>
      <c r="DZ179" s="646"/>
      <c r="EA179" s="646"/>
      <c r="EB179" s="646"/>
      <c r="EC179" s="646"/>
      <c r="ED179" s="646"/>
      <c r="EE179" s="646"/>
      <c r="EF179" s="646"/>
      <c r="EG179" s="646"/>
      <c r="EH179" s="646"/>
      <c r="EI179" s="646"/>
      <c r="EJ179" s="646"/>
      <c r="EK179" s="271"/>
      <c r="EL179" s="644"/>
      <c r="EM179" s="634"/>
      <c r="EN179" s="647"/>
      <c r="EO179" s="648"/>
      <c r="EP179" s="647"/>
      <c r="EQ179" s="647"/>
      <c r="ER179" s="647"/>
      <c r="ES179" s="139"/>
      <c r="EV179" s="647"/>
      <c r="EW179" s="647"/>
      <c r="EX179" s="647"/>
      <c r="EY179" s="647"/>
      <c r="EZ179" s="647"/>
      <c r="FA179" s="646"/>
      <c r="FB179" s="646"/>
      <c r="FC179" s="646"/>
      <c r="FD179" s="646"/>
      <c r="FE179" s="646"/>
      <c r="FF179" s="646"/>
      <c r="FG179" s="647"/>
      <c r="FH179" s="647"/>
      <c r="FI179" s="647"/>
      <c r="FJ179" s="647"/>
      <c r="FK179" s="647"/>
      <c r="FL179" s="647"/>
      <c r="FM179" s="647"/>
      <c r="FN179" s="647"/>
      <c r="FO179" s="647"/>
      <c r="FP179" s="647"/>
      <c r="FQ179" s="647"/>
      <c r="FR179" s="647"/>
      <c r="FS179" s="101"/>
      <c r="FT179" s="95"/>
      <c r="FU179" s="634"/>
      <c r="FV179" s="101"/>
      <c r="FW179" s="101"/>
      <c r="FX179" s="634"/>
      <c r="FY179" s="634"/>
      <c r="FZ179" s="634"/>
      <c r="GA179" s="634"/>
      <c r="GB179" s="634"/>
      <c r="GC179" s="634"/>
      <c r="GD179" s="634"/>
      <c r="GE179" s="634"/>
      <c r="GF179" s="634"/>
      <c r="GG179" s="634"/>
      <c r="GH179" s="634"/>
      <c r="GI179" s="634"/>
      <c r="GJ179" s="634"/>
      <c r="GK179" s="634"/>
      <c r="GL179" s="101"/>
      <c r="GM179" s="101"/>
      <c r="GN179" s="101"/>
      <c r="GO179" s="643"/>
      <c r="GP179" s="644"/>
      <c r="GQ179" s="643"/>
      <c r="GR179" s="644"/>
      <c r="GS179" s="643"/>
      <c r="GT179" s="644"/>
      <c r="GU179" s="644"/>
      <c r="GV179" s="644"/>
      <c r="GW179" s="644"/>
      <c r="GX179" s="644"/>
      <c r="GY179" s="644"/>
      <c r="GZ179" s="644"/>
    </row>
    <row r="180" spans="1:209">
      <c r="A180" s="638"/>
      <c r="B180" s="95"/>
      <c r="C180" s="95"/>
      <c r="D180" s="95"/>
      <c r="E180" s="650"/>
      <c r="F180" s="95"/>
      <c r="G180" s="95"/>
      <c r="H180" s="99"/>
      <c r="I180" s="95"/>
      <c r="J180" s="95"/>
      <c r="K180" s="95"/>
      <c r="L180" s="95"/>
      <c r="M180" s="95"/>
      <c r="N180" s="95"/>
      <c r="O180" s="95"/>
      <c r="P180" s="95"/>
      <c r="Q180" s="95"/>
      <c r="R180" s="95"/>
      <c r="S180" s="101"/>
      <c r="T180" s="644"/>
      <c r="U180" s="101"/>
      <c r="V180" s="647"/>
      <c r="W180" s="643"/>
      <c r="X180" s="644"/>
      <c r="Y180" s="101"/>
      <c r="Z180" s="644"/>
      <c r="AA180" s="101"/>
      <c r="AB180" s="644"/>
      <c r="AC180" s="101"/>
      <c r="AD180" s="646"/>
      <c r="AE180" s="271"/>
      <c r="AF180" s="646"/>
      <c r="AG180" s="646"/>
      <c r="AH180" s="646"/>
      <c r="AI180" s="646"/>
      <c r="AJ180" s="646"/>
      <c r="AK180" s="646"/>
      <c r="AL180" s="646"/>
      <c r="AM180" s="271"/>
      <c r="AN180" s="646"/>
      <c r="AO180" s="646"/>
      <c r="AP180" s="646"/>
      <c r="AQ180" s="271"/>
      <c r="AR180" s="646"/>
      <c r="AS180" s="270"/>
      <c r="AT180" s="646"/>
      <c r="AU180" s="646"/>
      <c r="AV180" s="646"/>
      <c r="AW180" s="270"/>
      <c r="AX180" s="646"/>
      <c r="AY180" s="270"/>
      <c r="AZ180" s="646"/>
      <c r="BA180" s="646"/>
      <c r="BB180" s="644"/>
      <c r="BC180" s="644"/>
      <c r="BD180" s="644"/>
      <c r="BE180" s="644"/>
      <c r="BF180" s="644"/>
      <c r="BG180" s="644"/>
      <c r="BH180" s="644"/>
      <c r="BI180" s="644"/>
      <c r="BJ180" s="644"/>
      <c r="BK180" s="644"/>
      <c r="BL180" s="644"/>
      <c r="BM180" s="95"/>
      <c r="BN180" s="644"/>
      <c r="BO180" s="95"/>
      <c r="BP180" s="644"/>
      <c r="BQ180" s="644"/>
      <c r="BR180" s="644"/>
      <c r="BS180" s="644"/>
      <c r="BT180" s="644"/>
      <c r="BU180" s="644"/>
      <c r="BV180" s="644"/>
      <c r="BW180" s="644"/>
      <c r="BX180" s="644"/>
      <c r="BY180" s="644"/>
      <c r="BZ180" s="644"/>
      <c r="CA180" s="644"/>
      <c r="CB180" s="644"/>
      <c r="CC180" s="644"/>
      <c r="CD180" s="644"/>
      <c r="CE180" s="644"/>
      <c r="CF180" s="644"/>
      <c r="CG180" s="644"/>
      <c r="CH180" s="644"/>
      <c r="CI180" s="644"/>
      <c r="CJ180" s="644"/>
      <c r="CK180" s="644"/>
      <c r="CL180" s="644"/>
      <c r="CM180" s="95"/>
      <c r="CN180" s="644"/>
      <c r="CO180" s="644"/>
      <c r="CP180" s="95"/>
      <c r="CQ180" s="95"/>
      <c r="CR180" s="95"/>
      <c r="CS180" s="95"/>
      <c r="CT180" s="95"/>
      <c r="CU180" s="108"/>
      <c r="CV180" s="109"/>
      <c r="CW180" s="644"/>
      <c r="CX180" s="496"/>
      <c r="CY180" s="637"/>
      <c r="CZ180" s="644"/>
      <c r="DA180" s="644"/>
      <c r="DB180" s="644"/>
      <c r="DC180" s="496"/>
      <c r="DD180" s="644"/>
      <c r="DE180" s="101"/>
      <c r="DF180" s="644"/>
      <c r="DG180" s="101"/>
      <c r="DH180" s="644"/>
      <c r="DI180" s="644"/>
      <c r="DJ180" s="644"/>
      <c r="DK180" s="644"/>
      <c r="DL180" s="644"/>
      <c r="DM180" s="101"/>
      <c r="DN180" s="644"/>
      <c r="DO180" s="644"/>
      <c r="DP180" s="644"/>
      <c r="DQ180" s="644"/>
      <c r="DR180" s="644"/>
      <c r="DS180" s="644"/>
      <c r="DT180" s="644"/>
      <c r="DU180" s="644"/>
      <c r="DV180" s="644"/>
      <c r="DW180" s="101"/>
      <c r="DX180" s="646"/>
      <c r="DY180" s="646"/>
      <c r="DZ180" s="646"/>
      <c r="EA180" s="646"/>
      <c r="EB180" s="646"/>
      <c r="EC180" s="646"/>
      <c r="ED180" s="646"/>
      <c r="EE180" s="646"/>
      <c r="EF180" s="646"/>
      <c r="EG180" s="646"/>
      <c r="EH180" s="646"/>
      <c r="EI180" s="646"/>
      <c r="EJ180" s="646"/>
      <c r="EK180" s="271"/>
      <c r="EL180" s="644"/>
      <c r="EM180" s="634"/>
      <c r="EN180" s="647"/>
      <c r="EO180" s="648"/>
      <c r="EP180" s="647"/>
      <c r="EQ180" s="647"/>
      <c r="ER180" s="647"/>
      <c r="ES180" s="139"/>
      <c r="EV180" s="647"/>
      <c r="EW180" s="647"/>
      <c r="EX180" s="647"/>
      <c r="EY180" s="647"/>
      <c r="EZ180" s="647"/>
      <c r="FA180" s="646"/>
      <c r="FB180" s="646"/>
      <c r="FC180" s="646"/>
      <c r="FD180" s="646"/>
      <c r="FE180" s="646"/>
      <c r="FF180" s="646"/>
      <c r="FG180" s="647"/>
      <c r="FH180" s="647"/>
      <c r="FI180" s="647"/>
      <c r="FJ180" s="647"/>
      <c r="FK180" s="647"/>
      <c r="FL180" s="647"/>
      <c r="FM180" s="647"/>
      <c r="FN180" s="647"/>
      <c r="FO180" s="647"/>
      <c r="FP180" s="647"/>
      <c r="FQ180" s="647"/>
      <c r="FR180" s="647"/>
      <c r="FS180" s="101"/>
      <c r="FT180" s="95"/>
      <c r="FU180" s="634"/>
      <c r="FV180" s="101"/>
      <c r="FW180" s="101"/>
      <c r="FX180" s="634"/>
      <c r="FY180" s="634"/>
      <c r="FZ180" s="634"/>
      <c r="GA180" s="634"/>
      <c r="GB180" s="634"/>
      <c r="GC180" s="634"/>
      <c r="GD180" s="634"/>
      <c r="GE180" s="634"/>
      <c r="GF180" s="634"/>
      <c r="GG180" s="634"/>
      <c r="GH180" s="634"/>
      <c r="GI180" s="634"/>
      <c r="GJ180" s="634"/>
      <c r="GK180" s="634"/>
      <c r="GL180" s="101"/>
      <c r="GM180" s="101"/>
      <c r="GN180" s="101"/>
      <c r="GO180" s="643"/>
      <c r="GP180" s="644"/>
      <c r="GQ180" s="643"/>
      <c r="GR180" s="644"/>
      <c r="GS180" s="643"/>
      <c r="GT180" s="644"/>
      <c r="GU180" s="644"/>
      <c r="GV180" s="644"/>
      <c r="GW180" s="644"/>
      <c r="GX180" s="644"/>
      <c r="GY180" s="644"/>
      <c r="GZ180" s="644"/>
    </row>
    <row r="181" spans="1:209">
      <c r="A181" s="638"/>
      <c r="B181" s="95"/>
      <c r="C181" s="95"/>
      <c r="D181" s="95"/>
      <c r="E181" s="650"/>
      <c r="F181" s="95"/>
      <c r="G181" s="95"/>
      <c r="H181" s="99"/>
      <c r="I181" s="95"/>
      <c r="J181" s="95"/>
      <c r="K181" s="95"/>
      <c r="L181" s="95"/>
      <c r="M181" s="95"/>
      <c r="N181" s="95"/>
      <c r="O181" s="95"/>
      <c r="P181" s="95"/>
      <c r="Q181" s="95"/>
      <c r="R181" s="95"/>
      <c r="S181" s="101"/>
      <c r="T181" s="644"/>
      <c r="U181" s="101"/>
      <c r="V181" s="647"/>
      <c r="W181" s="643"/>
      <c r="X181" s="644"/>
      <c r="Y181" s="101"/>
      <c r="Z181" s="644"/>
      <c r="AA181" s="101"/>
      <c r="AB181" s="644"/>
      <c r="AC181" s="101"/>
      <c r="AD181" s="646"/>
      <c r="AE181" s="271"/>
      <c r="AF181" s="646"/>
      <c r="AG181" s="646"/>
      <c r="AH181" s="646"/>
      <c r="AI181" s="646"/>
      <c r="AJ181" s="646"/>
      <c r="AK181" s="646"/>
      <c r="AL181" s="646"/>
      <c r="AM181" s="271"/>
      <c r="AN181" s="646"/>
      <c r="AO181" s="646"/>
      <c r="AP181" s="646"/>
      <c r="AQ181" s="271"/>
      <c r="AR181" s="646"/>
      <c r="AS181" s="270"/>
      <c r="AT181" s="646"/>
      <c r="AU181" s="646"/>
      <c r="AV181" s="646"/>
      <c r="AW181" s="270"/>
      <c r="AX181" s="646"/>
      <c r="AY181" s="270"/>
      <c r="AZ181" s="646"/>
      <c r="BA181" s="646"/>
      <c r="BB181" s="644"/>
      <c r="BC181" s="644"/>
      <c r="BD181" s="644"/>
      <c r="BE181" s="644"/>
      <c r="BF181" s="644"/>
      <c r="BG181" s="644"/>
      <c r="BH181" s="644"/>
      <c r="BI181" s="644"/>
      <c r="BJ181" s="644"/>
      <c r="BK181" s="644"/>
      <c r="BL181" s="644"/>
      <c r="BM181" s="95"/>
      <c r="BN181" s="644"/>
      <c r="BO181" s="95"/>
      <c r="BP181" s="644"/>
      <c r="BQ181" s="644"/>
      <c r="BR181" s="644"/>
      <c r="BS181" s="644"/>
      <c r="BT181" s="644"/>
      <c r="BU181" s="644"/>
      <c r="BV181" s="644"/>
      <c r="BW181" s="644"/>
      <c r="BX181" s="644"/>
      <c r="BY181" s="644"/>
      <c r="BZ181" s="644"/>
      <c r="CA181" s="644"/>
      <c r="CB181" s="644"/>
      <c r="CC181" s="644"/>
      <c r="CD181" s="644"/>
      <c r="CE181" s="644"/>
      <c r="CF181" s="644"/>
      <c r="CG181" s="644"/>
      <c r="CH181" s="644"/>
      <c r="CI181" s="644"/>
      <c r="CJ181" s="644"/>
      <c r="CK181" s="644"/>
      <c r="CL181" s="644"/>
      <c r="CM181" s="95"/>
      <c r="CN181" s="644"/>
      <c r="CO181" s="644"/>
      <c r="CP181" s="95"/>
      <c r="CQ181" s="95"/>
      <c r="CR181" s="95"/>
      <c r="CS181" s="95"/>
      <c r="CT181" s="95"/>
      <c r="CU181" s="108"/>
      <c r="CV181" s="109"/>
      <c r="CW181" s="644"/>
      <c r="CX181" s="496"/>
      <c r="CY181" s="637"/>
      <c r="CZ181" s="644"/>
      <c r="DA181" s="644"/>
      <c r="DB181" s="644"/>
      <c r="DC181" s="496"/>
      <c r="DD181" s="644"/>
      <c r="DE181" s="101"/>
      <c r="DF181" s="644"/>
      <c r="DG181" s="101"/>
      <c r="DH181" s="644"/>
      <c r="DI181" s="644"/>
      <c r="DJ181" s="644"/>
      <c r="DK181" s="644"/>
      <c r="DL181" s="644"/>
      <c r="DM181" s="101"/>
      <c r="DN181" s="644"/>
      <c r="DO181" s="644"/>
      <c r="DP181" s="644"/>
      <c r="DQ181" s="644"/>
      <c r="DR181" s="644"/>
      <c r="DS181" s="644"/>
      <c r="DT181" s="644"/>
      <c r="DU181" s="644"/>
      <c r="DV181" s="644"/>
      <c r="DW181" s="101"/>
      <c r="DX181" s="646"/>
      <c r="DY181" s="646"/>
      <c r="DZ181" s="646"/>
      <c r="EA181" s="646"/>
      <c r="EB181" s="646"/>
      <c r="EC181" s="646"/>
      <c r="ED181" s="646"/>
      <c r="EE181" s="646"/>
      <c r="EF181" s="646"/>
      <c r="EG181" s="646"/>
      <c r="EH181" s="646"/>
      <c r="EI181" s="646"/>
      <c r="EJ181" s="646"/>
      <c r="EK181" s="271"/>
      <c r="EL181" s="644"/>
      <c r="EM181" s="634"/>
      <c r="EN181" s="647"/>
      <c r="EO181" s="648"/>
      <c r="EP181" s="647"/>
      <c r="EQ181" s="647"/>
      <c r="ER181" s="647"/>
      <c r="ES181" s="139"/>
      <c r="EV181" s="647"/>
      <c r="EW181" s="647"/>
      <c r="EX181" s="647"/>
      <c r="EY181" s="647"/>
      <c r="EZ181" s="647"/>
      <c r="FA181" s="646"/>
      <c r="FB181" s="646"/>
      <c r="FC181" s="646"/>
      <c r="FD181" s="646"/>
      <c r="FE181" s="646"/>
      <c r="FF181" s="646"/>
      <c r="FG181" s="647"/>
      <c r="FH181" s="647"/>
      <c r="FI181" s="647"/>
      <c r="FJ181" s="647"/>
      <c r="FK181" s="647"/>
      <c r="FL181" s="647"/>
      <c r="FM181" s="647"/>
      <c r="FN181" s="647"/>
      <c r="FO181" s="647"/>
      <c r="FP181" s="647"/>
      <c r="FQ181" s="647"/>
      <c r="FR181" s="647"/>
      <c r="FS181" s="101"/>
      <c r="FT181" s="95"/>
      <c r="FU181" s="634"/>
      <c r="FV181" s="101"/>
      <c r="FW181" s="101"/>
      <c r="FX181" s="634"/>
      <c r="FY181" s="634"/>
      <c r="FZ181" s="634"/>
      <c r="GA181" s="634"/>
      <c r="GB181" s="634"/>
      <c r="GC181" s="634"/>
      <c r="GD181" s="634"/>
      <c r="GE181" s="634"/>
      <c r="GF181" s="634"/>
      <c r="GG181" s="634"/>
      <c r="GH181" s="634"/>
      <c r="GI181" s="634"/>
      <c r="GJ181" s="634"/>
      <c r="GK181" s="634"/>
      <c r="GL181" s="101"/>
      <c r="GM181" s="101"/>
      <c r="GN181" s="101"/>
      <c r="GO181" s="643"/>
      <c r="GP181" s="644"/>
      <c r="GQ181" s="643"/>
      <c r="GR181" s="644"/>
      <c r="GS181" s="643"/>
      <c r="GT181" s="644"/>
      <c r="GU181" s="644"/>
      <c r="GV181" s="644"/>
      <c r="GW181" s="644"/>
      <c r="GX181" s="644"/>
      <c r="GY181" s="644"/>
      <c r="GZ181" s="644"/>
    </row>
    <row r="182" spans="1:209">
      <c r="A182" s="638"/>
      <c r="B182" s="95"/>
      <c r="C182" s="95"/>
      <c r="D182" s="95"/>
      <c r="E182" s="650"/>
      <c r="F182" s="95"/>
      <c r="G182" s="95"/>
      <c r="H182" s="99"/>
      <c r="I182" s="95"/>
      <c r="J182" s="95"/>
      <c r="K182" s="95"/>
      <c r="L182" s="95"/>
      <c r="M182" s="95"/>
      <c r="N182" s="95"/>
      <c r="O182" s="95"/>
      <c r="P182" s="95"/>
      <c r="Q182" s="95"/>
      <c r="R182" s="95"/>
      <c r="S182" s="101"/>
      <c r="T182" s="644"/>
      <c r="U182" s="101"/>
      <c r="V182" s="647"/>
      <c r="W182" s="643"/>
      <c r="X182" s="644"/>
      <c r="Y182" s="101"/>
      <c r="Z182" s="644"/>
      <c r="AA182" s="101"/>
      <c r="AB182" s="644"/>
      <c r="AC182" s="101"/>
      <c r="AD182" s="646"/>
      <c r="AE182" s="271"/>
      <c r="AF182" s="646"/>
      <c r="AG182" s="646"/>
      <c r="AH182" s="646"/>
      <c r="AI182" s="646"/>
      <c r="AJ182" s="646"/>
      <c r="AK182" s="646"/>
      <c r="AL182" s="646"/>
      <c r="AM182" s="271"/>
      <c r="AN182" s="646"/>
      <c r="AO182" s="646"/>
      <c r="AP182" s="646"/>
      <c r="AQ182" s="271"/>
      <c r="AR182" s="646"/>
      <c r="AS182" s="270"/>
      <c r="AT182" s="646"/>
      <c r="AU182" s="646"/>
      <c r="AV182" s="646"/>
      <c r="AW182" s="270"/>
      <c r="AX182" s="646"/>
      <c r="AY182" s="270"/>
      <c r="AZ182" s="646"/>
      <c r="BA182" s="646"/>
      <c r="BB182" s="644"/>
      <c r="BC182" s="644"/>
      <c r="BD182" s="644"/>
      <c r="BE182" s="644"/>
      <c r="BF182" s="644"/>
      <c r="BG182" s="644"/>
      <c r="BH182" s="644"/>
      <c r="BI182" s="644"/>
      <c r="BJ182" s="644"/>
      <c r="BK182" s="644"/>
      <c r="BL182" s="644"/>
      <c r="BM182" s="95"/>
      <c r="BN182" s="644"/>
      <c r="BO182" s="95"/>
      <c r="BP182" s="644"/>
      <c r="BQ182" s="644"/>
      <c r="BR182" s="644"/>
      <c r="BS182" s="644"/>
      <c r="BT182" s="644"/>
      <c r="BU182" s="644"/>
      <c r="BV182" s="644"/>
      <c r="BW182" s="644"/>
      <c r="BX182" s="644"/>
      <c r="BY182" s="644"/>
      <c r="BZ182" s="644"/>
      <c r="CA182" s="644"/>
      <c r="CB182" s="644"/>
      <c r="CC182" s="644"/>
      <c r="CD182" s="644"/>
      <c r="CE182" s="644"/>
      <c r="CF182" s="644"/>
      <c r="CG182" s="644"/>
      <c r="CH182" s="644"/>
      <c r="CI182" s="644"/>
      <c r="CJ182" s="644"/>
      <c r="CK182" s="644"/>
      <c r="CL182" s="644"/>
      <c r="CM182" s="95"/>
      <c r="CN182" s="644"/>
      <c r="CO182" s="644"/>
      <c r="CP182" s="95"/>
      <c r="CQ182" s="95"/>
      <c r="CR182" s="95"/>
      <c r="CS182" s="95"/>
      <c r="CT182" s="95"/>
      <c r="CU182" s="108"/>
      <c r="CV182" s="109"/>
      <c r="CW182" s="644"/>
      <c r="CX182" s="496"/>
      <c r="CY182" s="637"/>
      <c r="CZ182" s="644"/>
      <c r="DA182" s="644"/>
      <c r="DB182" s="644"/>
      <c r="DC182" s="496"/>
      <c r="DD182" s="644"/>
      <c r="DE182" s="101"/>
      <c r="DF182" s="644"/>
      <c r="DG182" s="101"/>
      <c r="DH182" s="644"/>
      <c r="DI182" s="644"/>
      <c r="DJ182" s="644"/>
      <c r="DK182" s="644"/>
      <c r="DL182" s="644"/>
      <c r="DM182" s="101"/>
      <c r="DN182" s="644"/>
      <c r="DO182" s="644"/>
      <c r="DP182" s="644"/>
      <c r="DQ182" s="644"/>
      <c r="DR182" s="644"/>
      <c r="DS182" s="644"/>
      <c r="DT182" s="644"/>
      <c r="DU182" s="644"/>
      <c r="DV182" s="644"/>
      <c r="DW182" s="101"/>
      <c r="DX182" s="646"/>
      <c r="DY182" s="646"/>
      <c r="DZ182" s="646"/>
      <c r="EA182" s="646"/>
      <c r="EB182" s="646"/>
      <c r="EC182" s="646"/>
      <c r="ED182" s="646"/>
      <c r="EE182" s="646"/>
      <c r="EF182" s="646"/>
      <c r="EG182" s="646"/>
      <c r="EH182" s="646"/>
      <c r="EI182" s="646"/>
      <c r="EJ182" s="646"/>
      <c r="EK182" s="271"/>
      <c r="EL182" s="644"/>
      <c r="EM182" s="634"/>
      <c r="EN182" s="647"/>
      <c r="EO182" s="648"/>
      <c r="EP182" s="647"/>
      <c r="EQ182" s="647"/>
      <c r="ER182" s="647"/>
      <c r="ES182" s="139"/>
      <c r="EV182" s="647"/>
      <c r="EW182" s="647"/>
      <c r="EX182" s="647"/>
      <c r="EY182" s="647"/>
      <c r="EZ182" s="647"/>
      <c r="FA182" s="646"/>
      <c r="FB182" s="646"/>
      <c r="FC182" s="646"/>
      <c r="FD182" s="646"/>
      <c r="FE182" s="646"/>
      <c r="FF182" s="646"/>
      <c r="FG182" s="647"/>
      <c r="FH182" s="647"/>
      <c r="FI182" s="647"/>
      <c r="FJ182" s="647"/>
      <c r="FK182" s="647"/>
      <c r="FL182" s="647"/>
      <c r="FM182" s="647"/>
      <c r="FN182" s="647"/>
      <c r="FO182" s="647"/>
      <c r="FP182" s="647"/>
      <c r="FQ182" s="647"/>
      <c r="FR182" s="647"/>
      <c r="FS182" s="101"/>
      <c r="FT182" s="95"/>
      <c r="FU182" s="634"/>
      <c r="FV182" s="101"/>
      <c r="FW182" s="101"/>
      <c r="FX182" s="634"/>
      <c r="FY182" s="634"/>
      <c r="FZ182" s="634"/>
      <c r="GA182" s="634"/>
      <c r="GB182" s="634"/>
      <c r="GC182" s="634"/>
      <c r="GD182" s="634"/>
      <c r="GE182" s="634"/>
      <c r="GF182" s="634"/>
      <c r="GG182" s="634"/>
      <c r="GH182" s="634"/>
      <c r="GI182" s="634"/>
      <c r="GJ182" s="634"/>
      <c r="GK182" s="634"/>
      <c r="GL182" s="101"/>
      <c r="GM182" s="101"/>
      <c r="GN182" s="101"/>
      <c r="GO182" s="643"/>
      <c r="GP182" s="644"/>
      <c r="GQ182" s="643"/>
      <c r="GR182" s="644"/>
      <c r="GS182" s="643"/>
      <c r="GT182" s="644"/>
      <c r="GU182" s="644"/>
      <c r="GV182" s="644"/>
      <c r="GW182" s="644"/>
      <c r="GX182" s="644"/>
      <c r="GY182" s="644"/>
      <c r="GZ182" s="644"/>
    </row>
    <row r="183" spans="1:209">
      <c r="A183" s="638"/>
      <c r="B183" s="95"/>
      <c r="C183" s="95"/>
      <c r="D183" s="95"/>
      <c r="E183" s="650"/>
      <c r="F183" s="95"/>
      <c r="G183" s="95"/>
      <c r="H183" s="99"/>
      <c r="I183" s="95"/>
      <c r="J183" s="95"/>
      <c r="K183" s="95"/>
      <c r="L183" s="95"/>
      <c r="M183" s="95"/>
      <c r="N183" s="95"/>
      <c r="O183" s="95"/>
      <c r="P183" s="95"/>
      <c r="Q183" s="95"/>
      <c r="R183" s="95"/>
      <c r="S183" s="101"/>
      <c r="T183" s="644"/>
      <c r="U183" s="101"/>
      <c r="V183" s="647"/>
      <c r="W183" s="643"/>
      <c r="X183" s="644"/>
      <c r="Y183" s="101"/>
      <c r="Z183" s="644"/>
      <c r="AA183" s="101"/>
      <c r="AB183" s="644"/>
      <c r="AC183" s="101"/>
      <c r="AD183" s="646"/>
      <c r="AE183" s="271"/>
      <c r="AF183" s="646"/>
      <c r="AG183" s="646"/>
      <c r="AH183" s="646"/>
      <c r="AI183" s="646"/>
      <c r="AJ183" s="646"/>
      <c r="AK183" s="646"/>
      <c r="AL183" s="646"/>
      <c r="AM183" s="271"/>
      <c r="AN183" s="646"/>
      <c r="AO183" s="646"/>
      <c r="AP183" s="646"/>
      <c r="AQ183" s="271"/>
      <c r="AR183" s="646"/>
      <c r="AS183" s="270"/>
      <c r="AT183" s="646"/>
      <c r="AU183" s="646"/>
      <c r="AV183" s="646"/>
      <c r="AW183" s="270"/>
      <c r="AX183" s="646"/>
      <c r="AY183" s="270"/>
      <c r="AZ183" s="646"/>
      <c r="BA183" s="646"/>
      <c r="BB183" s="644"/>
      <c r="BC183" s="644"/>
      <c r="BD183" s="644"/>
      <c r="BE183" s="644"/>
      <c r="BF183" s="644"/>
      <c r="BG183" s="644"/>
      <c r="BH183" s="644"/>
      <c r="BI183" s="644"/>
      <c r="BJ183" s="644"/>
      <c r="BK183" s="644"/>
      <c r="BL183" s="644"/>
      <c r="BM183" s="95"/>
      <c r="BN183" s="644"/>
      <c r="BO183" s="95"/>
      <c r="BP183" s="644"/>
      <c r="BQ183" s="644"/>
      <c r="BR183" s="644"/>
      <c r="BS183" s="644"/>
      <c r="BT183" s="644"/>
      <c r="BU183" s="644"/>
      <c r="BV183" s="644"/>
      <c r="BW183" s="644"/>
      <c r="BX183" s="644"/>
      <c r="BY183" s="644"/>
      <c r="BZ183" s="644"/>
      <c r="CA183" s="644"/>
      <c r="CB183" s="644"/>
      <c r="CC183" s="644"/>
      <c r="CD183" s="644"/>
      <c r="CE183" s="644"/>
      <c r="CF183" s="644"/>
      <c r="CG183" s="644"/>
      <c r="CH183" s="644"/>
      <c r="CI183" s="644"/>
      <c r="CJ183" s="644"/>
      <c r="CK183" s="644"/>
      <c r="CL183" s="644"/>
      <c r="CM183" s="95"/>
      <c r="CN183" s="644"/>
      <c r="CO183" s="644"/>
      <c r="CP183" s="95"/>
      <c r="CQ183" s="95"/>
      <c r="CR183" s="95"/>
      <c r="CS183" s="95"/>
      <c r="CT183" s="95"/>
      <c r="CU183" s="108"/>
      <c r="CV183" s="109"/>
      <c r="CW183" s="644"/>
      <c r="CX183" s="496"/>
      <c r="CY183" s="637"/>
      <c r="CZ183" s="644"/>
      <c r="DA183" s="644"/>
      <c r="DB183" s="644"/>
      <c r="DC183" s="496"/>
      <c r="DD183" s="644"/>
      <c r="DE183" s="101"/>
      <c r="DF183" s="644"/>
      <c r="DG183" s="101"/>
      <c r="DH183" s="644"/>
      <c r="DI183" s="644"/>
      <c r="DJ183" s="644"/>
      <c r="DK183" s="644"/>
      <c r="DL183" s="644"/>
      <c r="DM183" s="101"/>
      <c r="DN183" s="644"/>
      <c r="DO183" s="644"/>
      <c r="DP183" s="644"/>
      <c r="DQ183" s="644"/>
      <c r="DR183" s="644"/>
      <c r="DS183" s="644"/>
      <c r="DT183" s="644"/>
      <c r="DU183" s="644"/>
      <c r="DV183" s="644"/>
      <c r="DW183" s="101"/>
      <c r="DX183" s="646"/>
      <c r="DY183" s="646"/>
      <c r="DZ183" s="646"/>
      <c r="EA183" s="646"/>
      <c r="EB183" s="646"/>
      <c r="EC183" s="646"/>
      <c r="ED183" s="646"/>
      <c r="EE183" s="646"/>
      <c r="EF183" s="646"/>
      <c r="EG183" s="646"/>
      <c r="EH183" s="646"/>
      <c r="EI183" s="646"/>
      <c r="EJ183" s="646"/>
      <c r="EK183" s="271"/>
      <c r="EL183" s="644"/>
      <c r="EM183" s="634"/>
      <c r="EN183" s="647"/>
      <c r="EO183" s="648"/>
      <c r="EP183" s="647"/>
      <c r="EQ183" s="647"/>
      <c r="ER183" s="647"/>
      <c r="ES183" s="139"/>
      <c r="EV183" s="647"/>
      <c r="EW183" s="647"/>
      <c r="EX183" s="647"/>
      <c r="EY183" s="647"/>
      <c r="EZ183" s="647"/>
      <c r="FA183" s="646"/>
      <c r="FB183" s="646"/>
      <c r="FC183" s="646"/>
      <c r="FD183" s="646"/>
      <c r="FE183" s="646"/>
      <c r="FF183" s="646"/>
      <c r="FG183" s="647"/>
      <c r="FH183" s="647"/>
      <c r="FI183" s="647"/>
      <c r="FJ183" s="647"/>
      <c r="FK183" s="647"/>
      <c r="FL183" s="647"/>
      <c r="FM183" s="647"/>
      <c r="FN183" s="647"/>
      <c r="FO183" s="647"/>
      <c r="FP183" s="647"/>
      <c r="FQ183" s="647"/>
      <c r="FR183" s="647"/>
      <c r="FS183" s="101"/>
      <c r="FT183" s="95"/>
      <c r="FU183" s="634"/>
      <c r="FV183" s="101"/>
      <c r="FW183" s="101"/>
      <c r="FX183" s="634"/>
      <c r="FY183" s="634"/>
      <c r="FZ183" s="634"/>
      <c r="GA183" s="634"/>
      <c r="GB183" s="634"/>
      <c r="GC183" s="634"/>
      <c r="GD183" s="634"/>
      <c r="GE183" s="634"/>
      <c r="GF183" s="634"/>
      <c r="GG183" s="634"/>
      <c r="GH183" s="634"/>
      <c r="GI183" s="634"/>
      <c r="GJ183" s="634"/>
      <c r="GK183" s="634"/>
      <c r="GL183" s="101"/>
      <c r="GM183" s="101"/>
      <c r="GN183" s="101"/>
      <c r="GO183" s="643"/>
      <c r="GP183" s="644"/>
      <c r="GQ183" s="643"/>
      <c r="GR183" s="644"/>
      <c r="GS183" s="643"/>
      <c r="GT183" s="644"/>
      <c r="GU183" s="644"/>
      <c r="GV183" s="644"/>
      <c r="GW183" s="644"/>
      <c r="GX183" s="644"/>
      <c r="GY183" s="644"/>
      <c r="GZ183" s="644"/>
    </row>
    <row r="184" spans="1:209">
      <c r="A184" s="638"/>
      <c r="B184" s="95"/>
      <c r="C184" s="95"/>
      <c r="D184" s="95"/>
      <c r="E184" s="650"/>
      <c r="F184" s="95"/>
      <c r="G184" s="95"/>
      <c r="H184" s="99"/>
      <c r="I184" s="95"/>
      <c r="J184" s="95"/>
      <c r="K184" s="95"/>
      <c r="L184" s="95"/>
      <c r="M184" s="95"/>
      <c r="N184" s="95"/>
      <c r="O184" s="95"/>
      <c r="P184" s="95"/>
      <c r="Q184" s="95"/>
      <c r="R184" s="95"/>
      <c r="S184" s="101"/>
      <c r="T184" s="644"/>
      <c r="U184" s="101"/>
      <c r="V184" s="647"/>
      <c r="W184" s="643"/>
      <c r="X184" s="644"/>
      <c r="Y184" s="101"/>
      <c r="Z184" s="644"/>
      <c r="AA184" s="101"/>
      <c r="AB184" s="644"/>
      <c r="AC184" s="101"/>
      <c r="AD184" s="646"/>
      <c r="AE184" s="271"/>
      <c r="AF184" s="646"/>
      <c r="AG184" s="646"/>
      <c r="AH184" s="646"/>
      <c r="AI184" s="646"/>
      <c r="AJ184" s="646"/>
      <c r="AK184" s="646"/>
      <c r="AL184" s="646"/>
      <c r="AM184" s="271"/>
      <c r="AN184" s="646"/>
      <c r="AO184" s="646"/>
      <c r="AP184" s="646"/>
      <c r="AQ184" s="271"/>
      <c r="AR184" s="646"/>
      <c r="AS184" s="270"/>
      <c r="AT184" s="646"/>
      <c r="AU184" s="646"/>
      <c r="AV184" s="646"/>
      <c r="AW184" s="270"/>
      <c r="AX184" s="646"/>
      <c r="AY184" s="270"/>
      <c r="AZ184" s="646"/>
      <c r="BA184" s="646"/>
      <c r="BB184" s="644"/>
      <c r="BC184" s="644"/>
      <c r="BD184" s="644"/>
      <c r="BE184" s="644"/>
      <c r="BF184" s="644"/>
      <c r="BG184" s="644"/>
      <c r="BH184" s="644"/>
      <c r="BI184" s="644"/>
      <c r="BJ184" s="644"/>
      <c r="BK184" s="644"/>
      <c r="BL184" s="644"/>
      <c r="BM184" s="95"/>
      <c r="BN184" s="644"/>
      <c r="BO184" s="95"/>
      <c r="BP184" s="644"/>
      <c r="BQ184" s="644"/>
      <c r="BR184" s="644"/>
      <c r="BS184" s="644"/>
      <c r="BT184" s="644"/>
      <c r="BU184" s="644"/>
      <c r="BV184" s="644"/>
      <c r="BW184" s="644"/>
      <c r="BX184" s="644"/>
      <c r="BY184" s="644"/>
      <c r="BZ184" s="644"/>
      <c r="CA184" s="644"/>
      <c r="CB184" s="644"/>
      <c r="CC184" s="644"/>
      <c r="CD184" s="644"/>
      <c r="CE184" s="644"/>
      <c r="CF184" s="644"/>
      <c r="CG184" s="644"/>
      <c r="CH184" s="644"/>
      <c r="CI184" s="644"/>
      <c r="CJ184" s="644"/>
      <c r="CK184" s="644"/>
      <c r="CL184" s="644"/>
      <c r="CM184" s="95"/>
      <c r="CN184" s="644"/>
      <c r="CO184" s="644"/>
      <c r="CP184" s="95"/>
      <c r="CQ184" s="95"/>
      <c r="CR184" s="95"/>
      <c r="CS184" s="95"/>
      <c r="CT184" s="95"/>
      <c r="CU184" s="108"/>
      <c r="CV184" s="109"/>
      <c r="CW184" s="644"/>
      <c r="CX184" s="496"/>
      <c r="CY184" s="637"/>
      <c r="CZ184" s="644"/>
      <c r="DA184" s="644"/>
      <c r="DB184" s="644"/>
      <c r="DC184" s="496"/>
      <c r="DD184" s="644"/>
      <c r="DE184" s="101"/>
      <c r="DF184" s="644"/>
      <c r="DG184" s="101"/>
      <c r="DH184" s="644"/>
      <c r="DI184" s="644"/>
      <c r="DJ184" s="644"/>
      <c r="DK184" s="644"/>
      <c r="DL184" s="644"/>
      <c r="DM184" s="101"/>
      <c r="DN184" s="644"/>
      <c r="DO184" s="644"/>
      <c r="DP184" s="644"/>
      <c r="DQ184" s="644"/>
      <c r="DR184" s="644"/>
      <c r="DS184" s="644"/>
      <c r="DT184" s="644"/>
      <c r="DU184" s="644"/>
      <c r="DV184" s="644"/>
      <c r="DW184" s="101"/>
      <c r="DX184" s="646"/>
      <c r="DY184" s="646"/>
      <c r="DZ184" s="646"/>
      <c r="EA184" s="646"/>
      <c r="EB184" s="646"/>
      <c r="EC184" s="646"/>
      <c r="ED184" s="646"/>
      <c r="EE184" s="646"/>
      <c r="EF184" s="646"/>
      <c r="EG184" s="646"/>
      <c r="EH184" s="646"/>
      <c r="EI184" s="646"/>
      <c r="EJ184" s="646"/>
      <c r="EK184" s="271"/>
      <c r="EL184" s="644"/>
      <c r="EM184" s="634"/>
      <c r="EN184" s="647"/>
      <c r="EO184" s="648"/>
      <c r="EP184" s="647"/>
      <c r="EQ184" s="647"/>
      <c r="ER184" s="647"/>
      <c r="ES184" s="139"/>
      <c r="EV184" s="647"/>
      <c r="EW184" s="647"/>
      <c r="EX184" s="647"/>
      <c r="EY184" s="647"/>
      <c r="EZ184" s="647"/>
      <c r="FA184" s="646"/>
      <c r="FB184" s="646"/>
      <c r="FC184" s="646"/>
      <c r="FD184" s="646"/>
      <c r="FE184" s="646"/>
      <c r="FF184" s="646"/>
      <c r="FG184" s="647"/>
      <c r="FH184" s="647"/>
      <c r="FI184" s="647"/>
      <c r="FJ184" s="647"/>
      <c r="FK184" s="647"/>
      <c r="FL184" s="647"/>
      <c r="FM184" s="647"/>
      <c r="FN184" s="647"/>
      <c r="FO184" s="647"/>
      <c r="FP184" s="647"/>
      <c r="FQ184" s="647"/>
      <c r="FR184" s="647"/>
      <c r="FS184" s="101"/>
      <c r="FT184" s="95"/>
      <c r="FU184" s="634"/>
      <c r="FV184" s="101"/>
      <c r="FW184" s="101"/>
      <c r="FX184" s="634"/>
      <c r="FY184" s="634"/>
      <c r="FZ184" s="634"/>
      <c r="GA184" s="634"/>
      <c r="GB184" s="634"/>
      <c r="GC184" s="634"/>
      <c r="GD184" s="634"/>
      <c r="GE184" s="634"/>
      <c r="GF184" s="634"/>
      <c r="GG184" s="634"/>
      <c r="GH184" s="634"/>
      <c r="GI184" s="634"/>
      <c r="GJ184" s="634"/>
      <c r="GK184" s="634"/>
      <c r="GL184" s="101"/>
      <c r="GM184" s="101"/>
      <c r="GN184" s="101"/>
      <c r="GO184" s="643"/>
      <c r="GP184" s="644"/>
      <c r="GQ184" s="643"/>
      <c r="GR184" s="644"/>
      <c r="GS184" s="643"/>
      <c r="GT184" s="644"/>
      <c r="GU184" s="644"/>
      <c r="GV184" s="644"/>
      <c r="GW184" s="644"/>
      <c r="GX184" s="644"/>
      <c r="GY184" s="644"/>
      <c r="GZ184" s="644"/>
    </row>
    <row r="185" spans="1:209">
      <c r="A185" s="638"/>
      <c r="B185" s="95"/>
      <c r="C185" s="95"/>
      <c r="D185" s="95"/>
      <c r="E185" s="650"/>
      <c r="F185" s="95"/>
      <c r="G185" s="95"/>
      <c r="H185" s="99"/>
      <c r="I185" s="95"/>
      <c r="J185" s="95"/>
      <c r="K185" s="95"/>
      <c r="L185" s="95"/>
      <c r="M185" s="95"/>
      <c r="N185" s="95"/>
      <c r="O185" s="95"/>
      <c r="P185" s="95"/>
      <c r="Q185" s="95"/>
      <c r="R185" s="95"/>
      <c r="S185" s="101"/>
      <c r="T185" s="644"/>
      <c r="U185" s="101"/>
      <c r="V185" s="647"/>
      <c r="W185" s="643"/>
      <c r="X185" s="644"/>
      <c r="Y185" s="101"/>
      <c r="Z185" s="644"/>
      <c r="AA185" s="101"/>
      <c r="AB185" s="644"/>
      <c r="AC185" s="101"/>
      <c r="AD185" s="646"/>
      <c r="AE185" s="271"/>
      <c r="AF185" s="646"/>
      <c r="AG185" s="646"/>
      <c r="AH185" s="646"/>
      <c r="AI185" s="646"/>
      <c r="AJ185" s="646"/>
      <c r="AK185" s="646"/>
      <c r="AL185" s="646"/>
      <c r="AM185" s="271"/>
      <c r="AN185" s="646"/>
      <c r="AO185" s="646"/>
      <c r="AP185" s="646"/>
      <c r="AQ185" s="271"/>
      <c r="AR185" s="646"/>
      <c r="AS185" s="270"/>
      <c r="AT185" s="646"/>
      <c r="AU185" s="646"/>
      <c r="AV185" s="646"/>
      <c r="AW185" s="270"/>
      <c r="AX185" s="646"/>
      <c r="AY185" s="270"/>
      <c r="AZ185" s="646"/>
      <c r="BA185" s="646"/>
      <c r="BB185" s="644"/>
      <c r="BC185" s="644"/>
      <c r="BD185" s="644"/>
      <c r="BE185" s="644"/>
      <c r="BF185" s="644"/>
      <c r="BG185" s="644"/>
      <c r="BH185" s="644"/>
      <c r="BI185" s="644"/>
      <c r="BJ185" s="644"/>
      <c r="BK185" s="644"/>
      <c r="BL185" s="644"/>
      <c r="BM185" s="95"/>
      <c r="BN185" s="644"/>
      <c r="BO185" s="95"/>
      <c r="BP185" s="644"/>
      <c r="BQ185" s="644"/>
      <c r="BR185" s="644"/>
      <c r="BS185" s="644"/>
      <c r="BT185" s="644"/>
      <c r="BU185" s="644"/>
      <c r="BV185" s="644"/>
      <c r="BW185" s="644"/>
      <c r="BX185" s="644"/>
      <c r="BY185" s="644"/>
      <c r="BZ185" s="644"/>
      <c r="CA185" s="644"/>
      <c r="CB185" s="644"/>
      <c r="CC185" s="644"/>
      <c r="CD185" s="644"/>
      <c r="CE185" s="644"/>
      <c r="CF185" s="644"/>
      <c r="CG185" s="644"/>
      <c r="CH185" s="644"/>
      <c r="CI185" s="644"/>
      <c r="CJ185" s="644"/>
      <c r="CK185" s="644"/>
      <c r="CL185" s="644"/>
      <c r="CM185" s="95"/>
      <c r="CN185" s="644"/>
      <c r="CO185" s="644"/>
      <c r="CP185" s="95"/>
      <c r="CQ185" s="95"/>
      <c r="CR185" s="95"/>
      <c r="CS185" s="95"/>
      <c r="CT185" s="95"/>
      <c r="CU185" s="108"/>
      <c r="CV185" s="109"/>
      <c r="CW185" s="644"/>
      <c r="CX185" s="496"/>
      <c r="CY185" s="637"/>
      <c r="CZ185" s="644"/>
      <c r="DA185" s="644"/>
      <c r="DB185" s="644"/>
      <c r="DC185" s="496"/>
      <c r="DD185" s="644"/>
      <c r="DE185" s="101"/>
      <c r="DF185" s="644"/>
      <c r="DG185" s="101"/>
      <c r="DH185" s="644"/>
      <c r="DI185" s="644"/>
      <c r="DJ185" s="644"/>
      <c r="DK185" s="644"/>
      <c r="DL185" s="644"/>
      <c r="DM185" s="101"/>
      <c r="DN185" s="644"/>
      <c r="DO185" s="644"/>
      <c r="DP185" s="644"/>
      <c r="DQ185" s="644"/>
      <c r="DR185" s="644"/>
      <c r="DS185" s="644"/>
      <c r="DT185" s="644"/>
      <c r="DU185" s="644"/>
      <c r="DV185" s="644"/>
      <c r="DW185" s="101"/>
      <c r="DX185" s="646"/>
      <c r="DY185" s="646"/>
      <c r="DZ185" s="646"/>
      <c r="EA185" s="646"/>
      <c r="EB185" s="646"/>
      <c r="EC185" s="646"/>
      <c r="ED185" s="646"/>
      <c r="EE185" s="646"/>
      <c r="EF185" s="646"/>
      <c r="EG185" s="646"/>
      <c r="EH185" s="646"/>
      <c r="EI185" s="646"/>
      <c r="EJ185" s="646"/>
      <c r="EK185" s="271"/>
      <c r="EL185" s="644"/>
      <c r="EM185" s="634"/>
      <c r="EN185" s="647"/>
      <c r="EO185" s="648"/>
      <c r="EP185" s="647"/>
      <c r="EQ185" s="647"/>
      <c r="ER185" s="647"/>
      <c r="ES185" s="139"/>
      <c r="EV185" s="647"/>
      <c r="EW185" s="647"/>
      <c r="EX185" s="647"/>
      <c r="EY185" s="647"/>
      <c r="EZ185" s="647"/>
      <c r="FA185" s="646"/>
      <c r="FB185" s="646"/>
      <c r="FC185" s="646"/>
      <c r="FD185" s="646"/>
      <c r="FE185" s="646"/>
      <c r="FF185" s="646"/>
      <c r="FG185" s="647"/>
      <c r="FH185" s="647"/>
      <c r="FI185" s="647"/>
      <c r="FJ185" s="647"/>
      <c r="FK185" s="647"/>
      <c r="FL185" s="647"/>
      <c r="FM185" s="647"/>
      <c r="FN185" s="647"/>
      <c r="FO185" s="647"/>
      <c r="FP185" s="647"/>
      <c r="FQ185" s="647"/>
      <c r="FR185" s="647"/>
      <c r="FS185" s="101"/>
      <c r="FT185" s="95"/>
      <c r="FU185" s="634"/>
      <c r="FV185" s="101"/>
      <c r="FW185" s="101"/>
      <c r="FX185" s="634"/>
      <c r="FY185" s="634"/>
      <c r="FZ185" s="634"/>
      <c r="GA185" s="634"/>
      <c r="GB185" s="634"/>
      <c r="GC185" s="634"/>
      <c r="GD185" s="634"/>
      <c r="GE185" s="634"/>
      <c r="GF185" s="634"/>
      <c r="GG185" s="634"/>
      <c r="GH185" s="634"/>
      <c r="GI185" s="634"/>
      <c r="GJ185" s="634"/>
      <c r="GK185" s="634"/>
      <c r="GL185" s="101"/>
      <c r="GM185" s="101"/>
      <c r="GN185" s="101"/>
      <c r="GO185" s="643"/>
      <c r="GP185" s="644"/>
      <c r="GQ185" s="643"/>
      <c r="GR185" s="644"/>
      <c r="GS185" s="643"/>
      <c r="GT185" s="644"/>
      <c r="GU185" s="644"/>
      <c r="GV185" s="644"/>
      <c r="GW185" s="644"/>
      <c r="GX185" s="644"/>
      <c r="GY185" s="644"/>
      <c r="GZ185" s="644"/>
    </row>
    <row r="186" spans="1:209">
      <c r="A186" s="638"/>
      <c r="B186" s="95"/>
      <c r="C186" s="95"/>
      <c r="D186" s="95"/>
      <c r="E186" s="650"/>
      <c r="F186" s="95"/>
      <c r="G186" s="95"/>
      <c r="H186" s="99"/>
      <c r="I186" s="95"/>
      <c r="J186" s="95"/>
      <c r="K186" s="95"/>
      <c r="L186" s="95"/>
      <c r="M186" s="95"/>
      <c r="N186" s="95"/>
      <c r="O186" s="95"/>
      <c r="P186" s="95"/>
      <c r="Q186" s="95"/>
      <c r="R186" s="95"/>
      <c r="S186" s="101"/>
      <c r="T186" s="644"/>
      <c r="U186" s="101"/>
      <c r="V186" s="647"/>
      <c r="W186" s="643"/>
      <c r="X186" s="644"/>
      <c r="Y186" s="101"/>
      <c r="Z186" s="644"/>
      <c r="AA186" s="101"/>
      <c r="AB186" s="644"/>
      <c r="AC186" s="101"/>
      <c r="AD186" s="646"/>
      <c r="AE186" s="271"/>
      <c r="AF186" s="646"/>
      <c r="AG186" s="646"/>
      <c r="AH186" s="646"/>
      <c r="AI186" s="646"/>
      <c r="AJ186" s="646"/>
      <c r="AK186" s="646"/>
      <c r="AL186" s="646"/>
      <c r="AM186" s="271"/>
      <c r="AN186" s="646"/>
      <c r="AO186" s="646"/>
      <c r="AP186" s="646"/>
      <c r="AQ186" s="271"/>
      <c r="AR186" s="646"/>
      <c r="AS186" s="270"/>
      <c r="AT186" s="646"/>
      <c r="AU186" s="646"/>
      <c r="AV186" s="646"/>
      <c r="AW186" s="270"/>
      <c r="AX186" s="646"/>
      <c r="AY186" s="270"/>
      <c r="AZ186" s="646"/>
      <c r="BA186" s="646"/>
      <c r="BB186" s="644"/>
      <c r="BC186" s="644"/>
      <c r="BD186" s="644"/>
      <c r="BE186" s="644"/>
      <c r="BF186" s="644"/>
      <c r="BG186" s="644"/>
      <c r="BH186" s="644"/>
      <c r="BI186" s="644"/>
      <c r="BJ186" s="644"/>
      <c r="BK186" s="644"/>
      <c r="BL186" s="644"/>
      <c r="BM186" s="95"/>
      <c r="BN186" s="644"/>
      <c r="BO186" s="95"/>
      <c r="BP186" s="644"/>
      <c r="BQ186" s="644"/>
      <c r="BR186" s="644"/>
      <c r="BS186" s="644"/>
      <c r="BT186" s="644"/>
      <c r="BU186" s="644"/>
      <c r="BV186" s="644"/>
      <c r="BW186" s="644"/>
      <c r="BX186" s="644"/>
      <c r="BY186" s="644"/>
      <c r="BZ186" s="644"/>
      <c r="CA186" s="644"/>
      <c r="CB186" s="644"/>
      <c r="CC186" s="644"/>
      <c r="CD186" s="644"/>
      <c r="CE186" s="644"/>
      <c r="CF186" s="644"/>
      <c r="CG186" s="644"/>
      <c r="CH186" s="644"/>
      <c r="CI186" s="644"/>
      <c r="CJ186" s="644"/>
      <c r="CK186" s="644"/>
      <c r="CL186" s="644"/>
      <c r="CM186" s="95"/>
      <c r="CN186" s="644"/>
      <c r="CO186" s="644"/>
      <c r="CP186" s="95"/>
      <c r="CQ186" s="95"/>
      <c r="CR186" s="95"/>
      <c r="CS186" s="95"/>
      <c r="CT186" s="95"/>
      <c r="CU186" s="108"/>
      <c r="CV186" s="109"/>
      <c r="CW186" s="644"/>
      <c r="CX186" s="496"/>
      <c r="CY186" s="637"/>
      <c r="CZ186" s="644"/>
      <c r="DA186" s="644"/>
      <c r="DB186" s="644"/>
      <c r="DC186" s="496"/>
      <c r="DD186" s="644"/>
      <c r="DE186" s="101"/>
      <c r="DF186" s="644"/>
      <c r="DG186" s="101"/>
      <c r="DH186" s="644"/>
      <c r="DI186" s="644"/>
      <c r="DJ186" s="644"/>
      <c r="DK186" s="644"/>
      <c r="DL186" s="644"/>
      <c r="DM186" s="101"/>
      <c r="DN186" s="644"/>
      <c r="DO186" s="644"/>
      <c r="DP186" s="644"/>
      <c r="DQ186" s="644"/>
      <c r="DR186" s="644"/>
      <c r="DS186" s="644"/>
      <c r="DT186" s="644"/>
      <c r="DU186" s="644"/>
      <c r="DV186" s="644"/>
      <c r="DW186" s="101"/>
      <c r="DX186" s="646"/>
      <c r="DY186" s="646"/>
      <c r="DZ186" s="646"/>
      <c r="EA186" s="646"/>
      <c r="EB186" s="646"/>
      <c r="EC186" s="646"/>
      <c r="ED186" s="646"/>
      <c r="EE186" s="646"/>
      <c r="EF186" s="646"/>
      <c r="EG186" s="646"/>
      <c r="EH186" s="646"/>
      <c r="EI186" s="646"/>
      <c r="EJ186" s="646"/>
      <c r="EK186" s="271"/>
      <c r="EL186" s="644"/>
      <c r="EM186" s="634"/>
      <c r="EN186" s="647"/>
      <c r="EO186" s="648"/>
      <c r="EP186" s="647"/>
      <c r="EQ186" s="647"/>
      <c r="ER186" s="647"/>
      <c r="ES186" s="139"/>
      <c r="EV186" s="647"/>
      <c r="EW186" s="647"/>
      <c r="EX186" s="647"/>
      <c r="EY186" s="647"/>
      <c r="EZ186" s="647"/>
      <c r="FA186" s="646"/>
      <c r="FB186" s="646"/>
      <c r="FC186" s="646"/>
      <c r="FD186" s="646"/>
      <c r="FE186" s="646"/>
      <c r="FF186" s="646"/>
      <c r="FG186" s="647"/>
      <c r="FH186" s="647"/>
      <c r="FI186" s="647"/>
      <c r="FJ186" s="647"/>
      <c r="FK186" s="647"/>
      <c r="FL186" s="647"/>
      <c r="FM186" s="647"/>
      <c r="FN186" s="647"/>
      <c r="FO186" s="647"/>
      <c r="FP186" s="647"/>
      <c r="FQ186" s="647"/>
      <c r="FR186" s="647"/>
      <c r="FS186" s="101"/>
      <c r="FT186" s="95"/>
      <c r="FU186" s="634"/>
      <c r="FV186" s="101"/>
      <c r="FW186" s="101"/>
      <c r="FX186" s="634"/>
      <c r="FY186" s="634"/>
      <c r="FZ186" s="634"/>
      <c r="GA186" s="634"/>
      <c r="GB186" s="634"/>
      <c r="GC186" s="634"/>
      <c r="GD186" s="634"/>
      <c r="GE186" s="634"/>
      <c r="GF186" s="634"/>
      <c r="GG186" s="634"/>
      <c r="GH186" s="634"/>
      <c r="GI186" s="634"/>
      <c r="GJ186" s="634"/>
      <c r="GK186" s="634"/>
      <c r="GL186" s="101"/>
      <c r="GM186" s="101"/>
      <c r="GN186" s="101"/>
      <c r="GO186" s="643"/>
      <c r="GP186" s="644"/>
      <c r="GQ186" s="643"/>
      <c r="GR186" s="644"/>
      <c r="GS186" s="643"/>
      <c r="GT186" s="644"/>
      <c r="GU186" s="644"/>
      <c r="GV186" s="644"/>
      <c r="GW186" s="644"/>
      <c r="GX186" s="644"/>
      <c r="GY186" s="644"/>
      <c r="GZ186" s="644"/>
    </row>
    <row r="187" spans="1:209">
      <c r="A187" s="638"/>
      <c r="B187" s="95"/>
      <c r="C187" s="95"/>
      <c r="D187" s="95"/>
      <c r="E187" s="650"/>
      <c r="F187" s="95"/>
      <c r="G187" s="95"/>
      <c r="H187" s="99"/>
      <c r="I187" s="95"/>
      <c r="J187" s="95"/>
      <c r="K187" s="95"/>
      <c r="L187" s="95"/>
      <c r="M187" s="95"/>
      <c r="N187" s="95"/>
      <c r="O187" s="95"/>
      <c r="P187" s="95"/>
      <c r="Q187" s="95"/>
      <c r="R187" s="95"/>
      <c r="S187" s="101"/>
      <c r="T187" s="644"/>
      <c r="U187" s="101"/>
      <c r="V187" s="647"/>
      <c r="W187" s="643"/>
      <c r="X187" s="644"/>
      <c r="Y187" s="101"/>
      <c r="Z187" s="644"/>
      <c r="AA187" s="101"/>
      <c r="AB187" s="644"/>
      <c r="AC187" s="101"/>
      <c r="AD187" s="646"/>
      <c r="AE187" s="271"/>
      <c r="AF187" s="646"/>
      <c r="AG187" s="646"/>
      <c r="AH187" s="646"/>
      <c r="AI187" s="646"/>
      <c r="AJ187" s="646"/>
      <c r="AK187" s="646"/>
      <c r="AL187" s="646"/>
      <c r="AM187" s="271"/>
      <c r="AN187" s="646"/>
      <c r="AO187" s="646"/>
      <c r="AP187" s="646"/>
      <c r="AQ187" s="271"/>
      <c r="AR187" s="646"/>
      <c r="AS187" s="270"/>
      <c r="AT187" s="646"/>
      <c r="AU187" s="646"/>
      <c r="AV187" s="646"/>
      <c r="AW187" s="270"/>
      <c r="AX187" s="646"/>
      <c r="AY187" s="270"/>
      <c r="AZ187" s="646"/>
      <c r="BA187" s="646"/>
      <c r="BB187" s="644"/>
      <c r="BC187" s="644"/>
      <c r="BD187" s="644"/>
      <c r="BE187" s="644"/>
      <c r="BF187" s="644"/>
      <c r="BG187" s="644"/>
      <c r="BH187" s="644"/>
      <c r="BI187" s="644"/>
      <c r="BJ187" s="644"/>
      <c r="BK187" s="644"/>
      <c r="BL187" s="644"/>
      <c r="BM187" s="95"/>
      <c r="BN187" s="644"/>
      <c r="BO187" s="95"/>
      <c r="BP187" s="644"/>
      <c r="BQ187" s="644"/>
      <c r="BR187" s="644"/>
      <c r="BS187" s="644"/>
      <c r="BT187" s="644"/>
      <c r="BU187" s="644"/>
      <c r="BV187" s="644"/>
      <c r="BW187" s="644"/>
      <c r="BX187" s="644"/>
      <c r="BY187" s="644"/>
      <c r="BZ187" s="644"/>
      <c r="CA187" s="644"/>
      <c r="CB187" s="644"/>
      <c r="CC187" s="644"/>
      <c r="CD187" s="644"/>
      <c r="CE187" s="644"/>
      <c r="CF187" s="644"/>
      <c r="CG187" s="644"/>
      <c r="CH187" s="644"/>
      <c r="CI187" s="644"/>
      <c r="CJ187" s="644"/>
      <c r="CK187" s="644"/>
      <c r="CL187" s="644"/>
      <c r="CM187" s="95"/>
      <c r="CN187" s="644"/>
      <c r="CO187" s="644"/>
      <c r="CP187" s="95"/>
      <c r="CQ187" s="95"/>
      <c r="CR187" s="95"/>
      <c r="CS187" s="95"/>
      <c r="CT187" s="95"/>
      <c r="CU187" s="108"/>
      <c r="CV187" s="109"/>
      <c r="CW187" s="644"/>
      <c r="CX187" s="496"/>
      <c r="CY187" s="637"/>
      <c r="CZ187" s="644"/>
      <c r="DA187" s="644"/>
      <c r="DB187" s="644"/>
      <c r="DC187" s="496"/>
      <c r="DD187" s="644"/>
      <c r="DE187" s="101"/>
      <c r="DF187" s="644"/>
      <c r="DG187" s="101"/>
      <c r="DH187" s="644"/>
      <c r="DI187" s="644"/>
      <c r="DJ187" s="644"/>
      <c r="DK187" s="644"/>
      <c r="DL187" s="644"/>
      <c r="DM187" s="101"/>
      <c r="DN187" s="644"/>
      <c r="DO187" s="644"/>
      <c r="DP187" s="644"/>
      <c r="DQ187" s="644"/>
      <c r="DR187" s="644"/>
      <c r="DS187" s="644"/>
      <c r="DT187" s="644"/>
      <c r="DU187" s="644"/>
      <c r="DV187" s="644"/>
      <c r="DW187" s="101"/>
      <c r="DX187" s="646"/>
      <c r="DY187" s="646"/>
      <c r="DZ187" s="646"/>
      <c r="EA187" s="646"/>
      <c r="EB187" s="646"/>
      <c r="EC187" s="646"/>
      <c r="ED187" s="646"/>
      <c r="EE187" s="646"/>
      <c r="EF187" s="646"/>
      <c r="EG187" s="646"/>
      <c r="EH187" s="646"/>
      <c r="EI187" s="646"/>
      <c r="EJ187" s="646"/>
      <c r="EK187" s="271"/>
      <c r="EL187" s="644"/>
      <c r="EM187" s="634"/>
      <c r="EN187" s="647"/>
      <c r="EO187" s="648"/>
      <c r="EP187" s="647"/>
      <c r="EQ187" s="647"/>
      <c r="ER187" s="647"/>
      <c r="ES187" s="139"/>
      <c r="EV187" s="647"/>
      <c r="EW187" s="647"/>
      <c r="EX187" s="647"/>
      <c r="EY187" s="647"/>
      <c r="EZ187" s="647"/>
      <c r="FA187" s="646"/>
      <c r="FB187" s="646"/>
      <c r="FC187" s="646"/>
      <c r="FD187" s="646"/>
      <c r="FE187" s="646"/>
      <c r="FF187" s="646"/>
      <c r="FG187" s="647"/>
      <c r="FH187" s="647"/>
      <c r="FI187" s="647"/>
      <c r="FJ187" s="647"/>
      <c r="FK187" s="647"/>
      <c r="FL187" s="647"/>
      <c r="FM187" s="647"/>
      <c r="FN187" s="647"/>
      <c r="FO187" s="647"/>
      <c r="FP187" s="647"/>
      <c r="FQ187" s="647"/>
      <c r="FR187" s="647"/>
      <c r="FS187" s="101"/>
      <c r="FT187" s="95"/>
      <c r="FU187" s="634"/>
      <c r="FV187" s="101"/>
      <c r="FW187" s="101"/>
      <c r="FX187" s="634"/>
      <c r="FY187" s="634"/>
      <c r="FZ187" s="634"/>
      <c r="GA187" s="634"/>
      <c r="GB187" s="634"/>
      <c r="GC187" s="634"/>
      <c r="GD187" s="634"/>
      <c r="GE187" s="634"/>
      <c r="GF187" s="634"/>
      <c r="GG187" s="634"/>
      <c r="GH187" s="634"/>
      <c r="GI187" s="634"/>
      <c r="GJ187" s="634"/>
      <c r="GK187" s="634"/>
      <c r="GL187" s="101"/>
      <c r="GM187" s="101"/>
      <c r="GN187" s="101"/>
      <c r="GO187" s="643"/>
      <c r="GP187" s="644"/>
      <c r="GQ187" s="643"/>
      <c r="GR187" s="644"/>
      <c r="GS187" s="643"/>
      <c r="GT187" s="644"/>
      <c r="GU187" s="644"/>
      <c r="GV187" s="644"/>
      <c r="GW187" s="644"/>
      <c r="GX187" s="644"/>
      <c r="GY187" s="644"/>
      <c r="GZ187" s="644"/>
    </row>
    <row r="188" spans="1:209">
      <c r="A188" s="638"/>
      <c r="B188" s="95"/>
      <c r="C188" s="95"/>
      <c r="D188" s="95"/>
      <c r="E188" s="650"/>
      <c r="F188" s="95"/>
      <c r="G188" s="95"/>
      <c r="H188" s="99"/>
      <c r="I188" s="95"/>
      <c r="J188" s="95"/>
      <c r="K188" s="95"/>
      <c r="L188" s="95"/>
      <c r="M188" s="95"/>
      <c r="N188" s="95"/>
      <c r="O188" s="95"/>
      <c r="P188" s="95"/>
      <c r="Q188" s="95"/>
      <c r="R188" s="95"/>
      <c r="S188" s="101"/>
      <c r="T188" s="644"/>
      <c r="U188" s="101"/>
      <c r="V188" s="647"/>
      <c r="W188" s="643"/>
      <c r="X188" s="644"/>
      <c r="Y188" s="101"/>
      <c r="Z188" s="644"/>
      <c r="AA188" s="101"/>
      <c r="AB188" s="644"/>
      <c r="AC188" s="101"/>
      <c r="AD188" s="646"/>
      <c r="AE188" s="271"/>
      <c r="AF188" s="646"/>
      <c r="AG188" s="646"/>
      <c r="AH188" s="646"/>
      <c r="AI188" s="646"/>
      <c r="AJ188" s="646"/>
      <c r="AK188" s="646"/>
      <c r="AL188" s="646"/>
      <c r="AM188" s="271"/>
      <c r="AN188" s="646"/>
      <c r="AO188" s="646"/>
      <c r="AP188" s="646"/>
      <c r="AQ188" s="271"/>
      <c r="AR188" s="646"/>
      <c r="AS188" s="270"/>
      <c r="AT188" s="646"/>
      <c r="AU188" s="646"/>
      <c r="AV188" s="646"/>
      <c r="AW188" s="270"/>
      <c r="AX188" s="646"/>
      <c r="AY188" s="270"/>
      <c r="AZ188" s="646"/>
      <c r="BA188" s="646"/>
      <c r="BB188" s="644"/>
      <c r="BC188" s="644"/>
      <c r="BD188" s="644"/>
      <c r="BE188" s="644"/>
      <c r="BF188" s="644"/>
      <c r="BG188" s="644"/>
      <c r="BH188" s="644"/>
      <c r="BI188" s="644"/>
      <c r="BJ188" s="644"/>
      <c r="BK188" s="644"/>
      <c r="BL188" s="644"/>
      <c r="BM188" s="95"/>
      <c r="BN188" s="644"/>
      <c r="BO188" s="95"/>
      <c r="BP188" s="644"/>
      <c r="BQ188" s="644"/>
      <c r="BR188" s="644"/>
      <c r="BS188" s="644"/>
      <c r="BT188" s="644"/>
      <c r="BU188" s="644"/>
      <c r="BV188" s="644"/>
      <c r="BW188" s="644"/>
      <c r="BX188" s="644"/>
      <c r="BY188" s="644"/>
      <c r="BZ188" s="644"/>
      <c r="CA188" s="644"/>
      <c r="CB188" s="644"/>
      <c r="CC188" s="644"/>
      <c r="CD188" s="644"/>
      <c r="CE188" s="644"/>
      <c r="CF188" s="644"/>
      <c r="CG188" s="644"/>
      <c r="CH188" s="644"/>
      <c r="CI188" s="644"/>
      <c r="CJ188" s="644"/>
      <c r="CK188" s="644"/>
      <c r="CL188" s="644"/>
      <c r="CM188" s="95"/>
      <c r="CN188" s="644"/>
      <c r="CO188" s="644"/>
      <c r="CP188" s="95"/>
      <c r="CQ188" s="95"/>
      <c r="CR188" s="95"/>
      <c r="CS188" s="95"/>
      <c r="CT188" s="95"/>
      <c r="CU188" s="108"/>
      <c r="CV188" s="109"/>
      <c r="CW188" s="644"/>
      <c r="CX188" s="496"/>
      <c r="CY188" s="637"/>
      <c r="CZ188" s="644"/>
      <c r="DA188" s="644"/>
      <c r="DB188" s="644"/>
      <c r="DC188" s="496"/>
      <c r="DD188" s="644"/>
      <c r="DE188" s="101"/>
      <c r="DF188" s="644"/>
      <c r="DG188" s="101"/>
      <c r="DH188" s="644"/>
      <c r="DI188" s="644"/>
      <c r="DJ188" s="644"/>
      <c r="DK188" s="644"/>
      <c r="DL188" s="644"/>
      <c r="DM188" s="101"/>
      <c r="DN188" s="644"/>
      <c r="DO188" s="644"/>
      <c r="DP188" s="644"/>
      <c r="DQ188" s="644"/>
      <c r="DR188" s="644"/>
      <c r="DS188" s="644"/>
      <c r="DT188" s="644"/>
      <c r="DU188" s="644"/>
      <c r="DV188" s="644"/>
      <c r="DW188" s="101"/>
      <c r="DX188" s="646"/>
      <c r="DY188" s="646"/>
      <c r="DZ188" s="646"/>
      <c r="EA188" s="646"/>
      <c r="EB188" s="646"/>
      <c r="EC188" s="646"/>
      <c r="ED188" s="646"/>
      <c r="EE188" s="646"/>
      <c r="EF188" s="646"/>
      <c r="EG188" s="646"/>
      <c r="EH188" s="646"/>
      <c r="EI188" s="646"/>
      <c r="EJ188" s="646"/>
      <c r="EK188" s="271"/>
      <c r="EL188" s="644"/>
      <c r="EM188" s="634"/>
      <c r="EN188" s="647"/>
      <c r="EO188" s="648"/>
      <c r="EP188" s="647"/>
      <c r="EQ188" s="647"/>
      <c r="ER188" s="647"/>
      <c r="ES188" s="139"/>
      <c r="EV188" s="647"/>
      <c r="EW188" s="647"/>
      <c r="EX188" s="647"/>
      <c r="EY188" s="647"/>
      <c r="EZ188" s="647"/>
      <c r="FA188" s="646"/>
      <c r="FB188" s="646"/>
      <c r="FC188" s="646"/>
      <c r="FD188" s="646"/>
      <c r="FE188" s="646"/>
      <c r="FF188" s="646"/>
      <c r="FG188" s="647"/>
      <c r="FH188" s="647"/>
      <c r="FI188" s="647"/>
      <c r="FJ188" s="647"/>
      <c r="FK188" s="647"/>
      <c r="FL188" s="647"/>
      <c r="FM188" s="647"/>
      <c r="FN188" s="647"/>
      <c r="FO188" s="647"/>
      <c r="FP188" s="647"/>
      <c r="FQ188" s="647"/>
      <c r="FR188" s="647"/>
      <c r="FS188" s="101"/>
      <c r="FT188" s="95"/>
      <c r="FU188" s="634"/>
      <c r="FV188" s="101"/>
      <c r="FW188" s="101"/>
      <c r="FX188" s="634"/>
      <c r="FY188" s="634"/>
      <c r="FZ188" s="634"/>
      <c r="GA188" s="634"/>
      <c r="GB188" s="634"/>
      <c r="GC188" s="634"/>
      <c r="GD188" s="634"/>
      <c r="GE188" s="634"/>
      <c r="GF188" s="634"/>
      <c r="GG188" s="634"/>
      <c r="GH188" s="634"/>
      <c r="GI188" s="634"/>
      <c r="GJ188" s="634"/>
      <c r="GK188" s="634"/>
      <c r="GL188" s="101"/>
      <c r="GM188" s="101"/>
      <c r="GN188" s="101"/>
      <c r="GO188" s="643"/>
      <c r="GP188" s="644"/>
      <c r="GQ188" s="643"/>
      <c r="GR188" s="644"/>
      <c r="GS188" s="643"/>
      <c r="GT188" s="644"/>
      <c r="GU188" s="644"/>
      <c r="GV188" s="644"/>
      <c r="GW188" s="644"/>
      <c r="GX188" s="644"/>
      <c r="GY188" s="644"/>
      <c r="GZ188" s="644"/>
    </row>
    <row r="189" spans="1:209">
      <c r="A189" s="638"/>
      <c r="B189" s="95"/>
      <c r="C189" s="95"/>
      <c r="D189" s="95"/>
      <c r="E189" s="650"/>
      <c r="F189" s="95"/>
      <c r="G189" s="95"/>
      <c r="H189" s="99"/>
      <c r="I189" s="95"/>
      <c r="J189" s="95"/>
      <c r="K189" s="95"/>
      <c r="L189" s="95"/>
      <c r="M189" s="95"/>
      <c r="N189" s="95"/>
      <c r="O189" s="95"/>
      <c r="P189" s="95"/>
      <c r="Q189" s="95"/>
      <c r="R189" s="95"/>
      <c r="S189" s="101"/>
      <c r="T189" s="644"/>
      <c r="U189" s="101"/>
      <c r="V189" s="647"/>
      <c r="W189" s="643"/>
      <c r="X189" s="644"/>
      <c r="Y189" s="101"/>
      <c r="Z189" s="644"/>
      <c r="AA189" s="101"/>
      <c r="AB189" s="644"/>
      <c r="AC189" s="101"/>
      <c r="AD189" s="646"/>
      <c r="AE189" s="271"/>
      <c r="AF189" s="646"/>
      <c r="AG189" s="646"/>
      <c r="AH189" s="646"/>
      <c r="AI189" s="646"/>
      <c r="AJ189" s="646"/>
      <c r="AK189" s="646"/>
      <c r="AL189" s="646"/>
      <c r="AM189" s="271"/>
      <c r="AN189" s="646"/>
      <c r="AO189" s="646"/>
      <c r="AP189" s="646"/>
      <c r="AQ189" s="271"/>
      <c r="AR189" s="646"/>
      <c r="AS189" s="270"/>
      <c r="AT189" s="646"/>
      <c r="AU189" s="646"/>
      <c r="AV189" s="646"/>
      <c r="AW189" s="270"/>
      <c r="AX189" s="646"/>
      <c r="AY189" s="270"/>
      <c r="AZ189" s="646"/>
      <c r="BA189" s="646"/>
      <c r="BB189" s="644"/>
      <c r="BC189" s="644"/>
      <c r="BD189" s="644"/>
      <c r="BE189" s="644"/>
      <c r="BF189" s="644"/>
      <c r="BG189" s="644"/>
      <c r="BH189" s="644"/>
      <c r="BI189" s="644"/>
      <c r="BJ189" s="644"/>
      <c r="BK189" s="644"/>
      <c r="BL189" s="644"/>
      <c r="BM189" s="95"/>
      <c r="BN189" s="644"/>
      <c r="BO189" s="95"/>
      <c r="BP189" s="644"/>
      <c r="BQ189" s="644"/>
      <c r="BR189" s="644"/>
      <c r="BS189" s="644"/>
      <c r="BT189" s="644"/>
      <c r="BU189" s="644"/>
      <c r="BV189" s="644"/>
      <c r="BW189" s="644"/>
      <c r="BX189" s="644"/>
      <c r="BY189" s="644"/>
      <c r="BZ189" s="644"/>
      <c r="CA189" s="644"/>
      <c r="CB189" s="644"/>
      <c r="CC189" s="644"/>
      <c r="CD189" s="644"/>
      <c r="CE189" s="644"/>
      <c r="CF189" s="644"/>
      <c r="CG189" s="644"/>
      <c r="CH189" s="644"/>
      <c r="CI189" s="644"/>
      <c r="CJ189" s="644"/>
      <c r="CK189" s="644"/>
      <c r="CL189" s="644"/>
      <c r="CM189" s="95"/>
      <c r="CN189" s="644"/>
      <c r="CO189" s="644"/>
      <c r="CP189" s="95"/>
      <c r="CQ189" s="95"/>
      <c r="CR189" s="95"/>
      <c r="CS189" s="95"/>
      <c r="CT189" s="95"/>
      <c r="CU189" s="108"/>
      <c r="CV189" s="109"/>
      <c r="CW189" s="644"/>
      <c r="CX189" s="496"/>
      <c r="CY189" s="637"/>
      <c r="CZ189" s="644"/>
      <c r="DA189" s="644"/>
      <c r="DB189" s="644"/>
      <c r="DC189" s="496"/>
      <c r="DD189" s="644"/>
      <c r="DE189" s="101"/>
      <c r="DF189" s="644"/>
      <c r="DG189" s="101"/>
      <c r="DH189" s="644"/>
      <c r="DI189" s="644"/>
      <c r="DJ189" s="644"/>
      <c r="DK189" s="644"/>
      <c r="DL189" s="644"/>
      <c r="DM189" s="101"/>
      <c r="DN189" s="644"/>
      <c r="DO189" s="644"/>
      <c r="DP189" s="644"/>
      <c r="DQ189" s="644"/>
      <c r="DR189" s="644"/>
      <c r="DS189" s="644"/>
      <c r="DT189" s="644"/>
      <c r="DU189" s="644"/>
      <c r="DV189" s="644"/>
      <c r="DW189" s="101"/>
      <c r="DX189" s="646"/>
      <c r="DY189" s="646"/>
      <c r="DZ189" s="646"/>
      <c r="EA189" s="646"/>
      <c r="EB189" s="646"/>
      <c r="EC189" s="646"/>
      <c r="ED189" s="646"/>
      <c r="EE189" s="646"/>
      <c r="EF189" s="646"/>
      <c r="EG189" s="646"/>
      <c r="EH189" s="646"/>
      <c r="EI189" s="646"/>
      <c r="EJ189" s="646"/>
      <c r="EK189" s="271"/>
      <c r="EL189" s="644"/>
      <c r="EM189" s="634"/>
      <c r="EN189" s="647"/>
      <c r="EO189" s="648"/>
      <c r="EP189" s="647"/>
      <c r="EQ189" s="647"/>
      <c r="ER189" s="647"/>
      <c r="ES189" s="139"/>
      <c r="EV189" s="647"/>
      <c r="EW189" s="647"/>
      <c r="EX189" s="647"/>
      <c r="EY189" s="647"/>
      <c r="EZ189" s="647"/>
      <c r="FA189" s="646"/>
      <c r="FB189" s="646"/>
      <c r="FC189" s="646"/>
      <c r="FD189" s="646"/>
      <c r="FE189" s="646"/>
      <c r="FF189" s="646"/>
      <c r="FG189" s="647"/>
      <c r="FH189" s="647"/>
      <c r="FI189" s="647"/>
      <c r="FJ189" s="647"/>
      <c r="FK189" s="647"/>
      <c r="FL189" s="647"/>
      <c r="FM189" s="647"/>
      <c r="FN189" s="647"/>
      <c r="FO189" s="647"/>
      <c r="FP189" s="647"/>
      <c r="FQ189" s="647"/>
      <c r="FR189" s="647"/>
      <c r="FS189" s="101"/>
      <c r="FT189" s="95"/>
      <c r="FU189" s="634"/>
      <c r="FV189" s="101"/>
      <c r="FW189" s="101"/>
      <c r="FX189" s="634"/>
      <c r="FY189" s="634"/>
      <c r="FZ189" s="634"/>
      <c r="GA189" s="634"/>
      <c r="GB189" s="634"/>
      <c r="GC189" s="634"/>
      <c r="GD189" s="634"/>
      <c r="GE189" s="634"/>
      <c r="GF189" s="634"/>
      <c r="GG189" s="634"/>
      <c r="GH189" s="634"/>
      <c r="GI189" s="634"/>
      <c r="GJ189" s="634"/>
      <c r="GK189" s="634"/>
      <c r="GL189" s="101"/>
      <c r="GM189" s="101"/>
      <c r="GN189" s="101"/>
      <c r="GO189" s="643"/>
      <c r="GP189" s="644"/>
      <c r="GQ189" s="643"/>
      <c r="GR189" s="644"/>
      <c r="GS189" s="643"/>
      <c r="GT189" s="644"/>
      <c r="GU189" s="644"/>
      <c r="GV189" s="644"/>
      <c r="GW189" s="644"/>
      <c r="GX189" s="644"/>
      <c r="GY189" s="644"/>
      <c r="GZ189" s="644"/>
    </row>
    <row r="190" spans="1:209">
      <c r="A190" s="638"/>
      <c r="B190" s="95"/>
      <c r="C190" s="95"/>
      <c r="D190" s="95"/>
      <c r="E190" s="650"/>
      <c r="F190" s="95"/>
      <c r="G190" s="95"/>
      <c r="H190" s="99"/>
      <c r="I190" s="95"/>
      <c r="J190" s="95"/>
      <c r="K190" s="95"/>
      <c r="L190" s="95"/>
      <c r="M190" s="95"/>
      <c r="N190" s="95"/>
      <c r="O190" s="95"/>
      <c r="P190" s="95"/>
      <c r="Q190" s="95"/>
      <c r="R190" s="95"/>
      <c r="S190" s="101"/>
      <c r="T190" s="644"/>
      <c r="U190" s="101"/>
      <c r="V190" s="647"/>
      <c r="W190" s="643"/>
      <c r="X190" s="644"/>
      <c r="Y190" s="101"/>
      <c r="Z190" s="644"/>
      <c r="AA190" s="101"/>
      <c r="AB190" s="644"/>
      <c r="AC190" s="101"/>
      <c r="AD190" s="646"/>
      <c r="AE190" s="271"/>
      <c r="AF190" s="646"/>
      <c r="AG190" s="646"/>
      <c r="AH190" s="646"/>
      <c r="AI190" s="646"/>
      <c r="AJ190" s="646"/>
      <c r="AK190" s="646"/>
      <c r="AL190" s="646"/>
      <c r="AM190" s="271"/>
      <c r="AN190" s="646"/>
      <c r="AO190" s="646"/>
      <c r="AP190" s="646"/>
      <c r="AQ190" s="271"/>
      <c r="AR190" s="646"/>
      <c r="AS190" s="270"/>
      <c r="AT190" s="646"/>
      <c r="AU190" s="646"/>
      <c r="AV190" s="646"/>
      <c r="AW190" s="270"/>
      <c r="AX190" s="646"/>
      <c r="AY190" s="270"/>
      <c r="AZ190" s="646"/>
      <c r="BA190" s="646"/>
      <c r="BB190" s="644"/>
      <c r="BC190" s="644"/>
      <c r="BD190" s="644"/>
      <c r="BE190" s="644"/>
      <c r="BF190" s="644"/>
      <c r="BG190" s="644"/>
      <c r="BH190" s="644"/>
      <c r="BI190" s="644"/>
      <c r="BJ190" s="644"/>
      <c r="BK190" s="644"/>
      <c r="BL190" s="644"/>
      <c r="BM190" s="95"/>
      <c r="BN190" s="644"/>
      <c r="BO190" s="95"/>
      <c r="BP190" s="644"/>
      <c r="BQ190" s="644"/>
      <c r="BR190" s="644"/>
      <c r="BS190" s="644"/>
      <c r="BT190" s="644"/>
      <c r="BU190" s="644"/>
      <c r="BV190" s="644"/>
      <c r="BW190" s="644"/>
      <c r="BX190" s="644"/>
      <c r="BY190" s="644"/>
      <c r="BZ190" s="644"/>
      <c r="CA190" s="644"/>
      <c r="CB190" s="644"/>
      <c r="CC190" s="644"/>
      <c r="CD190" s="644"/>
      <c r="CE190" s="644"/>
      <c r="CF190" s="644"/>
      <c r="CG190" s="644"/>
      <c r="CH190" s="644"/>
      <c r="CI190" s="644"/>
      <c r="CJ190" s="644"/>
      <c r="CK190" s="644"/>
      <c r="CL190" s="644"/>
      <c r="CM190" s="95"/>
      <c r="CN190" s="644"/>
      <c r="CO190" s="644"/>
      <c r="CP190" s="95"/>
      <c r="CQ190" s="98"/>
      <c r="CR190" s="95"/>
      <c r="CS190" s="95"/>
      <c r="CT190" s="95"/>
      <c r="CU190" s="108"/>
      <c r="CV190" s="109"/>
      <c r="CW190" s="644"/>
      <c r="CX190" s="496"/>
      <c r="CY190" s="637"/>
      <c r="CZ190" s="644"/>
      <c r="DA190" s="644"/>
      <c r="DB190" s="644"/>
      <c r="DC190" s="496"/>
      <c r="DD190" s="644"/>
      <c r="DE190" s="101"/>
      <c r="DF190" s="644"/>
      <c r="DG190" s="101"/>
      <c r="DH190" s="644"/>
      <c r="DI190" s="644"/>
      <c r="DJ190" s="644"/>
      <c r="DK190" s="644"/>
      <c r="DL190" s="644"/>
      <c r="DM190" s="101"/>
      <c r="DN190" s="644"/>
      <c r="DO190" s="644"/>
      <c r="DP190" s="644"/>
      <c r="DQ190" s="644"/>
      <c r="DR190" s="644"/>
      <c r="DS190" s="644"/>
      <c r="DT190" s="644"/>
      <c r="DU190" s="644"/>
      <c r="DV190" s="644"/>
      <c r="DW190" s="101"/>
      <c r="DX190" s="646"/>
      <c r="DY190" s="646"/>
      <c r="DZ190" s="646"/>
      <c r="EA190" s="646"/>
      <c r="EB190" s="646"/>
      <c r="EC190" s="646"/>
      <c r="ED190" s="646"/>
      <c r="EE190" s="646"/>
      <c r="EF190" s="646"/>
      <c r="EG190" s="646"/>
      <c r="EH190" s="646"/>
      <c r="EI190" s="646"/>
      <c r="EJ190" s="646"/>
      <c r="EK190" s="271"/>
      <c r="EL190" s="644"/>
      <c r="EM190" s="634"/>
      <c r="EN190" s="647"/>
      <c r="EO190" s="648"/>
      <c r="EP190" s="647"/>
      <c r="EQ190" s="647"/>
      <c r="ER190" s="647"/>
      <c r="ES190" s="139"/>
      <c r="EV190" s="647"/>
      <c r="EW190" s="647"/>
      <c r="EX190" s="647"/>
      <c r="EY190" s="647"/>
      <c r="EZ190" s="647"/>
      <c r="FA190" s="646"/>
      <c r="FB190" s="646"/>
      <c r="FC190" s="646"/>
      <c r="FD190" s="646"/>
      <c r="FE190" s="646"/>
      <c r="FF190" s="646"/>
      <c r="FG190" s="647"/>
      <c r="FH190" s="647"/>
      <c r="FI190" s="647"/>
      <c r="FJ190" s="647"/>
      <c r="FK190" s="647"/>
      <c r="FL190" s="647"/>
      <c r="FM190" s="647"/>
      <c r="FN190" s="647"/>
      <c r="FO190" s="647"/>
      <c r="FP190" s="647"/>
      <c r="FQ190" s="647"/>
      <c r="FR190" s="647"/>
      <c r="FS190" s="101"/>
      <c r="FT190" s="95"/>
      <c r="FU190" s="634"/>
      <c r="FV190" s="101"/>
      <c r="FW190" s="101"/>
      <c r="FX190" s="634"/>
      <c r="FY190" s="634"/>
      <c r="FZ190" s="634"/>
      <c r="GA190" s="634"/>
      <c r="GB190" s="634"/>
      <c r="GC190" s="634"/>
      <c r="GD190" s="634"/>
      <c r="GE190" s="634"/>
      <c r="GF190" s="634"/>
      <c r="GG190" s="634"/>
      <c r="GH190" s="634"/>
      <c r="GI190" s="634"/>
      <c r="GJ190" s="634"/>
      <c r="GK190" s="634"/>
      <c r="GL190" s="101"/>
      <c r="GM190" s="101"/>
      <c r="GN190" s="101"/>
      <c r="GO190" s="643"/>
      <c r="GP190" s="644"/>
      <c r="GQ190" s="643"/>
      <c r="GR190" s="644"/>
      <c r="GS190" s="643"/>
      <c r="GT190" s="644"/>
      <c r="GU190" s="644"/>
      <c r="GV190" s="644"/>
      <c r="GW190" s="644"/>
      <c r="GX190" s="644"/>
      <c r="GY190" s="644"/>
      <c r="GZ190" s="644"/>
      <c r="HA190" s="644"/>
    </row>
    <row r="191" spans="1:209">
      <c r="A191" s="638"/>
      <c r="B191" s="95"/>
      <c r="C191" s="95"/>
      <c r="D191" s="95"/>
      <c r="E191" s="650"/>
      <c r="F191" s="95"/>
      <c r="G191" s="95"/>
      <c r="H191" s="99"/>
      <c r="I191" s="95"/>
      <c r="J191" s="95"/>
      <c r="K191" s="95"/>
      <c r="L191" s="95"/>
      <c r="M191" s="95"/>
      <c r="N191" s="95"/>
      <c r="O191" s="95"/>
      <c r="P191" s="95"/>
      <c r="Q191" s="95"/>
      <c r="R191" s="95"/>
      <c r="S191" s="101"/>
      <c r="T191" s="644"/>
      <c r="U191" s="101"/>
      <c r="V191" s="647"/>
      <c r="W191" s="643"/>
      <c r="X191" s="644"/>
      <c r="Y191" s="101"/>
      <c r="Z191" s="644"/>
      <c r="AA191" s="101"/>
      <c r="AB191" s="644"/>
      <c r="AC191" s="101"/>
      <c r="AD191" s="646"/>
      <c r="AE191" s="271"/>
      <c r="AF191" s="646"/>
      <c r="AG191" s="646"/>
      <c r="AH191" s="646"/>
      <c r="AI191" s="646"/>
      <c r="AJ191" s="646"/>
      <c r="AK191" s="646"/>
      <c r="AL191" s="646"/>
      <c r="AM191" s="271"/>
      <c r="AN191" s="646"/>
      <c r="AO191" s="646"/>
      <c r="AP191" s="646"/>
      <c r="AQ191" s="271"/>
      <c r="AR191" s="646"/>
      <c r="AS191" s="270"/>
      <c r="AT191" s="646"/>
      <c r="AU191" s="646"/>
      <c r="AV191" s="646"/>
      <c r="AW191" s="270"/>
      <c r="AX191" s="646"/>
      <c r="AY191" s="270"/>
      <c r="AZ191" s="646"/>
      <c r="BA191" s="646"/>
      <c r="BB191" s="644"/>
      <c r="BC191" s="644"/>
      <c r="BD191" s="644"/>
      <c r="BE191" s="644"/>
      <c r="BF191" s="644"/>
      <c r="BG191" s="644"/>
      <c r="BH191" s="644"/>
      <c r="BI191" s="644"/>
      <c r="BJ191" s="644"/>
      <c r="BK191" s="644"/>
      <c r="BL191" s="644"/>
      <c r="BM191" s="95"/>
      <c r="BN191" s="644"/>
      <c r="BO191" s="95"/>
      <c r="BP191" s="644"/>
      <c r="BQ191" s="644"/>
      <c r="BR191" s="644"/>
      <c r="BS191" s="644"/>
      <c r="BT191" s="644"/>
      <c r="BU191" s="644"/>
      <c r="BV191" s="644"/>
      <c r="BW191" s="644"/>
      <c r="BX191" s="644"/>
      <c r="BY191" s="644"/>
      <c r="BZ191" s="644"/>
      <c r="CA191" s="644"/>
      <c r="CB191" s="644"/>
      <c r="CC191" s="644"/>
      <c r="CD191" s="644"/>
      <c r="CE191" s="644"/>
      <c r="CF191" s="644"/>
      <c r="CG191" s="644"/>
      <c r="CH191" s="644"/>
      <c r="CI191" s="644"/>
      <c r="CJ191" s="644"/>
      <c r="CK191" s="644"/>
      <c r="CL191" s="644"/>
      <c r="CM191" s="95"/>
      <c r="CN191" s="644"/>
      <c r="CO191" s="644"/>
      <c r="CP191" s="95"/>
      <c r="CQ191" s="98"/>
      <c r="CR191" s="95"/>
      <c r="CS191" s="95"/>
      <c r="CT191" s="95"/>
      <c r="CU191" s="108"/>
      <c r="CV191" s="109"/>
      <c r="CW191" s="644"/>
      <c r="CX191" s="496"/>
      <c r="CY191" s="637"/>
      <c r="CZ191" s="644"/>
      <c r="DA191" s="644"/>
      <c r="DB191" s="644"/>
      <c r="DC191" s="496"/>
      <c r="DD191" s="644"/>
      <c r="DE191" s="101"/>
      <c r="DF191" s="644"/>
      <c r="DG191" s="101"/>
      <c r="DH191" s="644"/>
      <c r="DI191" s="644"/>
      <c r="DJ191" s="644"/>
      <c r="DK191" s="644"/>
      <c r="DL191" s="644"/>
      <c r="DM191" s="101"/>
      <c r="DN191" s="644"/>
      <c r="DO191" s="644"/>
      <c r="DP191" s="644"/>
      <c r="DQ191" s="644"/>
      <c r="DR191" s="644"/>
      <c r="DS191" s="644"/>
      <c r="DT191" s="644"/>
      <c r="DU191" s="644"/>
      <c r="DV191" s="644"/>
      <c r="DW191" s="101"/>
      <c r="DX191" s="646"/>
      <c r="DY191" s="646"/>
      <c r="DZ191" s="646"/>
      <c r="EA191" s="646"/>
      <c r="EB191" s="646"/>
      <c r="EC191" s="646"/>
      <c r="ED191" s="646"/>
      <c r="EE191" s="646"/>
      <c r="EF191" s="646"/>
      <c r="EG191" s="646"/>
      <c r="EH191" s="646"/>
      <c r="EI191" s="646"/>
      <c r="EJ191" s="646"/>
      <c r="EK191" s="271"/>
      <c r="EL191" s="644"/>
      <c r="EM191" s="634"/>
      <c r="EN191" s="647"/>
      <c r="EO191" s="648"/>
      <c r="EP191" s="647"/>
      <c r="EQ191" s="647"/>
      <c r="ER191" s="647"/>
      <c r="ES191" s="139"/>
      <c r="EV191" s="647"/>
      <c r="EW191" s="647"/>
      <c r="EX191" s="647"/>
      <c r="EY191" s="647"/>
      <c r="EZ191" s="647"/>
      <c r="FA191" s="646"/>
      <c r="FB191" s="646"/>
      <c r="FC191" s="646"/>
      <c r="FD191" s="646"/>
      <c r="FE191" s="646"/>
      <c r="FF191" s="646"/>
      <c r="FG191" s="647"/>
      <c r="FH191" s="647"/>
      <c r="FI191" s="647"/>
      <c r="FJ191" s="647"/>
      <c r="FK191" s="647"/>
      <c r="FL191" s="647"/>
      <c r="FM191" s="647"/>
      <c r="FN191" s="647"/>
      <c r="FO191" s="647"/>
      <c r="FP191" s="647"/>
      <c r="FQ191" s="647"/>
      <c r="FR191" s="647"/>
      <c r="FS191" s="101"/>
      <c r="FT191" s="95"/>
      <c r="FU191" s="634"/>
      <c r="FV191" s="101"/>
      <c r="FW191" s="101"/>
      <c r="FX191" s="634"/>
      <c r="FY191" s="634"/>
      <c r="FZ191" s="634"/>
      <c r="GA191" s="634"/>
      <c r="GB191" s="634"/>
      <c r="GC191" s="634"/>
      <c r="GD191" s="634"/>
      <c r="GE191" s="634"/>
      <c r="GF191" s="634"/>
      <c r="GG191" s="634"/>
      <c r="GH191" s="634"/>
      <c r="GI191" s="634"/>
      <c r="GJ191" s="634"/>
      <c r="GK191" s="634"/>
      <c r="GL191" s="101"/>
      <c r="GM191" s="101"/>
      <c r="GN191" s="101"/>
      <c r="GO191" s="643"/>
      <c r="GP191" s="644"/>
      <c r="GQ191" s="643"/>
      <c r="GR191" s="644"/>
      <c r="GS191" s="643"/>
      <c r="GT191" s="644"/>
      <c r="GU191" s="644"/>
      <c r="GV191" s="644"/>
      <c r="GW191" s="644"/>
      <c r="GX191" s="644"/>
      <c r="GY191" s="644"/>
      <c r="GZ191" s="644"/>
      <c r="HA191" s="644"/>
    </row>
    <row r="192" spans="1:209">
      <c r="A192" s="638"/>
      <c r="B192" s="95"/>
      <c r="C192" s="95"/>
      <c r="D192" s="95"/>
      <c r="E192" s="650"/>
      <c r="F192" s="95"/>
      <c r="G192" s="95"/>
      <c r="H192" s="99"/>
      <c r="I192" s="95"/>
      <c r="J192" s="95"/>
      <c r="K192" s="95"/>
      <c r="L192" s="95"/>
      <c r="M192" s="95"/>
      <c r="N192" s="95"/>
      <c r="O192" s="95"/>
      <c r="P192" s="95"/>
      <c r="Q192" s="95"/>
      <c r="R192" s="95"/>
      <c r="S192" s="101"/>
      <c r="T192" s="644"/>
      <c r="U192" s="101"/>
      <c r="V192" s="647"/>
      <c r="W192" s="643"/>
      <c r="X192" s="644"/>
      <c r="Y192" s="101"/>
      <c r="Z192" s="644"/>
      <c r="AA192" s="101"/>
      <c r="AB192" s="644"/>
      <c r="AC192" s="101"/>
      <c r="AD192" s="646"/>
      <c r="AE192" s="271"/>
      <c r="AF192" s="646"/>
      <c r="AG192" s="646"/>
      <c r="AH192" s="646"/>
      <c r="AI192" s="646"/>
      <c r="AJ192" s="646"/>
      <c r="AK192" s="646"/>
      <c r="AL192" s="646"/>
      <c r="AM192" s="271"/>
      <c r="AN192" s="646"/>
      <c r="AO192" s="646"/>
      <c r="AP192" s="646"/>
      <c r="AQ192" s="271"/>
      <c r="AR192" s="646"/>
      <c r="AS192" s="270"/>
      <c r="AT192" s="646"/>
      <c r="AU192" s="646"/>
      <c r="AV192" s="646"/>
      <c r="AW192" s="270"/>
      <c r="AX192" s="646"/>
      <c r="AY192" s="270"/>
      <c r="AZ192" s="646"/>
      <c r="BA192" s="646"/>
      <c r="BB192" s="644"/>
      <c r="BC192" s="644"/>
      <c r="BD192" s="644"/>
      <c r="BE192" s="644"/>
      <c r="BF192" s="644"/>
      <c r="BG192" s="644"/>
      <c r="BH192" s="644"/>
      <c r="BI192" s="644"/>
      <c r="BJ192" s="644"/>
      <c r="BK192" s="644"/>
      <c r="BL192" s="644"/>
      <c r="BM192" s="95"/>
      <c r="BN192" s="644"/>
      <c r="BO192" s="95"/>
      <c r="BP192" s="644"/>
      <c r="BQ192" s="644"/>
      <c r="BR192" s="644"/>
      <c r="BS192" s="644"/>
      <c r="BT192" s="644"/>
      <c r="BU192" s="644"/>
      <c r="BV192" s="644"/>
      <c r="BW192" s="644"/>
      <c r="BX192" s="644"/>
      <c r="BY192" s="644"/>
      <c r="BZ192" s="644"/>
      <c r="CA192" s="644"/>
      <c r="CB192" s="644"/>
      <c r="CC192" s="644"/>
      <c r="CD192" s="644"/>
      <c r="CE192" s="644"/>
      <c r="CF192" s="644"/>
      <c r="CG192" s="644"/>
      <c r="CH192" s="644"/>
      <c r="CI192" s="644"/>
      <c r="CJ192" s="644"/>
      <c r="CK192" s="644"/>
      <c r="CL192" s="644"/>
      <c r="CM192" s="95"/>
      <c r="CN192" s="644"/>
      <c r="CO192" s="644"/>
      <c r="CP192" s="95"/>
      <c r="CQ192" s="98"/>
      <c r="CR192" s="95"/>
      <c r="CS192" s="95"/>
      <c r="CT192" s="95"/>
      <c r="CU192" s="108"/>
      <c r="CV192" s="109"/>
      <c r="CW192" s="644"/>
      <c r="CX192" s="496"/>
      <c r="CY192" s="637"/>
      <c r="CZ192" s="644"/>
      <c r="DA192" s="644"/>
      <c r="DB192" s="644"/>
      <c r="DC192" s="496"/>
      <c r="DD192" s="644"/>
      <c r="DE192" s="101"/>
      <c r="DF192" s="644"/>
      <c r="DG192" s="101"/>
      <c r="DH192" s="644"/>
      <c r="DI192" s="644"/>
      <c r="DJ192" s="644"/>
      <c r="DK192" s="644"/>
      <c r="DL192" s="644"/>
      <c r="DM192" s="101"/>
      <c r="DN192" s="644"/>
      <c r="DO192" s="644"/>
      <c r="DP192" s="644"/>
      <c r="DQ192" s="644"/>
      <c r="DR192" s="644"/>
      <c r="DS192" s="644"/>
      <c r="DT192" s="644"/>
      <c r="DU192" s="644"/>
      <c r="DV192" s="644"/>
      <c r="DW192" s="101"/>
      <c r="DX192" s="646"/>
      <c r="DY192" s="646"/>
      <c r="DZ192" s="646"/>
      <c r="EA192" s="646"/>
      <c r="EB192" s="646"/>
      <c r="EC192" s="646"/>
      <c r="ED192" s="646"/>
      <c r="EE192" s="646"/>
      <c r="EF192" s="646"/>
      <c r="EG192" s="646"/>
      <c r="EH192" s="646"/>
      <c r="EI192" s="646"/>
      <c r="EJ192" s="646"/>
      <c r="EK192" s="271"/>
      <c r="EL192" s="644"/>
      <c r="EM192" s="634"/>
      <c r="EN192" s="647"/>
      <c r="EO192" s="648"/>
      <c r="EP192" s="647"/>
      <c r="EQ192" s="647"/>
      <c r="ER192" s="647"/>
      <c r="ES192" s="139"/>
      <c r="EV192" s="647"/>
      <c r="EW192" s="647"/>
      <c r="EX192" s="647"/>
      <c r="EY192" s="647"/>
      <c r="EZ192" s="647"/>
      <c r="FA192" s="646"/>
      <c r="FB192" s="646"/>
      <c r="FC192" s="646"/>
      <c r="FD192" s="646"/>
      <c r="FE192" s="646"/>
      <c r="FF192" s="646"/>
      <c r="FG192" s="647"/>
      <c r="FH192" s="647"/>
      <c r="FI192" s="647"/>
      <c r="FJ192" s="647"/>
      <c r="FK192" s="647"/>
      <c r="FL192" s="647"/>
      <c r="FM192" s="647"/>
      <c r="FN192" s="647"/>
      <c r="FO192" s="647"/>
      <c r="FP192" s="647"/>
      <c r="FQ192" s="647"/>
      <c r="FR192" s="647"/>
      <c r="FS192" s="101"/>
      <c r="FT192" s="95"/>
      <c r="FU192" s="634"/>
      <c r="FV192" s="101"/>
      <c r="FW192" s="101"/>
      <c r="FX192" s="634"/>
      <c r="FY192" s="634"/>
      <c r="FZ192" s="634"/>
      <c r="GA192" s="634"/>
      <c r="GB192" s="634"/>
      <c r="GC192" s="634"/>
      <c r="GD192" s="634"/>
      <c r="GE192" s="634"/>
      <c r="GF192" s="634"/>
      <c r="GG192" s="634"/>
      <c r="GH192" s="634"/>
      <c r="GI192" s="634"/>
      <c r="GJ192" s="634"/>
      <c r="GK192" s="634"/>
      <c r="GL192" s="101"/>
      <c r="GM192" s="101"/>
      <c r="GN192" s="101"/>
      <c r="GO192" s="643"/>
      <c r="GP192" s="644"/>
      <c r="GQ192" s="643"/>
      <c r="GR192" s="644"/>
      <c r="GS192" s="643"/>
      <c r="GT192" s="644"/>
      <c r="GU192" s="644"/>
      <c r="GV192" s="644"/>
      <c r="GW192" s="644"/>
      <c r="GX192" s="644"/>
      <c r="GY192" s="644"/>
      <c r="GZ192" s="644"/>
      <c r="HA192" s="644"/>
    </row>
    <row r="193" spans="1:209">
      <c r="A193" s="638"/>
      <c r="B193" s="95"/>
      <c r="C193" s="95"/>
      <c r="D193" s="95"/>
      <c r="E193" s="650"/>
      <c r="F193" s="95"/>
      <c r="G193" s="98"/>
      <c r="H193" s="99"/>
      <c r="I193" s="95"/>
      <c r="J193" s="95"/>
      <c r="K193" s="95"/>
      <c r="L193" s="95"/>
      <c r="M193" s="95"/>
      <c r="N193" s="95"/>
      <c r="O193" s="95"/>
      <c r="P193" s="95"/>
      <c r="Q193" s="95"/>
      <c r="R193" s="95"/>
      <c r="S193" s="101"/>
      <c r="T193" s="644"/>
      <c r="U193" s="101"/>
      <c r="V193" s="647"/>
      <c r="W193" s="643"/>
      <c r="X193" s="644"/>
      <c r="Y193" s="101"/>
      <c r="Z193" s="644"/>
      <c r="AA193" s="101"/>
      <c r="AB193" s="644"/>
      <c r="AC193" s="101"/>
      <c r="AD193" s="646"/>
      <c r="AE193" s="271"/>
      <c r="AF193" s="646"/>
      <c r="AG193" s="646"/>
      <c r="AH193" s="646"/>
      <c r="AI193" s="646"/>
      <c r="AJ193" s="646"/>
      <c r="AK193" s="646"/>
      <c r="AL193" s="646"/>
      <c r="AM193" s="271"/>
      <c r="AN193" s="646"/>
      <c r="AO193" s="646"/>
      <c r="AP193" s="646"/>
      <c r="AQ193" s="271"/>
      <c r="AR193" s="646"/>
      <c r="AS193" s="270"/>
      <c r="AT193" s="646"/>
      <c r="AU193" s="646"/>
      <c r="AV193" s="646"/>
      <c r="AW193" s="270"/>
      <c r="AX193" s="646"/>
      <c r="AY193" s="270"/>
      <c r="AZ193" s="646"/>
      <c r="BA193" s="646"/>
      <c r="BB193" s="644"/>
      <c r="BC193" s="644"/>
      <c r="BD193" s="644"/>
      <c r="BE193" s="644"/>
      <c r="BF193" s="644"/>
      <c r="BG193" s="644"/>
      <c r="BH193" s="644"/>
      <c r="BI193" s="644"/>
      <c r="BJ193" s="644"/>
      <c r="BK193" s="644"/>
      <c r="BL193" s="644"/>
      <c r="BM193" s="95"/>
      <c r="BN193" s="644"/>
      <c r="BO193" s="95"/>
      <c r="BP193" s="644"/>
      <c r="BQ193" s="644"/>
      <c r="BR193" s="644"/>
      <c r="BS193" s="644"/>
      <c r="BT193" s="644"/>
      <c r="BU193" s="644"/>
      <c r="BV193" s="644"/>
      <c r="BW193" s="644"/>
      <c r="BX193" s="644"/>
      <c r="BY193" s="644"/>
      <c r="BZ193" s="644"/>
      <c r="CA193" s="644"/>
      <c r="CB193" s="644"/>
      <c r="CC193" s="644"/>
      <c r="CD193" s="644"/>
      <c r="CE193" s="644"/>
      <c r="CF193" s="644"/>
      <c r="CG193" s="644"/>
      <c r="CH193" s="644"/>
      <c r="CI193" s="644"/>
      <c r="CJ193" s="644"/>
      <c r="CK193" s="644"/>
      <c r="CL193" s="644"/>
      <c r="CM193" s="95"/>
      <c r="CN193" s="644"/>
      <c r="CO193" s="644"/>
      <c r="CP193" s="95"/>
      <c r="CQ193" s="98"/>
      <c r="CR193" s="95"/>
      <c r="CS193" s="95"/>
      <c r="CT193" s="95"/>
      <c r="CU193" s="108"/>
      <c r="CV193" s="109"/>
      <c r="CW193" s="644"/>
      <c r="CX193" s="496"/>
      <c r="CY193" s="637"/>
      <c r="CZ193" s="644"/>
      <c r="DA193" s="644"/>
      <c r="DB193" s="644"/>
      <c r="DC193" s="496"/>
      <c r="DD193" s="644"/>
      <c r="DE193" s="101"/>
      <c r="DF193" s="644"/>
      <c r="DG193" s="101"/>
      <c r="DH193" s="644"/>
      <c r="DI193" s="644"/>
      <c r="DJ193" s="644"/>
      <c r="DK193" s="644"/>
      <c r="DL193" s="644"/>
      <c r="DM193" s="101"/>
      <c r="DN193" s="644"/>
      <c r="DO193" s="644"/>
      <c r="DP193" s="644"/>
      <c r="DQ193" s="644"/>
      <c r="DR193" s="644"/>
      <c r="DS193" s="644"/>
      <c r="DT193" s="644"/>
      <c r="DU193" s="644"/>
      <c r="DV193" s="644"/>
      <c r="DW193" s="101"/>
      <c r="DX193" s="646"/>
      <c r="DY193" s="646"/>
      <c r="DZ193" s="646"/>
      <c r="EA193" s="646"/>
      <c r="EB193" s="646"/>
      <c r="EC193" s="646"/>
      <c r="ED193" s="646"/>
      <c r="EE193" s="646"/>
      <c r="EF193" s="646"/>
      <c r="EG193" s="646"/>
      <c r="EH193" s="646"/>
      <c r="EI193" s="646"/>
      <c r="EJ193" s="646"/>
      <c r="EK193" s="271"/>
      <c r="EL193" s="644"/>
      <c r="EM193" s="634"/>
      <c r="EN193" s="647"/>
      <c r="EO193" s="648"/>
      <c r="EP193" s="647"/>
      <c r="EQ193" s="647"/>
      <c r="ER193" s="647"/>
      <c r="ES193" s="139"/>
      <c r="EV193" s="647"/>
      <c r="EW193" s="647"/>
      <c r="EX193" s="647"/>
      <c r="EY193" s="647"/>
      <c r="EZ193" s="647"/>
      <c r="FA193" s="646"/>
      <c r="FB193" s="646"/>
      <c r="FC193" s="646"/>
      <c r="FD193" s="646"/>
      <c r="FE193" s="646"/>
      <c r="FF193" s="646"/>
      <c r="FG193" s="647"/>
      <c r="FH193" s="647"/>
      <c r="FI193" s="647"/>
      <c r="FJ193" s="647"/>
      <c r="FK193" s="647"/>
      <c r="FL193" s="647"/>
      <c r="FM193" s="647"/>
      <c r="FN193" s="647"/>
      <c r="FO193" s="647"/>
      <c r="FP193" s="647"/>
      <c r="FQ193" s="647"/>
      <c r="FR193" s="647"/>
      <c r="FS193" s="101"/>
      <c r="FT193" s="95"/>
      <c r="FU193" s="634"/>
      <c r="FV193" s="101"/>
      <c r="FW193" s="101"/>
      <c r="FX193" s="634"/>
      <c r="FY193" s="634"/>
      <c r="FZ193" s="634"/>
      <c r="GA193" s="634"/>
      <c r="GB193" s="634"/>
      <c r="GC193" s="634"/>
      <c r="GD193" s="634"/>
      <c r="GE193" s="634"/>
      <c r="GF193" s="634"/>
      <c r="GG193" s="634"/>
      <c r="GH193" s="634"/>
      <c r="GI193" s="634"/>
      <c r="GJ193" s="634"/>
      <c r="GK193" s="634"/>
      <c r="GL193" s="101"/>
      <c r="GM193" s="101"/>
      <c r="GN193" s="101"/>
      <c r="GO193" s="643"/>
      <c r="GP193" s="644"/>
      <c r="GQ193" s="643"/>
      <c r="GR193" s="644"/>
      <c r="GS193" s="643"/>
      <c r="GT193" s="644"/>
      <c r="GU193" s="644"/>
      <c r="GV193" s="644"/>
      <c r="GW193" s="644"/>
      <c r="GX193" s="644"/>
      <c r="GY193" s="644"/>
      <c r="GZ193" s="644"/>
      <c r="HA193" s="644"/>
    </row>
    <row r="194" spans="1:209">
      <c r="A194" s="638"/>
      <c r="B194" s="95"/>
      <c r="C194" s="95"/>
      <c r="D194" s="95"/>
      <c r="E194" s="650"/>
      <c r="F194" s="95"/>
      <c r="G194" s="98"/>
      <c r="H194" s="99"/>
      <c r="I194" s="95"/>
      <c r="J194" s="95"/>
      <c r="K194" s="95"/>
      <c r="L194" s="95"/>
      <c r="M194" s="95"/>
      <c r="N194" s="95"/>
      <c r="O194" s="95"/>
      <c r="P194" s="95"/>
      <c r="Q194" s="95"/>
      <c r="R194" s="95"/>
      <c r="S194" s="101"/>
      <c r="T194" s="644"/>
      <c r="U194" s="101"/>
      <c r="V194" s="647"/>
      <c r="W194" s="643"/>
      <c r="X194" s="644"/>
      <c r="Y194" s="101"/>
      <c r="Z194" s="644"/>
      <c r="AA194" s="101"/>
      <c r="AB194" s="644"/>
      <c r="AC194" s="101"/>
      <c r="AD194" s="646"/>
      <c r="AE194" s="271"/>
      <c r="AF194" s="646"/>
      <c r="AG194" s="646"/>
      <c r="AH194" s="646"/>
      <c r="AI194" s="646"/>
      <c r="AJ194" s="646"/>
      <c r="AK194" s="646"/>
      <c r="AL194" s="646"/>
      <c r="AM194" s="271"/>
      <c r="AN194" s="646"/>
      <c r="AO194" s="646"/>
      <c r="AP194" s="646"/>
      <c r="AQ194" s="271"/>
      <c r="AR194" s="646"/>
      <c r="AS194" s="270"/>
      <c r="AT194" s="646"/>
      <c r="AU194" s="646"/>
      <c r="AV194" s="646"/>
      <c r="AW194" s="270"/>
      <c r="AX194" s="646"/>
      <c r="AY194" s="270"/>
      <c r="AZ194" s="646"/>
      <c r="BA194" s="646"/>
      <c r="BB194" s="644"/>
      <c r="BC194" s="644"/>
      <c r="BD194" s="644"/>
      <c r="BE194" s="644"/>
      <c r="BF194" s="644"/>
      <c r="BG194" s="644"/>
      <c r="BH194" s="644"/>
      <c r="BI194" s="644"/>
      <c r="BJ194" s="644"/>
      <c r="BK194" s="644"/>
      <c r="BL194" s="644"/>
      <c r="BM194" s="95"/>
      <c r="BN194" s="644"/>
      <c r="BO194" s="95"/>
      <c r="BP194" s="644"/>
      <c r="BQ194" s="644"/>
      <c r="BR194" s="644"/>
      <c r="BS194" s="644"/>
      <c r="BT194" s="644"/>
      <c r="BU194" s="644"/>
      <c r="BV194" s="644"/>
      <c r="BW194" s="644"/>
      <c r="BX194" s="644"/>
      <c r="BY194" s="644"/>
      <c r="BZ194" s="644"/>
      <c r="CA194" s="644"/>
      <c r="CB194" s="644"/>
      <c r="CC194" s="644"/>
      <c r="CD194" s="644"/>
      <c r="CE194" s="644"/>
      <c r="CF194" s="644"/>
      <c r="CG194" s="644"/>
      <c r="CH194" s="644"/>
      <c r="CI194" s="644"/>
      <c r="CJ194" s="644"/>
      <c r="CK194" s="644"/>
      <c r="CL194" s="644"/>
      <c r="CM194" s="95"/>
      <c r="CN194" s="644"/>
      <c r="CO194" s="644"/>
      <c r="CP194" s="95"/>
      <c r="CQ194" s="98"/>
      <c r="CR194" s="95"/>
      <c r="CS194" s="95"/>
      <c r="CT194" s="95"/>
      <c r="CU194" s="108"/>
      <c r="CV194" s="109"/>
      <c r="CW194" s="644"/>
      <c r="CX194" s="496"/>
      <c r="CY194" s="637"/>
      <c r="CZ194" s="644"/>
      <c r="DA194" s="644"/>
      <c r="DB194" s="644"/>
      <c r="DC194" s="496"/>
      <c r="DD194" s="644"/>
      <c r="DE194" s="101"/>
      <c r="DF194" s="644"/>
      <c r="DG194" s="101"/>
      <c r="DH194" s="644"/>
      <c r="DI194" s="644"/>
      <c r="DJ194" s="644"/>
      <c r="DK194" s="644"/>
      <c r="DL194" s="644"/>
      <c r="DM194" s="101"/>
      <c r="DN194" s="644"/>
      <c r="DO194" s="644"/>
      <c r="DP194" s="644"/>
      <c r="DQ194" s="644"/>
      <c r="DR194" s="644"/>
      <c r="DS194" s="644"/>
      <c r="DT194" s="644"/>
      <c r="DU194" s="644"/>
      <c r="DV194" s="644"/>
      <c r="DW194" s="101"/>
      <c r="DX194" s="646"/>
      <c r="DY194" s="646"/>
      <c r="DZ194" s="646"/>
      <c r="EA194" s="646"/>
      <c r="EB194" s="646"/>
      <c r="EC194" s="646"/>
      <c r="ED194" s="646"/>
      <c r="EE194" s="646"/>
      <c r="EF194" s="646"/>
      <c r="EG194" s="646"/>
      <c r="EH194" s="646"/>
      <c r="EI194" s="646"/>
      <c r="EJ194" s="646"/>
      <c r="EK194" s="271"/>
      <c r="EL194" s="644"/>
      <c r="EM194" s="634"/>
      <c r="EN194" s="647"/>
      <c r="EO194" s="648"/>
      <c r="EP194" s="647"/>
      <c r="EQ194" s="647"/>
      <c r="ER194" s="647"/>
      <c r="ES194" s="139"/>
      <c r="EV194" s="647"/>
      <c r="EW194" s="647"/>
      <c r="EX194" s="647"/>
      <c r="EY194" s="647"/>
      <c r="EZ194" s="647"/>
      <c r="FA194" s="646"/>
      <c r="FB194" s="646"/>
      <c r="FC194" s="646"/>
      <c r="FD194" s="646"/>
      <c r="FE194" s="646"/>
      <c r="FF194" s="646"/>
      <c r="FG194" s="647"/>
      <c r="FH194" s="647"/>
      <c r="FI194" s="647"/>
      <c r="FJ194" s="647"/>
      <c r="FK194" s="647"/>
      <c r="FL194" s="647"/>
      <c r="FM194" s="647"/>
      <c r="FN194" s="647"/>
      <c r="FO194" s="647"/>
      <c r="FP194" s="647"/>
      <c r="FQ194" s="647"/>
      <c r="FR194" s="647"/>
      <c r="FS194" s="101"/>
      <c r="FT194" s="95"/>
      <c r="FU194" s="634"/>
      <c r="FV194" s="101"/>
      <c r="FW194" s="101"/>
      <c r="FX194" s="634"/>
      <c r="FY194" s="634"/>
      <c r="FZ194" s="634"/>
      <c r="GA194" s="634"/>
      <c r="GB194" s="634"/>
      <c r="GC194" s="634"/>
      <c r="GD194" s="634"/>
      <c r="GE194" s="634"/>
      <c r="GF194" s="634"/>
      <c r="GG194" s="634"/>
      <c r="GH194" s="634"/>
      <c r="GI194" s="634"/>
      <c r="GJ194" s="634"/>
      <c r="GK194" s="634"/>
      <c r="GL194" s="101"/>
      <c r="GM194" s="101"/>
      <c r="GN194" s="101"/>
      <c r="GO194" s="643"/>
      <c r="GP194" s="644"/>
      <c r="GQ194" s="643"/>
      <c r="GR194" s="644"/>
      <c r="GS194" s="643"/>
      <c r="GT194" s="644"/>
      <c r="GU194" s="644"/>
      <c r="GV194" s="644"/>
      <c r="GW194" s="644"/>
      <c r="GX194" s="644"/>
      <c r="GY194" s="644"/>
      <c r="GZ194" s="644"/>
      <c r="HA194" s="644"/>
    </row>
    <row r="195" spans="1:209">
      <c r="A195" s="638"/>
      <c r="B195" s="95"/>
      <c r="C195" s="95"/>
      <c r="D195" s="95"/>
      <c r="E195" s="650"/>
      <c r="F195" s="95"/>
      <c r="G195" s="98"/>
      <c r="H195" s="99"/>
      <c r="I195" s="95"/>
      <c r="J195" s="95"/>
      <c r="K195" s="95"/>
      <c r="L195" s="95"/>
      <c r="M195" s="95"/>
      <c r="N195" s="95"/>
      <c r="O195" s="95"/>
      <c r="P195" s="95"/>
      <c r="Q195" s="95"/>
      <c r="R195" s="95"/>
      <c r="S195" s="101"/>
      <c r="T195" s="644"/>
      <c r="U195" s="101"/>
      <c r="V195" s="647"/>
      <c r="W195" s="643"/>
      <c r="X195" s="644"/>
      <c r="Y195" s="101"/>
      <c r="Z195" s="644"/>
      <c r="AA195" s="101"/>
      <c r="AB195" s="644"/>
      <c r="AC195" s="101"/>
      <c r="AD195" s="646"/>
      <c r="AE195" s="271"/>
      <c r="AF195" s="646"/>
      <c r="AG195" s="646"/>
      <c r="AH195" s="646"/>
      <c r="AI195" s="646"/>
      <c r="AJ195" s="646"/>
      <c r="AK195" s="646"/>
      <c r="AL195" s="646"/>
      <c r="AM195" s="271"/>
      <c r="AN195" s="646"/>
      <c r="AO195" s="646"/>
      <c r="AP195" s="646"/>
      <c r="AQ195" s="271"/>
      <c r="AR195" s="646"/>
      <c r="AS195" s="270"/>
      <c r="AT195" s="646"/>
      <c r="AU195" s="646"/>
      <c r="AV195" s="646"/>
      <c r="AW195" s="270"/>
      <c r="AX195" s="646"/>
      <c r="AY195" s="270"/>
      <c r="AZ195" s="646"/>
      <c r="BA195" s="646"/>
      <c r="BB195" s="644"/>
      <c r="BC195" s="644"/>
      <c r="BD195" s="644"/>
      <c r="BE195" s="644"/>
      <c r="BF195" s="644"/>
      <c r="BG195" s="644"/>
      <c r="BH195" s="644"/>
      <c r="BI195" s="644"/>
      <c r="BJ195" s="644"/>
      <c r="BK195" s="644"/>
      <c r="BL195" s="644"/>
      <c r="BM195" s="95"/>
      <c r="BN195" s="644"/>
      <c r="BO195" s="95"/>
      <c r="BP195" s="644"/>
      <c r="BQ195" s="644"/>
      <c r="BR195" s="644"/>
      <c r="BS195" s="644"/>
      <c r="BT195" s="644"/>
      <c r="BU195" s="644"/>
      <c r="BV195" s="644"/>
      <c r="BW195" s="644"/>
      <c r="BX195" s="644"/>
      <c r="BY195" s="644"/>
      <c r="BZ195" s="644"/>
      <c r="CA195" s="644"/>
      <c r="CB195" s="644"/>
      <c r="CC195" s="644"/>
      <c r="CD195" s="644"/>
      <c r="CE195" s="644"/>
      <c r="CF195" s="644"/>
      <c r="CG195" s="644"/>
      <c r="CH195" s="644"/>
      <c r="CI195" s="644"/>
      <c r="CJ195" s="644"/>
      <c r="CK195" s="644"/>
      <c r="CL195" s="644"/>
      <c r="CM195" s="95"/>
      <c r="CN195" s="644"/>
      <c r="CO195" s="644"/>
      <c r="CP195" s="95"/>
      <c r="CQ195" s="98"/>
      <c r="CR195" s="95"/>
      <c r="CS195" s="95"/>
      <c r="CT195" s="95"/>
      <c r="CU195" s="108"/>
      <c r="CV195" s="109"/>
      <c r="CW195" s="644"/>
      <c r="CX195" s="496"/>
      <c r="CY195" s="637"/>
      <c r="CZ195" s="644"/>
      <c r="DA195" s="644"/>
      <c r="DB195" s="644"/>
      <c r="DC195" s="496"/>
      <c r="DD195" s="644"/>
      <c r="DE195" s="101"/>
      <c r="DF195" s="644"/>
      <c r="DG195" s="101"/>
      <c r="DH195" s="644"/>
      <c r="DI195" s="644"/>
      <c r="DJ195" s="644"/>
      <c r="DK195" s="644"/>
      <c r="DL195" s="644"/>
      <c r="DM195" s="101"/>
      <c r="DN195" s="644"/>
      <c r="DO195" s="644"/>
      <c r="DP195" s="644"/>
      <c r="DQ195" s="644"/>
      <c r="DR195" s="644"/>
      <c r="DS195" s="644"/>
      <c r="DT195" s="644"/>
      <c r="DU195" s="644"/>
      <c r="DV195" s="644"/>
      <c r="DW195" s="101"/>
      <c r="DX195" s="646"/>
      <c r="DY195" s="646"/>
      <c r="DZ195" s="646"/>
      <c r="EA195" s="646"/>
      <c r="EB195" s="646"/>
      <c r="EC195" s="646"/>
      <c r="ED195" s="646"/>
      <c r="EE195" s="646"/>
      <c r="EF195" s="646"/>
      <c r="EG195" s="646"/>
      <c r="EH195" s="646"/>
      <c r="EI195" s="646"/>
      <c r="EJ195" s="646"/>
      <c r="EK195" s="271"/>
      <c r="EL195" s="644"/>
      <c r="EM195" s="634"/>
      <c r="EN195" s="647"/>
      <c r="EO195" s="648"/>
      <c r="EP195" s="647"/>
      <c r="EQ195" s="647"/>
      <c r="ER195" s="647"/>
      <c r="ES195" s="139"/>
      <c r="EV195" s="647"/>
      <c r="EW195" s="647"/>
      <c r="EX195" s="647"/>
      <c r="EY195" s="647"/>
      <c r="EZ195" s="647"/>
      <c r="FA195" s="646"/>
      <c r="FB195" s="646"/>
      <c r="FC195" s="646"/>
      <c r="FD195" s="646"/>
      <c r="FE195" s="646"/>
      <c r="FF195" s="646"/>
      <c r="FG195" s="647"/>
      <c r="FH195" s="647"/>
      <c r="FI195" s="647"/>
      <c r="FJ195" s="647"/>
      <c r="FK195" s="647"/>
      <c r="FL195" s="647"/>
      <c r="FM195" s="647"/>
      <c r="FN195" s="647"/>
      <c r="FO195" s="647"/>
      <c r="FP195" s="647"/>
      <c r="FQ195" s="647"/>
      <c r="FR195" s="647"/>
      <c r="FS195" s="101"/>
      <c r="FT195" s="95"/>
      <c r="FU195" s="634"/>
      <c r="FV195" s="101"/>
      <c r="FW195" s="101"/>
      <c r="FX195" s="634"/>
      <c r="FY195" s="634"/>
      <c r="FZ195" s="634"/>
      <c r="GA195" s="634"/>
      <c r="GB195" s="634"/>
      <c r="GC195" s="634"/>
      <c r="GD195" s="634"/>
      <c r="GE195" s="634"/>
      <c r="GF195" s="634"/>
      <c r="GG195" s="634"/>
      <c r="GH195" s="634"/>
      <c r="GI195" s="634"/>
      <c r="GJ195" s="634"/>
      <c r="GK195" s="634"/>
      <c r="GL195" s="101"/>
      <c r="GM195" s="101"/>
      <c r="GN195" s="101"/>
      <c r="GO195" s="643"/>
      <c r="GP195" s="644"/>
      <c r="GQ195" s="643"/>
      <c r="GR195" s="644"/>
      <c r="GS195" s="643"/>
      <c r="GT195" s="644"/>
      <c r="GU195" s="644"/>
      <c r="GV195" s="644"/>
      <c r="GW195" s="644"/>
      <c r="GX195" s="644"/>
      <c r="GY195" s="644"/>
      <c r="GZ195" s="644"/>
      <c r="HA195" s="644"/>
    </row>
    <row r="196" spans="1:209">
      <c r="A196" s="638"/>
      <c r="B196" s="95"/>
      <c r="C196" s="95"/>
      <c r="D196" s="95"/>
      <c r="E196" s="650"/>
      <c r="F196" s="95"/>
      <c r="G196" s="98"/>
      <c r="H196" s="99"/>
      <c r="I196" s="95"/>
      <c r="J196" s="95"/>
      <c r="K196" s="95"/>
      <c r="L196" s="95"/>
      <c r="M196" s="95"/>
      <c r="N196" s="95"/>
      <c r="O196" s="95"/>
      <c r="P196" s="95"/>
      <c r="Q196" s="95"/>
      <c r="R196" s="98"/>
      <c r="S196" s="101"/>
      <c r="T196" s="644"/>
      <c r="U196" s="101"/>
      <c r="V196" s="647"/>
      <c r="W196" s="643"/>
      <c r="X196" s="644"/>
      <c r="Y196" s="101"/>
      <c r="Z196" s="644"/>
      <c r="AA196" s="101"/>
      <c r="AB196" s="644"/>
      <c r="AC196" s="101"/>
      <c r="AD196" s="646"/>
      <c r="AE196" s="271"/>
      <c r="AF196" s="646"/>
      <c r="AG196" s="646"/>
      <c r="AH196" s="646"/>
      <c r="AI196" s="646"/>
      <c r="AJ196" s="646"/>
      <c r="AK196" s="646"/>
      <c r="AL196" s="646"/>
      <c r="AM196" s="271"/>
      <c r="AN196" s="646"/>
      <c r="AO196" s="646"/>
      <c r="AP196" s="646"/>
      <c r="AQ196" s="271"/>
      <c r="AR196" s="646"/>
      <c r="AS196" s="270"/>
      <c r="AT196" s="646"/>
      <c r="AU196" s="646"/>
      <c r="AV196" s="646"/>
      <c r="AW196" s="270"/>
      <c r="AX196" s="646"/>
      <c r="AY196" s="270"/>
      <c r="AZ196" s="646"/>
      <c r="BA196" s="646"/>
      <c r="BB196" s="644"/>
      <c r="BC196" s="644"/>
      <c r="BD196" s="644"/>
      <c r="BE196" s="644"/>
      <c r="BF196" s="644"/>
      <c r="BG196" s="644"/>
      <c r="BH196" s="644"/>
      <c r="BI196" s="644"/>
      <c r="BJ196" s="644"/>
      <c r="BK196" s="644"/>
      <c r="BL196" s="644"/>
      <c r="BM196" s="95"/>
      <c r="BN196" s="644"/>
      <c r="BO196" s="95"/>
      <c r="BP196" s="644"/>
      <c r="BQ196" s="644"/>
      <c r="BR196" s="644"/>
      <c r="BS196" s="644"/>
      <c r="BT196" s="644"/>
      <c r="BU196" s="644"/>
      <c r="BV196" s="644"/>
      <c r="BW196" s="644"/>
      <c r="BX196" s="644"/>
      <c r="BY196" s="644"/>
      <c r="BZ196" s="644"/>
      <c r="CA196" s="644"/>
      <c r="CB196" s="644"/>
      <c r="CC196" s="644"/>
      <c r="CD196" s="644"/>
      <c r="CE196" s="644"/>
      <c r="CF196" s="644"/>
      <c r="CG196" s="644"/>
      <c r="CH196" s="644"/>
      <c r="CI196" s="644"/>
      <c r="CJ196" s="644"/>
      <c r="CK196" s="644"/>
      <c r="CL196" s="644"/>
      <c r="CM196" s="95"/>
      <c r="CN196" s="644"/>
      <c r="CO196" s="644"/>
      <c r="CP196" s="95"/>
      <c r="CQ196" s="98"/>
      <c r="CR196" s="95"/>
      <c r="CS196" s="95"/>
      <c r="CT196" s="95"/>
      <c r="CU196" s="108"/>
      <c r="CV196" s="109"/>
      <c r="CW196" s="644"/>
      <c r="CX196" s="496"/>
      <c r="CY196" s="637"/>
      <c r="CZ196" s="644"/>
      <c r="DA196" s="644"/>
      <c r="DB196" s="644"/>
      <c r="DC196" s="496"/>
      <c r="DD196" s="644"/>
      <c r="DE196" s="101"/>
      <c r="DF196" s="644"/>
      <c r="DG196" s="101"/>
      <c r="DH196" s="644"/>
      <c r="DI196" s="644"/>
      <c r="DJ196" s="644"/>
      <c r="DK196" s="644"/>
      <c r="DL196" s="644"/>
      <c r="DM196" s="101"/>
      <c r="DN196" s="644"/>
      <c r="DO196" s="644"/>
      <c r="DP196" s="644"/>
      <c r="DQ196" s="644"/>
      <c r="DR196" s="644"/>
      <c r="DS196" s="644"/>
      <c r="DT196" s="644"/>
      <c r="DU196" s="644"/>
      <c r="DV196" s="644"/>
      <c r="DW196" s="101"/>
      <c r="DX196" s="646"/>
      <c r="DY196" s="646"/>
      <c r="DZ196" s="646"/>
      <c r="EA196" s="646"/>
      <c r="EB196" s="646"/>
      <c r="EC196" s="646"/>
      <c r="ED196" s="646"/>
      <c r="EE196" s="646"/>
      <c r="EF196" s="646"/>
      <c r="EG196" s="646"/>
      <c r="EH196" s="646"/>
      <c r="EI196" s="646"/>
      <c r="EJ196" s="646"/>
      <c r="EK196" s="271"/>
      <c r="EL196" s="644"/>
      <c r="EM196" s="634"/>
      <c r="EN196" s="647"/>
      <c r="EO196" s="648"/>
      <c r="EP196" s="647"/>
      <c r="EQ196" s="647"/>
      <c r="ER196" s="647"/>
      <c r="ES196" s="139"/>
      <c r="EV196" s="647"/>
      <c r="EW196" s="647"/>
      <c r="EX196" s="647"/>
      <c r="EY196" s="647"/>
      <c r="EZ196" s="647"/>
      <c r="FA196" s="646"/>
      <c r="FB196" s="646"/>
      <c r="FC196" s="646"/>
      <c r="FD196" s="646"/>
      <c r="FE196" s="646"/>
      <c r="FF196" s="646"/>
      <c r="FG196" s="647"/>
      <c r="FH196" s="647"/>
      <c r="FI196" s="647"/>
      <c r="FJ196" s="647"/>
      <c r="FK196" s="647"/>
      <c r="FL196" s="647"/>
      <c r="FM196" s="647"/>
      <c r="FN196" s="647"/>
      <c r="FO196" s="647"/>
      <c r="FP196" s="647"/>
      <c r="FQ196" s="647"/>
      <c r="FR196" s="647"/>
      <c r="FS196" s="101"/>
      <c r="FT196" s="95"/>
      <c r="FU196" s="634"/>
      <c r="FV196" s="101"/>
      <c r="FW196" s="101"/>
      <c r="FX196" s="634"/>
      <c r="FY196" s="634"/>
      <c r="FZ196" s="634"/>
      <c r="GA196" s="634"/>
      <c r="GB196" s="634"/>
      <c r="GC196" s="634"/>
      <c r="GD196" s="634"/>
      <c r="GE196" s="634"/>
      <c r="GF196" s="634"/>
      <c r="GG196" s="634"/>
      <c r="GH196" s="634"/>
      <c r="GI196" s="634"/>
      <c r="GJ196" s="634"/>
      <c r="GK196" s="634"/>
      <c r="GL196" s="101"/>
      <c r="GM196" s="101"/>
      <c r="GN196" s="101"/>
      <c r="GO196" s="643"/>
      <c r="GP196" s="644"/>
      <c r="GQ196" s="643"/>
      <c r="GR196" s="644"/>
      <c r="GS196" s="643"/>
      <c r="GT196" s="644"/>
      <c r="GU196" s="644"/>
      <c r="GV196" s="644"/>
      <c r="GW196" s="644"/>
      <c r="GX196" s="644"/>
      <c r="GY196" s="644"/>
      <c r="GZ196" s="644"/>
      <c r="HA196" s="644"/>
    </row>
    <row r="197" spans="1:209">
      <c r="A197" s="638"/>
      <c r="B197" s="95"/>
      <c r="C197" s="95"/>
      <c r="D197" s="95"/>
      <c r="E197" s="650"/>
      <c r="F197" s="95"/>
      <c r="G197" s="98"/>
      <c r="H197" s="99"/>
      <c r="I197" s="95"/>
      <c r="J197" s="95"/>
      <c r="K197" s="95"/>
      <c r="L197" s="95"/>
      <c r="M197" s="95"/>
      <c r="N197" s="95"/>
      <c r="O197" s="95"/>
      <c r="P197" s="95"/>
      <c r="Q197" s="95"/>
      <c r="R197" s="98"/>
      <c r="S197" s="101"/>
      <c r="T197" s="644"/>
      <c r="U197" s="101"/>
      <c r="V197" s="647"/>
      <c r="W197" s="643"/>
      <c r="X197" s="644"/>
      <c r="Y197" s="101"/>
      <c r="Z197" s="644"/>
      <c r="AA197" s="101"/>
      <c r="AB197" s="644"/>
      <c r="AC197" s="101"/>
      <c r="AD197" s="646"/>
      <c r="AE197" s="271"/>
      <c r="AF197" s="646"/>
      <c r="AG197" s="646"/>
      <c r="AH197" s="646"/>
      <c r="AI197" s="646"/>
      <c r="AJ197" s="646"/>
      <c r="AK197" s="646"/>
      <c r="AL197" s="646"/>
      <c r="AM197" s="271"/>
      <c r="AN197" s="646"/>
      <c r="AO197" s="646"/>
      <c r="AP197" s="646"/>
      <c r="AQ197" s="271"/>
      <c r="AR197" s="646"/>
      <c r="AS197" s="270"/>
      <c r="AT197" s="646"/>
      <c r="AU197" s="646"/>
      <c r="AV197" s="646"/>
      <c r="AW197" s="270"/>
      <c r="AX197" s="646"/>
      <c r="AY197" s="270"/>
      <c r="AZ197" s="646"/>
      <c r="BA197" s="646"/>
      <c r="BB197" s="644"/>
      <c r="BC197" s="644"/>
      <c r="BD197" s="644"/>
      <c r="BE197" s="644"/>
      <c r="BF197" s="644"/>
      <c r="BG197" s="644"/>
      <c r="BH197" s="644"/>
      <c r="BI197" s="644"/>
      <c r="BJ197" s="644"/>
      <c r="BK197" s="644"/>
      <c r="BL197" s="644"/>
      <c r="BM197" s="95"/>
      <c r="BN197" s="644"/>
      <c r="BO197" s="95"/>
      <c r="BP197" s="644"/>
      <c r="BQ197" s="644"/>
      <c r="BR197" s="644"/>
      <c r="BS197" s="644"/>
      <c r="BT197" s="644"/>
      <c r="BU197" s="644"/>
      <c r="BV197" s="644"/>
      <c r="BW197" s="644"/>
      <c r="BX197" s="644"/>
      <c r="BY197" s="644"/>
      <c r="BZ197" s="644"/>
      <c r="CA197" s="644"/>
      <c r="CB197" s="644"/>
      <c r="CC197" s="644"/>
      <c r="CD197" s="644"/>
      <c r="CE197" s="644"/>
      <c r="CF197" s="644"/>
      <c r="CG197" s="644"/>
      <c r="CH197" s="644"/>
      <c r="CI197" s="644"/>
      <c r="CJ197" s="644"/>
      <c r="CK197" s="644"/>
      <c r="CL197" s="644"/>
      <c r="CM197" s="95"/>
      <c r="CN197" s="644"/>
      <c r="CO197" s="644"/>
      <c r="CP197" s="95"/>
      <c r="CQ197" s="98"/>
      <c r="CR197" s="95"/>
      <c r="CS197" s="95"/>
      <c r="CT197" s="95"/>
      <c r="CU197" s="108"/>
      <c r="CV197" s="109"/>
      <c r="CW197" s="644"/>
      <c r="CX197" s="496"/>
      <c r="CY197" s="637"/>
      <c r="CZ197" s="644"/>
      <c r="DA197" s="644"/>
      <c r="DB197" s="644"/>
      <c r="DC197" s="496"/>
      <c r="DD197" s="644"/>
      <c r="DE197" s="101"/>
      <c r="DF197" s="644"/>
      <c r="DG197" s="101"/>
      <c r="DH197" s="644"/>
      <c r="DI197" s="644"/>
      <c r="DJ197" s="644"/>
      <c r="DK197" s="644"/>
      <c r="DL197" s="644"/>
      <c r="DM197" s="101"/>
      <c r="DN197" s="644"/>
      <c r="DO197" s="644"/>
      <c r="DP197" s="644"/>
      <c r="DQ197" s="644"/>
      <c r="DR197" s="644"/>
      <c r="DS197" s="644"/>
      <c r="DT197" s="644"/>
      <c r="DU197" s="644"/>
      <c r="DV197" s="644"/>
      <c r="DW197" s="101"/>
      <c r="DX197" s="646"/>
      <c r="DY197" s="646"/>
      <c r="DZ197" s="646"/>
      <c r="EA197" s="646"/>
      <c r="EB197" s="646"/>
      <c r="EC197" s="646"/>
      <c r="ED197" s="646"/>
      <c r="EE197" s="646"/>
      <c r="EF197" s="646"/>
      <c r="EG197" s="646"/>
      <c r="EH197" s="646"/>
      <c r="EI197" s="646"/>
      <c r="EJ197" s="646"/>
      <c r="EK197" s="271"/>
      <c r="EL197" s="644"/>
      <c r="EM197" s="634"/>
      <c r="EN197" s="647"/>
      <c r="EO197" s="648"/>
      <c r="EP197" s="647"/>
      <c r="EQ197" s="647"/>
      <c r="ER197" s="647"/>
      <c r="ES197" s="139"/>
      <c r="EV197" s="647"/>
      <c r="EW197" s="647"/>
      <c r="EX197" s="647"/>
      <c r="EY197" s="647"/>
      <c r="EZ197" s="647"/>
      <c r="FA197" s="646"/>
      <c r="FB197" s="646"/>
      <c r="FC197" s="646"/>
      <c r="FD197" s="646"/>
      <c r="FE197" s="646"/>
      <c r="FF197" s="646"/>
      <c r="FG197" s="647"/>
      <c r="FH197" s="647"/>
      <c r="FI197" s="647"/>
      <c r="FJ197" s="647"/>
      <c r="FK197" s="647"/>
      <c r="FL197" s="647"/>
      <c r="FM197" s="647"/>
      <c r="FN197" s="647"/>
      <c r="FO197" s="647"/>
      <c r="FP197" s="647"/>
      <c r="FQ197" s="647"/>
      <c r="FR197" s="647"/>
      <c r="FS197" s="101"/>
      <c r="FT197" s="95"/>
      <c r="FU197" s="634"/>
      <c r="FV197" s="101"/>
      <c r="FW197" s="101"/>
      <c r="FX197" s="634"/>
      <c r="FY197" s="634"/>
      <c r="FZ197" s="634"/>
      <c r="GA197" s="634"/>
      <c r="GB197" s="634"/>
      <c r="GC197" s="634"/>
      <c r="GD197" s="634"/>
      <c r="GE197" s="634"/>
      <c r="GF197" s="634"/>
      <c r="GG197" s="634"/>
      <c r="GH197" s="634"/>
      <c r="GI197" s="634"/>
      <c r="GJ197" s="634"/>
      <c r="GK197" s="634"/>
      <c r="GL197" s="101"/>
      <c r="GM197" s="101"/>
      <c r="GN197" s="101"/>
      <c r="GO197" s="643"/>
      <c r="GP197" s="644"/>
      <c r="GQ197" s="643"/>
      <c r="GR197" s="644"/>
      <c r="GS197" s="643"/>
      <c r="GT197" s="644"/>
      <c r="GU197" s="644"/>
      <c r="GV197" s="644"/>
      <c r="GW197" s="644"/>
      <c r="GX197" s="644"/>
      <c r="GY197" s="644"/>
      <c r="GZ197" s="644"/>
      <c r="HA197" s="644"/>
    </row>
    <row r="198" spans="1:209">
      <c r="A198" s="638"/>
      <c r="B198" s="95"/>
      <c r="C198" s="95"/>
      <c r="D198" s="95"/>
      <c r="E198" s="650"/>
      <c r="F198" s="95"/>
      <c r="G198" s="98"/>
      <c r="H198" s="99"/>
      <c r="I198" s="95"/>
      <c r="J198" s="95"/>
      <c r="K198" s="95"/>
      <c r="L198" s="95"/>
      <c r="M198" s="95"/>
      <c r="N198" s="95"/>
      <c r="O198" s="95"/>
      <c r="P198" s="95"/>
      <c r="Q198" s="95"/>
      <c r="R198" s="98"/>
      <c r="S198" s="101"/>
      <c r="T198" s="644"/>
      <c r="U198" s="101"/>
      <c r="V198" s="647"/>
      <c r="W198" s="643"/>
      <c r="X198" s="644"/>
      <c r="Y198" s="101"/>
      <c r="Z198" s="644"/>
      <c r="AA198" s="101"/>
      <c r="AB198" s="644"/>
      <c r="AC198" s="101"/>
      <c r="AD198" s="646"/>
      <c r="AE198" s="271"/>
      <c r="AF198" s="646"/>
      <c r="AG198" s="646"/>
      <c r="AH198" s="646"/>
      <c r="AI198" s="646"/>
      <c r="AJ198" s="646"/>
      <c r="AK198" s="646"/>
      <c r="AL198" s="646"/>
      <c r="AM198" s="271"/>
      <c r="AN198" s="646"/>
      <c r="AO198" s="646"/>
      <c r="AP198" s="646"/>
      <c r="AQ198" s="271"/>
      <c r="AR198" s="646"/>
      <c r="AS198" s="270"/>
      <c r="AT198" s="646"/>
      <c r="AU198" s="646"/>
      <c r="AV198" s="646"/>
      <c r="AW198" s="270"/>
      <c r="AX198" s="646"/>
      <c r="AY198" s="270"/>
      <c r="AZ198" s="646"/>
      <c r="BA198" s="646"/>
      <c r="BB198" s="644"/>
      <c r="BC198" s="644"/>
      <c r="BD198" s="644"/>
      <c r="BE198" s="644"/>
      <c r="BF198" s="644"/>
      <c r="BG198" s="644"/>
      <c r="BH198" s="644"/>
      <c r="BI198" s="644"/>
      <c r="BJ198" s="644"/>
      <c r="BK198" s="644"/>
      <c r="BL198" s="644"/>
      <c r="BM198" s="95"/>
      <c r="BN198" s="644"/>
      <c r="BO198" s="95"/>
      <c r="BP198" s="644"/>
      <c r="BQ198" s="644"/>
      <c r="BR198" s="644"/>
      <c r="BS198" s="644"/>
      <c r="BT198" s="644"/>
      <c r="BU198" s="644"/>
      <c r="BV198" s="644"/>
      <c r="BW198" s="644"/>
      <c r="BX198" s="644"/>
      <c r="BY198" s="644"/>
      <c r="BZ198" s="644"/>
      <c r="CA198" s="644"/>
      <c r="CB198" s="644"/>
      <c r="CC198" s="644"/>
      <c r="CD198" s="644"/>
      <c r="CE198" s="644"/>
      <c r="CF198" s="644"/>
      <c r="CG198" s="644"/>
      <c r="CH198" s="644"/>
      <c r="CI198" s="644"/>
      <c r="CJ198" s="644"/>
      <c r="CK198" s="644"/>
      <c r="CL198" s="644"/>
      <c r="CM198" s="95"/>
      <c r="CN198" s="644"/>
      <c r="CO198" s="644"/>
      <c r="CP198" s="95"/>
      <c r="CQ198" s="98"/>
      <c r="CR198" s="95"/>
      <c r="CS198" s="95"/>
      <c r="CT198" s="95"/>
      <c r="CU198" s="108"/>
      <c r="CV198" s="109"/>
      <c r="CW198" s="644"/>
      <c r="CX198" s="496"/>
      <c r="CY198" s="637"/>
      <c r="CZ198" s="644"/>
      <c r="DA198" s="644"/>
      <c r="DB198" s="644"/>
      <c r="DC198" s="496"/>
      <c r="DD198" s="644"/>
      <c r="DE198" s="101"/>
      <c r="DF198" s="644"/>
      <c r="DG198" s="101"/>
      <c r="DH198" s="644"/>
      <c r="DI198" s="644"/>
      <c r="DJ198" s="644"/>
      <c r="DK198" s="644"/>
      <c r="DL198" s="644"/>
      <c r="DM198" s="101"/>
      <c r="DN198" s="644"/>
      <c r="DO198" s="644"/>
      <c r="DP198" s="644"/>
      <c r="DQ198" s="644"/>
      <c r="DR198" s="644"/>
      <c r="DS198" s="644"/>
      <c r="DT198" s="644"/>
      <c r="DU198" s="644"/>
      <c r="DV198" s="644"/>
      <c r="DW198" s="101"/>
      <c r="DX198" s="646"/>
      <c r="DY198" s="646"/>
      <c r="DZ198" s="646"/>
      <c r="EA198" s="646"/>
      <c r="EB198" s="646"/>
      <c r="EC198" s="646"/>
      <c r="ED198" s="646"/>
      <c r="EE198" s="646"/>
      <c r="EF198" s="646"/>
      <c r="EG198" s="646"/>
      <c r="EH198" s="646"/>
      <c r="EI198" s="646"/>
      <c r="EJ198" s="646"/>
      <c r="EK198" s="271"/>
      <c r="EL198" s="644"/>
      <c r="EM198" s="634"/>
      <c r="EN198" s="647"/>
      <c r="EO198" s="648"/>
      <c r="EP198" s="647"/>
      <c r="EQ198" s="647"/>
      <c r="ER198" s="647"/>
      <c r="ES198" s="139"/>
      <c r="EV198" s="647"/>
      <c r="EW198" s="647"/>
      <c r="EX198" s="647"/>
      <c r="EY198" s="647"/>
      <c r="EZ198" s="647"/>
      <c r="FA198" s="646"/>
      <c r="FB198" s="646"/>
      <c r="FC198" s="646"/>
      <c r="FD198" s="646"/>
      <c r="FE198" s="646"/>
      <c r="FF198" s="646"/>
      <c r="FG198" s="647"/>
      <c r="FH198" s="647"/>
      <c r="FI198" s="647"/>
      <c r="FJ198" s="647"/>
      <c r="FK198" s="647"/>
      <c r="FL198" s="647"/>
      <c r="FM198" s="647"/>
      <c r="FN198" s="647"/>
      <c r="FO198" s="647"/>
      <c r="FP198" s="647"/>
      <c r="FQ198" s="647"/>
      <c r="FR198" s="647"/>
      <c r="FS198" s="101"/>
      <c r="FT198" s="95"/>
      <c r="FU198" s="634"/>
      <c r="FV198" s="101"/>
      <c r="FW198" s="101"/>
      <c r="FX198" s="634"/>
      <c r="FY198" s="634"/>
      <c r="FZ198" s="634"/>
      <c r="GA198" s="634"/>
      <c r="GB198" s="634"/>
      <c r="GC198" s="634"/>
      <c r="GD198" s="634"/>
      <c r="GE198" s="634"/>
      <c r="GF198" s="634"/>
      <c r="GG198" s="634"/>
      <c r="GH198" s="634"/>
      <c r="GI198" s="634"/>
      <c r="GJ198" s="634"/>
      <c r="GK198" s="634"/>
      <c r="GL198" s="101"/>
      <c r="GM198" s="101"/>
      <c r="GN198" s="101"/>
      <c r="GO198" s="643"/>
      <c r="GP198" s="644"/>
      <c r="GQ198" s="643"/>
      <c r="GR198" s="644"/>
      <c r="GS198" s="643"/>
      <c r="GT198" s="644"/>
      <c r="GU198" s="644"/>
      <c r="GV198" s="644"/>
      <c r="GW198" s="644"/>
      <c r="GX198" s="644"/>
      <c r="GY198" s="644"/>
      <c r="GZ198" s="644"/>
      <c r="HA198" s="644"/>
    </row>
    <row r="199" spans="1:209">
      <c r="A199" s="638"/>
      <c r="B199" s="95"/>
      <c r="C199" s="95"/>
      <c r="D199" s="95"/>
      <c r="E199" s="650"/>
      <c r="F199" s="95"/>
      <c r="G199" s="98"/>
      <c r="H199" s="99"/>
      <c r="I199" s="95"/>
      <c r="J199" s="95"/>
      <c r="K199" s="95"/>
      <c r="L199" s="95"/>
      <c r="M199" s="95"/>
      <c r="N199" s="95"/>
      <c r="O199" s="95"/>
      <c r="P199" s="95"/>
      <c r="Q199" s="95"/>
      <c r="R199" s="98"/>
      <c r="S199" s="101"/>
      <c r="T199" s="644"/>
      <c r="U199" s="101"/>
      <c r="V199" s="647"/>
      <c r="W199" s="643"/>
      <c r="X199" s="644"/>
      <c r="Y199" s="101"/>
      <c r="Z199" s="644"/>
      <c r="AA199" s="101"/>
      <c r="AB199" s="644"/>
      <c r="AC199" s="101"/>
      <c r="AD199" s="646"/>
      <c r="AE199" s="271"/>
      <c r="AF199" s="646"/>
      <c r="AG199" s="646"/>
      <c r="AH199" s="646"/>
      <c r="AI199" s="646"/>
      <c r="AJ199" s="646"/>
      <c r="AK199" s="646"/>
      <c r="AL199" s="646"/>
      <c r="AM199" s="271"/>
      <c r="AN199" s="646"/>
      <c r="AO199" s="646"/>
      <c r="AP199" s="646"/>
      <c r="AQ199" s="271"/>
      <c r="AR199" s="646"/>
      <c r="AS199" s="270"/>
      <c r="AT199" s="646"/>
      <c r="AU199" s="646"/>
      <c r="AV199" s="646"/>
      <c r="AW199" s="270"/>
      <c r="AX199" s="646"/>
      <c r="AY199" s="270"/>
      <c r="AZ199" s="646"/>
      <c r="BA199" s="646"/>
      <c r="BB199" s="644"/>
      <c r="BC199" s="644"/>
      <c r="BD199" s="644"/>
      <c r="BE199" s="644"/>
      <c r="BF199" s="644"/>
      <c r="BG199" s="644"/>
      <c r="BH199" s="644"/>
      <c r="BI199" s="644"/>
      <c r="BJ199" s="644"/>
      <c r="BK199" s="644"/>
      <c r="BL199" s="644"/>
      <c r="BM199" s="95"/>
      <c r="BN199" s="644"/>
      <c r="BO199" s="95"/>
      <c r="BP199" s="644"/>
      <c r="BQ199" s="644"/>
      <c r="BR199" s="644"/>
      <c r="BS199" s="644"/>
      <c r="BT199" s="644"/>
      <c r="BU199" s="644"/>
      <c r="BV199" s="644"/>
      <c r="BW199" s="644"/>
      <c r="BX199" s="644"/>
      <c r="BY199" s="644"/>
      <c r="BZ199" s="644"/>
      <c r="CA199" s="644"/>
      <c r="CB199" s="644"/>
      <c r="CC199" s="644"/>
      <c r="CD199" s="644"/>
      <c r="CE199" s="644"/>
      <c r="CF199" s="644"/>
      <c r="CG199" s="644"/>
      <c r="CH199" s="644"/>
      <c r="CI199" s="644"/>
      <c r="CJ199" s="644"/>
      <c r="CK199" s="644"/>
      <c r="CL199" s="644"/>
      <c r="CM199" s="95"/>
      <c r="CN199" s="644"/>
      <c r="CO199" s="644"/>
      <c r="CP199" s="95"/>
      <c r="CQ199" s="98"/>
      <c r="CR199" s="95"/>
      <c r="CS199" s="95"/>
      <c r="CT199" s="95"/>
      <c r="CU199" s="108"/>
      <c r="CV199" s="109"/>
      <c r="CW199" s="644"/>
      <c r="CX199" s="496"/>
      <c r="CY199" s="637"/>
      <c r="CZ199" s="644"/>
      <c r="DA199" s="644"/>
      <c r="DB199" s="644"/>
      <c r="DC199" s="496"/>
      <c r="DD199" s="644"/>
      <c r="DE199" s="101"/>
      <c r="DF199" s="644"/>
      <c r="DG199" s="101"/>
      <c r="DH199" s="644"/>
      <c r="DI199" s="644"/>
      <c r="DJ199" s="644"/>
      <c r="DK199" s="644"/>
      <c r="DL199" s="644"/>
      <c r="DM199" s="101"/>
      <c r="DN199" s="644"/>
      <c r="DO199" s="644"/>
      <c r="DP199" s="644"/>
      <c r="DQ199" s="644"/>
      <c r="DR199" s="644"/>
      <c r="DS199" s="644"/>
      <c r="DT199" s="644"/>
      <c r="DU199" s="644"/>
      <c r="DV199" s="644"/>
      <c r="DW199" s="101"/>
      <c r="DX199" s="646"/>
      <c r="DY199" s="646"/>
      <c r="DZ199" s="646"/>
      <c r="EA199" s="646"/>
      <c r="EB199" s="646"/>
      <c r="EC199" s="646"/>
      <c r="ED199" s="646"/>
      <c r="EE199" s="646"/>
      <c r="EF199" s="646"/>
      <c r="EG199" s="646"/>
      <c r="EH199" s="646"/>
      <c r="EI199" s="646"/>
      <c r="EJ199" s="646"/>
      <c r="EK199" s="271"/>
      <c r="EL199" s="644"/>
      <c r="EM199" s="634"/>
      <c r="EN199" s="647"/>
      <c r="EO199" s="648"/>
      <c r="EP199" s="647"/>
      <c r="EQ199" s="647"/>
      <c r="ER199" s="647"/>
      <c r="ES199" s="139"/>
      <c r="EV199" s="647"/>
      <c r="EW199" s="647"/>
      <c r="EX199" s="647"/>
      <c r="EY199" s="647"/>
      <c r="EZ199" s="647"/>
      <c r="FA199" s="646"/>
      <c r="FB199" s="646"/>
      <c r="FC199" s="646"/>
      <c r="FD199" s="646"/>
      <c r="FE199" s="646"/>
      <c r="FF199" s="646"/>
      <c r="FG199" s="647"/>
      <c r="FH199" s="647"/>
      <c r="FI199" s="647"/>
      <c r="FJ199" s="647"/>
      <c r="FK199" s="647"/>
      <c r="FL199" s="647"/>
      <c r="FM199" s="647"/>
      <c r="FN199" s="647"/>
      <c r="FO199" s="647"/>
      <c r="FP199" s="647"/>
      <c r="FQ199" s="647"/>
      <c r="FR199" s="647"/>
      <c r="FS199" s="101"/>
      <c r="FT199" s="95"/>
      <c r="FU199" s="634"/>
      <c r="FV199" s="101"/>
      <c r="FW199" s="101"/>
      <c r="FX199" s="634"/>
      <c r="FY199" s="634"/>
      <c r="FZ199" s="634"/>
      <c r="GA199" s="634"/>
      <c r="GB199" s="634"/>
      <c r="GC199" s="634"/>
      <c r="GD199" s="634"/>
      <c r="GE199" s="634"/>
      <c r="GF199" s="634"/>
      <c r="GG199" s="634"/>
      <c r="GH199" s="634"/>
      <c r="GI199" s="634"/>
      <c r="GJ199" s="634"/>
      <c r="GK199" s="634"/>
      <c r="GL199" s="101"/>
      <c r="GM199" s="101"/>
      <c r="GN199" s="101"/>
      <c r="GO199" s="643"/>
      <c r="GP199" s="644"/>
      <c r="GQ199" s="643"/>
      <c r="GR199" s="644"/>
      <c r="GS199" s="643"/>
      <c r="GT199" s="644"/>
      <c r="GU199" s="644"/>
      <c r="GV199" s="644"/>
      <c r="GW199" s="644"/>
      <c r="GX199" s="644"/>
      <c r="GY199" s="644"/>
      <c r="GZ199" s="644"/>
      <c r="HA199" s="644"/>
    </row>
    <row r="200" spans="1:209">
      <c r="A200" s="638"/>
      <c r="B200" s="95"/>
      <c r="C200" s="95"/>
      <c r="D200" s="95"/>
      <c r="E200" s="650"/>
      <c r="F200" s="95"/>
      <c r="G200" s="98"/>
      <c r="H200" s="99"/>
      <c r="I200" s="95"/>
      <c r="J200" s="95"/>
      <c r="K200" s="95"/>
      <c r="L200" s="95"/>
      <c r="M200" s="95"/>
      <c r="N200" s="95"/>
      <c r="O200" s="95"/>
      <c r="P200" s="95"/>
      <c r="Q200" s="95"/>
      <c r="R200" s="98"/>
      <c r="S200" s="101"/>
      <c r="T200" s="644"/>
      <c r="U200" s="101"/>
      <c r="V200" s="647"/>
      <c r="W200" s="643"/>
      <c r="X200" s="644"/>
      <c r="Y200" s="101"/>
      <c r="Z200" s="644"/>
      <c r="AA200" s="101"/>
      <c r="AB200" s="644"/>
      <c r="AC200" s="101"/>
      <c r="AD200" s="646"/>
      <c r="AE200" s="271"/>
      <c r="AF200" s="646"/>
      <c r="AG200" s="646"/>
      <c r="AH200" s="646"/>
      <c r="AI200" s="646"/>
      <c r="AJ200" s="646"/>
      <c r="AK200" s="646"/>
      <c r="AL200" s="646"/>
      <c r="AM200" s="271"/>
      <c r="AN200" s="646"/>
      <c r="AO200" s="646"/>
      <c r="AP200" s="646"/>
      <c r="AQ200" s="271"/>
      <c r="AR200" s="646"/>
      <c r="AS200" s="270"/>
      <c r="AT200" s="646"/>
      <c r="AU200" s="646"/>
      <c r="AV200" s="646"/>
      <c r="AW200" s="270"/>
      <c r="AX200" s="646"/>
      <c r="AY200" s="270"/>
      <c r="AZ200" s="646"/>
      <c r="BA200" s="646"/>
      <c r="BB200" s="644"/>
      <c r="BC200" s="644"/>
      <c r="BD200" s="644"/>
      <c r="BE200" s="644"/>
      <c r="BF200" s="644"/>
      <c r="BG200" s="644"/>
      <c r="BH200" s="644"/>
      <c r="BI200" s="644"/>
      <c r="BJ200" s="644"/>
      <c r="BK200" s="644"/>
      <c r="BL200" s="644"/>
      <c r="BM200" s="95"/>
      <c r="BN200" s="644"/>
      <c r="BO200" s="95"/>
      <c r="BP200" s="644"/>
      <c r="BQ200" s="644"/>
      <c r="BR200" s="644"/>
      <c r="BS200" s="644"/>
      <c r="BT200" s="644"/>
      <c r="BU200" s="644"/>
      <c r="BV200" s="644"/>
      <c r="BW200" s="644"/>
      <c r="BX200" s="644"/>
      <c r="BY200" s="644"/>
      <c r="BZ200" s="644"/>
      <c r="CA200" s="644"/>
      <c r="CB200" s="644"/>
      <c r="CC200" s="644"/>
      <c r="CD200" s="644"/>
      <c r="CE200" s="644"/>
      <c r="CF200" s="644"/>
      <c r="CG200" s="644"/>
      <c r="CH200" s="644"/>
      <c r="CI200" s="644"/>
      <c r="CJ200" s="644"/>
      <c r="CK200" s="644"/>
      <c r="CL200" s="644"/>
      <c r="CM200" s="95"/>
      <c r="CN200" s="644"/>
      <c r="CO200" s="644"/>
      <c r="CP200" s="95"/>
      <c r="CQ200" s="98"/>
      <c r="CR200" s="95"/>
      <c r="CS200" s="95"/>
      <c r="CT200" s="95"/>
      <c r="CU200" s="108"/>
      <c r="CV200" s="109"/>
      <c r="CW200" s="644"/>
      <c r="CX200" s="496"/>
      <c r="CY200" s="637"/>
      <c r="CZ200" s="644"/>
      <c r="DA200" s="644"/>
      <c r="DB200" s="644"/>
      <c r="DC200" s="496"/>
      <c r="DD200" s="644"/>
      <c r="DE200" s="101"/>
      <c r="DF200" s="644"/>
      <c r="DG200" s="101"/>
      <c r="DH200" s="644"/>
      <c r="DI200" s="644"/>
      <c r="DJ200" s="644"/>
      <c r="DK200" s="644"/>
      <c r="DL200" s="644"/>
      <c r="DM200" s="101"/>
      <c r="DN200" s="644"/>
      <c r="DO200" s="644"/>
      <c r="DP200" s="644"/>
      <c r="DQ200" s="644"/>
      <c r="DR200" s="644"/>
      <c r="DS200" s="644"/>
      <c r="DT200" s="644"/>
      <c r="DU200" s="644"/>
      <c r="DV200" s="644"/>
      <c r="DW200" s="101"/>
      <c r="DX200" s="646"/>
      <c r="DY200" s="646"/>
      <c r="DZ200" s="646"/>
      <c r="EA200" s="646"/>
      <c r="EB200" s="646"/>
      <c r="EC200" s="646"/>
      <c r="ED200" s="646"/>
      <c r="EE200" s="646"/>
      <c r="EF200" s="646"/>
      <c r="EG200" s="646"/>
      <c r="EH200" s="646"/>
      <c r="EI200" s="646"/>
      <c r="EJ200" s="646"/>
      <c r="EK200" s="271"/>
      <c r="EL200" s="644"/>
      <c r="EM200" s="634"/>
      <c r="EN200" s="647"/>
      <c r="EO200" s="648"/>
      <c r="EP200" s="647"/>
      <c r="EQ200" s="647"/>
      <c r="ER200" s="647"/>
      <c r="ES200" s="139"/>
      <c r="EV200" s="647"/>
      <c r="EW200" s="647"/>
      <c r="EX200" s="647"/>
      <c r="EY200" s="647"/>
      <c r="EZ200" s="647"/>
      <c r="FA200" s="646"/>
      <c r="FB200" s="646"/>
      <c r="FC200" s="646"/>
      <c r="FD200" s="646"/>
      <c r="FE200" s="646"/>
      <c r="FF200" s="646"/>
      <c r="FG200" s="647"/>
      <c r="FH200" s="647"/>
      <c r="FI200" s="647"/>
      <c r="FJ200" s="647"/>
      <c r="FK200" s="647"/>
      <c r="FL200" s="647"/>
      <c r="FM200" s="647"/>
      <c r="FN200" s="647"/>
      <c r="FO200" s="647"/>
      <c r="FP200" s="647"/>
      <c r="FQ200" s="647"/>
      <c r="FR200" s="647"/>
      <c r="FS200" s="101"/>
      <c r="FT200" s="95"/>
      <c r="FU200" s="634"/>
      <c r="FV200" s="101"/>
      <c r="FW200" s="101"/>
      <c r="FX200" s="634"/>
      <c r="FY200" s="634"/>
      <c r="FZ200" s="634"/>
      <c r="GA200" s="634"/>
      <c r="GB200" s="634"/>
      <c r="GC200" s="634"/>
      <c r="GD200" s="634"/>
      <c r="GE200" s="634"/>
      <c r="GF200" s="634"/>
      <c r="GG200" s="634"/>
      <c r="GH200" s="634"/>
      <c r="GI200" s="634"/>
      <c r="GJ200" s="634"/>
      <c r="GK200" s="634"/>
      <c r="GL200" s="101"/>
      <c r="GM200" s="101"/>
      <c r="GN200" s="101"/>
      <c r="GO200" s="643"/>
      <c r="GP200" s="644"/>
      <c r="GQ200" s="643"/>
      <c r="GR200" s="644"/>
      <c r="GS200" s="643"/>
      <c r="GT200" s="644"/>
      <c r="GU200" s="644"/>
      <c r="GV200" s="644"/>
      <c r="GW200" s="644"/>
      <c r="GX200" s="644"/>
      <c r="GY200" s="644"/>
      <c r="GZ200" s="644"/>
      <c r="HA200" s="644"/>
    </row>
    <row r="201" spans="1:209">
      <c r="A201" s="638"/>
      <c r="B201" s="95"/>
      <c r="C201" s="95"/>
      <c r="D201" s="95"/>
      <c r="E201" s="650"/>
      <c r="F201" s="95"/>
      <c r="G201" s="98"/>
      <c r="H201" s="99"/>
      <c r="I201" s="95"/>
      <c r="J201" s="95"/>
      <c r="K201" s="95"/>
      <c r="L201" s="95"/>
      <c r="M201" s="95"/>
      <c r="N201" s="95"/>
      <c r="O201" s="95"/>
      <c r="P201" s="95"/>
      <c r="Q201" s="95"/>
      <c r="R201" s="98"/>
      <c r="S201" s="101"/>
      <c r="T201" s="644"/>
      <c r="U201" s="101"/>
      <c r="V201" s="647"/>
      <c r="W201" s="643"/>
      <c r="X201" s="644"/>
      <c r="Y201" s="101"/>
      <c r="Z201" s="644"/>
      <c r="AA201" s="101"/>
      <c r="AB201" s="644"/>
      <c r="AC201" s="101"/>
      <c r="AD201" s="646"/>
      <c r="AE201" s="271"/>
      <c r="AF201" s="646"/>
      <c r="AG201" s="646"/>
      <c r="AH201" s="646"/>
      <c r="AI201" s="646"/>
      <c r="AJ201" s="646"/>
      <c r="AK201" s="646"/>
      <c r="AL201" s="646"/>
      <c r="AM201" s="271"/>
      <c r="AN201" s="646"/>
      <c r="AO201" s="646"/>
      <c r="AP201" s="646"/>
      <c r="AQ201" s="271"/>
      <c r="AR201" s="646"/>
      <c r="AS201" s="270"/>
      <c r="AT201" s="646"/>
      <c r="AU201" s="646"/>
      <c r="AV201" s="646"/>
      <c r="AW201" s="270"/>
      <c r="AX201" s="646"/>
      <c r="AY201" s="270"/>
      <c r="AZ201" s="646"/>
      <c r="BA201" s="646"/>
      <c r="BB201" s="644"/>
      <c r="BC201" s="644"/>
      <c r="BD201" s="644"/>
      <c r="BE201" s="644"/>
      <c r="BF201" s="644"/>
      <c r="BG201" s="644"/>
      <c r="BH201" s="644"/>
      <c r="BI201" s="644"/>
      <c r="BJ201" s="644"/>
      <c r="BK201" s="644"/>
      <c r="BL201" s="644"/>
      <c r="BM201" s="95"/>
      <c r="BN201" s="644"/>
      <c r="BO201" s="95"/>
      <c r="BP201" s="644"/>
      <c r="BQ201" s="644"/>
      <c r="BR201" s="644"/>
      <c r="BS201" s="644"/>
      <c r="BT201" s="644"/>
      <c r="BU201" s="644"/>
      <c r="BV201" s="644"/>
      <c r="BW201" s="644"/>
      <c r="BX201" s="644"/>
      <c r="BY201" s="644"/>
      <c r="BZ201" s="644"/>
      <c r="CA201" s="644"/>
      <c r="CB201" s="644"/>
      <c r="CC201" s="644"/>
      <c r="CD201" s="644"/>
      <c r="CE201" s="644"/>
      <c r="CF201" s="644"/>
      <c r="CG201" s="644"/>
      <c r="CH201" s="644"/>
      <c r="CI201" s="644"/>
      <c r="CJ201" s="644"/>
      <c r="CK201" s="644"/>
      <c r="CL201" s="644"/>
      <c r="CM201" s="95"/>
      <c r="CN201" s="644"/>
      <c r="CO201" s="644"/>
      <c r="CP201" s="95"/>
      <c r="CQ201" s="98"/>
      <c r="CR201" s="95"/>
      <c r="CS201" s="95"/>
      <c r="CT201" s="95"/>
      <c r="CU201" s="108"/>
      <c r="CV201" s="109"/>
      <c r="CW201" s="644"/>
      <c r="CX201" s="496"/>
      <c r="CY201" s="637"/>
      <c r="CZ201" s="644"/>
      <c r="DA201" s="644"/>
      <c r="DB201" s="644"/>
      <c r="DC201" s="496"/>
      <c r="DD201" s="644"/>
      <c r="DE201" s="101"/>
      <c r="DF201" s="644"/>
      <c r="DG201" s="101"/>
      <c r="DH201" s="644"/>
      <c r="DI201" s="644"/>
      <c r="DJ201" s="644"/>
      <c r="DK201" s="644"/>
      <c r="DL201" s="644"/>
      <c r="DM201" s="101"/>
      <c r="DN201" s="644"/>
      <c r="DO201" s="644"/>
      <c r="DP201" s="644"/>
      <c r="DQ201" s="644"/>
      <c r="DR201" s="644"/>
      <c r="DS201" s="644"/>
      <c r="DT201" s="644"/>
      <c r="DU201" s="644"/>
      <c r="DV201" s="644"/>
      <c r="DW201" s="101"/>
      <c r="DX201" s="646"/>
      <c r="DY201" s="646"/>
      <c r="DZ201" s="646"/>
      <c r="EA201" s="646"/>
      <c r="EB201" s="646"/>
      <c r="EC201" s="646"/>
      <c r="ED201" s="646"/>
      <c r="EE201" s="646"/>
      <c r="EF201" s="646"/>
      <c r="EG201" s="646"/>
      <c r="EH201" s="646"/>
      <c r="EI201" s="646"/>
      <c r="EJ201" s="646"/>
      <c r="EK201" s="271"/>
      <c r="EL201" s="644"/>
      <c r="EM201" s="634"/>
      <c r="EN201" s="647"/>
      <c r="EO201" s="648"/>
      <c r="EP201" s="647"/>
      <c r="EQ201" s="647"/>
      <c r="ER201" s="647"/>
      <c r="ES201" s="139"/>
      <c r="EV201" s="647"/>
      <c r="EW201" s="647"/>
      <c r="EX201" s="647"/>
      <c r="EY201" s="647"/>
      <c r="EZ201" s="647"/>
      <c r="FA201" s="646"/>
      <c r="FB201" s="646"/>
      <c r="FC201" s="646"/>
      <c r="FD201" s="646"/>
      <c r="FE201" s="646"/>
      <c r="FF201" s="646"/>
      <c r="FG201" s="647"/>
      <c r="FH201" s="647"/>
      <c r="FI201" s="647"/>
      <c r="FJ201" s="647"/>
      <c r="FK201" s="647"/>
      <c r="FL201" s="647"/>
      <c r="FM201" s="647"/>
      <c r="FN201" s="647"/>
      <c r="FO201" s="647"/>
      <c r="FP201" s="647"/>
      <c r="FQ201" s="647"/>
      <c r="FR201" s="647"/>
      <c r="FS201" s="101"/>
      <c r="FT201" s="95"/>
      <c r="FU201" s="634"/>
      <c r="FV201" s="101"/>
      <c r="FW201" s="101"/>
      <c r="FX201" s="634"/>
      <c r="FY201" s="634"/>
      <c r="FZ201" s="634"/>
      <c r="GA201" s="634"/>
      <c r="GB201" s="634"/>
      <c r="GC201" s="634"/>
      <c r="GD201" s="634"/>
      <c r="GE201" s="634"/>
      <c r="GF201" s="634"/>
      <c r="GG201" s="634"/>
      <c r="GH201" s="634"/>
      <c r="GI201" s="634"/>
      <c r="GJ201" s="634"/>
      <c r="GK201" s="634"/>
      <c r="GL201" s="101"/>
      <c r="GM201" s="101"/>
      <c r="GN201" s="101"/>
      <c r="GO201" s="643"/>
      <c r="GP201" s="644"/>
      <c r="GQ201" s="643"/>
      <c r="GR201" s="644"/>
      <c r="GS201" s="643"/>
      <c r="GT201" s="644"/>
      <c r="GU201" s="644"/>
      <c r="GV201" s="644"/>
      <c r="GW201" s="644"/>
      <c r="GX201" s="644"/>
      <c r="GY201" s="644"/>
      <c r="GZ201" s="644"/>
      <c r="HA201" s="644"/>
    </row>
    <row r="202" spans="1:209">
      <c r="A202" s="638"/>
      <c r="B202" s="95"/>
      <c r="C202" s="95"/>
      <c r="D202" s="95"/>
      <c r="E202" s="650"/>
      <c r="F202" s="95"/>
      <c r="G202" s="98"/>
      <c r="H202" s="99"/>
      <c r="I202" s="95"/>
      <c r="J202" s="95"/>
      <c r="K202" s="95"/>
      <c r="L202" s="95"/>
      <c r="M202" s="95"/>
      <c r="N202" s="95"/>
      <c r="O202" s="95"/>
      <c r="P202" s="95"/>
      <c r="Q202" s="95"/>
      <c r="R202" s="98"/>
      <c r="S202" s="101"/>
      <c r="T202" s="644"/>
      <c r="U202" s="101"/>
      <c r="V202" s="647"/>
      <c r="W202" s="643"/>
      <c r="X202" s="644"/>
      <c r="Y202" s="101"/>
      <c r="Z202" s="644"/>
      <c r="AA202" s="101"/>
      <c r="AB202" s="644"/>
      <c r="AC202" s="101"/>
      <c r="AD202" s="646"/>
      <c r="AE202" s="271"/>
      <c r="AF202" s="646"/>
      <c r="AG202" s="646"/>
      <c r="AH202" s="646"/>
      <c r="AI202" s="646"/>
      <c r="AJ202" s="646"/>
      <c r="AK202" s="646"/>
      <c r="AL202" s="646"/>
      <c r="AM202" s="271"/>
      <c r="AN202" s="646"/>
      <c r="AO202" s="646"/>
      <c r="AP202" s="646"/>
      <c r="AQ202" s="271"/>
      <c r="AR202" s="646"/>
      <c r="AS202" s="270"/>
      <c r="AT202" s="646"/>
      <c r="AU202" s="646"/>
      <c r="AV202" s="646"/>
      <c r="AW202" s="270"/>
      <c r="AX202" s="646"/>
      <c r="AY202" s="270"/>
      <c r="AZ202" s="646"/>
      <c r="BA202" s="646"/>
      <c r="BB202" s="644"/>
      <c r="BC202" s="644"/>
      <c r="BD202" s="644"/>
      <c r="BE202" s="644"/>
      <c r="BF202" s="644"/>
      <c r="BG202" s="644"/>
      <c r="BH202" s="644"/>
      <c r="BI202" s="644"/>
      <c r="BJ202" s="644"/>
      <c r="BK202" s="644"/>
      <c r="BL202" s="644"/>
      <c r="BM202" s="95"/>
      <c r="BN202" s="644"/>
      <c r="BO202" s="95"/>
      <c r="BP202" s="644"/>
      <c r="BQ202" s="644"/>
      <c r="BR202" s="644"/>
      <c r="BS202" s="644"/>
      <c r="BT202" s="644"/>
      <c r="BU202" s="644"/>
      <c r="BV202" s="644"/>
      <c r="BW202" s="644"/>
      <c r="BX202" s="644"/>
      <c r="BY202" s="644"/>
      <c r="BZ202" s="644"/>
      <c r="CA202" s="644"/>
      <c r="CB202" s="644"/>
      <c r="CC202" s="644"/>
      <c r="CD202" s="644"/>
      <c r="CE202" s="644"/>
      <c r="CF202" s="644"/>
      <c r="CG202" s="644"/>
      <c r="CH202" s="644"/>
      <c r="CI202" s="644"/>
      <c r="CJ202" s="644"/>
      <c r="CK202" s="644"/>
      <c r="CL202" s="644"/>
      <c r="CM202" s="95"/>
      <c r="CN202" s="644"/>
      <c r="CO202" s="644"/>
      <c r="CP202" s="95"/>
      <c r="CQ202" s="98"/>
      <c r="CR202" s="95"/>
      <c r="CS202" s="95"/>
      <c r="CT202" s="95"/>
      <c r="CU202" s="108"/>
      <c r="CV202" s="109"/>
      <c r="CW202" s="644"/>
      <c r="CX202" s="496"/>
      <c r="CY202" s="637"/>
      <c r="CZ202" s="644"/>
      <c r="DA202" s="644"/>
      <c r="DB202" s="644"/>
      <c r="DC202" s="496"/>
      <c r="DD202" s="644"/>
      <c r="DE202" s="101"/>
      <c r="DF202" s="644"/>
      <c r="DG202" s="101"/>
      <c r="DH202" s="644"/>
      <c r="DI202" s="644"/>
      <c r="DJ202" s="644"/>
      <c r="DK202" s="644"/>
      <c r="DL202" s="644"/>
      <c r="DM202" s="101"/>
      <c r="DN202" s="644"/>
      <c r="DO202" s="644"/>
      <c r="DP202" s="644"/>
      <c r="DQ202" s="644"/>
      <c r="DR202" s="644"/>
      <c r="DS202" s="644"/>
      <c r="DT202" s="644"/>
      <c r="DU202" s="644"/>
      <c r="DV202" s="644"/>
      <c r="DW202" s="101"/>
      <c r="DX202" s="646"/>
      <c r="DY202" s="646"/>
      <c r="DZ202" s="646"/>
      <c r="EA202" s="646"/>
      <c r="EB202" s="646"/>
      <c r="EC202" s="646"/>
      <c r="ED202" s="646"/>
      <c r="EE202" s="646"/>
      <c r="EF202" s="646"/>
      <c r="EG202" s="646"/>
      <c r="EH202" s="646"/>
      <c r="EI202" s="646"/>
      <c r="EJ202" s="646"/>
      <c r="EK202" s="271"/>
      <c r="EL202" s="644"/>
      <c r="EM202" s="634"/>
      <c r="EN202" s="647"/>
      <c r="EO202" s="648"/>
      <c r="EP202" s="647"/>
      <c r="EQ202" s="647"/>
      <c r="ER202" s="647"/>
      <c r="ES202" s="139"/>
      <c r="EV202" s="647"/>
      <c r="EW202" s="647"/>
      <c r="EX202" s="647"/>
      <c r="EY202" s="647"/>
      <c r="EZ202" s="647"/>
      <c r="FA202" s="646"/>
      <c r="FB202" s="646"/>
      <c r="FC202" s="646"/>
      <c r="FD202" s="646"/>
      <c r="FE202" s="646"/>
      <c r="FF202" s="646"/>
      <c r="FG202" s="647"/>
      <c r="FH202" s="647"/>
      <c r="FI202" s="647"/>
      <c r="FJ202" s="647"/>
      <c r="FK202" s="647"/>
      <c r="FL202" s="647"/>
      <c r="FM202" s="647"/>
      <c r="FN202" s="647"/>
      <c r="FO202" s="647"/>
      <c r="FP202" s="647"/>
      <c r="FQ202" s="647"/>
      <c r="FR202" s="647"/>
      <c r="FS202" s="101"/>
      <c r="FT202" s="95"/>
      <c r="FU202" s="634"/>
      <c r="FV202" s="101"/>
      <c r="FW202" s="101"/>
      <c r="FX202" s="634"/>
      <c r="FY202" s="634"/>
      <c r="FZ202" s="634"/>
      <c r="GA202" s="634"/>
      <c r="GB202" s="634"/>
      <c r="GC202" s="634"/>
      <c r="GD202" s="634"/>
      <c r="GE202" s="634"/>
      <c r="GF202" s="634"/>
      <c r="GG202" s="634"/>
      <c r="GH202" s="634"/>
      <c r="GI202" s="634"/>
      <c r="GJ202" s="634"/>
      <c r="GK202" s="634"/>
      <c r="GL202" s="101"/>
      <c r="GM202" s="101"/>
      <c r="GN202" s="101"/>
      <c r="GO202" s="643"/>
      <c r="GP202" s="644"/>
      <c r="GQ202" s="643"/>
      <c r="GR202" s="644"/>
      <c r="GS202" s="643"/>
      <c r="GT202" s="644"/>
      <c r="GU202" s="644"/>
      <c r="GV202" s="644"/>
      <c r="GW202" s="644"/>
      <c r="GX202" s="644"/>
      <c r="GY202" s="644"/>
      <c r="GZ202" s="644"/>
      <c r="HA202" s="644"/>
    </row>
    <row r="203" spans="1:209">
      <c r="A203" s="638"/>
      <c r="B203" s="95"/>
      <c r="C203" s="95"/>
      <c r="D203" s="95"/>
      <c r="E203" s="650"/>
      <c r="F203" s="95"/>
      <c r="G203" s="98"/>
      <c r="H203" s="99"/>
      <c r="I203" s="95"/>
      <c r="J203" s="95"/>
      <c r="K203" s="95"/>
      <c r="L203" s="95"/>
      <c r="M203" s="95"/>
      <c r="N203" s="95"/>
      <c r="O203" s="95"/>
      <c r="P203" s="95"/>
      <c r="Q203" s="95"/>
      <c r="R203" s="98"/>
      <c r="S203" s="101"/>
      <c r="T203" s="644"/>
      <c r="U203" s="101"/>
      <c r="V203" s="647"/>
      <c r="W203" s="643"/>
      <c r="X203" s="644"/>
      <c r="Y203" s="101"/>
      <c r="Z203" s="644"/>
      <c r="AA203" s="101"/>
      <c r="AB203" s="644"/>
      <c r="AC203" s="101"/>
      <c r="AD203" s="646"/>
      <c r="AE203" s="271"/>
      <c r="AF203" s="646"/>
      <c r="AG203" s="646"/>
      <c r="AH203" s="646"/>
      <c r="AI203" s="646"/>
      <c r="AJ203" s="646"/>
      <c r="AK203" s="646"/>
      <c r="AL203" s="646"/>
      <c r="AM203" s="271"/>
      <c r="AN203" s="646"/>
      <c r="AO203" s="646"/>
      <c r="AP203" s="646"/>
      <c r="AQ203" s="271"/>
      <c r="AR203" s="646"/>
      <c r="AS203" s="270"/>
      <c r="AT203" s="646"/>
      <c r="AU203" s="646"/>
      <c r="AV203" s="646"/>
      <c r="AW203" s="270"/>
      <c r="AX203" s="646"/>
      <c r="AY203" s="270"/>
      <c r="AZ203" s="646"/>
      <c r="BA203" s="646"/>
      <c r="BB203" s="644"/>
      <c r="BC203" s="644"/>
      <c r="BD203" s="644"/>
      <c r="BE203" s="644"/>
      <c r="BF203" s="644"/>
      <c r="BG203" s="644"/>
      <c r="BH203" s="644"/>
      <c r="BI203" s="644"/>
      <c r="BJ203" s="644"/>
      <c r="BK203" s="644"/>
      <c r="BL203" s="644"/>
      <c r="BM203" s="95"/>
      <c r="BN203" s="644"/>
      <c r="BO203" s="95"/>
      <c r="BP203" s="644"/>
      <c r="BQ203" s="644"/>
      <c r="BR203" s="644"/>
      <c r="BS203" s="644"/>
      <c r="BT203" s="644"/>
      <c r="BU203" s="644"/>
      <c r="BV203" s="644"/>
      <c r="BW203" s="644"/>
      <c r="BX203" s="644"/>
      <c r="BY203" s="644"/>
      <c r="BZ203" s="644"/>
      <c r="CA203" s="644"/>
      <c r="CB203" s="644"/>
      <c r="CC203" s="644"/>
      <c r="CD203" s="644"/>
      <c r="CE203" s="644"/>
      <c r="CF203" s="644"/>
      <c r="CG203" s="644"/>
      <c r="CH203" s="644"/>
      <c r="CI203" s="644"/>
      <c r="CJ203" s="644"/>
      <c r="CK203" s="644"/>
      <c r="CL203" s="644"/>
      <c r="CM203" s="95"/>
      <c r="CN203" s="644"/>
      <c r="CO203" s="644"/>
      <c r="CP203" s="95"/>
      <c r="CQ203" s="98"/>
      <c r="CR203" s="95"/>
      <c r="CS203" s="95"/>
      <c r="CT203" s="95"/>
      <c r="CU203" s="108"/>
      <c r="CV203" s="109"/>
      <c r="CW203" s="644"/>
      <c r="CX203" s="496"/>
      <c r="CY203" s="637"/>
      <c r="CZ203" s="644"/>
      <c r="DA203" s="644"/>
      <c r="DB203" s="644"/>
      <c r="DC203" s="496"/>
      <c r="DD203" s="644"/>
      <c r="DE203" s="101"/>
      <c r="DF203" s="644"/>
      <c r="DG203" s="101"/>
      <c r="DH203" s="644"/>
      <c r="DI203" s="644"/>
      <c r="DJ203" s="644"/>
      <c r="DK203" s="644"/>
      <c r="DL203" s="644"/>
      <c r="DM203" s="101"/>
      <c r="DN203" s="644"/>
      <c r="DO203" s="644"/>
      <c r="DP203" s="644"/>
      <c r="DQ203" s="644"/>
      <c r="DR203" s="644"/>
      <c r="DS203" s="644"/>
      <c r="DT203" s="644"/>
      <c r="DU203" s="644"/>
      <c r="DV203" s="644"/>
      <c r="DW203" s="101"/>
      <c r="DX203" s="646"/>
      <c r="DY203" s="646"/>
      <c r="DZ203" s="646"/>
      <c r="EA203" s="646"/>
      <c r="EB203" s="646"/>
      <c r="EC203" s="646"/>
      <c r="ED203" s="646"/>
      <c r="EE203" s="646"/>
      <c r="EF203" s="646"/>
      <c r="EG203" s="646"/>
      <c r="EH203" s="646"/>
      <c r="EI203" s="646"/>
      <c r="EJ203" s="646"/>
      <c r="EK203" s="271"/>
      <c r="EL203" s="644"/>
      <c r="EM203" s="634"/>
      <c r="EN203" s="647"/>
      <c r="EO203" s="648"/>
      <c r="EP203" s="647"/>
      <c r="EQ203" s="647"/>
      <c r="ER203" s="647"/>
      <c r="ES203" s="139"/>
      <c r="EV203" s="647"/>
      <c r="EW203" s="647"/>
      <c r="EX203" s="647"/>
      <c r="EY203" s="647"/>
      <c r="EZ203" s="647"/>
      <c r="FA203" s="646"/>
      <c r="FB203" s="646"/>
      <c r="FC203" s="646"/>
      <c r="FD203" s="646"/>
      <c r="FE203" s="646"/>
      <c r="FF203" s="646"/>
      <c r="FG203" s="647"/>
      <c r="FH203" s="647"/>
      <c r="FI203" s="647"/>
      <c r="FJ203" s="647"/>
      <c r="FK203" s="647"/>
      <c r="FL203" s="647"/>
      <c r="FM203" s="647"/>
      <c r="FN203" s="647"/>
      <c r="FO203" s="647"/>
      <c r="FP203" s="647"/>
      <c r="FQ203" s="647"/>
      <c r="FR203" s="647"/>
      <c r="FS203" s="101"/>
      <c r="FT203" s="95"/>
      <c r="FU203" s="634"/>
      <c r="FV203" s="101"/>
      <c r="FW203" s="101"/>
      <c r="FX203" s="634"/>
      <c r="FY203" s="634"/>
      <c r="FZ203" s="634"/>
      <c r="GA203" s="634"/>
      <c r="GB203" s="634"/>
      <c r="GC203" s="634"/>
      <c r="GD203" s="634"/>
      <c r="GE203" s="634"/>
      <c r="GF203" s="634"/>
      <c r="GG203" s="634"/>
      <c r="GH203" s="634"/>
      <c r="GI203" s="634"/>
      <c r="GJ203" s="634"/>
      <c r="GK203" s="634"/>
      <c r="GL203" s="101"/>
      <c r="GM203" s="101"/>
      <c r="GN203" s="101"/>
      <c r="GO203" s="643"/>
      <c r="GP203" s="644"/>
      <c r="GQ203" s="643"/>
      <c r="GR203" s="644"/>
      <c r="GS203" s="643"/>
      <c r="GT203" s="644"/>
      <c r="GU203" s="644"/>
      <c r="GV203" s="644"/>
      <c r="GW203" s="644"/>
      <c r="GX203" s="644"/>
      <c r="GY203" s="644"/>
      <c r="GZ203" s="644"/>
      <c r="HA203" s="644"/>
    </row>
    <row r="204" spans="1:209">
      <c r="A204" s="638"/>
      <c r="B204" s="95"/>
      <c r="C204" s="95"/>
      <c r="D204" s="95"/>
      <c r="E204" s="650"/>
      <c r="F204" s="95"/>
      <c r="G204" s="98"/>
      <c r="H204" s="99"/>
      <c r="I204" s="95"/>
      <c r="J204" s="95"/>
      <c r="K204" s="95"/>
      <c r="L204" s="95"/>
      <c r="M204" s="95"/>
      <c r="N204" s="95"/>
      <c r="O204" s="95"/>
      <c r="P204" s="95"/>
      <c r="Q204" s="95"/>
      <c r="R204" s="98"/>
      <c r="S204" s="101"/>
      <c r="T204" s="644"/>
      <c r="U204" s="101"/>
      <c r="V204" s="647"/>
      <c r="W204" s="643"/>
      <c r="X204" s="644"/>
      <c r="Y204" s="101"/>
      <c r="Z204" s="644"/>
      <c r="AA204" s="101"/>
      <c r="AB204" s="644"/>
      <c r="AC204" s="101"/>
      <c r="AD204" s="646"/>
      <c r="AE204" s="271"/>
      <c r="AF204" s="646"/>
      <c r="AG204" s="646"/>
      <c r="AH204" s="646"/>
      <c r="AI204" s="646"/>
      <c r="AJ204" s="646"/>
      <c r="AK204" s="646"/>
      <c r="AL204" s="646"/>
      <c r="AM204" s="271"/>
      <c r="AN204" s="646"/>
      <c r="AO204" s="646"/>
      <c r="AP204" s="646"/>
      <c r="AQ204" s="271"/>
      <c r="AR204" s="646"/>
      <c r="AS204" s="270"/>
      <c r="AT204" s="646"/>
      <c r="AU204" s="646"/>
      <c r="AV204" s="646"/>
      <c r="AW204" s="270"/>
      <c r="AX204" s="646"/>
      <c r="AY204" s="270"/>
      <c r="AZ204" s="646"/>
      <c r="BA204" s="646"/>
      <c r="BB204" s="644"/>
      <c r="BC204" s="644"/>
      <c r="BD204" s="644"/>
      <c r="BE204" s="644"/>
      <c r="BF204" s="644"/>
      <c r="BG204" s="644"/>
      <c r="BH204" s="644"/>
      <c r="BI204" s="644"/>
      <c r="BJ204" s="644"/>
      <c r="BK204" s="644"/>
      <c r="BL204" s="644"/>
      <c r="BM204" s="95"/>
      <c r="BN204" s="644"/>
      <c r="BO204" s="95"/>
      <c r="BP204" s="644"/>
      <c r="BQ204" s="644"/>
      <c r="BR204" s="644"/>
      <c r="BS204" s="644"/>
      <c r="BT204" s="644"/>
      <c r="BU204" s="644"/>
      <c r="BV204" s="644"/>
      <c r="BW204" s="644"/>
      <c r="BX204" s="644"/>
      <c r="BY204" s="644"/>
      <c r="BZ204" s="644"/>
      <c r="CA204" s="644"/>
      <c r="CB204" s="644"/>
      <c r="CC204" s="644"/>
      <c r="CD204" s="644"/>
      <c r="CE204" s="644"/>
      <c r="CF204" s="644"/>
      <c r="CG204" s="644"/>
      <c r="CH204" s="644"/>
      <c r="CI204" s="644"/>
      <c r="CJ204" s="644"/>
      <c r="CK204" s="644"/>
      <c r="CL204" s="644"/>
      <c r="CM204" s="95"/>
      <c r="CN204" s="644"/>
      <c r="CO204" s="644"/>
      <c r="CP204" s="95"/>
      <c r="CQ204" s="98"/>
      <c r="CR204" s="95"/>
      <c r="CS204" s="95"/>
      <c r="CT204" s="95"/>
      <c r="CU204" s="108"/>
      <c r="CV204" s="109"/>
      <c r="CW204" s="644"/>
      <c r="CX204" s="496"/>
      <c r="CY204" s="637"/>
      <c r="CZ204" s="644"/>
      <c r="DA204" s="644"/>
      <c r="DB204" s="644"/>
      <c r="DC204" s="496"/>
      <c r="DD204" s="644"/>
      <c r="DE204" s="101"/>
      <c r="DF204" s="644"/>
      <c r="DG204" s="101"/>
      <c r="DH204" s="644"/>
      <c r="DI204" s="644"/>
      <c r="DJ204" s="644"/>
      <c r="DK204" s="644"/>
      <c r="DL204" s="644"/>
      <c r="DM204" s="101"/>
      <c r="DN204" s="644"/>
      <c r="DO204" s="644"/>
      <c r="DP204" s="644"/>
      <c r="DQ204" s="644"/>
      <c r="DR204" s="644"/>
      <c r="DS204" s="644"/>
      <c r="DT204" s="644"/>
      <c r="DU204" s="644"/>
      <c r="DV204" s="644"/>
      <c r="DW204" s="101"/>
      <c r="DX204" s="646"/>
      <c r="DY204" s="646"/>
      <c r="DZ204" s="646"/>
      <c r="EA204" s="646"/>
      <c r="EB204" s="646"/>
      <c r="EC204" s="646"/>
      <c r="ED204" s="646"/>
      <c r="EE204" s="646"/>
      <c r="EF204" s="646"/>
      <c r="EG204" s="646"/>
      <c r="EH204" s="646"/>
      <c r="EI204" s="646"/>
      <c r="EJ204" s="646"/>
      <c r="EK204" s="271"/>
      <c r="EL204" s="644"/>
      <c r="EM204" s="634"/>
      <c r="EN204" s="647"/>
      <c r="EO204" s="648"/>
      <c r="EP204" s="647"/>
      <c r="EQ204" s="647"/>
      <c r="ER204" s="647"/>
      <c r="ES204" s="139"/>
      <c r="EV204" s="647"/>
      <c r="EW204" s="647"/>
      <c r="EX204" s="647"/>
      <c r="EY204" s="647"/>
      <c r="EZ204" s="647"/>
      <c r="FA204" s="646"/>
      <c r="FB204" s="646"/>
      <c r="FC204" s="646"/>
      <c r="FD204" s="646"/>
      <c r="FE204" s="646"/>
      <c r="FF204" s="646"/>
      <c r="FG204" s="647"/>
      <c r="FH204" s="647"/>
      <c r="FI204" s="647"/>
      <c r="FJ204" s="647"/>
      <c r="FK204" s="647"/>
      <c r="FL204" s="647"/>
      <c r="FM204" s="647"/>
      <c r="FN204" s="647"/>
      <c r="FO204" s="647"/>
      <c r="FP204" s="647"/>
      <c r="FQ204" s="647"/>
      <c r="FR204" s="647"/>
      <c r="FS204" s="101"/>
      <c r="FT204" s="95"/>
      <c r="FU204" s="634"/>
      <c r="FV204" s="101"/>
      <c r="FW204" s="101"/>
      <c r="FX204" s="634"/>
      <c r="FY204" s="634"/>
      <c r="FZ204" s="634"/>
      <c r="GA204" s="634"/>
      <c r="GB204" s="634"/>
      <c r="GC204" s="634"/>
      <c r="GD204" s="634"/>
      <c r="GE204" s="634"/>
      <c r="GF204" s="634"/>
      <c r="GG204" s="634"/>
      <c r="GH204" s="634"/>
      <c r="GI204" s="634"/>
      <c r="GJ204" s="634"/>
      <c r="GK204" s="634"/>
      <c r="GL204" s="101"/>
      <c r="GM204" s="101"/>
      <c r="GN204" s="101"/>
      <c r="GO204" s="643"/>
      <c r="GP204" s="644"/>
      <c r="GQ204" s="643"/>
      <c r="GR204" s="644"/>
      <c r="GS204" s="643"/>
      <c r="GT204" s="644"/>
      <c r="GU204" s="644"/>
      <c r="GV204" s="644"/>
      <c r="GW204" s="644"/>
      <c r="GX204" s="644"/>
      <c r="GY204" s="644"/>
      <c r="GZ204" s="644"/>
      <c r="HA204" s="644"/>
    </row>
    <row r="205" spans="1:209">
      <c r="A205" s="638"/>
      <c r="B205" s="95"/>
      <c r="C205" s="95"/>
      <c r="D205" s="95"/>
      <c r="E205" s="650"/>
      <c r="F205" s="95"/>
      <c r="G205" s="98"/>
      <c r="H205" s="99"/>
      <c r="I205" s="95"/>
      <c r="J205" s="95"/>
      <c r="K205" s="95"/>
      <c r="L205" s="95"/>
      <c r="M205" s="95"/>
      <c r="N205" s="95"/>
      <c r="O205" s="95"/>
      <c r="P205" s="95"/>
      <c r="Q205" s="95"/>
      <c r="R205" s="98"/>
      <c r="S205" s="101"/>
      <c r="T205" s="644"/>
      <c r="U205" s="101"/>
      <c r="V205" s="647"/>
      <c r="W205" s="643"/>
      <c r="X205" s="644"/>
      <c r="Y205" s="101"/>
      <c r="Z205" s="644"/>
      <c r="AA205" s="101"/>
      <c r="AB205" s="644"/>
      <c r="AC205" s="101"/>
      <c r="AD205" s="646"/>
      <c r="AE205" s="271"/>
      <c r="AF205" s="646"/>
      <c r="AG205" s="646"/>
      <c r="AH205" s="646"/>
      <c r="AI205" s="646"/>
      <c r="AJ205" s="646"/>
      <c r="AK205" s="646"/>
      <c r="AL205" s="646"/>
      <c r="AM205" s="271"/>
      <c r="AN205" s="646"/>
      <c r="AO205" s="646"/>
      <c r="AP205" s="646"/>
      <c r="AQ205" s="271"/>
      <c r="AR205" s="646"/>
      <c r="AS205" s="270"/>
      <c r="AT205" s="646"/>
      <c r="AU205" s="646"/>
      <c r="AV205" s="646"/>
      <c r="AW205" s="270"/>
      <c r="AX205" s="646"/>
      <c r="AY205" s="270"/>
      <c r="AZ205" s="646"/>
      <c r="BA205" s="646"/>
      <c r="BB205" s="644"/>
      <c r="BC205" s="644"/>
      <c r="BD205" s="644"/>
      <c r="BE205" s="644"/>
      <c r="BF205" s="644"/>
      <c r="BG205" s="644"/>
      <c r="BH205" s="644"/>
      <c r="BI205" s="644"/>
      <c r="BJ205" s="644"/>
      <c r="BK205" s="644"/>
      <c r="BL205" s="644"/>
      <c r="BM205" s="95"/>
      <c r="BN205" s="644"/>
      <c r="BO205" s="95"/>
      <c r="BP205" s="644"/>
      <c r="BQ205" s="644"/>
      <c r="BR205" s="644"/>
      <c r="BS205" s="644"/>
      <c r="BT205" s="644"/>
      <c r="BU205" s="644"/>
      <c r="BV205" s="644"/>
      <c r="BW205" s="644"/>
      <c r="BX205" s="644"/>
      <c r="BY205" s="644"/>
      <c r="BZ205" s="644"/>
      <c r="CA205" s="644"/>
      <c r="CB205" s="644"/>
      <c r="CC205" s="644"/>
      <c r="CD205" s="644"/>
      <c r="CE205" s="644"/>
      <c r="CF205" s="644"/>
      <c r="CG205" s="644"/>
      <c r="CH205" s="644"/>
      <c r="CI205" s="644"/>
      <c r="CJ205" s="644"/>
      <c r="CK205" s="644"/>
      <c r="CL205" s="644"/>
      <c r="CM205" s="95"/>
      <c r="CN205" s="644"/>
      <c r="CO205" s="644"/>
      <c r="CP205" s="95"/>
      <c r="CQ205" s="98"/>
      <c r="CR205" s="95"/>
      <c r="CS205" s="95"/>
      <c r="CT205" s="95"/>
      <c r="CU205" s="108"/>
      <c r="CV205" s="109"/>
      <c r="CW205" s="644"/>
      <c r="CX205" s="496"/>
      <c r="CY205" s="637"/>
      <c r="CZ205" s="644"/>
      <c r="DA205" s="644"/>
      <c r="DB205" s="644"/>
      <c r="DC205" s="496"/>
      <c r="DD205" s="644"/>
      <c r="DE205" s="101"/>
      <c r="DF205" s="644"/>
      <c r="DG205" s="101"/>
      <c r="DH205" s="644"/>
      <c r="DI205" s="644"/>
      <c r="DJ205" s="644"/>
      <c r="DK205" s="644"/>
      <c r="DL205" s="644"/>
      <c r="DM205" s="101"/>
      <c r="DN205" s="644"/>
      <c r="DO205" s="644"/>
      <c r="DP205" s="644"/>
      <c r="DQ205" s="644"/>
      <c r="DR205" s="644"/>
      <c r="DS205" s="644"/>
      <c r="DT205" s="644"/>
      <c r="DU205" s="644"/>
      <c r="DV205" s="644"/>
      <c r="DW205" s="101"/>
      <c r="DX205" s="646"/>
      <c r="DY205" s="646"/>
      <c r="DZ205" s="646"/>
      <c r="EA205" s="646"/>
      <c r="EB205" s="646"/>
      <c r="EC205" s="646"/>
      <c r="ED205" s="646"/>
      <c r="EE205" s="646"/>
      <c r="EF205" s="646"/>
      <c r="EG205" s="646"/>
      <c r="EH205" s="646"/>
      <c r="EI205" s="646"/>
      <c r="EJ205" s="646"/>
      <c r="EK205" s="271"/>
      <c r="EL205" s="644"/>
      <c r="EM205" s="634"/>
      <c r="EN205" s="647"/>
      <c r="EO205" s="648"/>
      <c r="EP205" s="647"/>
      <c r="EQ205" s="647"/>
      <c r="ER205" s="647"/>
      <c r="ES205" s="139"/>
      <c r="EV205" s="647"/>
      <c r="EW205" s="647"/>
      <c r="EX205" s="647"/>
      <c r="EY205" s="647"/>
      <c r="EZ205" s="647"/>
      <c r="FA205" s="646"/>
      <c r="FB205" s="646"/>
      <c r="FC205" s="646"/>
      <c r="FD205" s="646"/>
      <c r="FE205" s="646"/>
      <c r="FF205" s="646"/>
      <c r="FG205" s="647"/>
      <c r="FH205" s="647"/>
      <c r="FI205" s="647"/>
      <c r="FJ205" s="647"/>
      <c r="FK205" s="647"/>
      <c r="FL205" s="647"/>
      <c r="FM205" s="647"/>
      <c r="FN205" s="647"/>
      <c r="FO205" s="647"/>
      <c r="FP205" s="647"/>
      <c r="FQ205" s="647"/>
      <c r="FR205" s="647"/>
      <c r="FS205" s="101"/>
      <c r="FT205" s="95"/>
      <c r="FU205" s="634"/>
      <c r="FV205" s="101"/>
      <c r="FW205" s="101"/>
      <c r="FX205" s="634"/>
      <c r="FY205" s="634"/>
      <c r="FZ205" s="634"/>
      <c r="GA205" s="634"/>
      <c r="GB205" s="634"/>
      <c r="GC205" s="634"/>
      <c r="GD205" s="634"/>
      <c r="GE205" s="634"/>
      <c r="GF205" s="634"/>
      <c r="GG205" s="634"/>
      <c r="GH205" s="634"/>
      <c r="GI205" s="634"/>
      <c r="GJ205" s="634"/>
      <c r="GK205" s="634"/>
      <c r="GL205" s="101"/>
      <c r="GM205" s="101"/>
      <c r="GN205" s="101"/>
      <c r="GO205" s="643"/>
      <c r="GP205" s="644"/>
      <c r="GQ205" s="643"/>
      <c r="GR205" s="644"/>
      <c r="GS205" s="643"/>
      <c r="GT205" s="644"/>
      <c r="GU205" s="644"/>
      <c r="GV205" s="644"/>
      <c r="GW205" s="644"/>
      <c r="GX205" s="644"/>
      <c r="GY205" s="644"/>
      <c r="GZ205" s="644"/>
      <c r="HA205" s="644"/>
    </row>
    <row r="206" spans="1:209">
      <c r="A206" s="638"/>
      <c r="B206" s="95"/>
      <c r="C206" s="95"/>
      <c r="D206" s="95"/>
      <c r="E206" s="650"/>
      <c r="F206" s="95"/>
      <c r="G206" s="98"/>
      <c r="H206" s="99"/>
      <c r="I206" s="95"/>
      <c r="J206" s="95"/>
      <c r="K206" s="95"/>
      <c r="L206" s="95"/>
      <c r="M206" s="95"/>
      <c r="N206" s="95"/>
      <c r="O206" s="95"/>
      <c r="P206" s="95"/>
      <c r="Q206" s="95"/>
      <c r="R206" s="98"/>
      <c r="S206" s="101"/>
      <c r="T206" s="644"/>
      <c r="U206" s="101"/>
      <c r="V206" s="647"/>
      <c r="W206" s="643"/>
      <c r="X206" s="644"/>
      <c r="Y206" s="101"/>
      <c r="Z206" s="644"/>
      <c r="AA206" s="101"/>
      <c r="AB206" s="644"/>
      <c r="AC206" s="101"/>
      <c r="AD206" s="646"/>
      <c r="AE206" s="271"/>
      <c r="AF206" s="646"/>
      <c r="AG206" s="646"/>
      <c r="AH206" s="646"/>
      <c r="AI206" s="646"/>
      <c r="AJ206" s="646"/>
      <c r="AK206" s="646"/>
      <c r="AL206" s="646"/>
      <c r="AM206" s="271"/>
      <c r="AN206" s="646"/>
      <c r="AO206" s="646"/>
      <c r="AP206" s="646"/>
      <c r="AQ206" s="271"/>
      <c r="AR206" s="646"/>
      <c r="AS206" s="270"/>
      <c r="AT206" s="646"/>
      <c r="AU206" s="646"/>
      <c r="AV206" s="646"/>
      <c r="AW206" s="270"/>
      <c r="AX206" s="646"/>
      <c r="AY206" s="270"/>
      <c r="AZ206" s="646"/>
      <c r="BA206" s="646"/>
      <c r="BB206" s="644"/>
      <c r="BC206" s="644"/>
      <c r="BD206" s="644"/>
      <c r="BE206" s="644"/>
      <c r="BF206" s="644"/>
      <c r="BG206" s="644"/>
      <c r="BH206" s="644"/>
      <c r="BI206" s="644"/>
      <c r="BJ206" s="644"/>
      <c r="BK206" s="644"/>
      <c r="BL206" s="644"/>
      <c r="BM206" s="95"/>
      <c r="BN206" s="644"/>
      <c r="BO206" s="95"/>
      <c r="BP206" s="644"/>
      <c r="BQ206" s="644"/>
      <c r="BR206" s="644"/>
      <c r="BS206" s="644"/>
      <c r="BT206" s="644"/>
      <c r="BU206" s="644"/>
      <c r="BV206" s="644"/>
      <c r="BW206" s="644"/>
      <c r="BX206" s="644"/>
      <c r="BY206" s="644"/>
      <c r="BZ206" s="644"/>
      <c r="CA206" s="644"/>
      <c r="CB206" s="644"/>
      <c r="CC206" s="644"/>
      <c r="CD206" s="644"/>
      <c r="CE206" s="644"/>
      <c r="CF206" s="644"/>
      <c r="CG206" s="644"/>
      <c r="CH206" s="644"/>
      <c r="CI206" s="644"/>
      <c r="CJ206" s="644"/>
      <c r="CK206" s="644"/>
      <c r="CL206" s="644"/>
      <c r="CM206" s="95"/>
      <c r="CN206" s="644"/>
      <c r="CO206" s="644"/>
      <c r="CP206" s="95"/>
      <c r="CQ206" s="98"/>
      <c r="CR206" s="95"/>
      <c r="CS206" s="95"/>
      <c r="CT206" s="95"/>
      <c r="CU206" s="108"/>
      <c r="CV206" s="109"/>
      <c r="CW206" s="644"/>
      <c r="CX206" s="496"/>
      <c r="CY206" s="637"/>
      <c r="CZ206" s="644"/>
      <c r="DA206" s="644"/>
      <c r="DB206" s="644"/>
      <c r="DC206" s="496"/>
      <c r="DD206" s="644"/>
      <c r="DE206" s="101"/>
      <c r="DF206" s="644"/>
      <c r="DG206" s="101"/>
      <c r="DH206" s="644"/>
      <c r="DI206" s="644"/>
      <c r="DJ206" s="644"/>
      <c r="DK206" s="644"/>
      <c r="DL206" s="644"/>
      <c r="DM206" s="101"/>
      <c r="DN206" s="644"/>
      <c r="DO206" s="644"/>
      <c r="DP206" s="644"/>
      <c r="DQ206" s="644"/>
      <c r="DR206" s="644"/>
      <c r="DS206" s="644"/>
      <c r="DT206" s="644"/>
      <c r="DU206" s="644"/>
      <c r="DV206" s="644"/>
      <c r="DW206" s="101"/>
      <c r="DX206" s="646"/>
      <c r="DY206" s="646"/>
      <c r="DZ206" s="646"/>
      <c r="EA206" s="646"/>
      <c r="EB206" s="646"/>
      <c r="EC206" s="646"/>
      <c r="ED206" s="646"/>
      <c r="EE206" s="646"/>
      <c r="EF206" s="646"/>
      <c r="EG206" s="646"/>
      <c r="EH206" s="646"/>
      <c r="EI206" s="646"/>
      <c r="EJ206" s="646"/>
      <c r="EK206" s="271"/>
      <c r="EL206" s="644"/>
      <c r="EM206" s="634"/>
      <c r="EN206" s="647"/>
      <c r="EO206" s="648"/>
      <c r="EP206" s="647"/>
      <c r="EQ206" s="647"/>
      <c r="ER206" s="647"/>
      <c r="ES206" s="139"/>
      <c r="EV206" s="647"/>
      <c r="EW206" s="647"/>
      <c r="EX206" s="647"/>
      <c r="EY206" s="647"/>
      <c r="EZ206" s="647"/>
      <c r="FA206" s="646"/>
      <c r="FB206" s="646"/>
      <c r="FC206" s="646"/>
      <c r="FD206" s="646"/>
      <c r="FE206" s="646"/>
      <c r="FF206" s="646"/>
      <c r="FG206" s="647"/>
      <c r="FH206" s="647"/>
      <c r="FI206" s="647"/>
      <c r="FJ206" s="647"/>
      <c r="FK206" s="647"/>
      <c r="FL206" s="647"/>
      <c r="FM206" s="647"/>
      <c r="FN206" s="647"/>
      <c r="FO206" s="647"/>
      <c r="FP206" s="647"/>
      <c r="FQ206" s="647"/>
      <c r="FR206" s="647"/>
      <c r="FS206" s="101"/>
      <c r="FT206" s="95"/>
      <c r="FU206" s="634"/>
      <c r="FV206" s="101"/>
      <c r="FW206" s="101"/>
      <c r="FX206" s="634"/>
      <c r="FY206" s="634"/>
      <c r="FZ206" s="634"/>
      <c r="GA206" s="634"/>
      <c r="GB206" s="634"/>
      <c r="GC206" s="634"/>
      <c r="GD206" s="634"/>
      <c r="GE206" s="634"/>
      <c r="GF206" s="634"/>
      <c r="GG206" s="634"/>
      <c r="GH206" s="634"/>
      <c r="GI206" s="634"/>
      <c r="GJ206" s="634"/>
      <c r="GK206" s="634"/>
      <c r="GL206" s="101"/>
      <c r="GM206" s="101"/>
      <c r="GN206" s="101"/>
      <c r="GO206" s="643"/>
      <c r="GP206" s="644"/>
      <c r="GQ206" s="643"/>
      <c r="GR206" s="644"/>
      <c r="GS206" s="643"/>
      <c r="GT206" s="644"/>
      <c r="GU206" s="644"/>
      <c r="GV206" s="644"/>
      <c r="GW206" s="644"/>
      <c r="GX206" s="644"/>
      <c r="GY206" s="644"/>
      <c r="GZ206" s="644"/>
      <c r="HA206" s="644"/>
    </row>
    <row r="207" spans="1:209">
      <c r="A207" s="638"/>
      <c r="B207" s="95"/>
      <c r="C207" s="95"/>
      <c r="D207" s="95"/>
      <c r="E207" s="650"/>
      <c r="F207" s="95"/>
      <c r="G207" s="98"/>
      <c r="H207" s="99"/>
      <c r="I207" s="95"/>
      <c r="J207" s="95"/>
      <c r="K207" s="95"/>
      <c r="L207" s="95"/>
      <c r="M207" s="95"/>
      <c r="N207" s="95"/>
      <c r="O207" s="95"/>
      <c r="P207" s="95"/>
      <c r="Q207" s="95"/>
      <c r="R207" s="98"/>
      <c r="S207" s="101"/>
      <c r="T207" s="644"/>
      <c r="U207" s="101"/>
      <c r="V207" s="647"/>
      <c r="W207" s="643"/>
      <c r="X207" s="644"/>
      <c r="Y207" s="101"/>
      <c r="Z207" s="644"/>
      <c r="AA207" s="101"/>
      <c r="AB207" s="644"/>
      <c r="AC207" s="101"/>
      <c r="AD207" s="646"/>
      <c r="AE207" s="271"/>
      <c r="AF207" s="646"/>
      <c r="AG207" s="646"/>
      <c r="AH207" s="646"/>
      <c r="AI207" s="646"/>
      <c r="AJ207" s="646"/>
      <c r="AK207" s="646"/>
      <c r="AL207" s="646"/>
      <c r="AM207" s="271"/>
      <c r="AN207" s="646"/>
      <c r="AO207" s="646"/>
      <c r="AP207" s="646"/>
      <c r="AQ207" s="271"/>
      <c r="AR207" s="646"/>
      <c r="AS207" s="270"/>
      <c r="AT207" s="646"/>
      <c r="AU207" s="646"/>
      <c r="AV207" s="646"/>
      <c r="AW207" s="270"/>
      <c r="AX207" s="646"/>
      <c r="AY207" s="270"/>
      <c r="AZ207" s="646"/>
      <c r="BA207" s="646"/>
      <c r="BB207" s="644"/>
      <c r="BC207" s="644"/>
      <c r="BD207" s="644"/>
      <c r="BE207" s="644"/>
      <c r="BF207" s="644"/>
      <c r="BG207" s="644"/>
      <c r="BH207" s="644"/>
      <c r="BI207" s="644"/>
      <c r="BJ207" s="644"/>
      <c r="BK207" s="644"/>
      <c r="BL207" s="644"/>
      <c r="BM207" s="95"/>
      <c r="BN207" s="644"/>
      <c r="BO207" s="95"/>
      <c r="BP207" s="644"/>
      <c r="BQ207" s="644"/>
      <c r="BR207" s="644"/>
      <c r="BS207" s="644"/>
      <c r="BT207" s="644"/>
      <c r="BU207" s="644"/>
      <c r="BV207" s="644"/>
      <c r="BW207" s="644"/>
      <c r="BX207" s="644"/>
      <c r="BY207" s="644"/>
      <c r="BZ207" s="644"/>
      <c r="CA207" s="644"/>
      <c r="CB207" s="644"/>
      <c r="CC207" s="644"/>
      <c r="CD207" s="644"/>
      <c r="CE207" s="644"/>
      <c r="CF207" s="644"/>
      <c r="CG207" s="644"/>
      <c r="CH207" s="644"/>
      <c r="CI207" s="644"/>
      <c r="CJ207" s="644"/>
      <c r="CK207" s="644"/>
      <c r="CL207" s="644"/>
      <c r="CM207" s="95"/>
      <c r="CN207" s="644"/>
      <c r="CO207" s="644"/>
      <c r="CP207" s="95"/>
      <c r="CQ207" s="98"/>
      <c r="CR207" s="95"/>
      <c r="CS207" s="95"/>
      <c r="CT207" s="95"/>
      <c r="CU207" s="108"/>
      <c r="CV207" s="109"/>
      <c r="CW207" s="644"/>
      <c r="CX207" s="496"/>
      <c r="CY207" s="637"/>
      <c r="CZ207" s="644"/>
      <c r="DA207" s="644"/>
      <c r="DB207" s="644"/>
      <c r="DC207" s="496"/>
      <c r="DD207" s="644"/>
      <c r="DE207" s="101"/>
      <c r="DF207" s="644"/>
      <c r="DG207" s="101"/>
      <c r="DH207" s="644"/>
      <c r="DI207" s="644"/>
      <c r="DJ207" s="644"/>
      <c r="DK207" s="644"/>
      <c r="DL207" s="644"/>
      <c r="DM207" s="101"/>
      <c r="DN207" s="644"/>
      <c r="DO207" s="644"/>
      <c r="DP207" s="644"/>
      <c r="DQ207" s="644"/>
      <c r="DR207" s="644"/>
      <c r="DS207" s="644"/>
      <c r="DT207" s="644"/>
      <c r="DU207" s="644"/>
      <c r="DV207" s="644"/>
      <c r="DW207" s="101"/>
      <c r="DX207" s="646"/>
      <c r="DY207" s="646"/>
      <c r="DZ207" s="646"/>
      <c r="EA207" s="646"/>
      <c r="EB207" s="646"/>
      <c r="EC207" s="646"/>
      <c r="ED207" s="646"/>
      <c r="EE207" s="646"/>
      <c r="EF207" s="646"/>
      <c r="EG207" s="646"/>
      <c r="EH207" s="646"/>
      <c r="EI207" s="646"/>
      <c r="EJ207" s="646"/>
      <c r="EK207" s="271"/>
      <c r="EL207" s="644"/>
      <c r="EM207" s="634"/>
      <c r="EN207" s="647"/>
      <c r="EO207" s="648"/>
      <c r="EP207" s="647"/>
      <c r="EQ207" s="647"/>
      <c r="ER207" s="647"/>
      <c r="ES207" s="139"/>
      <c r="EV207" s="647"/>
      <c r="EW207" s="647"/>
      <c r="EX207" s="647"/>
      <c r="EY207" s="647"/>
      <c r="EZ207" s="647"/>
      <c r="FA207" s="646"/>
      <c r="FB207" s="646"/>
      <c r="FC207" s="646"/>
      <c r="FD207" s="646"/>
      <c r="FE207" s="646"/>
      <c r="FF207" s="646"/>
      <c r="FG207" s="647"/>
      <c r="FH207" s="647"/>
      <c r="FI207" s="647"/>
      <c r="FJ207" s="647"/>
      <c r="FK207" s="647"/>
      <c r="FL207" s="647"/>
      <c r="FM207" s="647"/>
      <c r="FN207" s="647"/>
      <c r="FO207" s="647"/>
      <c r="FP207" s="647"/>
      <c r="FQ207" s="647"/>
      <c r="FR207" s="647"/>
      <c r="FS207" s="101"/>
      <c r="FT207" s="95"/>
      <c r="FU207" s="651"/>
      <c r="FV207" s="101"/>
      <c r="FW207" s="101"/>
      <c r="FX207" s="634"/>
      <c r="FY207" s="634"/>
      <c r="FZ207" s="634"/>
      <c r="GA207" s="634"/>
      <c r="GB207" s="634"/>
      <c r="GC207" s="634"/>
      <c r="GD207" s="634"/>
      <c r="GE207" s="634"/>
      <c r="GF207" s="634"/>
      <c r="GG207" s="634"/>
      <c r="GH207" s="634"/>
      <c r="GI207" s="634"/>
      <c r="GJ207" s="634"/>
      <c r="GK207" s="634"/>
      <c r="GL207" s="101"/>
      <c r="GM207" s="101"/>
      <c r="GN207" s="101"/>
      <c r="GO207" s="643"/>
      <c r="GP207" s="644"/>
      <c r="GQ207" s="643"/>
      <c r="GR207" s="644"/>
      <c r="GS207" s="643"/>
      <c r="GT207" s="644"/>
      <c r="GU207" s="644"/>
      <c r="GV207" s="644"/>
      <c r="GW207" s="644"/>
      <c r="GX207" s="644"/>
      <c r="GY207" s="644"/>
      <c r="GZ207" s="644"/>
      <c r="HA207" s="644"/>
    </row>
    <row r="208" spans="1:209">
      <c r="A208" s="638"/>
      <c r="B208" s="95"/>
      <c r="C208" s="95"/>
      <c r="D208" s="95"/>
      <c r="E208" s="650"/>
      <c r="F208" s="95"/>
      <c r="G208" s="98"/>
      <c r="H208" s="99"/>
      <c r="I208" s="95"/>
      <c r="J208" s="95"/>
      <c r="K208" s="95"/>
      <c r="L208" s="95"/>
      <c r="M208" s="95"/>
      <c r="N208" s="95"/>
      <c r="O208" s="95"/>
      <c r="P208" s="95"/>
      <c r="Q208" s="95"/>
      <c r="R208" s="98"/>
      <c r="S208" s="101"/>
      <c r="T208" s="644"/>
      <c r="U208" s="101"/>
      <c r="V208" s="647"/>
      <c r="W208" s="643"/>
      <c r="X208" s="644"/>
      <c r="Y208" s="101"/>
      <c r="Z208" s="644"/>
      <c r="AA208" s="101"/>
      <c r="AB208" s="644"/>
      <c r="AC208" s="101"/>
      <c r="AD208" s="646"/>
      <c r="AE208" s="271"/>
      <c r="AF208" s="646"/>
      <c r="AG208" s="646"/>
      <c r="AH208" s="646"/>
      <c r="AI208" s="646"/>
      <c r="AJ208" s="646"/>
      <c r="AK208" s="646"/>
      <c r="AL208" s="646"/>
      <c r="AM208" s="271"/>
      <c r="AN208" s="646"/>
      <c r="AO208" s="646"/>
      <c r="AP208" s="646"/>
      <c r="AQ208" s="271"/>
      <c r="AR208" s="646"/>
      <c r="AS208" s="270"/>
      <c r="AT208" s="646"/>
      <c r="AU208" s="646"/>
      <c r="AV208" s="646"/>
      <c r="AW208" s="270"/>
      <c r="AX208" s="646"/>
      <c r="AY208" s="270"/>
      <c r="AZ208" s="646"/>
      <c r="BA208" s="646"/>
      <c r="BB208" s="644"/>
      <c r="BC208" s="644"/>
      <c r="BD208" s="644"/>
      <c r="BE208" s="644"/>
      <c r="BF208" s="644"/>
      <c r="BG208" s="644"/>
      <c r="BH208" s="644"/>
      <c r="BI208" s="644"/>
      <c r="BJ208" s="644"/>
      <c r="BK208" s="644"/>
      <c r="BL208" s="644"/>
      <c r="BM208" s="95"/>
      <c r="BN208" s="644"/>
      <c r="BO208" s="95"/>
      <c r="BP208" s="644"/>
      <c r="BQ208" s="644"/>
      <c r="BR208" s="644"/>
      <c r="BS208" s="644"/>
      <c r="BT208" s="644"/>
      <c r="BU208" s="644"/>
      <c r="BV208" s="644"/>
      <c r="BW208" s="644"/>
      <c r="BX208" s="644"/>
      <c r="BY208" s="644"/>
      <c r="BZ208" s="644"/>
      <c r="CA208" s="644"/>
      <c r="CB208" s="644"/>
      <c r="CC208" s="644"/>
      <c r="CD208" s="644"/>
      <c r="CE208" s="644"/>
      <c r="CF208" s="644"/>
      <c r="CG208" s="644"/>
      <c r="CH208" s="644"/>
      <c r="CI208" s="644"/>
      <c r="CJ208" s="644"/>
      <c r="CK208" s="644"/>
      <c r="CL208" s="644"/>
      <c r="CM208" s="95"/>
      <c r="CN208" s="644"/>
      <c r="CO208" s="644"/>
      <c r="CP208" s="95"/>
      <c r="CQ208" s="98"/>
      <c r="CR208" s="95"/>
      <c r="CS208" s="95"/>
      <c r="CT208" s="95"/>
      <c r="CU208" s="108"/>
      <c r="CV208" s="109"/>
      <c r="CW208" s="644"/>
      <c r="CX208" s="496"/>
      <c r="CY208" s="637"/>
      <c r="CZ208" s="644"/>
      <c r="DA208" s="644"/>
      <c r="DB208" s="644"/>
      <c r="DC208" s="496"/>
      <c r="DD208" s="644"/>
      <c r="DE208" s="101"/>
      <c r="DF208" s="644"/>
      <c r="DG208" s="101"/>
      <c r="DH208" s="644"/>
      <c r="DI208" s="644"/>
      <c r="DJ208" s="644"/>
      <c r="DK208" s="644"/>
      <c r="DL208" s="644"/>
      <c r="DM208" s="101"/>
      <c r="DN208" s="644"/>
      <c r="DO208" s="644"/>
      <c r="DP208" s="644"/>
      <c r="DQ208" s="644"/>
      <c r="DR208" s="644"/>
      <c r="DS208" s="644"/>
      <c r="DT208" s="644"/>
      <c r="DU208" s="644"/>
      <c r="DV208" s="644"/>
      <c r="DW208" s="101"/>
      <c r="DX208" s="646"/>
      <c r="DY208" s="646"/>
      <c r="DZ208" s="646"/>
      <c r="EA208" s="646"/>
      <c r="EB208" s="646"/>
      <c r="EC208" s="646"/>
      <c r="ED208" s="646"/>
      <c r="EE208" s="646"/>
      <c r="EF208" s="646"/>
      <c r="EG208" s="646"/>
      <c r="EH208" s="646"/>
      <c r="EI208" s="646"/>
      <c r="EJ208" s="646"/>
      <c r="EK208" s="271"/>
      <c r="EL208" s="644"/>
      <c r="EM208" s="634"/>
      <c r="EN208" s="647"/>
      <c r="EO208" s="648"/>
      <c r="EP208" s="647"/>
      <c r="EQ208" s="647"/>
      <c r="ER208" s="647"/>
      <c r="ES208" s="139"/>
      <c r="EV208" s="647"/>
      <c r="EW208" s="647"/>
      <c r="EX208" s="647"/>
      <c r="EY208" s="647"/>
      <c r="EZ208" s="647"/>
      <c r="FA208" s="646"/>
      <c r="FB208" s="646"/>
      <c r="FC208" s="646"/>
      <c r="FD208" s="646"/>
      <c r="FE208" s="646"/>
      <c r="FF208" s="646"/>
      <c r="FG208" s="647"/>
      <c r="FH208" s="647"/>
      <c r="FI208" s="647"/>
      <c r="FJ208" s="647"/>
      <c r="FK208" s="647"/>
      <c r="FL208" s="647"/>
      <c r="FM208" s="647"/>
      <c r="FN208" s="647"/>
      <c r="FO208" s="647"/>
      <c r="FP208" s="647"/>
      <c r="FQ208" s="647"/>
      <c r="FR208" s="647"/>
      <c r="FS208" s="101"/>
      <c r="FT208" s="95"/>
      <c r="FU208" s="651"/>
      <c r="FV208" s="101"/>
      <c r="FW208" s="101"/>
      <c r="FX208" s="634"/>
      <c r="FY208" s="634"/>
      <c r="FZ208" s="634"/>
      <c r="GA208" s="634"/>
      <c r="GB208" s="634"/>
      <c r="GC208" s="634"/>
      <c r="GD208" s="634"/>
      <c r="GE208" s="634"/>
      <c r="GF208" s="634"/>
      <c r="GG208" s="634"/>
      <c r="GH208" s="634"/>
      <c r="GI208" s="634"/>
      <c r="GJ208" s="634"/>
      <c r="GK208" s="634"/>
      <c r="GL208" s="101"/>
      <c r="GM208" s="101"/>
      <c r="GN208" s="101"/>
      <c r="GO208" s="643"/>
      <c r="GP208" s="644"/>
      <c r="GQ208" s="643"/>
      <c r="GR208" s="644"/>
      <c r="GS208" s="643"/>
      <c r="GT208" s="644"/>
      <c r="GU208" s="644"/>
      <c r="GV208" s="644"/>
      <c r="GW208" s="644"/>
      <c r="GX208" s="644"/>
      <c r="GY208" s="644"/>
      <c r="GZ208" s="644"/>
      <c r="HA208" s="644"/>
    </row>
    <row r="209" spans="1:209">
      <c r="A209" s="638"/>
      <c r="B209" s="95"/>
      <c r="C209" s="95"/>
      <c r="D209" s="95"/>
      <c r="E209" s="650"/>
      <c r="F209" s="95"/>
      <c r="G209" s="98"/>
      <c r="H209" s="99"/>
      <c r="I209" s="95"/>
      <c r="J209" s="95"/>
      <c r="K209" s="95"/>
      <c r="L209" s="95"/>
      <c r="M209" s="95"/>
      <c r="N209" s="95"/>
      <c r="O209" s="95"/>
      <c r="P209" s="95"/>
      <c r="Q209" s="95"/>
      <c r="R209" s="98"/>
      <c r="S209" s="101"/>
      <c r="T209" s="644"/>
      <c r="U209" s="101"/>
      <c r="V209" s="647"/>
      <c r="W209" s="643"/>
      <c r="X209" s="644"/>
      <c r="Y209" s="101"/>
      <c r="Z209" s="644"/>
      <c r="AA209" s="101"/>
      <c r="AB209" s="644"/>
      <c r="AC209" s="101"/>
      <c r="AD209" s="646"/>
      <c r="AE209" s="271"/>
      <c r="AF209" s="646"/>
      <c r="AG209" s="646"/>
      <c r="AH209" s="646"/>
      <c r="AI209" s="646"/>
      <c r="AJ209" s="646"/>
      <c r="AK209" s="646"/>
      <c r="AL209" s="646"/>
      <c r="AM209" s="271"/>
      <c r="AN209" s="646"/>
      <c r="AO209" s="646"/>
      <c r="AP209" s="646"/>
      <c r="AQ209" s="271"/>
      <c r="AR209" s="646"/>
      <c r="AS209" s="270"/>
      <c r="AT209" s="646"/>
      <c r="AU209" s="646"/>
      <c r="AV209" s="646"/>
      <c r="AW209" s="270"/>
      <c r="AX209" s="646"/>
      <c r="AY209" s="270"/>
      <c r="AZ209" s="646"/>
      <c r="BA209" s="646"/>
      <c r="BB209" s="644"/>
      <c r="BC209" s="644"/>
      <c r="BD209" s="644"/>
      <c r="BE209" s="644"/>
      <c r="BF209" s="644"/>
      <c r="BG209" s="644"/>
      <c r="BH209" s="644"/>
      <c r="BI209" s="644"/>
      <c r="BJ209" s="644"/>
      <c r="BK209" s="644"/>
      <c r="BL209" s="644"/>
      <c r="BM209" s="95"/>
      <c r="BN209" s="644"/>
      <c r="BO209" s="95"/>
      <c r="BP209" s="644"/>
      <c r="BQ209" s="644"/>
      <c r="BR209" s="644"/>
      <c r="BS209" s="644"/>
      <c r="BT209" s="644"/>
      <c r="BU209" s="644"/>
      <c r="BV209" s="644"/>
      <c r="BW209" s="644"/>
      <c r="BX209" s="644"/>
      <c r="BY209" s="644"/>
      <c r="BZ209" s="644"/>
      <c r="CA209" s="644"/>
      <c r="CB209" s="644"/>
      <c r="CC209" s="644"/>
      <c r="CD209" s="644"/>
      <c r="CE209" s="644"/>
      <c r="CF209" s="644"/>
      <c r="CG209" s="644"/>
      <c r="CH209" s="644"/>
      <c r="CI209" s="644"/>
      <c r="CJ209" s="644"/>
      <c r="CK209" s="644"/>
      <c r="CL209" s="644"/>
      <c r="CM209" s="95"/>
      <c r="CN209" s="644"/>
      <c r="CO209" s="644"/>
      <c r="CP209" s="95"/>
      <c r="CQ209" s="98"/>
      <c r="CR209" s="95"/>
      <c r="CS209" s="95"/>
      <c r="CT209" s="95"/>
      <c r="CU209" s="108"/>
      <c r="CV209" s="109"/>
      <c r="CW209" s="644"/>
      <c r="CX209" s="496"/>
      <c r="CY209" s="637"/>
      <c r="CZ209" s="644"/>
      <c r="DA209" s="644"/>
      <c r="DB209" s="644"/>
      <c r="DC209" s="496"/>
      <c r="DD209" s="644"/>
      <c r="DE209" s="101"/>
      <c r="DF209" s="644"/>
      <c r="DG209" s="101"/>
      <c r="DH209" s="644"/>
      <c r="DI209" s="644"/>
      <c r="DJ209" s="644"/>
      <c r="DK209" s="644"/>
      <c r="DL209" s="644"/>
      <c r="DM209" s="101"/>
      <c r="DN209" s="644"/>
      <c r="DO209" s="644"/>
      <c r="DP209" s="644"/>
      <c r="DQ209" s="644"/>
      <c r="DR209" s="644"/>
      <c r="DS209" s="644"/>
      <c r="DT209" s="644"/>
      <c r="DU209" s="644"/>
      <c r="DV209" s="644"/>
      <c r="DW209" s="101"/>
      <c r="DX209" s="646"/>
      <c r="DY209" s="646"/>
      <c r="DZ209" s="646"/>
      <c r="EA209" s="646"/>
      <c r="EB209" s="646"/>
      <c r="EC209" s="646"/>
      <c r="ED209" s="646"/>
      <c r="EE209" s="646"/>
      <c r="EF209" s="646"/>
      <c r="EG209" s="646"/>
      <c r="EH209" s="646"/>
      <c r="EI209" s="646"/>
      <c r="EJ209" s="646"/>
      <c r="EK209" s="271"/>
      <c r="EL209" s="644"/>
      <c r="EM209" s="634"/>
      <c r="EN209" s="647"/>
      <c r="EO209" s="648"/>
      <c r="EP209" s="647"/>
      <c r="EQ209" s="647"/>
      <c r="ER209" s="647"/>
      <c r="ES209" s="139"/>
      <c r="EV209" s="647"/>
      <c r="EW209" s="647"/>
      <c r="EX209" s="647"/>
      <c r="EY209" s="647"/>
      <c r="EZ209" s="647"/>
      <c r="FA209" s="646"/>
      <c r="FB209" s="646"/>
      <c r="FC209" s="646"/>
      <c r="FD209" s="646"/>
      <c r="FE209" s="646"/>
      <c r="FF209" s="646"/>
      <c r="FG209" s="647"/>
      <c r="FH209" s="647"/>
      <c r="FI209" s="647"/>
      <c r="FJ209" s="647"/>
      <c r="FK209" s="647"/>
      <c r="FL209" s="647"/>
      <c r="FM209" s="647"/>
      <c r="FN209" s="647"/>
      <c r="FO209" s="647"/>
      <c r="FP209" s="647"/>
      <c r="FQ209" s="647"/>
      <c r="FR209" s="647"/>
      <c r="FS209" s="101"/>
      <c r="FT209" s="95"/>
      <c r="FU209" s="651"/>
      <c r="FV209" s="101"/>
      <c r="FW209" s="101"/>
      <c r="FX209" s="634"/>
      <c r="FY209" s="634"/>
      <c r="FZ209" s="634"/>
      <c r="GA209" s="634"/>
      <c r="GB209" s="634"/>
      <c r="GC209" s="634"/>
      <c r="GD209" s="634"/>
      <c r="GE209" s="634"/>
      <c r="GF209" s="634"/>
      <c r="GG209" s="634"/>
      <c r="GH209" s="634"/>
      <c r="GI209" s="634"/>
      <c r="GJ209" s="634"/>
      <c r="GK209" s="634"/>
      <c r="GL209" s="101"/>
      <c r="GM209" s="101"/>
      <c r="GN209" s="101"/>
      <c r="GO209" s="643"/>
      <c r="GP209" s="644"/>
      <c r="GQ209" s="643"/>
      <c r="GR209" s="644"/>
      <c r="GS209" s="643"/>
      <c r="GT209" s="644"/>
      <c r="GU209" s="644"/>
      <c r="GV209" s="644"/>
      <c r="GW209" s="644"/>
      <c r="GX209" s="644"/>
      <c r="GY209" s="644"/>
      <c r="GZ209" s="644"/>
      <c r="HA209" s="644"/>
    </row>
    <row r="210" spans="1:209">
      <c r="A210" s="638"/>
      <c r="B210" s="95"/>
      <c r="C210" s="95"/>
      <c r="D210" s="95"/>
      <c r="E210" s="650"/>
      <c r="F210" s="95"/>
      <c r="G210" s="98"/>
      <c r="H210" s="99"/>
      <c r="I210" s="95"/>
      <c r="J210" s="95"/>
      <c r="K210" s="95"/>
      <c r="L210" s="95"/>
      <c r="M210" s="95"/>
      <c r="N210" s="95"/>
      <c r="O210" s="95"/>
      <c r="P210" s="95"/>
      <c r="Q210" s="95"/>
      <c r="R210" s="98"/>
      <c r="S210" s="101"/>
      <c r="T210" s="644"/>
      <c r="U210" s="101"/>
      <c r="V210" s="647"/>
      <c r="W210" s="643"/>
      <c r="X210" s="644"/>
      <c r="Y210" s="101"/>
      <c r="Z210" s="644"/>
      <c r="AA210" s="101"/>
      <c r="AB210" s="644"/>
      <c r="AC210" s="101"/>
      <c r="AD210" s="646"/>
      <c r="AE210" s="271"/>
      <c r="AF210" s="646"/>
      <c r="AG210" s="646"/>
      <c r="AH210" s="646"/>
      <c r="AI210" s="646"/>
      <c r="AJ210" s="646"/>
      <c r="AK210" s="646"/>
      <c r="AL210" s="646"/>
      <c r="AM210" s="271"/>
      <c r="AN210" s="646"/>
      <c r="AO210" s="646"/>
      <c r="AP210" s="646"/>
      <c r="AQ210" s="271"/>
      <c r="AR210" s="646"/>
      <c r="AS210" s="270"/>
      <c r="AT210" s="646"/>
      <c r="AU210" s="646"/>
      <c r="AV210" s="646"/>
      <c r="AW210" s="270"/>
      <c r="AX210" s="646"/>
      <c r="AY210" s="270"/>
      <c r="AZ210" s="646"/>
      <c r="BA210" s="646"/>
      <c r="BB210" s="644"/>
      <c r="BC210" s="644"/>
      <c r="BD210" s="644"/>
      <c r="BE210" s="644"/>
      <c r="BF210" s="644"/>
      <c r="BG210" s="644"/>
      <c r="BH210" s="644"/>
      <c r="BI210" s="644"/>
      <c r="BJ210" s="644"/>
      <c r="BK210" s="644"/>
      <c r="BL210" s="644"/>
      <c r="BM210" s="95"/>
      <c r="BN210" s="644"/>
      <c r="BO210" s="95"/>
      <c r="BP210" s="644"/>
      <c r="BQ210" s="644"/>
      <c r="BR210" s="644"/>
      <c r="BS210" s="644"/>
      <c r="BT210" s="644"/>
      <c r="BU210" s="644"/>
      <c r="BV210" s="644"/>
      <c r="BW210" s="644"/>
      <c r="BX210" s="644"/>
      <c r="BY210" s="644"/>
      <c r="BZ210" s="644"/>
      <c r="CA210" s="644"/>
      <c r="CB210" s="644"/>
      <c r="CC210" s="644"/>
      <c r="CD210" s="644"/>
      <c r="CE210" s="644"/>
      <c r="CF210" s="644"/>
      <c r="CG210" s="644"/>
      <c r="CH210" s="644"/>
      <c r="CI210" s="644"/>
      <c r="CJ210" s="644"/>
      <c r="CK210" s="644"/>
      <c r="CL210" s="644"/>
      <c r="CM210" s="95"/>
      <c r="CN210" s="644"/>
      <c r="CO210" s="644"/>
      <c r="CP210" s="95"/>
      <c r="CQ210" s="98"/>
      <c r="CR210" s="95"/>
      <c r="CS210" s="95"/>
      <c r="CT210" s="95"/>
      <c r="CU210" s="108"/>
      <c r="CV210" s="109"/>
      <c r="CW210" s="644"/>
      <c r="CX210" s="496"/>
      <c r="CY210" s="637"/>
      <c r="CZ210" s="644"/>
      <c r="DA210" s="644"/>
      <c r="DB210" s="644"/>
      <c r="DC210" s="496"/>
      <c r="DD210" s="644"/>
      <c r="DE210" s="101"/>
      <c r="DF210" s="644"/>
      <c r="DG210" s="101"/>
      <c r="DH210" s="644"/>
      <c r="DI210" s="644"/>
      <c r="DJ210" s="644"/>
      <c r="DK210" s="644"/>
      <c r="DL210" s="644"/>
      <c r="DM210" s="101"/>
      <c r="DN210" s="644"/>
      <c r="DO210" s="644"/>
      <c r="DP210" s="644"/>
      <c r="DQ210" s="644"/>
      <c r="DR210" s="644"/>
      <c r="DS210" s="644"/>
      <c r="DT210" s="644"/>
      <c r="DU210" s="644"/>
      <c r="DV210" s="644"/>
      <c r="DW210" s="101"/>
      <c r="DX210" s="646"/>
      <c r="DY210" s="646"/>
      <c r="DZ210" s="646"/>
      <c r="EA210" s="646"/>
      <c r="EB210" s="646"/>
      <c r="EC210" s="646"/>
      <c r="ED210" s="646"/>
      <c r="EE210" s="646"/>
      <c r="EF210" s="646"/>
      <c r="EG210" s="646"/>
      <c r="EH210" s="646"/>
      <c r="EI210" s="646"/>
      <c r="EJ210" s="646"/>
      <c r="EK210" s="271"/>
      <c r="EL210" s="644"/>
      <c r="EM210" s="634"/>
      <c r="EN210" s="647"/>
      <c r="EO210" s="648"/>
      <c r="EP210" s="647"/>
      <c r="EQ210" s="647"/>
      <c r="ER210" s="647"/>
      <c r="ES210" s="139"/>
      <c r="EV210" s="647"/>
      <c r="EW210" s="647"/>
      <c r="EX210" s="647"/>
      <c r="EY210" s="647"/>
      <c r="EZ210" s="647"/>
      <c r="FA210" s="646"/>
      <c r="FB210" s="646"/>
      <c r="FC210" s="646"/>
      <c r="FD210" s="646"/>
      <c r="FE210" s="646"/>
      <c r="FF210" s="646"/>
      <c r="FG210" s="647"/>
      <c r="FH210" s="647"/>
      <c r="FI210" s="647"/>
      <c r="FJ210" s="647"/>
      <c r="FK210" s="647"/>
      <c r="FL210" s="647"/>
      <c r="FM210" s="647"/>
      <c r="FN210" s="647"/>
      <c r="FO210" s="647"/>
      <c r="FP210" s="647"/>
      <c r="FQ210" s="647"/>
      <c r="FR210" s="647"/>
      <c r="FS210" s="101"/>
      <c r="FT210" s="95"/>
      <c r="FU210" s="651"/>
      <c r="FV210" s="101"/>
      <c r="FW210" s="101"/>
      <c r="FX210" s="634"/>
      <c r="FY210" s="634"/>
      <c r="FZ210" s="634"/>
      <c r="GA210" s="634"/>
      <c r="GB210" s="634"/>
      <c r="GC210" s="634"/>
      <c r="GD210" s="634"/>
      <c r="GE210" s="634"/>
      <c r="GF210" s="634"/>
      <c r="GG210" s="634"/>
      <c r="GH210" s="634"/>
      <c r="GI210" s="634"/>
      <c r="GJ210" s="634"/>
      <c r="GK210" s="634"/>
      <c r="GL210" s="101"/>
      <c r="GM210" s="101"/>
      <c r="GN210" s="101"/>
      <c r="GO210" s="643"/>
      <c r="GP210" s="644"/>
      <c r="GQ210" s="643"/>
      <c r="GR210" s="644"/>
      <c r="GS210" s="643"/>
      <c r="GT210" s="644"/>
      <c r="GU210" s="644"/>
      <c r="GV210" s="644"/>
      <c r="GW210" s="644"/>
      <c r="GX210" s="644"/>
      <c r="GY210" s="644"/>
      <c r="GZ210" s="644"/>
      <c r="HA210" s="644"/>
    </row>
    <row r="211" spans="1:209">
      <c r="A211" s="638"/>
      <c r="B211" s="95"/>
      <c r="C211" s="95"/>
      <c r="D211" s="95"/>
      <c r="E211" s="650"/>
      <c r="F211" s="95"/>
      <c r="G211" s="98"/>
      <c r="H211" s="99"/>
      <c r="I211" s="95"/>
      <c r="J211" s="95"/>
      <c r="K211" s="95"/>
      <c r="L211" s="95"/>
      <c r="M211" s="95"/>
      <c r="N211" s="95"/>
      <c r="O211" s="95"/>
      <c r="P211" s="95"/>
      <c r="Q211" s="95"/>
      <c r="R211" s="98"/>
      <c r="S211" s="101"/>
      <c r="T211" s="644"/>
      <c r="U211" s="101"/>
      <c r="V211" s="647"/>
      <c r="W211" s="643"/>
      <c r="X211" s="644"/>
      <c r="Y211" s="101"/>
      <c r="Z211" s="644"/>
      <c r="AA211" s="101"/>
      <c r="AB211" s="644"/>
      <c r="AC211" s="101"/>
      <c r="AD211" s="646"/>
      <c r="AE211" s="271"/>
      <c r="AF211" s="646"/>
      <c r="AG211" s="646"/>
      <c r="AH211" s="646"/>
      <c r="AI211" s="646"/>
      <c r="AJ211" s="646"/>
      <c r="AK211" s="646"/>
      <c r="AL211" s="646"/>
      <c r="AM211" s="271"/>
      <c r="AN211" s="646"/>
      <c r="AO211" s="646"/>
      <c r="AP211" s="646"/>
      <c r="AQ211" s="271"/>
      <c r="AR211" s="646"/>
      <c r="AS211" s="270"/>
      <c r="AT211" s="646"/>
      <c r="AU211" s="646"/>
      <c r="AV211" s="646"/>
      <c r="AW211" s="270"/>
      <c r="AX211" s="646"/>
      <c r="AY211" s="270"/>
      <c r="AZ211" s="646"/>
      <c r="BA211" s="646"/>
      <c r="BB211" s="644"/>
      <c r="BC211" s="644"/>
      <c r="BD211" s="644"/>
      <c r="BE211" s="644"/>
      <c r="BF211" s="644"/>
      <c r="BG211" s="644"/>
      <c r="BH211" s="644"/>
      <c r="BI211" s="644"/>
      <c r="BJ211" s="644"/>
      <c r="BK211" s="644"/>
      <c r="BL211" s="644"/>
      <c r="BM211" s="95"/>
      <c r="BN211" s="644"/>
      <c r="BO211" s="95"/>
      <c r="BP211" s="644"/>
      <c r="BQ211" s="644"/>
      <c r="BR211" s="644"/>
      <c r="BS211" s="644"/>
      <c r="BT211" s="644"/>
      <c r="BU211" s="644"/>
      <c r="BV211" s="644"/>
      <c r="BW211" s="644"/>
      <c r="BX211" s="644"/>
      <c r="BY211" s="644"/>
      <c r="BZ211" s="644"/>
      <c r="CA211" s="644"/>
      <c r="CB211" s="644"/>
      <c r="CC211" s="644"/>
      <c r="CD211" s="644"/>
      <c r="CE211" s="644"/>
      <c r="CF211" s="644"/>
      <c r="CG211" s="644"/>
      <c r="CH211" s="644"/>
      <c r="CI211" s="644"/>
      <c r="CJ211" s="644"/>
      <c r="CK211" s="644"/>
      <c r="CL211" s="644"/>
      <c r="CM211" s="95"/>
      <c r="CN211" s="644"/>
      <c r="CO211" s="644"/>
      <c r="CP211" s="95"/>
      <c r="CQ211" s="98"/>
      <c r="CR211" s="95"/>
      <c r="CS211" s="95"/>
      <c r="CT211" s="95"/>
      <c r="CU211" s="108"/>
      <c r="CV211" s="109"/>
      <c r="CW211" s="644"/>
      <c r="CX211" s="496"/>
      <c r="CY211" s="637"/>
      <c r="CZ211" s="644"/>
      <c r="DA211" s="644"/>
      <c r="DB211" s="644"/>
      <c r="DC211" s="496"/>
      <c r="DD211" s="644"/>
      <c r="DE211" s="101"/>
      <c r="DF211" s="644"/>
      <c r="DG211" s="101"/>
      <c r="DH211" s="644"/>
      <c r="DI211" s="644"/>
      <c r="DJ211" s="644"/>
      <c r="DK211" s="644"/>
      <c r="DL211" s="644"/>
      <c r="DM211" s="101"/>
      <c r="DN211" s="644"/>
      <c r="DO211" s="644"/>
      <c r="DP211" s="644"/>
      <c r="DQ211" s="644"/>
      <c r="DR211" s="644"/>
      <c r="DS211" s="644"/>
      <c r="DT211" s="644"/>
      <c r="DU211" s="644"/>
      <c r="DV211" s="644"/>
      <c r="DW211" s="101"/>
      <c r="DX211" s="646"/>
      <c r="DY211" s="646"/>
      <c r="DZ211" s="646"/>
      <c r="EA211" s="646"/>
      <c r="EB211" s="646"/>
      <c r="EC211" s="646"/>
      <c r="ED211" s="646"/>
      <c r="EE211" s="646"/>
      <c r="EF211" s="646"/>
      <c r="EG211" s="646"/>
      <c r="EH211" s="646"/>
      <c r="EI211" s="646"/>
      <c r="EJ211" s="646"/>
      <c r="EK211" s="271"/>
      <c r="EL211" s="644"/>
      <c r="EM211" s="634"/>
      <c r="EN211" s="647"/>
      <c r="EO211" s="648"/>
      <c r="EP211" s="647"/>
      <c r="EQ211" s="647"/>
      <c r="ER211" s="647"/>
      <c r="ES211" s="139"/>
      <c r="EV211" s="647"/>
      <c r="EW211" s="647"/>
      <c r="EX211" s="647"/>
      <c r="EY211" s="647"/>
      <c r="EZ211" s="647"/>
      <c r="FA211" s="646"/>
      <c r="FB211" s="646"/>
      <c r="FC211" s="646"/>
      <c r="FD211" s="646"/>
      <c r="FE211" s="646"/>
      <c r="FF211" s="646"/>
      <c r="FG211" s="647"/>
      <c r="FH211" s="647"/>
      <c r="FI211" s="647"/>
      <c r="FJ211" s="647"/>
      <c r="FK211" s="647"/>
      <c r="FL211" s="647"/>
      <c r="FM211" s="647"/>
      <c r="FN211" s="647"/>
      <c r="FO211" s="647"/>
      <c r="FP211" s="647"/>
      <c r="FQ211" s="647"/>
      <c r="FR211" s="647"/>
      <c r="FS211" s="101"/>
      <c r="FT211" s="95"/>
      <c r="FU211" s="651"/>
      <c r="FV211" s="101"/>
      <c r="FW211" s="101"/>
      <c r="FX211" s="634"/>
      <c r="FY211" s="634"/>
      <c r="FZ211" s="634"/>
      <c r="GA211" s="634"/>
      <c r="GB211" s="634"/>
      <c r="GC211" s="634"/>
      <c r="GD211" s="634"/>
      <c r="GE211" s="634"/>
      <c r="GF211" s="634"/>
      <c r="GG211" s="634"/>
      <c r="GH211" s="634"/>
      <c r="GI211" s="634"/>
      <c r="GJ211" s="634"/>
      <c r="GK211" s="634"/>
      <c r="GL211" s="101"/>
      <c r="GM211" s="101"/>
      <c r="GN211" s="101"/>
      <c r="GO211" s="643"/>
      <c r="GP211" s="644"/>
      <c r="GQ211" s="643"/>
      <c r="GR211" s="644"/>
      <c r="GS211" s="643"/>
      <c r="GT211" s="644"/>
      <c r="GU211" s="644"/>
      <c r="GV211" s="644"/>
      <c r="GW211" s="644"/>
      <c r="GX211" s="644"/>
      <c r="GY211" s="644"/>
      <c r="GZ211" s="644"/>
      <c r="HA211" s="644"/>
    </row>
    <row r="212" spans="1:209">
      <c r="A212" s="638"/>
      <c r="B212" s="95"/>
      <c r="C212" s="95"/>
      <c r="D212" s="95"/>
      <c r="E212" s="650"/>
      <c r="F212" s="95"/>
      <c r="G212" s="98"/>
      <c r="H212" s="99"/>
      <c r="I212" s="95"/>
      <c r="J212" s="95"/>
      <c r="K212" s="95"/>
      <c r="L212" s="95"/>
      <c r="M212" s="95"/>
      <c r="N212" s="95"/>
      <c r="O212" s="95"/>
      <c r="P212" s="95"/>
      <c r="Q212" s="95"/>
      <c r="R212" s="98"/>
      <c r="S212" s="101"/>
      <c r="T212" s="644"/>
      <c r="U212" s="101"/>
      <c r="V212" s="647"/>
      <c r="W212" s="643"/>
      <c r="X212" s="644"/>
      <c r="Y212" s="101"/>
      <c r="Z212" s="644"/>
      <c r="AA212" s="101"/>
      <c r="AB212" s="644"/>
      <c r="AC212" s="101"/>
      <c r="AD212" s="646"/>
      <c r="AE212" s="271"/>
      <c r="AF212" s="646"/>
      <c r="AG212" s="646"/>
      <c r="AH212" s="646"/>
      <c r="AI212" s="646"/>
      <c r="AJ212" s="646"/>
      <c r="AK212" s="646"/>
      <c r="AL212" s="646"/>
      <c r="AM212" s="271"/>
      <c r="AN212" s="646"/>
      <c r="AO212" s="646"/>
      <c r="AP212" s="646"/>
      <c r="AQ212" s="271"/>
      <c r="AR212" s="646"/>
      <c r="AS212" s="270"/>
      <c r="AT212" s="646"/>
      <c r="AU212" s="646"/>
      <c r="AV212" s="646"/>
      <c r="AW212" s="270"/>
      <c r="AX212" s="646"/>
      <c r="AY212" s="270"/>
      <c r="AZ212" s="646"/>
      <c r="BA212" s="646"/>
      <c r="BB212" s="644"/>
      <c r="BC212" s="644"/>
      <c r="BD212" s="644"/>
      <c r="BE212" s="644"/>
      <c r="BF212" s="644"/>
      <c r="BG212" s="644"/>
      <c r="BH212" s="644"/>
      <c r="BI212" s="644"/>
      <c r="BJ212" s="644"/>
      <c r="BK212" s="644"/>
      <c r="BL212" s="644"/>
      <c r="BM212" s="95"/>
      <c r="BN212" s="644"/>
      <c r="BO212" s="95"/>
      <c r="BP212" s="644"/>
      <c r="BQ212" s="644"/>
      <c r="BR212" s="644"/>
      <c r="BS212" s="644"/>
      <c r="BT212" s="644"/>
      <c r="BU212" s="644"/>
      <c r="BV212" s="644"/>
      <c r="BW212" s="644"/>
      <c r="BX212" s="644"/>
      <c r="BY212" s="644"/>
      <c r="BZ212" s="644"/>
      <c r="CA212" s="644"/>
      <c r="CB212" s="644"/>
      <c r="CC212" s="644"/>
      <c r="CD212" s="644"/>
      <c r="CE212" s="644"/>
      <c r="CF212" s="644"/>
      <c r="CG212" s="644"/>
      <c r="CH212" s="644"/>
      <c r="CI212" s="644"/>
      <c r="CJ212" s="644"/>
      <c r="CK212" s="644"/>
      <c r="CL212" s="644"/>
      <c r="CM212" s="95"/>
      <c r="CN212" s="644"/>
      <c r="CO212" s="644"/>
      <c r="CP212" s="95"/>
      <c r="CQ212" s="98"/>
      <c r="CR212" s="95"/>
      <c r="CS212" s="95"/>
      <c r="CT212" s="95"/>
      <c r="CU212" s="108"/>
      <c r="CV212" s="109"/>
      <c r="CW212" s="644"/>
      <c r="CX212" s="496"/>
      <c r="CY212" s="637"/>
      <c r="CZ212" s="644"/>
      <c r="DA212" s="644"/>
      <c r="DB212" s="644"/>
      <c r="DC212" s="496"/>
      <c r="DD212" s="644"/>
      <c r="DE212" s="101"/>
      <c r="DF212" s="644"/>
      <c r="DG212" s="101"/>
      <c r="DH212" s="644"/>
      <c r="DI212" s="644"/>
      <c r="DJ212" s="644"/>
      <c r="DK212" s="644"/>
      <c r="DL212" s="644"/>
      <c r="DM212" s="101"/>
      <c r="DN212" s="644"/>
      <c r="DO212" s="644"/>
      <c r="DP212" s="644"/>
      <c r="DQ212" s="644"/>
      <c r="DR212" s="644"/>
      <c r="DS212" s="644"/>
      <c r="DT212" s="644"/>
      <c r="DU212" s="644"/>
      <c r="DV212" s="644"/>
      <c r="DW212" s="101"/>
      <c r="DX212" s="646"/>
      <c r="DY212" s="646"/>
      <c r="DZ212" s="646"/>
      <c r="EA212" s="646"/>
      <c r="EB212" s="646"/>
      <c r="EC212" s="646"/>
      <c r="ED212" s="646"/>
      <c r="EE212" s="646"/>
      <c r="EF212" s="646"/>
      <c r="EG212" s="646"/>
      <c r="EH212" s="646"/>
      <c r="EI212" s="646"/>
      <c r="EJ212" s="646"/>
      <c r="EK212" s="271"/>
      <c r="EL212" s="644"/>
      <c r="EM212" s="634"/>
      <c r="EN212" s="647"/>
      <c r="EO212" s="648"/>
      <c r="EP212" s="647"/>
      <c r="EQ212" s="647"/>
      <c r="ER212" s="647"/>
      <c r="ES212" s="139"/>
      <c r="EV212" s="647"/>
      <c r="EW212" s="647"/>
      <c r="EX212" s="647"/>
      <c r="EY212" s="647"/>
      <c r="EZ212" s="647"/>
      <c r="FA212" s="646"/>
      <c r="FB212" s="646"/>
      <c r="FC212" s="646"/>
      <c r="FD212" s="646"/>
      <c r="FE212" s="646"/>
      <c r="FF212" s="646"/>
      <c r="FG212" s="647"/>
      <c r="FH212" s="647"/>
      <c r="FI212" s="647"/>
      <c r="FJ212" s="647"/>
      <c r="FK212" s="647"/>
      <c r="FL212" s="647"/>
      <c r="FM212" s="647"/>
      <c r="FN212" s="647"/>
      <c r="FO212" s="647"/>
      <c r="FP212" s="647"/>
      <c r="FQ212" s="647"/>
      <c r="FR212" s="647"/>
      <c r="FS212" s="101"/>
      <c r="FT212" s="95"/>
      <c r="FU212" s="651"/>
      <c r="FV212" s="101"/>
      <c r="FW212" s="101"/>
      <c r="FX212" s="634"/>
      <c r="FY212" s="634"/>
      <c r="FZ212" s="634"/>
      <c r="GA212" s="634"/>
      <c r="GB212" s="634"/>
      <c r="GC212" s="634"/>
      <c r="GD212" s="634"/>
      <c r="GE212" s="634"/>
      <c r="GF212" s="634"/>
      <c r="GG212" s="634"/>
      <c r="GH212" s="634"/>
      <c r="GI212" s="634"/>
      <c r="GJ212" s="634"/>
      <c r="GK212" s="634"/>
      <c r="GL212" s="101"/>
      <c r="GM212" s="101"/>
      <c r="GN212" s="101"/>
      <c r="GO212" s="643"/>
      <c r="GP212" s="644"/>
      <c r="GQ212" s="643"/>
      <c r="GR212" s="644"/>
      <c r="GS212" s="643"/>
      <c r="GT212" s="644"/>
      <c r="GU212" s="644"/>
      <c r="GV212" s="644"/>
      <c r="GW212" s="644"/>
      <c r="GX212" s="644"/>
      <c r="GY212" s="644"/>
      <c r="GZ212" s="644"/>
      <c r="HA212" s="644"/>
    </row>
    <row r="213" spans="1:209">
      <c r="A213" s="638"/>
      <c r="B213" s="95"/>
      <c r="C213" s="95"/>
      <c r="D213" s="95"/>
      <c r="E213" s="650"/>
      <c r="F213" s="95"/>
      <c r="G213" s="98"/>
      <c r="H213" s="99"/>
      <c r="I213" s="95"/>
      <c r="J213" s="95"/>
      <c r="K213" s="95"/>
      <c r="L213" s="95"/>
      <c r="M213" s="95"/>
      <c r="N213" s="95"/>
      <c r="O213" s="95"/>
      <c r="P213" s="95"/>
      <c r="Q213" s="95"/>
      <c r="R213" s="98"/>
      <c r="S213" s="101"/>
      <c r="T213" s="644"/>
      <c r="U213" s="101"/>
      <c r="V213" s="647"/>
      <c r="W213" s="643"/>
      <c r="X213" s="644"/>
      <c r="Y213" s="101"/>
      <c r="Z213" s="644"/>
      <c r="AA213" s="101"/>
      <c r="AB213" s="644"/>
      <c r="AC213" s="101"/>
      <c r="AD213" s="646"/>
      <c r="AE213" s="271"/>
      <c r="AF213" s="646"/>
      <c r="AG213" s="646"/>
      <c r="AH213" s="646"/>
      <c r="AI213" s="646"/>
      <c r="AJ213" s="646"/>
      <c r="AK213" s="646"/>
      <c r="AL213" s="646"/>
      <c r="AM213" s="271"/>
      <c r="AN213" s="646"/>
      <c r="AO213" s="646"/>
      <c r="AP213" s="646"/>
      <c r="AQ213" s="271"/>
      <c r="AR213" s="646"/>
      <c r="AS213" s="270"/>
      <c r="AT213" s="646"/>
      <c r="AU213" s="646"/>
      <c r="AV213" s="646"/>
      <c r="AW213" s="270"/>
      <c r="AX213" s="646"/>
      <c r="AY213" s="270"/>
      <c r="AZ213" s="646"/>
      <c r="BA213" s="646"/>
      <c r="BB213" s="644"/>
      <c r="BC213" s="644"/>
      <c r="BD213" s="644"/>
      <c r="BE213" s="644"/>
      <c r="BF213" s="644"/>
      <c r="BG213" s="644"/>
      <c r="BH213" s="644"/>
      <c r="BI213" s="644"/>
      <c r="BJ213" s="644"/>
      <c r="BK213" s="644"/>
      <c r="BL213" s="644"/>
      <c r="BM213" s="95"/>
      <c r="BN213" s="644"/>
      <c r="BO213" s="95"/>
      <c r="BP213" s="644"/>
      <c r="BQ213" s="644"/>
      <c r="BR213" s="644"/>
      <c r="BS213" s="644"/>
      <c r="BT213" s="644"/>
      <c r="BU213" s="644"/>
      <c r="BV213" s="644"/>
      <c r="BW213" s="644"/>
      <c r="BX213" s="644"/>
      <c r="BY213" s="644"/>
      <c r="BZ213" s="644"/>
      <c r="CA213" s="644"/>
      <c r="CB213" s="644"/>
      <c r="CC213" s="644"/>
      <c r="CD213" s="644"/>
      <c r="CE213" s="644"/>
      <c r="CF213" s="644"/>
      <c r="CG213" s="644"/>
      <c r="CH213" s="644"/>
      <c r="CI213" s="644"/>
      <c r="CJ213" s="644"/>
      <c r="CK213" s="644"/>
      <c r="CL213" s="644"/>
      <c r="CM213" s="95"/>
      <c r="CN213" s="644"/>
      <c r="CO213" s="644"/>
      <c r="CP213" s="95"/>
      <c r="CQ213" s="98"/>
      <c r="CR213" s="95"/>
      <c r="CS213" s="95"/>
      <c r="CT213" s="95"/>
      <c r="CU213" s="108"/>
      <c r="CV213" s="109"/>
      <c r="CW213" s="644"/>
      <c r="CX213" s="496"/>
      <c r="CY213" s="637"/>
      <c r="CZ213" s="644"/>
      <c r="DA213" s="644"/>
      <c r="DB213" s="644"/>
      <c r="DC213" s="496"/>
      <c r="DD213" s="644"/>
      <c r="DE213" s="101"/>
      <c r="DF213" s="644"/>
      <c r="DG213" s="101"/>
      <c r="DH213" s="644"/>
      <c r="DI213" s="644"/>
      <c r="DJ213" s="644"/>
      <c r="DK213" s="644"/>
      <c r="DL213" s="644"/>
      <c r="DM213" s="101"/>
      <c r="DN213" s="644"/>
      <c r="DO213" s="644"/>
      <c r="DP213" s="644"/>
      <c r="DQ213" s="644"/>
      <c r="DR213" s="644"/>
      <c r="DS213" s="644"/>
      <c r="DT213" s="644"/>
      <c r="DU213" s="644"/>
      <c r="DV213" s="644"/>
      <c r="DW213" s="101"/>
      <c r="DX213" s="646"/>
      <c r="DY213" s="646"/>
      <c r="DZ213" s="646"/>
      <c r="EA213" s="646"/>
      <c r="EB213" s="646"/>
      <c r="EC213" s="646"/>
      <c r="ED213" s="646"/>
      <c r="EE213" s="646"/>
      <c r="EF213" s="646"/>
      <c r="EG213" s="646"/>
      <c r="EH213" s="646"/>
      <c r="EI213" s="646"/>
      <c r="EJ213" s="646"/>
      <c r="EK213" s="271"/>
      <c r="EL213" s="644"/>
      <c r="EM213" s="634"/>
      <c r="EN213" s="647"/>
      <c r="EO213" s="648"/>
      <c r="EP213" s="647"/>
      <c r="EQ213" s="647"/>
      <c r="ER213" s="647"/>
      <c r="ES213" s="139"/>
      <c r="EV213" s="647"/>
      <c r="EW213" s="647"/>
      <c r="EX213" s="647"/>
      <c r="EY213" s="647"/>
      <c r="EZ213" s="647"/>
      <c r="FA213" s="646"/>
      <c r="FB213" s="646"/>
      <c r="FC213" s="646"/>
      <c r="FD213" s="646"/>
      <c r="FE213" s="646"/>
      <c r="FF213" s="646"/>
      <c r="FG213" s="647"/>
      <c r="FH213" s="647"/>
      <c r="FI213" s="647"/>
      <c r="FJ213" s="647"/>
      <c r="FK213" s="647"/>
      <c r="FL213" s="647"/>
      <c r="FM213" s="647"/>
      <c r="FN213" s="647"/>
      <c r="FO213" s="647"/>
      <c r="FP213" s="647"/>
      <c r="FQ213" s="647"/>
      <c r="FR213" s="647"/>
      <c r="FS213" s="101"/>
      <c r="FT213" s="95"/>
      <c r="FU213" s="651"/>
      <c r="FV213" s="101"/>
      <c r="FW213" s="101"/>
      <c r="FX213" s="634"/>
      <c r="FY213" s="634"/>
      <c r="FZ213" s="634"/>
      <c r="GA213" s="634"/>
      <c r="GB213" s="634"/>
      <c r="GC213" s="634"/>
      <c r="GD213" s="634"/>
      <c r="GE213" s="634"/>
      <c r="GF213" s="634"/>
      <c r="GG213" s="634"/>
      <c r="GH213" s="634"/>
      <c r="GI213" s="634"/>
      <c r="GJ213" s="634"/>
      <c r="GK213" s="634"/>
      <c r="GL213" s="101"/>
      <c r="GM213" s="101"/>
      <c r="GN213" s="101"/>
      <c r="GO213" s="643"/>
      <c r="GP213" s="644"/>
      <c r="GQ213" s="643"/>
      <c r="GR213" s="644"/>
      <c r="GS213" s="643"/>
      <c r="GT213" s="644"/>
      <c r="GU213" s="644"/>
      <c r="GV213" s="644"/>
      <c r="GW213" s="644"/>
      <c r="GX213" s="644"/>
      <c r="GY213" s="644"/>
      <c r="GZ213" s="644"/>
      <c r="HA213" s="644"/>
    </row>
    <row r="214" spans="1:209">
      <c r="A214" s="638"/>
      <c r="B214" s="95"/>
      <c r="C214" s="95"/>
      <c r="D214" s="95"/>
      <c r="E214" s="650"/>
      <c r="F214" s="95"/>
      <c r="G214" s="98"/>
      <c r="H214" s="99"/>
      <c r="I214" s="95"/>
      <c r="J214" s="95"/>
      <c r="K214" s="95"/>
      <c r="L214" s="95"/>
      <c r="M214" s="95"/>
      <c r="N214" s="95"/>
      <c r="O214" s="95"/>
      <c r="P214" s="95"/>
      <c r="Q214" s="95"/>
      <c r="R214" s="98"/>
      <c r="S214" s="101"/>
      <c r="T214" s="644"/>
      <c r="U214" s="101"/>
      <c r="V214" s="647"/>
      <c r="W214" s="643"/>
      <c r="X214" s="644"/>
      <c r="Y214" s="101"/>
      <c r="Z214" s="644"/>
      <c r="AA214" s="101"/>
      <c r="AB214" s="644"/>
      <c r="AC214" s="101"/>
      <c r="AD214" s="646"/>
      <c r="AE214" s="271"/>
      <c r="AF214" s="646"/>
      <c r="AG214" s="646"/>
      <c r="AH214" s="646"/>
      <c r="AI214" s="646"/>
      <c r="AJ214" s="646"/>
      <c r="AK214" s="646"/>
      <c r="AL214" s="646"/>
      <c r="AM214" s="271"/>
      <c r="AN214" s="646"/>
      <c r="AO214" s="646"/>
      <c r="AP214" s="646"/>
      <c r="AQ214" s="271"/>
      <c r="AR214" s="646"/>
      <c r="AS214" s="270"/>
      <c r="AT214" s="646"/>
      <c r="AU214" s="646"/>
      <c r="AV214" s="646"/>
      <c r="AW214" s="270"/>
      <c r="AX214" s="646"/>
      <c r="AY214" s="270"/>
      <c r="AZ214" s="646"/>
      <c r="BA214" s="646"/>
      <c r="BB214" s="644"/>
      <c r="BC214" s="644"/>
      <c r="BD214" s="644"/>
      <c r="BE214" s="644"/>
      <c r="BF214" s="644"/>
      <c r="BG214" s="644"/>
      <c r="BH214" s="644"/>
      <c r="BI214" s="644"/>
      <c r="BJ214" s="644"/>
      <c r="BK214" s="644"/>
      <c r="BL214" s="644"/>
      <c r="BM214" s="95"/>
      <c r="BN214" s="644"/>
      <c r="BO214" s="95"/>
      <c r="BP214" s="644"/>
      <c r="BQ214" s="644"/>
      <c r="BR214" s="644"/>
      <c r="BS214" s="644"/>
      <c r="BT214" s="644"/>
      <c r="BU214" s="644"/>
      <c r="BV214" s="644"/>
      <c r="BW214" s="644"/>
      <c r="BX214" s="644"/>
      <c r="BY214" s="644"/>
      <c r="BZ214" s="644"/>
      <c r="CA214" s="644"/>
      <c r="CB214" s="644"/>
      <c r="CC214" s="644"/>
      <c r="CD214" s="644"/>
      <c r="CE214" s="644"/>
      <c r="CF214" s="644"/>
      <c r="CG214" s="644"/>
      <c r="CH214" s="644"/>
      <c r="CI214" s="644"/>
      <c r="CJ214" s="644"/>
      <c r="CK214" s="644"/>
      <c r="CL214" s="644"/>
      <c r="CM214" s="95"/>
      <c r="CN214" s="644"/>
      <c r="CO214" s="644"/>
      <c r="CP214" s="95"/>
      <c r="CQ214" s="98"/>
      <c r="CR214" s="95"/>
      <c r="CS214" s="95"/>
      <c r="CT214" s="95"/>
      <c r="CU214" s="108"/>
      <c r="CV214" s="109"/>
      <c r="CW214" s="644"/>
      <c r="CX214" s="496"/>
      <c r="CY214" s="637"/>
      <c r="CZ214" s="644"/>
      <c r="DA214" s="644"/>
      <c r="DB214" s="644"/>
      <c r="DC214" s="496"/>
      <c r="DD214" s="644"/>
      <c r="DE214" s="101"/>
      <c r="DF214" s="644"/>
      <c r="DG214" s="101"/>
      <c r="DH214" s="644"/>
      <c r="DI214" s="644"/>
      <c r="DJ214" s="644"/>
      <c r="DK214" s="644"/>
      <c r="DL214" s="644"/>
      <c r="DM214" s="101"/>
      <c r="DN214" s="644"/>
      <c r="DO214" s="644"/>
      <c r="DP214" s="644"/>
      <c r="DQ214" s="644"/>
      <c r="DR214" s="644"/>
      <c r="DS214" s="644"/>
      <c r="DT214" s="644"/>
      <c r="DU214" s="644"/>
      <c r="DV214" s="644"/>
      <c r="DW214" s="101"/>
      <c r="DX214" s="646"/>
      <c r="DY214" s="646"/>
      <c r="DZ214" s="646"/>
      <c r="EA214" s="646"/>
      <c r="EB214" s="646"/>
      <c r="EC214" s="646"/>
      <c r="ED214" s="646"/>
      <c r="EE214" s="646"/>
      <c r="EF214" s="646"/>
      <c r="EG214" s="646"/>
      <c r="EH214" s="646"/>
      <c r="EI214" s="646"/>
      <c r="EJ214" s="646"/>
      <c r="EK214" s="271"/>
      <c r="EL214" s="644"/>
      <c r="EM214" s="634"/>
      <c r="EN214" s="647"/>
      <c r="EO214" s="648"/>
      <c r="EP214" s="647"/>
      <c r="EQ214" s="647"/>
      <c r="ER214" s="647"/>
      <c r="ES214" s="139"/>
      <c r="EV214" s="647"/>
      <c r="EW214" s="647"/>
      <c r="EX214" s="647"/>
      <c r="EY214" s="647"/>
      <c r="EZ214" s="647"/>
      <c r="FA214" s="646"/>
      <c r="FB214" s="646"/>
      <c r="FC214" s="646"/>
      <c r="FD214" s="646"/>
      <c r="FE214" s="646"/>
      <c r="FF214" s="646"/>
      <c r="FG214" s="647"/>
      <c r="FH214" s="647"/>
      <c r="FI214" s="647"/>
      <c r="FJ214" s="647"/>
      <c r="FK214" s="647"/>
      <c r="FL214" s="647"/>
      <c r="FM214" s="647"/>
      <c r="FN214" s="647"/>
      <c r="FO214" s="647"/>
      <c r="FP214" s="647"/>
      <c r="FQ214" s="647"/>
      <c r="FR214" s="647"/>
      <c r="FS214" s="101"/>
      <c r="FT214" s="95"/>
      <c r="FU214" s="651"/>
      <c r="FV214" s="101"/>
      <c r="FW214" s="101"/>
      <c r="FX214" s="634"/>
      <c r="FY214" s="634"/>
      <c r="FZ214" s="634"/>
      <c r="GA214" s="634"/>
      <c r="GB214" s="634"/>
      <c r="GC214" s="634"/>
      <c r="GD214" s="634"/>
      <c r="GE214" s="634"/>
      <c r="GF214" s="634"/>
      <c r="GG214" s="634"/>
      <c r="GH214" s="634"/>
      <c r="GI214" s="634"/>
      <c r="GJ214" s="634"/>
      <c r="GK214" s="634"/>
      <c r="GL214" s="101"/>
      <c r="GM214" s="101"/>
      <c r="GN214" s="101"/>
      <c r="GO214" s="643"/>
      <c r="GP214" s="644"/>
      <c r="GQ214" s="643"/>
      <c r="GR214" s="644"/>
      <c r="GS214" s="643"/>
      <c r="GT214" s="644"/>
      <c r="GU214" s="644"/>
      <c r="GV214" s="644"/>
      <c r="GW214" s="644"/>
      <c r="GX214" s="644"/>
      <c r="GY214" s="644"/>
      <c r="GZ214" s="644"/>
      <c r="HA214" s="644"/>
    </row>
    <row r="215" spans="1:209">
      <c r="A215" s="638"/>
      <c r="B215" s="95"/>
      <c r="C215" s="95"/>
      <c r="D215" s="95"/>
      <c r="E215" s="650"/>
      <c r="F215" s="95"/>
      <c r="G215" s="98"/>
      <c r="H215" s="99"/>
      <c r="I215" s="95"/>
      <c r="J215" s="95"/>
      <c r="K215" s="95"/>
      <c r="L215" s="95"/>
      <c r="M215" s="95"/>
      <c r="N215" s="95"/>
      <c r="O215" s="95"/>
      <c r="P215" s="95"/>
      <c r="Q215" s="95"/>
      <c r="R215" s="98"/>
      <c r="S215" s="101"/>
      <c r="T215" s="644"/>
      <c r="U215" s="101"/>
      <c r="V215" s="647"/>
      <c r="W215" s="643"/>
      <c r="X215" s="644"/>
      <c r="Y215" s="101"/>
      <c r="Z215" s="644"/>
      <c r="AA215" s="101"/>
      <c r="AB215" s="644"/>
      <c r="AC215" s="101"/>
      <c r="AD215" s="646"/>
      <c r="AE215" s="271"/>
      <c r="AF215" s="646"/>
      <c r="AG215" s="646"/>
      <c r="AH215" s="646"/>
      <c r="AI215" s="646"/>
      <c r="AJ215" s="646"/>
      <c r="AK215" s="646"/>
      <c r="AL215" s="646"/>
      <c r="AM215" s="271"/>
      <c r="AN215" s="646"/>
      <c r="AO215" s="646"/>
      <c r="AP215" s="646"/>
      <c r="AQ215" s="271"/>
      <c r="AR215" s="646"/>
      <c r="AS215" s="270"/>
      <c r="AT215" s="646"/>
      <c r="AU215" s="646"/>
      <c r="AV215" s="646"/>
      <c r="AW215" s="270"/>
      <c r="AX215" s="646"/>
      <c r="AY215" s="270"/>
      <c r="AZ215" s="646"/>
      <c r="BA215" s="646"/>
      <c r="BB215" s="644"/>
      <c r="BC215" s="644"/>
      <c r="BD215" s="644"/>
      <c r="BE215" s="644"/>
      <c r="BF215" s="644"/>
      <c r="BG215" s="644"/>
      <c r="BH215" s="644"/>
      <c r="BI215" s="644"/>
      <c r="BJ215" s="644"/>
      <c r="BK215" s="644"/>
      <c r="BL215" s="644"/>
      <c r="BM215" s="95"/>
      <c r="BN215" s="644"/>
      <c r="BO215" s="95"/>
      <c r="BP215" s="644"/>
      <c r="BQ215" s="644"/>
      <c r="BR215" s="644"/>
      <c r="BS215" s="644"/>
      <c r="BT215" s="644"/>
      <c r="BU215" s="644"/>
      <c r="BV215" s="644"/>
      <c r="BW215" s="644"/>
      <c r="BX215" s="644"/>
      <c r="BY215" s="644"/>
      <c r="BZ215" s="644"/>
      <c r="CA215" s="644"/>
      <c r="CB215" s="644"/>
      <c r="CC215" s="644"/>
      <c r="CD215" s="644"/>
      <c r="CE215" s="644"/>
      <c r="CF215" s="644"/>
      <c r="CG215" s="644"/>
      <c r="CH215" s="644"/>
      <c r="CI215" s="644"/>
      <c r="CJ215" s="644"/>
      <c r="CK215" s="644"/>
      <c r="CL215" s="644"/>
      <c r="CM215" s="95"/>
      <c r="CN215" s="644"/>
      <c r="CO215" s="644"/>
      <c r="CP215" s="95"/>
      <c r="CQ215" s="98"/>
      <c r="CR215" s="95"/>
      <c r="CS215" s="95"/>
      <c r="CT215" s="95"/>
      <c r="CU215" s="108"/>
      <c r="CV215" s="109"/>
      <c r="CW215" s="644"/>
      <c r="CX215" s="496"/>
      <c r="CY215" s="637"/>
      <c r="CZ215" s="644"/>
      <c r="DA215" s="644"/>
      <c r="DB215" s="644"/>
      <c r="DC215" s="496"/>
      <c r="DD215" s="644"/>
      <c r="DE215" s="101"/>
      <c r="DF215" s="644"/>
      <c r="DG215" s="101"/>
      <c r="DH215" s="644"/>
      <c r="DI215" s="644"/>
      <c r="DJ215" s="644"/>
      <c r="DK215" s="644"/>
      <c r="DL215" s="644"/>
      <c r="DM215" s="101"/>
      <c r="DN215" s="644"/>
      <c r="DO215" s="644"/>
      <c r="DP215" s="644"/>
      <c r="DQ215" s="644"/>
      <c r="DR215" s="644"/>
      <c r="DS215" s="644"/>
      <c r="DT215" s="644"/>
      <c r="DU215" s="644"/>
      <c r="DV215" s="644"/>
      <c r="DW215" s="101"/>
      <c r="DX215" s="646"/>
      <c r="DY215" s="646"/>
      <c r="DZ215" s="646"/>
      <c r="EA215" s="646"/>
      <c r="EB215" s="646"/>
      <c r="EC215" s="646"/>
      <c r="ED215" s="646"/>
      <c r="EE215" s="646"/>
      <c r="EF215" s="646"/>
      <c r="EG215" s="646"/>
      <c r="EH215" s="646"/>
      <c r="EI215" s="646"/>
      <c r="EJ215" s="646"/>
      <c r="EK215" s="271"/>
      <c r="EL215" s="644"/>
      <c r="EM215" s="634"/>
      <c r="EN215" s="647"/>
      <c r="EO215" s="648"/>
      <c r="EP215" s="647"/>
      <c r="EQ215" s="647"/>
      <c r="ER215" s="647"/>
      <c r="ES215" s="139"/>
      <c r="EV215" s="647"/>
      <c r="EW215" s="647"/>
      <c r="EX215" s="647"/>
      <c r="EY215" s="647"/>
      <c r="EZ215" s="647"/>
      <c r="FA215" s="646"/>
      <c r="FB215" s="646"/>
      <c r="FC215" s="646"/>
      <c r="FD215" s="646"/>
      <c r="FE215" s="646"/>
      <c r="FF215" s="646"/>
      <c r="FG215" s="647"/>
      <c r="FH215" s="647"/>
      <c r="FI215" s="647"/>
      <c r="FJ215" s="647"/>
      <c r="FK215" s="647"/>
      <c r="FL215" s="647"/>
      <c r="FM215" s="647"/>
      <c r="FN215" s="647"/>
      <c r="FO215" s="647"/>
      <c r="FP215" s="647"/>
      <c r="FQ215" s="647"/>
      <c r="FR215" s="647"/>
      <c r="FS215" s="101"/>
      <c r="FT215" s="95"/>
      <c r="FU215" s="651"/>
      <c r="FV215" s="101"/>
      <c r="FW215" s="101"/>
      <c r="FX215" s="634"/>
      <c r="FY215" s="634"/>
      <c r="FZ215" s="634"/>
      <c r="GA215" s="634"/>
      <c r="GB215" s="634"/>
      <c r="GC215" s="634"/>
      <c r="GD215" s="634"/>
      <c r="GE215" s="634"/>
      <c r="GF215" s="634"/>
      <c r="GG215" s="634"/>
      <c r="GH215" s="634"/>
      <c r="GI215" s="634"/>
      <c r="GJ215" s="634"/>
      <c r="GK215" s="634"/>
      <c r="GL215" s="101"/>
      <c r="GM215" s="101"/>
      <c r="GN215" s="101"/>
      <c r="GO215" s="643"/>
      <c r="GP215" s="644"/>
      <c r="GQ215" s="643"/>
      <c r="GR215" s="644"/>
      <c r="GS215" s="643"/>
      <c r="GT215" s="644"/>
      <c r="GU215" s="644"/>
      <c r="GV215" s="644"/>
      <c r="GW215" s="644"/>
      <c r="GX215" s="644"/>
      <c r="GY215" s="644"/>
      <c r="GZ215" s="644"/>
      <c r="HA215" s="644"/>
    </row>
    <row r="216" spans="1:209">
      <c r="A216" s="638"/>
      <c r="B216" s="95"/>
      <c r="C216" s="95"/>
      <c r="D216" s="95"/>
      <c r="E216" s="650"/>
      <c r="F216" s="95"/>
      <c r="G216" s="98"/>
      <c r="H216" s="99"/>
      <c r="I216" s="95"/>
      <c r="J216" s="95"/>
      <c r="K216" s="95"/>
      <c r="L216" s="95"/>
      <c r="M216" s="95"/>
      <c r="N216" s="95"/>
      <c r="O216" s="95"/>
      <c r="P216" s="95"/>
      <c r="Q216" s="95"/>
      <c r="R216" s="98"/>
      <c r="S216" s="101"/>
      <c r="T216" s="644"/>
      <c r="U216" s="101"/>
      <c r="V216" s="647"/>
      <c r="W216" s="643"/>
      <c r="X216" s="644"/>
      <c r="Y216" s="101"/>
      <c r="Z216" s="644"/>
      <c r="AA216" s="101"/>
      <c r="AB216" s="644"/>
      <c r="AC216" s="101"/>
      <c r="AD216" s="646"/>
      <c r="AE216" s="271"/>
      <c r="AF216" s="646"/>
      <c r="AG216" s="646"/>
      <c r="AH216" s="646"/>
      <c r="AI216" s="646"/>
      <c r="AJ216" s="646"/>
      <c r="AK216" s="646"/>
      <c r="AL216" s="646"/>
      <c r="AM216" s="271"/>
      <c r="AN216" s="646"/>
      <c r="AO216" s="646"/>
      <c r="AP216" s="646"/>
      <c r="AQ216" s="271"/>
      <c r="AR216" s="646"/>
      <c r="AS216" s="270"/>
      <c r="AT216" s="646"/>
      <c r="AU216" s="646"/>
      <c r="AV216" s="646"/>
      <c r="AW216" s="270"/>
      <c r="AX216" s="646"/>
      <c r="AY216" s="270"/>
      <c r="AZ216" s="646"/>
      <c r="BA216" s="646"/>
      <c r="BB216" s="644"/>
      <c r="BC216" s="644"/>
      <c r="BD216" s="644"/>
      <c r="BE216" s="644"/>
      <c r="BF216" s="644"/>
      <c r="BG216" s="644"/>
      <c r="BH216" s="644"/>
      <c r="BI216" s="644"/>
      <c r="BJ216" s="644"/>
      <c r="BK216" s="644"/>
      <c r="BL216" s="644"/>
      <c r="BM216" s="95"/>
      <c r="BN216" s="644"/>
      <c r="BO216" s="95"/>
      <c r="BP216" s="644"/>
      <c r="BQ216" s="644"/>
      <c r="BR216" s="644"/>
      <c r="BS216" s="644"/>
      <c r="BT216" s="644"/>
      <c r="BU216" s="644"/>
      <c r="BV216" s="644"/>
      <c r="BW216" s="644"/>
      <c r="BX216" s="644"/>
      <c r="BY216" s="644"/>
      <c r="BZ216" s="644"/>
      <c r="CA216" s="644"/>
      <c r="CB216" s="644"/>
      <c r="CC216" s="644"/>
      <c r="CD216" s="644"/>
      <c r="CE216" s="644"/>
      <c r="CF216" s="644"/>
      <c r="CG216" s="644"/>
      <c r="CH216" s="644"/>
      <c r="CI216" s="644"/>
      <c r="CJ216" s="644"/>
      <c r="CK216" s="644"/>
      <c r="CL216" s="644"/>
      <c r="CM216" s="95"/>
      <c r="CN216" s="644"/>
      <c r="CO216" s="644"/>
      <c r="CP216" s="95"/>
      <c r="CQ216" s="98"/>
      <c r="CR216" s="95"/>
      <c r="CS216" s="95"/>
      <c r="CT216" s="95"/>
      <c r="CU216" s="108"/>
      <c r="CV216" s="109"/>
      <c r="CW216" s="644"/>
      <c r="CX216" s="496"/>
      <c r="CY216" s="637"/>
      <c r="CZ216" s="644"/>
      <c r="DA216" s="644"/>
      <c r="DB216" s="644"/>
      <c r="DC216" s="496"/>
      <c r="DD216" s="644"/>
      <c r="DE216" s="101"/>
      <c r="DF216" s="644"/>
      <c r="DG216" s="101"/>
      <c r="DH216" s="644"/>
      <c r="DI216" s="644"/>
      <c r="DJ216" s="644"/>
      <c r="DK216" s="644"/>
      <c r="DL216" s="644"/>
      <c r="DM216" s="101"/>
      <c r="DN216" s="644"/>
      <c r="DO216" s="644"/>
      <c r="DP216" s="644"/>
      <c r="DQ216" s="644"/>
      <c r="DR216" s="644"/>
      <c r="DS216" s="644"/>
      <c r="DT216" s="644"/>
      <c r="DU216" s="644"/>
      <c r="DV216" s="644"/>
      <c r="DW216" s="101"/>
      <c r="DX216" s="646"/>
      <c r="DY216" s="646"/>
      <c r="DZ216" s="646"/>
      <c r="EA216" s="646"/>
      <c r="EB216" s="646"/>
      <c r="EC216" s="646"/>
      <c r="ED216" s="646"/>
      <c r="EE216" s="646"/>
      <c r="EF216" s="646"/>
      <c r="EG216" s="646"/>
      <c r="EH216" s="646"/>
      <c r="EI216" s="646"/>
      <c r="EJ216" s="646"/>
      <c r="EK216" s="271"/>
      <c r="EL216" s="644"/>
      <c r="EM216" s="634"/>
      <c r="EN216" s="647"/>
      <c r="EO216" s="648"/>
      <c r="EP216" s="647"/>
      <c r="EQ216" s="647"/>
      <c r="ER216" s="647"/>
      <c r="ES216" s="139"/>
      <c r="EV216" s="647"/>
      <c r="EW216" s="647"/>
      <c r="EX216" s="647"/>
      <c r="EY216" s="647"/>
      <c r="EZ216" s="647"/>
      <c r="FA216" s="646"/>
      <c r="FB216" s="646"/>
      <c r="FC216" s="646"/>
      <c r="FD216" s="646"/>
      <c r="FE216" s="646"/>
      <c r="FF216" s="646"/>
      <c r="FG216" s="647"/>
      <c r="FH216" s="647"/>
      <c r="FI216" s="647"/>
      <c r="FJ216" s="647"/>
      <c r="FK216" s="647"/>
      <c r="FL216" s="647"/>
      <c r="FM216" s="647"/>
      <c r="FN216" s="647"/>
      <c r="FO216" s="647"/>
      <c r="FP216" s="647"/>
      <c r="FQ216" s="647"/>
      <c r="FR216" s="647"/>
      <c r="FS216" s="101"/>
      <c r="FT216" s="95"/>
      <c r="FU216" s="651"/>
      <c r="FV216" s="101"/>
      <c r="FW216" s="101"/>
      <c r="FX216" s="634"/>
      <c r="FY216" s="634"/>
      <c r="FZ216" s="634"/>
      <c r="GA216" s="634"/>
      <c r="GB216" s="634"/>
      <c r="GC216" s="634"/>
      <c r="GD216" s="634"/>
      <c r="GE216" s="634"/>
      <c r="GF216" s="634"/>
      <c r="GG216" s="634"/>
      <c r="GH216" s="634"/>
      <c r="GI216" s="634"/>
      <c r="GJ216" s="634"/>
      <c r="GK216" s="634"/>
      <c r="GL216" s="101"/>
      <c r="GM216" s="101"/>
      <c r="GN216" s="101"/>
      <c r="GO216" s="643"/>
      <c r="GP216" s="644"/>
      <c r="GQ216" s="643"/>
      <c r="GR216" s="644"/>
      <c r="GS216" s="643"/>
      <c r="GT216" s="644"/>
      <c r="GU216" s="644"/>
      <c r="GV216" s="644"/>
      <c r="GW216" s="644"/>
      <c r="GX216" s="644"/>
      <c r="GY216" s="644"/>
      <c r="GZ216" s="644"/>
      <c r="HA216" s="644"/>
    </row>
    <row r="217" spans="1:209">
      <c r="A217" s="638"/>
      <c r="B217" s="95"/>
      <c r="C217" s="95"/>
      <c r="D217" s="95"/>
      <c r="E217" s="650"/>
      <c r="F217" s="95"/>
      <c r="G217" s="98"/>
      <c r="H217" s="99"/>
      <c r="I217" s="95"/>
      <c r="J217" s="95"/>
      <c r="K217" s="95"/>
      <c r="L217" s="95"/>
      <c r="M217" s="95"/>
      <c r="N217" s="95"/>
      <c r="O217" s="95"/>
      <c r="P217" s="95"/>
      <c r="Q217" s="95"/>
      <c r="R217" s="98"/>
      <c r="S217" s="101"/>
      <c r="T217" s="644"/>
      <c r="U217" s="101"/>
      <c r="V217" s="647"/>
      <c r="W217" s="643"/>
      <c r="X217" s="644"/>
      <c r="Y217" s="101"/>
      <c r="Z217" s="644"/>
      <c r="AA217" s="101"/>
      <c r="AB217" s="644"/>
      <c r="AC217" s="101"/>
      <c r="AD217" s="646"/>
      <c r="AE217" s="271"/>
      <c r="AF217" s="646"/>
      <c r="AG217" s="646"/>
      <c r="AH217" s="646"/>
      <c r="AI217" s="646"/>
      <c r="AJ217" s="646"/>
      <c r="AK217" s="646"/>
      <c r="AL217" s="646"/>
      <c r="AM217" s="271"/>
      <c r="AN217" s="646"/>
      <c r="AO217" s="646"/>
      <c r="AP217" s="646"/>
      <c r="AQ217" s="271"/>
      <c r="AR217" s="646"/>
      <c r="AS217" s="270"/>
      <c r="AT217" s="646"/>
      <c r="AU217" s="646"/>
      <c r="AV217" s="646"/>
      <c r="AW217" s="270"/>
      <c r="AX217" s="646"/>
      <c r="AY217" s="270"/>
      <c r="AZ217" s="646"/>
      <c r="BA217" s="646"/>
      <c r="BB217" s="644"/>
      <c r="BC217" s="644"/>
      <c r="BD217" s="644"/>
      <c r="BE217" s="644"/>
      <c r="BF217" s="644"/>
      <c r="BG217" s="644"/>
      <c r="BH217" s="644"/>
      <c r="BI217" s="644"/>
      <c r="BJ217" s="644"/>
      <c r="BK217" s="644"/>
      <c r="BL217" s="644"/>
      <c r="BM217" s="95"/>
      <c r="BN217" s="644"/>
      <c r="BO217" s="95"/>
      <c r="BP217" s="644"/>
      <c r="BQ217" s="644"/>
      <c r="BR217" s="644"/>
      <c r="BS217" s="644"/>
      <c r="BT217" s="644"/>
      <c r="BU217" s="644"/>
      <c r="BV217" s="644"/>
      <c r="BW217" s="644"/>
      <c r="BX217" s="644"/>
      <c r="BY217" s="644"/>
      <c r="BZ217" s="644"/>
      <c r="CA217" s="644"/>
      <c r="CB217" s="644"/>
      <c r="CC217" s="644"/>
      <c r="CD217" s="644"/>
      <c r="CE217" s="644"/>
      <c r="CF217" s="644"/>
      <c r="CG217" s="644"/>
      <c r="CH217" s="644"/>
      <c r="CI217" s="644"/>
      <c r="CJ217" s="644"/>
      <c r="CK217" s="644"/>
      <c r="CL217" s="644"/>
      <c r="CM217" s="95"/>
      <c r="CN217" s="644"/>
      <c r="CO217" s="644"/>
      <c r="CP217" s="95"/>
      <c r="CQ217" s="98"/>
      <c r="CR217" s="95"/>
      <c r="CS217" s="95"/>
      <c r="CT217" s="95"/>
      <c r="CU217" s="108"/>
      <c r="CV217" s="109"/>
      <c r="CW217" s="644"/>
      <c r="CX217" s="496"/>
      <c r="CY217" s="637"/>
      <c r="CZ217" s="644"/>
      <c r="DA217" s="644"/>
      <c r="DB217" s="644"/>
      <c r="DC217" s="496"/>
      <c r="DD217" s="644"/>
      <c r="DE217" s="101"/>
      <c r="DF217" s="644"/>
      <c r="DG217" s="101"/>
      <c r="DH217" s="644"/>
      <c r="DI217" s="644"/>
      <c r="DJ217" s="644"/>
      <c r="DK217" s="644"/>
      <c r="DL217" s="644"/>
      <c r="DM217" s="101"/>
      <c r="DN217" s="644"/>
      <c r="DO217" s="644"/>
      <c r="DP217" s="644"/>
      <c r="DQ217" s="644"/>
      <c r="DR217" s="644"/>
      <c r="DS217" s="644"/>
      <c r="DT217" s="644"/>
      <c r="DU217" s="644"/>
      <c r="DV217" s="644"/>
      <c r="DW217" s="101"/>
      <c r="DX217" s="646"/>
      <c r="DY217" s="646"/>
      <c r="DZ217" s="646"/>
      <c r="EA217" s="646"/>
      <c r="EB217" s="646"/>
      <c r="EC217" s="646"/>
      <c r="ED217" s="646"/>
      <c r="EE217" s="646"/>
      <c r="EF217" s="646"/>
      <c r="EG217" s="646"/>
      <c r="EH217" s="646"/>
      <c r="EI217" s="646"/>
      <c r="EJ217" s="646"/>
      <c r="EK217" s="271"/>
      <c r="EL217" s="644"/>
      <c r="EM217" s="634"/>
      <c r="EN217" s="647"/>
      <c r="EO217" s="648"/>
      <c r="EP217" s="647"/>
      <c r="EQ217" s="647"/>
      <c r="ER217" s="647"/>
      <c r="ES217" s="139"/>
      <c r="EV217" s="647"/>
      <c r="EW217" s="647"/>
      <c r="EX217" s="647"/>
      <c r="EY217" s="647"/>
      <c r="EZ217" s="647"/>
      <c r="FA217" s="646"/>
      <c r="FB217" s="646"/>
      <c r="FC217" s="646"/>
      <c r="FD217" s="646"/>
      <c r="FE217" s="646"/>
      <c r="FF217" s="646"/>
      <c r="FG217" s="647"/>
      <c r="FH217" s="647"/>
      <c r="FI217" s="647"/>
      <c r="FJ217" s="647"/>
      <c r="FK217" s="647"/>
      <c r="FL217" s="647"/>
      <c r="FM217" s="647"/>
      <c r="FN217" s="647"/>
      <c r="FO217" s="647"/>
      <c r="FP217" s="647"/>
      <c r="FQ217" s="647"/>
      <c r="FR217" s="647"/>
      <c r="FS217" s="101"/>
      <c r="FT217" s="95"/>
      <c r="FU217" s="651"/>
      <c r="FV217" s="101"/>
      <c r="FW217" s="101"/>
      <c r="FX217" s="634"/>
      <c r="FY217" s="634"/>
      <c r="FZ217" s="634"/>
      <c r="GA217" s="634"/>
      <c r="GB217" s="634"/>
      <c r="GC217" s="634"/>
      <c r="GD217" s="634"/>
      <c r="GE217" s="634"/>
      <c r="GF217" s="634"/>
      <c r="GG217" s="634"/>
      <c r="GH217" s="634"/>
      <c r="GI217" s="634"/>
      <c r="GJ217" s="634"/>
      <c r="GK217" s="634"/>
      <c r="GL217" s="101"/>
      <c r="GM217" s="101"/>
      <c r="GN217" s="101"/>
      <c r="GO217" s="643"/>
      <c r="GP217" s="644"/>
      <c r="GQ217" s="643"/>
      <c r="GR217" s="644"/>
      <c r="GS217" s="643"/>
      <c r="GT217" s="644"/>
      <c r="GU217" s="644"/>
      <c r="GV217" s="644"/>
      <c r="GW217" s="644"/>
      <c r="GX217" s="644"/>
      <c r="GY217" s="644"/>
      <c r="GZ217" s="644"/>
      <c r="HA217" s="644"/>
    </row>
    <row r="218" spans="1:209">
      <c r="A218" s="638"/>
      <c r="B218" s="95"/>
      <c r="C218" s="95"/>
      <c r="D218" s="95"/>
      <c r="E218" s="650"/>
      <c r="F218" s="95"/>
      <c r="G218" s="98"/>
      <c r="H218" s="99"/>
      <c r="I218" s="95"/>
      <c r="J218" s="95"/>
      <c r="K218" s="95"/>
      <c r="L218" s="95"/>
      <c r="M218" s="95"/>
      <c r="N218" s="95"/>
      <c r="O218" s="95"/>
      <c r="P218" s="95"/>
      <c r="Q218" s="95"/>
      <c r="R218" s="98"/>
      <c r="S218" s="101"/>
      <c r="T218" s="644"/>
      <c r="U218" s="101"/>
      <c r="V218" s="647"/>
      <c r="W218" s="643"/>
      <c r="X218" s="644"/>
      <c r="Y218" s="101"/>
      <c r="Z218" s="644"/>
      <c r="AA218" s="101"/>
      <c r="AB218" s="644"/>
      <c r="AC218" s="101"/>
      <c r="AD218" s="646"/>
      <c r="AE218" s="271"/>
      <c r="AF218" s="646"/>
      <c r="AG218" s="646"/>
      <c r="AH218" s="646"/>
      <c r="AI218" s="646"/>
      <c r="AJ218" s="646"/>
      <c r="AK218" s="646"/>
      <c r="AL218" s="646"/>
      <c r="AM218" s="271"/>
      <c r="AN218" s="646"/>
      <c r="AO218" s="646"/>
      <c r="AP218" s="646"/>
      <c r="AQ218" s="271"/>
      <c r="AR218" s="646"/>
      <c r="AS218" s="270"/>
      <c r="AT218" s="646"/>
      <c r="AU218" s="646"/>
      <c r="AV218" s="646"/>
      <c r="AW218" s="270"/>
      <c r="AX218" s="646"/>
      <c r="AY218" s="270"/>
      <c r="AZ218" s="646"/>
      <c r="BA218" s="646"/>
      <c r="BB218" s="644"/>
      <c r="BC218" s="644"/>
      <c r="BD218" s="644"/>
      <c r="BE218" s="644"/>
      <c r="BF218" s="644"/>
      <c r="BG218" s="644"/>
      <c r="BH218" s="644"/>
      <c r="BI218" s="644"/>
      <c r="BJ218" s="644"/>
      <c r="BK218" s="644"/>
      <c r="BL218" s="644"/>
      <c r="BM218" s="95"/>
      <c r="BN218" s="644"/>
      <c r="BO218" s="95"/>
      <c r="BP218" s="644"/>
      <c r="BQ218" s="644"/>
      <c r="BR218" s="644"/>
      <c r="BS218" s="644"/>
      <c r="BT218" s="644"/>
      <c r="BU218" s="644"/>
      <c r="BV218" s="644"/>
      <c r="BW218" s="644"/>
      <c r="BX218" s="644"/>
      <c r="BY218" s="644"/>
      <c r="BZ218" s="644"/>
      <c r="CA218" s="644"/>
      <c r="CB218" s="644"/>
      <c r="CC218" s="644"/>
      <c r="CD218" s="644"/>
      <c r="CE218" s="644"/>
      <c r="CF218" s="644"/>
      <c r="CG218" s="644"/>
      <c r="CH218" s="644"/>
      <c r="CI218" s="644"/>
      <c r="CJ218" s="644"/>
      <c r="CK218" s="644"/>
      <c r="CL218" s="644"/>
      <c r="CM218" s="95"/>
      <c r="CN218" s="644"/>
      <c r="CO218" s="644"/>
      <c r="CP218" s="95"/>
      <c r="CQ218" s="98"/>
      <c r="CR218" s="95"/>
      <c r="CS218" s="95"/>
      <c r="CT218" s="95"/>
      <c r="CU218" s="108"/>
      <c r="CV218" s="109"/>
      <c r="CW218" s="644"/>
      <c r="CX218" s="496"/>
      <c r="CY218" s="637"/>
      <c r="CZ218" s="644"/>
      <c r="DA218" s="644"/>
      <c r="DB218" s="644"/>
      <c r="DC218" s="496"/>
      <c r="DD218" s="644"/>
      <c r="DE218" s="101"/>
      <c r="DF218" s="644"/>
      <c r="DG218" s="101"/>
      <c r="DH218" s="644"/>
      <c r="DI218" s="644"/>
      <c r="DJ218" s="644"/>
      <c r="DK218" s="644"/>
      <c r="DL218" s="644"/>
      <c r="DM218" s="101"/>
      <c r="DN218" s="644"/>
      <c r="DO218" s="644"/>
      <c r="DP218" s="644"/>
      <c r="DQ218" s="644"/>
      <c r="DR218" s="644"/>
      <c r="DS218" s="644"/>
      <c r="DT218" s="644"/>
      <c r="DU218" s="644"/>
      <c r="DV218" s="644"/>
      <c r="DW218" s="101"/>
      <c r="DX218" s="646"/>
      <c r="DY218" s="646"/>
      <c r="DZ218" s="646"/>
      <c r="EA218" s="646"/>
      <c r="EB218" s="646"/>
      <c r="EC218" s="646"/>
      <c r="ED218" s="646"/>
      <c r="EE218" s="646"/>
      <c r="EF218" s="646"/>
      <c r="EG218" s="646"/>
      <c r="EH218" s="646"/>
      <c r="EI218" s="646"/>
      <c r="EJ218" s="646"/>
      <c r="EK218" s="271"/>
      <c r="EL218" s="644"/>
      <c r="EM218" s="634"/>
      <c r="EN218" s="647"/>
      <c r="EO218" s="648"/>
      <c r="EP218" s="647"/>
      <c r="EQ218" s="647"/>
      <c r="ER218" s="647"/>
      <c r="ES218" s="139"/>
      <c r="EV218" s="647"/>
      <c r="EW218" s="647"/>
      <c r="EX218" s="647"/>
      <c r="EY218" s="647"/>
      <c r="EZ218" s="647"/>
      <c r="FA218" s="646"/>
      <c r="FB218" s="646"/>
      <c r="FC218" s="646"/>
      <c r="FD218" s="646"/>
      <c r="FE218" s="646"/>
      <c r="FF218" s="646"/>
      <c r="FG218" s="647"/>
      <c r="FH218" s="647"/>
      <c r="FI218" s="647"/>
      <c r="FJ218" s="647"/>
      <c r="FK218" s="647"/>
      <c r="FL218" s="647"/>
      <c r="FM218" s="647"/>
      <c r="FN218" s="647"/>
      <c r="FO218" s="647"/>
      <c r="FP218" s="647"/>
      <c r="FQ218" s="647"/>
      <c r="FR218" s="647"/>
      <c r="FS218" s="101"/>
      <c r="FT218" s="95"/>
      <c r="FU218" s="651"/>
      <c r="FV218" s="101"/>
      <c r="FW218" s="101"/>
      <c r="FX218" s="634"/>
      <c r="FY218" s="634"/>
      <c r="FZ218" s="634"/>
      <c r="GA218" s="634"/>
      <c r="GB218" s="634"/>
      <c r="GC218" s="634"/>
      <c r="GD218" s="634"/>
      <c r="GE218" s="634"/>
      <c r="GF218" s="634"/>
      <c r="GG218" s="634"/>
      <c r="GH218" s="634"/>
      <c r="GI218" s="634"/>
      <c r="GJ218" s="634"/>
      <c r="GK218" s="634"/>
      <c r="GL218" s="101"/>
      <c r="GM218" s="101"/>
      <c r="GN218" s="101"/>
      <c r="GO218" s="643"/>
      <c r="GP218" s="644"/>
      <c r="GQ218" s="643"/>
      <c r="GR218" s="644"/>
      <c r="GS218" s="643"/>
      <c r="GT218" s="644"/>
      <c r="GU218" s="644"/>
      <c r="GV218" s="644"/>
      <c r="GW218" s="644"/>
      <c r="GX218" s="644"/>
      <c r="GY218" s="644"/>
      <c r="GZ218" s="644"/>
      <c r="HA218" s="644"/>
    </row>
    <row r="219" spans="1:209">
      <c r="A219" s="638"/>
      <c r="B219" s="95"/>
      <c r="C219" s="95"/>
      <c r="D219" s="95"/>
      <c r="E219" s="650"/>
      <c r="F219" s="95"/>
      <c r="G219" s="98"/>
      <c r="H219" s="99"/>
      <c r="I219" s="95"/>
      <c r="J219" s="95"/>
      <c r="K219" s="95"/>
      <c r="L219" s="95"/>
      <c r="M219" s="95"/>
      <c r="N219" s="95"/>
      <c r="O219" s="95"/>
      <c r="P219" s="95"/>
      <c r="Q219" s="95"/>
      <c r="R219" s="98"/>
      <c r="S219" s="101"/>
      <c r="T219" s="644"/>
      <c r="U219" s="101"/>
      <c r="V219" s="647"/>
      <c r="W219" s="643"/>
      <c r="X219" s="644"/>
      <c r="Y219" s="101"/>
      <c r="Z219" s="644"/>
      <c r="AA219" s="101"/>
      <c r="AB219" s="644"/>
      <c r="AC219" s="101"/>
      <c r="AD219" s="646"/>
      <c r="AE219" s="271"/>
      <c r="AF219" s="646"/>
      <c r="AG219" s="646"/>
      <c r="AH219" s="646"/>
      <c r="AI219" s="646"/>
      <c r="AJ219" s="646"/>
      <c r="AK219" s="646"/>
      <c r="AL219" s="646"/>
      <c r="AM219" s="271"/>
      <c r="AN219" s="646"/>
      <c r="AO219" s="646"/>
      <c r="AP219" s="646"/>
      <c r="AQ219" s="271"/>
      <c r="AR219" s="646"/>
      <c r="AS219" s="270"/>
      <c r="AT219" s="646"/>
      <c r="AU219" s="646"/>
      <c r="AV219" s="646"/>
      <c r="AW219" s="270"/>
      <c r="AX219" s="646"/>
      <c r="AY219" s="270"/>
      <c r="AZ219" s="646"/>
      <c r="BA219" s="646"/>
      <c r="BB219" s="644"/>
      <c r="BC219" s="644"/>
      <c r="BD219" s="644"/>
      <c r="BE219" s="644"/>
      <c r="BF219" s="644"/>
      <c r="BG219" s="644"/>
      <c r="BH219" s="644"/>
      <c r="BI219" s="644"/>
      <c r="BJ219" s="644"/>
      <c r="BK219" s="644"/>
      <c r="BL219" s="644"/>
      <c r="BM219" s="95"/>
      <c r="BN219" s="644"/>
      <c r="BO219" s="95"/>
      <c r="BP219" s="644"/>
      <c r="BQ219" s="644"/>
      <c r="BR219" s="644"/>
      <c r="BS219" s="644"/>
      <c r="BT219" s="644"/>
      <c r="BU219" s="644"/>
      <c r="BV219" s="644"/>
      <c r="BW219" s="644"/>
      <c r="BX219" s="644"/>
      <c r="BY219" s="644"/>
      <c r="BZ219" s="644"/>
      <c r="CA219" s="644"/>
      <c r="CB219" s="644"/>
      <c r="CC219" s="644"/>
      <c r="CD219" s="644"/>
      <c r="CE219" s="644"/>
      <c r="CF219" s="644"/>
      <c r="CG219" s="644"/>
      <c r="CH219" s="644"/>
      <c r="CI219" s="644"/>
      <c r="CJ219" s="644"/>
      <c r="CK219" s="644"/>
      <c r="CL219" s="644"/>
      <c r="CM219" s="95"/>
      <c r="CN219" s="644"/>
      <c r="CO219" s="644"/>
      <c r="CP219" s="95"/>
      <c r="CQ219" s="98"/>
      <c r="CR219" s="95"/>
      <c r="CS219" s="95"/>
      <c r="CT219" s="95"/>
      <c r="CU219" s="108"/>
      <c r="CV219" s="109"/>
      <c r="CW219" s="644"/>
      <c r="CX219" s="496"/>
      <c r="CY219" s="637"/>
      <c r="CZ219" s="644"/>
      <c r="DA219" s="644"/>
      <c r="DB219" s="644"/>
      <c r="DC219" s="496"/>
      <c r="DD219" s="644"/>
      <c r="DE219" s="101"/>
      <c r="DF219" s="644"/>
      <c r="DG219" s="101"/>
      <c r="DH219" s="644"/>
      <c r="DI219" s="644"/>
      <c r="DJ219" s="644"/>
      <c r="DK219" s="644"/>
      <c r="DL219" s="644"/>
      <c r="DM219" s="101"/>
      <c r="DN219" s="644"/>
      <c r="DO219" s="644"/>
      <c r="DP219" s="644"/>
      <c r="DQ219" s="644"/>
      <c r="DR219" s="644"/>
      <c r="DS219" s="644"/>
      <c r="DT219" s="644"/>
      <c r="DU219" s="644"/>
      <c r="DV219" s="644"/>
      <c r="DW219" s="101"/>
      <c r="DX219" s="646"/>
      <c r="DY219" s="646"/>
      <c r="DZ219" s="646"/>
      <c r="EA219" s="646"/>
      <c r="EB219" s="646"/>
      <c r="EC219" s="646"/>
      <c r="ED219" s="646"/>
      <c r="EE219" s="646"/>
      <c r="EF219" s="646"/>
      <c r="EG219" s="646"/>
      <c r="EH219" s="646"/>
      <c r="EI219" s="646"/>
      <c r="EJ219" s="646"/>
      <c r="EK219" s="271"/>
      <c r="EL219" s="644"/>
      <c r="EM219" s="634"/>
      <c r="EN219" s="647"/>
      <c r="EO219" s="648"/>
      <c r="EP219" s="647"/>
      <c r="EQ219" s="647"/>
      <c r="ER219" s="647"/>
      <c r="ES219" s="139"/>
      <c r="EV219" s="647"/>
      <c r="EW219" s="647"/>
      <c r="EX219" s="647"/>
      <c r="EY219" s="647"/>
      <c r="EZ219" s="647"/>
      <c r="FA219" s="646"/>
      <c r="FB219" s="646"/>
      <c r="FC219" s="646"/>
      <c r="FD219" s="646"/>
      <c r="FE219" s="646"/>
      <c r="FF219" s="646"/>
      <c r="FG219" s="647"/>
      <c r="FH219" s="647"/>
      <c r="FI219" s="647"/>
      <c r="FJ219" s="647"/>
      <c r="FK219" s="647"/>
      <c r="FL219" s="647"/>
      <c r="FM219" s="647"/>
      <c r="FN219" s="647"/>
      <c r="FO219" s="647"/>
      <c r="FP219" s="647"/>
      <c r="FQ219" s="647"/>
      <c r="FR219" s="647"/>
      <c r="FS219" s="101"/>
      <c r="FT219" s="95"/>
      <c r="FU219" s="651"/>
      <c r="FV219" s="101"/>
      <c r="FW219" s="101"/>
      <c r="FX219" s="634"/>
      <c r="FY219" s="634"/>
      <c r="FZ219" s="634"/>
      <c r="GA219" s="634"/>
      <c r="GB219" s="634"/>
      <c r="GC219" s="634"/>
      <c r="GD219" s="634"/>
      <c r="GE219" s="634"/>
      <c r="GF219" s="634"/>
      <c r="GG219" s="634"/>
      <c r="GH219" s="634"/>
      <c r="GI219" s="634"/>
      <c r="GJ219" s="634"/>
      <c r="GK219" s="634"/>
      <c r="GL219" s="101"/>
      <c r="GM219" s="101"/>
      <c r="GN219" s="101"/>
      <c r="GO219" s="643"/>
      <c r="GP219" s="644"/>
      <c r="GQ219" s="643"/>
      <c r="GR219" s="644"/>
      <c r="GS219" s="643"/>
      <c r="GT219" s="644"/>
      <c r="GU219" s="644"/>
      <c r="GV219" s="644"/>
      <c r="GW219" s="644"/>
      <c r="GX219" s="644"/>
      <c r="GY219" s="644"/>
      <c r="GZ219" s="644"/>
      <c r="HA219" s="644"/>
    </row>
    <row r="220" spans="1:209">
      <c r="A220" s="638"/>
      <c r="B220" s="95"/>
      <c r="C220" s="95"/>
      <c r="D220" s="95"/>
      <c r="E220" s="650"/>
      <c r="F220" s="95"/>
      <c r="G220" s="98"/>
      <c r="H220" s="99"/>
      <c r="I220" s="95"/>
      <c r="J220" s="95"/>
      <c r="K220" s="95"/>
      <c r="L220" s="95"/>
      <c r="M220" s="95"/>
      <c r="N220" s="95"/>
      <c r="O220" s="95"/>
      <c r="P220" s="95"/>
      <c r="Q220" s="95"/>
      <c r="R220" s="98"/>
      <c r="S220" s="101"/>
      <c r="T220" s="644"/>
      <c r="U220" s="101"/>
      <c r="V220" s="647"/>
      <c r="W220" s="643"/>
      <c r="X220" s="644"/>
      <c r="Y220" s="101"/>
      <c r="Z220" s="644"/>
      <c r="AA220" s="101"/>
      <c r="AB220" s="644"/>
      <c r="AC220" s="101"/>
      <c r="AD220" s="646"/>
      <c r="AE220" s="271"/>
      <c r="AF220" s="646"/>
      <c r="AG220" s="646"/>
      <c r="AH220" s="646"/>
      <c r="AI220" s="646"/>
      <c r="AJ220" s="646"/>
      <c r="AK220" s="646"/>
      <c r="AL220" s="646"/>
      <c r="AM220" s="271"/>
      <c r="AN220" s="646"/>
      <c r="AO220" s="646"/>
      <c r="AP220" s="646"/>
      <c r="AQ220" s="271"/>
      <c r="AR220" s="646"/>
      <c r="AS220" s="270"/>
      <c r="AT220" s="646"/>
      <c r="AU220" s="646"/>
      <c r="AV220" s="646"/>
      <c r="AW220" s="270"/>
      <c r="AX220" s="646"/>
      <c r="AY220" s="270"/>
      <c r="AZ220" s="646"/>
      <c r="BA220" s="646"/>
      <c r="BB220" s="644"/>
      <c r="BC220" s="644"/>
      <c r="BD220" s="644"/>
      <c r="BE220" s="644"/>
      <c r="BF220" s="644"/>
      <c r="BG220" s="644"/>
      <c r="BH220" s="644"/>
      <c r="BI220" s="644"/>
      <c r="BJ220" s="644"/>
      <c r="BK220" s="644"/>
      <c r="BL220" s="644"/>
      <c r="BM220" s="95"/>
      <c r="BN220" s="644"/>
      <c r="BO220" s="95"/>
      <c r="BP220" s="644"/>
      <c r="BQ220" s="644"/>
      <c r="BR220" s="644"/>
      <c r="BS220" s="644"/>
      <c r="BT220" s="644"/>
      <c r="BU220" s="644"/>
      <c r="BV220" s="644"/>
      <c r="BW220" s="644"/>
      <c r="BX220" s="644"/>
      <c r="BY220" s="644"/>
      <c r="BZ220" s="644"/>
      <c r="CA220" s="644"/>
      <c r="CB220" s="644"/>
      <c r="CC220" s="644"/>
      <c r="CD220" s="644"/>
      <c r="CE220" s="644"/>
      <c r="CF220" s="644"/>
      <c r="CG220" s="644"/>
      <c r="CH220" s="644"/>
      <c r="CI220" s="644"/>
      <c r="CJ220" s="644"/>
      <c r="CK220" s="644"/>
      <c r="CL220" s="644"/>
      <c r="CM220" s="95"/>
      <c r="CN220" s="644"/>
      <c r="CO220" s="644"/>
      <c r="CP220" s="95"/>
      <c r="CQ220" s="98"/>
      <c r="CR220" s="95"/>
      <c r="CS220" s="95"/>
      <c r="CT220" s="95"/>
      <c r="CU220" s="108"/>
      <c r="CV220" s="109"/>
      <c r="CW220" s="644"/>
      <c r="CX220" s="496"/>
      <c r="CY220" s="637"/>
      <c r="CZ220" s="644"/>
      <c r="DA220" s="644"/>
      <c r="DB220" s="644"/>
      <c r="DC220" s="496"/>
      <c r="DD220" s="644"/>
      <c r="DE220" s="101"/>
      <c r="DF220" s="644"/>
      <c r="DG220" s="101"/>
      <c r="DH220" s="644"/>
      <c r="DI220" s="644"/>
      <c r="DJ220" s="644"/>
      <c r="DK220" s="644"/>
      <c r="DL220" s="644"/>
      <c r="DM220" s="101"/>
      <c r="DN220" s="644"/>
      <c r="DO220" s="644"/>
      <c r="DP220" s="644"/>
      <c r="DQ220" s="644"/>
      <c r="DR220" s="644"/>
      <c r="DS220" s="644"/>
      <c r="DT220" s="644"/>
      <c r="DU220" s="644"/>
      <c r="DV220" s="644"/>
      <c r="DW220" s="101"/>
      <c r="DX220" s="646"/>
      <c r="DY220" s="646"/>
      <c r="DZ220" s="646"/>
      <c r="EA220" s="646"/>
      <c r="EB220" s="646"/>
      <c r="EC220" s="646"/>
      <c r="ED220" s="646"/>
      <c r="EE220" s="646"/>
      <c r="EF220" s="646"/>
      <c r="EG220" s="646"/>
      <c r="EH220" s="646"/>
      <c r="EI220" s="646"/>
      <c r="EJ220" s="646"/>
      <c r="EK220" s="271"/>
      <c r="EL220" s="644"/>
      <c r="EM220" s="634"/>
      <c r="EN220" s="647"/>
      <c r="EO220" s="648"/>
      <c r="EP220" s="647"/>
      <c r="EQ220" s="647"/>
      <c r="ER220" s="647"/>
      <c r="ES220" s="139"/>
      <c r="EV220" s="647"/>
      <c r="EW220" s="647"/>
      <c r="EX220" s="647"/>
      <c r="EY220" s="647"/>
      <c r="EZ220" s="647"/>
      <c r="FA220" s="646"/>
      <c r="FB220" s="646"/>
      <c r="FC220" s="646"/>
      <c r="FD220" s="646"/>
      <c r="FE220" s="646"/>
      <c r="FF220" s="646"/>
      <c r="FG220" s="647"/>
      <c r="FH220" s="647"/>
      <c r="FI220" s="647"/>
      <c r="FJ220" s="647"/>
      <c r="FK220" s="647"/>
      <c r="FL220" s="647"/>
      <c r="FM220" s="647"/>
      <c r="FN220" s="647"/>
      <c r="FO220" s="647"/>
      <c r="FP220" s="647"/>
      <c r="FQ220" s="647"/>
      <c r="FR220" s="647"/>
      <c r="FS220" s="101"/>
      <c r="FT220" s="95"/>
      <c r="FU220" s="651"/>
      <c r="FV220" s="101"/>
      <c r="FW220" s="101"/>
      <c r="FX220" s="634"/>
      <c r="FY220" s="634"/>
      <c r="FZ220" s="634"/>
      <c r="GA220" s="634"/>
      <c r="GB220" s="634"/>
      <c r="GC220" s="634"/>
      <c r="GD220" s="634"/>
      <c r="GE220" s="634"/>
      <c r="GF220" s="634"/>
      <c r="GG220" s="634"/>
      <c r="GH220" s="634"/>
      <c r="GI220" s="634"/>
      <c r="GJ220" s="634"/>
      <c r="GK220" s="634"/>
      <c r="GL220" s="101"/>
      <c r="GM220" s="101"/>
      <c r="GN220" s="101"/>
      <c r="GO220" s="643"/>
      <c r="GP220" s="644"/>
      <c r="GQ220" s="643"/>
      <c r="GR220" s="644"/>
      <c r="GS220" s="643"/>
      <c r="GT220" s="644"/>
      <c r="GU220" s="644"/>
      <c r="GV220" s="644"/>
      <c r="GW220" s="644"/>
      <c r="GX220" s="644"/>
      <c r="GY220" s="644"/>
      <c r="GZ220" s="644"/>
      <c r="HA220" s="644"/>
    </row>
    <row r="221" spans="1:209">
      <c r="A221" s="638"/>
      <c r="B221" s="95"/>
      <c r="C221" s="95"/>
      <c r="D221" s="95"/>
      <c r="E221" s="650"/>
      <c r="F221" s="95"/>
      <c r="G221" s="98"/>
      <c r="H221" s="99"/>
      <c r="I221" s="95"/>
      <c r="J221" s="95"/>
      <c r="K221" s="95"/>
      <c r="L221" s="95"/>
      <c r="M221" s="95"/>
      <c r="N221" s="95"/>
      <c r="O221" s="95"/>
      <c r="P221" s="95"/>
      <c r="Q221" s="95"/>
      <c r="R221" s="98"/>
      <c r="S221" s="101"/>
      <c r="T221" s="644"/>
      <c r="U221" s="101"/>
      <c r="V221" s="647"/>
      <c r="W221" s="643"/>
      <c r="X221" s="644"/>
      <c r="Y221" s="101"/>
      <c r="Z221" s="644"/>
      <c r="AA221" s="101"/>
      <c r="AB221" s="644"/>
      <c r="AC221" s="101"/>
      <c r="AD221" s="646"/>
      <c r="AE221" s="271"/>
      <c r="AF221" s="646"/>
      <c r="AG221" s="646"/>
      <c r="AH221" s="646"/>
      <c r="AI221" s="646"/>
      <c r="AJ221" s="646"/>
      <c r="AK221" s="646"/>
      <c r="AL221" s="646"/>
      <c r="AM221" s="271"/>
      <c r="AN221" s="646"/>
      <c r="AO221" s="646"/>
      <c r="AP221" s="646"/>
      <c r="AQ221" s="271"/>
      <c r="AR221" s="646"/>
      <c r="AS221" s="270"/>
      <c r="AT221" s="646"/>
      <c r="AU221" s="646"/>
      <c r="AV221" s="646"/>
      <c r="AW221" s="270"/>
      <c r="AX221" s="646"/>
      <c r="AY221" s="270"/>
      <c r="AZ221" s="646"/>
      <c r="BA221" s="646"/>
      <c r="BB221" s="644"/>
      <c r="BC221" s="644"/>
      <c r="BD221" s="644"/>
      <c r="BE221" s="644"/>
      <c r="BF221" s="644"/>
      <c r="BG221" s="644"/>
      <c r="BH221" s="644"/>
      <c r="BI221" s="644"/>
      <c r="BJ221" s="644"/>
      <c r="BK221" s="644"/>
      <c r="BL221" s="644"/>
      <c r="BM221" s="95"/>
      <c r="BN221" s="644"/>
      <c r="BO221" s="95"/>
      <c r="BP221" s="644"/>
      <c r="BQ221" s="644"/>
      <c r="BR221" s="644"/>
      <c r="BS221" s="644"/>
      <c r="BT221" s="644"/>
      <c r="BU221" s="644"/>
      <c r="BV221" s="644"/>
      <c r="BW221" s="644"/>
      <c r="BX221" s="644"/>
      <c r="BY221" s="644"/>
      <c r="BZ221" s="644"/>
      <c r="CA221" s="644"/>
      <c r="CB221" s="644"/>
      <c r="CC221" s="644"/>
      <c r="CD221" s="644"/>
      <c r="CE221" s="644"/>
      <c r="CF221" s="644"/>
      <c r="CG221" s="644"/>
      <c r="CH221" s="644"/>
      <c r="CI221" s="644"/>
      <c r="CJ221" s="644"/>
      <c r="CK221" s="644"/>
      <c r="CL221" s="644"/>
      <c r="CM221" s="95"/>
      <c r="CN221" s="644"/>
      <c r="CO221" s="644"/>
      <c r="CP221" s="95"/>
      <c r="CQ221" s="98"/>
      <c r="CR221" s="95"/>
      <c r="CS221" s="95"/>
      <c r="CT221" s="95"/>
      <c r="CU221" s="108"/>
      <c r="CV221" s="109"/>
      <c r="CW221" s="644"/>
      <c r="CX221" s="496"/>
      <c r="CY221" s="637"/>
      <c r="CZ221" s="644"/>
      <c r="DA221" s="644"/>
      <c r="DB221" s="644"/>
      <c r="DC221" s="496"/>
      <c r="DD221" s="644"/>
      <c r="DE221" s="101"/>
      <c r="DF221" s="644"/>
      <c r="DG221" s="101"/>
      <c r="DH221" s="644"/>
      <c r="DI221" s="644"/>
      <c r="DJ221" s="644"/>
      <c r="DK221" s="644"/>
      <c r="DL221" s="644"/>
      <c r="DM221" s="101"/>
      <c r="DN221" s="644"/>
      <c r="DO221" s="644"/>
      <c r="DP221" s="644"/>
      <c r="DQ221" s="644"/>
      <c r="DR221" s="644"/>
      <c r="DS221" s="644"/>
      <c r="DT221" s="644"/>
      <c r="DU221" s="644"/>
      <c r="DV221" s="644"/>
      <c r="DW221" s="101"/>
      <c r="DX221" s="646"/>
      <c r="DY221" s="646"/>
      <c r="DZ221" s="646"/>
      <c r="EA221" s="646"/>
      <c r="EB221" s="646"/>
      <c r="EC221" s="646"/>
      <c r="ED221" s="646"/>
      <c r="EE221" s="646"/>
      <c r="EF221" s="646"/>
      <c r="EG221" s="646"/>
      <c r="EH221" s="646"/>
      <c r="EI221" s="646"/>
      <c r="EJ221" s="646"/>
      <c r="EK221" s="271"/>
      <c r="EL221" s="644"/>
      <c r="EM221" s="634"/>
      <c r="EN221" s="647"/>
      <c r="EO221" s="648"/>
      <c r="EP221" s="647"/>
      <c r="EQ221" s="647"/>
      <c r="ER221" s="647"/>
      <c r="ES221" s="139"/>
      <c r="EV221" s="647"/>
      <c r="EW221" s="647"/>
      <c r="EX221" s="647"/>
      <c r="EY221" s="647"/>
      <c r="EZ221" s="647"/>
      <c r="FA221" s="646"/>
      <c r="FB221" s="646"/>
      <c r="FC221" s="646"/>
      <c r="FD221" s="646"/>
      <c r="FE221" s="646"/>
      <c r="FF221" s="646"/>
      <c r="FG221" s="647"/>
      <c r="FH221" s="647"/>
      <c r="FI221" s="647"/>
      <c r="FJ221" s="647"/>
      <c r="FK221" s="647"/>
      <c r="FL221" s="647"/>
      <c r="FM221" s="647"/>
      <c r="FN221" s="647"/>
      <c r="FO221" s="647"/>
      <c r="FP221" s="647"/>
      <c r="FQ221" s="647"/>
      <c r="FR221" s="647"/>
      <c r="FS221" s="101"/>
      <c r="FT221" s="95"/>
      <c r="FU221" s="651"/>
      <c r="FV221" s="101"/>
      <c r="FW221" s="101"/>
      <c r="FX221" s="634"/>
      <c r="FY221" s="634"/>
      <c r="FZ221" s="634"/>
      <c r="GA221" s="634"/>
      <c r="GB221" s="634"/>
      <c r="GC221" s="634"/>
      <c r="GD221" s="634"/>
      <c r="GE221" s="634"/>
      <c r="GF221" s="634"/>
      <c r="GG221" s="634"/>
      <c r="GH221" s="634"/>
      <c r="GI221" s="634"/>
      <c r="GJ221" s="634"/>
      <c r="GK221" s="634"/>
      <c r="GL221" s="101"/>
      <c r="GM221" s="101"/>
      <c r="GN221" s="101"/>
      <c r="GO221" s="643"/>
      <c r="GP221" s="644"/>
      <c r="GQ221" s="643"/>
      <c r="GR221" s="644"/>
      <c r="GS221" s="643"/>
      <c r="GT221" s="644"/>
      <c r="GU221" s="644"/>
      <c r="GV221" s="644"/>
      <c r="GW221" s="644"/>
      <c r="GX221" s="644"/>
      <c r="GY221" s="644"/>
      <c r="GZ221" s="644"/>
      <c r="HA221" s="644"/>
    </row>
    <row r="222" spans="1:209">
      <c r="A222" s="638"/>
      <c r="B222" s="95"/>
      <c r="C222" s="95"/>
      <c r="D222" s="95"/>
      <c r="E222" s="650"/>
      <c r="F222" s="95"/>
      <c r="G222" s="98"/>
      <c r="H222" s="99"/>
      <c r="I222" s="95"/>
      <c r="J222" s="95"/>
      <c r="K222" s="95"/>
      <c r="L222" s="95"/>
      <c r="M222" s="95"/>
      <c r="N222" s="95"/>
      <c r="O222" s="95"/>
      <c r="P222" s="95"/>
      <c r="Q222" s="95"/>
      <c r="R222" s="98"/>
      <c r="S222" s="101"/>
      <c r="T222" s="644"/>
      <c r="U222" s="101"/>
      <c r="V222" s="647"/>
      <c r="W222" s="643"/>
      <c r="X222" s="644"/>
      <c r="Y222" s="101"/>
      <c r="Z222" s="644"/>
      <c r="AA222" s="101"/>
      <c r="AB222" s="644"/>
      <c r="AC222" s="101"/>
      <c r="AD222" s="646"/>
      <c r="AE222" s="271"/>
      <c r="AF222" s="646"/>
      <c r="AG222" s="646"/>
      <c r="AH222" s="646"/>
      <c r="AI222" s="646"/>
      <c r="AJ222" s="646"/>
      <c r="AK222" s="646"/>
      <c r="AL222" s="646"/>
      <c r="AM222" s="271"/>
      <c r="AN222" s="646"/>
      <c r="AO222" s="646"/>
      <c r="AP222" s="646"/>
      <c r="AQ222" s="271"/>
      <c r="AR222" s="646"/>
      <c r="AS222" s="270"/>
      <c r="AT222" s="646"/>
      <c r="AU222" s="646"/>
      <c r="AV222" s="646"/>
      <c r="AW222" s="270"/>
      <c r="AX222" s="646"/>
      <c r="AY222" s="270"/>
      <c r="AZ222" s="646"/>
      <c r="BA222" s="646"/>
      <c r="BB222" s="644"/>
      <c r="BC222" s="644"/>
      <c r="BD222" s="644"/>
      <c r="BE222" s="644"/>
      <c r="BF222" s="644"/>
      <c r="BG222" s="644"/>
      <c r="BH222" s="644"/>
      <c r="BI222" s="644"/>
      <c r="BJ222" s="644"/>
      <c r="BK222" s="644"/>
      <c r="BL222" s="644"/>
      <c r="BM222" s="95"/>
      <c r="BN222" s="644"/>
      <c r="BO222" s="95"/>
      <c r="BP222" s="644"/>
      <c r="BQ222" s="644"/>
      <c r="BR222" s="644"/>
      <c r="BS222" s="644"/>
      <c r="BT222" s="644"/>
      <c r="BU222" s="644"/>
      <c r="BV222" s="644"/>
      <c r="BW222" s="644"/>
      <c r="BX222" s="644"/>
      <c r="BY222" s="644"/>
      <c r="BZ222" s="644"/>
      <c r="CA222" s="644"/>
      <c r="CB222" s="644"/>
      <c r="CC222" s="644"/>
      <c r="CD222" s="644"/>
      <c r="CE222" s="644"/>
      <c r="CF222" s="644"/>
      <c r="CG222" s="644"/>
      <c r="CH222" s="644"/>
      <c r="CI222" s="644"/>
      <c r="CJ222" s="644"/>
      <c r="CK222" s="644"/>
      <c r="CL222" s="644"/>
      <c r="CM222" s="95"/>
      <c r="CN222" s="644"/>
      <c r="CO222" s="644"/>
      <c r="CP222" s="95"/>
      <c r="CQ222" s="98"/>
      <c r="CR222" s="95"/>
      <c r="CS222" s="95"/>
      <c r="CT222" s="95"/>
      <c r="CU222" s="108"/>
      <c r="CV222" s="109"/>
      <c r="CW222" s="644"/>
      <c r="CX222" s="496"/>
      <c r="CY222" s="637"/>
      <c r="CZ222" s="644"/>
      <c r="DA222" s="644"/>
      <c r="DB222" s="644"/>
      <c r="DC222" s="496"/>
      <c r="DD222" s="644"/>
      <c r="DE222" s="101"/>
      <c r="DF222" s="644"/>
      <c r="DG222" s="101"/>
      <c r="DH222" s="644"/>
      <c r="DI222" s="644"/>
      <c r="DJ222" s="644"/>
      <c r="DK222" s="644"/>
      <c r="DL222" s="644"/>
      <c r="DM222" s="101"/>
      <c r="DN222" s="644"/>
      <c r="DO222" s="644"/>
      <c r="DP222" s="644"/>
      <c r="DQ222" s="644"/>
      <c r="DR222" s="644"/>
      <c r="DS222" s="644"/>
      <c r="DT222" s="644"/>
      <c r="DU222" s="644"/>
      <c r="DV222" s="644"/>
      <c r="DW222" s="101"/>
      <c r="DX222" s="646"/>
      <c r="DY222" s="646"/>
      <c r="DZ222" s="646"/>
      <c r="EA222" s="646"/>
      <c r="EB222" s="646"/>
      <c r="EC222" s="646"/>
      <c r="ED222" s="646"/>
      <c r="EE222" s="646"/>
      <c r="EF222" s="646"/>
      <c r="EG222" s="646"/>
      <c r="EH222" s="646"/>
      <c r="EI222" s="646"/>
      <c r="EJ222" s="646"/>
      <c r="EK222" s="271"/>
      <c r="EL222" s="644"/>
      <c r="EM222" s="634"/>
      <c r="EN222" s="647"/>
      <c r="EO222" s="648"/>
      <c r="EP222" s="647"/>
      <c r="EQ222" s="647"/>
      <c r="ER222" s="647"/>
      <c r="ES222" s="139"/>
      <c r="EV222" s="647"/>
      <c r="EW222" s="647"/>
      <c r="EX222" s="647"/>
      <c r="EY222" s="647"/>
      <c r="EZ222" s="647"/>
      <c r="FA222" s="646"/>
      <c r="FB222" s="646"/>
      <c r="FC222" s="646"/>
      <c r="FD222" s="646"/>
      <c r="FE222" s="646"/>
      <c r="FF222" s="646"/>
      <c r="FG222" s="647"/>
      <c r="FH222" s="647"/>
      <c r="FI222" s="647"/>
      <c r="FJ222" s="647"/>
      <c r="FK222" s="647"/>
      <c r="FL222" s="647"/>
      <c r="FM222" s="647"/>
      <c r="FN222" s="647"/>
      <c r="FO222" s="647"/>
      <c r="FP222" s="647"/>
      <c r="FQ222" s="647"/>
      <c r="FR222" s="647"/>
      <c r="FS222" s="101"/>
      <c r="FT222" s="95"/>
      <c r="FU222" s="651"/>
      <c r="FV222" s="101"/>
      <c r="FW222" s="101"/>
      <c r="FX222" s="634"/>
      <c r="FY222" s="634"/>
      <c r="FZ222" s="634"/>
      <c r="GA222" s="634"/>
      <c r="GB222" s="634"/>
      <c r="GC222" s="634"/>
      <c r="GD222" s="634"/>
      <c r="GE222" s="634"/>
      <c r="GF222" s="634"/>
      <c r="GG222" s="634"/>
      <c r="GH222" s="634"/>
      <c r="GI222" s="634"/>
      <c r="GJ222" s="634"/>
      <c r="GK222" s="634"/>
      <c r="GL222" s="101"/>
      <c r="GM222" s="101"/>
      <c r="GN222" s="101"/>
      <c r="GO222" s="643"/>
      <c r="GP222" s="644"/>
      <c r="GQ222" s="643"/>
      <c r="GR222" s="644"/>
      <c r="GS222" s="643"/>
      <c r="GT222" s="644"/>
      <c r="GU222" s="644"/>
      <c r="GV222" s="644"/>
      <c r="GW222" s="644"/>
      <c r="GX222" s="644"/>
      <c r="GY222" s="644"/>
      <c r="GZ222" s="644"/>
      <c r="HA222" s="644"/>
    </row>
    <row r="223" spans="1:209">
      <c r="A223" s="638"/>
      <c r="B223" s="95"/>
      <c r="C223" s="95"/>
      <c r="D223" s="95"/>
      <c r="E223" s="650"/>
      <c r="F223" s="95"/>
      <c r="G223" s="98"/>
      <c r="H223" s="99"/>
      <c r="I223" s="95"/>
      <c r="J223" s="95"/>
      <c r="K223" s="95"/>
      <c r="L223" s="95"/>
      <c r="M223" s="95"/>
      <c r="N223" s="95"/>
      <c r="O223" s="95"/>
      <c r="P223" s="95"/>
      <c r="Q223" s="95"/>
      <c r="R223" s="98"/>
      <c r="S223" s="101"/>
      <c r="T223" s="644"/>
      <c r="U223" s="101"/>
      <c r="V223" s="647"/>
      <c r="W223" s="643"/>
      <c r="X223" s="644"/>
      <c r="Y223" s="101"/>
      <c r="Z223" s="644"/>
      <c r="AA223" s="101"/>
      <c r="AB223" s="644"/>
      <c r="AC223" s="101"/>
      <c r="AD223" s="646"/>
      <c r="AE223" s="271"/>
      <c r="AF223" s="646"/>
      <c r="AG223" s="646"/>
      <c r="AH223" s="646"/>
      <c r="AI223" s="646"/>
      <c r="AJ223" s="646"/>
      <c r="AK223" s="646"/>
      <c r="AL223" s="646"/>
      <c r="AM223" s="271"/>
      <c r="AN223" s="646"/>
      <c r="AO223" s="646"/>
      <c r="AP223" s="646"/>
      <c r="AQ223" s="271"/>
      <c r="AR223" s="646"/>
      <c r="AS223" s="270"/>
      <c r="AT223" s="646"/>
      <c r="AU223" s="646"/>
      <c r="AV223" s="646"/>
      <c r="AW223" s="270"/>
      <c r="AX223" s="646"/>
      <c r="AY223" s="270"/>
      <c r="AZ223" s="646"/>
      <c r="BA223" s="646"/>
      <c r="BB223" s="644"/>
      <c r="BC223" s="644"/>
      <c r="BD223" s="644"/>
      <c r="BE223" s="644"/>
      <c r="BF223" s="644"/>
      <c r="BG223" s="644"/>
      <c r="BH223" s="644"/>
      <c r="BI223" s="644"/>
      <c r="BJ223" s="644"/>
      <c r="BK223" s="644"/>
      <c r="BL223" s="644"/>
      <c r="BM223" s="95"/>
      <c r="BN223" s="644"/>
      <c r="BO223" s="95"/>
      <c r="BP223" s="644"/>
      <c r="BQ223" s="644"/>
      <c r="BR223" s="644"/>
      <c r="BS223" s="644"/>
      <c r="BT223" s="644"/>
      <c r="BU223" s="644"/>
      <c r="BV223" s="644"/>
      <c r="BW223" s="644"/>
      <c r="BX223" s="644"/>
      <c r="BY223" s="644"/>
      <c r="BZ223" s="644"/>
      <c r="CA223" s="644"/>
      <c r="CB223" s="644"/>
      <c r="CC223" s="644"/>
      <c r="CD223" s="644"/>
      <c r="CE223" s="644"/>
      <c r="CF223" s="644"/>
      <c r="CG223" s="644"/>
      <c r="CH223" s="644"/>
      <c r="CI223" s="644"/>
      <c r="CJ223" s="644"/>
      <c r="CK223" s="644"/>
      <c r="CL223" s="644"/>
      <c r="CM223" s="95"/>
      <c r="CN223" s="644"/>
      <c r="CO223" s="644"/>
      <c r="CP223" s="95"/>
      <c r="CQ223" s="98"/>
      <c r="CR223" s="95"/>
      <c r="CS223" s="95"/>
      <c r="CT223" s="95"/>
      <c r="CU223" s="108"/>
      <c r="CV223" s="109"/>
      <c r="CW223" s="644"/>
      <c r="CX223" s="496"/>
      <c r="CY223" s="637"/>
      <c r="CZ223" s="644"/>
      <c r="DA223" s="644"/>
      <c r="DB223" s="644"/>
      <c r="DC223" s="496"/>
      <c r="DD223" s="644"/>
      <c r="DE223" s="101"/>
      <c r="DF223" s="644"/>
      <c r="DG223" s="101"/>
      <c r="DH223" s="644"/>
      <c r="DI223" s="644"/>
      <c r="DJ223" s="644"/>
      <c r="DK223" s="644"/>
      <c r="DL223" s="644"/>
      <c r="DM223" s="101"/>
      <c r="DN223" s="644"/>
      <c r="DO223" s="644"/>
      <c r="DP223" s="644"/>
      <c r="DQ223" s="644"/>
      <c r="DR223" s="644"/>
      <c r="DS223" s="644"/>
      <c r="DT223" s="644"/>
      <c r="DU223" s="644"/>
      <c r="DV223" s="644"/>
      <c r="DW223" s="101"/>
      <c r="DX223" s="646"/>
      <c r="DY223" s="646"/>
      <c r="DZ223" s="646"/>
      <c r="EA223" s="646"/>
      <c r="EB223" s="646"/>
      <c r="EC223" s="646"/>
      <c r="ED223" s="646"/>
      <c r="EE223" s="646"/>
      <c r="EF223" s="646"/>
      <c r="EG223" s="646"/>
      <c r="EH223" s="646"/>
      <c r="EI223" s="646"/>
      <c r="EJ223" s="646"/>
      <c r="EK223" s="271"/>
      <c r="EL223" s="644"/>
      <c r="EM223" s="634"/>
      <c r="EN223" s="647"/>
      <c r="EO223" s="648"/>
      <c r="EP223" s="647"/>
      <c r="EQ223" s="647"/>
      <c r="ER223" s="647"/>
      <c r="ES223" s="139"/>
      <c r="EV223" s="647"/>
      <c r="EW223" s="647"/>
      <c r="EX223" s="647"/>
      <c r="EY223" s="647"/>
      <c r="EZ223" s="647"/>
      <c r="FA223" s="646"/>
      <c r="FB223" s="646"/>
      <c r="FC223" s="646"/>
      <c r="FD223" s="646"/>
      <c r="FE223" s="646"/>
      <c r="FF223" s="646"/>
      <c r="FG223" s="647"/>
      <c r="FH223" s="647"/>
      <c r="FI223" s="647"/>
      <c r="FJ223" s="647"/>
      <c r="FK223" s="647"/>
      <c r="FL223" s="647"/>
      <c r="FM223" s="647"/>
      <c r="FN223" s="647"/>
      <c r="FO223" s="647"/>
      <c r="FP223" s="647"/>
      <c r="FQ223" s="647"/>
      <c r="FR223" s="647"/>
      <c r="FS223" s="101"/>
      <c r="FT223" s="95"/>
      <c r="FU223" s="651"/>
      <c r="FV223" s="101"/>
      <c r="FW223" s="101"/>
      <c r="FX223" s="634"/>
      <c r="FY223" s="634"/>
      <c r="FZ223" s="634"/>
      <c r="GA223" s="634"/>
      <c r="GB223" s="634"/>
      <c r="GC223" s="634"/>
      <c r="GD223" s="634"/>
      <c r="GE223" s="634"/>
      <c r="GF223" s="634"/>
      <c r="GG223" s="634"/>
      <c r="GH223" s="634"/>
      <c r="GI223" s="634"/>
      <c r="GJ223" s="634"/>
      <c r="GK223" s="634"/>
      <c r="GL223" s="101"/>
      <c r="GM223" s="101"/>
      <c r="GN223" s="101"/>
      <c r="GO223" s="643"/>
      <c r="GP223" s="644"/>
      <c r="GQ223" s="643"/>
      <c r="GR223" s="644"/>
      <c r="GS223" s="643"/>
      <c r="GT223" s="644"/>
      <c r="GU223" s="644"/>
      <c r="GV223" s="644"/>
      <c r="GW223" s="644"/>
      <c r="GX223" s="644"/>
      <c r="GY223" s="644"/>
      <c r="GZ223" s="644"/>
      <c r="HA223" s="644"/>
    </row>
    <row r="224" spans="1:209">
      <c r="A224" s="638"/>
      <c r="B224" s="95"/>
      <c r="C224" s="95"/>
      <c r="D224" s="95"/>
      <c r="E224" s="650"/>
      <c r="F224" s="95"/>
      <c r="G224" s="98"/>
      <c r="H224" s="99"/>
      <c r="I224" s="95"/>
      <c r="J224" s="95"/>
      <c r="K224" s="95"/>
      <c r="L224" s="95"/>
      <c r="M224" s="95"/>
      <c r="N224" s="95"/>
      <c r="O224" s="95"/>
      <c r="P224" s="95"/>
      <c r="Q224" s="95"/>
      <c r="R224" s="98"/>
      <c r="S224" s="101"/>
      <c r="T224" s="644"/>
      <c r="U224" s="101"/>
      <c r="V224" s="647"/>
      <c r="W224" s="643"/>
      <c r="X224" s="644"/>
      <c r="Y224" s="101"/>
      <c r="Z224" s="644"/>
      <c r="AA224" s="101"/>
      <c r="AB224" s="644"/>
      <c r="AC224" s="101"/>
      <c r="AD224" s="646"/>
      <c r="AE224" s="271"/>
      <c r="AF224" s="646"/>
      <c r="AG224" s="646"/>
      <c r="AH224" s="646"/>
      <c r="AI224" s="646"/>
      <c r="AJ224" s="646"/>
      <c r="AK224" s="646"/>
      <c r="AL224" s="646"/>
      <c r="AM224" s="271"/>
      <c r="AN224" s="646"/>
      <c r="AO224" s="646"/>
      <c r="AP224" s="646"/>
      <c r="AQ224" s="271"/>
      <c r="AR224" s="646"/>
      <c r="AS224" s="270"/>
      <c r="AT224" s="646"/>
      <c r="AU224" s="646"/>
      <c r="AV224" s="646"/>
      <c r="AW224" s="270"/>
      <c r="AX224" s="646"/>
      <c r="AY224" s="270"/>
      <c r="AZ224" s="646"/>
      <c r="BA224" s="646"/>
      <c r="BB224" s="644"/>
      <c r="BC224" s="644"/>
      <c r="BD224" s="644"/>
      <c r="BE224" s="644"/>
      <c r="BF224" s="644"/>
      <c r="BG224" s="644"/>
      <c r="BH224" s="644"/>
      <c r="BI224" s="644"/>
      <c r="BJ224" s="644"/>
      <c r="BK224" s="644"/>
      <c r="BL224" s="644"/>
      <c r="BM224" s="95"/>
      <c r="BN224" s="644"/>
      <c r="BO224" s="95"/>
      <c r="BP224" s="644"/>
      <c r="BQ224" s="644"/>
      <c r="BR224" s="644"/>
      <c r="BS224" s="644"/>
      <c r="BT224" s="644"/>
      <c r="BU224" s="644"/>
      <c r="BV224" s="644"/>
      <c r="BW224" s="644"/>
      <c r="BX224" s="644"/>
      <c r="BY224" s="644"/>
      <c r="BZ224" s="644"/>
      <c r="CA224" s="644"/>
      <c r="CB224" s="644"/>
      <c r="CC224" s="644"/>
      <c r="CD224" s="644"/>
      <c r="CE224" s="644"/>
      <c r="CF224" s="644"/>
      <c r="CG224" s="644"/>
      <c r="CH224" s="644"/>
      <c r="CI224" s="644"/>
      <c r="CJ224" s="644"/>
      <c r="CK224" s="644"/>
      <c r="CL224" s="644"/>
      <c r="CM224" s="95"/>
      <c r="CN224" s="644"/>
      <c r="CO224" s="644"/>
      <c r="CP224" s="95"/>
      <c r="CQ224" s="98"/>
      <c r="CR224" s="95"/>
      <c r="CS224" s="95"/>
      <c r="CT224" s="95"/>
      <c r="CU224" s="108"/>
      <c r="CV224" s="109"/>
      <c r="CW224" s="644"/>
      <c r="CX224" s="496"/>
      <c r="CY224" s="637"/>
      <c r="CZ224" s="644"/>
      <c r="DA224" s="644"/>
      <c r="DB224" s="644"/>
      <c r="DC224" s="496"/>
      <c r="DD224" s="644"/>
      <c r="DE224" s="101"/>
      <c r="DF224" s="644"/>
      <c r="DG224" s="101"/>
      <c r="DH224" s="644"/>
      <c r="DI224" s="644"/>
      <c r="DJ224" s="644"/>
      <c r="DK224" s="644"/>
      <c r="DL224" s="644"/>
      <c r="DM224" s="101"/>
      <c r="DN224" s="644"/>
      <c r="DO224" s="644"/>
      <c r="DP224" s="644"/>
      <c r="DQ224" s="644"/>
      <c r="DR224" s="644"/>
      <c r="DS224" s="644"/>
      <c r="DT224" s="644"/>
      <c r="DU224" s="644"/>
      <c r="DV224" s="644"/>
      <c r="DW224" s="101"/>
      <c r="DX224" s="646"/>
      <c r="DY224" s="646"/>
      <c r="DZ224" s="646"/>
      <c r="EA224" s="646"/>
      <c r="EB224" s="646"/>
      <c r="EC224" s="646"/>
      <c r="ED224" s="646"/>
      <c r="EE224" s="646"/>
      <c r="EF224" s="646"/>
      <c r="EG224" s="646"/>
      <c r="EH224" s="646"/>
      <c r="EI224" s="646"/>
      <c r="EJ224" s="646"/>
      <c r="EK224" s="271"/>
      <c r="EL224" s="644"/>
      <c r="EM224" s="634"/>
      <c r="EN224" s="647"/>
      <c r="EO224" s="648"/>
      <c r="EP224" s="647"/>
      <c r="EQ224" s="647"/>
      <c r="ER224" s="647"/>
      <c r="ES224" s="139"/>
      <c r="EV224" s="647"/>
      <c r="EW224" s="647"/>
      <c r="EX224" s="647"/>
      <c r="EY224" s="647"/>
      <c r="EZ224" s="647"/>
      <c r="FA224" s="646"/>
      <c r="FB224" s="646"/>
      <c r="FC224" s="646"/>
      <c r="FD224" s="646"/>
      <c r="FE224" s="646"/>
      <c r="FF224" s="646"/>
      <c r="FG224" s="647"/>
      <c r="FH224" s="647"/>
      <c r="FI224" s="647"/>
      <c r="FJ224" s="647"/>
      <c r="FK224" s="647"/>
      <c r="FL224" s="647"/>
      <c r="FM224" s="647"/>
      <c r="FN224" s="647"/>
      <c r="FO224" s="647"/>
      <c r="FP224" s="647"/>
      <c r="FQ224" s="647"/>
      <c r="FR224" s="647"/>
      <c r="FS224" s="101"/>
      <c r="FT224" s="95"/>
      <c r="FU224" s="651"/>
      <c r="FV224" s="101"/>
      <c r="FW224" s="101"/>
      <c r="FX224" s="634"/>
      <c r="FY224" s="634"/>
      <c r="FZ224" s="634"/>
      <c r="GA224" s="634"/>
      <c r="GB224" s="634"/>
      <c r="GC224" s="634"/>
      <c r="GD224" s="634"/>
      <c r="GE224" s="634"/>
      <c r="GF224" s="634"/>
      <c r="GG224" s="634"/>
      <c r="GH224" s="634"/>
      <c r="GI224" s="634"/>
      <c r="GJ224" s="634"/>
      <c r="GK224" s="634"/>
      <c r="GL224" s="101"/>
      <c r="GM224" s="101"/>
      <c r="GN224" s="101"/>
      <c r="GO224" s="643"/>
      <c r="GP224" s="644"/>
      <c r="GQ224" s="643"/>
      <c r="GR224" s="644"/>
      <c r="GS224" s="643"/>
      <c r="GT224" s="644"/>
      <c r="GU224" s="644"/>
      <c r="GV224" s="644"/>
      <c r="GW224" s="644"/>
      <c r="GX224" s="644"/>
      <c r="GY224" s="644"/>
      <c r="GZ224" s="644"/>
      <c r="HA224" s="644"/>
    </row>
    <row r="225" spans="1:209">
      <c r="A225" s="638"/>
      <c r="B225" s="95"/>
      <c r="C225" s="95"/>
      <c r="D225" s="95"/>
      <c r="E225" s="650"/>
      <c r="F225" s="95"/>
      <c r="G225" s="98"/>
      <c r="H225" s="99"/>
      <c r="I225" s="95"/>
      <c r="J225" s="95"/>
      <c r="K225" s="95"/>
      <c r="L225" s="95"/>
      <c r="M225" s="95"/>
      <c r="N225" s="95"/>
      <c r="O225" s="95"/>
      <c r="P225" s="95"/>
      <c r="Q225" s="95"/>
      <c r="R225" s="98"/>
      <c r="S225" s="101"/>
      <c r="T225" s="644"/>
      <c r="U225" s="101"/>
      <c r="V225" s="647"/>
      <c r="W225" s="643"/>
      <c r="X225" s="644"/>
      <c r="Y225" s="101"/>
      <c r="Z225" s="644"/>
      <c r="AA225" s="101"/>
      <c r="AB225" s="644"/>
      <c r="AC225" s="101"/>
      <c r="AD225" s="646"/>
      <c r="AE225" s="271"/>
      <c r="AF225" s="646"/>
      <c r="AG225" s="646"/>
      <c r="AH225" s="646"/>
      <c r="AI225" s="646"/>
      <c r="AJ225" s="646"/>
      <c r="AK225" s="646"/>
      <c r="AL225" s="646"/>
      <c r="AM225" s="271"/>
      <c r="AN225" s="646"/>
      <c r="AO225" s="646"/>
      <c r="AP225" s="646"/>
      <c r="AQ225" s="271"/>
      <c r="AR225" s="646"/>
      <c r="AS225" s="270"/>
      <c r="AT225" s="646"/>
      <c r="AU225" s="646"/>
      <c r="AV225" s="646"/>
      <c r="AW225" s="270"/>
      <c r="AX225" s="646"/>
      <c r="AY225" s="270"/>
      <c r="AZ225" s="646"/>
      <c r="BA225" s="646"/>
      <c r="BB225" s="644"/>
      <c r="BC225" s="644"/>
      <c r="BD225" s="644"/>
      <c r="BE225" s="644"/>
      <c r="BF225" s="644"/>
      <c r="BG225" s="644"/>
      <c r="BH225" s="644"/>
      <c r="BI225" s="644"/>
      <c r="BJ225" s="644"/>
      <c r="BK225" s="644"/>
      <c r="BL225" s="644"/>
      <c r="BM225" s="95"/>
      <c r="BN225" s="644"/>
      <c r="BO225" s="95"/>
      <c r="BP225" s="644"/>
      <c r="BQ225" s="644"/>
      <c r="BR225" s="644"/>
      <c r="BS225" s="644"/>
      <c r="BT225" s="644"/>
      <c r="BU225" s="644"/>
      <c r="BV225" s="644"/>
      <c r="BW225" s="644"/>
      <c r="BX225" s="644"/>
      <c r="BY225" s="644"/>
      <c r="BZ225" s="644"/>
      <c r="CA225" s="644"/>
      <c r="CB225" s="644"/>
      <c r="CC225" s="644"/>
      <c r="CD225" s="644"/>
      <c r="CE225" s="644"/>
      <c r="CF225" s="644"/>
      <c r="CG225" s="644"/>
      <c r="CH225" s="644"/>
      <c r="CI225" s="644"/>
      <c r="CJ225" s="644"/>
      <c r="CK225" s="644"/>
      <c r="CL225" s="644"/>
      <c r="CM225" s="95"/>
      <c r="CN225" s="644"/>
      <c r="CO225" s="644"/>
      <c r="CP225" s="95"/>
      <c r="CQ225" s="98"/>
      <c r="CR225" s="95"/>
      <c r="CS225" s="95"/>
      <c r="CT225" s="95"/>
      <c r="CU225" s="108"/>
      <c r="CV225" s="109"/>
      <c r="CW225" s="644"/>
      <c r="CX225" s="496"/>
      <c r="CY225" s="637"/>
      <c r="CZ225" s="644"/>
      <c r="DA225" s="644"/>
      <c r="DB225" s="644"/>
      <c r="DC225" s="496"/>
      <c r="DD225" s="644"/>
      <c r="DE225" s="101"/>
      <c r="DF225" s="644"/>
      <c r="DG225" s="101"/>
      <c r="DH225" s="644"/>
      <c r="DI225" s="644"/>
      <c r="DJ225" s="644"/>
      <c r="DK225" s="644"/>
      <c r="DL225" s="644"/>
      <c r="DM225" s="101"/>
      <c r="DN225" s="644"/>
      <c r="DO225" s="644"/>
      <c r="DP225" s="644"/>
      <c r="DQ225" s="644"/>
      <c r="DR225" s="644"/>
      <c r="DS225" s="644"/>
      <c r="DT225" s="644"/>
      <c r="DU225" s="644"/>
      <c r="DV225" s="644"/>
      <c r="DW225" s="101"/>
      <c r="DX225" s="646"/>
      <c r="DY225" s="646"/>
      <c r="DZ225" s="646"/>
      <c r="EA225" s="646"/>
      <c r="EB225" s="646"/>
      <c r="EC225" s="646"/>
      <c r="ED225" s="646"/>
      <c r="EE225" s="646"/>
      <c r="EF225" s="646"/>
      <c r="EG225" s="646"/>
      <c r="EH225" s="646"/>
      <c r="EI225" s="646"/>
      <c r="EJ225" s="646"/>
      <c r="EK225" s="271"/>
      <c r="EL225" s="644"/>
      <c r="EM225" s="634"/>
      <c r="EN225" s="647"/>
      <c r="EO225" s="648"/>
      <c r="EP225" s="647"/>
      <c r="EQ225" s="647"/>
      <c r="ER225" s="647"/>
      <c r="ES225" s="139"/>
      <c r="EV225" s="647"/>
      <c r="EW225" s="647"/>
      <c r="EX225" s="647"/>
      <c r="EY225" s="647"/>
      <c r="EZ225" s="647"/>
      <c r="FA225" s="646"/>
      <c r="FB225" s="646"/>
      <c r="FC225" s="646"/>
      <c r="FD225" s="646"/>
      <c r="FE225" s="646"/>
      <c r="FF225" s="646"/>
      <c r="FG225" s="647"/>
      <c r="FH225" s="647"/>
      <c r="FI225" s="647"/>
      <c r="FJ225" s="647"/>
      <c r="FK225" s="647"/>
      <c r="FL225" s="647"/>
      <c r="FM225" s="647"/>
      <c r="FN225" s="647"/>
      <c r="FO225" s="647"/>
      <c r="FP225" s="647"/>
      <c r="FQ225" s="647"/>
      <c r="FR225" s="647"/>
      <c r="FS225" s="101"/>
      <c r="FT225" s="95"/>
      <c r="FU225" s="651"/>
      <c r="FV225" s="101"/>
      <c r="FW225" s="101"/>
      <c r="FX225" s="634"/>
      <c r="FY225" s="634"/>
      <c r="FZ225" s="634"/>
      <c r="GA225" s="634"/>
      <c r="GB225" s="634"/>
      <c r="GC225" s="634"/>
      <c r="GD225" s="634"/>
      <c r="GE225" s="634"/>
      <c r="GF225" s="634"/>
      <c r="GG225" s="634"/>
      <c r="GH225" s="634"/>
      <c r="GI225" s="634"/>
      <c r="GJ225" s="634"/>
      <c r="GK225" s="634"/>
      <c r="GL225" s="101"/>
      <c r="GM225" s="101"/>
      <c r="GN225" s="101"/>
      <c r="GO225" s="643"/>
      <c r="GP225" s="644"/>
      <c r="GQ225" s="643"/>
      <c r="GR225" s="644"/>
      <c r="GS225" s="643"/>
      <c r="GT225" s="644"/>
      <c r="GU225" s="644"/>
      <c r="GV225" s="644"/>
      <c r="GW225" s="644"/>
      <c r="GX225" s="644"/>
      <c r="GY225" s="644"/>
      <c r="GZ225" s="644"/>
      <c r="HA225" s="644"/>
    </row>
    <row r="226" spans="1:209">
      <c r="A226" s="638"/>
      <c r="B226" s="95"/>
      <c r="C226" s="95"/>
      <c r="D226" s="95"/>
      <c r="E226" s="650"/>
      <c r="F226" s="95"/>
      <c r="G226" s="98"/>
      <c r="H226" s="99"/>
      <c r="I226" s="95"/>
      <c r="J226" s="95"/>
      <c r="K226" s="95"/>
      <c r="L226" s="95"/>
      <c r="M226" s="95"/>
      <c r="N226" s="95"/>
      <c r="O226" s="95"/>
      <c r="P226" s="95"/>
      <c r="Q226" s="95"/>
      <c r="R226" s="98"/>
      <c r="S226" s="101"/>
      <c r="T226" s="644"/>
      <c r="U226" s="101"/>
      <c r="V226" s="647"/>
      <c r="W226" s="643"/>
      <c r="X226" s="644"/>
      <c r="Y226" s="101"/>
      <c r="Z226" s="644"/>
      <c r="AA226" s="101"/>
      <c r="AB226" s="644"/>
      <c r="AC226" s="101"/>
      <c r="AD226" s="646"/>
      <c r="AE226" s="271"/>
      <c r="AF226" s="646"/>
      <c r="AG226" s="646"/>
      <c r="AH226" s="646"/>
      <c r="AI226" s="646"/>
      <c r="AJ226" s="646"/>
      <c r="AK226" s="646"/>
      <c r="AL226" s="646"/>
      <c r="AM226" s="271"/>
      <c r="AN226" s="646"/>
      <c r="AO226" s="646"/>
      <c r="AP226" s="646"/>
      <c r="AQ226" s="271"/>
      <c r="AR226" s="646"/>
      <c r="AS226" s="270"/>
      <c r="AT226" s="646"/>
      <c r="AU226" s="646"/>
      <c r="AV226" s="646"/>
      <c r="AW226" s="270"/>
      <c r="AX226" s="646"/>
      <c r="AY226" s="270"/>
      <c r="AZ226" s="646"/>
      <c r="BA226" s="646"/>
      <c r="BB226" s="644"/>
      <c r="BC226" s="644"/>
      <c r="BD226" s="644"/>
      <c r="BE226" s="644"/>
      <c r="BF226" s="644"/>
      <c r="BG226" s="644"/>
      <c r="BH226" s="644"/>
      <c r="BI226" s="644"/>
      <c r="BJ226" s="644"/>
      <c r="BK226" s="644"/>
      <c r="BL226" s="644"/>
      <c r="BM226" s="95"/>
      <c r="BN226" s="644"/>
      <c r="BO226" s="95"/>
      <c r="BP226" s="644"/>
      <c r="BQ226" s="644"/>
      <c r="BR226" s="644"/>
      <c r="BS226" s="644"/>
      <c r="BT226" s="644"/>
      <c r="BU226" s="644"/>
      <c r="BV226" s="644"/>
      <c r="BW226" s="644"/>
      <c r="BX226" s="644"/>
      <c r="BY226" s="644"/>
      <c r="BZ226" s="644"/>
      <c r="CA226" s="644"/>
      <c r="CB226" s="644"/>
      <c r="CC226" s="644"/>
      <c r="CD226" s="644"/>
      <c r="CE226" s="644"/>
      <c r="CF226" s="644"/>
      <c r="CG226" s="644"/>
      <c r="CH226" s="644"/>
      <c r="CI226" s="644"/>
      <c r="CJ226" s="644"/>
      <c r="CK226" s="644"/>
      <c r="CL226" s="644"/>
      <c r="CM226" s="95"/>
      <c r="CN226" s="644"/>
      <c r="CO226" s="644"/>
      <c r="CP226" s="95"/>
      <c r="CQ226" s="98"/>
      <c r="CR226" s="95"/>
      <c r="CS226" s="95"/>
      <c r="CT226" s="95"/>
      <c r="CU226" s="108"/>
      <c r="CV226" s="109"/>
      <c r="CW226" s="644"/>
      <c r="CX226" s="496"/>
      <c r="CY226" s="637"/>
      <c r="CZ226" s="644"/>
      <c r="DA226" s="644"/>
      <c r="DB226" s="644"/>
      <c r="DC226" s="496"/>
      <c r="DD226" s="644"/>
      <c r="DE226" s="101"/>
      <c r="DF226" s="644"/>
      <c r="DG226" s="101"/>
      <c r="DH226" s="644"/>
      <c r="DI226" s="644"/>
      <c r="DJ226" s="644"/>
      <c r="DK226" s="644"/>
      <c r="DL226" s="644"/>
      <c r="DM226" s="101"/>
      <c r="DN226" s="644"/>
      <c r="DO226" s="644"/>
      <c r="DP226" s="644"/>
      <c r="DQ226" s="644"/>
      <c r="DR226" s="644"/>
      <c r="DS226" s="644"/>
      <c r="DT226" s="644"/>
      <c r="DU226" s="644"/>
      <c r="DV226" s="644"/>
      <c r="DW226" s="101"/>
      <c r="DX226" s="646"/>
      <c r="DY226" s="646"/>
      <c r="DZ226" s="646"/>
      <c r="EA226" s="646"/>
      <c r="EB226" s="646"/>
      <c r="EC226" s="646"/>
      <c r="ED226" s="646"/>
      <c r="EE226" s="646"/>
      <c r="EF226" s="646"/>
      <c r="EG226" s="646"/>
      <c r="EH226" s="646"/>
      <c r="EI226" s="646"/>
      <c r="EJ226" s="646"/>
      <c r="EK226" s="271"/>
      <c r="EL226" s="644"/>
      <c r="EM226" s="634"/>
      <c r="EN226" s="647"/>
      <c r="EO226" s="648"/>
      <c r="EP226" s="647"/>
      <c r="EQ226" s="647"/>
      <c r="ER226" s="647"/>
      <c r="ES226" s="139"/>
      <c r="EV226" s="647"/>
      <c r="EW226" s="647"/>
      <c r="EX226" s="647"/>
      <c r="EY226" s="647"/>
      <c r="EZ226" s="647"/>
      <c r="FA226" s="646"/>
      <c r="FB226" s="646"/>
      <c r="FC226" s="646"/>
      <c r="FD226" s="646"/>
      <c r="FE226" s="646"/>
      <c r="FF226" s="646"/>
      <c r="FG226" s="647"/>
      <c r="FH226" s="647"/>
      <c r="FI226" s="647"/>
      <c r="FJ226" s="647"/>
      <c r="FK226" s="647"/>
      <c r="FL226" s="647"/>
      <c r="FM226" s="647"/>
      <c r="FN226" s="647"/>
      <c r="FO226" s="647"/>
      <c r="FP226" s="647"/>
      <c r="FQ226" s="647"/>
      <c r="FR226" s="647"/>
      <c r="FS226" s="101"/>
      <c r="FT226" s="95"/>
      <c r="FU226" s="651"/>
      <c r="FV226" s="101"/>
      <c r="FW226" s="101"/>
      <c r="FX226" s="634"/>
      <c r="FY226" s="634"/>
      <c r="FZ226" s="634"/>
      <c r="GA226" s="634"/>
      <c r="GB226" s="634"/>
      <c r="GC226" s="634"/>
      <c r="GD226" s="634"/>
      <c r="GE226" s="634"/>
      <c r="GF226" s="634"/>
      <c r="GG226" s="634"/>
      <c r="GH226" s="634"/>
      <c r="GI226" s="634"/>
      <c r="GJ226" s="634"/>
      <c r="GK226" s="634"/>
      <c r="GL226" s="101"/>
      <c r="GM226" s="101"/>
      <c r="GN226" s="101"/>
      <c r="GO226" s="643"/>
      <c r="GP226" s="644"/>
      <c r="GQ226" s="643"/>
      <c r="GR226" s="644"/>
      <c r="GS226" s="643"/>
      <c r="GT226" s="644"/>
      <c r="GU226" s="644"/>
      <c r="GV226" s="644"/>
      <c r="GW226" s="644"/>
      <c r="GX226" s="644"/>
      <c r="GY226" s="644"/>
      <c r="GZ226" s="644"/>
      <c r="HA226" s="644"/>
    </row>
    <row r="227" spans="1:209">
      <c r="A227" s="638"/>
      <c r="B227" s="95"/>
      <c r="C227" s="95"/>
      <c r="D227" s="95"/>
      <c r="E227" s="650"/>
      <c r="F227" s="95"/>
      <c r="G227" s="98"/>
      <c r="H227" s="99"/>
      <c r="I227" s="95"/>
      <c r="J227" s="95"/>
      <c r="K227" s="95"/>
      <c r="L227" s="95"/>
      <c r="M227" s="95"/>
      <c r="N227" s="95"/>
      <c r="O227" s="95"/>
      <c r="P227" s="95"/>
      <c r="Q227" s="95"/>
      <c r="R227" s="98"/>
      <c r="S227" s="101"/>
      <c r="T227" s="644"/>
      <c r="U227" s="101"/>
      <c r="V227" s="647"/>
      <c r="W227" s="643"/>
      <c r="X227" s="644"/>
      <c r="Y227" s="101"/>
      <c r="Z227" s="644"/>
      <c r="AA227" s="101"/>
      <c r="AB227" s="644"/>
      <c r="AC227" s="101"/>
      <c r="AD227" s="646"/>
      <c r="AE227" s="271"/>
      <c r="AF227" s="646"/>
      <c r="AG227" s="646"/>
      <c r="AH227" s="646"/>
      <c r="AI227" s="646"/>
      <c r="AJ227" s="646"/>
      <c r="AK227" s="646"/>
      <c r="AL227" s="646"/>
      <c r="AM227" s="271"/>
      <c r="AN227" s="646"/>
      <c r="AO227" s="646"/>
      <c r="AP227" s="646"/>
      <c r="AQ227" s="271"/>
      <c r="AR227" s="646"/>
      <c r="AS227" s="270"/>
      <c r="AT227" s="646"/>
      <c r="AU227" s="646"/>
      <c r="AV227" s="646"/>
      <c r="AW227" s="270"/>
      <c r="AX227" s="646"/>
      <c r="AY227" s="270"/>
      <c r="AZ227" s="646"/>
      <c r="BA227" s="646"/>
      <c r="BB227" s="644"/>
      <c r="BC227" s="644"/>
      <c r="BD227" s="644"/>
      <c r="BE227" s="644"/>
      <c r="BF227" s="644"/>
      <c r="BG227" s="644"/>
      <c r="BH227" s="644"/>
      <c r="BI227" s="644"/>
      <c r="BJ227" s="644"/>
      <c r="BK227" s="644"/>
      <c r="BL227" s="644"/>
      <c r="BM227" s="95"/>
      <c r="BN227" s="644"/>
      <c r="BO227" s="95"/>
      <c r="BP227" s="644"/>
      <c r="BQ227" s="644"/>
      <c r="BR227" s="644"/>
      <c r="BS227" s="644"/>
      <c r="BT227" s="644"/>
      <c r="BU227" s="644"/>
      <c r="BV227" s="644"/>
      <c r="BW227" s="644"/>
      <c r="BX227" s="644"/>
      <c r="BY227" s="644"/>
      <c r="BZ227" s="644"/>
      <c r="CA227" s="644"/>
      <c r="CB227" s="644"/>
      <c r="CC227" s="644"/>
      <c r="CD227" s="644"/>
      <c r="CE227" s="644"/>
      <c r="CF227" s="644"/>
      <c r="CG227" s="644"/>
      <c r="CH227" s="644"/>
      <c r="CI227" s="644"/>
      <c r="CJ227" s="644"/>
      <c r="CK227" s="644"/>
      <c r="CL227" s="644"/>
      <c r="CM227" s="95"/>
      <c r="CN227" s="644"/>
      <c r="CO227" s="644"/>
      <c r="CP227" s="95"/>
      <c r="CQ227" s="98"/>
      <c r="CR227" s="95"/>
      <c r="CS227" s="95"/>
      <c r="CT227" s="95"/>
      <c r="CU227" s="108"/>
      <c r="CV227" s="109"/>
      <c r="CW227" s="644"/>
      <c r="CX227" s="496"/>
      <c r="CY227" s="637"/>
      <c r="CZ227" s="644"/>
      <c r="DA227" s="644"/>
      <c r="DB227" s="644"/>
      <c r="DC227" s="496"/>
      <c r="DD227" s="644"/>
      <c r="DE227" s="101"/>
      <c r="DF227" s="644"/>
      <c r="DG227" s="101"/>
      <c r="DH227" s="644"/>
      <c r="DI227" s="644"/>
      <c r="DJ227" s="644"/>
      <c r="DK227" s="644"/>
      <c r="DL227" s="644"/>
      <c r="DM227" s="101"/>
      <c r="DN227" s="644"/>
      <c r="DO227" s="644"/>
      <c r="DP227" s="644"/>
      <c r="DQ227" s="644"/>
      <c r="DR227" s="644"/>
      <c r="DS227" s="644"/>
      <c r="DT227" s="644"/>
      <c r="DU227" s="644"/>
      <c r="DV227" s="644"/>
      <c r="DW227" s="101"/>
      <c r="DX227" s="646"/>
      <c r="DY227" s="646"/>
      <c r="DZ227" s="646"/>
      <c r="EA227" s="646"/>
      <c r="EB227" s="646"/>
      <c r="EC227" s="646"/>
      <c r="ED227" s="646"/>
      <c r="EE227" s="646"/>
      <c r="EF227" s="646"/>
      <c r="EG227" s="646"/>
      <c r="EH227" s="646"/>
      <c r="EI227" s="646"/>
      <c r="EJ227" s="646"/>
      <c r="EK227" s="271"/>
      <c r="EL227" s="644"/>
      <c r="EM227" s="634"/>
      <c r="EN227" s="647"/>
      <c r="EO227" s="648"/>
      <c r="EP227" s="647"/>
      <c r="EQ227" s="647"/>
      <c r="ER227" s="647"/>
      <c r="ES227" s="139"/>
      <c r="EV227" s="647"/>
      <c r="EW227" s="647"/>
      <c r="EX227" s="647"/>
      <c r="EY227" s="647"/>
      <c r="EZ227" s="647"/>
      <c r="FA227" s="646"/>
      <c r="FB227" s="646"/>
      <c r="FC227" s="646"/>
      <c r="FD227" s="646"/>
      <c r="FE227" s="646"/>
      <c r="FF227" s="646"/>
      <c r="FG227" s="647"/>
      <c r="FH227" s="647"/>
      <c r="FI227" s="647"/>
      <c r="FJ227" s="647"/>
      <c r="FK227" s="647"/>
      <c r="FL227" s="647"/>
      <c r="FM227" s="647"/>
      <c r="FN227" s="647"/>
      <c r="FO227" s="647"/>
      <c r="FP227" s="647"/>
      <c r="FQ227" s="647"/>
      <c r="FR227" s="647"/>
      <c r="FS227" s="101"/>
      <c r="FT227" s="95"/>
      <c r="FU227" s="651"/>
      <c r="FV227" s="101"/>
      <c r="FW227" s="101"/>
      <c r="FX227" s="634"/>
      <c r="FY227" s="634"/>
      <c r="FZ227" s="634"/>
      <c r="GA227" s="634"/>
      <c r="GB227" s="634"/>
      <c r="GC227" s="634"/>
      <c r="GD227" s="634"/>
      <c r="GE227" s="634"/>
      <c r="GF227" s="634"/>
      <c r="GG227" s="634"/>
      <c r="GH227" s="634"/>
      <c r="GI227" s="634"/>
      <c r="GJ227" s="634"/>
      <c r="GK227" s="634"/>
      <c r="GL227" s="101"/>
      <c r="GM227" s="101"/>
      <c r="GN227" s="101"/>
      <c r="GO227" s="643"/>
      <c r="GP227" s="644"/>
      <c r="GQ227" s="643"/>
      <c r="GR227" s="644"/>
      <c r="GS227" s="643"/>
      <c r="GT227" s="644"/>
      <c r="GU227" s="644"/>
      <c r="GV227" s="644"/>
      <c r="GW227" s="644"/>
      <c r="GX227" s="644"/>
      <c r="GY227" s="644"/>
      <c r="GZ227" s="644"/>
      <c r="HA227" s="644"/>
    </row>
    <row r="228" spans="1:209">
      <c r="A228" s="638"/>
      <c r="B228" s="95"/>
      <c r="C228" s="95"/>
      <c r="D228" s="95"/>
      <c r="E228" s="650"/>
      <c r="F228" s="95"/>
      <c r="G228" s="98"/>
      <c r="H228" s="99"/>
      <c r="I228" s="95"/>
      <c r="J228" s="95"/>
      <c r="K228" s="95"/>
      <c r="L228" s="95"/>
      <c r="M228" s="95"/>
      <c r="N228" s="95"/>
      <c r="O228" s="95"/>
      <c r="P228" s="95"/>
      <c r="Q228" s="95"/>
      <c r="R228" s="98"/>
      <c r="S228" s="101"/>
      <c r="T228" s="644"/>
      <c r="U228" s="101"/>
      <c r="V228" s="647"/>
      <c r="W228" s="643"/>
      <c r="X228" s="644"/>
      <c r="Y228" s="101"/>
      <c r="Z228" s="644"/>
      <c r="AA228" s="101"/>
      <c r="AB228" s="644"/>
      <c r="AC228" s="101"/>
      <c r="AD228" s="646"/>
      <c r="AE228" s="271"/>
      <c r="AF228" s="646"/>
      <c r="AG228" s="646"/>
      <c r="AH228" s="646"/>
      <c r="AI228" s="646"/>
      <c r="AJ228" s="646"/>
      <c r="AK228" s="646"/>
      <c r="AL228" s="646"/>
      <c r="AM228" s="271"/>
      <c r="AN228" s="646"/>
      <c r="AO228" s="646"/>
      <c r="AP228" s="646"/>
      <c r="AQ228" s="271"/>
      <c r="AR228" s="646"/>
      <c r="AS228" s="270"/>
      <c r="AT228" s="646"/>
      <c r="AU228" s="646"/>
      <c r="AV228" s="646"/>
      <c r="AW228" s="270"/>
      <c r="AX228" s="646"/>
      <c r="AY228" s="270"/>
      <c r="AZ228" s="646"/>
      <c r="BA228" s="646"/>
      <c r="BB228" s="644"/>
      <c r="BC228" s="644"/>
      <c r="BD228" s="644"/>
      <c r="BE228" s="644"/>
      <c r="BF228" s="644"/>
      <c r="BG228" s="644"/>
      <c r="BH228" s="644"/>
      <c r="BI228" s="644"/>
      <c r="BJ228" s="644"/>
      <c r="BK228" s="644"/>
      <c r="BL228" s="644"/>
      <c r="BM228" s="95"/>
      <c r="BN228" s="644"/>
      <c r="BO228" s="95"/>
      <c r="BP228" s="644"/>
      <c r="BQ228" s="644"/>
      <c r="BR228" s="644"/>
      <c r="BS228" s="644"/>
      <c r="BT228" s="644"/>
      <c r="BU228" s="644"/>
      <c r="BV228" s="644"/>
      <c r="BW228" s="644"/>
      <c r="BX228" s="644"/>
      <c r="BY228" s="644"/>
      <c r="BZ228" s="644"/>
      <c r="CA228" s="644"/>
      <c r="CB228" s="644"/>
      <c r="CC228" s="644"/>
      <c r="CD228" s="644"/>
      <c r="CE228" s="644"/>
      <c r="CF228" s="644"/>
      <c r="CG228" s="644"/>
      <c r="CH228" s="644"/>
      <c r="CI228" s="644"/>
      <c r="CJ228" s="644"/>
      <c r="CK228" s="644"/>
      <c r="CL228" s="644"/>
      <c r="CM228" s="95"/>
      <c r="CN228" s="644"/>
      <c r="CO228" s="644"/>
      <c r="CP228" s="95"/>
      <c r="CQ228" s="98"/>
      <c r="CR228" s="95"/>
      <c r="CS228" s="95"/>
      <c r="CT228" s="95"/>
      <c r="CU228" s="108"/>
      <c r="CV228" s="109"/>
      <c r="CW228" s="644"/>
      <c r="CX228" s="496"/>
      <c r="CY228" s="637"/>
      <c r="CZ228" s="644"/>
      <c r="DA228" s="644"/>
      <c r="DB228" s="644"/>
      <c r="DC228" s="496"/>
      <c r="DD228" s="644"/>
      <c r="DE228" s="101"/>
      <c r="DF228" s="644"/>
      <c r="DG228" s="101"/>
      <c r="DH228" s="644"/>
      <c r="DI228" s="644"/>
      <c r="DJ228" s="644"/>
      <c r="DK228" s="644"/>
      <c r="DL228" s="644"/>
      <c r="DM228" s="101"/>
      <c r="DN228" s="644"/>
      <c r="DO228" s="644"/>
      <c r="DP228" s="644"/>
      <c r="DQ228" s="644"/>
      <c r="DR228" s="644"/>
      <c r="DS228" s="644"/>
      <c r="DT228" s="644"/>
      <c r="DU228" s="644"/>
      <c r="DV228" s="644"/>
      <c r="DW228" s="101"/>
      <c r="DX228" s="646"/>
      <c r="DY228" s="646"/>
      <c r="DZ228" s="646"/>
      <c r="EA228" s="646"/>
      <c r="EB228" s="646"/>
      <c r="EC228" s="646"/>
      <c r="ED228" s="646"/>
      <c r="EE228" s="646"/>
      <c r="EF228" s="646"/>
      <c r="EG228" s="646"/>
      <c r="EH228" s="646"/>
      <c r="EI228" s="646"/>
      <c r="EJ228" s="646"/>
      <c r="EK228" s="271"/>
      <c r="EL228" s="644"/>
      <c r="EM228" s="634"/>
      <c r="EN228" s="647"/>
      <c r="EO228" s="648"/>
      <c r="EP228" s="647"/>
      <c r="EQ228" s="647"/>
      <c r="ER228" s="647"/>
      <c r="ES228" s="139"/>
      <c r="EV228" s="647"/>
      <c r="EW228" s="647"/>
      <c r="EX228" s="647"/>
      <c r="EY228" s="647"/>
      <c r="EZ228" s="647"/>
      <c r="FA228" s="646"/>
      <c r="FB228" s="646"/>
      <c r="FC228" s="646"/>
      <c r="FD228" s="646"/>
      <c r="FE228" s="646"/>
      <c r="FF228" s="646"/>
      <c r="FG228" s="647"/>
      <c r="FH228" s="647"/>
      <c r="FI228" s="647"/>
      <c r="FJ228" s="647"/>
      <c r="FK228" s="647"/>
      <c r="FL228" s="647"/>
      <c r="FM228" s="647"/>
      <c r="FN228" s="647"/>
      <c r="FO228" s="647"/>
      <c r="FP228" s="647"/>
      <c r="FQ228" s="647"/>
      <c r="FR228" s="647"/>
      <c r="FS228" s="101"/>
      <c r="FT228" s="95"/>
      <c r="FU228" s="651"/>
      <c r="FV228" s="101"/>
      <c r="FW228" s="101"/>
      <c r="FX228" s="634"/>
      <c r="FY228" s="634"/>
      <c r="FZ228" s="634"/>
      <c r="GA228" s="634"/>
      <c r="GB228" s="634"/>
      <c r="GC228" s="634"/>
      <c r="GD228" s="634"/>
      <c r="GE228" s="634"/>
      <c r="GF228" s="634"/>
      <c r="GG228" s="634"/>
      <c r="GH228" s="634"/>
      <c r="GI228" s="634"/>
      <c r="GJ228" s="634"/>
      <c r="GK228" s="634"/>
      <c r="GL228" s="101"/>
      <c r="GM228" s="101"/>
      <c r="GN228" s="101"/>
      <c r="GO228" s="643"/>
      <c r="GP228" s="644"/>
      <c r="GQ228" s="643"/>
      <c r="GR228" s="644"/>
      <c r="GS228" s="643"/>
      <c r="GT228" s="644"/>
      <c r="GU228" s="644"/>
      <c r="GV228" s="644"/>
      <c r="GW228" s="644"/>
      <c r="GX228" s="644"/>
      <c r="GY228" s="644"/>
      <c r="GZ228" s="644"/>
      <c r="HA228" s="644"/>
    </row>
    <row r="229" spans="1:209">
      <c r="A229" s="638"/>
      <c r="B229" s="95"/>
      <c r="C229" s="95"/>
      <c r="D229" s="95"/>
      <c r="E229" s="650"/>
      <c r="F229" s="95"/>
      <c r="G229" s="98"/>
      <c r="H229" s="99"/>
      <c r="I229" s="95"/>
      <c r="J229" s="95"/>
      <c r="K229" s="95"/>
      <c r="L229" s="95"/>
      <c r="M229" s="95"/>
      <c r="N229" s="95"/>
      <c r="O229" s="95"/>
      <c r="P229" s="95"/>
      <c r="Q229" s="95"/>
      <c r="R229" s="98"/>
      <c r="S229" s="101"/>
      <c r="T229" s="644"/>
      <c r="U229" s="101"/>
      <c r="V229" s="647"/>
      <c r="W229" s="643"/>
      <c r="X229" s="644"/>
      <c r="Y229" s="101"/>
      <c r="Z229" s="644"/>
      <c r="AA229" s="101"/>
      <c r="AB229" s="644"/>
      <c r="AC229" s="101"/>
      <c r="AD229" s="646"/>
      <c r="AE229" s="271"/>
      <c r="AF229" s="646"/>
      <c r="AG229" s="646"/>
      <c r="AH229" s="646"/>
      <c r="AI229" s="646"/>
      <c r="AJ229" s="646"/>
      <c r="AK229" s="646"/>
      <c r="AL229" s="646"/>
      <c r="AM229" s="271"/>
      <c r="AN229" s="646"/>
      <c r="AO229" s="646"/>
      <c r="AP229" s="646"/>
      <c r="AQ229" s="271"/>
      <c r="AR229" s="646"/>
      <c r="AS229" s="270"/>
      <c r="AT229" s="646"/>
      <c r="AU229" s="646"/>
      <c r="AV229" s="646"/>
      <c r="AW229" s="270"/>
      <c r="AX229" s="646"/>
      <c r="AY229" s="270"/>
      <c r="AZ229" s="646"/>
      <c r="BA229" s="646"/>
      <c r="BB229" s="644"/>
      <c r="BC229" s="644"/>
      <c r="BD229" s="644"/>
      <c r="BE229" s="644"/>
      <c r="BF229" s="644"/>
      <c r="BG229" s="644"/>
      <c r="BH229" s="644"/>
      <c r="BI229" s="644"/>
      <c r="BJ229" s="644"/>
      <c r="BK229" s="644"/>
      <c r="BL229" s="644"/>
      <c r="BM229" s="95"/>
      <c r="BN229" s="644"/>
      <c r="BO229" s="95"/>
      <c r="BP229" s="644"/>
      <c r="BQ229" s="644"/>
      <c r="BR229" s="644"/>
      <c r="BS229" s="644"/>
      <c r="BT229" s="644"/>
      <c r="BU229" s="644"/>
      <c r="BV229" s="644"/>
      <c r="BW229" s="644"/>
      <c r="BX229" s="644"/>
      <c r="BY229" s="644"/>
      <c r="BZ229" s="644"/>
      <c r="CA229" s="644"/>
      <c r="CB229" s="644"/>
      <c r="CC229" s="644"/>
      <c r="CD229" s="644"/>
      <c r="CE229" s="644"/>
      <c r="CF229" s="644"/>
      <c r="CG229" s="644"/>
      <c r="CH229" s="644"/>
      <c r="CI229" s="644"/>
      <c r="CJ229" s="644"/>
      <c r="CK229" s="644"/>
      <c r="CL229" s="644"/>
      <c r="CM229" s="95"/>
      <c r="CN229" s="644"/>
      <c r="CO229" s="644"/>
      <c r="CP229" s="95"/>
      <c r="CQ229" s="98"/>
      <c r="CR229" s="95"/>
      <c r="CS229" s="95"/>
      <c r="CT229" s="95"/>
      <c r="CU229" s="108"/>
      <c r="CV229" s="109"/>
      <c r="CW229" s="644"/>
      <c r="CX229" s="496"/>
      <c r="CY229" s="637"/>
      <c r="CZ229" s="644"/>
      <c r="DA229" s="644"/>
      <c r="DB229" s="644"/>
      <c r="DC229" s="496"/>
      <c r="DD229" s="644"/>
      <c r="DE229" s="101"/>
      <c r="DF229" s="644"/>
      <c r="DG229" s="101"/>
      <c r="DH229" s="644"/>
      <c r="DI229" s="644"/>
      <c r="DJ229" s="644"/>
      <c r="DK229" s="644"/>
      <c r="DL229" s="644"/>
      <c r="DM229" s="101"/>
      <c r="DN229" s="644"/>
      <c r="DO229" s="644"/>
      <c r="DP229" s="644"/>
      <c r="DQ229" s="644"/>
      <c r="DR229" s="644"/>
      <c r="DS229" s="644"/>
      <c r="DT229" s="644"/>
      <c r="DU229" s="644"/>
      <c r="DV229" s="644"/>
      <c r="DW229" s="101"/>
      <c r="DX229" s="646"/>
      <c r="DY229" s="646"/>
      <c r="DZ229" s="646"/>
      <c r="EA229" s="646"/>
      <c r="EB229" s="646"/>
      <c r="EC229" s="646"/>
      <c r="ED229" s="646"/>
      <c r="EE229" s="646"/>
      <c r="EF229" s="646"/>
      <c r="EG229" s="646"/>
      <c r="EH229" s="646"/>
      <c r="EI229" s="646"/>
      <c r="EJ229" s="646"/>
      <c r="EK229" s="271"/>
      <c r="EL229" s="644"/>
      <c r="EM229" s="634"/>
      <c r="EN229" s="647"/>
      <c r="EO229" s="648"/>
      <c r="EP229" s="647"/>
      <c r="EQ229" s="647"/>
      <c r="ER229" s="647"/>
      <c r="ES229" s="139"/>
      <c r="EV229" s="647"/>
      <c r="EW229" s="647"/>
      <c r="EX229" s="647"/>
      <c r="EY229" s="647"/>
      <c r="EZ229" s="647"/>
      <c r="FA229" s="646"/>
      <c r="FB229" s="646"/>
      <c r="FC229" s="646"/>
      <c r="FD229" s="646"/>
      <c r="FE229" s="646"/>
      <c r="FF229" s="646"/>
      <c r="FG229" s="647"/>
      <c r="FH229" s="647"/>
      <c r="FI229" s="647"/>
      <c r="FJ229" s="647"/>
      <c r="FK229" s="647"/>
      <c r="FL229" s="647"/>
      <c r="FM229" s="647"/>
      <c r="FN229" s="647"/>
      <c r="FO229" s="647"/>
      <c r="FP229" s="647"/>
      <c r="FQ229" s="647"/>
      <c r="FR229" s="647"/>
      <c r="FS229" s="101"/>
      <c r="FT229" s="95"/>
      <c r="FU229" s="651"/>
      <c r="FV229" s="101"/>
      <c r="FW229" s="101"/>
      <c r="FX229" s="634"/>
      <c r="FY229" s="634"/>
      <c r="FZ229" s="634"/>
      <c r="GA229" s="634"/>
      <c r="GB229" s="634"/>
      <c r="GC229" s="634"/>
      <c r="GD229" s="634"/>
      <c r="GE229" s="634"/>
      <c r="GF229" s="634"/>
      <c r="GG229" s="634"/>
      <c r="GH229" s="634"/>
      <c r="GI229" s="634"/>
      <c r="GJ229" s="634"/>
      <c r="GK229" s="634"/>
      <c r="GL229" s="101"/>
      <c r="GM229" s="101"/>
      <c r="GN229" s="101"/>
      <c r="GO229" s="643"/>
      <c r="GP229" s="644"/>
      <c r="GQ229" s="643"/>
      <c r="GR229" s="644"/>
      <c r="GS229" s="643"/>
      <c r="GT229" s="644"/>
      <c r="GU229" s="644"/>
      <c r="GV229" s="644"/>
      <c r="GW229" s="644"/>
      <c r="GX229" s="644"/>
      <c r="GY229" s="644"/>
      <c r="GZ229" s="644"/>
      <c r="HA229" s="644"/>
    </row>
    <row r="230" spans="1:209">
      <c r="A230" s="638"/>
      <c r="B230" s="95"/>
      <c r="C230" s="95"/>
      <c r="D230" s="95"/>
      <c r="E230" s="650"/>
      <c r="F230" s="95"/>
      <c r="G230" s="98"/>
      <c r="H230" s="99"/>
      <c r="I230" s="95"/>
      <c r="J230" s="95"/>
      <c r="K230" s="95"/>
      <c r="L230" s="95"/>
      <c r="M230" s="95"/>
      <c r="N230" s="95"/>
      <c r="O230" s="95"/>
      <c r="P230" s="95"/>
      <c r="Q230" s="95"/>
      <c r="R230" s="98"/>
      <c r="S230" s="101"/>
      <c r="T230" s="644"/>
      <c r="U230" s="101"/>
      <c r="V230" s="647"/>
      <c r="W230" s="643"/>
      <c r="X230" s="644"/>
      <c r="Y230" s="101"/>
      <c r="Z230" s="644"/>
      <c r="AA230" s="101"/>
      <c r="AB230" s="644"/>
      <c r="AC230" s="101"/>
      <c r="AD230" s="646"/>
      <c r="AE230" s="271"/>
      <c r="AF230" s="646"/>
      <c r="AG230" s="646"/>
      <c r="AH230" s="646"/>
      <c r="AI230" s="646"/>
      <c r="AJ230" s="646"/>
      <c r="AK230" s="646"/>
      <c r="AL230" s="646"/>
      <c r="AM230" s="271"/>
      <c r="AN230" s="646"/>
      <c r="AO230" s="646"/>
      <c r="AP230" s="646"/>
      <c r="AQ230" s="271"/>
      <c r="AR230" s="646"/>
      <c r="AS230" s="270"/>
      <c r="AT230" s="646"/>
      <c r="AU230" s="646"/>
      <c r="AV230" s="646"/>
      <c r="AW230" s="270"/>
      <c r="AX230" s="646"/>
      <c r="AY230" s="270"/>
      <c r="AZ230" s="646"/>
      <c r="BA230" s="646"/>
      <c r="BB230" s="644"/>
      <c r="BC230" s="644"/>
      <c r="BD230" s="644"/>
      <c r="BE230" s="644"/>
      <c r="BF230" s="644"/>
      <c r="BG230" s="644"/>
      <c r="BH230" s="644"/>
      <c r="BI230" s="644"/>
      <c r="BJ230" s="644"/>
      <c r="BK230" s="644"/>
      <c r="BL230" s="644"/>
      <c r="BM230" s="95"/>
      <c r="BN230" s="644"/>
      <c r="BO230" s="95"/>
      <c r="BP230" s="644"/>
      <c r="BQ230" s="644"/>
      <c r="BR230" s="644"/>
      <c r="BS230" s="644"/>
      <c r="BT230" s="644"/>
      <c r="BU230" s="644"/>
      <c r="BV230" s="644"/>
      <c r="BW230" s="644"/>
      <c r="BX230" s="644"/>
      <c r="BY230" s="644"/>
      <c r="BZ230" s="644"/>
      <c r="CA230" s="644"/>
      <c r="CB230" s="644"/>
      <c r="CC230" s="644"/>
      <c r="CD230" s="644"/>
      <c r="CE230" s="644"/>
      <c r="CF230" s="644"/>
      <c r="CG230" s="644"/>
      <c r="CH230" s="644"/>
      <c r="CI230" s="644"/>
      <c r="CJ230" s="644"/>
      <c r="CK230" s="644"/>
      <c r="CL230" s="644"/>
      <c r="CM230" s="95"/>
      <c r="CN230" s="644"/>
      <c r="CO230" s="644"/>
      <c r="CP230" s="95"/>
      <c r="CQ230" s="98"/>
      <c r="CR230" s="95"/>
      <c r="CS230" s="95"/>
      <c r="CT230" s="95"/>
      <c r="CU230" s="108"/>
      <c r="CV230" s="109"/>
      <c r="CW230" s="644"/>
      <c r="CX230" s="496"/>
      <c r="CY230" s="637"/>
      <c r="CZ230" s="644"/>
      <c r="DA230" s="644"/>
      <c r="DB230" s="644"/>
      <c r="DC230" s="496"/>
      <c r="DD230" s="644"/>
      <c r="DE230" s="101"/>
      <c r="DF230" s="644"/>
      <c r="DG230" s="101"/>
      <c r="DH230" s="644"/>
      <c r="DI230" s="644"/>
      <c r="DJ230" s="644"/>
      <c r="DK230" s="644"/>
      <c r="DL230" s="644"/>
      <c r="DM230" s="101"/>
      <c r="DN230" s="644"/>
      <c r="DO230" s="644"/>
      <c r="DP230" s="644"/>
      <c r="DQ230" s="644"/>
      <c r="DR230" s="644"/>
      <c r="DS230" s="644"/>
      <c r="DT230" s="644"/>
      <c r="DU230" s="644"/>
      <c r="DV230" s="644"/>
      <c r="DW230" s="101"/>
      <c r="DX230" s="646"/>
      <c r="DY230" s="646"/>
      <c r="DZ230" s="646"/>
      <c r="EA230" s="646"/>
      <c r="EB230" s="646"/>
      <c r="EC230" s="646"/>
      <c r="ED230" s="646"/>
      <c r="EE230" s="646"/>
      <c r="EF230" s="646"/>
      <c r="EG230" s="646"/>
      <c r="EH230" s="646"/>
      <c r="EI230" s="646"/>
      <c r="EJ230" s="646"/>
      <c r="EK230" s="271"/>
      <c r="EL230" s="644"/>
      <c r="EM230" s="634"/>
      <c r="EN230" s="647"/>
      <c r="EO230" s="648"/>
      <c r="EP230" s="647"/>
      <c r="EQ230" s="647"/>
      <c r="ER230" s="647"/>
      <c r="ES230" s="139"/>
      <c r="EV230" s="647"/>
      <c r="EW230" s="647"/>
      <c r="EX230" s="647"/>
      <c r="EY230" s="647"/>
      <c r="EZ230" s="647"/>
      <c r="FA230" s="646"/>
      <c r="FB230" s="646"/>
      <c r="FC230" s="646"/>
      <c r="FD230" s="646"/>
      <c r="FE230" s="646"/>
      <c r="FF230" s="646"/>
      <c r="FG230" s="647"/>
      <c r="FH230" s="647"/>
      <c r="FI230" s="647"/>
      <c r="FJ230" s="647"/>
      <c r="FK230" s="647"/>
      <c r="FL230" s="647"/>
      <c r="FM230" s="647"/>
      <c r="FN230" s="647"/>
      <c r="FO230" s="647"/>
      <c r="FP230" s="647"/>
      <c r="FQ230" s="647"/>
      <c r="FR230" s="647"/>
      <c r="FS230" s="101"/>
      <c r="FT230" s="95"/>
      <c r="FU230" s="651"/>
      <c r="FV230" s="101"/>
      <c r="FW230" s="101"/>
      <c r="FX230" s="634"/>
      <c r="FY230" s="634"/>
      <c r="FZ230" s="634"/>
      <c r="GA230" s="634"/>
      <c r="GB230" s="634"/>
      <c r="GC230" s="634"/>
      <c r="GD230" s="634"/>
      <c r="GE230" s="634"/>
      <c r="GF230" s="634"/>
      <c r="GG230" s="634"/>
      <c r="GH230" s="634"/>
      <c r="GI230" s="634"/>
      <c r="GJ230" s="634"/>
      <c r="GK230" s="634"/>
      <c r="GL230" s="101"/>
      <c r="GM230" s="101"/>
      <c r="GN230" s="101"/>
      <c r="GO230" s="643"/>
      <c r="GP230" s="644"/>
      <c r="GQ230" s="643"/>
      <c r="GR230" s="644"/>
      <c r="GS230" s="643"/>
      <c r="GT230" s="644"/>
      <c r="GU230" s="644"/>
      <c r="GV230" s="644"/>
      <c r="GW230" s="644"/>
      <c r="GX230" s="644"/>
      <c r="GY230" s="644"/>
      <c r="GZ230" s="644"/>
      <c r="HA230" s="644"/>
    </row>
    <row r="231" spans="1:209">
      <c r="A231" s="638"/>
      <c r="B231" s="95"/>
      <c r="C231" s="95"/>
      <c r="D231" s="95"/>
      <c r="E231" s="650"/>
      <c r="F231" s="95"/>
      <c r="G231" s="98"/>
      <c r="H231" s="99"/>
      <c r="I231" s="95"/>
      <c r="J231" s="95"/>
      <c r="K231" s="95"/>
      <c r="L231" s="95"/>
      <c r="M231" s="95"/>
      <c r="N231" s="95"/>
      <c r="O231" s="95"/>
      <c r="P231" s="95"/>
      <c r="Q231" s="95"/>
      <c r="R231" s="98"/>
      <c r="S231" s="101"/>
      <c r="T231" s="644"/>
      <c r="U231" s="101"/>
      <c r="V231" s="647"/>
      <c r="W231" s="643"/>
      <c r="X231" s="644"/>
      <c r="Y231" s="101"/>
      <c r="Z231" s="644"/>
      <c r="AA231" s="101"/>
      <c r="AB231" s="644"/>
      <c r="AC231" s="101"/>
      <c r="AD231" s="646"/>
      <c r="AE231" s="271"/>
      <c r="AF231" s="646"/>
      <c r="AG231" s="646"/>
      <c r="AH231" s="646"/>
      <c r="AI231" s="646"/>
      <c r="AJ231" s="646"/>
      <c r="AK231" s="646"/>
      <c r="AL231" s="646"/>
      <c r="AM231" s="271"/>
      <c r="AN231" s="646"/>
      <c r="AO231" s="646"/>
      <c r="AP231" s="646"/>
      <c r="AQ231" s="271"/>
      <c r="AR231" s="646"/>
      <c r="AS231" s="270"/>
      <c r="AT231" s="646"/>
      <c r="AU231" s="646"/>
      <c r="AV231" s="646"/>
      <c r="AW231" s="270"/>
      <c r="AX231" s="646"/>
      <c r="AY231" s="270"/>
      <c r="AZ231" s="646"/>
      <c r="BA231" s="646"/>
      <c r="BB231" s="644"/>
      <c r="BC231" s="644"/>
      <c r="BD231" s="644"/>
      <c r="BE231" s="644"/>
      <c r="BF231" s="644"/>
      <c r="BG231" s="644"/>
      <c r="BH231" s="644"/>
      <c r="BI231" s="644"/>
      <c r="BJ231" s="644"/>
      <c r="BK231" s="644"/>
      <c r="BL231" s="644"/>
      <c r="BM231" s="95"/>
      <c r="BN231" s="644"/>
      <c r="BO231" s="95"/>
      <c r="BP231" s="644"/>
      <c r="BQ231" s="644"/>
      <c r="BR231" s="644"/>
      <c r="BS231" s="644"/>
      <c r="BT231" s="644"/>
      <c r="BU231" s="644"/>
      <c r="BV231" s="644"/>
      <c r="BW231" s="644"/>
      <c r="BX231" s="644"/>
      <c r="BY231" s="644"/>
      <c r="BZ231" s="644"/>
      <c r="CA231" s="644"/>
      <c r="CB231" s="644"/>
      <c r="CC231" s="644"/>
      <c r="CD231" s="644"/>
      <c r="CE231" s="644"/>
      <c r="CF231" s="644"/>
      <c r="CG231" s="644"/>
      <c r="CH231" s="644"/>
      <c r="CI231" s="644"/>
      <c r="CJ231" s="644"/>
      <c r="CK231" s="644"/>
      <c r="CL231" s="644"/>
      <c r="CM231" s="95"/>
      <c r="CN231" s="644"/>
      <c r="CO231" s="644"/>
      <c r="CP231" s="95"/>
      <c r="CQ231" s="98"/>
      <c r="CR231" s="95"/>
      <c r="CS231" s="95"/>
      <c r="CT231" s="95"/>
      <c r="CU231" s="108"/>
      <c r="CV231" s="109"/>
      <c r="CW231" s="644"/>
      <c r="CX231" s="496"/>
      <c r="CY231" s="637"/>
      <c r="CZ231" s="644"/>
      <c r="DA231" s="644"/>
      <c r="DB231" s="644"/>
      <c r="DC231" s="496"/>
      <c r="DD231" s="644"/>
      <c r="DE231" s="101"/>
      <c r="DF231" s="644"/>
      <c r="DG231" s="101"/>
      <c r="DH231" s="644"/>
      <c r="DI231" s="644"/>
      <c r="DJ231" s="644"/>
      <c r="DK231" s="644"/>
      <c r="DL231" s="644"/>
      <c r="DM231" s="101"/>
      <c r="DN231" s="644"/>
      <c r="DO231" s="644"/>
      <c r="DP231" s="644"/>
      <c r="DQ231" s="644"/>
      <c r="DR231" s="644"/>
      <c r="DS231" s="644"/>
      <c r="DT231" s="644"/>
      <c r="DU231" s="644"/>
      <c r="DV231" s="644"/>
      <c r="DW231" s="101"/>
      <c r="DX231" s="646"/>
      <c r="DY231" s="646"/>
      <c r="DZ231" s="646"/>
      <c r="EA231" s="646"/>
      <c r="EB231" s="646"/>
      <c r="EC231" s="646"/>
      <c r="ED231" s="646"/>
      <c r="EE231" s="646"/>
      <c r="EF231" s="646"/>
      <c r="EG231" s="646"/>
      <c r="EH231" s="646"/>
      <c r="EI231" s="646"/>
      <c r="EJ231" s="646"/>
      <c r="EK231" s="271"/>
      <c r="EL231" s="644"/>
      <c r="EM231" s="634"/>
      <c r="EN231" s="647"/>
      <c r="EO231" s="648"/>
      <c r="EP231" s="647"/>
      <c r="EQ231" s="647"/>
      <c r="ER231" s="647"/>
      <c r="ES231" s="139"/>
      <c r="EV231" s="647"/>
      <c r="EW231" s="647"/>
      <c r="EX231" s="647"/>
      <c r="EY231" s="647"/>
      <c r="EZ231" s="647"/>
      <c r="FA231" s="646"/>
      <c r="FB231" s="646"/>
      <c r="FC231" s="646"/>
      <c r="FD231" s="646"/>
      <c r="FE231" s="646"/>
      <c r="FF231" s="646"/>
      <c r="FG231" s="647"/>
      <c r="FH231" s="647"/>
      <c r="FI231" s="647"/>
      <c r="FJ231" s="647"/>
      <c r="FK231" s="647"/>
      <c r="FL231" s="647"/>
      <c r="FM231" s="647"/>
      <c r="FN231" s="647"/>
      <c r="FO231" s="647"/>
      <c r="FP231" s="647"/>
      <c r="FQ231" s="647"/>
      <c r="FR231" s="647"/>
      <c r="FS231" s="101"/>
      <c r="FT231" s="95"/>
      <c r="FU231" s="651"/>
      <c r="FV231" s="101"/>
      <c r="FW231" s="101"/>
      <c r="FX231" s="634"/>
      <c r="FY231" s="634"/>
      <c r="FZ231" s="634"/>
      <c r="GA231" s="634"/>
      <c r="GB231" s="634"/>
      <c r="GC231" s="634"/>
      <c r="GD231" s="634"/>
      <c r="GE231" s="634"/>
      <c r="GF231" s="634"/>
      <c r="GG231" s="634"/>
      <c r="GH231" s="634"/>
      <c r="GI231" s="634"/>
      <c r="GJ231" s="634"/>
      <c r="GK231" s="634"/>
      <c r="GL231" s="101"/>
      <c r="GM231" s="101"/>
      <c r="GN231" s="101"/>
      <c r="GO231" s="643"/>
      <c r="GP231" s="644"/>
      <c r="GQ231" s="643"/>
      <c r="GR231" s="644"/>
      <c r="GS231" s="643"/>
      <c r="GT231" s="644"/>
      <c r="GU231" s="644"/>
      <c r="GV231" s="644"/>
      <c r="GW231" s="644"/>
      <c r="GX231" s="644"/>
      <c r="GY231" s="644"/>
      <c r="GZ231" s="644"/>
      <c r="HA231" s="644"/>
    </row>
    <row r="232" spans="1:209">
      <c r="A232" s="638"/>
      <c r="B232" s="95"/>
      <c r="C232" s="95"/>
      <c r="D232" s="95"/>
      <c r="E232" s="650"/>
      <c r="F232" s="95"/>
      <c r="G232" s="98"/>
      <c r="H232" s="99"/>
      <c r="I232" s="95"/>
      <c r="J232" s="95"/>
      <c r="K232" s="95"/>
      <c r="L232" s="95"/>
      <c r="M232" s="95"/>
      <c r="N232" s="95"/>
      <c r="O232" s="95"/>
      <c r="P232" s="95"/>
      <c r="Q232" s="95"/>
      <c r="R232" s="98"/>
      <c r="S232" s="101"/>
      <c r="T232" s="644"/>
      <c r="U232" s="101"/>
      <c r="V232" s="647"/>
      <c r="W232" s="643"/>
      <c r="X232" s="644"/>
      <c r="Y232" s="101"/>
      <c r="Z232" s="644"/>
      <c r="AA232" s="101"/>
      <c r="AB232" s="644"/>
      <c r="AC232" s="101"/>
      <c r="AD232" s="646"/>
      <c r="AE232" s="271"/>
      <c r="AF232" s="646"/>
      <c r="AG232" s="646"/>
      <c r="AH232" s="646"/>
      <c r="AI232" s="646"/>
      <c r="AJ232" s="646"/>
      <c r="AK232" s="646"/>
      <c r="AL232" s="646"/>
      <c r="AM232" s="271"/>
      <c r="AN232" s="646"/>
      <c r="AO232" s="646"/>
      <c r="AP232" s="646"/>
      <c r="AQ232" s="271"/>
      <c r="AR232" s="646"/>
      <c r="AS232" s="270"/>
      <c r="AT232" s="646"/>
      <c r="AU232" s="646"/>
      <c r="AV232" s="646"/>
      <c r="AW232" s="270"/>
      <c r="AX232" s="646"/>
      <c r="AY232" s="270"/>
      <c r="AZ232" s="646"/>
      <c r="BA232" s="646"/>
      <c r="BB232" s="644"/>
      <c r="BC232" s="644"/>
      <c r="BD232" s="644"/>
      <c r="BE232" s="644"/>
      <c r="BF232" s="644"/>
      <c r="BG232" s="644"/>
      <c r="BH232" s="644"/>
      <c r="BI232" s="644"/>
      <c r="BJ232" s="644"/>
      <c r="BK232" s="644"/>
      <c r="BL232" s="644"/>
      <c r="BM232" s="95"/>
      <c r="BN232" s="644"/>
      <c r="BO232" s="95"/>
      <c r="BP232" s="644"/>
      <c r="BQ232" s="644"/>
      <c r="BR232" s="644"/>
      <c r="BS232" s="644"/>
      <c r="BT232" s="644"/>
      <c r="BU232" s="644"/>
      <c r="BV232" s="644"/>
      <c r="BW232" s="644"/>
      <c r="BX232" s="644"/>
      <c r="BY232" s="644"/>
      <c r="BZ232" s="644"/>
      <c r="CA232" s="644"/>
      <c r="CB232" s="644"/>
      <c r="CC232" s="644"/>
      <c r="CD232" s="644"/>
      <c r="CE232" s="644"/>
      <c r="CF232" s="644"/>
      <c r="CG232" s="644"/>
      <c r="CH232" s="644"/>
      <c r="CI232" s="644"/>
      <c r="CJ232" s="644"/>
      <c r="CK232" s="644"/>
      <c r="CL232" s="644"/>
      <c r="CM232" s="95"/>
      <c r="CN232" s="644"/>
      <c r="CO232" s="644"/>
      <c r="CP232" s="95"/>
      <c r="CQ232" s="98"/>
      <c r="CR232" s="95"/>
      <c r="CS232" s="95"/>
      <c r="CT232" s="95"/>
      <c r="CU232" s="108"/>
      <c r="CV232" s="109"/>
      <c r="CW232" s="644"/>
      <c r="CX232" s="496"/>
      <c r="CY232" s="637"/>
      <c r="CZ232" s="644"/>
      <c r="DA232" s="644"/>
      <c r="DB232" s="644"/>
      <c r="DC232" s="496"/>
      <c r="DD232" s="644"/>
      <c r="DE232" s="101"/>
      <c r="DF232" s="644"/>
      <c r="DG232" s="101"/>
      <c r="DH232" s="644"/>
      <c r="DI232" s="644"/>
      <c r="DJ232" s="644"/>
      <c r="DK232" s="644"/>
      <c r="DL232" s="644"/>
      <c r="DM232" s="101"/>
      <c r="DN232" s="644"/>
      <c r="DO232" s="644"/>
      <c r="DP232" s="644"/>
      <c r="DQ232" s="644"/>
      <c r="DR232" s="644"/>
      <c r="DS232" s="644"/>
      <c r="DT232" s="644"/>
      <c r="DU232" s="644"/>
      <c r="DV232" s="644"/>
      <c r="DW232" s="101"/>
      <c r="DX232" s="646"/>
      <c r="DY232" s="646"/>
      <c r="DZ232" s="646"/>
      <c r="EA232" s="646"/>
      <c r="EB232" s="646"/>
      <c r="EC232" s="646"/>
      <c r="ED232" s="646"/>
      <c r="EE232" s="646"/>
      <c r="EF232" s="646"/>
      <c r="EG232" s="646"/>
      <c r="EH232" s="646"/>
      <c r="EI232" s="646"/>
      <c r="EJ232" s="646"/>
      <c r="EK232" s="271"/>
      <c r="EL232" s="644"/>
      <c r="EM232" s="634"/>
      <c r="EN232" s="647"/>
      <c r="EO232" s="648"/>
      <c r="EP232" s="647"/>
      <c r="EQ232" s="647"/>
      <c r="ER232" s="647"/>
      <c r="ES232" s="139"/>
      <c r="EV232" s="647"/>
      <c r="EW232" s="647"/>
      <c r="EX232" s="647"/>
      <c r="EY232" s="647"/>
      <c r="EZ232" s="647"/>
      <c r="FA232" s="646"/>
      <c r="FB232" s="646"/>
      <c r="FC232" s="646"/>
      <c r="FD232" s="646"/>
      <c r="FE232" s="646"/>
      <c r="FF232" s="646"/>
      <c r="FG232" s="647"/>
      <c r="FH232" s="647"/>
      <c r="FI232" s="647"/>
      <c r="FJ232" s="647"/>
      <c r="FK232" s="647"/>
      <c r="FL232" s="647"/>
      <c r="FM232" s="647"/>
      <c r="FN232" s="647"/>
      <c r="FO232" s="647"/>
      <c r="FP232" s="647"/>
      <c r="FQ232" s="647"/>
      <c r="FR232" s="647"/>
      <c r="FS232" s="101"/>
      <c r="FT232" s="95"/>
      <c r="FU232" s="651"/>
      <c r="FV232" s="101"/>
      <c r="FW232" s="101"/>
      <c r="FX232" s="634"/>
      <c r="FY232" s="634"/>
      <c r="FZ232" s="634"/>
      <c r="GA232" s="634"/>
      <c r="GB232" s="634"/>
      <c r="GC232" s="634"/>
      <c r="GD232" s="634"/>
      <c r="GE232" s="634"/>
      <c r="GF232" s="634"/>
      <c r="GG232" s="634"/>
      <c r="GH232" s="634"/>
      <c r="GI232" s="634"/>
      <c r="GJ232" s="634"/>
      <c r="GK232" s="634"/>
      <c r="GL232" s="101"/>
      <c r="GM232" s="101"/>
      <c r="GN232" s="101"/>
      <c r="GO232" s="643"/>
      <c r="GP232" s="644"/>
      <c r="GQ232" s="643"/>
      <c r="GR232" s="644"/>
      <c r="GS232" s="643"/>
      <c r="GT232" s="644"/>
      <c r="GU232" s="644"/>
      <c r="GV232" s="644"/>
      <c r="GW232" s="644"/>
      <c r="GX232" s="644"/>
      <c r="GY232" s="644"/>
      <c r="GZ232" s="644"/>
      <c r="HA232" s="644"/>
    </row>
    <row r="233" spans="1:209">
      <c r="A233" s="638"/>
      <c r="B233" s="95"/>
      <c r="C233" s="95"/>
      <c r="D233" s="95"/>
      <c r="E233" s="650"/>
      <c r="F233" s="95"/>
      <c r="G233" s="98"/>
      <c r="H233" s="99"/>
      <c r="I233" s="95"/>
      <c r="J233" s="95"/>
      <c r="K233" s="95"/>
      <c r="L233" s="95"/>
      <c r="M233" s="95"/>
      <c r="N233" s="95"/>
      <c r="O233" s="95"/>
      <c r="P233" s="95"/>
      <c r="Q233" s="95"/>
      <c r="R233" s="98"/>
      <c r="S233" s="101"/>
      <c r="T233" s="644"/>
      <c r="U233" s="101"/>
      <c r="V233" s="647"/>
      <c r="W233" s="643"/>
      <c r="X233" s="644"/>
      <c r="Y233" s="101"/>
      <c r="Z233" s="644"/>
      <c r="AA233" s="101"/>
      <c r="AB233" s="644"/>
      <c r="AC233" s="101"/>
      <c r="AD233" s="646"/>
      <c r="AE233" s="271"/>
      <c r="AF233" s="646"/>
      <c r="AG233" s="646"/>
      <c r="AH233" s="646"/>
      <c r="AI233" s="646"/>
      <c r="AJ233" s="646"/>
      <c r="AK233" s="646"/>
      <c r="AL233" s="646"/>
      <c r="AM233" s="271"/>
      <c r="AN233" s="646"/>
      <c r="AO233" s="646"/>
      <c r="AP233" s="646"/>
      <c r="AQ233" s="271"/>
      <c r="AR233" s="646"/>
      <c r="AS233" s="270"/>
      <c r="AT233" s="646"/>
      <c r="AU233" s="646"/>
      <c r="AV233" s="646"/>
      <c r="AW233" s="270"/>
      <c r="AX233" s="646"/>
      <c r="AY233" s="270"/>
      <c r="AZ233" s="646"/>
      <c r="BA233" s="646"/>
      <c r="BB233" s="644"/>
      <c r="BC233" s="644"/>
      <c r="BD233" s="644"/>
      <c r="BE233" s="644"/>
      <c r="BF233" s="644"/>
      <c r="BG233" s="644"/>
      <c r="BH233" s="644"/>
      <c r="BI233" s="644"/>
      <c r="BJ233" s="644"/>
      <c r="BK233" s="644"/>
      <c r="BL233" s="644"/>
      <c r="BM233" s="95"/>
      <c r="BN233" s="644"/>
      <c r="BO233" s="95"/>
      <c r="BP233" s="644"/>
      <c r="BQ233" s="644"/>
      <c r="BR233" s="644"/>
      <c r="BS233" s="644"/>
      <c r="BT233" s="644"/>
      <c r="BU233" s="644"/>
      <c r="BV233" s="644"/>
      <c r="BW233" s="644"/>
      <c r="BX233" s="644"/>
      <c r="BY233" s="644"/>
      <c r="BZ233" s="644"/>
      <c r="CA233" s="644"/>
      <c r="CB233" s="644"/>
      <c r="CC233" s="644"/>
      <c r="CD233" s="644"/>
      <c r="CE233" s="644"/>
      <c r="CF233" s="644"/>
      <c r="CG233" s="644"/>
      <c r="CH233" s="644"/>
      <c r="CI233" s="644"/>
      <c r="CJ233" s="644"/>
      <c r="CK233" s="644"/>
      <c r="CL233" s="644"/>
      <c r="CM233" s="95"/>
      <c r="CN233" s="644"/>
      <c r="CO233" s="644"/>
      <c r="CP233" s="95"/>
      <c r="CQ233" s="98"/>
      <c r="CR233" s="95"/>
      <c r="CS233" s="95"/>
      <c r="CT233" s="95"/>
      <c r="CU233" s="108"/>
      <c r="CV233" s="109"/>
      <c r="CW233" s="644"/>
      <c r="CX233" s="496"/>
      <c r="CY233" s="637"/>
      <c r="CZ233" s="644"/>
      <c r="DA233" s="644"/>
      <c r="DB233" s="644"/>
      <c r="DC233" s="496"/>
      <c r="DD233" s="644"/>
      <c r="DE233" s="101"/>
      <c r="DF233" s="644"/>
      <c r="DG233" s="101"/>
      <c r="DH233" s="644"/>
      <c r="DI233" s="644"/>
      <c r="DJ233" s="644"/>
      <c r="DK233" s="644"/>
      <c r="DL233" s="644"/>
      <c r="DM233" s="101"/>
      <c r="DN233" s="644"/>
      <c r="DO233" s="644"/>
      <c r="DP233" s="644"/>
      <c r="DQ233" s="644"/>
      <c r="DR233" s="644"/>
      <c r="DS233" s="644"/>
      <c r="DT233" s="644"/>
      <c r="DU233" s="644"/>
      <c r="DV233" s="644"/>
      <c r="DW233" s="101"/>
      <c r="DX233" s="646"/>
      <c r="DY233" s="646"/>
      <c r="DZ233" s="646"/>
      <c r="EA233" s="646"/>
      <c r="EB233" s="646"/>
      <c r="EC233" s="646"/>
      <c r="ED233" s="646"/>
      <c r="EE233" s="646"/>
      <c r="EF233" s="646"/>
      <c r="EG233" s="646"/>
      <c r="EH233" s="646"/>
      <c r="EI233" s="646"/>
      <c r="EJ233" s="646"/>
      <c r="EK233" s="271"/>
      <c r="EL233" s="644"/>
      <c r="EM233" s="634"/>
      <c r="EN233" s="647"/>
      <c r="EO233" s="648"/>
      <c r="EP233" s="647"/>
      <c r="EQ233" s="647"/>
      <c r="ER233" s="647"/>
      <c r="ES233" s="139"/>
      <c r="EV233" s="647"/>
      <c r="EW233" s="647"/>
      <c r="EX233" s="647"/>
      <c r="EY233" s="647"/>
      <c r="EZ233" s="647"/>
      <c r="FA233" s="646"/>
      <c r="FB233" s="646"/>
      <c r="FC233" s="646"/>
      <c r="FD233" s="646"/>
      <c r="FE233" s="646"/>
      <c r="FF233" s="646"/>
      <c r="FG233" s="647"/>
      <c r="FH233" s="647"/>
      <c r="FI233" s="647"/>
      <c r="FJ233" s="647"/>
      <c r="FK233" s="647"/>
      <c r="FL233" s="647"/>
      <c r="FM233" s="647"/>
      <c r="FN233" s="647"/>
      <c r="FO233" s="647"/>
      <c r="FP233" s="647"/>
      <c r="FQ233" s="647"/>
      <c r="FR233" s="647"/>
      <c r="FS233" s="101"/>
      <c r="FT233" s="95"/>
      <c r="FU233" s="651"/>
      <c r="FV233" s="101"/>
      <c r="FW233" s="101"/>
      <c r="FX233" s="634"/>
      <c r="FY233" s="634"/>
      <c r="FZ233" s="634"/>
      <c r="GA233" s="634"/>
      <c r="GB233" s="634"/>
      <c r="GC233" s="634"/>
      <c r="GD233" s="634"/>
      <c r="GE233" s="634"/>
      <c r="GF233" s="634"/>
      <c r="GG233" s="634"/>
      <c r="GH233" s="634"/>
      <c r="GI233" s="634"/>
      <c r="GJ233" s="634"/>
      <c r="GK233" s="634"/>
      <c r="GL233" s="101"/>
      <c r="GM233" s="101"/>
      <c r="GN233" s="101"/>
      <c r="GO233" s="643"/>
      <c r="GP233" s="644"/>
      <c r="GQ233" s="643"/>
      <c r="GR233" s="644"/>
      <c r="GS233" s="643"/>
      <c r="GT233" s="644"/>
      <c r="GU233" s="644"/>
      <c r="GV233" s="644"/>
      <c r="GW233" s="644"/>
      <c r="GX233" s="644"/>
      <c r="GY233" s="644"/>
      <c r="GZ233" s="644"/>
      <c r="HA233" s="644"/>
    </row>
    <row r="234" spans="1:209">
      <c r="A234" s="638"/>
      <c r="B234" s="95"/>
      <c r="C234" s="95"/>
      <c r="D234" s="95"/>
      <c r="E234" s="650"/>
      <c r="F234" s="95"/>
      <c r="G234" s="98"/>
      <c r="H234" s="99"/>
      <c r="I234" s="95"/>
      <c r="J234" s="95"/>
      <c r="K234" s="95"/>
      <c r="L234" s="95"/>
      <c r="M234" s="95"/>
      <c r="N234" s="95"/>
      <c r="O234" s="95"/>
      <c r="P234" s="95"/>
      <c r="Q234" s="95"/>
      <c r="R234" s="98"/>
      <c r="S234" s="101"/>
      <c r="T234" s="644"/>
      <c r="U234" s="101"/>
      <c r="V234" s="647"/>
      <c r="W234" s="643"/>
      <c r="X234" s="644"/>
      <c r="Y234" s="101"/>
      <c r="Z234" s="644"/>
      <c r="AA234" s="101"/>
      <c r="AB234" s="644"/>
      <c r="AC234" s="101"/>
      <c r="AD234" s="646"/>
      <c r="AE234" s="271"/>
      <c r="AF234" s="646"/>
      <c r="AG234" s="646"/>
      <c r="AH234" s="646"/>
      <c r="AI234" s="646"/>
      <c r="AJ234" s="646"/>
      <c r="AK234" s="646"/>
      <c r="AL234" s="646"/>
      <c r="AM234" s="271"/>
      <c r="AN234" s="646"/>
      <c r="AO234" s="646"/>
      <c r="AP234" s="646"/>
      <c r="AQ234" s="271"/>
      <c r="AR234" s="646"/>
      <c r="AS234" s="270"/>
      <c r="AT234" s="646"/>
      <c r="AU234" s="646"/>
      <c r="AV234" s="646"/>
      <c r="AW234" s="270"/>
      <c r="AX234" s="646"/>
      <c r="AY234" s="270"/>
      <c r="AZ234" s="646"/>
      <c r="BA234" s="646"/>
      <c r="BB234" s="644"/>
      <c r="BC234" s="644"/>
      <c r="BD234" s="644"/>
      <c r="BE234" s="644"/>
      <c r="BF234" s="644"/>
      <c r="BG234" s="644"/>
      <c r="BH234" s="644"/>
      <c r="BI234" s="644"/>
      <c r="BJ234" s="644"/>
      <c r="BK234" s="644"/>
      <c r="BL234" s="644"/>
      <c r="BM234" s="95"/>
      <c r="BN234" s="644"/>
      <c r="BO234" s="95"/>
      <c r="BP234" s="644"/>
      <c r="BQ234" s="644"/>
      <c r="BR234" s="644"/>
      <c r="BS234" s="644"/>
      <c r="BT234" s="644"/>
      <c r="BU234" s="644"/>
      <c r="BV234" s="644"/>
      <c r="BW234" s="644"/>
      <c r="BX234" s="644"/>
      <c r="BY234" s="644"/>
      <c r="BZ234" s="644"/>
      <c r="CA234" s="644"/>
      <c r="CB234" s="644"/>
      <c r="CC234" s="644"/>
      <c r="CD234" s="644"/>
      <c r="CE234" s="644"/>
      <c r="CF234" s="644"/>
      <c r="CG234" s="644"/>
      <c r="CH234" s="644"/>
      <c r="CI234" s="644"/>
      <c r="CJ234" s="644"/>
      <c r="CK234" s="644"/>
      <c r="CL234" s="644"/>
      <c r="CM234" s="95"/>
      <c r="CN234" s="644"/>
      <c r="CO234" s="644"/>
      <c r="CP234" s="95"/>
      <c r="CQ234" s="98"/>
      <c r="CR234" s="95"/>
      <c r="CS234" s="95"/>
      <c r="CT234" s="95"/>
      <c r="CU234" s="108"/>
      <c r="CV234" s="109"/>
      <c r="CW234" s="644"/>
      <c r="CX234" s="496"/>
      <c r="CY234" s="637"/>
      <c r="CZ234" s="644"/>
      <c r="DA234" s="644"/>
      <c r="DB234" s="644"/>
      <c r="DC234" s="496"/>
      <c r="DD234" s="644"/>
      <c r="DE234" s="101"/>
      <c r="DF234" s="644"/>
      <c r="DG234" s="101"/>
      <c r="DH234" s="644"/>
      <c r="DI234" s="644"/>
      <c r="DJ234" s="644"/>
      <c r="DK234" s="644"/>
      <c r="DL234" s="644"/>
      <c r="DM234" s="101"/>
      <c r="DN234" s="644"/>
      <c r="DO234" s="644"/>
      <c r="DP234" s="644"/>
      <c r="DQ234" s="644"/>
      <c r="DR234" s="644"/>
      <c r="DS234" s="644"/>
      <c r="DT234" s="644"/>
      <c r="DU234" s="644"/>
      <c r="DV234" s="644"/>
      <c r="DW234" s="101"/>
      <c r="DX234" s="646"/>
      <c r="DY234" s="646"/>
      <c r="DZ234" s="646"/>
      <c r="EA234" s="646"/>
      <c r="EB234" s="646"/>
      <c r="EC234" s="646"/>
      <c r="ED234" s="646"/>
      <c r="EE234" s="646"/>
      <c r="EF234" s="646"/>
      <c r="EG234" s="646"/>
      <c r="EH234" s="646"/>
      <c r="EI234" s="646"/>
      <c r="EJ234" s="646"/>
      <c r="EK234" s="271"/>
      <c r="EL234" s="644"/>
      <c r="EM234" s="634"/>
      <c r="EN234" s="647"/>
      <c r="EO234" s="648"/>
      <c r="EP234" s="647"/>
      <c r="EQ234" s="647"/>
      <c r="ER234" s="647"/>
      <c r="ES234" s="139"/>
      <c r="EV234" s="647"/>
      <c r="EW234" s="647"/>
      <c r="EX234" s="647"/>
      <c r="EY234" s="647"/>
      <c r="EZ234" s="647"/>
      <c r="FA234" s="646"/>
      <c r="FB234" s="646"/>
      <c r="FC234" s="646"/>
      <c r="FD234" s="646"/>
      <c r="FE234" s="646"/>
      <c r="FF234" s="646"/>
      <c r="FG234" s="647"/>
      <c r="FH234" s="647"/>
      <c r="FI234" s="647"/>
      <c r="FJ234" s="647"/>
      <c r="FK234" s="647"/>
      <c r="FL234" s="647"/>
      <c r="FM234" s="647"/>
      <c r="FN234" s="647"/>
      <c r="FO234" s="647"/>
      <c r="FP234" s="647"/>
      <c r="FQ234" s="647"/>
      <c r="FR234" s="647"/>
      <c r="FS234" s="101"/>
      <c r="FT234" s="95"/>
      <c r="FU234" s="651"/>
      <c r="FV234" s="101"/>
      <c r="FW234" s="101"/>
      <c r="FX234" s="634"/>
      <c r="FY234" s="634"/>
      <c r="FZ234" s="634"/>
      <c r="GA234" s="634"/>
      <c r="GB234" s="634"/>
      <c r="GC234" s="634"/>
      <c r="GD234" s="634"/>
      <c r="GE234" s="634"/>
      <c r="GF234" s="634"/>
      <c r="GG234" s="634"/>
      <c r="GH234" s="634"/>
      <c r="GI234" s="634"/>
      <c r="GJ234" s="634"/>
      <c r="GK234" s="634"/>
      <c r="GL234" s="101"/>
      <c r="GM234" s="101"/>
      <c r="GN234" s="101"/>
      <c r="GO234" s="643"/>
      <c r="GP234" s="644"/>
      <c r="GQ234" s="643"/>
      <c r="GR234" s="644"/>
      <c r="GS234" s="643"/>
      <c r="GT234" s="644"/>
      <c r="GU234" s="644"/>
      <c r="GV234" s="644"/>
      <c r="GW234" s="644"/>
      <c r="GX234" s="644"/>
      <c r="GY234" s="644"/>
      <c r="GZ234" s="644"/>
      <c r="HA234" s="644"/>
    </row>
    <row r="235" spans="1:209">
      <c r="A235" s="638"/>
      <c r="B235" s="95"/>
      <c r="C235" s="95"/>
      <c r="D235" s="95"/>
      <c r="E235" s="650"/>
      <c r="F235" s="95"/>
      <c r="G235" s="98"/>
      <c r="H235" s="99"/>
      <c r="I235" s="95"/>
      <c r="J235" s="95"/>
      <c r="K235" s="95"/>
      <c r="L235" s="95"/>
      <c r="M235" s="95"/>
      <c r="N235" s="95"/>
      <c r="O235" s="95"/>
      <c r="P235" s="95"/>
      <c r="Q235" s="95"/>
      <c r="R235" s="98"/>
      <c r="S235" s="101"/>
      <c r="T235" s="644"/>
      <c r="U235" s="101"/>
      <c r="V235" s="647"/>
      <c r="W235" s="643"/>
      <c r="X235" s="644"/>
      <c r="Y235" s="101"/>
      <c r="Z235" s="644"/>
      <c r="AA235" s="101"/>
      <c r="AB235" s="644"/>
      <c r="AC235" s="101"/>
      <c r="AD235" s="646"/>
      <c r="AE235" s="271"/>
      <c r="AF235" s="646"/>
      <c r="AG235" s="646"/>
      <c r="AH235" s="646"/>
      <c r="AI235" s="646"/>
      <c r="AJ235" s="646"/>
      <c r="AK235" s="646"/>
      <c r="AL235" s="646"/>
      <c r="AM235" s="271"/>
      <c r="AN235" s="646"/>
      <c r="AO235" s="646"/>
      <c r="AP235" s="646"/>
      <c r="AQ235" s="271"/>
      <c r="AR235" s="646"/>
      <c r="AS235" s="270"/>
      <c r="AT235" s="646"/>
      <c r="AU235" s="646"/>
      <c r="AV235" s="646"/>
      <c r="AW235" s="270"/>
      <c r="AX235" s="646"/>
      <c r="AY235" s="270"/>
      <c r="AZ235" s="646"/>
      <c r="BA235" s="646"/>
      <c r="BB235" s="644"/>
      <c r="BC235" s="644"/>
      <c r="BD235" s="644"/>
      <c r="BE235" s="644"/>
      <c r="BF235" s="644"/>
      <c r="BG235" s="644"/>
      <c r="BH235" s="644"/>
      <c r="BI235" s="644"/>
      <c r="BJ235" s="644"/>
      <c r="BK235" s="644"/>
      <c r="BL235" s="644"/>
      <c r="BM235" s="95"/>
      <c r="BN235" s="644"/>
      <c r="BO235" s="95"/>
      <c r="BP235" s="644"/>
      <c r="BQ235" s="644"/>
      <c r="BR235" s="644"/>
      <c r="BS235" s="644"/>
      <c r="BT235" s="644"/>
      <c r="BU235" s="644"/>
      <c r="BV235" s="644"/>
      <c r="BW235" s="644"/>
      <c r="BX235" s="644"/>
      <c r="BY235" s="644"/>
      <c r="BZ235" s="644"/>
      <c r="CA235" s="644"/>
      <c r="CB235" s="644"/>
      <c r="CC235" s="644"/>
      <c r="CD235" s="644"/>
      <c r="CE235" s="644"/>
      <c r="CF235" s="644"/>
      <c r="CG235" s="644"/>
      <c r="CH235" s="644"/>
      <c r="CI235" s="644"/>
      <c r="CJ235" s="644"/>
      <c r="CK235" s="644"/>
      <c r="CL235" s="644"/>
      <c r="CM235" s="95"/>
      <c r="CN235" s="644"/>
      <c r="CO235" s="644"/>
      <c r="CP235" s="95"/>
      <c r="CQ235" s="98"/>
      <c r="CR235" s="95"/>
      <c r="CS235" s="95"/>
      <c r="CT235" s="95"/>
      <c r="CU235" s="108"/>
      <c r="CV235" s="109"/>
      <c r="CW235" s="644"/>
      <c r="CX235" s="496"/>
      <c r="CY235" s="637"/>
      <c r="CZ235" s="644"/>
      <c r="DA235" s="644"/>
      <c r="DB235" s="644"/>
      <c r="DC235" s="496"/>
      <c r="DD235" s="644"/>
      <c r="DE235" s="101"/>
      <c r="DF235" s="644"/>
      <c r="DG235" s="101"/>
      <c r="DH235" s="644"/>
      <c r="DI235" s="644"/>
      <c r="DJ235" s="644"/>
      <c r="DK235" s="644"/>
      <c r="DL235" s="644"/>
      <c r="DM235" s="101"/>
      <c r="DN235" s="644"/>
      <c r="DO235" s="644"/>
      <c r="DP235" s="644"/>
      <c r="DQ235" s="644"/>
      <c r="DR235" s="644"/>
      <c r="DS235" s="644"/>
      <c r="DT235" s="644"/>
      <c r="DU235" s="644"/>
      <c r="DV235" s="644"/>
      <c r="DW235" s="101"/>
      <c r="DX235" s="646"/>
      <c r="DY235" s="646"/>
      <c r="DZ235" s="646"/>
      <c r="EA235" s="646"/>
      <c r="EB235" s="646"/>
      <c r="EC235" s="646"/>
      <c r="ED235" s="646"/>
      <c r="EE235" s="646"/>
      <c r="EF235" s="646"/>
      <c r="EG235" s="646"/>
      <c r="EH235" s="646"/>
      <c r="EI235" s="646"/>
      <c r="EJ235" s="646"/>
      <c r="EK235" s="271"/>
      <c r="EL235" s="644"/>
      <c r="EM235" s="634"/>
      <c r="EN235" s="647"/>
      <c r="EO235" s="648"/>
      <c r="EP235" s="647"/>
      <c r="EQ235" s="647"/>
      <c r="ER235" s="647"/>
      <c r="ES235" s="139"/>
      <c r="EV235" s="647"/>
      <c r="EW235" s="647"/>
      <c r="EX235" s="647"/>
      <c r="EY235" s="647"/>
      <c r="EZ235" s="647"/>
      <c r="FA235" s="646"/>
      <c r="FB235" s="646"/>
      <c r="FC235" s="646"/>
      <c r="FD235" s="646"/>
      <c r="FE235" s="646"/>
      <c r="FF235" s="646"/>
      <c r="FG235" s="647"/>
      <c r="FH235" s="647"/>
      <c r="FI235" s="647"/>
      <c r="FJ235" s="647"/>
      <c r="FK235" s="647"/>
      <c r="FL235" s="647"/>
      <c r="FM235" s="647"/>
      <c r="FN235" s="647"/>
      <c r="FO235" s="647"/>
      <c r="FP235" s="647"/>
      <c r="FQ235" s="647"/>
      <c r="FR235" s="647"/>
      <c r="FS235" s="101"/>
      <c r="FT235" s="95"/>
      <c r="FU235" s="651"/>
      <c r="FV235" s="101"/>
      <c r="FW235" s="101"/>
      <c r="FX235" s="634"/>
      <c r="FY235" s="634"/>
      <c r="FZ235" s="634"/>
      <c r="GA235" s="634"/>
      <c r="GB235" s="634"/>
      <c r="GC235" s="634"/>
      <c r="GD235" s="634"/>
      <c r="GE235" s="634"/>
      <c r="GF235" s="634"/>
      <c r="GG235" s="634"/>
      <c r="GH235" s="634"/>
      <c r="GI235" s="634"/>
      <c r="GJ235" s="634"/>
      <c r="GK235" s="634"/>
      <c r="GL235" s="101"/>
      <c r="GM235" s="101"/>
      <c r="GN235" s="101"/>
      <c r="GO235" s="643"/>
      <c r="GP235" s="644"/>
      <c r="GQ235" s="643"/>
      <c r="GR235" s="644"/>
      <c r="GS235" s="643"/>
      <c r="GT235" s="644"/>
      <c r="GU235" s="644"/>
      <c r="GV235" s="644"/>
      <c r="GW235" s="644"/>
      <c r="GX235" s="644"/>
      <c r="GY235" s="644"/>
      <c r="GZ235" s="644"/>
      <c r="HA235" s="644"/>
    </row>
    <row r="236" spans="1:209">
      <c r="A236" s="638"/>
      <c r="B236" s="95"/>
      <c r="C236" s="95"/>
      <c r="D236" s="95"/>
      <c r="E236" s="650"/>
      <c r="F236" s="95"/>
      <c r="G236" s="98"/>
      <c r="H236" s="99"/>
      <c r="I236" s="95"/>
      <c r="J236" s="95"/>
      <c r="K236" s="95"/>
      <c r="L236" s="95"/>
      <c r="M236" s="95"/>
      <c r="N236" s="95"/>
      <c r="O236" s="95"/>
      <c r="P236" s="95"/>
      <c r="Q236" s="95"/>
      <c r="R236" s="98"/>
      <c r="S236" s="101"/>
      <c r="T236" s="644"/>
      <c r="U236" s="101"/>
      <c r="V236" s="647"/>
      <c r="W236" s="643"/>
      <c r="X236" s="644"/>
      <c r="Y236" s="101"/>
      <c r="Z236" s="644"/>
      <c r="AA236" s="101"/>
      <c r="AB236" s="644"/>
      <c r="AC236" s="101"/>
      <c r="AD236" s="646"/>
      <c r="AE236" s="271"/>
      <c r="AF236" s="646"/>
      <c r="AG236" s="646"/>
      <c r="AH236" s="646"/>
      <c r="AI236" s="646"/>
      <c r="AJ236" s="646"/>
      <c r="AK236" s="646"/>
      <c r="AL236" s="646"/>
      <c r="AM236" s="271"/>
      <c r="AN236" s="646"/>
      <c r="AO236" s="646"/>
      <c r="AP236" s="646"/>
      <c r="AQ236" s="271"/>
      <c r="AR236" s="646"/>
      <c r="AS236" s="270"/>
      <c r="AT236" s="646"/>
      <c r="AU236" s="646"/>
      <c r="AV236" s="646"/>
      <c r="AW236" s="270"/>
      <c r="AX236" s="646"/>
      <c r="AY236" s="270"/>
      <c r="AZ236" s="646"/>
      <c r="BA236" s="646"/>
      <c r="BB236" s="644"/>
      <c r="BC236" s="644"/>
      <c r="BD236" s="644"/>
      <c r="BE236" s="644"/>
      <c r="BF236" s="644"/>
      <c r="BG236" s="644"/>
      <c r="BH236" s="644"/>
      <c r="BI236" s="644"/>
      <c r="BJ236" s="644"/>
      <c r="BK236" s="644"/>
      <c r="BL236" s="644"/>
      <c r="BM236" s="95"/>
      <c r="BN236" s="644"/>
      <c r="BO236" s="95"/>
      <c r="BP236" s="644"/>
      <c r="BQ236" s="644"/>
      <c r="BR236" s="644"/>
      <c r="BS236" s="644"/>
      <c r="BT236" s="644"/>
      <c r="BU236" s="644"/>
      <c r="BV236" s="644"/>
      <c r="BW236" s="644"/>
      <c r="BX236" s="644"/>
      <c r="BY236" s="644"/>
      <c r="BZ236" s="644"/>
      <c r="CA236" s="644"/>
      <c r="CB236" s="644"/>
      <c r="CC236" s="644"/>
      <c r="CD236" s="644"/>
      <c r="CE236" s="644"/>
      <c r="CF236" s="644"/>
      <c r="CG236" s="644"/>
      <c r="CH236" s="644"/>
      <c r="CI236" s="644"/>
      <c r="CJ236" s="644"/>
      <c r="CK236" s="644"/>
      <c r="CL236" s="644"/>
      <c r="CM236" s="95"/>
      <c r="CN236" s="644"/>
      <c r="CO236" s="644"/>
      <c r="CP236" s="95"/>
      <c r="CQ236" s="98"/>
      <c r="CR236" s="95"/>
      <c r="CS236" s="95"/>
      <c r="CT236" s="95"/>
      <c r="CU236" s="108"/>
      <c r="CV236" s="109"/>
      <c r="CW236" s="644"/>
      <c r="CX236" s="496"/>
      <c r="CY236" s="637"/>
      <c r="CZ236" s="644"/>
      <c r="DA236" s="644"/>
      <c r="DB236" s="644"/>
      <c r="DC236" s="496"/>
      <c r="DD236" s="644"/>
      <c r="DE236" s="101"/>
      <c r="DF236" s="644"/>
      <c r="DG236" s="101"/>
      <c r="DH236" s="644"/>
      <c r="DI236" s="644"/>
      <c r="DJ236" s="644"/>
      <c r="DK236" s="644"/>
      <c r="DL236" s="644"/>
      <c r="DM236" s="101"/>
      <c r="DN236" s="644"/>
      <c r="DO236" s="644"/>
      <c r="DP236" s="644"/>
      <c r="DQ236" s="644"/>
      <c r="DR236" s="644"/>
      <c r="DS236" s="644"/>
      <c r="DT236" s="644"/>
      <c r="DU236" s="644"/>
      <c r="DV236" s="644"/>
      <c r="DW236" s="101"/>
      <c r="DX236" s="646"/>
      <c r="DY236" s="646"/>
      <c r="DZ236" s="646"/>
      <c r="EA236" s="646"/>
      <c r="EB236" s="646"/>
      <c r="EC236" s="646"/>
      <c r="ED236" s="646"/>
      <c r="EE236" s="646"/>
      <c r="EF236" s="646"/>
      <c r="EG236" s="646"/>
      <c r="EH236" s="646"/>
      <c r="EI236" s="646"/>
      <c r="EJ236" s="646"/>
      <c r="EK236" s="271"/>
      <c r="EL236" s="644"/>
      <c r="EM236" s="634"/>
      <c r="EN236" s="647"/>
      <c r="EO236" s="648"/>
      <c r="EP236" s="647"/>
      <c r="EQ236" s="647"/>
      <c r="ER236" s="647"/>
      <c r="ES236" s="139"/>
      <c r="EV236" s="647"/>
      <c r="EW236" s="647"/>
      <c r="EX236" s="647"/>
      <c r="EY236" s="647"/>
      <c r="EZ236" s="647"/>
      <c r="FA236" s="646"/>
      <c r="FB236" s="646"/>
      <c r="FC236" s="646"/>
      <c r="FD236" s="646"/>
      <c r="FE236" s="646"/>
      <c r="FF236" s="646"/>
      <c r="FG236" s="647"/>
      <c r="FH236" s="647"/>
      <c r="FI236" s="647"/>
      <c r="FJ236" s="647"/>
      <c r="FK236" s="647"/>
      <c r="FL236" s="647"/>
      <c r="FM236" s="647"/>
      <c r="FN236" s="647"/>
      <c r="FO236" s="647"/>
      <c r="FP236" s="647"/>
      <c r="FQ236" s="647"/>
      <c r="FR236" s="647"/>
      <c r="FS236" s="101"/>
      <c r="FT236" s="95"/>
      <c r="FU236" s="651"/>
      <c r="FV236" s="101"/>
      <c r="FW236" s="101"/>
      <c r="FX236" s="634"/>
      <c r="FY236" s="634"/>
      <c r="FZ236" s="634"/>
      <c r="GA236" s="634"/>
      <c r="GB236" s="634"/>
      <c r="GC236" s="634"/>
      <c r="GD236" s="634"/>
      <c r="GE236" s="634"/>
      <c r="GF236" s="634"/>
      <c r="GG236" s="634"/>
      <c r="GH236" s="634"/>
      <c r="GI236" s="634"/>
      <c r="GJ236" s="634"/>
      <c r="GK236" s="634"/>
      <c r="GL236" s="101"/>
      <c r="GM236" s="101"/>
      <c r="GN236" s="101"/>
      <c r="GO236" s="643"/>
      <c r="GP236" s="644"/>
      <c r="GQ236" s="643"/>
      <c r="GR236" s="644"/>
      <c r="GS236" s="643"/>
      <c r="GT236" s="644"/>
      <c r="GU236" s="644"/>
      <c r="GV236" s="644"/>
      <c r="GW236" s="644"/>
      <c r="GX236" s="644"/>
      <c r="GY236" s="644"/>
      <c r="GZ236" s="644"/>
      <c r="HA236" s="644"/>
    </row>
    <row r="237" spans="1:209">
      <c r="A237" s="638"/>
      <c r="B237" s="95"/>
      <c r="C237" s="95"/>
      <c r="D237" s="95"/>
      <c r="E237" s="650"/>
      <c r="F237" s="95"/>
      <c r="G237" s="98"/>
      <c r="H237" s="99"/>
      <c r="I237" s="95"/>
      <c r="J237" s="95"/>
      <c r="K237" s="95"/>
      <c r="L237" s="95"/>
      <c r="M237" s="95"/>
      <c r="N237" s="95"/>
      <c r="O237" s="95"/>
      <c r="P237" s="95"/>
      <c r="Q237" s="95"/>
      <c r="R237" s="98"/>
      <c r="S237" s="101"/>
      <c r="T237" s="644"/>
      <c r="U237" s="101"/>
      <c r="V237" s="647"/>
      <c r="W237" s="643"/>
      <c r="X237" s="644"/>
      <c r="Y237" s="101"/>
      <c r="Z237" s="644"/>
      <c r="AA237" s="101"/>
      <c r="AB237" s="644"/>
      <c r="AC237" s="101"/>
      <c r="AD237" s="646"/>
      <c r="AE237" s="271"/>
      <c r="AF237" s="646"/>
      <c r="AG237" s="646"/>
      <c r="AH237" s="646"/>
      <c r="AI237" s="646"/>
      <c r="AJ237" s="646"/>
      <c r="AK237" s="646"/>
      <c r="AL237" s="646"/>
      <c r="AM237" s="271"/>
      <c r="AN237" s="646"/>
      <c r="AO237" s="646"/>
      <c r="AP237" s="646"/>
      <c r="AQ237" s="271"/>
      <c r="AR237" s="646"/>
      <c r="AS237" s="270"/>
      <c r="AT237" s="646"/>
      <c r="AU237" s="646"/>
      <c r="AV237" s="646"/>
      <c r="AW237" s="270"/>
      <c r="AX237" s="646"/>
      <c r="AY237" s="270"/>
      <c r="AZ237" s="646"/>
      <c r="BA237" s="646"/>
      <c r="BB237" s="644"/>
      <c r="BC237" s="644"/>
      <c r="BD237" s="644"/>
      <c r="BE237" s="644"/>
      <c r="BF237" s="644"/>
      <c r="BG237" s="644"/>
      <c r="BH237" s="644"/>
      <c r="BI237" s="644"/>
      <c r="BJ237" s="644"/>
      <c r="BK237" s="644"/>
      <c r="BL237" s="644"/>
      <c r="BM237" s="95"/>
      <c r="BN237" s="644"/>
      <c r="BO237" s="95"/>
      <c r="BP237" s="644"/>
      <c r="BQ237" s="644"/>
      <c r="BR237" s="644"/>
      <c r="BS237" s="644"/>
      <c r="BT237" s="644"/>
      <c r="BU237" s="644"/>
      <c r="BV237" s="644"/>
      <c r="BW237" s="644"/>
      <c r="BX237" s="644"/>
      <c r="BY237" s="644"/>
      <c r="BZ237" s="644"/>
      <c r="CA237" s="644"/>
      <c r="CB237" s="644"/>
      <c r="CC237" s="644"/>
      <c r="CD237" s="644"/>
      <c r="CE237" s="644"/>
      <c r="CF237" s="644"/>
      <c r="CG237" s="644"/>
      <c r="CH237" s="644"/>
      <c r="CI237" s="644"/>
      <c r="CJ237" s="644"/>
      <c r="CK237" s="644"/>
      <c r="CL237" s="644"/>
      <c r="CM237" s="95"/>
      <c r="CN237" s="644"/>
      <c r="CO237" s="644"/>
      <c r="CP237" s="95"/>
      <c r="CQ237" s="98"/>
      <c r="CR237" s="95"/>
      <c r="CS237" s="95"/>
      <c r="CT237" s="95"/>
      <c r="CU237" s="108"/>
      <c r="CV237" s="109"/>
      <c r="CW237" s="644"/>
      <c r="CX237" s="496"/>
      <c r="CY237" s="637"/>
      <c r="CZ237" s="644"/>
      <c r="DA237" s="644"/>
      <c r="DB237" s="644"/>
      <c r="DC237" s="496"/>
      <c r="DD237" s="644"/>
      <c r="DE237" s="101"/>
      <c r="DF237" s="644"/>
      <c r="DG237" s="101"/>
      <c r="DH237" s="644"/>
      <c r="DI237" s="644"/>
      <c r="DJ237" s="644"/>
      <c r="DK237" s="644"/>
      <c r="DL237" s="644"/>
      <c r="DM237" s="101"/>
      <c r="DN237" s="644"/>
      <c r="DO237" s="644"/>
      <c r="DP237" s="644"/>
      <c r="DQ237" s="644"/>
      <c r="DR237" s="644"/>
      <c r="DS237" s="644"/>
      <c r="DT237" s="644"/>
      <c r="DU237" s="644"/>
      <c r="DV237" s="644"/>
      <c r="DW237" s="101"/>
      <c r="DX237" s="646"/>
      <c r="DY237" s="646"/>
      <c r="DZ237" s="646"/>
      <c r="EA237" s="646"/>
      <c r="EB237" s="646"/>
      <c r="EC237" s="646"/>
      <c r="ED237" s="646"/>
      <c r="EE237" s="646"/>
      <c r="EF237" s="646"/>
      <c r="EG237" s="646"/>
      <c r="EH237" s="646"/>
      <c r="EI237" s="646"/>
      <c r="EJ237" s="646"/>
      <c r="EK237" s="271"/>
      <c r="EL237" s="644"/>
      <c r="EM237" s="634"/>
      <c r="EN237" s="647"/>
      <c r="EO237" s="648"/>
      <c r="EP237" s="647"/>
      <c r="EQ237" s="647"/>
      <c r="ER237" s="647"/>
      <c r="ES237" s="139"/>
      <c r="EV237" s="647"/>
      <c r="EW237" s="647"/>
      <c r="EX237" s="647"/>
      <c r="EY237" s="647"/>
      <c r="EZ237" s="647"/>
      <c r="FA237" s="646"/>
      <c r="FB237" s="646"/>
      <c r="FC237" s="646"/>
      <c r="FD237" s="646"/>
      <c r="FE237" s="646"/>
      <c r="FF237" s="646"/>
      <c r="FG237" s="647"/>
      <c r="FH237" s="647"/>
      <c r="FI237" s="647"/>
      <c r="FJ237" s="647"/>
      <c r="FK237" s="647"/>
      <c r="FL237" s="647"/>
      <c r="FM237" s="647"/>
      <c r="FN237" s="647"/>
      <c r="FO237" s="647"/>
      <c r="FP237" s="647"/>
      <c r="FQ237" s="647"/>
      <c r="FR237" s="647"/>
      <c r="FS237" s="101"/>
      <c r="FT237" s="95"/>
      <c r="FU237" s="651"/>
      <c r="FV237" s="101"/>
      <c r="FW237" s="101"/>
      <c r="FX237" s="634"/>
      <c r="FY237" s="634"/>
      <c r="FZ237" s="634"/>
      <c r="GA237" s="634"/>
      <c r="GB237" s="634"/>
      <c r="GC237" s="634"/>
      <c r="GD237" s="634"/>
      <c r="GE237" s="634"/>
      <c r="GF237" s="634"/>
      <c r="GG237" s="634"/>
      <c r="GH237" s="634"/>
      <c r="GI237" s="634"/>
      <c r="GJ237" s="634"/>
      <c r="GK237" s="634"/>
      <c r="GL237" s="101"/>
      <c r="GM237" s="101"/>
      <c r="GN237" s="101"/>
      <c r="GO237" s="643"/>
      <c r="GP237" s="644"/>
      <c r="GQ237" s="643"/>
      <c r="GR237" s="644"/>
      <c r="GS237" s="643"/>
      <c r="GT237" s="644"/>
      <c r="GU237" s="644"/>
      <c r="GV237" s="644"/>
      <c r="GW237" s="644"/>
      <c r="GX237" s="644"/>
      <c r="GY237" s="644"/>
      <c r="GZ237" s="644"/>
      <c r="HA237" s="644"/>
    </row>
    <row r="238" spans="1:209">
      <c r="A238" s="638"/>
      <c r="B238" s="95"/>
      <c r="C238" s="95"/>
      <c r="D238" s="95"/>
      <c r="E238" s="650"/>
      <c r="F238" s="95"/>
      <c r="G238" s="98"/>
      <c r="H238" s="99"/>
      <c r="I238" s="95"/>
      <c r="J238" s="95"/>
      <c r="K238" s="95"/>
      <c r="L238" s="95"/>
      <c r="M238" s="95"/>
      <c r="N238" s="95"/>
      <c r="O238" s="95"/>
      <c r="P238" s="95"/>
      <c r="Q238" s="95"/>
      <c r="R238" s="98"/>
      <c r="S238" s="101"/>
      <c r="T238" s="644"/>
      <c r="U238" s="101"/>
      <c r="V238" s="647"/>
      <c r="W238" s="643"/>
      <c r="X238" s="644"/>
      <c r="Y238" s="101"/>
      <c r="Z238" s="644"/>
      <c r="AA238" s="101"/>
      <c r="AB238" s="644"/>
      <c r="AC238" s="101"/>
      <c r="AD238" s="646"/>
      <c r="AE238" s="271"/>
      <c r="AF238" s="646"/>
      <c r="AG238" s="646"/>
      <c r="AH238" s="646"/>
      <c r="AI238" s="646"/>
      <c r="AJ238" s="646"/>
      <c r="AK238" s="646"/>
      <c r="AL238" s="646"/>
      <c r="AM238" s="271"/>
      <c r="AN238" s="646"/>
      <c r="AO238" s="646"/>
      <c r="AP238" s="646"/>
      <c r="AQ238" s="271"/>
      <c r="AR238" s="646"/>
      <c r="AS238" s="270"/>
      <c r="AT238" s="646"/>
      <c r="AU238" s="646"/>
      <c r="AV238" s="646"/>
      <c r="AW238" s="270"/>
      <c r="AX238" s="646"/>
      <c r="AY238" s="270"/>
      <c r="AZ238" s="646"/>
      <c r="BA238" s="646"/>
      <c r="BB238" s="644"/>
      <c r="BC238" s="644"/>
      <c r="BD238" s="644"/>
      <c r="BE238" s="644"/>
      <c r="BF238" s="644"/>
      <c r="BG238" s="644"/>
      <c r="BH238" s="644"/>
      <c r="BI238" s="644"/>
      <c r="BJ238" s="644"/>
      <c r="BK238" s="644"/>
      <c r="BL238" s="644"/>
      <c r="BM238" s="95"/>
      <c r="BN238" s="644"/>
      <c r="BO238" s="95"/>
      <c r="BP238" s="644"/>
      <c r="BQ238" s="644"/>
      <c r="BR238" s="644"/>
      <c r="BS238" s="644"/>
      <c r="BT238" s="644"/>
      <c r="BU238" s="644"/>
      <c r="BV238" s="644"/>
      <c r="BW238" s="644"/>
      <c r="BX238" s="644"/>
      <c r="BY238" s="644"/>
      <c r="BZ238" s="644"/>
      <c r="CA238" s="644"/>
      <c r="CB238" s="644"/>
      <c r="CC238" s="644"/>
      <c r="CD238" s="644"/>
      <c r="CE238" s="644"/>
      <c r="CF238" s="644"/>
      <c r="CG238" s="644"/>
      <c r="CH238" s="644"/>
      <c r="CI238" s="644"/>
      <c r="CJ238" s="644"/>
      <c r="CK238" s="644"/>
      <c r="CL238" s="644"/>
      <c r="CM238" s="95"/>
      <c r="CN238" s="644"/>
      <c r="CO238" s="644"/>
      <c r="CP238" s="95"/>
      <c r="CQ238" s="98"/>
      <c r="CR238" s="95"/>
      <c r="CS238" s="95"/>
      <c r="CT238" s="95"/>
      <c r="CU238" s="108"/>
      <c r="CV238" s="109"/>
      <c r="CW238" s="644"/>
      <c r="CX238" s="496"/>
      <c r="CY238" s="637"/>
      <c r="CZ238" s="644"/>
      <c r="DA238" s="644"/>
      <c r="DB238" s="644"/>
      <c r="DC238" s="496"/>
      <c r="DD238" s="644"/>
      <c r="DE238" s="101"/>
      <c r="DF238" s="644"/>
      <c r="DG238" s="101"/>
      <c r="DH238" s="644"/>
      <c r="DI238" s="644"/>
      <c r="DJ238" s="644"/>
      <c r="DK238" s="644"/>
      <c r="DL238" s="644"/>
      <c r="DM238" s="101"/>
      <c r="DN238" s="644"/>
      <c r="DO238" s="644"/>
      <c r="DP238" s="644"/>
      <c r="DQ238" s="644"/>
      <c r="DR238" s="644"/>
      <c r="DS238" s="644"/>
      <c r="DT238" s="644"/>
      <c r="DU238" s="644"/>
      <c r="DV238" s="644"/>
      <c r="DW238" s="101"/>
      <c r="DX238" s="646"/>
      <c r="DY238" s="646"/>
      <c r="DZ238" s="646"/>
      <c r="EA238" s="646"/>
      <c r="EB238" s="646"/>
      <c r="EC238" s="646"/>
      <c r="ED238" s="646"/>
      <c r="EE238" s="646"/>
      <c r="EF238" s="646"/>
      <c r="EG238" s="646"/>
      <c r="EH238" s="646"/>
      <c r="EI238" s="646"/>
      <c r="EJ238" s="646"/>
      <c r="EK238" s="271"/>
      <c r="EL238" s="644"/>
      <c r="EM238" s="634"/>
      <c r="EN238" s="647"/>
      <c r="EO238" s="648"/>
      <c r="EP238" s="647"/>
      <c r="EQ238" s="647"/>
      <c r="ER238" s="647"/>
      <c r="ES238" s="139"/>
      <c r="EV238" s="647"/>
      <c r="EW238" s="647"/>
      <c r="EX238" s="647"/>
      <c r="EY238" s="647"/>
      <c r="EZ238" s="647"/>
      <c r="FA238" s="646"/>
      <c r="FB238" s="646"/>
      <c r="FC238" s="646"/>
      <c r="FD238" s="646"/>
      <c r="FE238" s="646"/>
      <c r="FF238" s="646"/>
      <c r="FG238" s="647"/>
      <c r="FH238" s="647"/>
      <c r="FI238" s="647"/>
      <c r="FJ238" s="647"/>
      <c r="FK238" s="647"/>
      <c r="FL238" s="647"/>
      <c r="FM238" s="647"/>
      <c r="FN238" s="647"/>
      <c r="FO238" s="647"/>
      <c r="FP238" s="647"/>
      <c r="FQ238" s="647"/>
      <c r="FR238" s="647"/>
      <c r="FS238" s="101"/>
      <c r="FT238" s="95"/>
      <c r="FU238" s="651"/>
      <c r="FV238" s="101"/>
      <c r="FW238" s="101"/>
      <c r="FX238" s="634"/>
      <c r="FY238" s="634"/>
      <c r="FZ238" s="634"/>
      <c r="GA238" s="634"/>
      <c r="GB238" s="634"/>
      <c r="GC238" s="634"/>
      <c r="GD238" s="634"/>
      <c r="GE238" s="634"/>
      <c r="GF238" s="634"/>
      <c r="GG238" s="634"/>
      <c r="GH238" s="634"/>
      <c r="GI238" s="634"/>
      <c r="GJ238" s="634"/>
      <c r="GK238" s="634"/>
      <c r="GL238" s="101"/>
      <c r="GM238" s="101"/>
      <c r="GN238" s="101"/>
      <c r="GO238" s="643"/>
      <c r="GP238" s="644"/>
      <c r="GQ238" s="643"/>
      <c r="GR238" s="644"/>
      <c r="GS238" s="643"/>
      <c r="GT238" s="644"/>
      <c r="GU238" s="644"/>
      <c r="GV238" s="644"/>
      <c r="GW238" s="644"/>
      <c r="GX238" s="644"/>
      <c r="GY238" s="644"/>
      <c r="GZ238" s="644"/>
      <c r="HA238" s="644"/>
    </row>
    <row r="239" spans="1:209">
      <c r="A239" s="638"/>
      <c r="B239" s="95"/>
      <c r="C239" s="95"/>
      <c r="D239" s="95"/>
      <c r="E239" s="650"/>
      <c r="F239" s="95"/>
      <c r="G239" s="98"/>
      <c r="H239" s="99"/>
      <c r="I239" s="95"/>
      <c r="J239" s="95"/>
      <c r="K239" s="95"/>
      <c r="L239" s="95"/>
      <c r="M239" s="95"/>
      <c r="N239" s="95"/>
      <c r="O239" s="95"/>
      <c r="P239" s="95"/>
      <c r="Q239" s="95"/>
      <c r="R239" s="98"/>
      <c r="S239" s="101"/>
      <c r="T239" s="644"/>
      <c r="U239" s="101"/>
      <c r="V239" s="647"/>
      <c r="W239" s="643"/>
      <c r="X239" s="644"/>
      <c r="Y239" s="101"/>
      <c r="Z239" s="644"/>
      <c r="AA239" s="101"/>
      <c r="AB239" s="644"/>
      <c r="AC239" s="101"/>
      <c r="AD239" s="646"/>
      <c r="AE239" s="271"/>
      <c r="AF239" s="646"/>
      <c r="AG239" s="646"/>
      <c r="AH239" s="646"/>
      <c r="AI239" s="646"/>
      <c r="AJ239" s="646"/>
      <c r="AK239" s="646"/>
      <c r="AL239" s="646"/>
      <c r="AM239" s="271"/>
      <c r="AN239" s="646"/>
      <c r="AO239" s="646"/>
      <c r="AP239" s="646"/>
      <c r="AQ239" s="271"/>
      <c r="AR239" s="646"/>
      <c r="AS239" s="270"/>
      <c r="AT239" s="646"/>
      <c r="AU239" s="646"/>
      <c r="AV239" s="646"/>
      <c r="AW239" s="270"/>
      <c r="AX239" s="646"/>
      <c r="AY239" s="270"/>
      <c r="AZ239" s="646"/>
      <c r="BA239" s="646"/>
      <c r="BB239" s="644"/>
      <c r="BC239" s="644"/>
      <c r="BD239" s="644"/>
      <c r="BE239" s="644"/>
      <c r="BF239" s="644"/>
      <c r="BG239" s="644"/>
      <c r="BH239" s="644"/>
      <c r="BI239" s="644"/>
      <c r="BJ239" s="644"/>
      <c r="BK239" s="644"/>
      <c r="BL239" s="644"/>
      <c r="BM239" s="95"/>
      <c r="BN239" s="644"/>
      <c r="BO239" s="95"/>
      <c r="BP239" s="644"/>
      <c r="BQ239" s="644"/>
      <c r="BR239" s="644"/>
      <c r="BS239" s="644"/>
      <c r="BT239" s="644"/>
      <c r="BU239" s="644"/>
      <c r="BV239" s="644"/>
      <c r="BW239" s="644"/>
      <c r="BX239" s="644"/>
      <c r="BY239" s="644"/>
      <c r="BZ239" s="644"/>
      <c r="CA239" s="644"/>
      <c r="CB239" s="644"/>
      <c r="CC239" s="644"/>
      <c r="CD239" s="644"/>
      <c r="CE239" s="644"/>
      <c r="CF239" s="644"/>
      <c r="CG239" s="644"/>
      <c r="CH239" s="644"/>
      <c r="CI239" s="644"/>
      <c r="CJ239" s="644"/>
      <c r="CK239" s="644"/>
      <c r="CL239" s="644"/>
      <c r="CM239" s="95"/>
      <c r="CN239" s="644"/>
      <c r="CO239" s="644"/>
      <c r="CP239" s="95"/>
      <c r="CQ239" s="98"/>
      <c r="CR239" s="95"/>
      <c r="CS239" s="95"/>
      <c r="CT239" s="95"/>
      <c r="CU239" s="108"/>
      <c r="CV239" s="109"/>
      <c r="CW239" s="644"/>
      <c r="CX239" s="496"/>
      <c r="CY239" s="637"/>
      <c r="CZ239" s="644"/>
      <c r="DA239" s="644"/>
      <c r="DB239" s="644"/>
      <c r="DC239" s="496"/>
      <c r="DD239" s="644"/>
      <c r="DE239" s="101"/>
      <c r="DF239" s="644"/>
      <c r="DG239" s="101"/>
      <c r="DH239" s="644"/>
      <c r="DI239" s="644"/>
      <c r="DJ239" s="644"/>
      <c r="DK239" s="644"/>
      <c r="DL239" s="644"/>
      <c r="DM239" s="101"/>
      <c r="DN239" s="644"/>
      <c r="DO239" s="644"/>
      <c r="DP239" s="644"/>
      <c r="DQ239" s="644"/>
      <c r="DR239" s="644"/>
      <c r="DS239" s="644"/>
      <c r="DT239" s="644"/>
      <c r="DU239" s="644"/>
      <c r="DV239" s="644"/>
      <c r="DW239" s="101"/>
      <c r="DX239" s="646"/>
      <c r="DY239" s="646"/>
      <c r="DZ239" s="646"/>
      <c r="EA239" s="646"/>
      <c r="EB239" s="646"/>
      <c r="EC239" s="646"/>
      <c r="ED239" s="646"/>
      <c r="EE239" s="646"/>
      <c r="EF239" s="646"/>
      <c r="EG239" s="646"/>
      <c r="EH239" s="646"/>
      <c r="EI239" s="646"/>
      <c r="EJ239" s="646"/>
      <c r="EK239" s="271"/>
      <c r="EL239" s="644"/>
      <c r="EM239" s="634"/>
      <c r="EN239" s="647"/>
      <c r="EO239" s="648"/>
      <c r="EP239" s="647"/>
      <c r="EQ239" s="647"/>
      <c r="ER239" s="647"/>
      <c r="ES239" s="139"/>
      <c r="EV239" s="647"/>
      <c r="EW239" s="647"/>
      <c r="EX239" s="647"/>
      <c r="EY239" s="647"/>
      <c r="EZ239" s="647"/>
      <c r="FA239" s="646"/>
      <c r="FB239" s="646"/>
      <c r="FC239" s="646"/>
      <c r="FD239" s="646"/>
      <c r="FE239" s="646"/>
      <c r="FF239" s="646"/>
      <c r="FG239" s="647"/>
      <c r="FH239" s="647"/>
      <c r="FI239" s="647"/>
      <c r="FJ239" s="647"/>
      <c r="FK239" s="647"/>
      <c r="FL239" s="647"/>
      <c r="FM239" s="647"/>
      <c r="FN239" s="647"/>
      <c r="FO239" s="647"/>
      <c r="FP239" s="647"/>
      <c r="FQ239" s="647"/>
      <c r="FR239" s="647"/>
      <c r="FS239" s="101"/>
      <c r="FT239" s="95"/>
      <c r="FU239" s="651"/>
      <c r="FV239" s="101"/>
      <c r="FW239" s="101"/>
      <c r="FX239" s="634"/>
      <c r="FY239" s="634"/>
      <c r="FZ239" s="634"/>
      <c r="GA239" s="634"/>
      <c r="GB239" s="634"/>
      <c r="GC239" s="634"/>
      <c r="GD239" s="634"/>
      <c r="GE239" s="634"/>
      <c r="GF239" s="634"/>
      <c r="GG239" s="634"/>
      <c r="GH239" s="634"/>
      <c r="GI239" s="634"/>
      <c r="GJ239" s="634"/>
      <c r="GK239" s="634"/>
      <c r="GL239" s="101"/>
      <c r="GM239" s="101"/>
      <c r="GN239" s="101"/>
      <c r="GO239" s="643"/>
      <c r="GP239" s="644"/>
      <c r="GQ239" s="643"/>
      <c r="GR239" s="644"/>
      <c r="GS239" s="643"/>
      <c r="GT239" s="644"/>
      <c r="GU239" s="644"/>
      <c r="GV239" s="644"/>
      <c r="GW239" s="644"/>
      <c r="GX239" s="644"/>
      <c r="GY239" s="644"/>
      <c r="GZ239" s="644"/>
      <c r="HA239" s="644"/>
    </row>
    <row r="240" spans="1:209">
      <c r="A240" s="638"/>
      <c r="B240" s="95"/>
      <c r="C240" s="95"/>
      <c r="D240" s="95"/>
      <c r="E240" s="650"/>
      <c r="F240" s="95"/>
      <c r="G240" s="98"/>
      <c r="H240" s="99"/>
      <c r="I240" s="95"/>
      <c r="J240" s="95"/>
      <c r="K240" s="95"/>
      <c r="L240" s="95"/>
      <c r="M240" s="95"/>
      <c r="N240" s="95"/>
      <c r="O240" s="95"/>
      <c r="P240" s="95"/>
      <c r="Q240" s="95"/>
      <c r="R240" s="98"/>
      <c r="S240" s="101"/>
      <c r="T240" s="644"/>
      <c r="U240" s="101"/>
      <c r="V240" s="647"/>
      <c r="W240" s="643"/>
      <c r="X240" s="644"/>
      <c r="Y240" s="101"/>
      <c r="Z240" s="644"/>
      <c r="AA240" s="101"/>
      <c r="AB240" s="644"/>
      <c r="AC240" s="101"/>
      <c r="AD240" s="646"/>
      <c r="AE240" s="271"/>
      <c r="AF240" s="646"/>
      <c r="AG240" s="646"/>
      <c r="AH240" s="646"/>
      <c r="AI240" s="646"/>
      <c r="AJ240" s="646"/>
      <c r="AK240" s="646"/>
      <c r="AL240" s="646"/>
      <c r="AM240" s="271"/>
      <c r="AN240" s="646"/>
      <c r="AO240" s="646"/>
      <c r="AP240" s="646"/>
      <c r="AQ240" s="271"/>
      <c r="AR240" s="646"/>
      <c r="AS240" s="270"/>
      <c r="AT240" s="646"/>
      <c r="AU240" s="646"/>
      <c r="AV240" s="646"/>
      <c r="AW240" s="270"/>
      <c r="AX240" s="646"/>
      <c r="AY240" s="270"/>
      <c r="AZ240" s="646"/>
      <c r="BA240" s="646"/>
      <c r="BB240" s="644"/>
      <c r="BC240" s="644"/>
      <c r="BD240" s="644"/>
      <c r="BE240" s="644"/>
      <c r="BF240" s="644"/>
      <c r="BG240" s="644"/>
      <c r="BH240" s="644"/>
      <c r="BI240" s="644"/>
      <c r="BJ240" s="644"/>
      <c r="BK240" s="644"/>
      <c r="BL240" s="644"/>
      <c r="BM240" s="95"/>
      <c r="BN240" s="644"/>
      <c r="BO240" s="95"/>
      <c r="BP240" s="644"/>
      <c r="BQ240" s="644"/>
      <c r="BR240" s="644"/>
      <c r="BS240" s="644"/>
      <c r="BT240" s="644"/>
      <c r="BU240" s="644"/>
      <c r="BV240" s="644"/>
      <c r="BW240" s="644"/>
      <c r="BX240" s="644"/>
      <c r="BY240" s="644"/>
      <c r="BZ240" s="644"/>
      <c r="CA240" s="644"/>
      <c r="CB240" s="644"/>
      <c r="CC240" s="644"/>
      <c r="CD240" s="644"/>
      <c r="CE240" s="644"/>
      <c r="CF240" s="644"/>
      <c r="CG240" s="644"/>
      <c r="CH240" s="644"/>
      <c r="CI240" s="644"/>
      <c r="CJ240" s="644"/>
      <c r="CK240" s="644"/>
      <c r="CL240" s="644"/>
      <c r="CM240" s="95"/>
      <c r="CN240" s="644"/>
      <c r="CO240" s="644"/>
      <c r="CP240" s="95"/>
      <c r="CQ240" s="98"/>
      <c r="CR240" s="95"/>
      <c r="CS240" s="95"/>
      <c r="CT240" s="95"/>
      <c r="CU240" s="108"/>
      <c r="CV240" s="109"/>
      <c r="CW240" s="644"/>
      <c r="CX240" s="496"/>
      <c r="CY240" s="637"/>
      <c r="CZ240" s="644"/>
      <c r="DA240" s="644"/>
      <c r="DB240" s="644"/>
      <c r="DC240" s="496"/>
      <c r="DD240" s="644"/>
      <c r="DE240" s="101"/>
      <c r="DF240" s="644"/>
      <c r="DG240" s="101"/>
      <c r="DH240" s="644"/>
      <c r="DI240" s="644"/>
      <c r="DJ240" s="644"/>
      <c r="DK240" s="644"/>
      <c r="DL240" s="644"/>
      <c r="DM240" s="101"/>
      <c r="DN240" s="644"/>
      <c r="DO240" s="644"/>
      <c r="DP240" s="644"/>
      <c r="DQ240" s="644"/>
      <c r="DR240" s="644"/>
      <c r="DS240" s="644"/>
      <c r="DT240" s="644"/>
      <c r="DU240" s="644"/>
      <c r="DV240" s="644"/>
      <c r="DW240" s="101"/>
      <c r="DX240" s="646"/>
      <c r="DY240" s="646"/>
      <c r="DZ240" s="646"/>
      <c r="EA240" s="646"/>
      <c r="EB240" s="646"/>
      <c r="EC240" s="646"/>
      <c r="ED240" s="646"/>
      <c r="EE240" s="646"/>
      <c r="EF240" s="646"/>
      <c r="EG240" s="646"/>
      <c r="EH240" s="646"/>
      <c r="EI240" s="646"/>
      <c r="EJ240" s="646"/>
      <c r="EK240" s="271"/>
      <c r="EL240" s="644"/>
      <c r="EM240" s="634"/>
      <c r="EN240" s="647"/>
      <c r="EO240" s="648"/>
      <c r="EP240" s="647"/>
      <c r="EQ240" s="647"/>
      <c r="ER240" s="647"/>
      <c r="ES240" s="139"/>
      <c r="EV240" s="647"/>
      <c r="EW240" s="647"/>
      <c r="EX240" s="647"/>
      <c r="EY240" s="647"/>
      <c r="EZ240" s="647"/>
      <c r="FA240" s="646"/>
      <c r="FB240" s="646"/>
      <c r="FC240" s="646"/>
      <c r="FD240" s="646"/>
      <c r="FE240" s="646"/>
      <c r="FF240" s="646"/>
      <c r="FG240" s="647"/>
      <c r="FH240" s="647"/>
      <c r="FI240" s="647"/>
      <c r="FJ240" s="647"/>
      <c r="FK240" s="647"/>
      <c r="FL240" s="647"/>
      <c r="FM240" s="647"/>
      <c r="FN240" s="647"/>
      <c r="FO240" s="647"/>
      <c r="FP240" s="647"/>
      <c r="FQ240" s="647"/>
      <c r="FR240" s="647"/>
      <c r="FS240" s="101"/>
      <c r="FT240" s="95"/>
      <c r="FU240" s="651"/>
      <c r="FV240" s="101"/>
      <c r="FW240" s="101"/>
      <c r="FX240" s="634"/>
      <c r="FY240" s="634"/>
      <c r="FZ240" s="634"/>
      <c r="GA240" s="634"/>
      <c r="GB240" s="634"/>
      <c r="GC240" s="634"/>
      <c r="GD240" s="634"/>
      <c r="GE240" s="634"/>
      <c r="GF240" s="634"/>
      <c r="GG240" s="634"/>
      <c r="GH240" s="634"/>
      <c r="GI240" s="634"/>
      <c r="GJ240" s="634"/>
      <c r="GK240" s="634"/>
      <c r="GL240" s="101"/>
      <c r="GM240" s="101"/>
      <c r="GN240" s="101"/>
      <c r="GO240" s="643"/>
      <c r="GP240" s="644"/>
      <c r="GQ240" s="643"/>
      <c r="GR240" s="644"/>
      <c r="GS240" s="643"/>
      <c r="GT240" s="644"/>
      <c r="GU240" s="644"/>
      <c r="GV240" s="644"/>
      <c r="GW240" s="644"/>
      <c r="GX240" s="644"/>
      <c r="GY240" s="644"/>
      <c r="GZ240" s="644"/>
      <c r="HA240" s="644"/>
    </row>
    <row r="241" spans="1:209">
      <c r="A241" s="638"/>
      <c r="B241" s="95"/>
      <c r="C241" s="95"/>
      <c r="D241" s="95"/>
      <c r="E241" s="650"/>
      <c r="F241" s="95"/>
      <c r="G241" s="98"/>
      <c r="H241" s="99"/>
      <c r="I241" s="95"/>
      <c r="J241" s="95"/>
      <c r="K241" s="95"/>
      <c r="L241" s="95"/>
      <c r="M241" s="95"/>
      <c r="N241" s="95"/>
      <c r="O241" s="95"/>
      <c r="P241" s="95"/>
      <c r="Q241" s="95"/>
      <c r="R241" s="98"/>
      <c r="S241" s="101"/>
      <c r="T241" s="644"/>
      <c r="U241" s="101"/>
      <c r="V241" s="647"/>
      <c r="W241" s="643"/>
      <c r="X241" s="644"/>
      <c r="Y241" s="101"/>
      <c r="Z241" s="644"/>
      <c r="AA241" s="101"/>
      <c r="AB241" s="644"/>
      <c r="AC241" s="101"/>
      <c r="AD241" s="646"/>
      <c r="AE241" s="271"/>
      <c r="AF241" s="646"/>
      <c r="AG241" s="646"/>
      <c r="AH241" s="646"/>
      <c r="AI241" s="646"/>
      <c r="AJ241" s="646"/>
      <c r="AK241" s="646"/>
      <c r="AL241" s="646"/>
      <c r="AM241" s="271"/>
      <c r="AN241" s="646"/>
      <c r="AO241" s="646"/>
      <c r="AP241" s="646"/>
      <c r="AQ241" s="271"/>
      <c r="AR241" s="646"/>
      <c r="AS241" s="270"/>
      <c r="AT241" s="646"/>
      <c r="AU241" s="646"/>
      <c r="AV241" s="646"/>
      <c r="AW241" s="270"/>
      <c r="AX241" s="646"/>
      <c r="AY241" s="270"/>
      <c r="AZ241" s="646"/>
      <c r="BA241" s="646"/>
      <c r="BB241" s="644"/>
      <c r="BC241" s="644"/>
      <c r="BD241" s="644"/>
      <c r="BE241" s="644"/>
      <c r="BF241" s="644"/>
      <c r="BG241" s="644"/>
      <c r="BH241" s="644"/>
      <c r="BI241" s="644"/>
      <c r="BJ241" s="644"/>
      <c r="BK241" s="644"/>
      <c r="BL241" s="644"/>
      <c r="BM241" s="95"/>
      <c r="BN241" s="644"/>
      <c r="BO241" s="95"/>
      <c r="BP241" s="644"/>
      <c r="BQ241" s="644"/>
      <c r="BR241" s="644"/>
      <c r="BS241" s="644"/>
      <c r="BT241" s="644"/>
      <c r="BU241" s="644"/>
      <c r="BV241" s="644"/>
      <c r="BW241" s="644"/>
      <c r="BX241" s="644"/>
      <c r="BY241" s="644"/>
      <c r="BZ241" s="644"/>
      <c r="CA241" s="644"/>
      <c r="CB241" s="644"/>
      <c r="CC241" s="644"/>
      <c r="CD241" s="644"/>
      <c r="CE241" s="644"/>
      <c r="CF241" s="644"/>
      <c r="CG241" s="644"/>
      <c r="CH241" s="644"/>
      <c r="CI241" s="644"/>
      <c r="CJ241" s="644"/>
      <c r="CK241" s="644"/>
      <c r="CL241" s="644"/>
      <c r="CM241" s="95"/>
      <c r="CN241" s="644"/>
      <c r="CO241" s="644"/>
      <c r="CP241" s="95"/>
      <c r="CQ241" s="98"/>
      <c r="CR241" s="95"/>
      <c r="CS241" s="95"/>
      <c r="CT241" s="95"/>
      <c r="CU241" s="108"/>
      <c r="CV241" s="109"/>
      <c r="CW241" s="644"/>
      <c r="CX241" s="496"/>
      <c r="CY241" s="637"/>
      <c r="CZ241" s="644"/>
      <c r="DA241" s="644"/>
      <c r="DB241" s="644"/>
      <c r="DC241" s="496"/>
      <c r="DD241" s="644"/>
      <c r="DE241" s="101"/>
      <c r="DF241" s="644"/>
      <c r="DG241" s="101"/>
      <c r="DH241" s="644"/>
      <c r="DI241" s="644"/>
      <c r="DJ241" s="644"/>
      <c r="DK241" s="644"/>
      <c r="DL241" s="644"/>
      <c r="DM241" s="101"/>
      <c r="DN241" s="644"/>
      <c r="DO241" s="644"/>
      <c r="DP241" s="644"/>
      <c r="DQ241" s="644"/>
      <c r="DR241" s="644"/>
      <c r="DS241" s="644"/>
      <c r="DT241" s="644"/>
      <c r="DU241" s="644"/>
      <c r="DV241" s="644"/>
      <c r="DW241" s="101"/>
      <c r="DX241" s="646"/>
      <c r="DY241" s="646"/>
      <c r="DZ241" s="646"/>
      <c r="EA241" s="646"/>
      <c r="EB241" s="646"/>
      <c r="EC241" s="646"/>
      <c r="ED241" s="646"/>
      <c r="EE241" s="646"/>
      <c r="EF241" s="646"/>
      <c r="EG241" s="646"/>
      <c r="EH241" s="646"/>
      <c r="EI241" s="646"/>
      <c r="EJ241" s="646"/>
      <c r="EK241" s="271"/>
      <c r="EL241" s="644"/>
      <c r="EM241" s="634"/>
      <c r="EN241" s="647"/>
      <c r="EO241" s="648"/>
      <c r="EP241" s="647"/>
      <c r="EQ241" s="647"/>
      <c r="ER241" s="647"/>
      <c r="ES241" s="139"/>
      <c r="EV241" s="647"/>
      <c r="EW241" s="647"/>
      <c r="EX241" s="647"/>
      <c r="EY241" s="647"/>
      <c r="EZ241" s="647"/>
      <c r="FA241" s="646"/>
      <c r="FB241" s="646"/>
      <c r="FC241" s="646"/>
      <c r="FD241" s="646"/>
      <c r="FE241" s="646"/>
      <c r="FF241" s="646"/>
      <c r="FG241" s="647"/>
      <c r="FH241" s="647"/>
      <c r="FI241" s="647"/>
      <c r="FJ241" s="647"/>
      <c r="FK241" s="647"/>
      <c r="FL241" s="647"/>
      <c r="FM241" s="647"/>
      <c r="FN241" s="647"/>
      <c r="FO241" s="647"/>
      <c r="FP241" s="647"/>
      <c r="FQ241" s="647"/>
      <c r="FR241" s="647"/>
      <c r="FS241" s="101"/>
      <c r="FT241" s="95"/>
      <c r="FU241" s="651"/>
      <c r="FV241" s="101"/>
      <c r="FW241" s="101"/>
      <c r="FX241" s="634"/>
      <c r="FY241" s="634"/>
      <c r="FZ241" s="634"/>
      <c r="GA241" s="634"/>
      <c r="GB241" s="634"/>
      <c r="GC241" s="634"/>
      <c r="GD241" s="634"/>
      <c r="GE241" s="634"/>
      <c r="GF241" s="634"/>
      <c r="GG241" s="634"/>
      <c r="GH241" s="634"/>
      <c r="GI241" s="634"/>
      <c r="GJ241" s="634"/>
      <c r="GK241" s="634"/>
      <c r="GL241" s="101"/>
      <c r="GM241" s="101"/>
      <c r="GN241" s="101"/>
      <c r="GO241" s="643"/>
      <c r="GP241" s="644"/>
      <c r="GQ241" s="643"/>
      <c r="GR241" s="644"/>
      <c r="GS241" s="643"/>
      <c r="GT241" s="644"/>
      <c r="GU241" s="644"/>
      <c r="GV241" s="644"/>
      <c r="GW241" s="644"/>
      <c r="GX241" s="644"/>
      <c r="GY241" s="644"/>
      <c r="GZ241" s="644"/>
      <c r="HA241" s="644"/>
    </row>
    <row r="242" spans="1:209">
      <c r="A242" s="638"/>
      <c r="B242" s="95"/>
      <c r="C242" s="95"/>
      <c r="D242" s="95"/>
      <c r="E242" s="650"/>
      <c r="F242" s="95"/>
      <c r="G242" s="98"/>
      <c r="H242" s="99"/>
      <c r="I242" s="95"/>
      <c r="J242" s="95"/>
      <c r="K242" s="95"/>
      <c r="L242" s="95"/>
      <c r="M242" s="95"/>
      <c r="N242" s="95"/>
      <c r="O242" s="95"/>
      <c r="P242" s="95"/>
      <c r="Q242" s="95"/>
      <c r="R242" s="98"/>
      <c r="S242" s="101"/>
      <c r="T242" s="644"/>
      <c r="U242" s="101"/>
      <c r="V242" s="647"/>
      <c r="W242" s="643"/>
      <c r="X242" s="644"/>
      <c r="Y242" s="101"/>
      <c r="Z242" s="644"/>
      <c r="AA242" s="101"/>
      <c r="AB242" s="644"/>
      <c r="AC242" s="101"/>
      <c r="AD242" s="646"/>
      <c r="AE242" s="271"/>
      <c r="AF242" s="646"/>
      <c r="AG242" s="646"/>
      <c r="AH242" s="646"/>
      <c r="AI242" s="646"/>
      <c r="AJ242" s="646"/>
      <c r="AK242" s="646"/>
      <c r="AL242" s="646"/>
      <c r="AM242" s="271"/>
      <c r="AN242" s="646"/>
      <c r="AO242" s="646"/>
      <c r="AP242" s="646"/>
      <c r="AQ242" s="271"/>
      <c r="AR242" s="646"/>
      <c r="AS242" s="270"/>
      <c r="AT242" s="646"/>
      <c r="AU242" s="646"/>
      <c r="AV242" s="646"/>
      <c r="AW242" s="270"/>
      <c r="AX242" s="646"/>
      <c r="AY242" s="270"/>
      <c r="AZ242" s="646"/>
      <c r="BA242" s="646"/>
      <c r="BB242" s="644"/>
      <c r="BC242" s="644"/>
      <c r="BD242" s="644"/>
      <c r="BE242" s="644"/>
      <c r="BF242" s="644"/>
      <c r="BG242" s="644"/>
      <c r="BH242" s="644"/>
      <c r="BI242" s="644"/>
      <c r="BJ242" s="644"/>
      <c r="BK242" s="644"/>
      <c r="BL242" s="644"/>
      <c r="BM242" s="95"/>
      <c r="BN242" s="644"/>
      <c r="BO242" s="95"/>
      <c r="BP242" s="644"/>
      <c r="BQ242" s="644"/>
      <c r="BR242" s="644"/>
      <c r="BS242" s="644"/>
      <c r="BT242" s="644"/>
      <c r="BU242" s="644"/>
      <c r="BV242" s="644"/>
      <c r="BW242" s="644"/>
      <c r="BX242" s="644"/>
      <c r="BY242" s="644"/>
      <c r="BZ242" s="644"/>
      <c r="CA242" s="644"/>
      <c r="CB242" s="644"/>
      <c r="CC242" s="644"/>
      <c r="CD242" s="644"/>
      <c r="CE242" s="644"/>
      <c r="CF242" s="644"/>
      <c r="CG242" s="644"/>
      <c r="CH242" s="644"/>
      <c r="CI242" s="644"/>
      <c r="CJ242" s="644"/>
      <c r="CK242" s="644"/>
      <c r="CL242" s="644"/>
      <c r="CM242" s="95"/>
      <c r="CN242" s="644"/>
      <c r="CO242" s="644"/>
      <c r="CP242" s="95"/>
      <c r="CQ242" s="98"/>
      <c r="CR242" s="95"/>
      <c r="CS242" s="95"/>
      <c r="CT242" s="95"/>
      <c r="CU242" s="108"/>
      <c r="CV242" s="109"/>
      <c r="CW242" s="644"/>
      <c r="CX242" s="496"/>
      <c r="CY242" s="637"/>
      <c r="CZ242" s="644"/>
      <c r="DA242" s="644"/>
      <c r="DB242" s="644"/>
      <c r="DC242" s="496"/>
      <c r="DD242" s="644"/>
      <c r="DE242" s="101"/>
      <c r="DF242" s="644"/>
      <c r="DG242" s="101"/>
      <c r="DH242" s="644"/>
      <c r="DI242" s="644"/>
      <c r="DJ242" s="644"/>
      <c r="DK242" s="644"/>
      <c r="DL242" s="644"/>
      <c r="DM242" s="101"/>
      <c r="DN242" s="644"/>
      <c r="DO242" s="644"/>
      <c r="DP242" s="644"/>
      <c r="DQ242" s="644"/>
      <c r="DR242" s="644"/>
      <c r="DS242" s="644"/>
      <c r="DT242" s="644"/>
      <c r="DU242" s="644"/>
      <c r="DV242" s="644"/>
      <c r="DW242" s="101"/>
      <c r="DX242" s="646"/>
      <c r="DY242" s="646"/>
      <c r="DZ242" s="646"/>
      <c r="EA242" s="646"/>
      <c r="EB242" s="646"/>
      <c r="EC242" s="646"/>
      <c r="ED242" s="646"/>
      <c r="EE242" s="646"/>
      <c r="EF242" s="646"/>
      <c r="EG242" s="646"/>
      <c r="EH242" s="646"/>
      <c r="EI242" s="646"/>
      <c r="EJ242" s="646"/>
      <c r="EK242" s="271"/>
      <c r="EL242" s="644"/>
      <c r="EM242" s="634"/>
      <c r="EN242" s="647"/>
      <c r="EO242" s="648"/>
      <c r="EP242" s="647"/>
      <c r="EQ242" s="647"/>
      <c r="ER242" s="647"/>
      <c r="ES242" s="139"/>
      <c r="EV242" s="647"/>
      <c r="EW242" s="647"/>
      <c r="EX242" s="647"/>
      <c r="EY242" s="647"/>
      <c r="EZ242" s="647"/>
      <c r="FA242" s="646"/>
      <c r="FB242" s="646"/>
      <c r="FC242" s="646"/>
      <c r="FD242" s="646"/>
      <c r="FE242" s="646"/>
      <c r="FF242" s="646"/>
      <c r="FG242" s="647"/>
      <c r="FH242" s="647"/>
      <c r="FI242" s="647"/>
      <c r="FJ242" s="647"/>
      <c r="FK242" s="647"/>
      <c r="FL242" s="647"/>
      <c r="FM242" s="647"/>
      <c r="FN242" s="647"/>
      <c r="FO242" s="647"/>
      <c r="FP242" s="647"/>
      <c r="FQ242" s="647"/>
      <c r="FR242" s="647"/>
      <c r="FS242" s="101"/>
      <c r="FT242" s="95"/>
      <c r="FU242" s="651"/>
      <c r="FV242" s="101"/>
      <c r="FW242" s="101"/>
      <c r="FX242" s="634"/>
      <c r="FY242" s="634"/>
      <c r="FZ242" s="634"/>
      <c r="GA242" s="634"/>
      <c r="GB242" s="634"/>
      <c r="GC242" s="634"/>
      <c r="GD242" s="634"/>
      <c r="GE242" s="634"/>
      <c r="GF242" s="634"/>
      <c r="GG242" s="634"/>
      <c r="GH242" s="634"/>
      <c r="GI242" s="634"/>
      <c r="GJ242" s="634"/>
      <c r="GK242" s="634"/>
      <c r="GL242" s="101"/>
      <c r="GM242" s="101"/>
      <c r="GN242" s="101"/>
      <c r="GO242" s="643"/>
      <c r="GP242" s="644"/>
      <c r="GQ242" s="643"/>
      <c r="GR242" s="644"/>
      <c r="GS242" s="643"/>
      <c r="GT242" s="644"/>
      <c r="GU242" s="644"/>
      <c r="GV242" s="644"/>
      <c r="GW242" s="644"/>
      <c r="GX242" s="644"/>
      <c r="GY242" s="644"/>
      <c r="GZ242" s="644"/>
      <c r="HA242" s="644"/>
    </row>
    <row r="243" spans="1:209">
      <c r="A243" s="638"/>
      <c r="B243" s="95"/>
      <c r="C243" s="95"/>
      <c r="D243" s="95"/>
      <c r="E243" s="650"/>
      <c r="F243" s="95"/>
      <c r="G243" s="98"/>
      <c r="H243" s="99"/>
      <c r="I243" s="95"/>
      <c r="J243" s="95"/>
      <c r="K243" s="95"/>
      <c r="L243" s="95"/>
      <c r="M243" s="95"/>
      <c r="N243" s="95"/>
      <c r="O243" s="95"/>
      <c r="P243" s="95"/>
      <c r="Q243" s="95"/>
      <c r="R243" s="98"/>
      <c r="S243" s="101"/>
      <c r="T243" s="644"/>
      <c r="U243" s="101"/>
      <c r="V243" s="647"/>
      <c r="W243" s="643"/>
      <c r="X243" s="644"/>
      <c r="Y243" s="101"/>
      <c r="Z243" s="644"/>
      <c r="AA243" s="101"/>
      <c r="AB243" s="644"/>
      <c r="AC243" s="101"/>
      <c r="AD243" s="646"/>
      <c r="AE243" s="271"/>
      <c r="AF243" s="646"/>
      <c r="AG243" s="646"/>
      <c r="AH243" s="646"/>
      <c r="AI243" s="646"/>
      <c r="AJ243" s="646"/>
      <c r="AK243" s="646"/>
      <c r="AL243" s="646"/>
      <c r="AM243" s="271"/>
      <c r="AN243" s="646"/>
      <c r="AO243" s="646"/>
      <c r="AP243" s="646"/>
      <c r="AQ243" s="271"/>
      <c r="AR243" s="646"/>
      <c r="AS243" s="270"/>
      <c r="AT243" s="646"/>
      <c r="AU243" s="646"/>
      <c r="AV243" s="646"/>
      <c r="AW243" s="270"/>
      <c r="AX243" s="646"/>
      <c r="AY243" s="270"/>
      <c r="AZ243" s="646"/>
      <c r="BA243" s="646"/>
      <c r="BB243" s="644"/>
      <c r="BC243" s="644"/>
      <c r="BD243" s="644"/>
      <c r="BE243" s="644"/>
      <c r="BF243" s="644"/>
      <c r="BG243" s="644"/>
      <c r="BH243" s="644"/>
      <c r="BI243" s="644"/>
      <c r="BJ243" s="644"/>
      <c r="BK243" s="644"/>
      <c r="BL243" s="644"/>
      <c r="BM243" s="95"/>
      <c r="BN243" s="644"/>
      <c r="BO243" s="95"/>
      <c r="BP243" s="644"/>
      <c r="BQ243" s="644"/>
      <c r="BR243" s="644"/>
      <c r="BS243" s="644"/>
      <c r="BT243" s="644"/>
      <c r="BU243" s="644"/>
      <c r="BV243" s="644"/>
      <c r="BW243" s="644"/>
      <c r="BX243" s="644"/>
      <c r="BY243" s="644"/>
      <c r="BZ243" s="644"/>
      <c r="CA243" s="644"/>
      <c r="CB243" s="644"/>
      <c r="CC243" s="644"/>
      <c r="CD243" s="644"/>
      <c r="CE243" s="644"/>
      <c r="CF243" s="644"/>
      <c r="CG243" s="644"/>
      <c r="CH243" s="644"/>
      <c r="CI243" s="644"/>
      <c r="CJ243" s="644"/>
      <c r="CK243" s="644"/>
      <c r="CL243" s="644"/>
      <c r="CM243" s="95"/>
      <c r="CN243" s="644"/>
      <c r="CO243" s="644"/>
      <c r="CP243" s="95"/>
      <c r="CQ243" s="98"/>
      <c r="CR243" s="95"/>
      <c r="CS243" s="95"/>
      <c r="CT243" s="95"/>
      <c r="CU243" s="108"/>
      <c r="CV243" s="109"/>
      <c r="CW243" s="644"/>
      <c r="CX243" s="496"/>
      <c r="CY243" s="637"/>
      <c r="CZ243" s="644"/>
      <c r="DA243" s="644"/>
      <c r="DB243" s="644"/>
      <c r="DC243" s="496"/>
      <c r="DD243" s="644"/>
      <c r="DE243" s="101"/>
      <c r="DF243" s="644"/>
      <c r="DG243" s="101"/>
      <c r="DH243" s="644"/>
      <c r="DI243" s="644"/>
      <c r="DJ243" s="644"/>
      <c r="DK243" s="644"/>
      <c r="DL243" s="644"/>
      <c r="DM243" s="101"/>
      <c r="DN243" s="644"/>
      <c r="DO243" s="644"/>
      <c r="DP243" s="644"/>
      <c r="DQ243" s="644"/>
      <c r="DR243" s="644"/>
      <c r="DS243" s="644"/>
      <c r="DT243" s="644"/>
      <c r="DU243" s="644"/>
      <c r="DV243" s="644"/>
      <c r="DW243" s="101"/>
      <c r="DX243" s="646"/>
      <c r="DY243" s="646"/>
      <c r="DZ243" s="646"/>
      <c r="EA243" s="646"/>
      <c r="EB243" s="646"/>
      <c r="EC243" s="646"/>
      <c r="ED243" s="646"/>
      <c r="EE243" s="646"/>
      <c r="EF243" s="646"/>
      <c r="EG243" s="646"/>
      <c r="EH243" s="646"/>
      <c r="EI243" s="646"/>
      <c r="EJ243" s="646"/>
      <c r="EK243" s="271"/>
      <c r="EL243" s="644"/>
      <c r="EM243" s="634"/>
      <c r="EN243" s="647"/>
      <c r="EO243" s="648"/>
      <c r="EP243" s="647"/>
      <c r="EQ243" s="647"/>
      <c r="ER243" s="647"/>
      <c r="ES243" s="139"/>
      <c r="EV243" s="647"/>
      <c r="EW243" s="647"/>
      <c r="EX243" s="647"/>
      <c r="EY243" s="647"/>
      <c r="EZ243" s="647"/>
      <c r="FA243" s="646"/>
      <c r="FB243" s="646"/>
      <c r="FC243" s="646"/>
      <c r="FD243" s="646"/>
      <c r="FE243" s="646"/>
      <c r="FF243" s="646"/>
      <c r="FG243" s="647"/>
      <c r="FH243" s="647"/>
      <c r="FI243" s="647"/>
      <c r="FJ243" s="647"/>
      <c r="FK243" s="647"/>
      <c r="FL243" s="647"/>
      <c r="FM243" s="647"/>
      <c r="FN243" s="647"/>
      <c r="FO243" s="647"/>
      <c r="FP243" s="647"/>
      <c r="FQ243" s="647"/>
      <c r="FR243" s="647"/>
      <c r="FS243" s="101"/>
      <c r="FT243" s="95"/>
      <c r="FU243" s="651"/>
      <c r="FV243" s="101"/>
      <c r="FW243" s="101"/>
      <c r="FX243" s="634"/>
      <c r="FY243" s="634"/>
      <c r="FZ243" s="634"/>
      <c r="GA243" s="634"/>
      <c r="GB243" s="634"/>
      <c r="GC243" s="634"/>
      <c r="GD243" s="634"/>
      <c r="GE243" s="634"/>
      <c r="GF243" s="634"/>
      <c r="GG243" s="634"/>
      <c r="GH243" s="634"/>
      <c r="GI243" s="634"/>
      <c r="GJ243" s="634"/>
      <c r="GK243" s="634"/>
      <c r="GL243" s="101"/>
      <c r="GM243" s="101"/>
      <c r="GN243" s="101"/>
      <c r="GO243" s="643"/>
      <c r="GP243" s="644"/>
      <c r="GQ243" s="643"/>
      <c r="GR243" s="644"/>
      <c r="GS243" s="643"/>
      <c r="GT243" s="644"/>
      <c r="GU243" s="644"/>
      <c r="GV243" s="644"/>
      <c r="GW243" s="644"/>
      <c r="GX243" s="644"/>
      <c r="GY243" s="644"/>
      <c r="GZ243" s="644"/>
      <c r="HA243" s="644"/>
    </row>
    <row r="244" spans="1:209">
      <c r="A244" s="638"/>
      <c r="B244" s="95"/>
      <c r="C244" s="95"/>
      <c r="D244" s="95"/>
      <c r="E244" s="650"/>
      <c r="F244" s="95"/>
      <c r="G244" s="98"/>
      <c r="H244" s="99"/>
      <c r="I244" s="95"/>
      <c r="J244" s="95"/>
      <c r="K244" s="95"/>
      <c r="L244" s="95"/>
      <c r="M244" s="95"/>
      <c r="N244" s="95"/>
      <c r="O244" s="95"/>
      <c r="P244" s="95"/>
      <c r="Q244" s="95"/>
      <c r="R244" s="98"/>
      <c r="S244" s="101"/>
      <c r="T244" s="644"/>
      <c r="U244" s="101"/>
      <c r="V244" s="647"/>
      <c r="W244" s="643"/>
      <c r="X244" s="644"/>
      <c r="Y244" s="101"/>
      <c r="Z244" s="644"/>
      <c r="AA244" s="101"/>
      <c r="AB244" s="644"/>
      <c r="AC244" s="101"/>
      <c r="AD244" s="646"/>
      <c r="AE244" s="271"/>
      <c r="AF244" s="646"/>
      <c r="AG244" s="646"/>
      <c r="AH244" s="646"/>
      <c r="AI244" s="646"/>
      <c r="AJ244" s="646"/>
      <c r="AK244" s="646"/>
      <c r="AL244" s="646"/>
      <c r="AM244" s="271"/>
      <c r="AN244" s="646"/>
      <c r="AO244" s="646"/>
      <c r="AP244" s="646"/>
      <c r="AQ244" s="271"/>
      <c r="AR244" s="646"/>
      <c r="AS244" s="270"/>
      <c r="AT244" s="646"/>
      <c r="AU244" s="646"/>
      <c r="AV244" s="646"/>
      <c r="AW244" s="270"/>
      <c r="AX244" s="646"/>
      <c r="AY244" s="270"/>
      <c r="AZ244" s="646"/>
      <c r="BA244" s="646"/>
      <c r="BB244" s="644"/>
      <c r="BC244" s="644"/>
      <c r="BD244" s="644"/>
      <c r="BE244" s="644"/>
      <c r="BF244" s="644"/>
      <c r="BG244" s="644"/>
      <c r="BH244" s="644"/>
      <c r="BI244" s="644"/>
      <c r="BJ244" s="644"/>
      <c r="BK244" s="644"/>
      <c r="BL244" s="644"/>
      <c r="BM244" s="95"/>
      <c r="BN244" s="644"/>
      <c r="BO244" s="95"/>
      <c r="BP244" s="644"/>
      <c r="BQ244" s="644"/>
      <c r="BR244" s="644"/>
      <c r="BS244" s="644"/>
      <c r="BT244" s="644"/>
      <c r="BU244" s="644"/>
      <c r="BV244" s="644"/>
      <c r="BW244" s="644"/>
      <c r="BX244" s="644"/>
      <c r="BY244" s="644"/>
      <c r="BZ244" s="644"/>
      <c r="CA244" s="644"/>
      <c r="CB244" s="644"/>
      <c r="CC244" s="644"/>
      <c r="CD244" s="644"/>
      <c r="CE244" s="644"/>
      <c r="CF244" s="644"/>
      <c r="CG244" s="644"/>
      <c r="CH244" s="644"/>
      <c r="CI244" s="644"/>
      <c r="CJ244" s="644"/>
      <c r="CK244" s="644"/>
      <c r="CL244" s="644"/>
      <c r="CM244" s="95"/>
      <c r="CN244" s="644"/>
      <c r="CO244" s="644"/>
      <c r="CP244" s="95"/>
      <c r="CQ244" s="98"/>
      <c r="CR244" s="95"/>
      <c r="CS244" s="95"/>
      <c r="CT244" s="95"/>
      <c r="CU244" s="108"/>
      <c r="CV244" s="109"/>
      <c r="CW244" s="644"/>
      <c r="CX244" s="496"/>
      <c r="CY244" s="637"/>
      <c r="CZ244" s="644"/>
      <c r="DA244" s="644"/>
      <c r="DB244" s="644"/>
      <c r="DC244" s="496"/>
      <c r="DD244" s="644"/>
      <c r="DE244" s="101"/>
      <c r="DF244" s="644"/>
      <c r="DG244" s="101"/>
      <c r="DH244" s="644"/>
      <c r="DI244" s="644"/>
      <c r="DJ244" s="644"/>
      <c r="DK244" s="644"/>
      <c r="DL244" s="644"/>
      <c r="DM244" s="101"/>
      <c r="DN244" s="644"/>
      <c r="DO244" s="644"/>
      <c r="DP244" s="644"/>
      <c r="DQ244" s="644"/>
      <c r="DR244" s="644"/>
      <c r="DS244" s="644"/>
      <c r="DT244" s="644"/>
      <c r="DU244" s="644"/>
      <c r="DV244" s="644"/>
      <c r="DW244" s="101"/>
      <c r="DX244" s="646"/>
      <c r="DY244" s="646"/>
      <c r="DZ244" s="646"/>
      <c r="EA244" s="646"/>
      <c r="EB244" s="646"/>
      <c r="EC244" s="646"/>
      <c r="ED244" s="646"/>
      <c r="EE244" s="646"/>
      <c r="EF244" s="646"/>
      <c r="EG244" s="646"/>
      <c r="EH244" s="646"/>
      <c r="EI244" s="646"/>
      <c r="EJ244" s="646"/>
      <c r="EK244" s="271"/>
      <c r="EL244" s="644"/>
      <c r="EM244" s="634"/>
      <c r="EN244" s="647"/>
      <c r="EO244" s="648"/>
      <c r="EP244" s="647"/>
      <c r="EQ244" s="647"/>
      <c r="ER244" s="647"/>
      <c r="ES244" s="139"/>
      <c r="EV244" s="647"/>
      <c r="EW244" s="647"/>
      <c r="EX244" s="647"/>
      <c r="EY244" s="647"/>
      <c r="EZ244" s="647"/>
      <c r="FA244" s="646"/>
      <c r="FB244" s="646"/>
      <c r="FC244" s="646"/>
      <c r="FD244" s="646"/>
      <c r="FE244" s="646"/>
      <c r="FF244" s="646"/>
      <c r="FG244" s="647"/>
      <c r="FH244" s="647"/>
      <c r="FI244" s="647"/>
      <c r="FJ244" s="647"/>
      <c r="FK244" s="647"/>
      <c r="FL244" s="647"/>
      <c r="FM244" s="647"/>
      <c r="FN244" s="647"/>
      <c r="FO244" s="647"/>
      <c r="FP244" s="647"/>
      <c r="FQ244" s="647"/>
      <c r="FR244" s="647"/>
      <c r="FS244" s="101"/>
      <c r="FT244" s="95"/>
      <c r="FU244" s="651"/>
      <c r="FV244" s="101"/>
      <c r="FW244" s="101"/>
      <c r="FX244" s="634"/>
      <c r="FY244" s="634"/>
      <c r="FZ244" s="634"/>
      <c r="GA244" s="634"/>
      <c r="GB244" s="634"/>
      <c r="GC244" s="634"/>
      <c r="GD244" s="634"/>
      <c r="GE244" s="634"/>
      <c r="GF244" s="634"/>
      <c r="GG244" s="634"/>
      <c r="GH244" s="634"/>
      <c r="GI244" s="634"/>
      <c r="GJ244" s="634"/>
      <c r="GK244" s="634"/>
      <c r="GL244" s="101"/>
      <c r="GM244" s="101"/>
      <c r="GN244" s="101"/>
      <c r="GO244" s="643"/>
      <c r="GP244" s="644"/>
      <c r="GQ244" s="643"/>
      <c r="GR244" s="644"/>
      <c r="GS244" s="643"/>
      <c r="GT244" s="644"/>
      <c r="GU244" s="644"/>
      <c r="GV244" s="644"/>
      <c r="GW244" s="644"/>
      <c r="GX244" s="644"/>
      <c r="GY244" s="644"/>
      <c r="GZ244" s="644"/>
      <c r="HA244" s="644"/>
    </row>
    <row r="245" spans="1:209">
      <c r="A245" s="638"/>
      <c r="B245" s="95"/>
      <c r="C245" s="95"/>
      <c r="D245" s="95"/>
      <c r="E245" s="650"/>
      <c r="F245" s="95"/>
      <c r="G245" s="98"/>
      <c r="H245" s="99"/>
      <c r="I245" s="95"/>
      <c r="J245" s="95"/>
      <c r="K245" s="95"/>
      <c r="L245" s="95"/>
      <c r="M245" s="95"/>
      <c r="N245" s="95"/>
      <c r="O245" s="95"/>
      <c r="P245" s="95"/>
      <c r="Q245" s="95"/>
      <c r="R245" s="98"/>
      <c r="S245" s="101"/>
      <c r="T245" s="644"/>
      <c r="U245" s="101"/>
      <c r="V245" s="647"/>
      <c r="W245" s="643"/>
      <c r="X245" s="644"/>
      <c r="Y245" s="101"/>
      <c r="Z245" s="644"/>
      <c r="AA245" s="101"/>
      <c r="AB245" s="644"/>
      <c r="AC245" s="101"/>
      <c r="AD245" s="646"/>
      <c r="AE245" s="271"/>
      <c r="AF245" s="646"/>
      <c r="AG245" s="646"/>
      <c r="AH245" s="646"/>
      <c r="AI245" s="646"/>
      <c r="AJ245" s="646"/>
      <c r="AK245" s="646"/>
      <c r="AL245" s="646"/>
      <c r="AM245" s="271"/>
      <c r="AN245" s="646"/>
      <c r="AO245" s="646"/>
      <c r="AP245" s="646"/>
      <c r="AQ245" s="271"/>
      <c r="AR245" s="646"/>
      <c r="AS245" s="270"/>
      <c r="AT245" s="646"/>
      <c r="AU245" s="646"/>
      <c r="AV245" s="646"/>
      <c r="AW245" s="270"/>
      <c r="AX245" s="646"/>
      <c r="AY245" s="270"/>
      <c r="AZ245" s="646"/>
      <c r="BA245" s="646"/>
      <c r="BB245" s="644"/>
      <c r="BC245" s="644"/>
      <c r="BD245" s="644"/>
      <c r="BE245" s="644"/>
      <c r="BF245" s="644"/>
      <c r="BG245" s="644"/>
      <c r="BH245" s="644"/>
      <c r="BI245" s="644"/>
      <c r="BJ245" s="644"/>
      <c r="BK245" s="644"/>
      <c r="BL245" s="644"/>
      <c r="BM245" s="95"/>
      <c r="BN245" s="644"/>
      <c r="BO245" s="95"/>
      <c r="BP245" s="644"/>
      <c r="BQ245" s="644"/>
      <c r="BR245" s="644"/>
      <c r="BS245" s="644"/>
      <c r="BT245" s="644"/>
      <c r="BU245" s="644"/>
      <c r="BV245" s="644"/>
      <c r="BW245" s="644"/>
      <c r="BX245" s="644"/>
      <c r="BY245" s="644"/>
      <c r="BZ245" s="644"/>
      <c r="CA245" s="644"/>
      <c r="CB245" s="644"/>
      <c r="CC245" s="644"/>
      <c r="CD245" s="644"/>
      <c r="CE245" s="644"/>
      <c r="CF245" s="644"/>
      <c r="CG245" s="644"/>
      <c r="CH245" s="644"/>
      <c r="CI245" s="644"/>
      <c r="CJ245" s="644"/>
      <c r="CK245" s="644"/>
      <c r="CL245" s="644"/>
      <c r="CM245" s="95"/>
      <c r="CN245" s="644"/>
      <c r="CO245" s="644"/>
      <c r="CP245" s="95"/>
      <c r="CQ245" s="98"/>
      <c r="CR245" s="95"/>
      <c r="CS245" s="95"/>
      <c r="CT245" s="95"/>
      <c r="CU245" s="108"/>
      <c r="CV245" s="109"/>
      <c r="CW245" s="644"/>
      <c r="CX245" s="496"/>
      <c r="CY245" s="637"/>
      <c r="CZ245" s="644"/>
      <c r="DA245" s="644"/>
      <c r="DB245" s="644"/>
      <c r="DC245" s="496"/>
      <c r="DD245" s="644"/>
      <c r="DE245" s="101"/>
      <c r="DF245" s="644"/>
      <c r="DG245" s="101"/>
      <c r="DH245" s="644"/>
      <c r="DI245" s="644"/>
      <c r="DJ245" s="644"/>
      <c r="DK245" s="644"/>
      <c r="DL245" s="644"/>
      <c r="DM245" s="101"/>
      <c r="DN245" s="644"/>
      <c r="DO245" s="644"/>
      <c r="DP245" s="644"/>
      <c r="DQ245" s="644"/>
      <c r="DR245" s="644"/>
      <c r="DS245" s="644"/>
      <c r="DT245" s="644"/>
      <c r="DU245" s="644"/>
      <c r="DV245" s="644"/>
      <c r="DW245" s="101"/>
      <c r="DX245" s="646"/>
      <c r="DY245" s="646"/>
      <c r="DZ245" s="646"/>
      <c r="EA245" s="646"/>
      <c r="EB245" s="646"/>
      <c r="EC245" s="646"/>
      <c r="ED245" s="646"/>
      <c r="EE245" s="646"/>
      <c r="EF245" s="646"/>
      <c r="EG245" s="646"/>
      <c r="EH245" s="646"/>
      <c r="EI245" s="646"/>
      <c r="EJ245" s="646"/>
      <c r="EK245" s="271"/>
      <c r="EL245" s="644"/>
      <c r="EM245" s="634"/>
      <c r="EN245" s="647"/>
      <c r="EO245" s="648"/>
      <c r="EP245" s="647"/>
      <c r="EQ245" s="647"/>
      <c r="ER245" s="647"/>
      <c r="ES245" s="139"/>
      <c r="EV245" s="647"/>
      <c r="EW245" s="647"/>
      <c r="EX245" s="647"/>
      <c r="EY245" s="647"/>
      <c r="EZ245" s="647"/>
      <c r="FA245" s="646"/>
      <c r="FB245" s="646"/>
      <c r="FC245" s="646"/>
      <c r="FD245" s="646"/>
      <c r="FE245" s="646"/>
      <c r="FF245" s="646"/>
      <c r="FG245" s="647"/>
      <c r="FH245" s="647"/>
      <c r="FI245" s="647"/>
      <c r="FJ245" s="647"/>
      <c r="FK245" s="647"/>
      <c r="FL245" s="647"/>
      <c r="FM245" s="647"/>
      <c r="FN245" s="647"/>
      <c r="FO245" s="647"/>
      <c r="FP245" s="647"/>
      <c r="FQ245" s="647"/>
      <c r="FR245" s="647"/>
      <c r="FS245" s="101"/>
      <c r="FT245" s="95"/>
      <c r="FU245" s="651"/>
      <c r="FV245" s="101"/>
      <c r="FW245" s="101"/>
      <c r="FX245" s="634"/>
      <c r="FY245" s="634"/>
      <c r="FZ245" s="634"/>
      <c r="GA245" s="634"/>
      <c r="GB245" s="634"/>
      <c r="GC245" s="634"/>
      <c r="GD245" s="634"/>
      <c r="GE245" s="634"/>
      <c r="GF245" s="634"/>
      <c r="GG245" s="634"/>
      <c r="GH245" s="634"/>
      <c r="GI245" s="634"/>
      <c r="GJ245" s="634"/>
      <c r="GK245" s="634"/>
      <c r="GL245" s="101"/>
      <c r="GM245" s="101"/>
      <c r="GN245" s="101"/>
      <c r="GO245" s="643"/>
      <c r="GP245" s="644"/>
      <c r="GQ245" s="643"/>
      <c r="GR245" s="644"/>
      <c r="GS245" s="643"/>
      <c r="GT245" s="644"/>
      <c r="GU245" s="644"/>
      <c r="GV245" s="644"/>
      <c r="GW245" s="644"/>
      <c r="GX245" s="644"/>
      <c r="GY245" s="644"/>
      <c r="GZ245" s="644"/>
      <c r="HA245" s="644"/>
    </row>
    <row r="246" spans="1:209">
      <c r="A246" s="638"/>
      <c r="B246" s="95"/>
      <c r="C246" s="95"/>
      <c r="D246" s="95"/>
      <c r="E246" s="650"/>
      <c r="F246" s="95"/>
      <c r="G246" s="98"/>
      <c r="H246" s="99"/>
      <c r="I246" s="95"/>
      <c r="J246" s="95"/>
      <c r="K246" s="95"/>
      <c r="L246" s="95"/>
      <c r="M246" s="95"/>
      <c r="N246" s="95"/>
      <c r="O246" s="95"/>
      <c r="P246" s="95"/>
      <c r="Q246" s="95"/>
      <c r="R246" s="98"/>
      <c r="S246" s="101"/>
      <c r="T246" s="644"/>
      <c r="U246" s="101"/>
      <c r="V246" s="647"/>
      <c r="W246" s="643"/>
      <c r="X246" s="644"/>
      <c r="Y246" s="101"/>
      <c r="Z246" s="644"/>
      <c r="AA246" s="101"/>
      <c r="AB246" s="644"/>
      <c r="AC246" s="101"/>
      <c r="AD246" s="646"/>
      <c r="AE246" s="271"/>
      <c r="AF246" s="646"/>
      <c r="AG246" s="646"/>
      <c r="AH246" s="646"/>
      <c r="AI246" s="646"/>
      <c r="AJ246" s="646"/>
      <c r="AK246" s="646"/>
      <c r="AL246" s="646"/>
      <c r="AM246" s="271"/>
      <c r="AN246" s="646"/>
      <c r="AO246" s="646"/>
      <c r="AP246" s="646"/>
      <c r="AQ246" s="271"/>
      <c r="AR246" s="646"/>
      <c r="AS246" s="270"/>
      <c r="AT246" s="646"/>
      <c r="AU246" s="646"/>
      <c r="AV246" s="646"/>
      <c r="AW246" s="270"/>
      <c r="AX246" s="646"/>
      <c r="AY246" s="270"/>
      <c r="AZ246" s="646"/>
      <c r="BA246" s="646"/>
      <c r="BB246" s="644"/>
      <c r="BC246" s="644"/>
      <c r="BD246" s="644"/>
      <c r="BE246" s="644"/>
      <c r="BF246" s="644"/>
      <c r="BG246" s="644"/>
      <c r="BH246" s="644"/>
      <c r="BI246" s="644"/>
      <c r="BJ246" s="644"/>
      <c r="BK246" s="644"/>
      <c r="BL246" s="644"/>
      <c r="BM246" s="95"/>
      <c r="BN246" s="644"/>
      <c r="BO246" s="95"/>
      <c r="BP246" s="644"/>
      <c r="BQ246" s="644"/>
      <c r="BR246" s="644"/>
      <c r="BS246" s="644"/>
      <c r="BT246" s="644"/>
      <c r="BU246" s="644"/>
      <c r="BV246" s="644"/>
      <c r="BW246" s="644"/>
      <c r="BX246" s="644"/>
      <c r="BY246" s="644"/>
      <c r="BZ246" s="644"/>
      <c r="CA246" s="644"/>
      <c r="CB246" s="644"/>
      <c r="CC246" s="644"/>
      <c r="CD246" s="644"/>
      <c r="CE246" s="644"/>
      <c r="CF246" s="644"/>
      <c r="CG246" s="644"/>
      <c r="CH246" s="644"/>
      <c r="CI246" s="644"/>
      <c r="CJ246" s="644"/>
      <c r="CK246" s="644"/>
      <c r="CL246" s="644"/>
      <c r="CM246" s="95"/>
      <c r="CN246" s="644"/>
      <c r="CO246" s="644"/>
      <c r="CP246" s="95"/>
      <c r="CQ246" s="98"/>
      <c r="CR246" s="95"/>
      <c r="CS246" s="95"/>
      <c r="CT246" s="95"/>
      <c r="CU246" s="108"/>
      <c r="CV246" s="109"/>
      <c r="CW246" s="644"/>
      <c r="CX246" s="496"/>
      <c r="CY246" s="637"/>
      <c r="CZ246" s="644"/>
      <c r="DA246" s="644"/>
      <c r="DB246" s="644"/>
      <c r="DC246" s="496"/>
      <c r="DD246" s="644"/>
      <c r="DE246" s="101"/>
      <c r="DF246" s="644"/>
      <c r="DG246" s="101"/>
      <c r="DH246" s="644"/>
      <c r="DI246" s="644"/>
      <c r="DJ246" s="644"/>
      <c r="DK246" s="644"/>
      <c r="DL246" s="644"/>
      <c r="DM246" s="101"/>
      <c r="DN246" s="644"/>
      <c r="DO246" s="644"/>
      <c r="DP246" s="644"/>
      <c r="DQ246" s="644"/>
      <c r="DR246" s="644"/>
      <c r="DS246" s="644"/>
      <c r="DT246" s="644"/>
      <c r="DU246" s="644"/>
      <c r="DV246" s="644"/>
      <c r="DW246" s="101"/>
      <c r="DX246" s="646"/>
      <c r="DY246" s="646"/>
      <c r="DZ246" s="646"/>
      <c r="EA246" s="646"/>
      <c r="EB246" s="646"/>
      <c r="EC246" s="646"/>
      <c r="ED246" s="646"/>
      <c r="EE246" s="646"/>
      <c r="EF246" s="646"/>
      <c r="EG246" s="646"/>
      <c r="EH246" s="646"/>
      <c r="EI246" s="646"/>
      <c r="EJ246" s="646"/>
      <c r="EK246" s="271"/>
      <c r="EL246" s="644"/>
      <c r="EM246" s="634"/>
      <c r="EN246" s="647"/>
      <c r="EO246" s="648"/>
      <c r="EP246" s="647"/>
      <c r="EQ246" s="647"/>
      <c r="ER246" s="647"/>
      <c r="ES246" s="139"/>
      <c r="EV246" s="647"/>
      <c r="EW246" s="647"/>
      <c r="EX246" s="647"/>
      <c r="EY246" s="647"/>
      <c r="EZ246" s="647"/>
      <c r="FA246" s="646"/>
      <c r="FB246" s="646"/>
      <c r="FC246" s="646"/>
      <c r="FD246" s="646"/>
      <c r="FE246" s="646"/>
      <c r="FF246" s="646"/>
      <c r="FG246" s="647"/>
      <c r="FH246" s="647"/>
      <c r="FI246" s="647"/>
      <c r="FJ246" s="647"/>
      <c r="FK246" s="647"/>
      <c r="FL246" s="647"/>
      <c r="FM246" s="647"/>
      <c r="FN246" s="647"/>
      <c r="FO246" s="647"/>
      <c r="FP246" s="647"/>
      <c r="FQ246" s="647"/>
      <c r="FR246" s="647"/>
      <c r="FS246" s="101"/>
      <c r="FT246" s="95"/>
      <c r="FU246" s="651"/>
      <c r="FV246" s="101"/>
      <c r="FW246" s="101"/>
      <c r="FX246" s="634"/>
      <c r="FY246" s="634"/>
      <c r="FZ246" s="634"/>
      <c r="GA246" s="634"/>
      <c r="GB246" s="634"/>
      <c r="GC246" s="634"/>
      <c r="GD246" s="634"/>
      <c r="GE246" s="634"/>
      <c r="GF246" s="634"/>
      <c r="GG246" s="634"/>
      <c r="GH246" s="634"/>
      <c r="GI246" s="634"/>
      <c r="GJ246" s="634"/>
      <c r="GK246" s="634"/>
      <c r="GL246" s="101"/>
      <c r="GM246" s="101"/>
      <c r="GN246" s="101"/>
      <c r="GO246" s="643"/>
      <c r="GP246" s="644"/>
      <c r="GQ246" s="643"/>
      <c r="GR246" s="644"/>
      <c r="GS246" s="643"/>
      <c r="GT246" s="644"/>
      <c r="GU246" s="644"/>
      <c r="GV246" s="644"/>
      <c r="GW246" s="644"/>
      <c r="GX246" s="644"/>
      <c r="GY246" s="644"/>
      <c r="GZ246" s="644"/>
      <c r="HA246" s="644"/>
    </row>
    <row r="247" spans="1:209">
      <c r="A247" s="638"/>
      <c r="B247" s="95"/>
      <c r="C247" s="95"/>
      <c r="D247" s="95"/>
      <c r="E247" s="650"/>
      <c r="F247" s="95"/>
      <c r="G247" s="98"/>
      <c r="H247" s="99"/>
      <c r="I247" s="95"/>
      <c r="J247" s="95"/>
      <c r="K247" s="95"/>
      <c r="L247" s="95"/>
      <c r="M247" s="95"/>
      <c r="N247" s="95"/>
      <c r="O247" s="95"/>
      <c r="P247" s="95"/>
      <c r="Q247" s="95"/>
      <c r="R247" s="98"/>
      <c r="S247" s="101"/>
      <c r="T247" s="644"/>
      <c r="U247" s="101"/>
      <c r="V247" s="647"/>
      <c r="W247" s="643"/>
      <c r="X247" s="644"/>
      <c r="Y247" s="101"/>
      <c r="Z247" s="644"/>
      <c r="AA247" s="101"/>
      <c r="AB247" s="644"/>
      <c r="AC247" s="101"/>
      <c r="AD247" s="646"/>
      <c r="AE247" s="271"/>
      <c r="AF247" s="646"/>
      <c r="AG247" s="646"/>
      <c r="AH247" s="646"/>
      <c r="AI247" s="646"/>
      <c r="AJ247" s="646"/>
      <c r="AK247" s="646"/>
      <c r="AL247" s="646"/>
      <c r="AM247" s="271"/>
      <c r="AN247" s="646"/>
      <c r="AO247" s="646"/>
      <c r="AP247" s="646"/>
      <c r="AQ247" s="271"/>
      <c r="AR247" s="646"/>
      <c r="AS247" s="270"/>
      <c r="AT247" s="646"/>
      <c r="AU247" s="646"/>
      <c r="AV247" s="646"/>
      <c r="AW247" s="270"/>
      <c r="AX247" s="646"/>
      <c r="AY247" s="270"/>
      <c r="AZ247" s="646"/>
      <c r="BA247" s="646"/>
      <c r="BB247" s="644"/>
      <c r="BC247" s="644"/>
      <c r="BD247" s="644"/>
      <c r="BE247" s="644"/>
      <c r="BF247" s="644"/>
      <c r="BG247" s="644"/>
      <c r="BH247" s="644"/>
      <c r="BI247" s="644"/>
      <c r="BJ247" s="644"/>
      <c r="BK247" s="644"/>
      <c r="BL247" s="644"/>
      <c r="BM247" s="95"/>
      <c r="BN247" s="644"/>
      <c r="BO247" s="95"/>
      <c r="BP247" s="644"/>
      <c r="BQ247" s="644"/>
      <c r="BR247" s="644"/>
      <c r="BS247" s="644"/>
      <c r="BT247" s="644"/>
      <c r="BU247" s="644"/>
      <c r="BV247" s="644"/>
      <c r="BW247" s="644"/>
      <c r="BX247" s="644"/>
      <c r="BY247" s="644"/>
      <c r="BZ247" s="644"/>
      <c r="CA247" s="644"/>
      <c r="CB247" s="644"/>
      <c r="CC247" s="644"/>
      <c r="CD247" s="644"/>
      <c r="CE247" s="644"/>
      <c r="CF247" s="644"/>
      <c r="CG247" s="644"/>
      <c r="CH247" s="644"/>
      <c r="CI247" s="644"/>
      <c r="CJ247" s="644"/>
      <c r="CK247" s="644"/>
      <c r="CL247" s="644"/>
      <c r="CM247" s="95"/>
      <c r="CN247" s="644"/>
      <c r="CO247" s="644"/>
      <c r="CP247" s="95"/>
      <c r="CQ247" s="98"/>
      <c r="CR247" s="95"/>
      <c r="CS247" s="95"/>
      <c r="CT247" s="95"/>
      <c r="CU247" s="108"/>
      <c r="CV247" s="109"/>
      <c r="CW247" s="644"/>
      <c r="CX247" s="496"/>
      <c r="CY247" s="637"/>
      <c r="CZ247" s="644"/>
      <c r="DA247" s="644"/>
      <c r="DB247" s="644"/>
      <c r="DC247" s="496"/>
      <c r="DD247" s="644"/>
      <c r="DE247" s="101"/>
      <c r="DF247" s="644"/>
      <c r="DG247" s="101"/>
      <c r="DH247" s="644"/>
      <c r="DI247" s="644"/>
      <c r="DJ247" s="644"/>
      <c r="DK247" s="644"/>
      <c r="DL247" s="644"/>
      <c r="DM247" s="101"/>
      <c r="DN247" s="644"/>
      <c r="DO247" s="644"/>
      <c r="DP247" s="644"/>
      <c r="DQ247" s="644"/>
      <c r="DR247" s="644"/>
      <c r="DS247" s="644"/>
      <c r="DT247" s="644"/>
      <c r="DU247" s="644"/>
      <c r="DV247" s="644"/>
      <c r="DW247" s="101"/>
      <c r="DX247" s="646"/>
      <c r="DY247" s="646"/>
      <c r="DZ247" s="646"/>
      <c r="EA247" s="646"/>
      <c r="EB247" s="646"/>
      <c r="EC247" s="646"/>
      <c r="ED247" s="646"/>
      <c r="EE247" s="646"/>
      <c r="EF247" s="646"/>
      <c r="EG247" s="646"/>
      <c r="EH247" s="646"/>
      <c r="EI247" s="646"/>
      <c r="EJ247" s="646"/>
      <c r="EK247" s="271"/>
      <c r="EL247" s="644"/>
      <c r="EM247" s="634"/>
      <c r="EN247" s="647"/>
      <c r="EO247" s="648"/>
      <c r="EP247" s="647"/>
      <c r="EQ247" s="647"/>
      <c r="ER247" s="647"/>
      <c r="ES247" s="139"/>
      <c r="EV247" s="647"/>
      <c r="EW247" s="647"/>
      <c r="EX247" s="647"/>
      <c r="EY247" s="647"/>
      <c r="EZ247" s="647"/>
      <c r="FA247" s="646"/>
      <c r="FB247" s="646"/>
      <c r="FC247" s="646"/>
      <c r="FD247" s="646"/>
      <c r="FE247" s="646"/>
      <c r="FF247" s="646"/>
      <c r="FG247" s="647"/>
      <c r="FH247" s="647"/>
      <c r="FI247" s="647"/>
      <c r="FJ247" s="647"/>
      <c r="FK247" s="647"/>
      <c r="FL247" s="647"/>
      <c r="FM247" s="647"/>
      <c r="FN247" s="647"/>
      <c r="FO247" s="647"/>
      <c r="FP247" s="647"/>
      <c r="FQ247" s="647"/>
      <c r="FR247" s="647"/>
      <c r="FS247" s="101"/>
      <c r="FT247" s="95"/>
      <c r="FU247" s="651"/>
      <c r="FV247" s="101"/>
      <c r="FW247" s="101"/>
      <c r="FX247" s="634"/>
      <c r="FY247" s="634"/>
      <c r="FZ247" s="634"/>
      <c r="GA247" s="634"/>
      <c r="GB247" s="634"/>
      <c r="GC247" s="634"/>
      <c r="GD247" s="634"/>
      <c r="GE247" s="634"/>
      <c r="GF247" s="634"/>
      <c r="GG247" s="634"/>
      <c r="GH247" s="634"/>
      <c r="GI247" s="634"/>
      <c r="GJ247" s="634"/>
      <c r="GK247" s="634"/>
      <c r="GL247" s="101"/>
      <c r="GM247" s="101"/>
      <c r="GN247" s="101"/>
      <c r="GO247" s="643"/>
      <c r="GP247" s="644"/>
      <c r="GQ247" s="643"/>
      <c r="GR247" s="644"/>
      <c r="GS247" s="643"/>
      <c r="GT247" s="644"/>
      <c r="GU247" s="644"/>
      <c r="GV247" s="644"/>
      <c r="GW247" s="644"/>
      <c r="GX247" s="644"/>
      <c r="GY247" s="644"/>
      <c r="GZ247" s="644"/>
      <c r="HA247" s="644"/>
    </row>
    <row r="248" spans="1:209">
      <c r="A248" s="638"/>
      <c r="B248" s="95"/>
      <c r="C248" s="95"/>
      <c r="D248" s="95"/>
      <c r="E248" s="650"/>
      <c r="F248" s="95"/>
      <c r="G248" s="98"/>
      <c r="H248" s="99"/>
      <c r="I248" s="95"/>
      <c r="J248" s="95"/>
      <c r="K248" s="95"/>
      <c r="L248" s="95"/>
      <c r="M248" s="95"/>
      <c r="N248" s="95"/>
      <c r="O248" s="95"/>
      <c r="P248" s="95"/>
      <c r="Q248" s="95"/>
      <c r="R248" s="98"/>
      <c r="S248" s="101"/>
      <c r="T248" s="644"/>
      <c r="U248" s="101"/>
      <c r="V248" s="647"/>
      <c r="W248" s="643"/>
      <c r="X248" s="644"/>
      <c r="Y248" s="101"/>
      <c r="Z248" s="644"/>
      <c r="AA248" s="101"/>
      <c r="AB248" s="644"/>
      <c r="AC248" s="101"/>
      <c r="AD248" s="646"/>
      <c r="AE248" s="271"/>
      <c r="AF248" s="646"/>
      <c r="AG248" s="646"/>
      <c r="AH248" s="646"/>
      <c r="AI248" s="646"/>
      <c r="AJ248" s="646"/>
      <c r="AK248" s="646"/>
      <c r="AL248" s="646"/>
      <c r="AM248" s="271"/>
      <c r="AN248" s="646"/>
      <c r="AO248" s="646"/>
      <c r="AP248" s="646"/>
      <c r="AQ248" s="271"/>
      <c r="AR248" s="646"/>
      <c r="AS248" s="270"/>
      <c r="AT248" s="646"/>
      <c r="AU248" s="646"/>
      <c r="AV248" s="646"/>
      <c r="AW248" s="270"/>
      <c r="AX248" s="646"/>
      <c r="AY248" s="270"/>
      <c r="AZ248" s="646"/>
      <c r="BA248" s="646"/>
      <c r="BB248" s="644"/>
      <c r="BC248" s="644"/>
      <c r="BD248" s="644"/>
      <c r="BE248" s="644"/>
      <c r="BF248" s="644"/>
      <c r="BG248" s="644"/>
      <c r="BH248" s="644"/>
      <c r="BI248" s="644"/>
      <c r="BJ248" s="644"/>
      <c r="BK248" s="644"/>
      <c r="BL248" s="644"/>
      <c r="BM248" s="95"/>
      <c r="BN248" s="644"/>
      <c r="BO248" s="95"/>
      <c r="BP248" s="644"/>
      <c r="BQ248" s="644"/>
      <c r="BR248" s="644"/>
      <c r="BS248" s="644"/>
      <c r="BT248" s="644"/>
      <c r="BU248" s="644"/>
      <c r="BV248" s="644"/>
      <c r="BW248" s="644"/>
      <c r="BX248" s="644"/>
      <c r="BY248" s="644"/>
      <c r="BZ248" s="644"/>
      <c r="CA248" s="644"/>
      <c r="CB248" s="644"/>
      <c r="CC248" s="644"/>
      <c r="CD248" s="644"/>
      <c r="CE248" s="644"/>
      <c r="CF248" s="644"/>
      <c r="CG248" s="644"/>
      <c r="CH248" s="644"/>
      <c r="CI248" s="644"/>
      <c r="CJ248" s="644"/>
      <c r="CK248" s="644"/>
      <c r="CL248" s="644"/>
      <c r="CM248" s="95"/>
      <c r="CN248" s="644"/>
      <c r="CO248" s="644"/>
      <c r="CP248" s="95"/>
      <c r="CQ248" s="98"/>
      <c r="CR248" s="95"/>
      <c r="CS248" s="95"/>
      <c r="CT248" s="95"/>
      <c r="CU248" s="108"/>
      <c r="CV248" s="109"/>
      <c r="CW248" s="644"/>
      <c r="CX248" s="496"/>
      <c r="CY248" s="637"/>
      <c r="CZ248" s="644"/>
      <c r="DA248" s="644"/>
      <c r="DB248" s="644"/>
      <c r="DC248" s="496"/>
      <c r="DD248" s="644"/>
      <c r="DE248" s="101"/>
      <c r="DF248" s="644"/>
      <c r="DG248" s="101"/>
      <c r="DH248" s="644"/>
      <c r="DI248" s="644"/>
      <c r="DJ248" s="644"/>
      <c r="DK248" s="644"/>
      <c r="DL248" s="644"/>
      <c r="DM248" s="101"/>
      <c r="DN248" s="644"/>
      <c r="DO248" s="644"/>
      <c r="DP248" s="644"/>
      <c r="DQ248" s="644"/>
      <c r="DR248" s="644"/>
      <c r="DS248" s="644"/>
      <c r="DT248" s="644"/>
      <c r="DU248" s="644"/>
      <c r="DV248" s="644"/>
      <c r="DW248" s="101"/>
      <c r="DX248" s="646"/>
      <c r="DY248" s="646"/>
      <c r="DZ248" s="646"/>
      <c r="EA248" s="646"/>
      <c r="EB248" s="646"/>
      <c r="EC248" s="646"/>
      <c r="ED248" s="646"/>
      <c r="EE248" s="646"/>
      <c r="EF248" s="646"/>
      <c r="EG248" s="646"/>
      <c r="EH248" s="646"/>
      <c r="EI248" s="646"/>
      <c r="EJ248" s="646"/>
      <c r="EK248" s="271"/>
      <c r="EL248" s="644"/>
      <c r="EM248" s="634"/>
      <c r="EN248" s="647"/>
      <c r="EO248" s="648"/>
      <c r="EP248" s="647"/>
      <c r="EQ248" s="647"/>
      <c r="ER248" s="647"/>
      <c r="ES248" s="139"/>
      <c r="EV248" s="647"/>
      <c r="EW248" s="647"/>
      <c r="EX248" s="647"/>
      <c r="EY248" s="647"/>
      <c r="EZ248" s="647"/>
      <c r="FA248" s="646"/>
      <c r="FB248" s="646"/>
      <c r="FC248" s="646"/>
      <c r="FD248" s="646"/>
      <c r="FE248" s="646"/>
      <c r="FF248" s="646"/>
      <c r="FG248" s="647"/>
      <c r="FH248" s="647"/>
      <c r="FI248" s="647"/>
      <c r="FJ248" s="647"/>
      <c r="FK248" s="647"/>
      <c r="FL248" s="647"/>
      <c r="FM248" s="647"/>
      <c r="FN248" s="647"/>
      <c r="FO248" s="647"/>
      <c r="FP248" s="647"/>
      <c r="FQ248" s="647"/>
      <c r="FR248" s="647"/>
      <c r="FS248" s="101"/>
      <c r="FT248" s="95"/>
      <c r="FU248" s="651"/>
      <c r="FV248" s="101"/>
      <c r="FW248" s="101"/>
      <c r="FX248" s="634"/>
      <c r="FY248" s="634"/>
      <c r="FZ248" s="634"/>
      <c r="GA248" s="634"/>
      <c r="GB248" s="634"/>
      <c r="GC248" s="634"/>
      <c r="GD248" s="634"/>
      <c r="GE248" s="634"/>
      <c r="GF248" s="634"/>
      <c r="GG248" s="634"/>
      <c r="GH248" s="634"/>
      <c r="GI248" s="634"/>
      <c r="GJ248" s="634"/>
      <c r="GK248" s="634"/>
      <c r="GL248" s="101"/>
      <c r="GM248" s="101"/>
      <c r="GN248" s="101"/>
      <c r="GO248" s="643"/>
      <c r="GP248" s="644"/>
      <c r="GQ248" s="643"/>
      <c r="GR248" s="644"/>
      <c r="GS248" s="643"/>
      <c r="GT248" s="644"/>
      <c r="GU248" s="644"/>
      <c r="GV248" s="644"/>
      <c r="GW248" s="644"/>
      <c r="GX248" s="644"/>
      <c r="GY248" s="644"/>
      <c r="GZ248" s="644"/>
      <c r="HA248" s="644"/>
    </row>
    <row r="249" spans="1:209">
      <c r="A249" s="638"/>
      <c r="B249" s="95"/>
      <c r="C249" s="95"/>
      <c r="D249" s="95"/>
      <c r="E249" s="650"/>
      <c r="F249" s="95"/>
      <c r="G249" s="98"/>
      <c r="H249" s="99"/>
      <c r="I249" s="95"/>
      <c r="J249" s="95"/>
      <c r="K249" s="95"/>
      <c r="L249" s="95"/>
      <c r="M249" s="95"/>
      <c r="N249" s="95"/>
      <c r="O249" s="95"/>
      <c r="P249" s="95"/>
      <c r="Q249" s="95"/>
      <c r="R249" s="98"/>
      <c r="S249" s="101"/>
      <c r="T249" s="644"/>
      <c r="U249" s="101"/>
      <c r="V249" s="647"/>
      <c r="W249" s="643"/>
      <c r="X249" s="644"/>
      <c r="Y249" s="101"/>
      <c r="Z249" s="644"/>
      <c r="AA249" s="101"/>
      <c r="AB249" s="644"/>
      <c r="AC249" s="101"/>
      <c r="AD249" s="646"/>
      <c r="AE249" s="271"/>
      <c r="AF249" s="646"/>
      <c r="AG249" s="646"/>
      <c r="AH249" s="646"/>
      <c r="AI249" s="646"/>
      <c r="AJ249" s="646"/>
      <c r="AK249" s="646"/>
      <c r="AL249" s="646"/>
      <c r="AM249" s="271"/>
      <c r="AN249" s="646"/>
      <c r="AO249" s="646"/>
      <c r="AP249" s="646"/>
      <c r="AQ249" s="271"/>
      <c r="AR249" s="646"/>
      <c r="AS249" s="270"/>
      <c r="AT249" s="646"/>
      <c r="AU249" s="646"/>
      <c r="AV249" s="646"/>
      <c r="AW249" s="270"/>
      <c r="AX249" s="646"/>
      <c r="AY249" s="270"/>
      <c r="AZ249" s="646"/>
      <c r="BA249" s="646"/>
      <c r="BB249" s="644"/>
      <c r="BC249" s="644"/>
      <c r="BD249" s="644"/>
      <c r="BE249" s="644"/>
      <c r="BF249" s="644"/>
      <c r="BG249" s="644"/>
      <c r="BH249" s="644"/>
      <c r="BI249" s="644"/>
      <c r="BJ249" s="644"/>
      <c r="BK249" s="644"/>
      <c r="BL249" s="644"/>
      <c r="BM249" s="95"/>
      <c r="BN249" s="644"/>
      <c r="BO249" s="95"/>
      <c r="BP249" s="644"/>
      <c r="BQ249" s="644"/>
      <c r="BR249" s="644"/>
      <c r="BS249" s="644"/>
      <c r="BT249" s="644"/>
      <c r="BU249" s="644"/>
      <c r="BV249" s="644"/>
      <c r="BW249" s="644"/>
      <c r="BX249" s="644"/>
      <c r="BY249" s="644"/>
      <c r="BZ249" s="644"/>
      <c r="CA249" s="644"/>
      <c r="CB249" s="644"/>
      <c r="CC249" s="644"/>
      <c r="CD249" s="644"/>
      <c r="CE249" s="644"/>
      <c r="CF249" s="644"/>
      <c r="CG249" s="644"/>
      <c r="CH249" s="644"/>
      <c r="CI249" s="644"/>
      <c r="CJ249" s="644"/>
      <c r="CK249" s="644"/>
      <c r="CL249" s="644"/>
      <c r="CM249" s="95"/>
      <c r="CN249" s="644"/>
      <c r="CO249" s="644"/>
      <c r="CP249" s="95"/>
      <c r="CQ249" s="98"/>
      <c r="CR249" s="95"/>
      <c r="CS249" s="95"/>
      <c r="CT249" s="95"/>
      <c r="CU249" s="108"/>
      <c r="CV249" s="109"/>
      <c r="CW249" s="644"/>
      <c r="CX249" s="496"/>
      <c r="CY249" s="637"/>
      <c r="CZ249" s="644"/>
      <c r="DA249" s="644"/>
      <c r="DB249" s="644"/>
      <c r="DC249" s="496"/>
      <c r="DD249" s="644"/>
      <c r="DE249" s="101"/>
      <c r="DF249" s="644"/>
      <c r="DG249" s="101"/>
      <c r="DH249" s="644"/>
      <c r="DI249" s="644"/>
      <c r="DJ249" s="644"/>
      <c r="DK249" s="644"/>
      <c r="DL249" s="644"/>
      <c r="DM249" s="101"/>
      <c r="DN249" s="644"/>
      <c r="DO249" s="644"/>
      <c r="DP249" s="644"/>
      <c r="DQ249" s="644"/>
      <c r="DR249" s="644"/>
      <c r="DS249" s="644"/>
      <c r="DT249" s="644"/>
      <c r="DU249" s="644"/>
      <c r="DV249" s="644"/>
      <c r="DW249" s="101"/>
      <c r="DX249" s="646"/>
      <c r="DY249" s="646"/>
      <c r="DZ249" s="646"/>
      <c r="EA249" s="646"/>
      <c r="EB249" s="646"/>
      <c r="EC249" s="646"/>
      <c r="ED249" s="646"/>
      <c r="EE249" s="646"/>
      <c r="EF249" s="646"/>
      <c r="EG249" s="646"/>
      <c r="EH249" s="646"/>
      <c r="EI249" s="646"/>
      <c r="EJ249" s="646"/>
      <c r="EK249" s="271"/>
      <c r="EL249" s="644"/>
      <c r="EM249" s="634"/>
      <c r="EN249" s="647"/>
      <c r="EO249" s="648"/>
      <c r="EP249" s="647"/>
      <c r="EQ249" s="647"/>
      <c r="ER249" s="647"/>
      <c r="ES249" s="139"/>
      <c r="EV249" s="647"/>
      <c r="EW249" s="647"/>
      <c r="EX249" s="647"/>
      <c r="EY249" s="647"/>
      <c r="EZ249" s="647"/>
      <c r="FA249" s="646"/>
      <c r="FB249" s="646"/>
      <c r="FC249" s="646"/>
      <c r="FD249" s="646"/>
      <c r="FE249" s="646"/>
      <c r="FF249" s="646"/>
      <c r="FG249" s="647"/>
      <c r="FH249" s="647"/>
      <c r="FI249" s="647"/>
      <c r="FJ249" s="647"/>
      <c r="FK249" s="647"/>
      <c r="FL249" s="647"/>
      <c r="FM249" s="647"/>
      <c r="FN249" s="647"/>
      <c r="FO249" s="647"/>
      <c r="FP249" s="647"/>
      <c r="FQ249" s="647"/>
      <c r="FR249" s="647"/>
      <c r="FS249" s="101"/>
      <c r="FT249" s="95"/>
      <c r="FU249" s="651"/>
      <c r="FV249" s="101"/>
      <c r="FW249" s="101"/>
      <c r="FX249" s="634"/>
      <c r="FY249" s="634"/>
      <c r="FZ249" s="634"/>
      <c r="GA249" s="634"/>
      <c r="GB249" s="634"/>
      <c r="GC249" s="634"/>
      <c r="GD249" s="634"/>
      <c r="GE249" s="634"/>
      <c r="GF249" s="634"/>
      <c r="GG249" s="634"/>
      <c r="GH249" s="634"/>
      <c r="GI249" s="634"/>
      <c r="GJ249" s="634"/>
      <c r="GK249" s="634"/>
      <c r="GL249" s="101"/>
      <c r="GM249" s="101"/>
      <c r="GN249" s="101"/>
      <c r="GO249" s="643"/>
      <c r="GP249" s="644"/>
      <c r="GQ249" s="643"/>
      <c r="GR249" s="644"/>
      <c r="GS249" s="643"/>
      <c r="GT249" s="644"/>
      <c r="GU249" s="644"/>
      <c r="GV249" s="644"/>
      <c r="GW249" s="644"/>
      <c r="GX249" s="644"/>
      <c r="GY249" s="644"/>
      <c r="GZ249" s="644"/>
      <c r="HA249" s="644"/>
    </row>
    <row r="250" spans="1:209">
      <c r="A250" s="638"/>
      <c r="B250" s="95"/>
      <c r="C250" s="95"/>
      <c r="D250" s="95"/>
      <c r="E250" s="650"/>
      <c r="F250" s="95"/>
      <c r="G250" s="98"/>
      <c r="H250" s="99"/>
      <c r="I250" s="95"/>
      <c r="J250" s="95"/>
      <c r="K250" s="95"/>
      <c r="L250" s="95"/>
      <c r="M250" s="95"/>
      <c r="N250" s="95"/>
      <c r="O250" s="95"/>
      <c r="P250" s="95"/>
      <c r="Q250" s="95"/>
      <c r="R250" s="98"/>
      <c r="S250" s="101"/>
      <c r="T250" s="644"/>
      <c r="U250" s="101"/>
      <c r="V250" s="647"/>
      <c r="W250" s="643"/>
      <c r="X250" s="644"/>
      <c r="Y250" s="101"/>
      <c r="Z250" s="644"/>
      <c r="AA250" s="101"/>
      <c r="AB250" s="644"/>
      <c r="AC250" s="101"/>
      <c r="AD250" s="646"/>
      <c r="AE250" s="271"/>
      <c r="AF250" s="646"/>
      <c r="AG250" s="646"/>
      <c r="AH250" s="646"/>
      <c r="AI250" s="646"/>
      <c r="AJ250" s="646"/>
      <c r="AK250" s="646"/>
      <c r="AL250" s="646"/>
      <c r="AM250" s="271"/>
      <c r="AN250" s="646"/>
      <c r="AO250" s="646"/>
      <c r="AP250" s="646"/>
      <c r="AQ250" s="271"/>
      <c r="AR250" s="646"/>
      <c r="AS250" s="270"/>
      <c r="AT250" s="646"/>
      <c r="AU250" s="646"/>
      <c r="AV250" s="646"/>
      <c r="AW250" s="270"/>
      <c r="AX250" s="646"/>
      <c r="AY250" s="270"/>
      <c r="AZ250" s="646"/>
      <c r="BA250" s="646"/>
      <c r="BB250" s="644"/>
      <c r="BC250" s="644"/>
      <c r="BD250" s="644"/>
      <c r="BE250" s="644"/>
      <c r="BF250" s="644"/>
      <c r="BG250" s="644"/>
      <c r="BH250" s="644"/>
      <c r="BI250" s="644"/>
      <c r="BJ250" s="644"/>
      <c r="BK250" s="644"/>
      <c r="BL250" s="644"/>
      <c r="BM250" s="95"/>
      <c r="BN250" s="644"/>
      <c r="BO250" s="95"/>
      <c r="BP250" s="644"/>
      <c r="BQ250" s="644"/>
      <c r="BR250" s="644"/>
      <c r="BS250" s="644"/>
      <c r="BT250" s="644"/>
      <c r="BU250" s="644"/>
      <c r="BV250" s="644"/>
      <c r="BW250" s="644"/>
      <c r="BX250" s="644"/>
      <c r="BY250" s="644"/>
      <c r="BZ250" s="644"/>
      <c r="CA250" s="644"/>
      <c r="CB250" s="644"/>
      <c r="CC250" s="644"/>
      <c r="CD250" s="644"/>
      <c r="CE250" s="644"/>
      <c r="CF250" s="644"/>
      <c r="CG250" s="644"/>
      <c r="CH250" s="644"/>
      <c r="CI250" s="644"/>
      <c r="CJ250" s="644"/>
      <c r="CK250" s="644"/>
      <c r="CL250" s="644"/>
      <c r="CM250" s="95"/>
      <c r="CN250" s="644"/>
      <c r="CO250" s="644"/>
      <c r="CP250" s="95"/>
      <c r="CQ250" s="98"/>
      <c r="CR250" s="95"/>
      <c r="CS250" s="95"/>
      <c r="CT250" s="95"/>
      <c r="CU250" s="108"/>
      <c r="CV250" s="109"/>
      <c r="CW250" s="644"/>
      <c r="CX250" s="496"/>
      <c r="CY250" s="637"/>
      <c r="CZ250" s="644"/>
      <c r="DA250" s="644"/>
      <c r="DB250" s="644"/>
      <c r="DC250" s="496"/>
      <c r="DD250" s="644"/>
      <c r="DE250" s="101"/>
      <c r="DF250" s="644"/>
      <c r="DG250" s="101"/>
      <c r="DH250" s="644"/>
      <c r="DI250" s="644"/>
      <c r="DJ250" s="644"/>
      <c r="DK250" s="644"/>
      <c r="DL250" s="644"/>
      <c r="DM250" s="101"/>
      <c r="DN250" s="644"/>
      <c r="DO250" s="644"/>
      <c r="DP250" s="644"/>
      <c r="DQ250" s="644"/>
      <c r="DR250" s="644"/>
      <c r="DS250" s="644"/>
      <c r="DT250" s="644"/>
      <c r="DU250" s="644"/>
      <c r="DV250" s="644"/>
      <c r="DW250" s="101"/>
      <c r="DX250" s="646"/>
      <c r="DY250" s="646"/>
      <c r="DZ250" s="646"/>
      <c r="EA250" s="646"/>
      <c r="EB250" s="646"/>
      <c r="EC250" s="646"/>
      <c r="ED250" s="646"/>
      <c r="EE250" s="646"/>
      <c r="EF250" s="646"/>
      <c r="EG250" s="646"/>
      <c r="EH250" s="646"/>
      <c r="EI250" s="646"/>
      <c r="EJ250" s="646"/>
      <c r="EK250" s="271"/>
      <c r="EL250" s="644"/>
      <c r="EM250" s="634"/>
      <c r="EN250" s="647"/>
      <c r="EO250" s="648"/>
      <c r="EP250" s="647"/>
      <c r="EQ250" s="647"/>
      <c r="ER250" s="647"/>
      <c r="ES250" s="139"/>
      <c r="EV250" s="647"/>
      <c r="EW250" s="647"/>
      <c r="EX250" s="647"/>
      <c r="EY250" s="647"/>
      <c r="EZ250" s="647"/>
      <c r="FA250" s="646"/>
      <c r="FB250" s="646"/>
      <c r="FC250" s="646"/>
      <c r="FD250" s="646"/>
      <c r="FE250" s="646"/>
      <c r="FF250" s="646"/>
      <c r="FG250" s="647"/>
      <c r="FH250" s="647"/>
      <c r="FI250" s="647"/>
      <c r="FJ250" s="647"/>
      <c r="FK250" s="647"/>
      <c r="FL250" s="647"/>
      <c r="FM250" s="647"/>
      <c r="FN250" s="647"/>
      <c r="FO250" s="647"/>
      <c r="FP250" s="647"/>
      <c r="FQ250" s="647"/>
      <c r="FR250" s="647"/>
      <c r="FS250" s="101"/>
      <c r="FT250" s="95"/>
      <c r="FU250" s="651"/>
      <c r="FV250" s="101"/>
      <c r="FW250" s="101"/>
      <c r="FX250" s="634"/>
      <c r="FY250" s="634"/>
      <c r="FZ250" s="634"/>
      <c r="GA250" s="634"/>
      <c r="GB250" s="634"/>
      <c r="GC250" s="634"/>
      <c r="GD250" s="634"/>
      <c r="GE250" s="634"/>
      <c r="GF250" s="634"/>
      <c r="GG250" s="634"/>
      <c r="GH250" s="634"/>
      <c r="GI250" s="634"/>
      <c r="GJ250" s="634"/>
      <c r="GK250" s="634"/>
      <c r="GL250" s="101"/>
      <c r="GM250" s="101"/>
      <c r="GN250" s="101"/>
      <c r="GO250" s="643"/>
      <c r="GP250" s="644"/>
      <c r="GQ250" s="643"/>
      <c r="GR250" s="644"/>
      <c r="GS250" s="643"/>
      <c r="GT250" s="644"/>
      <c r="GU250" s="644"/>
      <c r="GV250" s="644"/>
      <c r="GW250" s="644"/>
      <c r="GX250" s="644"/>
      <c r="GY250" s="644"/>
      <c r="GZ250" s="644"/>
      <c r="HA250" s="644"/>
    </row>
    <row r="251" spans="1:209">
      <c r="A251" s="638"/>
      <c r="B251" s="95"/>
      <c r="C251" s="95"/>
      <c r="D251" s="95"/>
      <c r="E251" s="650"/>
      <c r="F251" s="95"/>
      <c r="G251" s="98"/>
      <c r="H251" s="99"/>
      <c r="I251" s="95"/>
      <c r="J251" s="95"/>
      <c r="K251" s="95"/>
      <c r="L251" s="95"/>
      <c r="M251" s="95"/>
      <c r="N251" s="95"/>
      <c r="O251" s="95"/>
      <c r="P251" s="95"/>
      <c r="Q251" s="95"/>
      <c r="R251" s="98"/>
      <c r="S251" s="101"/>
      <c r="T251" s="644"/>
      <c r="U251" s="101"/>
      <c r="V251" s="647"/>
      <c r="W251" s="643"/>
      <c r="X251" s="644"/>
      <c r="Y251" s="101"/>
      <c r="Z251" s="644"/>
      <c r="AA251" s="101"/>
      <c r="AB251" s="644"/>
      <c r="AC251" s="101"/>
      <c r="AD251" s="646"/>
      <c r="AE251" s="271"/>
      <c r="AF251" s="646"/>
      <c r="AG251" s="646"/>
      <c r="AH251" s="646"/>
      <c r="AI251" s="646"/>
      <c r="AJ251" s="646"/>
      <c r="AK251" s="646"/>
      <c r="AL251" s="646"/>
      <c r="AM251" s="271"/>
      <c r="AN251" s="646"/>
      <c r="AO251" s="646"/>
      <c r="AP251" s="646"/>
      <c r="AQ251" s="271"/>
      <c r="AR251" s="646"/>
      <c r="AS251" s="270"/>
      <c r="AT251" s="646"/>
      <c r="AU251" s="646"/>
      <c r="AV251" s="646"/>
      <c r="AW251" s="270"/>
      <c r="AX251" s="646"/>
      <c r="AY251" s="270"/>
      <c r="AZ251" s="646"/>
      <c r="BA251" s="646"/>
      <c r="BB251" s="644"/>
      <c r="BC251" s="644"/>
      <c r="BD251" s="644"/>
      <c r="BE251" s="644"/>
      <c r="BF251" s="644"/>
      <c r="BG251" s="644"/>
      <c r="BH251" s="644"/>
      <c r="BI251" s="644"/>
      <c r="BJ251" s="644"/>
      <c r="BK251" s="644"/>
      <c r="BL251" s="644"/>
      <c r="BM251" s="95"/>
      <c r="BN251" s="644"/>
      <c r="BO251" s="95"/>
      <c r="BP251" s="644"/>
      <c r="BQ251" s="644"/>
      <c r="BR251" s="644"/>
      <c r="BS251" s="644"/>
      <c r="BT251" s="644"/>
      <c r="BU251" s="644"/>
      <c r="BV251" s="644"/>
      <c r="BW251" s="644"/>
      <c r="BX251" s="644"/>
      <c r="BY251" s="644"/>
      <c r="BZ251" s="644"/>
      <c r="CA251" s="644"/>
      <c r="CB251" s="644"/>
      <c r="CC251" s="644"/>
      <c r="CD251" s="644"/>
      <c r="CE251" s="644"/>
      <c r="CF251" s="644"/>
      <c r="CG251" s="644"/>
      <c r="CH251" s="644"/>
      <c r="CI251" s="644"/>
      <c r="CJ251" s="644"/>
      <c r="CK251" s="644"/>
      <c r="CL251" s="644"/>
      <c r="CM251" s="95"/>
      <c r="CN251" s="644"/>
      <c r="CO251" s="644"/>
      <c r="CP251" s="95"/>
      <c r="CQ251" s="98"/>
      <c r="CR251" s="95"/>
      <c r="CS251" s="95"/>
      <c r="CT251" s="95"/>
      <c r="CU251" s="108"/>
      <c r="CV251" s="109"/>
      <c r="CW251" s="644"/>
      <c r="CX251" s="496"/>
      <c r="CY251" s="637"/>
      <c r="CZ251" s="644"/>
      <c r="DA251" s="644"/>
      <c r="DB251" s="644"/>
      <c r="DC251" s="496"/>
      <c r="DD251" s="644"/>
      <c r="DE251" s="101"/>
      <c r="DF251" s="644"/>
      <c r="DG251" s="101"/>
      <c r="DH251" s="644"/>
      <c r="DI251" s="644"/>
      <c r="DJ251" s="644"/>
      <c r="DK251" s="644"/>
      <c r="DL251" s="644"/>
      <c r="DM251" s="101"/>
      <c r="DN251" s="644"/>
      <c r="DO251" s="644"/>
      <c r="DP251" s="644"/>
      <c r="DQ251" s="644"/>
      <c r="DR251" s="644"/>
      <c r="DS251" s="644"/>
      <c r="DT251" s="644"/>
      <c r="DU251" s="644"/>
      <c r="DV251" s="644"/>
      <c r="DW251" s="101"/>
      <c r="DX251" s="646"/>
      <c r="DY251" s="646"/>
      <c r="DZ251" s="646"/>
      <c r="EA251" s="646"/>
      <c r="EB251" s="646"/>
      <c r="EC251" s="646"/>
      <c r="ED251" s="646"/>
      <c r="EE251" s="646"/>
      <c r="EF251" s="646"/>
      <c r="EG251" s="646"/>
      <c r="EH251" s="646"/>
      <c r="EI251" s="646"/>
      <c r="EJ251" s="646"/>
      <c r="EK251" s="271"/>
      <c r="EL251" s="644"/>
      <c r="EM251" s="634"/>
      <c r="EN251" s="647"/>
      <c r="EO251" s="648"/>
      <c r="EP251" s="647"/>
      <c r="EQ251" s="647"/>
      <c r="ER251" s="647"/>
      <c r="ES251" s="139"/>
      <c r="EV251" s="647"/>
      <c r="EW251" s="647"/>
      <c r="EX251" s="647"/>
      <c r="EY251" s="647"/>
      <c r="EZ251" s="647"/>
      <c r="FA251" s="646"/>
      <c r="FB251" s="646"/>
      <c r="FC251" s="646"/>
      <c r="FD251" s="646"/>
      <c r="FE251" s="646"/>
      <c r="FF251" s="646"/>
      <c r="FG251" s="647"/>
      <c r="FH251" s="647"/>
      <c r="FI251" s="647"/>
      <c r="FJ251" s="647"/>
      <c r="FK251" s="647"/>
      <c r="FL251" s="647"/>
      <c r="FM251" s="647"/>
      <c r="FN251" s="647"/>
      <c r="FO251" s="647"/>
      <c r="FP251" s="647"/>
      <c r="FQ251" s="647"/>
      <c r="FR251" s="647"/>
      <c r="FS251" s="101"/>
      <c r="FT251" s="95"/>
      <c r="FU251" s="651"/>
      <c r="FV251" s="101"/>
      <c r="FW251" s="101"/>
      <c r="FX251" s="634"/>
      <c r="FY251" s="634"/>
      <c r="FZ251" s="634"/>
      <c r="GA251" s="634"/>
      <c r="GB251" s="634"/>
      <c r="GC251" s="634"/>
      <c r="GD251" s="634"/>
      <c r="GE251" s="634"/>
      <c r="GF251" s="634"/>
      <c r="GG251" s="634"/>
      <c r="GH251" s="634"/>
      <c r="GI251" s="634"/>
      <c r="GJ251" s="634"/>
      <c r="GK251" s="634"/>
      <c r="GL251" s="101"/>
      <c r="GM251" s="101"/>
      <c r="GN251" s="101"/>
      <c r="GO251" s="643"/>
      <c r="GP251" s="644"/>
      <c r="GQ251" s="643"/>
      <c r="GR251" s="644"/>
      <c r="GS251" s="643"/>
      <c r="GT251" s="644"/>
      <c r="GU251" s="644"/>
      <c r="GV251" s="644"/>
      <c r="GW251" s="644"/>
      <c r="GX251" s="644"/>
      <c r="GY251" s="644"/>
      <c r="GZ251" s="644"/>
      <c r="HA251" s="644"/>
    </row>
    <row r="252" spans="1:209">
      <c r="A252" s="638"/>
      <c r="B252" s="95"/>
      <c r="C252" s="95"/>
      <c r="D252" s="95"/>
      <c r="E252" s="650"/>
      <c r="F252" s="95"/>
      <c r="G252" s="98"/>
      <c r="H252" s="99"/>
      <c r="I252" s="95"/>
      <c r="J252" s="95"/>
      <c r="K252" s="95"/>
      <c r="L252" s="95"/>
      <c r="M252" s="95"/>
      <c r="N252" s="95"/>
      <c r="O252" s="95"/>
      <c r="P252" s="95"/>
      <c r="Q252" s="95"/>
      <c r="R252" s="98"/>
      <c r="S252" s="101"/>
      <c r="T252" s="644"/>
      <c r="U252" s="101"/>
      <c r="V252" s="647"/>
      <c r="W252" s="643"/>
      <c r="X252" s="644"/>
      <c r="Y252" s="101"/>
      <c r="Z252" s="644"/>
      <c r="AA252" s="101"/>
      <c r="AB252" s="644"/>
      <c r="AC252" s="101"/>
      <c r="AD252" s="646"/>
      <c r="AE252" s="271"/>
      <c r="AF252" s="646"/>
      <c r="AG252" s="646"/>
      <c r="AH252" s="646"/>
      <c r="AI252" s="646"/>
      <c r="AJ252" s="646"/>
      <c r="AK252" s="646"/>
      <c r="AL252" s="646"/>
      <c r="AM252" s="271"/>
      <c r="AN252" s="646"/>
      <c r="AO252" s="646"/>
      <c r="AP252" s="646"/>
      <c r="AQ252" s="271"/>
      <c r="AR252" s="646"/>
      <c r="AS252" s="270"/>
      <c r="AT252" s="646"/>
      <c r="AU252" s="646"/>
      <c r="AV252" s="646"/>
      <c r="AW252" s="270"/>
      <c r="AX252" s="646"/>
      <c r="AY252" s="270"/>
      <c r="AZ252" s="646"/>
      <c r="BA252" s="646"/>
      <c r="BB252" s="644"/>
      <c r="BC252" s="644"/>
      <c r="BD252" s="644"/>
      <c r="BE252" s="644"/>
      <c r="BF252" s="644"/>
      <c r="BG252" s="644"/>
      <c r="BH252" s="644"/>
      <c r="BI252" s="644"/>
      <c r="BJ252" s="644"/>
      <c r="BK252" s="644"/>
      <c r="BL252" s="644"/>
      <c r="BM252" s="95"/>
      <c r="BN252" s="644"/>
      <c r="BO252" s="95"/>
      <c r="BP252" s="644"/>
      <c r="BQ252" s="644"/>
      <c r="BR252" s="644"/>
      <c r="BS252" s="644"/>
      <c r="BT252" s="644"/>
      <c r="BU252" s="644"/>
      <c r="BV252" s="644"/>
      <c r="BW252" s="644"/>
      <c r="BX252" s="644"/>
      <c r="BY252" s="644"/>
      <c r="BZ252" s="644"/>
      <c r="CA252" s="644"/>
      <c r="CB252" s="644"/>
      <c r="CC252" s="644"/>
      <c r="CD252" s="644"/>
      <c r="CE252" s="644"/>
      <c r="CF252" s="644"/>
      <c r="CG252" s="644"/>
      <c r="CH252" s="644"/>
      <c r="CI252" s="644"/>
      <c r="CJ252" s="644"/>
      <c r="CK252" s="644"/>
      <c r="CL252" s="644"/>
      <c r="CM252" s="95"/>
      <c r="CN252" s="644"/>
      <c r="CO252" s="644"/>
      <c r="CP252" s="95"/>
      <c r="CQ252" s="98"/>
      <c r="CR252" s="95"/>
      <c r="CS252" s="95"/>
      <c r="CT252" s="95"/>
      <c r="CU252" s="108"/>
      <c r="CV252" s="109"/>
      <c r="CW252" s="644"/>
      <c r="CX252" s="496"/>
      <c r="CY252" s="637"/>
      <c r="CZ252" s="644"/>
      <c r="DA252" s="644"/>
      <c r="DB252" s="644"/>
      <c r="DC252" s="496"/>
      <c r="DD252" s="644"/>
      <c r="DE252" s="101"/>
      <c r="DF252" s="644"/>
      <c r="DG252" s="101"/>
      <c r="DH252" s="644"/>
      <c r="DI252" s="644"/>
      <c r="DJ252" s="644"/>
      <c r="DK252" s="644"/>
      <c r="DL252" s="644"/>
      <c r="DM252" s="101"/>
      <c r="DN252" s="644"/>
      <c r="DO252" s="644"/>
      <c r="DP252" s="644"/>
      <c r="DQ252" s="644"/>
      <c r="DR252" s="644"/>
      <c r="DS252" s="644"/>
      <c r="DT252" s="644"/>
      <c r="DU252" s="644"/>
      <c r="DV252" s="644"/>
      <c r="DW252" s="101"/>
      <c r="DX252" s="646"/>
      <c r="DY252" s="646"/>
      <c r="DZ252" s="646"/>
      <c r="EA252" s="646"/>
      <c r="EB252" s="646"/>
      <c r="EC252" s="646"/>
      <c r="ED252" s="646"/>
      <c r="EE252" s="646"/>
      <c r="EF252" s="646"/>
      <c r="EG252" s="646"/>
      <c r="EH252" s="646"/>
      <c r="EI252" s="646"/>
      <c r="EJ252" s="646"/>
      <c r="EK252" s="271"/>
      <c r="EL252" s="644"/>
      <c r="EM252" s="634"/>
      <c r="EN252" s="647"/>
      <c r="EO252" s="648"/>
      <c r="EP252" s="647"/>
      <c r="EQ252" s="647"/>
      <c r="ER252" s="647"/>
      <c r="ES252" s="139"/>
      <c r="EV252" s="647"/>
      <c r="EW252" s="647"/>
      <c r="EX252" s="647"/>
      <c r="EY252" s="647"/>
      <c r="EZ252" s="647"/>
      <c r="FA252" s="646"/>
      <c r="FB252" s="646"/>
      <c r="FC252" s="646"/>
      <c r="FD252" s="646"/>
      <c r="FE252" s="646"/>
      <c r="FF252" s="646"/>
      <c r="FG252" s="647"/>
      <c r="FH252" s="647"/>
      <c r="FI252" s="647"/>
      <c r="FJ252" s="647"/>
      <c r="FK252" s="647"/>
      <c r="FL252" s="647"/>
      <c r="FM252" s="647"/>
      <c r="FN252" s="647"/>
      <c r="FO252" s="647"/>
      <c r="FP252" s="647"/>
      <c r="FQ252" s="647"/>
      <c r="FR252" s="647"/>
      <c r="FS252" s="101"/>
      <c r="FT252" s="95"/>
      <c r="FU252" s="651"/>
      <c r="FV252" s="101"/>
      <c r="FW252" s="101"/>
      <c r="FX252" s="634"/>
      <c r="FY252" s="634"/>
      <c r="FZ252" s="634"/>
      <c r="GA252" s="634"/>
      <c r="GB252" s="634"/>
      <c r="GC252" s="634"/>
      <c r="GD252" s="634"/>
      <c r="GE252" s="634"/>
      <c r="GF252" s="634"/>
      <c r="GG252" s="634"/>
      <c r="GH252" s="634"/>
      <c r="GI252" s="634"/>
      <c r="GJ252" s="634"/>
      <c r="GK252" s="634"/>
      <c r="GL252" s="101"/>
      <c r="GM252" s="101"/>
      <c r="GN252" s="101"/>
      <c r="GO252" s="643"/>
      <c r="GP252" s="644"/>
      <c r="GQ252" s="643"/>
      <c r="GR252" s="644"/>
      <c r="GS252" s="643"/>
      <c r="GT252" s="644"/>
      <c r="GU252" s="644"/>
      <c r="GV252" s="644"/>
      <c r="GW252" s="644"/>
      <c r="GX252" s="644"/>
      <c r="GY252" s="644"/>
      <c r="GZ252" s="644"/>
      <c r="HA252" s="644"/>
    </row>
    <row r="253" spans="1:209">
      <c r="A253" s="638"/>
      <c r="B253" s="95"/>
      <c r="C253" s="95"/>
      <c r="D253" s="95"/>
      <c r="E253" s="650"/>
      <c r="F253" s="95"/>
      <c r="G253" s="98"/>
      <c r="H253" s="99"/>
      <c r="I253" s="95"/>
      <c r="J253" s="95"/>
      <c r="K253" s="95"/>
      <c r="L253" s="95"/>
      <c r="M253" s="95"/>
      <c r="N253" s="95"/>
      <c r="O253" s="95"/>
      <c r="P253" s="95"/>
      <c r="Q253" s="95"/>
      <c r="R253" s="98"/>
      <c r="S253" s="101"/>
      <c r="T253" s="644"/>
      <c r="U253" s="101"/>
      <c r="V253" s="647"/>
      <c r="W253" s="643"/>
      <c r="X253" s="644"/>
      <c r="Y253" s="101"/>
      <c r="Z253" s="644"/>
      <c r="AA253" s="101"/>
      <c r="AB253" s="644"/>
      <c r="AC253" s="101"/>
      <c r="AD253" s="646"/>
      <c r="AE253" s="271"/>
      <c r="AF253" s="646"/>
      <c r="AG253" s="646"/>
      <c r="AH253" s="646"/>
      <c r="AI253" s="646"/>
      <c r="AJ253" s="646"/>
      <c r="AK253" s="646"/>
      <c r="AL253" s="646"/>
      <c r="AM253" s="271"/>
      <c r="AN253" s="646"/>
      <c r="AO253" s="646"/>
      <c r="AP253" s="646"/>
      <c r="AQ253" s="271"/>
      <c r="AR253" s="646"/>
      <c r="AS253" s="270"/>
      <c r="AT253" s="646"/>
      <c r="AU253" s="646"/>
      <c r="AV253" s="646"/>
      <c r="AW253" s="270"/>
      <c r="AX253" s="646"/>
      <c r="AY253" s="270"/>
      <c r="AZ253" s="646"/>
      <c r="BA253" s="646"/>
      <c r="BB253" s="644"/>
      <c r="BC253" s="644"/>
      <c r="BD253" s="644"/>
      <c r="BE253" s="644"/>
      <c r="BF253" s="644"/>
      <c r="BG253" s="644"/>
      <c r="BH253" s="644"/>
      <c r="BI253" s="644"/>
      <c r="BJ253" s="644"/>
      <c r="BK253" s="644"/>
      <c r="BL253" s="644"/>
      <c r="BM253" s="95"/>
      <c r="BN253" s="644"/>
      <c r="BO253" s="95"/>
      <c r="BP253" s="644"/>
      <c r="BQ253" s="644"/>
      <c r="BR253" s="644"/>
      <c r="BS253" s="644"/>
      <c r="BT253" s="644"/>
      <c r="BU253" s="644"/>
      <c r="BV253" s="644"/>
      <c r="BW253" s="644"/>
      <c r="BX253" s="644"/>
      <c r="BY253" s="644"/>
      <c r="BZ253" s="644"/>
      <c r="CA253" s="644"/>
      <c r="CB253" s="644"/>
      <c r="CC253" s="644"/>
      <c r="CD253" s="644"/>
      <c r="CE253" s="644"/>
      <c r="CF253" s="644"/>
      <c r="CG253" s="644"/>
      <c r="CH253" s="644"/>
      <c r="CI253" s="644"/>
      <c r="CJ253" s="644"/>
      <c r="CK253" s="644"/>
      <c r="CL253" s="644"/>
      <c r="CM253" s="95"/>
      <c r="CN253" s="644"/>
      <c r="CO253" s="644"/>
      <c r="CP253" s="95"/>
      <c r="CQ253" s="98"/>
      <c r="CR253" s="95"/>
      <c r="CS253" s="95"/>
      <c r="CT253" s="95"/>
      <c r="CU253" s="108"/>
      <c r="CV253" s="109"/>
      <c r="CW253" s="644"/>
      <c r="CX253" s="496"/>
      <c r="CY253" s="637"/>
      <c r="CZ253" s="644"/>
      <c r="DA253" s="644"/>
      <c r="DB253" s="644"/>
      <c r="DC253" s="496"/>
      <c r="DD253" s="644"/>
      <c r="DE253" s="101"/>
      <c r="DF253" s="644"/>
      <c r="DG253" s="101"/>
      <c r="DH253" s="644"/>
      <c r="DI253" s="644"/>
      <c r="DJ253" s="644"/>
      <c r="DK253" s="644"/>
      <c r="DL253" s="644"/>
      <c r="DM253" s="101"/>
      <c r="DN253" s="644"/>
      <c r="DO253" s="644"/>
      <c r="DP253" s="644"/>
      <c r="DQ253" s="644"/>
      <c r="DR253" s="644"/>
      <c r="DS253" s="644"/>
      <c r="DT253" s="644"/>
      <c r="DU253" s="644"/>
      <c r="DV253" s="644"/>
      <c r="DW253" s="101"/>
      <c r="DX253" s="646"/>
      <c r="DY253" s="646"/>
      <c r="DZ253" s="646"/>
      <c r="EA253" s="646"/>
      <c r="EB253" s="646"/>
      <c r="EC253" s="646"/>
      <c r="ED253" s="646"/>
      <c r="EE253" s="646"/>
      <c r="EF253" s="646"/>
      <c r="EG253" s="646"/>
      <c r="EH253" s="646"/>
      <c r="EI253" s="646"/>
      <c r="EJ253" s="646"/>
      <c r="EK253" s="271"/>
      <c r="EL253" s="644"/>
      <c r="EM253" s="634"/>
      <c r="EN253" s="647"/>
      <c r="EO253" s="648"/>
      <c r="EP253" s="647"/>
      <c r="EQ253" s="647"/>
      <c r="ER253" s="647"/>
      <c r="ES253" s="139"/>
      <c r="EV253" s="647"/>
      <c r="EW253" s="647"/>
      <c r="EX253" s="647"/>
      <c r="EY253" s="647"/>
      <c r="EZ253" s="647"/>
      <c r="FA253" s="646"/>
      <c r="FB253" s="646"/>
      <c r="FC253" s="646"/>
      <c r="FD253" s="646"/>
      <c r="FE253" s="646"/>
      <c r="FF253" s="646"/>
      <c r="FG253" s="647"/>
      <c r="FH253" s="647"/>
      <c r="FI253" s="647"/>
      <c r="FJ253" s="647"/>
      <c r="FK253" s="647"/>
      <c r="FL253" s="647"/>
      <c r="FM253" s="647"/>
      <c r="FN253" s="647"/>
      <c r="FO253" s="647"/>
      <c r="FP253" s="647"/>
      <c r="FQ253" s="647"/>
      <c r="FR253" s="647"/>
      <c r="FS253" s="101"/>
      <c r="FT253" s="95"/>
      <c r="FU253" s="651"/>
      <c r="FV253" s="101"/>
      <c r="FW253" s="101"/>
      <c r="FX253" s="634"/>
      <c r="FY253" s="634"/>
      <c r="FZ253" s="634"/>
      <c r="GA253" s="634"/>
      <c r="GB253" s="634"/>
      <c r="GC253" s="634"/>
      <c r="GD253" s="634"/>
      <c r="GE253" s="634"/>
      <c r="GF253" s="634"/>
      <c r="GG253" s="634"/>
      <c r="GH253" s="634"/>
      <c r="GI253" s="634"/>
      <c r="GJ253" s="634"/>
      <c r="GK253" s="634"/>
      <c r="GL253" s="101"/>
      <c r="GM253" s="101"/>
      <c r="GN253" s="101"/>
      <c r="GO253" s="643"/>
      <c r="GP253" s="644"/>
      <c r="GQ253" s="643"/>
      <c r="GR253" s="644"/>
      <c r="GS253" s="643"/>
      <c r="GT253" s="644"/>
      <c r="GU253" s="644"/>
      <c r="GV253" s="644"/>
      <c r="GW253" s="644"/>
      <c r="GX253" s="644"/>
      <c r="GY253" s="644"/>
      <c r="GZ253" s="644"/>
      <c r="HA253" s="644"/>
    </row>
    <row r="254" spans="1:209">
      <c r="A254" s="638"/>
      <c r="B254" s="95"/>
      <c r="C254" s="95"/>
      <c r="D254" s="95"/>
      <c r="E254" s="650"/>
      <c r="F254" s="95"/>
      <c r="G254" s="98"/>
      <c r="H254" s="99"/>
      <c r="I254" s="95"/>
      <c r="J254" s="95"/>
      <c r="K254" s="95"/>
      <c r="L254" s="95"/>
      <c r="M254" s="95"/>
      <c r="N254" s="95"/>
      <c r="O254" s="95"/>
      <c r="P254" s="95"/>
      <c r="Q254" s="95"/>
      <c r="R254" s="98"/>
      <c r="S254" s="101"/>
      <c r="T254" s="644"/>
      <c r="U254" s="101"/>
      <c r="V254" s="647"/>
      <c r="W254" s="643"/>
      <c r="X254" s="644"/>
      <c r="Y254" s="101"/>
      <c r="Z254" s="644"/>
      <c r="AA254" s="101"/>
      <c r="AB254" s="644"/>
      <c r="AC254" s="101"/>
      <c r="AD254" s="646"/>
      <c r="AE254" s="271"/>
      <c r="AF254" s="646"/>
      <c r="AG254" s="646"/>
      <c r="AH254" s="646"/>
      <c r="AI254" s="646"/>
      <c r="AJ254" s="646"/>
      <c r="AK254" s="646"/>
      <c r="AL254" s="646"/>
      <c r="AM254" s="271"/>
      <c r="AN254" s="646"/>
      <c r="AO254" s="646"/>
      <c r="AP254" s="646"/>
      <c r="AQ254" s="271"/>
      <c r="AR254" s="646"/>
      <c r="AS254" s="270"/>
      <c r="AT254" s="646"/>
      <c r="AU254" s="646"/>
      <c r="AV254" s="646"/>
      <c r="AW254" s="270"/>
      <c r="AX254" s="646"/>
      <c r="AY254" s="270"/>
      <c r="AZ254" s="646"/>
      <c r="BA254" s="646"/>
      <c r="BB254" s="644"/>
      <c r="BC254" s="644"/>
      <c r="BD254" s="644"/>
      <c r="BE254" s="644"/>
      <c r="BF254" s="644"/>
      <c r="BG254" s="644"/>
      <c r="BH254" s="644"/>
      <c r="BI254" s="644"/>
      <c r="BJ254" s="644"/>
      <c r="BK254" s="644"/>
      <c r="BL254" s="644"/>
      <c r="BM254" s="95"/>
      <c r="BN254" s="644"/>
      <c r="BO254" s="95"/>
      <c r="BP254" s="644"/>
      <c r="BQ254" s="644"/>
      <c r="BR254" s="644"/>
      <c r="BS254" s="644"/>
      <c r="BT254" s="644"/>
      <c r="BU254" s="644"/>
      <c r="BV254" s="644"/>
      <c r="BW254" s="644"/>
      <c r="BX254" s="644"/>
      <c r="BY254" s="644"/>
      <c r="BZ254" s="644"/>
      <c r="CA254" s="644"/>
      <c r="CB254" s="644"/>
      <c r="CC254" s="644"/>
      <c r="CD254" s="644"/>
      <c r="CE254" s="644"/>
      <c r="CF254" s="644"/>
      <c r="CG254" s="644"/>
      <c r="CH254" s="644"/>
      <c r="CI254" s="644"/>
      <c r="CJ254" s="644"/>
      <c r="CK254" s="644"/>
      <c r="CL254" s="644"/>
      <c r="CM254" s="95"/>
      <c r="CN254" s="644"/>
      <c r="CO254" s="644"/>
      <c r="CP254" s="95"/>
      <c r="CQ254" s="98"/>
      <c r="CR254" s="95"/>
      <c r="CS254" s="95"/>
      <c r="CT254" s="95"/>
      <c r="CU254" s="108"/>
      <c r="CV254" s="109"/>
      <c r="CW254" s="644"/>
      <c r="CX254" s="496"/>
      <c r="CY254" s="637"/>
      <c r="CZ254" s="644"/>
      <c r="DA254" s="644"/>
      <c r="DB254" s="644"/>
      <c r="DC254" s="496"/>
      <c r="DD254" s="644"/>
      <c r="DE254" s="101"/>
      <c r="DF254" s="644"/>
      <c r="DG254" s="101"/>
      <c r="DH254" s="644"/>
      <c r="DI254" s="644"/>
      <c r="DJ254" s="644"/>
      <c r="DK254" s="644"/>
      <c r="DL254" s="644"/>
      <c r="DM254" s="101"/>
      <c r="DN254" s="644"/>
      <c r="DO254" s="644"/>
      <c r="DP254" s="644"/>
      <c r="DQ254" s="644"/>
      <c r="DR254" s="644"/>
      <c r="DS254" s="644"/>
      <c r="DT254" s="644"/>
      <c r="DU254" s="644"/>
      <c r="DV254" s="644"/>
      <c r="DW254" s="101"/>
      <c r="DX254" s="646"/>
      <c r="DY254" s="646"/>
      <c r="DZ254" s="646"/>
      <c r="EA254" s="646"/>
      <c r="EB254" s="646"/>
      <c r="EC254" s="646"/>
      <c r="ED254" s="646"/>
      <c r="EE254" s="646"/>
      <c r="EF254" s="646"/>
      <c r="EG254" s="646"/>
      <c r="EH254" s="646"/>
      <c r="EI254" s="646"/>
      <c r="EJ254" s="646"/>
      <c r="EK254" s="271"/>
      <c r="EL254" s="644"/>
      <c r="EM254" s="634"/>
      <c r="EN254" s="647"/>
      <c r="EO254" s="648"/>
      <c r="EP254" s="647"/>
      <c r="EQ254" s="647"/>
      <c r="ER254" s="647"/>
      <c r="ES254" s="139"/>
      <c r="EV254" s="647"/>
      <c r="EW254" s="647"/>
      <c r="EX254" s="647"/>
      <c r="EY254" s="647"/>
      <c r="EZ254" s="647"/>
      <c r="FA254" s="646"/>
      <c r="FB254" s="646"/>
      <c r="FC254" s="646"/>
      <c r="FD254" s="646"/>
      <c r="FE254" s="646"/>
      <c r="FF254" s="646"/>
      <c r="FG254" s="647"/>
      <c r="FH254" s="647"/>
      <c r="FI254" s="647"/>
      <c r="FJ254" s="647"/>
      <c r="FK254" s="647"/>
      <c r="FL254" s="647"/>
      <c r="FM254" s="647"/>
      <c r="FN254" s="647"/>
      <c r="FO254" s="647"/>
      <c r="FP254" s="647"/>
      <c r="FQ254" s="647"/>
      <c r="FR254" s="647"/>
      <c r="FS254" s="101"/>
      <c r="FT254" s="95"/>
      <c r="FU254" s="651"/>
      <c r="FV254" s="101"/>
      <c r="FW254" s="101"/>
      <c r="FX254" s="634"/>
      <c r="FY254" s="634"/>
      <c r="FZ254" s="634"/>
      <c r="GA254" s="634"/>
      <c r="GB254" s="634"/>
      <c r="GC254" s="634"/>
      <c r="GD254" s="634"/>
      <c r="GE254" s="634"/>
      <c r="GF254" s="634"/>
      <c r="GG254" s="634"/>
      <c r="GH254" s="634"/>
      <c r="GI254" s="634"/>
      <c r="GJ254" s="634"/>
      <c r="GK254" s="634"/>
      <c r="GL254" s="101"/>
      <c r="GM254" s="101"/>
      <c r="GN254" s="101"/>
      <c r="GO254" s="643"/>
      <c r="GP254" s="644"/>
      <c r="GQ254" s="643"/>
      <c r="GR254" s="644"/>
      <c r="GS254" s="643"/>
      <c r="GT254" s="644"/>
      <c r="GU254" s="644"/>
      <c r="GV254" s="644"/>
      <c r="GW254" s="644"/>
      <c r="GX254" s="644"/>
      <c r="GY254" s="644"/>
      <c r="GZ254" s="644"/>
      <c r="HA254" s="644"/>
    </row>
    <row r="255" spans="1:209">
      <c r="A255" s="638"/>
      <c r="B255" s="95"/>
      <c r="C255" s="95"/>
      <c r="D255" s="95"/>
      <c r="E255" s="650"/>
      <c r="F255" s="95"/>
      <c r="G255" s="98"/>
      <c r="H255" s="99"/>
      <c r="I255" s="95"/>
      <c r="J255" s="95"/>
      <c r="K255" s="95"/>
      <c r="L255" s="95"/>
      <c r="M255" s="95"/>
      <c r="N255" s="95"/>
      <c r="O255" s="95"/>
      <c r="P255" s="95"/>
      <c r="Q255" s="95"/>
      <c r="R255" s="98"/>
      <c r="S255" s="101"/>
      <c r="T255" s="644"/>
      <c r="U255" s="101"/>
      <c r="V255" s="647"/>
      <c r="W255" s="643"/>
      <c r="X255" s="644"/>
      <c r="Y255" s="101"/>
      <c r="Z255" s="644"/>
      <c r="AA255" s="101"/>
      <c r="AB255" s="644"/>
      <c r="AC255" s="101"/>
      <c r="AD255" s="646"/>
      <c r="AE255" s="271"/>
      <c r="AF255" s="646"/>
      <c r="AG255" s="646"/>
      <c r="AH255" s="646"/>
      <c r="AI255" s="646"/>
      <c r="AJ255" s="646"/>
      <c r="AK255" s="646"/>
      <c r="AL255" s="646"/>
      <c r="AM255" s="271"/>
      <c r="AN255" s="646"/>
      <c r="AO255" s="646"/>
      <c r="AP255" s="646"/>
      <c r="AQ255" s="271"/>
      <c r="AR255" s="646"/>
      <c r="AS255" s="270"/>
      <c r="AT255" s="646"/>
      <c r="AU255" s="646"/>
      <c r="AV255" s="646"/>
      <c r="AW255" s="270"/>
      <c r="AX255" s="646"/>
      <c r="AY255" s="270"/>
      <c r="AZ255" s="646"/>
      <c r="BA255" s="646"/>
      <c r="BB255" s="644"/>
      <c r="BC255" s="644"/>
      <c r="BD255" s="644"/>
      <c r="BE255" s="644"/>
      <c r="BF255" s="644"/>
      <c r="BG255" s="644"/>
      <c r="BH255" s="644"/>
      <c r="BI255" s="644"/>
      <c r="BJ255" s="644"/>
      <c r="BK255" s="644"/>
      <c r="BL255" s="644"/>
      <c r="BM255" s="95"/>
      <c r="BN255" s="644"/>
      <c r="BO255" s="95"/>
      <c r="BP255" s="644"/>
      <c r="BQ255" s="644"/>
      <c r="BR255" s="644"/>
      <c r="BS255" s="644"/>
      <c r="BT255" s="644"/>
      <c r="BU255" s="644"/>
      <c r="BV255" s="644"/>
      <c r="BW255" s="644"/>
      <c r="BX255" s="644"/>
      <c r="BY255" s="644"/>
      <c r="BZ255" s="644"/>
      <c r="CA255" s="644"/>
      <c r="CB255" s="644"/>
      <c r="CC255" s="644"/>
      <c r="CD255" s="644"/>
      <c r="CE255" s="644"/>
      <c r="CF255" s="644"/>
      <c r="CG255" s="644"/>
      <c r="CH255" s="644"/>
      <c r="CI255" s="644"/>
      <c r="CJ255" s="644"/>
      <c r="CK255" s="644"/>
      <c r="CL255" s="644"/>
      <c r="CM255" s="95"/>
      <c r="CN255" s="644"/>
      <c r="CO255" s="644"/>
      <c r="CP255" s="95"/>
      <c r="CQ255" s="98"/>
      <c r="CR255" s="95"/>
      <c r="CS255" s="95"/>
      <c r="CT255" s="95"/>
      <c r="CU255" s="108"/>
      <c r="CV255" s="109"/>
      <c r="CW255" s="644"/>
      <c r="CX255" s="496"/>
      <c r="CY255" s="637"/>
      <c r="CZ255" s="644"/>
      <c r="DA255" s="644"/>
      <c r="DB255" s="644"/>
      <c r="DC255" s="496"/>
      <c r="DD255" s="644"/>
      <c r="DE255" s="101"/>
      <c r="DF255" s="644"/>
      <c r="DG255" s="101"/>
      <c r="DH255" s="644"/>
      <c r="DI255" s="644"/>
      <c r="DJ255" s="644"/>
      <c r="DK255" s="644"/>
      <c r="DL255" s="644"/>
      <c r="DM255" s="101"/>
      <c r="DN255" s="644"/>
      <c r="DO255" s="644"/>
      <c r="DP255" s="644"/>
      <c r="DQ255" s="644"/>
      <c r="DR255" s="644"/>
      <c r="DS255" s="644"/>
      <c r="DT255" s="644"/>
      <c r="DU255" s="644"/>
      <c r="DV255" s="644"/>
      <c r="DW255" s="101"/>
      <c r="DX255" s="646"/>
      <c r="DY255" s="646"/>
      <c r="DZ255" s="646"/>
      <c r="EA255" s="646"/>
      <c r="EB255" s="646"/>
      <c r="EC255" s="646"/>
      <c r="ED255" s="646"/>
      <c r="EE255" s="646"/>
      <c r="EF255" s="646"/>
      <c r="EG255" s="646"/>
      <c r="EH255" s="646"/>
      <c r="EI255" s="646"/>
      <c r="EJ255" s="646"/>
      <c r="EK255" s="271"/>
      <c r="EL255" s="644"/>
      <c r="EM255" s="634"/>
      <c r="EN255" s="647"/>
      <c r="EO255" s="648"/>
      <c r="EP255" s="647"/>
      <c r="EQ255" s="647"/>
      <c r="ER255" s="647"/>
      <c r="ES255" s="139"/>
      <c r="EV255" s="647"/>
      <c r="EW255" s="647"/>
      <c r="EX255" s="647"/>
      <c r="EY255" s="647"/>
      <c r="EZ255" s="647"/>
      <c r="FA255" s="646"/>
      <c r="FB255" s="646"/>
      <c r="FC255" s="646"/>
      <c r="FD255" s="646"/>
      <c r="FE255" s="646"/>
      <c r="FF255" s="646"/>
      <c r="FG255" s="647"/>
      <c r="FH255" s="647"/>
      <c r="FI255" s="647"/>
      <c r="FJ255" s="647"/>
      <c r="FK255" s="647"/>
      <c r="FL255" s="647"/>
      <c r="FM255" s="647"/>
      <c r="FN255" s="647"/>
      <c r="FO255" s="647"/>
      <c r="FP255" s="647"/>
      <c r="FQ255" s="647"/>
      <c r="FR255" s="647"/>
      <c r="FS255" s="101"/>
      <c r="FT255" s="95"/>
      <c r="FU255" s="651"/>
      <c r="FV255" s="101"/>
      <c r="FW255" s="101"/>
      <c r="FX255" s="634"/>
      <c r="FY255" s="634"/>
      <c r="FZ255" s="634"/>
      <c r="GA255" s="634"/>
      <c r="GB255" s="634"/>
      <c r="GC255" s="634"/>
      <c r="GD255" s="634"/>
      <c r="GE255" s="634"/>
      <c r="GF255" s="634"/>
      <c r="GG255" s="634"/>
      <c r="GH255" s="634"/>
      <c r="GI255" s="634"/>
      <c r="GJ255" s="634"/>
      <c r="GK255" s="634"/>
      <c r="GL255" s="101"/>
      <c r="GM255" s="101"/>
      <c r="GN255" s="101"/>
      <c r="GO255" s="643"/>
      <c r="GP255" s="644"/>
      <c r="GQ255" s="643"/>
      <c r="GR255" s="644"/>
      <c r="GS255" s="643"/>
      <c r="GT255" s="644"/>
      <c r="GU255" s="644"/>
      <c r="GV255" s="644"/>
      <c r="GW255" s="644"/>
      <c r="GX255" s="644"/>
      <c r="GY255" s="644"/>
      <c r="GZ255" s="644"/>
      <c r="HA255" s="644"/>
    </row>
    <row r="256" spans="1:209">
      <c r="A256" s="638"/>
      <c r="B256" s="95"/>
      <c r="C256" s="95"/>
      <c r="D256" s="95"/>
      <c r="E256" s="650"/>
      <c r="F256" s="95"/>
      <c r="G256" s="98"/>
      <c r="H256" s="99"/>
      <c r="I256" s="95"/>
      <c r="J256" s="95"/>
      <c r="K256" s="95"/>
      <c r="L256" s="95"/>
      <c r="M256" s="95"/>
      <c r="N256" s="95"/>
      <c r="O256" s="95"/>
      <c r="P256" s="95"/>
      <c r="Q256" s="95"/>
      <c r="R256" s="98"/>
      <c r="S256" s="101"/>
      <c r="T256" s="644"/>
      <c r="U256" s="101"/>
      <c r="V256" s="647"/>
      <c r="W256" s="643"/>
      <c r="X256" s="644"/>
      <c r="Y256" s="101"/>
      <c r="Z256" s="644"/>
      <c r="AA256" s="101"/>
      <c r="AB256" s="644"/>
      <c r="AC256" s="101"/>
      <c r="AD256" s="646"/>
      <c r="AE256" s="271"/>
      <c r="AF256" s="646"/>
      <c r="AG256" s="646"/>
      <c r="AH256" s="646"/>
      <c r="AI256" s="646"/>
      <c r="AJ256" s="646"/>
      <c r="AK256" s="646"/>
      <c r="AL256" s="646"/>
      <c r="AM256" s="271"/>
      <c r="AN256" s="646"/>
      <c r="AO256" s="646"/>
      <c r="AP256" s="646"/>
      <c r="AQ256" s="271"/>
      <c r="AR256" s="646"/>
      <c r="AS256" s="270"/>
      <c r="AT256" s="646"/>
      <c r="AU256" s="646"/>
      <c r="AV256" s="646"/>
      <c r="AW256" s="270"/>
      <c r="AX256" s="646"/>
      <c r="AY256" s="270"/>
      <c r="AZ256" s="646"/>
      <c r="BA256" s="646"/>
      <c r="BB256" s="644"/>
      <c r="BC256" s="644"/>
      <c r="BD256" s="644"/>
      <c r="BE256" s="644"/>
      <c r="BF256" s="644"/>
      <c r="BG256" s="644"/>
      <c r="BH256" s="644"/>
      <c r="BI256" s="644"/>
      <c r="BJ256" s="644"/>
      <c r="BK256" s="644"/>
      <c r="BL256" s="644"/>
      <c r="BM256" s="95"/>
      <c r="BN256" s="644"/>
      <c r="BO256" s="95"/>
      <c r="BP256" s="644"/>
      <c r="BQ256" s="644"/>
      <c r="BR256" s="644"/>
      <c r="BS256" s="644"/>
      <c r="BT256" s="644"/>
      <c r="BU256" s="644"/>
      <c r="BV256" s="644"/>
      <c r="BW256" s="644"/>
      <c r="BX256" s="644"/>
      <c r="BY256" s="644"/>
      <c r="BZ256" s="644"/>
      <c r="CA256" s="644"/>
      <c r="CB256" s="644"/>
      <c r="CC256" s="644"/>
      <c r="CD256" s="644"/>
      <c r="CE256" s="644"/>
      <c r="CF256" s="644"/>
      <c r="CG256" s="644"/>
      <c r="CH256" s="644"/>
      <c r="CI256" s="644"/>
      <c r="CJ256" s="644"/>
      <c r="CK256" s="644"/>
      <c r="CL256" s="644"/>
      <c r="CM256" s="95"/>
      <c r="CN256" s="644"/>
      <c r="CO256" s="644"/>
      <c r="CP256" s="95"/>
      <c r="CQ256" s="98"/>
      <c r="CR256" s="95"/>
      <c r="CS256" s="95"/>
      <c r="CT256" s="95"/>
      <c r="CU256" s="108"/>
      <c r="CV256" s="109"/>
      <c r="CW256" s="644"/>
      <c r="CX256" s="496"/>
      <c r="CY256" s="637"/>
      <c r="CZ256" s="644"/>
      <c r="DA256" s="644"/>
      <c r="DB256" s="644"/>
      <c r="DC256" s="496"/>
      <c r="DD256" s="644"/>
      <c r="DE256" s="101"/>
      <c r="DF256" s="644"/>
      <c r="DG256" s="101"/>
      <c r="DH256" s="644"/>
      <c r="DI256" s="644"/>
      <c r="DJ256" s="644"/>
      <c r="DK256" s="644"/>
      <c r="DL256" s="644"/>
      <c r="DM256" s="101"/>
      <c r="DN256" s="644"/>
      <c r="DO256" s="644"/>
      <c r="DP256" s="644"/>
      <c r="DQ256" s="644"/>
      <c r="DR256" s="644"/>
      <c r="DS256" s="644"/>
      <c r="DT256" s="644"/>
      <c r="DU256" s="644"/>
      <c r="DV256" s="644"/>
      <c r="DW256" s="101"/>
      <c r="DX256" s="646"/>
      <c r="DY256" s="646"/>
      <c r="DZ256" s="646"/>
      <c r="EA256" s="646"/>
      <c r="EB256" s="646"/>
      <c r="EC256" s="646"/>
      <c r="ED256" s="646"/>
      <c r="EE256" s="646"/>
      <c r="EF256" s="646"/>
      <c r="EG256" s="646"/>
      <c r="EH256" s="646"/>
      <c r="EI256" s="646"/>
      <c r="EJ256" s="646"/>
      <c r="EK256" s="271"/>
      <c r="EL256" s="644"/>
      <c r="EM256" s="634"/>
      <c r="EN256" s="647"/>
      <c r="EO256" s="648"/>
      <c r="EP256" s="647"/>
      <c r="EQ256" s="647"/>
      <c r="ER256" s="647"/>
      <c r="ES256" s="139"/>
      <c r="EV256" s="647"/>
      <c r="EW256" s="647"/>
      <c r="EX256" s="647"/>
      <c r="EY256" s="647"/>
      <c r="EZ256" s="647"/>
      <c r="FA256" s="646"/>
      <c r="FB256" s="646"/>
      <c r="FC256" s="646"/>
      <c r="FD256" s="646"/>
      <c r="FE256" s="646"/>
      <c r="FF256" s="646"/>
      <c r="FG256" s="647"/>
      <c r="FH256" s="647"/>
      <c r="FI256" s="647"/>
      <c r="FJ256" s="647"/>
      <c r="FK256" s="647"/>
      <c r="FL256" s="647"/>
      <c r="FM256" s="647"/>
      <c r="FN256" s="647"/>
      <c r="FO256" s="647"/>
      <c r="FP256" s="647"/>
      <c r="FQ256" s="647"/>
      <c r="FR256" s="647"/>
      <c r="FS256" s="101"/>
      <c r="FT256" s="95"/>
      <c r="FU256" s="651"/>
      <c r="FV256" s="101"/>
      <c r="FW256" s="101"/>
      <c r="FX256" s="634"/>
      <c r="FY256" s="634"/>
      <c r="FZ256" s="634"/>
      <c r="GA256" s="634"/>
      <c r="GB256" s="634"/>
      <c r="GC256" s="634"/>
      <c r="GD256" s="634"/>
      <c r="GE256" s="634"/>
      <c r="GF256" s="634"/>
      <c r="GG256" s="634"/>
      <c r="GH256" s="634"/>
      <c r="GI256" s="634"/>
      <c r="GJ256" s="634"/>
      <c r="GK256" s="634"/>
      <c r="GL256" s="101"/>
      <c r="GM256" s="101"/>
      <c r="GN256" s="101"/>
      <c r="GO256" s="643"/>
      <c r="GP256" s="644"/>
      <c r="GQ256" s="643"/>
      <c r="GR256" s="644"/>
      <c r="GS256" s="643"/>
      <c r="GT256" s="644"/>
      <c r="GU256" s="644"/>
      <c r="GV256" s="644"/>
      <c r="GW256" s="644"/>
      <c r="GX256" s="644"/>
      <c r="GY256" s="644"/>
      <c r="GZ256" s="644"/>
      <c r="HA256" s="644"/>
    </row>
    <row r="257" spans="1:209">
      <c r="A257" s="638"/>
      <c r="B257" s="95"/>
      <c r="C257" s="95"/>
      <c r="D257" s="95"/>
      <c r="E257" s="650"/>
      <c r="F257" s="95"/>
      <c r="G257" s="98"/>
      <c r="H257" s="99"/>
      <c r="I257" s="95"/>
      <c r="J257" s="95"/>
      <c r="K257" s="95"/>
      <c r="L257" s="95"/>
      <c r="M257" s="95"/>
      <c r="N257" s="95"/>
      <c r="O257" s="95"/>
      <c r="P257" s="95"/>
      <c r="Q257" s="95"/>
      <c r="R257" s="98"/>
      <c r="S257" s="101"/>
      <c r="T257" s="644"/>
      <c r="U257" s="101"/>
      <c r="V257" s="647"/>
      <c r="W257" s="643"/>
      <c r="X257" s="644"/>
      <c r="Y257" s="101"/>
      <c r="Z257" s="644"/>
      <c r="AA257" s="101"/>
      <c r="AB257" s="644"/>
      <c r="AC257" s="101"/>
      <c r="AD257" s="646"/>
      <c r="AE257" s="271"/>
      <c r="AF257" s="646"/>
      <c r="AG257" s="646"/>
      <c r="AH257" s="646"/>
      <c r="AI257" s="646"/>
      <c r="AJ257" s="646"/>
      <c r="AK257" s="646"/>
      <c r="AL257" s="646"/>
      <c r="AM257" s="271"/>
      <c r="AN257" s="646"/>
      <c r="AO257" s="646"/>
      <c r="AP257" s="646"/>
      <c r="AQ257" s="271"/>
      <c r="AR257" s="646"/>
      <c r="AS257" s="270"/>
      <c r="AT257" s="646"/>
      <c r="AU257" s="646"/>
      <c r="AV257" s="646"/>
      <c r="AW257" s="270"/>
      <c r="AX257" s="646"/>
      <c r="AY257" s="270"/>
      <c r="AZ257" s="646"/>
      <c r="BA257" s="646"/>
      <c r="BB257" s="644"/>
      <c r="BC257" s="644"/>
      <c r="BD257" s="644"/>
      <c r="BE257" s="644"/>
      <c r="BF257" s="644"/>
      <c r="BG257" s="644"/>
      <c r="BH257" s="644"/>
      <c r="BI257" s="644"/>
      <c r="BJ257" s="644"/>
      <c r="BK257" s="644"/>
      <c r="BL257" s="644"/>
      <c r="BM257" s="95"/>
      <c r="BN257" s="644"/>
      <c r="BO257" s="95"/>
      <c r="BP257" s="644"/>
      <c r="BQ257" s="644"/>
      <c r="BR257" s="644"/>
      <c r="BS257" s="644"/>
      <c r="BT257" s="644"/>
      <c r="BU257" s="644"/>
      <c r="BV257" s="644"/>
      <c r="BW257" s="644"/>
      <c r="BX257" s="644"/>
      <c r="BY257" s="644"/>
      <c r="BZ257" s="644"/>
      <c r="CA257" s="644"/>
      <c r="CB257" s="644"/>
      <c r="CC257" s="644"/>
      <c r="CD257" s="644"/>
      <c r="CE257" s="644"/>
      <c r="CF257" s="644"/>
      <c r="CG257" s="644"/>
      <c r="CH257" s="644"/>
      <c r="CI257" s="644"/>
      <c r="CJ257" s="644"/>
      <c r="CK257" s="644"/>
      <c r="CL257" s="644"/>
      <c r="CM257" s="95"/>
      <c r="CN257" s="644"/>
      <c r="CO257" s="644"/>
      <c r="CP257" s="95"/>
      <c r="CQ257" s="98"/>
      <c r="CR257" s="95"/>
      <c r="CS257" s="95"/>
      <c r="CT257" s="95"/>
      <c r="CU257" s="108"/>
      <c r="CV257" s="109"/>
      <c r="CW257" s="644"/>
      <c r="CX257" s="496"/>
      <c r="CY257" s="637"/>
      <c r="CZ257" s="644"/>
      <c r="DA257" s="644"/>
      <c r="DB257" s="644"/>
      <c r="DC257" s="496"/>
      <c r="DD257" s="644"/>
      <c r="DE257" s="101"/>
      <c r="DF257" s="644"/>
      <c r="DG257" s="101"/>
      <c r="DH257" s="644"/>
      <c r="DI257" s="644"/>
      <c r="DJ257" s="644"/>
      <c r="DK257" s="644"/>
      <c r="DL257" s="644"/>
      <c r="DM257" s="101"/>
      <c r="DN257" s="644"/>
      <c r="DO257" s="644"/>
      <c r="DP257" s="644"/>
      <c r="DQ257" s="644"/>
      <c r="DR257" s="644"/>
      <c r="DS257" s="644"/>
      <c r="DT257" s="644"/>
      <c r="DU257" s="644"/>
      <c r="DV257" s="644"/>
      <c r="DW257" s="101"/>
      <c r="DX257" s="646"/>
      <c r="DY257" s="646"/>
      <c r="DZ257" s="646"/>
      <c r="EA257" s="646"/>
      <c r="EB257" s="646"/>
      <c r="EC257" s="646"/>
      <c r="ED257" s="646"/>
      <c r="EE257" s="646"/>
      <c r="EF257" s="646"/>
      <c r="EG257" s="646"/>
      <c r="EH257" s="646"/>
      <c r="EI257" s="646"/>
      <c r="EJ257" s="646"/>
      <c r="EK257" s="271"/>
      <c r="EL257" s="644"/>
      <c r="EM257" s="634"/>
      <c r="EN257" s="647"/>
      <c r="EO257" s="648"/>
      <c r="EP257" s="647"/>
      <c r="EQ257" s="647"/>
      <c r="ER257" s="647"/>
      <c r="ES257" s="139"/>
      <c r="EV257" s="647"/>
      <c r="EW257" s="647"/>
      <c r="EX257" s="647"/>
      <c r="EY257" s="647"/>
      <c r="EZ257" s="647"/>
      <c r="FA257" s="646"/>
      <c r="FB257" s="646"/>
      <c r="FC257" s="646"/>
      <c r="FD257" s="646"/>
      <c r="FE257" s="646"/>
      <c r="FF257" s="646"/>
      <c r="FG257" s="647"/>
      <c r="FH257" s="647"/>
      <c r="FI257" s="647"/>
      <c r="FJ257" s="647"/>
      <c r="FK257" s="647"/>
      <c r="FL257" s="647"/>
      <c r="FM257" s="647"/>
      <c r="FN257" s="647"/>
      <c r="FO257" s="647"/>
      <c r="FP257" s="647"/>
      <c r="FQ257" s="647"/>
      <c r="FR257" s="647"/>
      <c r="FS257" s="101"/>
      <c r="FT257" s="95"/>
      <c r="FU257" s="651"/>
      <c r="FV257" s="101"/>
      <c r="FW257" s="101"/>
      <c r="FX257" s="634"/>
      <c r="FY257" s="634"/>
      <c r="FZ257" s="634"/>
      <c r="GA257" s="634"/>
      <c r="GB257" s="634"/>
      <c r="GC257" s="634"/>
      <c r="GD257" s="634"/>
      <c r="GE257" s="634"/>
      <c r="GF257" s="634"/>
      <c r="GG257" s="634"/>
      <c r="GH257" s="634"/>
      <c r="GI257" s="634"/>
      <c r="GJ257" s="634"/>
      <c r="GK257" s="634"/>
      <c r="GL257" s="101"/>
      <c r="GM257" s="101"/>
      <c r="GN257" s="101"/>
      <c r="GO257" s="643"/>
      <c r="GP257" s="644"/>
      <c r="GQ257" s="643"/>
      <c r="GR257" s="644"/>
      <c r="GS257" s="643"/>
      <c r="GT257" s="644"/>
      <c r="GU257" s="644"/>
      <c r="GV257" s="644"/>
      <c r="GW257" s="644"/>
      <c r="GX257" s="644"/>
      <c r="GY257" s="644"/>
      <c r="GZ257" s="644"/>
      <c r="HA257" s="644"/>
    </row>
    <row r="258" spans="1:209">
      <c r="A258" s="638"/>
      <c r="B258" s="95"/>
      <c r="C258" s="95"/>
      <c r="D258" s="95"/>
      <c r="E258" s="650"/>
      <c r="F258" s="95"/>
      <c r="G258" s="98"/>
      <c r="H258" s="99"/>
      <c r="I258" s="95"/>
      <c r="J258" s="95"/>
      <c r="K258" s="95"/>
      <c r="L258" s="95"/>
      <c r="M258" s="95"/>
      <c r="N258" s="95"/>
      <c r="O258" s="95"/>
      <c r="P258" s="95"/>
      <c r="Q258" s="95"/>
      <c r="R258" s="98"/>
      <c r="S258" s="101"/>
      <c r="T258" s="644"/>
      <c r="U258" s="101"/>
      <c r="V258" s="647"/>
      <c r="W258" s="643"/>
      <c r="X258" s="644"/>
      <c r="Y258" s="101"/>
      <c r="Z258" s="644"/>
      <c r="AA258" s="101"/>
      <c r="AB258" s="644"/>
      <c r="AC258" s="101"/>
      <c r="AD258" s="646"/>
      <c r="AE258" s="271"/>
      <c r="AF258" s="646"/>
      <c r="AG258" s="646"/>
      <c r="AH258" s="646"/>
      <c r="AI258" s="646"/>
      <c r="AJ258" s="646"/>
      <c r="AK258" s="646"/>
      <c r="AL258" s="646"/>
      <c r="AM258" s="271"/>
      <c r="AN258" s="646"/>
      <c r="AO258" s="646"/>
      <c r="AP258" s="646"/>
      <c r="AQ258" s="271"/>
      <c r="AR258" s="646"/>
      <c r="AS258" s="270"/>
      <c r="AT258" s="646"/>
      <c r="AU258" s="646"/>
      <c r="AV258" s="646"/>
      <c r="AW258" s="270"/>
      <c r="AX258" s="646"/>
      <c r="AY258" s="270"/>
      <c r="AZ258" s="646"/>
      <c r="BA258" s="646"/>
      <c r="BB258" s="644"/>
      <c r="BC258" s="644"/>
      <c r="BD258" s="644"/>
      <c r="BE258" s="644"/>
      <c r="BF258" s="644"/>
      <c r="BG258" s="644"/>
      <c r="BH258" s="644"/>
      <c r="BI258" s="644"/>
      <c r="BJ258" s="644"/>
      <c r="BK258" s="644"/>
      <c r="BL258" s="644"/>
      <c r="BM258" s="95"/>
      <c r="BN258" s="644"/>
      <c r="BO258" s="95"/>
      <c r="BP258" s="644"/>
      <c r="BQ258" s="644"/>
      <c r="BR258" s="644"/>
      <c r="BS258" s="644"/>
      <c r="BT258" s="644"/>
      <c r="BU258" s="644"/>
      <c r="BV258" s="644"/>
      <c r="BW258" s="644"/>
      <c r="BX258" s="644"/>
      <c r="BY258" s="644"/>
      <c r="BZ258" s="644"/>
      <c r="CA258" s="644"/>
      <c r="CB258" s="644"/>
      <c r="CC258" s="644"/>
      <c r="CD258" s="644"/>
      <c r="CE258" s="644"/>
      <c r="CF258" s="644"/>
      <c r="CG258" s="644"/>
      <c r="CH258" s="644"/>
      <c r="CI258" s="644"/>
      <c r="CJ258" s="644"/>
      <c r="CK258" s="644"/>
      <c r="CL258" s="644"/>
      <c r="CM258" s="95"/>
      <c r="CN258" s="644"/>
      <c r="CO258" s="644"/>
      <c r="CP258" s="95"/>
      <c r="CQ258" s="98"/>
      <c r="CR258" s="95"/>
      <c r="CS258" s="95"/>
      <c r="CT258" s="95"/>
      <c r="CU258" s="108"/>
      <c r="CV258" s="109"/>
      <c r="CW258" s="644"/>
      <c r="CX258" s="496"/>
      <c r="CY258" s="637"/>
      <c r="CZ258" s="644"/>
      <c r="DA258" s="644"/>
      <c r="DB258" s="644"/>
      <c r="DC258" s="496"/>
      <c r="DD258" s="644"/>
      <c r="DE258" s="101"/>
      <c r="DF258" s="644"/>
      <c r="DG258" s="101"/>
      <c r="DH258" s="644"/>
      <c r="DI258" s="644"/>
      <c r="DJ258" s="644"/>
      <c r="DK258" s="644"/>
      <c r="DL258" s="644"/>
      <c r="DM258" s="101"/>
      <c r="DN258" s="644"/>
      <c r="DO258" s="644"/>
      <c r="DP258" s="644"/>
      <c r="DQ258" s="644"/>
      <c r="DR258" s="644"/>
      <c r="DS258" s="644"/>
      <c r="DT258" s="644"/>
      <c r="DU258" s="644"/>
      <c r="DV258" s="644"/>
      <c r="DW258" s="101"/>
      <c r="DX258" s="646"/>
      <c r="DY258" s="646"/>
      <c r="DZ258" s="646"/>
      <c r="EA258" s="646"/>
      <c r="EB258" s="646"/>
      <c r="EC258" s="646"/>
      <c r="ED258" s="646"/>
      <c r="EE258" s="646"/>
      <c r="EF258" s="646"/>
      <c r="EG258" s="646"/>
      <c r="EH258" s="646"/>
      <c r="EI258" s="646"/>
      <c r="EJ258" s="646"/>
      <c r="EK258" s="271"/>
      <c r="EL258" s="644"/>
      <c r="EM258" s="634"/>
      <c r="EN258" s="647"/>
      <c r="EO258" s="648"/>
      <c r="EP258" s="647"/>
      <c r="EQ258" s="647"/>
      <c r="ER258" s="647"/>
      <c r="ES258" s="139"/>
      <c r="EV258" s="647"/>
      <c r="EW258" s="647"/>
      <c r="EX258" s="647"/>
      <c r="EY258" s="647"/>
      <c r="EZ258" s="647"/>
      <c r="FA258" s="646"/>
      <c r="FB258" s="646"/>
      <c r="FC258" s="646"/>
      <c r="FD258" s="646"/>
      <c r="FE258" s="646"/>
      <c r="FF258" s="646"/>
      <c r="FG258" s="647"/>
      <c r="FH258" s="647"/>
      <c r="FI258" s="647"/>
      <c r="FJ258" s="647"/>
      <c r="FK258" s="647"/>
      <c r="FL258" s="647"/>
      <c r="FM258" s="647"/>
      <c r="FN258" s="647"/>
      <c r="FO258" s="647"/>
      <c r="FP258" s="647"/>
      <c r="FQ258" s="647"/>
      <c r="FR258" s="647"/>
      <c r="FS258" s="101"/>
      <c r="FT258" s="95"/>
      <c r="FU258" s="651"/>
      <c r="FV258" s="101"/>
      <c r="FW258" s="101"/>
      <c r="FX258" s="634"/>
      <c r="FY258" s="634"/>
      <c r="FZ258" s="634"/>
      <c r="GA258" s="634"/>
      <c r="GB258" s="634"/>
      <c r="GC258" s="634"/>
      <c r="GD258" s="634"/>
      <c r="GE258" s="634"/>
      <c r="GF258" s="634"/>
      <c r="GG258" s="634"/>
      <c r="GH258" s="634"/>
      <c r="GI258" s="634"/>
      <c r="GJ258" s="634"/>
      <c r="GK258" s="634"/>
      <c r="GL258" s="101"/>
      <c r="GM258" s="101"/>
      <c r="GN258" s="101"/>
      <c r="GO258" s="643"/>
      <c r="GP258" s="644"/>
      <c r="GQ258" s="643"/>
      <c r="GR258" s="644"/>
      <c r="GS258" s="643"/>
      <c r="GT258" s="644"/>
      <c r="GU258" s="644"/>
      <c r="GV258" s="644"/>
      <c r="GW258" s="644"/>
      <c r="GX258" s="644"/>
      <c r="GY258" s="644"/>
      <c r="GZ258" s="644"/>
      <c r="HA258" s="644"/>
    </row>
    <row r="259" spans="1:209">
      <c r="A259" s="638"/>
      <c r="B259" s="95"/>
      <c r="C259" s="95"/>
      <c r="D259" s="95"/>
      <c r="E259" s="650"/>
      <c r="F259" s="95"/>
      <c r="G259" s="98"/>
      <c r="H259" s="99"/>
      <c r="I259" s="95"/>
      <c r="J259" s="95"/>
      <c r="K259" s="95"/>
      <c r="L259" s="95"/>
      <c r="M259" s="95"/>
      <c r="N259" s="95"/>
      <c r="O259" s="95"/>
      <c r="P259" s="95"/>
      <c r="Q259" s="95"/>
      <c r="R259" s="98"/>
      <c r="S259" s="101"/>
      <c r="T259" s="644"/>
      <c r="U259" s="101"/>
      <c r="V259" s="647"/>
      <c r="W259" s="643"/>
      <c r="X259" s="644"/>
      <c r="Y259" s="101"/>
      <c r="Z259" s="644"/>
      <c r="AA259" s="101"/>
      <c r="AB259" s="644"/>
      <c r="AC259" s="101"/>
      <c r="AD259" s="646"/>
      <c r="AE259" s="271"/>
      <c r="AF259" s="646"/>
      <c r="AG259" s="646"/>
      <c r="AH259" s="646"/>
      <c r="AI259" s="646"/>
      <c r="AJ259" s="646"/>
      <c r="AK259" s="646"/>
      <c r="AL259" s="646"/>
      <c r="AM259" s="271"/>
      <c r="AN259" s="646"/>
      <c r="AO259" s="646"/>
      <c r="AP259" s="646"/>
      <c r="AQ259" s="271"/>
      <c r="AR259" s="646"/>
      <c r="AS259" s="270"/>
      <c r="AT259" s="646"/>
      <c r="AU259" s="646"/>
      <c r="AV259" s="646"/>
      <c r="AW259" s="270"/>
      <c r="AX259" s="646"/>
      <c r="AY259" s="270"/>
      <c r="AZ259" s="646"/>
      <c r="BA259" s="646"/>
      <c r="BB259" s="644"/>
      <c r="BC259" s="644"/>
      <c r="BD259" s="644"/>
      <c r="BE259" s="644"/>
      <c r="BF259" s="644"/>
      <c r="BG259" s="644"/>
      <c r="BH259" s="644"/>
      <c r="BI259" s="644"/>
      <c r="BJ259" s="644"/>
      <c r="BK259" s="644"/>
      <c r="BL259" s="644"/>
      <c r="BM259" s="95"/>
      <c r="BN259" s="644"/>
      <c r="BO259" s="95"/>
      <c r="BP259" s="644"/>
      <c r="BQ259" s="644"/>
      <c r="BR259" s="644"/>
      <c r="BS259" s="644"/>
      <c r="BT259" s="644"/>
      <c r="BU259" s="644"/>
      <c r="BV259" s="644"/>
      <c r="BW259" s="644"/>
      <c r="BX259" s="644"/>
      <c r="BY259" s="644"/>
      <c r="BZ259" s="644"/>
      <c r="CA259" s="644"/>
      <c r="CB259" s="644"/>
      <c r="CC259" s="644"/>
      <c r="CD259" s="644"/>
      <c r="CE259" s="644"/>
      <c r="CF259" s="644"/>
      <c r="CG259" s="644"/>
      <c r="CH259" s="644"/>
      <c r="CI259" s="644"/>
      <c r="CJ259" s="644"/>
      <c r="CK259" s="644"/>
      <c r="CL259" s="644"/>
      <c r="CM259" s="95"/>
      <c r="CN259" s="644"/>
      <c r="CO259" s="644"/>
      <c r="CP259" s="95"/>
      <c r="CQ259" s="98"/>
      <c r="CR259" s="95"/>
      <c r="CS259" s="95"/>
      <c r="CT259" s="95"/>
      <c r="CU259" s="108"/>
      <c r="CV259" s="109"/>
      <c r="CW259" s="644"/>
      <c r="CX259" s="496"/>
      <c r="CY259" s="637"/>
      <c r="CZ259" s="644"/>
      <c r="DA259" s="644"/>
      <c r="DB259" s="644"/>
      <c r="DC259" s="496"/>
      <c r="DD259" s="644"/>
      <c r="DE259" s="101"/>
      <c r="DF259" s="644"/>
      <c r="DG259" s="101"/>
      <c r="DH259" s="644"/>
      <c r="DI259" s="644"/>
      <c r="DJ259" s="644"/>
      <c r="DK259" s="644"/>
      <c r="DL259" s="644"/>
      <c r="DM259" s="101"/>
      <c r="DN259" s="644"/>
      <c r="DO259" s="644"/>
      <c r="DP259" s="644"/>
      <c r="DQ259" s="644"/>
      <c r="DR259" s="644"/>
      <c r="DS259" s="644"/>
      <c r="DT259" s="644"/>
      <c r="DU259" s="644"/>
      <c r="DV259" s="644"/>
      <c r="DW259" s="101"/>
      <c r="DX259" s="646"/>
      <c r="DY259" s="646"/>
      <c r="DZ259" s="646"/>
      <c r="EA259" s="646"/>
      <c r="EB259" s="646"/>
      <c r="EC259" s="646"/>
      <c r="ED259" s="646"/>
      <c r="EE259" s="646"/>
      <c r="EF259" s="646"/>
      <c r="EG259" s="646"/>
      <c r="EH259" s="646"/>
      <c r="EI259" s="646"/>
      <c r="EJ259" s="646"/>
      <c r="EK259" s="271"/>
      <c r="EL259" s="644"/>
      <c r="EM259" s="634"/>
      <c r="EN259" s="647"/>
      <c r="EO259" s="648"/>
      <c r="EP259" s="647"/>
      <c r="EQ259" s="647"/>
      <c r="ER259" s="647"/>
      <c r="ES259" s="139"/>
      <c r="EV259" s="647"/>
      <c r="EW259" s="647"/>
      <c r="EX259" s="647"/>
      <c r="EY259" s="647"/>
      <c r="EZ259" s="647"/>
      <c r="FA259" s="646"/>
      <c r="FB259" s="646"/>
      <c r="FC259" s="646"/>
      <c r="FD259" s="646"/>
      <c r="FE259" s="646"/>
      <c r="FF259" s="646"/>
      <c r="FG259" s="647"/>
      <c r="FH259" s="647"/>
      <c r="FI259" s="647"/>
      <c r="FJ259" s="647"/>
      <c r="FK259" s="647"/>
      <c r="FL259" s="647"/>
      <c r="FM259" s="647"/>
      <c r="FN259" s="647"/>
      <c r="FO259" s="647"/>
      <c r="FP259" s="647"/>
      <c r="FQ259" s="647"/>
      <c r="FR259" s="647"/>
      <c r="FS259" s="101"/>
      <c r="FT259" s="95"/>
      <c r="FU259" s="651"/>
      <c r="FV259" s="101"/>
      <c r="FW259" s="101"/>
      <c r="FX259" s="634"/>
      <c r="FY259" s="634"/>
      <c r="FZ259" s="634"/>
      <c r="GA259" s="634"/>
      <c r="GB259" s="634"/>
      <c r="GC259" s="634"/>
      <c r="GD259" s="634"/>
      <c r="GE259" s="634"/>
      <c r="GF259" s="634"/>
      <c r="GG259" s="634"/>
      <c r="GH259" s="634"/>
      <c r="GI259" s="634"/>
      <c r="GJ259" s="634"/>
      <c r="GK259" s="634"/>
      <c r="GL259" s="101"/>
      <c r="GM259" s="101"/>
      <c r="GN259" s="101"/>
      <c r="GO259" s="643"/>
      <c r="GP259" s="644"/>
      <c r="GQ259" s="643"/>
      <c r="GR259" s="644"/>
      <c r="GS259" s="643"/>
      <c r="GT259" s="644"/>
      <c r="GU259" s="644"/>
      <c r="GV259" s="644"/>
      <c r="GW259" s="644"/>
      <c r="GX259" s="644"/>
      <c r="GY259" s="644"/>
      <c r="GZ259" s="644"/>
      <c r="HA259" s="644"/>
    </row>
    <row r="260" spans="1:209">
      <c r="A260" s="638"/>
      <c r="B260" s="95"/>
      <c r="C260" s="95"/>
      <c r="D260" s="95"/>
      <c r="E260" s="650"/>
      <c r="F260" s="95"/>
      <c r="G260" s="98"/>
      <c r="H260" s="99"/>
      <c r="I260" s="95"/>
      <c r="J260" s="95"/>
      <c r="K260" s="95"/>
      <c r="L260" s="95"/>
      <c r="M260" s="95"/>
      <c r="N260" s="95"/>
      <c r="O260" s="95"/>
      <c r="P260" s="95"/>
      <c r="Q260" s="95"/>
      <c r="R260" s="98"/>
      <c r="S260" s="101"/>
      <c r="T260" s="644"/>
      <c r="U260" s="101"/>
      <c r="V260" s="647"/>
      <c r="W260" s="643"/>
      <c r="X260" s="644"/>
      <c r="Y260" s="101"/>
      <c r="Z260" s="644"/>
      <c r="AA260" s="101"/>
      <c r="AB260" s="644"/>
      <c r="AC260" s="101"/>
      <c r="AD260" s="646"/>
      <c r="AE260" s="271"/>
      <c r="AF260" s="646"/>
      <c r="AG260" s="646"/>
      <c r="AH260" s="646"/>
      <c r="AI260" s="646"/>
      <c r="AJ260" s="646"/>
      <c r="AK260" s="646"/>
      <c r="AL260" s="646"/>
      <c r="AM260" s="271"/>
      <c r="AN260" s="646"/>
      <c r="AO260" s="646"/>
      <c r="AP260" s="646"/>
      <c r="AQ260" s="271"/>
      <c r="AR260" s="646"/>
      <c r="AS260" s="270"/>
      <c r="AT260" s="646"/>
      <c r="AU260" s="646"/>
      <c r="AV260" s="646"/>
      <c r="AW260" s="270"/>
      <c r="AX260" s="646"/>
      <c r="AY260" s="270"/>
      <c r="AZ260" s="646"/>
      <c r="BA260" s="646"/>
      <c r="BB260" s="644"/>
      <c r="BC260" s="644"/>
      <c r="BD260" s="644"/>
      <c r="BE260" s="644"/>
      <c r="BF260" s="644"/>
      <c r="BG260" s="644"/>
      <c r="BH260" s="644"/>
      <c r="BI260" s="644"/>
      <c r="BJ260" s="644"/>
      <c r="BK260" s="644"/>
      <c r="BL260" s="644"/>
      <c r="BM260" s="95"/>
      <c r="BN260" s="644"/>
      <c r="BO260" s="95"/>
      <c r="BP260" s="644"/>
      <c r="BQ260" s="644"/>
      <c r="BR260" s="644"/>
      <c r="BS260" s="644"/>
      <c r="BT260" s="644"/>
      <c r="BU260" s="644"/>
      <c r="BV260" s="644"/>
      <c r="BW260" s="644"/>
      <c r="BX260" s="644"/>
      <c r="BY260" s="644"/>
      <c r="BZ260" s="644"/>
      <c r="CA260" s="644"/>
      <c r="CB260" s="644"/>
      <c r="CC260" s="644"/>
      <c r="CD260" s="644"/>
      <c r="CE260" s="644"/>
      <c r="CF260" s="644"/>
      <c r="CG260" s="644"/>
      <c r="CH260" s="644"/>
      <c r="CI260" s="644"/>
      <c r="CJ260" s="644"/>
      <c r="CK260" s="644"/>
      <c r="CL260" s="644"/>
      <c r="CM260" s="95"/>
      <c r="CN260" s="644"/>
      <c r="CO260" s="644"/>
      <c r="CP260" s="95"/>
      <c r="CQ260" s="98"/>
      <c r="CR260" s="95"/>
      <c r="CS260" s="95"/>
      <c r="CT260" s="95"/>
      <c r="CU260" s="108"/>
      <c r="CV260" s="109"/>
      <c r="CW260" s="644"/>
      <c r="CX260" s="496"/>
      <c r="CY260" s="637"/>
      <c r="CZ260" s="644"/>
      <c r="DA260" s="644"/>
      <c r="DB260" s="644"/>
      <c r="DC260" s="496"/>
      <c r="DD260" s="644"/>
      <c r="DE260" s="101"/>
      <c r="DF260" s="644"/>
      <c r="DG260" s="101"/>
      <c r="DH260" s="644"/>
      <c r="DI260" s="644"/>
      <c r="DJ260" s="644"/>
      <c r="DK260" s="644"/>
      <c r="DL260" s="644"/>
      <c r="DM260" s="101"/>
      <c r="DN260" s="644"/>
      <c r="DO260" s="644"/>
      <c r="DP260" s="644"/>
      <c r="DQ260" s="644"/>
      <c r="DR260" s="644"/>
      <c r="DS260" s="644"/>
      <c r="DT260" s="644"/>
      <c r="DU260" s="644"/>
      <c r="DV260" s="644"/>
      <c r="DW260" s="101"/>
      <c r="DX260" s="646"/>
      <c r="DY260" s="646"/>
      <c r="DZ260" s="646"/>
      <c r="EA260" s="646"/>
      <c r="EB260" s="646"/>
      <c r="EC260" s="646"/>
      <c r="ED260" s="646"/>
      <c r="EE260" s="646"/>
      <c r="EF260" s="646"/>
      <c r="EG260" s="646"/>
      <c r="EH260" s="646"/>
      <c r="EI260" s="646"/>
      <c r="EJ260" s="646"/>
      <c r="EK260" s="271"/>
      <c r="EL260" s="644"/>
      <c r="EM260" s="634"/>
      <c r="EN260" s="647"/>
      <c r="EO260" s="648"/>
      <c r="EP260" s="647"/>
      <c r="EQ260" s="647"/>
      <c r="ER260" s="647"/>
      <c r="ES260" s="139"/>
      <c r="EV260" s="647"/>
      <c r="EW260" s="647"/>
      <c r="EX260" s="647"/>
      <c r="EY260" s="647"/>
      <c r="EZ260" s="647"/>
      <c r="FA260" s="646"/>
      <c r="FB260" s="646"/>
      <c r="FC260" s="646"/>
      <c r="FD260" s="646"/>
      <c r="FE260" s="646"/>
      <c r="FF260" s="646"/>
      <c r="FG260" s="647"/>
      <c r="FH260" s="647"/>
      <c r="FI260" s="647"/>
      <c r="FJ260" s="647"/>
      <c r="FK260" s="647"/>
      <c r="FL260" s="647"/>
      <c r="FM260" s="647"/>
      <c r="FN260" s="647"/>
      <c r="FO260" s="647"/>
      <c r="FP260" s="647"/>
      <c r="FQ260" s="647"/>
      <c r="FR260" s="647"/>
      <c r="FS260" s="101"/>
      <c r="FT260" s="95"/>
      <c r="FU260" s="651"/>
      <c r="FV260" s="101"/>
      <c r="FW260" s="101"/>
      <c r="FX260" s="634"/>
      <c r="FY260" s="634"/>
      <c r="FZ260" s="634"/>
      <c r="GA260" s="634"/>
      <c r="GB260" s="634"/>
      <c r="GC260" s="634"/>
      <c r="GD260" s="634"/>
      <c r="GE260" s="634"/>
      <c r="GF260" s="634"/>
      <c r="GG260" s="634"/>
      <c r="GH260" s="634"/>
      <c r="GI260" s="634"/>
      <c r="GJ260" s="634"/>
      <c r="GK260" s="634"/>
      <c r="GL260" s="101"/>
      <c r="GM260" s="101"/>
      <c r="GN260" s="101"/>
      <c r="GO260" s="643"/>
      <c r="GP260" s="644"/>
      <c r="GQ260" s="643"/>
      <c r="GR260" s="644"/>
      <c r="GS260" s="643"/>
      <c r="GT260" s="644"/>
      <c r="GU260" s="644"/>
      <c r="GV260" s="644"/>
      <c r="GW260" s="644"/>
      <c r="GX260" s="644"/>
      <c r="GY260" s="644"/>
      <c r="GZ260" s="644"/>
      <c r="HA260" s="644"/>
    </row>
    <row r="261" spans="1:209">
      <c r="A261" s="638"/>
      <c r="B261" s="95"/>
      <c r="C261" s="95"/>
      <c r="D261" s="95"/>
      <c r="E261" s="650"/>
      <c r="F261" s="95"/>
      <c r="G261" s="98"/>
      <c r="H261" s="99"/>
      <c r="I261" s="95"/>
      <c r="J261" s="95"/>
      <c r="K261" s="95"/>
      <c r="L261" s="95"/>
      <c r="M261" s="95"/>
      <c r="N261" s="95"/>
      <c r="O261" s="95"/>
      <c r="P261" s="95"/>
      <c r="Q261" s="95"/>
      <c r="R261" s="98"/>
      <c r="S261" s="101"/>
      <c r="T261" s="644"/>
      <c r="U261" s="101"/>
      <c r="V261" s="647"/>
      <c r="W261" s="643"/>
      <c r="X261" s="644"/>
      <c r="Y261" s="101"/>
      <c r="Z261" s="644"/>
      <c r="AA261" s="101"/>
      <c r="AB261" s="644"/>
      <c r="AC261" s="101"/>
      <c r="AD261" s="646"/>
      <c r="AE261" s="271"/>
      <c r="AF261" s="646"/>
      <c r="AG261" s="646"/>
      <c r="AH261" s="646"/>
      <c r="AI261" s="646"/>
      <c r="AJ261" s="646"/>
      <c r="AK261" s="646"/>
      <c r="AL261" s="646"/>
      <c r="AM261" s="271"/>
      <c r="AN261" s="646"/>
      <c r="AO261" s="646"/>
      <c r="AP261" s="646"/>
      <c r="AQ261" s="271"/>
      <c r="AR261" s="646"/>
      <c r="AS261" s="270"/>
      <c r="AT261" s="646"/>
      <c r="AU261" s="646"/>
      <c r="AV261" s="646"/>
      <c r="AW261" s="270"/>
      <c r="AX261" s="646"/>
      <c r="AY261" s="270"/>
      <c r="AZ261" s="646"/>
      <c r="BA261" s="646"/>
      <c r="BB261" s="644"/>
      <c r="BC261" s="644"/>
      <c r="BD261" s="644"/>
      <c r="BE261" s="644"/>
      <c r="BF261" s="644"/>
      <c r="BG261" s="644"/>
      <c r="BH261" s="644"/>
      <c r="BI261" s="644"/>
      <c r="BJ261" s="644"/>
      <c r="BK261" s="644"/>
      <c r="BL261" s="644"/>
      <c r="BM261" s="95"/>
      <c r="BN261" s="644"/>
      <c r="BO261" s="95"/>
      <c r="BP261" s="644"/>
      <c r="BQ261" s="644"/>
      <c r="BR261" s="644"/>
      <c r="BS261" s="644"/>
      <c r="BT261" s="644"/>
      <c r="BU261" s="644"/>
      <c r="BV261" s="644"/>
      <c r="BW261" s="644"/>
      <c r="BX261" s="644"/>
      <c r="BY261" s="644"/>
      <c r="BZ261" s="644"/>
      <c r="CA261" s="644"/>
      <c r="CB261" s="644"/>
      <c r="CC261" s="644"/>
      <c r="CD261" s="644"/>
      <c r="CE261" s="644"/>
      <c r="CF261" s="644"/>
      <c r="CG261" s="644"/>
      <c r="CH261" s="644"/>
      <c r="CI261" s="644"/>
      <c r="CJ261" s="644"/>
      <c r="CK261" s="644"/>
      <c r="CL261" s="644"/>
      <c r="CM261" s="95"/>
      <c r="CN261" s="644"/>
      <c r="CO261" s="644"/>
      <c r="CP261" s="95"/>
      <c r="CQ261" s="98"/>
      <c r="CR261" s="95"/>
      <c r="CS261" s="95"/>
      <c r="CT261" s="95"/>
      <c r="CU261" s="108"/>
      <c r="CV261" s="109"/>
      <c r="CW261" s="644"/>
      <c r="CX261" s="496"/>
      <c r="CY261" s="637"/>
      <c r="CZ261" s="644"/>
      <c r="DA261" s="644"/>
      <c r="DB261" s="644"/>
      <c r="DC261" s="496"/>
      <c r="DD261" s="644"/>
      <c r="DE261" s="101"/>
      <c r="DF261" s="644"/>
      <c r="DG261" s="101"/>
      <c r="DH261" s="644"/>
      <c r="DI261" s="644"/>
      <c r="DJ261" s="644"/>
      <c r="DK261" s="644"/>
      <c r="DL261" s="644"/>
      <c r="DM261" s="101"/>
      <c r="DN261" s="644"/>
      <c r="DO261" s="644"/>
      <c r="DP261" s="644"/>
      <c r="DQ261" s="644"/>
      <c r="DR261" s="644"/>
      <c r="DS261" s="644"/>
      <c r="DT261" s="644"/>
      <c r="DU261" s="644"/>
      <c r="DV261" s="644"/>
      <c r="DW261" s="101"/>
      <c r="DX261" s="646"/>
      <c r="DY261" s="646"/>
      <c r="DZ261" s="646"/>
      <c r="EA261" s="646"/>
      <c r="EB261" s="646"/>
      <c r="EC261" s="646"/>
      <c r="ED261" s="646"/>
      <c r="EE261" s="646"/>
      <c r="EF261" s="646"/>
      <c r="EG261" s="646"/>
      <c r="EH261" s="646"/>
      <c r="EI261" s="646"/>
      <c r="EJ261" s="646"/>
      <c r="EK261" s="271"/>
      <c r="EL261" s="644"/>
      <c r="EM261" s="634"/>
      <c r="EN261" s="647"/>
      <c r="EO261" s="648"/>
      <c r="EP261" s="647"/>
      <c r="EQ261" s="647"/>
      <c r="ER261" s="647"/>
      <c r="ES261" s="139"/>
      <c r="EV261" s="647"/>
      <c r="EW261" s="647"/>
      <c r="EX261" s="647"/>
      <c r="EY261" s="647"/>
      <c r="EZ261" s="647"/>
      <c r="FA261" s="646"/>
      <c r="FB261" s="646"/>
      <c r="FC261" s="646"/>
      <c r="FD261" s="646"/>
      <c r="FE261" s="646"/>
      <c r="FF261" s="646"/>
      <c r="FG261" s="647"/>
      <c r="FH261" s="647"/>
      <c r="FI261" s="647"/>
      <c r="FJ261" s="647"/>
      <c r="FK261" s="647"/>
      <c r="FL261" s="647"/>
      <c r="FM261" s="647"/>
      <c r="FN261" s="647"/>
      <c r="FO261" s="647"/>
      <c r="FP261" s="647"/>
      <c r="FQ261" s="647"/>
      <c r="FR261" s="647"/>
      <c r="FS261" s="101"/>
      <c r="FT261" s="95"/>
      <c r="FU261" s="651"/>
      <c r="FV261" s="101"/>
      <c r="FW261" s="101"/>
      <c r="FX261" s="634"/>
      <c r="FY261" s="634"/>
      <c r="FZ261" s="634"/>
      <c r="GA261" s="634"/>
      <c r="GB261" s="634"/>
      <c r="GC261" s="634"/>
      <c r="GD261" s="634"/>
      <c r="GE261" s="634"/>
      <c r="GF261" s="634"/>
      <c r="GG261" s="634"/>
      <c r="GH261" s="634"/>
      <c r="GI261" s="634"/>
      <c r="GJ261" s="634"/>
      <c r="GK261" s="634"/>
      <c r="GL261" s="101"/>
      <c r="GM261" s="101"/>
      <c r="GN261" s="101"/>
      <c r="GO261" s="643"/>
      <c r="GP261" s="644"/>
      <c r="GQ261" s="643"/>
      <c r="GR261" s="644"/>
      <c r="GS261" s="643"/>
      <c r="GT261" s="644"/>
      <c r="GU261" s="644"/>
      <c r="GV261" s="644"/>
      <c r="GW261" s="644"/>
      <c r="GX261" s="644"/>
      <c r="GY261" s="644"/>
      <c r="GZ261" s="644"/>
      <c r="HA261" s="644"/>
    </row>
    <row r="262" spans="1:209">
      <c r="A262" s="638"/>
      <c r="B262" s="95"/>
      <c r="C262" s="95"/>
      <c r="D262" s="95"/>
      <c r="E262" s="650"/>
      <c r="F262" s="95"/>
      <c r="G262" s="98"/>
      <c r="H262" s="99"/>
      <c r="I262" s="95"/>
      <c r="J262" s="95"/>
      <c r="K262" s="95"/>
      <c r="L262" s="95"/>
      <c r="M262" s="95"/>
      <c r="N262" s="95"/>
      <c r="O262" s="95"/>
      <c r="P262" s="95"/>
      <c r="Q262" s="95"/>
      <c r="R262" s="98"/>
      <c r="S262" s="101"/>
      <c r="T262" s="644"/>
      <c r="U262" s="101"/>
      <c r="V262" s="647"/>
      <c r="W262" s="643"/>
      <c r="X262" s="644"/>
      <c r="Y262" s="101"/>
      <c r="Z262" s="644"/>
      <c r="AA262" s="101"/>
      <c r="AB262" s="644"/>
      <c r="AC262" s="101"/>
      <c r="AD262" s="646"/>
      <c r="AE262" s="271"/>
      <c r="AF262" s="646"/>
      <c r="AG262" s="646"/>
      <c r="AH262" s="646"/>
      <c r="AI262" s="646"/>
      <c r="AJ262" s="646"/>
      <c r="AK262" s="646"/>
      <c r="AL262" s="646"/>
      <c r="AM262" s="271"/>
      <c r="AN262" s="646"/>
      <c r="AO262" s="646"/>
      <c r="AP262" s="646"/>
      <c r="AQ262" s="271"/>
      <c r="AR262" s="646"/>
      <c r="AS262" s="270"/>
      <c r="AT262" s="646"/>
      <c r="AU262" s="646"/>
      <c r="AV262" s="646"/>
      <c r="AW262" s="270"/>
      <c r="AX262" s="646"/>
      <c r="AY262" s="270"/>
      <c r="AZ262" s="646"/>
      <c r="BA262" s="646"/>
      <c r="BB262" s="644"/>
      <c r="BC262" s="644"/>
      <c r="BD262" s="644"/>
      <c r="BE262" s="644"/>
      <c r="BF262" s="644"/>
      <c r="BG262" s="644"/>
      <c r="BH262" s="644"/>
      <c r="BI262" s="644"/>
      <c r="BJ262" s="644"/>
      <c r="BK262" s="644"/>
      <c r="BL262" s="644"/>
      <c r="BM262" s="95"/>
      <c r="BN262" s="644"/>
      <c r="BO262" s="95"/>
      <c r="BP262" s="644"/>
      <c r="BQ262" s="644"/>
      <c r="BR262" s="644"/>
      <c r="BS262" s="644"/>
      <c r="BT262" s="644"/>
      <c r="BU262" s="644"/>
      <c r="BV262" s="644"/>
      <c r="BW262" s="644"/>
      <c r="BX262" s="644"/>
      <c r="BY262" s="644"/>
      <c r="BZ262" s="644"/>
      <c r="CA262" s="644"/>
      <c r="CB262" s="644"/>
      <c r="CC262" s="644"/>
      <c r="CD262" s="644"/>
      <c r="CE262" s="644"/>
      <c r="CF262" s="644"/>
      <c r="CG262" s="644"/>
      <c r="CH262" s="644"/>
      <c r="CI262" s="644"/>
      <c r="CJ262" s="644"/>
      <c r="CK262" s="644"/>
      <c r="CL262" s="644"/>
      <c r="CM262" s="95"/>
      <c r="CN262" s="644"/>
      <c r="CO262" s="644"/>
      <c r="CP262" s="95"/>
      <c r="CQ262" s="98"/>
      <c r="CR262" s="95"/>
      <c r="CS262" s="95"/>
      <c r="CT262" s="95"/>
      <c r="CU262" s="108"/>
      <c r="CV262" s="109"/>
      <c r="CW262" s="644"/>
      <c r="CX262" s="496"/>
      <c r="CY262" s="637"/>
      <c r="CZ262" s="644"/>
      <c r="DA262" s="644"/>
      <c r="DB262" s="644"/>
      <c r="DC262" s="496"/>
      <c r="DD262" s="644"/>
      <c r="DE262" s="101"/>
      <c r="DF262" s="644"/>
      <c r="DG262" s="101"/>
      <c r="DH262" s="644"/>
      <c r="DI262" s="644"/>
      <c r="DJ262" s="644"/>
      <c r="DK262" s="644"/>
      <c r="DL262" s="644"/>
      <c r="DM262" s="101"/>
      <c r="DN262" s="644"/>
      <c r="DO262" s="644"/>
      <c r="DP262" s="644"/>
      <c r="DQ262" s="644"/>
      <c r="DR262" s="644"/>
      <c r="DS262" s="644"/>
      <c r="DT262" s="644"/>
      <c r="DU262" s="644"/>
      <c r="DV262" s="644"/>
      <c r="DW262" s="101"/>
      <c r="DX262" s="646"/>
      <c r="DY262" s="646"/>
      <c r="DZ262" s="646"/>
      <c r="EA262" s="646"/>
      <c r="EB262" s="646"/>
      <c r="EC262" s="646"/>
      <c r="ED262" s="646"/>
      <c r="EE262" s="646"/>
      <c r="EF262" s="646"/>
      <c r="EG262" s="646"/>
      <c r="EH262" s="646"/>
      <c r="EI262" s="646"/>
      <c r="EJ262" s="646"/>
      <c r="EK262" s="271"/>
      <c r="EL262" s="644"/>
      <c r="EM262" s="634"/>
      <c r="EN262" s="647"/>
      <c r="EO262" s="648"/>
      <c r="EP262" s="647"/>
      <c r="EQ262" s="647"/>
      <c r="ER262" s="647"/>
      <c r="ES262" s="139"/>
      <c r="EV262" s="647"/>
      <c r="EW262" s="647"/>
      <c r="EX262" s="647"/>
      <c r="EY262" s="647"/>
      <c r="EZ262" s="647"/>
      <c r="FA262" s="646"/>
      <c r="FB262" s="646"/>
      <c r="FC262" s="646"/>
      <c r="FD262" s="646"/>
      <c r="FE262" s="646"/>
      <c r="FF262" s="646"/>
      <c r="FG262" s="647"/>
      <c r="FH262" s="647"/>
      <c r="FI262" s="647"/>
      <c r="FJ262" s="647"/>
      <c r="FK262" s="647"/>
      <c r="FL262" s="647"/>
      <c r="FM262" s="647"/>
      <c r="FN262" s="647"/>
      <c r="FO262" s="647"/>
      <c r="FP262" s="647"/>
      <c r="FQ262" s="647"/>
      <c r="FR262" s="647"/>
      <c r="FS262" s="101"/>
      <c r="FT262" s="95"/>
      <c r="FU262" s="651"/>
      <c r="FV262" s="101"/>
      <c r="FW262" s="101"/>
      <c r="FX262" s="634"/>
      <c r="FY262" s="634"/>
      <c r="FZ262" s="634"/>
      <c r="GA262" s="634"/>
      <c r="GB262" s="634"/>
      <c r="GC262" s="634"/>
      <c r="GD262" s="634"/>
      <c r="GE262" s="634"/>
      <c r="GF262" s="634"/>
      <c r="GG262" s="634"/>
      <c r="GH262" s="634"/>
      <c r="GI262" s="634"/>
      <c r="GJ262" s="634"/>
      <c r="GK262" s="634"/>
      <c r="GL262" s="101"/>
      <c r="GM262" s="101"/>
      <c r="GN262" s="101"/>
      <c r="GO262" s="643"/>
      <c r="GP262" s="644"/>
      <c r="GQ262" s="643"/>
      <c r="GR262" s="644"/>
      <c r="GS262" s="643"/>
      <c r="GT262" s="644"/>
      <c r="GU262" s="644"/>
      <c r="GV262" s="644"/>
      <c r="GW262" s="644"/>
      <c r="GX262" s="644"/>
      <c r="GY262" s="644"/>
      <c r="GZ262" s="644"/>
      <c r="HA262" s="644"/>
    </row>
    <row r="263" spans="1:209">
      <c r="A263" s="638"/>
      <c r="B263" s="95"/>
      <c r="C263" s="95"/>
      <c r="D263" s="95"/>
      <c r="E263" s="650"/>
      <c r="F263" s="95"/>
      <c r="G263" s="98"/>
      <c r="H263" s="99"/>
      <c r="I263" s="95"/>
      <c r="J263" s="95"/>
      <c r="K263" s="95"/>
      <c r="L263" s="95"/>
      <c r="M263" s="95"/>
      <c r="N263" s="95"/>
      <c r="O263" s="95"/>
      <c r="P263" s="95"/>
      <c r="Q263" s="95"/>
      <c r="R263" s="98"/>
      <c r="S263" s="101"/>
      <c r="T263" s="644"/>
      <c r="U263" s="101"/>
      <c r="V263" s="647"/>
      <c r="W263" s="643"/>
      <c r="X263" s="644"/>
      <c r="Y263" s="101"/>
      <c r="Z263" s="644"/>
      <c r="AA263" s="101"/>
      <c r="AB263" s="644"/>
      <c r="AC263" s="101"/>
      <c r="AD263" s="646"/>
      <c r="AE263" s="271"/>
      <c r="AF263" s="646"/>
      <c r="AG263" s="646"/>
      <c r="AH263" s="646"/>
      <c r="AI263" s="646"/>
      <c r="AJ263" s="646"/>
      <c r="AK263" s="646"/>
      <c r="AL263" s="646"/>
      <c r="AM263" s="271"/>
      <c r="AN263" s="646"/>
      <c r="AO263" s="646"/>
      <c r="AP263" s="646"/>
      <c r="AQ263" s="271"/>
      <c r="AR263" s="646"/>
      <c r="AS263" s="270"/>
      <c r="AT263" s="646"/>
      <c r="AU263" s="646"/>
      <c r="AV263" s="646"/>
      <c r="AW263" s="270"/>
      <c r="AX263" s="646"/>
      <c r="AY263" s="270"/>
      <c r="AZ263" s="646"/>
      <c r="BA263" s="646"/>
      <c r="BB263" s="644"/>
      <c r="BC263" s="644"/>
      <c r="BD263" s="644"/>
      <c r="BE263" s="644"/>
      <c r="BF263" s="644"/>
      <c r="BG263" s="644"/>
      <c r="BH263" s="644"/>
      <c r="BI263" s="644"/>
      <c r="BJ263" s="644"/>
      <c r="BK263" s="644"/>
      <c r="BL263" s="644"/>
      <c r="BM263" s="95"/>
      <c r="BN263" s="644"/>
      <c r="BO263" s="95"/>
      <c r="BP263" s="644"/>
      <c r="BQ263" s="644"/>
      <c r="BR263" s="644"/>
      <c r="BS263" s="644"/>
      <c r="BT263" s="644"/>
      <c r="BU263" s="644"/>
      <c r="BV263" s="644"/>
      <c r="BW263" s="644"/>
      <c r="BX263" s="644"/>
      <c r="BY263" s="644"/>
      <c r="BZ263" s="644"/>
      <c r="CA263" s="644"/>
      <c r="CB263" s="644"/>
      <c r="CC263" s="644"/>
      <c r="CD263" s="644"/>
      <c r="CE263" s="644"/>
      <c r="CF263" s="644"/>
      <c r="CG263" s="644"/>
      <c r="CH263" s="644"/>
      <c r="CI263" s="644"/>
      <c r="CJ263" s="644"/>
      <c r="CK263" s="644"/>
      <c r="CL263" s="644"/>
      <c r="CM263" s="95"/>
      <c r="CN263" s="644"/>
      <c r="CO263" s="644"/>
      <c r="CP263" s="95"/>
      <c r="CQ263" s="98"/>
      <c r="CR263" s="95"/>
      <c r="CS263" s="95"/>
      <c r="CT263" s="95"/>
      <c r="CU263" s="108"/>
      <c r="CV263" s="109"/>
      <c r="CW263" s="644"/>
      <c r="CX263" s="496"/>
      <c r="CY263" s="637"/>
      <c r="CZ263" s="644"/>
      <c r="DA263" s="644"/>
      <c r="DB263" s="644"/>
      <c r="DC263" s="496"/>
      <c r="DD263" s="644"/>
      <c r="DE263" s="101"/>
      <c r="DF263" s="644"/>
      <c r="DG263" s="101"/>
      <c r="DH263" s="644"/>
      <c r="DI263" s="644"/>
      <c r="DJ263" s="644"/>
      <c r="DK263" s="644"/>
      <c r="DL263" s="644"/>
      <c r="DM263" s="101"/>
      <c r="DN263" s="644"/>
      <c r="DO263" s="644"/>
      <c r="DP263" s="644"/>
      <c r="DQ263" s="644"/>
      <c r="DR263" s="644"/>
      <c r="DS263" s="644"/>
      <c r="DT263" s="644"/>
      <c r="DU263" s="644"/>
      <c r="DV263" s="644"/>
      <c r="DW263" s="101"/>
      <c r="DX263" s="646"/>
      <c r="DY263" s="646"/>
      <c r="DZ263" s="646"/>
      <c r="EA263" s="646"/>
      <c r="EB263" s="646"/>
      <c r="EC263" s="646"/>
      <c r="ED263" s="646"/>
      <c r="EE263" s="646"/>
      <c r="EF263" s="646"/>
      <c r="EG263" s="646"/>
      <c r="EH263" s="646"/>
      <c r="EI263" s="646"/>
      <c r="EJ263" s="646"/>
      <c r="EK263" s="271"/>
      <c r="EL263" s="644"/>
      <c r="EM263" s="634"/>
      <c r="EN263" s="647"/>
      <c r="EO263" s="648"/>
      <c r="EP263" s="647"/>
      <c r="EQ263" s="647"/>
      <c r="ER263" s="647"/>
      <c r="ES263" s="139"/>
      <c r="EV263" s="647"/>
      <c r="EW263" s="647"/>
      <c r="EX263" s="647"/>
      <c r="EY263" s="647"/>
      <c r="EZ263" s="647"/>
      <c r="FA263" s="646"/>
      <c r="FB263" s="646"/>
      <c r="FC263" s="646"/>
      <c r="FD263" s="646"/>
      <c r="FE263" s="646"/>
      <c r="FF263" s="646"/>
      <c r="FG263" s="647"/>
      <c r="FH263" s="647"/>
      <c r="FI263" s="647"/>
      <c r="FJ263" s="647"/>
      <c r="FK263" s="647"/>
      <c r="FL263" s="647"/>
      <c r="FM263" s="647"/>
      <c r="FN263" s="647"/>
      <c r="FO263" s="647"/>
      <c r="FP263" s="647"/>
      <c r="FQ263" s="647"/>
      <c r="FR263" s="647"/>
      <c r="FS263" s="101"/>
      <c r="FT263" s="95"/>
      <c r="FU263" s="651"/>
      <c r="FV263" s="101"/>
      <c r="FW263" s="101"/>
      <c r="FX263" s="634"/>
      <c r="FY263" s="634"/>
      <c r="FZ263" s="634"/>
      <c r="GA263" s="634"/>
      <c r="GB263" s="634"/>
      <c r="GC263" s="634"/>
      <c r="GD263" s="634"/>
      <c r="GE263" s="634"/>
      <c r="GF263" s="634"/>
      <c r="GG263" s="634"/>
      <c r="GH263" s="634"/>
      <c r="GI263" s="634"/>
      <c r="GJ263" s="634"/>
      <c r="GK263" s="634"/>
      <c r="GL263" s="101"/>
      <c r="GM263" s="101"/>
      <c r="GN263" s="101"/>
      <c r="GO263" s="643"/>
      <c r="GP263" s="644"/>
      <c r="GQ263" s="643"/>
      <c r="GR263" s="644"/>
      <c r="GS263" s="643"/>
      <c r="GT263" s="644"/>
      <c r="GU263" s="644"/>
      <c r="GV263" s="644"/>
      <c r="GW263" s="644"/>
      <c r="GX263" s="644"/>
      <c r="GY263" s="644"/>
      <c r="GZ263" s="644"/>
      <c r="HA263" s="644"/>
    </row>
    <row r="264" spans="1:209">
      <c r="A264" s="638"/>
      <c r="B264" s="95"/>
      <c r="C264" s="95"/>
      <c r="D264" s="95"/>
      <c r="E264" s="650"/>
      <c r="F264" s="95"/>
      <c r="G264" s="98"/>
      <c r="H264" s="99"/>
      <c r="I264" s="95"/>
      <c r="J264" s="95"/>
      <c r="K264" s="95"/>
      <c r="L264" s="95"/>
      <c r="M264" s="95"/>
      <c r="N264" s="95"/>
      <c r="O264" s="95"/>
      <c r="P264" s="95"/>
      <c r="Q264" s="95"/>
      <c r="R264" s="98"/>
      <c r="S264" s="101"/>
      <c r="T264" s="644"/>
      <c r="U264" s="101"/>
      <c r="V264" s="647"/>
      <c r="W264" s="643"/>
      <c r="X264" s="644"/>
      <c r="Y264" s="101"/>
      <c r="Z264" s="644"/>
      <c r="AA264" s="101"/>
      <c r="AB264" s="644"/>
      <c r="AC264" s="101"/>
      <c r="AD264" s="646"/>
      <c r="AE264" s="271"/>
      <c r="AF264" s="646"/>
      <c r="AG264" s="646"/>
      <c r="AH264" s="646"/>
      <c r="AI264" s="646"/>
      <c r="AJ264" s="646"/>
      <c r="AK264" s="646"/>
      <c r="AL264" s="646"/>
      <c r="AM264" s="271"/>
      <c r="AN264" s="646"/>
      <c r="AO264" s="646"/>
      <c r="AP264" s="646"/>
      <c r="AQ264" s="271"/>
      <c r="AR264" s="646"/>
      <c r="AS264" s="270"/>
      <c r="AT264" s="646"/>
      <c r="AU264" s="646"/>
      <c r="AV264" s="646"/>
      <c r="AW264" s="270"/>
      <c r="AX264" s="646"/>
      <c r="AY264" s="270"/>
      <c r="AZ264" s="646"/>
      <c r="BA264" s="646"/>
      <c r="BB264" s="644"/>
      <c r="BC264" s="644"/>
      <c r="BD264" s="644"/>
      <c r="BE264" s="644"/>
      <c r="BF264" s="644"/>
      <c r="BG264" s="644"/>
      <c r="BH264" s="644"/>
      <c r="BI264" s="644"/>
      <c r="BJ264" s="644"/>
      <c r="BK264" s="644"/>
      <c r="BL264" s="644"/>
      <c r="BM264" s="95"/>
      <c r="BN264" s="644"/>
      <c r="BO264" s="95"/>
      <c r="BP264" s="644"/>
      <c r="BQ264" s="644"/>
      <c r="BR264" s="644"/>
      <c r="BS264" s="644"/>
      <c r="BT264" s="644"/>
      <c r="BU264" s="644"/>
      <c r="BV264" s="644"/>
      <c r="BW264" s="644"/>
      <c r="BX264" s="644"/>
      <c r="BY264" s="644"/>
      <c r="BZ264" s="644"/>
      <c r="CA264" s="644"/>
      <c r="CB264" s="644"/>
      <c r="CC264" s="644"/>
      <c r="CD264" s="644"/>
      <c r="CE264" s="644"/>
      <c r="CF264" s="644"/>
      <c r="CG264" s="644"/>
      <c r="CH264" s="644"/>
      <c r="CI264" s="644"/>
      <c r="CJ264" s="644"/>
      <c r="CK264" s="644"/>
      <c r="CL264" s="644"/>
      <c r="CM264" s="95"/>
      <c r="CN264" s="644"/>
      <c r="CO264" s="644"/>
      <c r="CP264" s="95"/>
      <c r="CQ264" s="98"/>
      <c r="CR264" s="95"/>
      <c r="CS264" s="95"/>
      <c r="CT264" s="95"/>
      <c r="CU264" s="108"/>
      <c r="CV264" s="109"/>
      <c r="CW264" s="644"/>
      <c r="CX264" s="496"/>
      <c r="CY264" s="637"/>
      <c r="CZ264" s="644"/>
      <c r="DA264" s="644"/>
      <c r="DB264" s="644"/>
      <c r="DC264" s="496"/>
      <c r="DD264" s="644"/>
      <c r="DE264" s="101"/>
      <c r="DF264" s="644"/>
      <c r="DG264" s="101"/>
      <c r="DH264" s="644"/>
      <c r="DI264" s="644"/>
      <c r="DJ264" s="644"/>
      <c r="DK264" s="644"/>
      <c r="DL264" s="644"/>
      <c r="DM264" s="101"/>
      <c r="DN264" s="644"/>
      <c r="DO264" s="644"/>
      <c r="DP264" s="644"/>
      <c r="DQ264" s="644"/>
      <c r="DR264" s="644"/>
      <c r="DS264" s="644"/>
      <c r="DT264" s="644"/>
      <c r="DU264" s="644"/>
      <c r="DV264" s="644"/>
      <c r="DW264" s="101"/>
      <c r="DX264" s="646"/>
      <c r="DY264" s="646"/>
      <c r="DZ264" s="646"/>
      <c r="EA264" s="646"/>
      <c r="EB264" s="646"/>
      <c r="EC264" s="646"/>
      <c r="ED264" s="646"/>
      <c r="EE264" s="646"/>
      <c r="EF264" s="646"/>
      <c r="EG264" s="646"/>
      <c r="EH264" s="646"/>
      <c r="EI264" s="646"/>
      <c r="EJ264" s="646"/>
      <c r="EK264" s="271"/>
      <c r="EL264" s="644"/>
      <c r="EM264" s="634"/>
      <c r="EN264" s="647"/>
      <c r="EO264" s="648"/>
      <c r="EP264" s="647"/>
      <c r="EQ264" s="647"/>
      <c r="ER264" s="647"/>
      <c r="ES264" s="139"/>
      <c r="EV264" s="647"/>
      <c r="EW264" s="647"/>
      <c r="EX264" s="647"/>
      <c r="EY264" s="647"/>
      <c r="EZ264" s="647"/>
      <c r="FA264" s="646"/>
      <c r="FB264" s="646"/>
      <c r="FC264" s="646"/>
      <c r="FD264" s="646"/>
      <c r="FE264" s="646"/>
      <c r="FF264" s="646"/>
      <c r="FG264" s="647"/>
      <c r="FH264" s="647"/>
      <c r="FI264" s="647"/>
      <c r="FJ264" s="647"/>
      <c r="FK264" s="647"/>
      <c r="FL264" s="647"/>
      <c r="FM264" s="647"/>
      <c r="FN264" s="647"/>
      <c r="FO264" s="647"/>
      <c r="FP264" s="647"/>
      <c r="FQ264" s="647"/>
      <c r="FR264" s="647"/>
      <c r="FS264" s="101"/>
      <c r="FT264" s="95"/>
      <c r="FU264" s="651"/>
      <c r="FV264" s="101"/>
      <c r="FW264" s="101"/>
      <c r="FX264" s="634"/>
      <c r="FY264" s="634"/>
      <c r="FZ264" s="634"/>
      <c r="GA264" s="634"/>
      <c r="GB264" s="634"/>
      <c r="GC264" s="634"/>
      <c r="GD264" s="634"/>
      <c r="GE264" s="634"/>
      <c r="GF264" s="634"/>
      <c r="GG264" s="634"/>
      <c r="GH264" s="634"/>
      <c r="GI264" s="634"/>
      <c r="GJ264" s="634"/>
      <c r="GK264" s="634"/>
      <c r="GL264" s="101"/>
      <c r="GM264" s="101"/>
      <c r="GN264" s="101"/>
      <c r="GO264" s="643"/>
      <c r="GP264" s="644"/>
      <c r="GQ264" s="643"/>
      <c r="GR264" s="644"/>
      <c r="GS264" s="643"/>
      <c r="GT264" s="644"/>
      <c r="GU264" s="644"/>
      <c r="GV264" s="644"/>
      <c r="GW264" s="644"/>
      <c r="GX264" s="644"/>
      <c r="GY264" s="644"/>
      <c r="GZ264" s="644"/>
      <c r="HA264" s="644"/>
    </row>
    <row r="265" spans="1:209">
      <c r="A265" s="638"/>
      <c r="B265" s="95"/>
      <c r="C265" s="95"/>
      <c r="D265" s="95"/>
      <c r="E265" s="650"/>
      <c r="F265" s="95"/>
      <c r="G265" s="98"/>
      <c r="H265" s="99"/>
      <c r="I265" s="95"/>
      <c r="J265" s="95"/>
      <c r="K265" s="95"/>
      <c r="L265" s="95"/>
      <c r="M265" s="95"/>
      <c r="N265" s="95"/>
      <c r="O265" s="95"/>
      <c r="P265" s="95"/>
      <c r="Q265" s="95"/>
      <c r="R265" s="98"/>
      <c r="S265" s="101"/>
      <c r="T265" s="644"/>
      <c r="U265" s="101"/>
      <c r="V265" s="647"/>
      <c r="W265" s="643"/>
      <c r="X265" s="644"/>
      <c r="Y265" s="101"/>
      <c r="Z265" s="644"/>
      <c r="AA265" s="101"/>
      <c r="AB265" s="644"/>
      <c r="AC265" s="101"/>
      <c r="AD265" s="646"/>
      <c r="AE265" s="271"/>
      <c r="AF265" s="646"/>
      <c r="AG265" s="646"/>
      <c r="AH265" s="646"/>
      <c r="AI265" s="646"/>
      <c r="AJ265" s="646"/>
      <c r="AK265" s="646"/>
      <c r="AL265" s="646"/>
      <c r="AM265" s="271"/>
      <c r="AN265" s="646"/>
      <c r="AO265" s="646"/>
      <c r="AP265" s="646"/>
      <c r="AQ265" s="271"/>
      <c r="AR265" s="646"/>
      <c r="AS265" s="270"/>
      <c r="AT265" s="646"/>
      <c r="AU265" s="646"/>
      <c r="AV265" s="646"/>
      <c r="AW265" s="270"/>
      <c r="AX265" s="646"/>
      <c r="AY265" s="270"/>
      <c r="AZ265" s="646"/>
      <c r="BA265" s="646"/>
      <c r="BB265" s="644"/>
      <c r="BC265" s="644"/>
      <c r="BD265" s="644"/>
      <c r="BE265" s="644"/>
      <c r="BF265" s="644"/>
      <c r="BG265" s="644"/>
      <c r="BH265" s="644"/>
      <c r="BI265" s="644"/>
      <c r="BJ265" s="644"/>
      <c r="BK265" s="644"/>
      <c r="BL265" s="644"/>
      <c r="BM265" s="95"/>
      <c r="BN265" s="644"/>
      <c r="BO265" s="95"/>
      <c r="BP265" s="644"/>
      <c r="BQ265" s="644"/>
      <c r="BR265" s="644"/>
      <c r="BS265" s="644"/>
      <c r="BT265" s="644"/>
      <c r="BU265" s="644"/>
      <c r="BV265" s="644"/>
      <c r="BW265" s="644"/>
      <c r="BX265" s="644"/>
      <c r="BY265" s="644"/>
      <c r="BZ265" s="644"/>
      <c r="CA265" s="644"/>
      <c r="CB265" s="644"/>
      <c r="CC265" s="644"/>
      <c r="CD265" s="644"/>
      <c r="CE265" s="644"/>
      <c r="CF265" s="644"/>
      <c r="CG265" s="644"/>
      <c r="CH265" s="644"/>
      <c r="CI265" s="644"/>
      <c r="CJ265" s="644"/>
      <c r="CK265" s="644"/>
      <c r="CL265" s="644"/>
      <c r="CM265" s="95"/>
      <c r="CN265" s="644"/>
      <c r="CO265" s="644"/>
      <c r="CP265" s="95"/>
      <c r="CQ265" s="98"/>
      <c r="CR265" s="95"/>
      <c r="CS265" s="95"/>
      <c r="CT265" s="95"/>
      <c r="CU265" s="108"/>
      <c r="CV265" s="109"/>
      <c r="CW265" s="644"/>
      <c r="CX265" s="496"/>
      <c r="CY265" s="637"/>
      <c r="CZ265" s="644"/>
      <c r="DA265" s="644"/>
      <c r="DB265" s="644"/>
      <c r="DC265" s="496"/>
      <c r="DD265" s="644"/>
      <c r="DE265" s="101"/>
      <c r="DF265" s="644"/>
      <c r="DG265" s="101"/>
      <c r="DH265" s="644"/>
      <c r="DI265" s="644"/>
      <c r="DJ265" s="644"/>
      <c r="DK265" s="644"/>
      <c r="DL265" s="644"/>
      <c r="DM265" s="101"/>
      <c r="DN265" s="644"/>
      <c r="DO265" s="644"/>
      <c r="DP265" s="644"/>
      <c r="DQ265" s="644"/>
      <c r="DR265" s="644"/>
      <c r="DS265" s="644"/>
      <c r="DT265" s="644"/>
      <c r="DU265" s="644"/>
      <c r="DV265" s="644"/>
      <c r="DW265" s="101"/>
      <c r="DX265" s="646"/>
      <c r="DY265" s="646"/>
      <c r="DZ265" s="646"/>
      <c r="EA265" s="646"/>
      <c r="EB265" s="646"/>
      <c r="EC265" s="646"/>
      <c r="ED265" s="646"/>
      <c r="EE265" s="646"/>
      <c r="EF265" s="646"/>
      <c r="EG265" s="646"/>
      <c r="EH265" s="646"/>
      <c r="EI265" s="646"/>
      <c r="EJ265" s="646"/>
      <c r="EK265" s="271"/>
      <c r="EL265" s="644"/>
      <c r="EM265" s="634"/>
      <c r="EN265" s="647"/>
      <c r="EO265" s="648"/>
      <c r="EP265" s="647"/>
      <c r="EQ265" s="647"/>
      <c r="ER265" s="647"/>
      <c r="ES265" s="139"/>
      <c r="EV265" s="647"/>
      <c r="EW265" s="647"/>
      <c r="EX265" s="647"/>
      <c r="EY265" s="647"/>
      <c r="EZ265" s="647"/>
      <c r="FA265" s="646"/>
      <c r="FB265" s="646"/>
      <c r="FC265" s="646"/>
      <c r="FD265" s="646"/>
      <c r="FE265" s="646"/>
      <c r="FF265" s="646"/>
      <c r="FG265" s="647"/>
      <c r="FH265" s="647"/>
      <c r="FI265" s="647"/>
      <c r="FJ265" s="647"/>
      <c r="FK265" s="647"/>
      <c r="FL265" s="647"/>
      <c r="FM265" s="647"/>
      <c r="FN265" s="647"/>
      <c r="FO265" s="647"/>
      <c r="FP265" s="647"/>
      <c r="FQ265" s="647"/>
      <c r="FR265" s="647"/>
      <c r="FS265" s="101"/>
      <c r="FT265" s="95"/>
      <c r="FU265" s="651"/>
      <c r="FV265" s="101"/>
      <c r="FW265" s="101"/>
      <c r="FX265" s="634"/>
      <c r="FY265" s="634"/>
      <c r="FZ265" s="634"/>
      <c r="GA265" s="634"/>
      <c r="GB265" s="634"/>
      <c r="GC265" s="634"/>
      <c r="GD265" s="634"/>
      <c r="GE265" s="634"/>
      <c r="GF265" s="634"/>
      <c r="GG265" s="634"/>
      <c r="GH265" s="634"/>
      <c r="GI265" s="634"/>
      <c r="GJ265" s="634"/>
      <c r="GK265" s="634"/>
      <c r="GL265" s="101"/>
      <c r="GM265" s="101"/>
      <c r="GN265" s="101"/>
      <c r="GO265" s="643"/>
      <c r="GP265" s="644"/>
      <c r="GQ265" s="643"/>
      <c r="GR265" s="644"/>
      <c r="GS265" s="643"/>
      <c r="GT265" s="644"/>
      <c r="GU265" s="644"/>
      <c r="GV265" s="644"/>
      <c r="GW265" s="644"/>
      <c r="GX265" s="644"/>
      <c r="GY265" s="644"/>
      <c r="GZ265" s="644"/>
      <c r="HA265" s="644"/>
    </row>
    <row r="266" spans="1:209">
      <c r="A266" s="638"/>
      <c r="B266" s="95"/>
      <c r="C266" s="95"/>
      <c r="D266" s="95"/>
      <c r="E266" s="650"/>
      <c r="F266" s="95"/>
      <c r="G266" s="98"/>
      <c r="H266" s="99"/>
      <c r="I266" s="95"/>
      <c r="J266" s="95"/>
      <c r="K266" s="95"/>
      <c r="L266" s="95"/>
      <c r="M266" s="95"/>
      <c r="N266" s="95"/>
      <c r="O266" s="95"/>
      <c r="P266" s="95"/>
      <c r="Q266" s="95"/>
      <c r="R266" s="98"/>
      <c r="S266" s="101"/>
      <c r="T266" s="644"/>
      <c r="U266" s="101"/>
      <c r="V266" s="647"/>
      <c r="W266" s="643"/>
      <c r="X266" s="644"/>
      <c r="Y266" s="101"/>
      <c r="Z266" s="644"/>
      <c r="AA266" s="101"/>
      <c r="AB266" s="644"/>
      <c r="AC266" s="101"/>
      <c r="AD266" s="646"/>
      <c r="AE266" s="271"/>
      <c r="AF266" s="646"/>
      <c r="AG266" s="646"/>
      <c r="AH266" s="646"/>
      <c r="AI266" s="646"/>
      <c r="AJ266" s="646"/>
      <c r="AK266" s="646"/>
      <c r="AL266" s="646"/>
      <c r="AM266" s="271"/>
      <c r="AN266" s="646"/>
      <c r="AO266" s="646"/>
      <c r="AP266" s="646"/>
      <c r="AQ266" s="271"/>
      <c r="AR266" s="646"/>
      <c r="AS266" s="270"/>
      <c r="AT266" s="646"/>
      <c r="AU266" s="646"/>
      <c r="AV266" s="646"/>
      <c r="AW266" s="270"/>
      <c r="AX266" s="646"/>
      <c r="AY266" s="270"/>
      <c r="AZ266" s="646"/>
      <c r="BA266" s="646"/>
      <c r="BB266" s="644"/>
      <c r="BC266" s="644"/>
      <c r="BD266" s="644"/>
      <c r="BE266" s="644"/>
      <c r="BF266" s="644"/>
      <c r="BG266" s="644"/>
      <c r="BH266" s="644"/>
      <c r="BI266" s="644"/>
      <c r="BJ266" s="644"/>
      <c r="BK266" s="644"/>
      <c r="BL266" s="644"/>
      <c r="BM266" s="95"/>
      <c r="BN266" s="644"/>
      <c r="BO266" s="95"/>
      <c r="BP266" s="644"/>
      <c r="BQ266" s="644"/>
      <c r="BR266" s="644"/>
      <c r="BS266" s="644"/>
      <c r="BT266" s="644"/>
      <c r="BU266" s="644"/>
      <c r="BV266" s="644"/>
      <c r="BW266" s="644"/>
      <c r="BX266" s="644"/>
      <c r="BY266" s="644"/>
      <c r="BZ266" s="644"/>
      <c r="CA266" s="644"/>
      <c r="CB266" s="644"/>
      <c r="CC266" s="644"/>
      <c r="CD266" s="644"/>
      <c r="CE266" s="644"/>
      <c r="CF266" s="644"/>
      <c r="CG266" s="644"/>
      <c r="CH266" s="644"/>
      <c r="CI266" s="644"/>
      <c r="CJ266" s="644"/>
      <c r="CK266" s="644"/>
      <c r="CL266" s="644"/>
      <c r="CM266" s="95"/>
      <c r="CN266" s="644"/>
      <c r="CO266" s="644"/>
      <c r="CP266" s="95"/>
      <c r="CQ266" s="98"/>
      <c r="CR266" s="95"/>
      <c r="CS266" s="95"/>
      <c r="CT266" s="95"/>
      <c r="CU266" s="108"/>
      <c r="CV266" s="109"/>
      <c r="CW266" s="644"/>
      <c r="CX266" s="496"/>
      <c r="CY266" s="637"/>
      <c r="CZ266" s="644"/>
      <c r="DA266" s="644"/>
      <c r="DB266" s="644"/>
      <c r="DC266" s="496"/>
      <c r="DD266" s="644"/>
      <c r="DE266" s="101"/>
      <c r="DF266" s="644"/>
      <c r="DG266" s="101"/>
      <c r="DH266" s="644"/>
      <c r="DI266" s="644"/>
      <c r="DJ266" s="644"/>
      <c r="DK266" s="644"/>
      <c r="DL266" s="644"/>
      <c r="DM266" s="101"/>
      <c r="DN266" s="644"/>
      <c r="DO266" s="644"/>
      <c r="DP266" s="644"/>
      <c r="DQ266" s="644"/>
      <c r="DR266" s="644"/>
      <c r="DS266" s="644"/>
      <c r="DT266" s="644"/>
      <c r="DU266" s="644"/>
      <c r="DV266" s="644"/>
      <c r="DW266" s="101"/>
      <c r="DX266" s="646"/>
      <c r="DY266" s="646"/>
      <c r="DZ266" s="646"/>
      <c r="EA266" s="646"/>
      <c r="EB266" s="646"/>
      <c r="EC266" s="646"/>
      <c r="ED266" s="646"/>
      <c r="EE266" s="646"/>
      <c r="EF266" s="646"/>
      <c r="EG266" s="646"/>
      <c r="EH266" s="646"/>
      <c r="EI266" s="646"/>
      <c r="EJ266" s="646"/>
      <c r="EK266" s="271"/>
      <c r="EL266" s="644"/>
      <c r="EM266" s="634"/>
      <c r="EN266" s="647"/>
      <c r="EO266" s="648"/>
      <c r="EP266" s="647"/>
      <c r="EQ266" s="647"/>
      <c r="ER266" s="647"/>
      <c r="ES266" s="139"/>
      <c r="EV266" s="647"/>
      <c r="EW266" s="647"/>
      <c r="EX266" s="647"/>
      <c r="EY266" s="647"/>
      <c r="EZ266" s="647"/>
      <c r="FA266" s="646"/>
      <c r="FB266" s="646"/>
      <c r="FC266" s="646"/>
      <c r="FD266" s="646"/>
      <c r="FE266" s="646"/>
      <c r="FF266" s="646"/>
      <c r="FG266" s="647"/>
      <c r="FH266" s="647"/>
      <c r="FI266" s="647"/>
      <c r="FJ266" s="647"/>
      <c r="FK266" s="647"/>
      <c r="FL266" s="647"/>
      <c r="FM266" s="647"/>
      <c r="FN266" s="647"/>
      <c r="FO266" s="647"/>
      <c r="FP266" s="647"/>
      <c r="FQ266" s="647"/>
      <c r="FR266" s="647"/>
      <c r="FS266" s="101"/>
      <c r="FT266" s="95"/>
      <c r="FU266" s="651"/>
      <c r="FV266" s="101"/>
      <c r="FW266" s="101"/>
      <c r="FX266" s="634"/>
      <c r="FY266" s="634"/>
      <c r="FZ266" s="634"/>
      <c r="GA266" s="634"/>
      <c r="GB266" s="634"/>
      <c r="GC266" s="634"/>
      <c r="GD266" s="634"/>
      <c r="GE266" s="634"/>
      <c r="GF266" s="634"/>
      <c r="GG266" s="634"/>
      <c r="GH266" s="634"/>
      <c r="GI266" s="634"/>
      <c r="GJ266" s="634"/>
      <c r="GK266" s="634"/>
      <c r="GL266" s="101"/>
      <c r="GM266" s="101"/>
      <c r="GN266" s="101"/>
      <c r="GO266" s="643"/>
      <c r="GP266" s="644"/>
      <c r="GQ266" s="643"/>
      <c r="GR266" s="644"/>
      <c r="GS266" s="643"/>
      <c r="GT266" s="644"/>
      <c r="GU266" s="644"/>
      <c r="GV266" s="644"/>
      <c r="GW266" s="644"/>
      <c r="GX266" s="644"/>
      <c r="GY266" s="644"/>
      <c r="GZ266" s="644"/>
      <c r="HA266" s="644"/>
    </row>
    <row r="267" spans="1:209">
      <c r="A267" s="638"/>
      <c r="B267" s="95"/>
      <c r="C267" s="95"/>
      <c r="D267" s="95"/>
      <c r="E267" s="650"/>
      <c r="F267" s="95"/>
      <c r="G267" s="98"/>
      <c r="H267" s="99"/>
      <c r="I267" s="95"/>
      <c r="J267" s="95"/>
      <c r="K267" s="95"/>
      <c r="L267" s="95"/>
      <c r="M267" s="95"/>
      <c r="N267" s="95"/>
      <c r="O267" s="95"/>
      <c r="P267" s="95"/>
      <c r="Q267" s="95"/>
      <c r="R267" s="98"/>
      <c r="S267" s="101"/>
      <c r="T267" s="644"/>
      <c r="U267" s="101"/>
      <c r="V267" s="647"/>
      <c r="W267" s="643"/>
      <c r="X267" s="644"/>
      <c r="Y267" s="101"/>
      <c r="Z267" s="644"/>
      <c r="AA267" s="101"/>
      <c r="AB267" s="644"/>
      <c r="AC267" s="101"/>
      <c r="AD267" s="646"/>
      <c r="AE267" s="271"/>
      <c r="AF267" s="646"/>
      <c r="AG267" s="646"/>
      <c r="AH267" s="646"/>
      <c r="AI267" s="646"/>
      <c r="AJ267" s="646"/>
      <c r="AK267" s="646"/>
      <c r="AL267" s="646"/>
      <c r="AM267" s="271"/>
      <c r="AN267" s="646"/>
      <c r="AO267" s="646"/>
      <c r="AP267" s="646"/>
      <c r="AQ267" s="271"/>
      <c r="AR267" s="646"/>
      <c r="AS267" s="270"/>
      <c r="AT267" s="646"/>
      <c r="AU267" s="646"/>
      <c r="AV267" s="646"/>
      <c r="AW267" s="270"/>
      <c r="AX267" s="646"/>
      <c r="AY267" s="270"/>
      <c r="AZ267" s="646"/>
      <c r="BA267" s="646"/>
      <c r="BB267" s="644"/>
      <c r="BC267" s="644"/>
      <c r="BD267" s="644"/>
      <c r="BE267" s="644"/>
      <c r="BF267" s="644"/>
      <c r="BG267" s="644"/>
      <c r="BH267" s="644"/>
      <c r="BI267" s="644"/>
      <c r="BJ267" s="644"/>
      <c r="BK267" s="644"/>
      <c r="BL267" s="644"/>
      <c r="BM267" s="95"/>
      <c r="BN267" s="644"/>
      <c r="BO267" s="95"/>
      <c r="BP267" s="644"/>
      <c r="BQ267" s="644"/>
      <c r="BR267" s="644"/>
      <c r="BS267" s="644"/>
      <c r="BT267" s="644"/>
      <c r="BU267" s="644"/>
      <c r="BV267" s="644"/>
      <c r="BW267" s="644"/>
      <c r="BX267" s="644"/>
      <c r="BY267" s="644"/>
      <c r="BZ267" s="644"/>
      <c r="CA267" s="644"/>
      <c r="CB267" s="644"/>
      <c r="CC267" s="644"/>
      <c r="CD267" s="644"/>
      <c r="CE267" s="644"/>
      <c r="CF267" s="644"/>
      <c r="CG267" s="644"/>
      <c r="CH267" s="644"/>
      <c r="CI267" s="644"/>
      <c r="CJ267" s="644"/>
      <c r="CK267" s="644"/>
      <c r="CL267" s="644"/>
      <c r="CM267" s="95"/>
      <c r="CN267" s="644"/>
      <c r="CO267" s="644"/>
      <c r="CP267" s="95"/>
      <c r="CQ267" s="98"/>
      <c r="CR267" s="95"/>
      <c r="CS267" s="95"/>
      <c r="CT267" s="95"/>
      <c r="CU267" s="108"/>
      <c r="CV267" s="109"/>
      <c r="CW267" s="644"/>
      <c r="CX267" s="496"/>
      <c r="CY267" s="637"/>
      <c r="CZ267" s="644"/>
      <c r="DA267" s="644"/>
      <c r="DB267" s="644"/>
      <c r="DC267" s="496"/>
      <c r="DD267" s="644"/>
      <c r="DE267" s="101"/>
      <c r="DF267" s="644"/>
      <c r="DG267" s="101"/>
      <c r="DH267" s="644"/>
      <c r="DI267" s="644"/>
      <c r="DJ267" s="644"/>
      <c r="DK267" s="644"/>
      <c r="DL267" s="644"/>
      <c r="DM267" s="101"/>
      <c r="DN267" s="644"/>
      <c r="DO267" s="644"/>
      <c r="DP267" s="644"/>
      <c r="DQ267" s="644"/>
      <c r="DR267" s="644"/>
      <c r="DS267" s="644"/>
      <c r="DT267" s="644"/>
      <c r="DU267" s="644"/>
      <c r="DV267" s="644"/>
      <c r="DW267" s="101"/>
      <c r="DX267" s="646"/>
      <c r="DY267" s="646"/>
      <c r="DZ267" s="646"/>
      <c r="EA267" s="646"/>
      <c r="EB267" s="646"/>
      <c r="EC267" s="646"/>
      <c r="ED267" s="646"/>
      <c r="EE267" s="646"/>
      <c r="EF267" s="646"/>
      <c r="EG267" s="646"/>
      <c r="EH267" s="646"/>
      <c r="EI267" s="646"/>
      <c r="EJ267" s="646"/>
      <c r="EK267" s="271"/>
      <c r="EL267" s="644"/>
      <c r="EM267" s="634"/>
      <c r="EN267" s="647"/>
      <c r="EO267" s="648"/>
      <c r="EP267" s="647"/>
      <c r="EQ267" s="647"/>
      <c r="ER267" s="647"/>
      <c r="ES267" s="139"/>
      <c r="EV267" s="647"/>
      <c r="EW267" s="647"/>
      <c r="EX267" s="647"/>
      <c r="EY267" s="647"/>
      <c r="EZ267" s="647"/>
      <c r="FA267" s="646"/>
      <c r="FB267" s="646"/>
      <c r="FC267" s="646"/>
      <c r="FD267" s="646"/>
      <c r="FE267" s="646"/>
      <c r="FF267" s="646"/>
      <c r="FG267" s="647"/>
      <c r="FH267" s="647"/>
      <c r="FI267" s="647"/>
      <c r="FJ267" s="647"/>
      <c r="FK267" s="647"/>
      <c r="FL267" s="647"/>
      <c r="FM267" s="647"/>
      <c r="FN267" s="647"/>
      <c r="FO267" s="647"/>
      <c r="FP267" s="647"/>
      <c r="FQ267" s="647"/>
      <c r="FR267" s="647"/>
      <c r="FS267" s="101"/>
      <c r="FT267" s="95"/>
      <c r="FU267" s="651"/>
      <c r="FV267" s="101"/>
      <c r="FW267" s="101"/>
      <c r="FX267" s="634"/>
      <c r="FY267" s="634"/>
      <c r="FZ267" s="634"/>
      <c r="GA267" s="634"/>
      <c r="GB267" s="634"/>
      <c r="GC267" s="634"/>
      <c r="GD267" s="634"/>
      <c r="GE267" s="634"/>
      <c r="GF267" s="634"/>
      <c r="GG267" s="634"/>
      <c r="GH267" s="634"/>
      <c r="GI267" s="634"/>
      <c r="GJ267" s="634"/>
      <c r="GK267" s="634"/>
      <c r="GL267" s="101"/>
      <c r="GM267" s="101"/>
      <c r="GN267" s="101"/>
      <c r="GO267" s="643"/>
      <c r="GP267" s="644"/>
      <c r="GQ267" s="643"/>
      <c r="GR267" s="644"/>
      <c r="GS267" s="643"/>
      <c r="GT267" s="644"/>
      <c r="GU267" s="644"/>
      <c r="GV267" s="644"/>
      <c r="GW267" s="644"/>
      <c r="GX267" s="644"/>
      <c r="GY267" s="644"/>
      <c r="GZ267" s="644"/>
      <c r="HA267" s="644"/>
    </row>
    <row r="268" spans="1:209">
      <c r="A268" s="638"/>
      <c r="B268" s="95"/>
      <c r="C268" s="95"/>
      <c r="D268" s="95"/>
      <c r="E268" s="650"/>
      <c r="F268" s="95"/>
      <c r="G268" s="98"/>
      <c r="H268" s="99"/>
      <c r="I268" s="95"/>
      <c r="J268" s="95"/>
      <c r="K268" s="95"/>
      <c r="L268" s="95"/>
      <c r="M268" s="95"/>
      <c r="N268" s="95"/>
      <c r="O268" s="95"/>
      <c r="P268" s="95"/>
      <c r="Q268" s="95"/>
      <c r="R268" s="98"/>
      <c r="S268" s="101"/>
      <c r="T268" s="644"/>
      <c r="U268" s="101"/>
      <c r="V268" s="647"/>
      <c r="W268" s="643"/>
      <c r="X268" s="644"/>
      <c r="Y268" s="101"/>
      <c r="Z268" s="644"/>
      <c r="AA268" s="101"/>
      <c r="AB268" s="644"/>
      <c r="AC268" s="101"/>
      <c r="AD268" s="646"/>
      <c r="AE268" s="271"/>
      <c r="AF268" s="646"/>
      <c r="AG268" s="646"/>
      <c r="AH268" s="646"/>
      <c r="AI268" s="646"/>
      <c r="AJ268" s="646"/>
      <c r="AK268" s="646"/>
      <c r="AL268" s="646"/>
      <c r="AM268" s="271"/>
      <c r="AN268" s="646"/>
      <c r="AO268" s="646"/>
      <c r="AP268" s="646"/>
      <c r="AQ268" s="271"/>
      <c r="AR268" s="646"/>
      <c r="AS268" s="270"/>
      <c r="AT268" s="646"/>
      <c r="AU268" s="646"/>
      <c r="AV268" s="646"/>
      <c r="AW268" s="270"/>
      <c r="AX268" s="646"/>
      <c r="AY268" s="270"/>
      <c r="AZ268" s="646"/>
      <c r="BA268" s="646"/>
      <c r="BB268" s="644"/>
      <c r="BC268" s="644"/>
      <c r="BD268" s="644"/>
      <c r="BE268" s="644"/>
      <c r="BF268" s="644"/>
      <c r="BG268" s="644"/>
      <c r="BH268" s="644"/>
      <c r="BI268" s="644"/>
      <c r="BJ268" s="644"/>
      <c r="BK268" s="644"/>
      <c r="BL268" s="644"/>
      <c r="BM268" s="95"/>
      <c r="BN268" s="644"/>
      <c r="BO268" s="95"/>
      <c r="BP268" s="644"/>
      <c r="BQ268" s="644"/>
      <c r="BR268" s="644"/>
      <c r="BS268" s="644"/>
      <c r="BT268" s="644"/>
      <c r="BU268" s="644"/>
      <c r="BV268" s="644"/>
      <c r="BW268" s="644"/>
      <c r="BX268" s="644"/>
      <c r="BY268" s="644"/>
      <c r="BZ268" s="644"/>
      <c r="CA268" s="644"/>
      <c r="CB268" s="644"/>
      <c r="CC268" s="644"/>
      <c r="CD268" s="644"/>
      <c r="CE268" s="644"/>
      <c r="CF268" s="644"/>
      <c r="CG268" s="644"/>
      <c r="CH268" s="644"/>
      <c r="CI268" s="644"/>
      <c r="CJ268" s="644"/>
      <c r="CK268" s="644"/>
      <c r="CL268" s="644"/>
      <c r="CM268" s="95"/>
      <c r="CN268" s="644"/>
      <c r="CO268" s="644"/>
      <c r="CP268" s="95"/>
      <c r="CQ268" s="98"/>
      <c r="CR268" s="95"/>
      <c r="CS268" s="95"/>
      <c r="CT268" s="95"/>
      <c r="CU268" s="108"/>
      <c r="CV268" s="109"/>
      <c r="CW268" s="644"/>
      <c r="CX268" s="496"/>
      <c r="CY268" s="637"/>
      <c r="CZ268" s="644"/>
      <c r="DA268" s="644"/>
      <c r="DB268" s="644"/>
      <c r="DC268" s="496"/>
      <c r="DD268" s="644"/>
      <c r="DE268" s="101"/>
      <c r="DF268" s="644"/>
      <c r="DG268" s="101"/>
      <c r="DH268" s="644"/>
      <c r="DI268" s="644"/>
      <c r="DJ268" s="644"/>
      <c r="DK268" s="644"/>
      <c r="DL268" s="644"/>
      <c r="DM268" s="101"/>
      <c r="DN268" s="644"/>
      <c r="DO268" s="644"/>
      <c r="DP268" s="644"/>
      <c r="DQ268" s="644"/>
      <c r="DR268" s="644"/>
      <c r="DS268" s="644"/>
      <c r="DT268" s="644"/>
      <c r="DU268" s="644"/>
      <c r="DV268" s="644"/>
      <c r="DW268" s="101"/>
      <c r="DX268" s="646"/>
      <c r="DY268" s="646"/>
      <c r="DZ268" s="646"/>
      <c r="EA268" s="646"/>
      <c r="EB268" s="646"/>
      <c r="EC268" s="646"/>
      <c r="ED268" s="646"/>
      <c r="EE268" s="646"/>
      <c r="EF268" s="646"/>
      <c r="EG268" s="646"/>
      <c r="EH268" s="646"/>
      <c r="EI268" s="646"/>
      <c r="EJ268" s="646"/>
      <c r="EK268" s="271"/>
      <c r="EL268" s="644"/>
      <c r="EM268" s="634"/>
      <c r="EN268" s="647"/>
      <c r="EO268" s="648"/>
      <c r="EP268" s="647"/>
      <c r="EQ268" s="647"/>
      <c r="ER268" s="647"/>
      <c r="ES268" s="139"/>
      <c r="EV268" s="647"/>
      <c r="EW268" s="647"/>
      <c r="EX268" s="647"/>
      <c r="EY268" s="647"/>
      <c r="EZ268" s="647"/>
      <c r="FA268" s="646"/>
      <c r="FB268" s="646"/>
      <c r="FC268" s="646"/>
      <c r="FD268" s="646"/>
      <c r="FE268" s="646"/>
      <c r="FF268" s="646"/>
      <c r="FG268" s="647"/>
      <c r="FH268" s="647"/>
      <c r="FI268" s="647"/>
      <c r="FJ268" s="647"/>
      <c r="FK268" s="647"/>
      <c r="FL268" s="647"/>
      <c r="FM268" s="647"/>
      <c r="FN268" s="647"/>
      <c r="FO268" s="647"/>
      <c r="FP268" s="647"/>
      <c r="FQ268" s="647"/>
      <c r="FR268" s="647"/>
      <c r="FS268" s="101"/>
      <c r="FT268" s="95"/>
      <c r="FU268" s="651"/>
      <c r="FV268" s="101"/>
      <c r="FW268" s="101"/>
      <c r="FX268" s="634"/>
      <c r="FY268" s="634"/>
      <c r="FZ268" s="634"/>
      <c r="GA268" s="634"/>
      <c r="GB268" s="634"/>
      <c r="GC268" s="634"/>
      <c r="GD268" s="634"/>
      <c r="GE268" s="634"/>
      <c r="GF268" s="634"/>
      <c r="GG268" s="634"/>
      <c r="GH268" s="634"/>
      <c r="GI268" s="634"/>
      <c r="GJ268" s="634"/>
      <c r="GK268" s="634"/>
      <c r="GL268" s="101"/>
      <c r="GM268" s="101"/>
      <c r="GN268" s="101"/>
      <c r="GO268" s="643"/>
      <c r="GP268" s="644"/>
      <c r="GQ268" s="643"/>
      <c r="GR268" s="644"/>
      <c r="GS268" s="643"/>
      <c r="GT268" s="644"/>
      <c r="GU268" s="644"/>
      <c r="GV268" s="644"/>
      <c r="GW268" s="644"/>
      <c r="GX268" s="644"/>
      <c r="GY268" s="644"/>
      <c r="GZ268" s="644"/>
      <c r="HA268" s="644"/>
    </row>
    <row r="269" spans="1:209">
      <c r="A269" s="638"/>
      <c r="B269" s="95"/>
      <c r="C269" s="95"/>
      <c r="D269" s="95"/>
      <c r="E269" s="650"/>
      <c r="F269" s="95"/>
      <c r="G269" s="98"/>
      <c r="H269" s="99"/>
      <c r="I269" s="95"/>
      <c r="J269" s="95"/>
      <c r="K269" s="95"/>
      <c r="L269" s="95"/>
      <c r="M269" s="95"/>
      <c r="N269" s="95"/>
      <c r="O269" s="95"/>
      <c r="P269" s="95"/>
      <c r="Q269" s="95"/>
      <c r="R269" s="98"/>
      <c r="S269" s="101"/>
      <c r="T269" s="644"/>
      <c r="U269" s="101"/>
      <c r="V269" s="647"/>
      <c r="W269" s="643"/>
      <c r="X269" s="644"/>
      <c r="Y269" s="101"/>
      <c r="Z269" s="644"/>
      <c r="AA269" s="101"/>
      <c r="AB269" s="644"/>
      <c r="AC269" s="101"/>
      <c r="AD269" s="646"/>
      <c r="AE269" s="271"/>
      <c r="AF269" s="646"/>
      <c r="AG269" s="646"/>
      <c r="AH269" s="646"/>
      <c r="AI269" s="646"/>
      <c r="AJ269" s="646"/>
      <c r="AK269" s="646"/>
      <c r="AL269" s="646"/>
      <c r="AM269" s="271"/>
      <c r="AN269" s="646"/>
      <c r="AO269" s="646"/>
      <c r="AP269" s="646"/>
      <c r="AQ269" s="271"/>
      <c r="AR269" s="646"/>
      <c r="AS269" s="270"/>
      <c r="AT269" s="646"/>
      <c r="AU269" s="646"/>
      <c r="AV269" s="646"/>
      <c r="AW269" s="270"/>
      <c r="AX269" s="646"/>
      <c r="AY269" s="270"/>
      <c r="AZ269" s="646"/>
      <c r="BA269" s="646"/>
      <c r="BB269" s="644"/>
      <c r="BC269" s="644"/>
      <c r="BD269" s="644"/>
      <c r="BE269" s="644"/>
      <c r="BF269" s="644"/>
      <c r="BG269" s="644"/>
      <c r="BH269" s="644"/>
      <c r="BI269" s="644"/>
      <c r="BJ269" s="644"/>
      <c r="BK269" s="644"/>
      <c r="BL269" s="644"/>
      <c r="BM269" s="95"/>
      <c r="BN269" s="644"/>
      <c r="BO269" s="95"/>
      <c r="BP269" s="644"/>
      <c r="BQ269" s="644"/>
      <c r="BR269" s="644"/>
      <c r="BS269" s="644"/>
      <c r="BT269" s="644"/>
      <c r="BU269" s="644"/>
      <c r="BV269" s="644"/>
      <c r="BW269" s="644"/>
      <c r="BX269" s="644"/>
      <c r="BY269" s="644"/>
      <c r="BZ269" s="644"/>
      <c r="CA269" s="644"/>
      <c r="CB269" s="644"/>
      <c r="CC269" s="644"/>
      <c r="CD269" s="644"/>
      <c r="CE269" s="644"/>
      <c r="CF269" s="644"/>
      <c r="CG269" s="644"/>
      <c r="CH269" s="644"/>
      <c r="CI269" s="644"/>
      <c r="CJ269" s="644"/>
      <c r="CK269" s="644"/>
      <c r="CL269" s="644"/>
      <c r="CM269" s="95"/>
      <c r="CN269" s="644"/>
      <c r="CO269" s="644"/>
      <c r="CP269" s="95"/>
      <c r="CQ269" s="98"/>
      <c r="CR269" s="95"/>
      <c r="CS269" s="95"/>
      <c r="CT269" s="95"/>
      <c r="CU269" s="108"/>
      <c r="CV269" s="109"/>
      <c r="CW269" s="644"/>
      <c r="CX269" s="496"/>
      <c r="CY269" s="637"/>
      <c r="CZ269" s="644"/>
      <c r="DA269" s="644"/>
      <c r="DB269" s="644"/>
      <c r="DC269" s="496"/>
      <c r="DD269" s="644"/>
      <c r="DE269" s="101"/>
      <c r="DF269" s="644"/>
      <c r="DG269" s="101"/>
      <c r="DH269" s="644"/>
      <c r="DI269" s="644"/>
      <c r="DJ269" s="644"/>
      <c r="DK269" s="644"/>
      <c r="DL269" s="644"/>
      <c r="DM269" s="101"/>
      <c r="DN269" s="644"/>
      <c r="DO269" s="644"/>
      <c r="DP269" s="644"/>
      <c r="DQ269" s="644"/>
      <c r="DR269" s="644"/>
      <c r="DS269" s="644"/>
      <c r="DT269" s="644"/>
      <c r="DU269" s="644"/>
      <c r="DV269" s="644"/>
      <c r="DW269" s="101"/>
      <c r="DX269" s="646"/>
      <c r="DY269" s="646"/>
      <c r="DZ269" s="646"/>
      <c r="EA269" s="646"/>
      <c r="EB269" s="646"/>
      <c r="EC269" s="646"/>
      <c r="ED269" s="646"/>
      <c r="EE269" s="646"/>
      <c r="EF269" s="646"/>
      <c r="EG269" s="646"/>
      <c r="EH269" s="646"/>
      <c r="EI269" s="646"/>
      <c r="EJ269" s="646"/>
      <c r="EK269" s="271"/>
      <c r="EL269" s="644"/>
      <c r="EM269" s="634"/>
      <c r="EN269" s="647"/>
      <c r="EO269" s="648"/>
      <c r="EP269" s="647"/>
      <c r="EQ269" s="647"/>
      <c r="ER269" s="647"/>
      <c r="ES269" s="139"/>
      <c r="EV269" s="647"/>
      <c r="EW269" s="647"/>
      <c r="EX269" s="647"/>
      <c r="EY269" s="647"/>
      <c r="EZ269" s="647"/>
      <c r="FA269" s="646"/>
      <c r="FB269" s="646"/>
      <c r="FC269" s="646"/>
      <c r="FD269" s="646"/>
      <c r="FE269" s="646"/>
      <c r="FF269" s="646"/>
      <c r="FG269" s="647"/>
      <c r="FH269" s="647"/>
      <c r="FI269" s="647"/>
      <c r="FJ269" s="647"/>
      <c r="FK269" s="647"/>
      <c r="FL269" s="647"/>
      <c r="FM269" s="647"/>
      <c r="FN269" s="647"/>
      <c r="FO269" s="647"/>
      <c r="FP269" s="647"/>
      <c r="FQ269" s="647"/>
      <c r="FR269" s="647"/>
      <c r="FS269" s="101"/>
      <c r="FT269" s="95"/>
      <c r="FU269" s="651"/>
      <c r="FV269" s="101"/>
      <c r="FW269" s="101"/>
      <c r="FX269" s="634"/>
      <c r="FY269" s="634"/>
      <c r="FZ269" s="634"/>
      <c r="GA269" s="634"/>
      <c r="GB269" s="634"/>
      <c r="GC269" s="634"/>
      <c r="GD269" s="634"/>
      <c r="GE269" s="634"/>
      <c r="GF269" s="634"/>
      <c r="GG269" s="634"/>
      <c r="GH269" s="634"/>
      <c r="GI269" s="634"/>
      <c r="GJ269" s="634"/>
      <c r="GK269" s="634"/>
      <c r="GL269" s="101"/>
      <c r="GM269" s="101"/>
      <c r="GN269" s="101"/>
      <c r="GO269" s="643"/>
      <c r="GP269" s="644"/>
      <c r="GQ269" s="643"/>
      <c r="GR269" s="644"/>
      <c r="GS269" s="643"/>
      <c r="GT269" s="644"/>
      <c r="GU269" s="644"/>
      <c r="GV269" s="644"/>
      <c r="GW269" s="644"/>
      <c r="GX269" s="644"/>
      <c r="GY269" s="644"/>
      <c r="GZ269" s="644"/>
      <c r="HA269" s="644"/>
    </row>
    <row r="270" spans="1:209">
      <c r="A270" s="638"/>
      <c r="B270" s="95"/>
      <c r="C270" s="95"/>
      <c r="D270" s="95"/>
      <c r="E270" s="650"/>
      <c r="F270" s="95"/>
      <c r="G270" s="98"/>
      <c r="H270" s="99"/>
      <c r="I270" s="95"/>
      <c r="J270" s="95"/>
      <c r="K270" s="95"/>
      <c r="L270" s="95"/>
      <c r="M270" s="95"/>
      <c r="N270" s="95"/>
      <c r="O270" s="95"/>
      <c r="P270" s="95"/>
      <c r="Q270" s="95"/>
      <c r="R270" s="98"/>
      <c r="S270" s="101"/>
      <c r="T270" s="644"/>
      <c r="U270" s="101"/>
      <c r="V270" s="647"/>
      <c r="W270" s="643"/>
      <c r="X270" s="644"/>
      <c r="Y270" s="101"/>
      <c r="Z270" s="644"/>
      <c r="AA270" s="101"/>
      <c r="AB270" s="644"/>
      <c r="AC270" s="101"/>
      <c r="AD270" s="646"/>
      <c r="AE270" s="271"/>
      <c r="AF270" s="646"/>
      <c r="AG270" s="646"/>
      <c r="AH270" s="646"/>
      <c r="AI270" s="646"/>
      <c r="AJ270" s="646"/>
      <c r="AK270" s="646"/>
      <c r="AL270" s="646"/>
      <c r="AM270" s="271"/>
      <c r="AN270" s="646"/>
      <c r="AO270" s="646"/>
      <c r="AP270" s="646"/>
      <c r="AQ270" s="271"/>
      <c r="AR270" s="646"/>
      <c r="AS270" s="270"/>
      <c r="AT270" s="646"/>
      <c r="AU270" s="646"/>
      <c r="AV270" s="646"/>
      <c r="AW270" s="270"/>
      <c r="AX270" s="646"/>
      <c r="AY270" s="270"/>
      <c r="AZ270" s="646"/>
      <c r="BA270" s="646"/>
      <c r="BB270" s="644"/>
      <c r="BC270" s="644"/>
      <c r="BD270" s="644"/>
      <c r="BE270" s="644"/>
      <c r="BF270" s="644"/>
      <c r="BG270" s="644"/>
      <c r="BH270" s="644"/>
      <c r="BI270" s="644"/>
      <c r="BJ270" s="644"/>
      <c r="BK270" s="644"/>
      <c r="BL270" s="644"/>
      <c r="BM270" s="95"/>
      <c r="BN270" s="644"/>
      <c r="BO270" s="95"/>
      <c r="BP270" s="644"/>
      <c r="BQ270" s="644"/>
      <c r="BR270" s="644"/>
      <c r="BS270" s="644"/>
      <c r="BT270" s="644"/>
      <c r="BU270" s="644"/>
      <c r="BV270" s="644"/>
      <c r="BW270" s="644"/>
      <c r="BX270" s="644"/>
      <c r="BY270" s="644"/>
      <c r="BZ270" s="644"/>
      <c r="CA270" s="644"/>
      <c r="CB270" s="644"/>
      <c r="CC270" s="644"/>
      <c r="CD270" s="644"/>
      <c r="CE270" s="644"/>
      <c r="CF270" s="644"/>
      <c r="CG270" s="644"/>
      <c r="CH270" s="644"/>
      <c r="CI270" s="644"/>
      <c r="CJ270" s="644"/>
      <c r="CK270" s="644"/>
      <c r="CL270" s="644"/>
      <c r="CM270" s="95"/>
      <c r="CN270" s="644"/>
      <c r="CO270" s="644"/>
      <c r="CP270" s="95"/>
      <c r="CQ270" s="98"/>
      <c r="CR270" s="95"/>
      <c r="CS270" s="95"/>
      <c r="CT270" s="95"/>
      <c r="CU270" s="108"/>
      <c r="CV270" s="109"/>
      <c r="CW270" s="644"/>
      <c r="CX270" s="496"/>
      <c r="CY270" s="637"/>
      <c r="CZ270" s="644"/>
      <c r="DA270" s="644"/>
      <c r="DB270" s="644"/>
      <c r="DC270" s="496"/>
      <c r="DD270" s="644"/>
      <c r="DE270" s="101"/>
      <c r="DF270" s="644"/>
      <c r="DG270" s="101"/>
      <c r="DH270" s="644"/>
      <c r="DI270" s="644"/>
      <c r="DJ270" s="644"/>
      <c r="DK270" s="644"/>
      <c r="DL270" s="644"/>
      <c r="DM270" s="101"/>
      <c r="DN270" s="644"/>
      <c r="DO270" s="644"/>
      <c r="DP270" s="644"/>
      <c r="DQ270" s="644"/>
      <c r="DR270" s="644"/>
      <c r="DS270" s="644"/>
      <c r="DT270" s="644"/>
      <c r="DU270" s="644"/>
      <c r="DV270" s="644"/>
      <c r="DW270" s="101"/>
      <c r="DX270" s="646"/>
      <c r="DY270" s="646"/>
      <c r="DZ270" s="646"/>
      <c r="EA270" s="646"/>
      <c r="EB270" s="646"/>
      <c r="EC270" s="646"/>
      <c r="ED270" s="646"/>
      <c r="EE270" s="646"/>
      <c r="EF270" s="646"/>
      <c r="EG270" s="646"/>
      <c r="EH270" s="646"/>
      <c r="EI270" s="646"/>
      <c r="EJ270" s="646"/>
      <c r="EK270" s="271"/>
      <c r="EL270" s="644"/>
      <c r="EM270" s="634"/>
      <c r="EN270" s="647"/>
      <c r="EO270" s="648"/>
      <c r="EP270" s="647"/>
      <c r="EQ270" s="647"/>
      <c r="ER270" s="647"/>
      <c r="ES270" s="139"/>
      <c r="EV270" s="647"/>
      <c r="EW270" s="647"/>
      <c r="EX270" s="647"/>
      <c r="EY270" s="647"/>
      <c r="EZ270" s="647"/>
      <c r="FA270" s="646"/>
      <c r="FB270" s="646"/>
      <c r="FC270" s="646"/>
      <c r="FD270" s="646"/>
      <c r="FE270" s="646"/>
      <c r="FF270" s="646"/>
      <c r="FG270" s="647"/>
      <c r="FH270" s="647"/>
      <c r="FI270" s="647"/>
      <c r="FJ270" s="647"/>
      <c r="FK270" s="647"/>
      <c r="FL270" s="647"/>
      <c r="FM270" s="647"/>
      <c r="FN270" s="647"/>
      <c r="FO270" s="647"/>
      <c r="FP270" s="647"/>
      <c r="FQ270" s="647"/>
      <c r="FR270" s="647"/>
      <c r="FS270" s="101"/>
      <c r="FT270" s="95"/>
      <c r="FU270" s="651"/>
      <c r="FV270" s="101"/>
      <c r="FW270" s="101"/>
      <c r="FX270" s="634"/>
      <c r="FY270" s="634"/>
      <c r="FZ270" s="634"/>
      <c r="GA270" s="634"/>
      <c r="GB270" s="634"/>
      <c r="GC270" s="634"/>
      <c r="GD270" s="634"/>
      <c r="GE270" s="634"/>
      <c r="GF270" s="634"/>
      <c r="GG270" s="634"/>
      <c r="GH270" s="634"/>
      <c r="GI270" s="634"/>
      <c r="GJ270" s="634"/>
      <c r="GK270" s="634"/>
      <c r="GL270" s="101"/>
      <c r="GM270" s="101"/>
      <c r="GN270" s="101"/>
      <c r="GO270" s="643"/>
      <c r="GP270" s="644"/>
      <c r="GQ270" s="643"/>
      <c r="GR270" s="644"/>
      <c r="GS270" s="643"/>
      <c r="GT270" s="644"/>
      <c r="GU270" s="644"/>
      <c r="GV270" s="644"/>
      <c r="GW270" s="644"/>
      <c r="GX270" s="644"/>
      <c r="GY270" s="644"/>
      <c r="GZ270" s="644"/>
      <c r="HA270" s="644"/>
    </row>
    <row r="271" spans="1:209">
      <c r="A271" s="638"/>
      <c r="B271" s="95"/>
      <c r="C271" s="95"/>
      <c r="D271" s="95"/>
      <c r="E271" s="650"/>
      <c r="F271" s="95"/>
      <c r="G271" s="98"/>
      <c r="H271" s="99"/>
      <c r="I271" s="95"/>
      <c r="J271" s="95"/>
      <c r="K271" s="95"/>
      <c r="L271" s="95"/>
      <c r="M271" s="95"/>
      <c r="N271" s="95"/>
      <c r="O271" s="95"/>
      <c r="P271" s="95"/>
      <c r="Q271" s="95"/>
      <c r="R271" s="98"/>
      <c r="S271" s="101"/>
      <c r="T271" s="644"/>
      <c r="U271" s="101"/>
      <c r="V271" s="647"/>
      <c r="W271" s="643"/>
      <c r="X271" s="644"/>
      <c r="Y271" s="101"/>
      <c r="Z271" s="644"/>
      <c r="AA271" s="101"/>
      <c r="AB271" s="644"/>
      <c r="AC271" s="101"/>
      <c r="AD271" s="646"/>
      <c r="AE271" s="271"/>
      <c r="AF271" s="646"/>
      <c r="AG271" s="646"/>
      <c r="AH271" s="646"/>
      <c r="AI271" s="646"/>
      <c r="AJ271" s="646"/>
      <c r="AK271" s="646"/>
      <c r="AL271" s="646"/>
      <c r="AM271" s="271"/>
      <c r="AN271" s="646"/>
      <c r="AO271" s="646"/>
      <c r="AP271" s="646"/>
      <c r="AQ271" s="271"/>
      <c r="AR271" s="646"/>
      <c r="AS271" s="270"/>
      <c r="AT271" s="646"/>
      <c r="AU271" s="646"/>
      <c r="AV271" s="646"/>
      <c r="AW271" s="270"/>
      <c r="AX271" s="646"/>
      <c r="AY271" s="270"/>
      <c r="AZ271" s="646"/>
      <c r="BA271" s="646"/>
      <c r="BB271" s="644"/>
      <c r="BC271" s="644"/>
      <c r="BD271" s="644"/>
      <c r="BE271" s="644"/>
      <c r="BF271" s="644"/>
      <c r="BG271" s="644"/>
      <c r="BH271" s="644"/>
      <c r="BI271" s="644"/>
      <c r="BJ271" s="644"/>
      <c r="BK271" s="644"/>
      <c r="BL271" s="644"/>
      <c r="BM271" s="95"/>
      <c r="BN271" s="644"/>
      <c r="BO271" s="95"/>
      <c r="BP271" s="644"/>
      <c r="BQ271" s="644"/>
      <c r="BR271" s="644"/>
      <c r="BS271" s="644"/>
      <c r="BT271" s="644"/>
      <c r="BU271" s="644"/>
      <c r="BV271" s="644"/>
      <c r="BW271" s="644"/>
      <c r="BX271" s="644"/>
      <c r="BY271" s="644"/>
      <c r="BZ271" s="644"/>
      <c r="CA271" s="644"/>
      <c r="CB271" s="644"/>
      <c r="CC271" s="644"/>
      <c r="CD271" s="644"/>
      <c r="CE271" s="644"/>
      <c r="CF271" s="644"/>
      <c r="CG271" s="644"/>
      <c r="CH271" s="644"/>
      <c r="CI271" s="644"/>
      <c r="CJ271" s="644"/>
      <c r="CK271" s="644"/>
      <c r="CL271" s="644"/>
      <c r="CM271" s="95"/>
      <c r="CN271" s="644"/>
      <c r="CO271" s="644"/>
      <c r="CP271" s="95"/>
      <c r="CQ271" s="98"/>
      <c r="CR271" s="95"/>
      <c r="CS271" s="95"/>
      <c r="CT271" s="95"/>
      <c r="CU271" s="108"/>
      <c r="CV271" s="109"/>
      <c r="CW271" s="644"/>
      <c r="CX271" s="496"/>
      <c r="CY271" s="637"/>
      <c r="CZ271" s="644"/>
      <c r="DA271" s="644"/>
      <c r="DB271" s="644"/>
      <c r="DC271" s="496"/>
      <c r="DD271" s="644"/>
      <c r="DE271" s="101"/>
      <c r="DF271" s="644"/>
      <c r="DG271" s="101"/>
      <c r="DH271" s="644"/>
      <c r="DI271" s="644"/>
      <c r="DJ271" s="644"/>
      <c r="DK271" s="644"/>
      <c r="DL271" s="644"/>
      <c r="DM271" s="101"/>
      <c r="DN271" s="644"/>
      <c r="DO271" s="644"/>
      <c r="DP271" s="644"/>
      <c r="DQ271" s="644"/>
      <c r="DR271" s="644"/>
      <c r="DS271" s="644"/>
      <c r="DT271" s="644"/>
      <c r="DU271" s="644"/>
      <c r="DV271" s="644"/>
      <c r="DW271" s="101"/>
      <c r="DX271" s="646"/>
      <c r="DY271" s="646"/>
      <c r="DZ271" s="646"/>
      <c r="EA271" s="646"/>
      <c r="EB271" s="646"/>
      <c r="EC271" s="646"/>
      <c r="ED271" s="646"/>
      <c r="EE271" s="646"/>
      <c r="EF271" s="646"/>
      <c r="EG271" s="646"/>
      <c r="EH271" s="646"/>
      <c r="EI271" s="646"/>
      <c r="EJ271" s="646"/>
      <c r="EK271" s="271"/>
      <c r="EL271" s="644"/>
      <c r="EM271" s="634"/>
      <c r="EN271" s="647"/>
      <c r="EO271" s="648"/>
      <c r="EP271" s="647"/>
      <c r="EQ271" s="647"/>
      <c r="ER271" s="647"/>
      <c r="ES271" s="139"/>
      <c r="EV271" s="647"/>
      <c r="EW271" s="647"/>
      <c r="EX271" s="647"/>
      <c r="EY271" s="647"/>
      <c r="EZ271" s="647"/>
      <c r="FA271" s="646"/>
      <c r="FB271" s="646"/>
      <c r="FC271" s="646"/>
      <c r="FD271" s="646"/>
      <c r="FE271" s="646"/>
      <c r="FF271" s="646"/>
      <c r="FG271" s="647"/>
      <c r="FH271" s="647"/>
      <c r="FI271" s="647"/>
      <c r="FJ271" s="647"/>
      <c r="FK271" s="647"/>
      <c r="FL271" s="647"/>
      <c r="FM271" s="647"/>
      <c r="FN271" s="647"/>
      <c r="FO271" s="647"/>
      <c r="FP271" s="647"/>
      <c r="FQ271" s="647"/>
      <c r="FR271" s="647"/>
      <c r="FS271" s="101"/>
      <c r="FT271" s="95"/>
      <c r="FU271" s="651"/>
      <c r="FV271" s="101"/>
      <c r="FW271" s="101"/>
      <c r="FX271" s="634"/>
      <c r="FY271" s="634"/>
      <c r="FZ271" s="634"/>
      <c r="GA271" s="634"/>
      <c r="GB271" s="634"/>
      <c r="GC271" s="634"/>
      <c r="GD271" s="634"/>
      <c r="GE271" s="634"/>
      <c r="GF271" s="634"/>
      <c r="GG271" s="634"/>
      <c r="GH271" s="634"/>
      <c r="GI271" s="634"/>
      <c r="GJ271" s="634"/>
      <c r="GK271" s="634"/>
      <c r="GL271" s="101"/>
      <c r="GM271" s="101"/>
      <c r="GN271" s="101"/>
      <c r="GO271" s="643"/>
      <c r="GP271" s="644"/>
      <c r="GQ271" s="643"/>
      <c r="GR271" s="644"/>
      <c r="GS271" s="643"/>
      <c r="GT271" s="644"/>
      <c r="GU271" s="644"/>
      <c r="GV271" s="644"/>
      <c r="GW271" s="644"/>
      <c r="GX271" s="644"/>
      <c r="GY271" s="644"/>
      <c r="GZ271" s="644"/>
      <c r="HA271" s="644"/>
    </row>
    <row r="272" spans="1:209">
      <c r="A272" s="638"/>
      <c r="B272" s="95"/>
      <c r="C272" s="95"/>
      <c r="D272" s="95"/>
      <c r="E272" s="650"/>
      <c r="F272" s="95"/>
      <c r="G272" s="98"/>
      <c r="H272" s="99"/>
      <c r="I272" s="95"/>
      <c r="J272" s="95"/>
      <c r="K272" s="95"/>
      <c r="L272" s="95"/>
      <c r="M272" s="95"/>
      <c r="N272" s="95"/>
      <c r="O272" s="95"/>
      <c r="P272" s="95"/>
      <c r="Q272" s="95"/>
      <c r="R272" s="98"/>
      <c r="S272" s="101"/>
      <c r="T272" s="644"/>
      <c r="U272" s="101"/>
      <c r="V272" s="647"/>
      <c r="W272" s="643"/>
      <c r="X272" s="644"/>
      <c r="Y272" s="101"/>
      <c r="Z272" s="644"/>
      <c r="AA272" s="101"/>
      <c r="AB272" s="644"/>
      <c r="AC272" s="101"/>
      <c r="AD272" s="646"/>
      <c r="AE272" s="271"/>
      <c r="AF272" s="646"/>
      <c r="AG272" s="646"/>
      <c r="AH272" s="646"/>
      <c r="AI272" s="646"/>
      <c r="AJ272" s="646"/>
      <c r="AK272" s="646"/>
      <c r="AL272" s="646"/>
      <c r="AM272" s="271"/>
      <c r="AN272" s="646"/>
      <c r="AO272" s="646"/>
      <c r="AP272" s="646"/>
      <c r="AQ272" s="271"/>
      <c r="AR272" s="646"/>
      <c r="AS272" s="270"/>
      <c r="AT272" s="646"/>
      <c r="AU272" s="646"/>
      <c r="AV272" s="646"/>
      <c r="AW272" s="270"/>
      <c r="AX272" s="646"/>
      <c r="AY272" s="270"/>
      <c r="AZ272" s="646"/>
      <c r="BA272" s="646"/>
      <c r="BB272" s="644"/>
      <c r="BC272" s="644"/>
      <c r="BD272" s="644"/>
      <c r="BE272" s="644"/>
      <c r="BF272" s="644"/>
      <c r="BG272" s="644"/>
      <c r="BH272" s="644"/>
      <c r="BI272" s="644"/>
      <c r="BJ272" s="644"/>
      <c r="BK272" s="644"/>
      <c r="BL272" s="644"/>
      <c r="BM272" s="95"/>
      <c r="BN272" s="644"/>
      <c r="BO272" s="95"/>
      <c r="BP272" s="644"/>
      <c r="BQ272" s="644"/>
      <c r="BR272" s="644"/>
      <c r="BS272" s="644"/>
      <c r="BT272" s="644"/>
      <c r="BU272" s="644"/>
      <c r="BV272" s="644"/>
      <c r="BW272" s="644"/>
      <c r="BX272" s="644"/>
      <c r="BY272" s="644"/>
      <c r="BZ272" s="644"/>
      <c r="CA272" s="644"/>
      <c r="CB272" s="644"/>
      <c r="CC272" s="644"/>
      <c r="CD272" s="644"/>
      <c r="CE272" s="644"/>
      <c r="CF272" s="644"/>
      <c r="CG272" s="644"/>
      <c r="CH272" s="644"/>
      <c r="CI272" s="644"/>
      <c r="CJ272" s="644"/>
      <c r="CK272" s="644"/>
      <c r="CL272" s="644"/>
      <c r="CM272" s="95"/>
      <c r="CN272" s="644"/>
      <c r="CO272" s="644"/>
      <c r="CP272" s="95"/>
      <c r="CQ272" s="98"/>
      <c r="CR272" s="95"/>
      <c r="CS272" s="95"/>
      <c r="CT272" s="95"/>
      <c r="CU272" s="108"/>
      <c r="CV272" s="109"/>
      <c r="CW272" s="644"/>
      <c r="CX272" s="496"/>
      <c r="CY272" s="637"/>
      <c r="CZ272" s="644"/>
      <c r="DA272" s="644"/>
      <c r="DB272" s="644"/>
      <c r="DC272" s="496"/>
      <c r="DD272" s="644"/>
      <c r="DE272" s="101"/>
      <c r="DF272" s="644"/>
      <c r="DG272" s="101"/>
      <c r="DH272" s="644"/>
      <c r="DI272" s="644"/>
      <c r="DJ272" s="644"/>
      <c r="DK272" s="644"/>
      <c r="DL272" s="644"/>
      <c r="DM272" s="101"/>
      <c r="DN272" s="644"/>
      <c r="DO272" s="644"/>
      <c r="DP272" s="644"/>
      <c r="DQ272" s="644"/>
      <c r="DR272" s="644"/>
      <c r="DS272" s="644"/>
      <c r="DT272" s="644"/>
      <c r="DU272" s="644"/>
      <c r="DV272" s="644"/>
      <c r="DW272" s="101"/>
      <c r="DX272" s="646"/>
      <c r="DY272" s="646"/>
      <c r="DZ272" s="646"/>
      <c r="EA272" s="646"/>
      <c r="EB272" s="646"/>
      <c r="EC272" s="646"/>
      <c r="ED272" s="646"/>
      <c r="EE272" s="646"/>
      <c r="EF272" s="646"/>
      <c r="EG272" s="646"/>
      <c r="EH272" s="646"/>
      <c r="EI272" s="646"/>
      <c r="EJ272" s="646"/>
      <c r="EK272" s="271"/>
      <c r="EL272" s="644"/>
      <c r="EM272" s="634"/>
      <c r="EN272" s="647"/>
      <c r="EO272" s="648"/>
      <c r="EP272" s="647"/>
      <c r="EQ272" s="647"/>
      <c r="ER272" s="647"/>
      <c r="ES272" s="139"/>
      <c r="EV272" s="647"/>
      <c r="EW272" s="647"/>
      <c r="EX272" s="647"/>
      <c r="EY272" s="647"/>
      <c r="EZ272" s="647"/>
      <c r="FA272" s="646"/>
      <c r="FB272" s="646"/>
      <c r="FC272" s="646"/>
      <c r="FD272" s="646"/>
      <c r="FE272" s="646"/>
      <c r="FF272" s="646"/>
      <c r="FG272" s="647"/>
      <c r="FH272" s="647"/>
      <c r="FI272" s="647"/>
      <c r="FJ272" s="647"/>
      <c r="FK272" s="647"/>
      <c r="FL272" s="647"/>
      <c r="FM272" s="647"/>
      <c r="FN272" s="647"/>
      <c r="FO272" s="647"/>
      <c r="FP272" s="647"/>
      <c r="FQ272" s="647"/>
      <c r="FR272" s="647"/>
      <c r="FS272" s="101"/>
      <c r="FT272" s="95"/>
      <c r="FU272" s="651"/>
      <c r="FV272" s="101"/>
      <c r="FW272" s="101"/>
      <c r="FX272" s="634"/>
      <c r="FY272" s="634"/>
      <c r="FZ272" s="634"/>
      <c r="GA272" s="634"/>
      <c r="GB272" s="634"/>
      <c r="GC272" s="634"/>
      <c r="GD272" s="634"/>
      <c r="GE272" s="634"/>
      <c r="GF272" s="634"/>
      <c r="GG272" s="634"/>
      <c r="GH272" s="634"/>
      <c r="GI272" s="634"/>
      <c r="GJ272" s="634"/>
      <c r="GK272" s="634"/>
      <c r="GL272" s="101"/>
      <c r="GM272" s="101"/>
      <c r="GN272" s="101"/>
      <c r="GO272" s="643"/>
      <c r="GP272" s="644"/>
      <c r="GQ272" s="643"/>
      <c r="GR272" s="644"/>
      <c r="GS272" s="643"/>
      <c r="GT272" s="644"/>
      <c r="GU272" s="644"/>
      <c r="GV272" s="644"/>
      <c r="GW272" s="644"/>
      <c r="GX272" s="644"/>
      <c r="GY272" s="644"/>
      <c r="GZ272" s="644"/>
      <c r="HA272" s="644"/>
    </row>
    <row r="273" spans="1:209">
      <c r="A273" s="638"/>
      <c r="B273" s="95"/>
      <c r="C273" s="95"/>
      <c r="D273" s="95"/>
      <c r="E273" s="650"/>
      <c r="F273" s="95"/>
      <c r="G273" s="98"/>
      <c r="H273" s="99"/>
      <c r="I273" s="95"/>
      <c r="J273" s="95"/>
      <c r="K273" s="95"/>
      <c r="L273" s="95"/>
      <c r="M273" s="95"/>
      <c r="N273" s="95"/>
      <c r="O273" s="95"/>
      <c r="P273" s="95"/>
      <c r="Q273" s="95"/>
      <c r="R273" s="98"/>
      <c r="S273" s="101"/>
      <c r="T273" s="644"/>
      <c r="U273" s="101"/>
      <c r="V273" s="647"/>
      <c r="W273" s="643"/>
      <c r="X273" s="644"/>
      <c r="Y273" s="101"/>
      <c r="Z273" s="644"/>
      <c r="AA273" s="101"/>
      <c r="AB273" s="644"/>
      <c r="AC273" s="101"/>
      <c r="AD273" s="646"/>
      <c r="AE273" s="271"/>
      <c r="AF273" s="646"/>
      <c r="AG273" s="646"/>
      <c r="AH273" s="646"/>
      <c r="AI273" s="646"/>
      <c r="AJ273" s="646"/>
      <c r="AK273" s="646"/>
      <c r="AL273" s="646"/>
      <c r="AM273" s="271"/>
      <c r="AN273" s="646"/>
      <c r="AO273" s="646"/>
      <c r="AP273" s="646"/>
      <c r="AQ273" s="271"/>
      <c r="AR273" s="646"/>
      <c r="AS273" s="270"/>
      <c r="AT273" s="646"/>
      <c r="AU273" s="646"/>
      <c r="AV273" s="646"/>
      <c r="AW273" s="270"/>
      <c r="AX273" s="646"/>
      <c r="AY273" s="270"/>
      <c r="AZ273" s="646"/>
      <c r="BA273" s="646"/>
      <c r="BB273" s="644"/>
      <c r="BC273" s="644"/>
      <c r="BD273" s="644"/>
      <c r="BE273" s="644"/>
      <c r="BF273" s="644"/>
      <c r="BG273" s="644"/>
      <c r="BH273" s="644"/>
      <c r="BI273" s="644"/>
      <c r="BJ273" s="644"/>
      <c r="BK273" s="644"/>
      <c r="BL273" s="644"/>
      <c r="BM273" s="95"/>
      <c r="BN273" s="644"/>
      <c r="BO273" s="95"/>
      <c r="BP273" s="644"/>
      <c r="BQ273" s="644"/>
      <c r="BR273" s="644"/>
      <c r="BS273" s="644"/>
      <c r="BT273" s="644"/>
      <c r="BU273" s="644"/>
      <c r="BV273" s="644"/>
      <c r="BW273" s="644"/>
      <c r="BX273" s="644"/>
      <c r="BY273" s="644"/>
      <c r="BZ273" s="644"/>
      <c r="CA273" s="644"/>
      <c r="CB273" s="644"/>
      <c r="CC273" s="644"/>
      <c r="CD273" s="644"/>
      <c r="CE273" s="644"/>
      <c r="CF273" s="644"/>
      <c r="CG273" s="644"/>
      <c r="CH273" s="644"/>
      <c r="CI273" s="644"/>
      <c r="CJ273" s="644"/>
      <c r="CK273" s="644"/>
      <c r="CL273" s="644"/>
      <c r="CM273" s="95"/>
      <c r="CN273" s="644"/>
      <c r="CO273" s="644"/>
      <c r="CP273" s="95"/>
      <c r="CQ273" s="98"/>
      <c r="CR273" s="95"/>
      <c r="CS273" s="95"/>
      <c r="CT273" s="95"/>
      <c r="CU273" s="108"/>
      <c r="CV273" s="109"/>
      <c r="CW273" s="644"/>
      <c r="CX273" s="496"/>
      <c r="CY273" s="637"/>
      <c r="CZ273" s="644"/>
      <c r="DA273" s="644"/>
      <c r="DB273" s="644"/>
      <c r="DC273" s="496"/>
      <c r="DD273" s="644"/>
      <c r="DE273" s="101"/>
      <c r="DF273" s="644"/>
      <c r="DG273" s="101"/>
      <c r="DH273" s="644"/>
      <c r="DI273" s="644"/>
      <c r="DJ273" s="644"/>
      <c r="DK273" s="644"/>
      <c r="DL273" s="644"/>
      <c r="DM273" s="101"/>
      <c r="DN273" s="644"/>
      <c r="DO273" s="644"/>
      <c r="DP273" s="644"/>
      <c r="DQ273" s="644"/>
      <c r="DR273" s="644"/>
      <c r="DS273" s="644"/>
      <c r="DT273" s="644"/>
      <c r="DU273" s="644"/>
      <c r="DV273" s="644"/>
      <c r="DW273" s="101"/>
      <c r="DX273" s="646"/>
      <c r="DY273" s="646"/>
      <c r="DZ273" s="646"/>
      <c r="EA273" s="646"/>
      <c r="EB273" s="646"/>
      <c r="EC273" s="646"/>
      <c r="ED273" s="646"/>
      <c r="EE273" s="646"/>
      <c r="EF273" s="646"/>
      <c r="EG273" s="646"/>
      <c r="EH273" s="646"/>
      <c r="EI273" s="646"/>
      <c r="EJ273" s="646"/>
      <c r="EK273" s="271"/>
      <c r="EL273" s="644"/>
      <c r="EM273" s="634"/>
      <c r="EN273" s="647"/>
      <c r="EO273" s="648"/>
      <c r="EP273" s="647"/>
      <c r="EQ273" s="647"/>
      <c r="ER273" s="647"/>
      <c r="ES273" s="139"/>
      <c r="EV273" s="647"/>
      <c r="EW273" s="647"/>
      <c r="EX273" s="647"/>
      <c r="EY273" s="647"/>
      <c r="EZ273" s="647"/>
      <c r="FA273" s="646"/>
      <c r="FB273" s="646"/>
      <c r="FC273" s="646"/>
      <c r="FD273" s="646"/>
      <c r="FE273" s="646"/>
      <c r="FF273" s="646"/>
      <c r="FG273" s="647"/>
      <c r="FH273" s="647"/>
      <c r="FI273" s="647"/>
      <c r="FJ273" s="647"/>
      <c r="FK273" s="647"/>
      <c r="FL273" s="647"/>
      <c r="FM273" s="647"/>
      <c r="FN273" s="647"/>
      <c r="FO273" s="647"/>
      <c r="FP273" s="647"/>
      <c r="FQ273" s="647"/>
      <c r="FR273" s="647"/>
      <c r="FS273" s="101"/>
      <c r="FT273" s="95"/>
      <c r="FU273" s="651"/>
      <c r="FV273" s="101"/>
      <c r="FW273" s="101"/>
      <c r="FX273" s="634"/>
      <c r="FY273" s="634"/>
      <c r="FZ273" s="634"/>
      <c r="GA273" s="634"/>
      <c r="GB273" s="634"/>
      <c r="GC273" s="634"/>
      <c r="GD273" s="634"/>
      <c r="GE273" s="634"/>
      <c r="GF273" s="634"/>
      <c r="GG273" s="634"/>
      <c r="GH273" s="634"/>
      <c r="GI273" s="634"/>
      <c r="GJ273" s="634"/>
      <c r="GK273" s="634"/>
      <c r="GL273" s="101"/>
      <c r="GM273" s="101"/>
      <c r="GN273" s="101"/>
      <c r="GO273" s="643"/>
      <c r="GP273" s="644"/>
      <c r="GQ273" s="643"/>
      <c r="GR273" s="644"/>
      <c r="GS273" s="643"/>
      <c r="GT273" s="644"/>
      <c r="GU273" s="644"/>
      <c r="GV273" s="644"/>
      <c r="GW273" s="644"/>
      <c r="GX273" s="644"/>
      <c r="GY273" s="644"/>
      <c r="GZ273" s="644"/>
      <c r="HA273" s="644"/>
    </row>
    <row r="274" spans="1:209">
      <c r="A274" s="638"/>
      <c r="B274" s="95"/>
      <c r="C274" s="95"/>
      <c r="D274" s="95"/>
      <c r="E274" s="650"/>
      <c r="F274" s="95"/>
      <c r="G274" s="98"/>
      <c r="H274" s="99"/>
      <c r="I274" s="95"/>
      <c r="J274" s="95"/>
      <c r="K274" s="95"/>
      <c r="L274" s="95"/>
      <c r="M274" s="95"/>
      <c r="N274" s="95"/>
      <c r="O274" s="95"/>
      <c r="P274" s="95"/>
      <c r="Q274" s="95"/>
      <c r="R274" s="98"/>
      <c r="S274" s="101"/>
      <c r="T274" s="644"/>
      <c r="U274" s="101"/>
      <c r="V274" s="647"/>
      <c r="W274" s="643"/>
      <c r="X274" s="644"/>
      <c r="Y274" s="101"/>
      <c r="Z274" s="644"/>
      <c r="AA274" s="101"/>
      <c r="AB274" s="644"/>
      <c r="AC274" s="101"/>
      <c r="AD274" s="646"/>
      <c r="AE274" s="271"/>
      <c r="AF274" s="646"/>
      <c r="AG274" s="646"/>
      <c r="AH274" s="646"/>
      <c r="AI274" s="646"/>
      <c r="AJ274" s="646"/>
      <c r="AK274" s="646"/>
      <c r="AL274" s="646"/>
      <c r="AM274" s="271"/>
      <c r="AN274" s="646"/>
      <c r="AO274" s="646"/>
      <c r="AP274" s="646"/>
      <c r="AQ274" s="271"/>
      <c r="AR274" s="646"/>
      <c r="AS274" s="270"/>
      <c r="AT274" s="646"/>
      <c r="AU274" s="646"/>
      <c r="AV274" s="646"/>
      <c r="AW274" s="270"/>
      <c r="AX274" s="646"/>
      <c r="AY274" s="270"/>
      <c r="AZ274" s="646"/>
      <c r="BA274" s="646"/>
      <c r="BB274" s="644"/>
      <c r="BC274" s="644"/>
      <c r="BD274" s="644"/>
      <c r="BE274" s="644"/>
      <c r="BF274" s="644"/>
      <c r="BG274" s="644"/>
      <c r="BH274" s="644"/>
      <c r="BI274" s="644"/>
      <c r="BJ274" s="644"/>
      <c r="BK274" s="644"/>
      <c r="BL274" s="644"/>
      <c r="BM274" s="95"/>
      <c r="BN274" s="644"/>
      <c r="BO274" s="95"/>
      <c r="BP274" s="644"/>
      <c r="BQ274" s="644"/>
      <c r="BR274" s="644"/>
      <c r="BS274" s="644"/>
      <c r="BT274" s="644"/>
      <c r="BU274" s="644"/>
      <c r="BV274" s="644"/>
      <c r="BW274" s="644"/>
      <c r="BX274" s="644"/>
      <c r="BY274" s="644"/>
      <c r="BZ274" s="644"/>
      <c r="CA274" s="644"/>
      <c r="CB274" s="644"/>
      <c r="CC274" s="644"/>
      <c r="CD274" s="644"/>
      <c r="CE274" s="644"/>
      <c r="CF274" s="644"/>
      <c r="CG274" s="644"/>
      <c r="CH274" s="644"/>
      <c r="CI274" s="644"/>
      <c r="CJ274" s="644"/>
      <c r="CK274" s="644"/>
      <c r="CL274" s="644"/>
      <c r="CM274" s="95"/>
      <c r="CN274" s="644"/>
      <c r="CO274" s="644"/>
      <c r="CP274" s="95"/>
      <c r="CQ274" s="98"/>
      <c r="CR274" s="95"/>
      <c r="CS274" s="95"/>
      <c r="CT274" s="95"/>
      <c r="CU274" s="108"/>
      <c r="CV274" s="109"/>
      <c r="CW274" s="644"/>
      <c r="CX274" s="496"/>
      <c r="CY274" s="637"/>
      <c r="CZ274" s="644"/>
      <c r="DA274" s="644"/>
      <c r="DB274" s="644"/>
      <c r="DC274" s="496"/>
      <c r="DD274" s="644"/>
      <c r="DE274" s="101"/>
      <c r="DF274" s="644"/>
      <c r="DG274" s="101"/>
      <c r="DH274" s="644"/>
      <c r="DI274" s="644"/>
      <c r="DJ274" s="644"/>
      <c r="DK274" s="644"/>
      <c r="DL274" s="644"/>
      <c r="DM274" s="101"/>
      <c r="DN274" s="644"/>
      <c r="DO274" s="644"/>
      <c r="DP274" s="644"/>
      <c r="DQ274" s="644"/>
      <c r="DR274" s="644"/>
      <c r="DS274" s="644"/>
      <c r="DT274" s="644"/>
      <c r="DU274" s="644"/>
      <c r="DV274" s="644"/>
      <c r="DW274" s="101"/>
      <c r="DX274" s="646"/>
      <c r="DY274" s="646"/>
      <c r="DZ274" s="646"/>
      <c r="EA274" s="646"/>
      <c r="EB274" s="646"/>
      <c r="EC274" s="646"/>
      <c r="ED274" s="646"/>
      <c r="EE274" s="646"/>
      <c r="EF274" s="646"/>
      <c r="EG274" s="646"/>
      <c r="EH274" s="646"/>
      <c r="EI274" s="646"/>
      <c r="EJ274" s="646"/>
      <c r="EK274" s="271"/>
      <c r="EL274" s="644"/>
      <c r="EM274" s="634"/>
      <c r="EN274" s="647"/>
      <c r="EO274" s="648"/>
      <c r="EP274" s="647"/>
      <c r="EQ274" s="647"/>
      <c r="ER274" s="647"/>
      <c r="ES274" s="139"/>
      <c r="EV274" s="647"/>
      <c r="EW274" s="647"/>
      <c r="EX274" s="647"/>
      <c r="EY274" s="647"/>
      <c r="EZ274" s="647"/>
      <c r="FA274" s="646"/>
      <c r="FB274" s="646"/>
      <c r="FC274" s="646"/>
      <c r="FD274" s="646"/>
      <c r="FE274" s="646"/>
      <c r="FF274" s="646"/>
      <c r="FG274" s="647"/>
      <c r="FH274" s="647"/>
      <c r="FI274" s="647"/>
      <c r="FJ274" s="647"/>
      <c r="FK274" s="647"/>
      <c r="FL274" s="647"/>
      <c r="FM274" s="647"/>
      <c r="FN274" s="647"/>
      <c r="FO274" s="647"/>
      <c r="FP274" s="647"/>
      <c r="FQ274" s="647"/>
      <c r="FR274" s="647"/>
      <c r="FS274" s="101"/>
      <c r="FT274" s="95"/>
      <c r="FU274" s="651"/>
      <c r="FV274" s="101"/>
      <c r="FW274" s="101"/>
      <c r="FX274" s="634"/>
      <c r="FY274" s="634"/>
      <c r="FZ274" s="634"/>
      <c r="GA274" s="634"/>
      <c r="GB274" s="634"/>
      <c r="GC274" s="634"/>
      <c r="GD274" s="634"/>
      <c r="GE274" s="634"/>
      <c r="GF274" s="634"/>
      <c r="GG274" s="634"/>
      <c r="GH274" s="634"/>
      <c r="GI274" s="634"/>
      <c r="GJ274" s="634"/>
      <c r="GK274" s="634"/>
      <c r="GL274" s="101"/>
      <c r="GM274" s="101"/>
      <c r="GN274" s="101"/>
      <c r="GO274" s="643"/>
      <c r="GP274" s="644"/>
      <c r="GQ274" s="643"/>
      <c r="GR274" s="644"/>
      <c r="GS274" s="643"/>
      <c r="GT274" s="644"/>
      <c r="GU274" s="644"/>
      <c r="GV274" s="644"/>
      <c r="GW274" s="644"/>
      <c r="GX274" s="644"/>
      <c r="GY274" s="644"/>
      <c r="GZ274" s="644"/>
      <c r="HA274" s="644"/>
    </row>
    <row r="275" spans="1:209">
      <c r="A275" s="638"/>
      <c r="B275" s="95"/>
      <c r="C275" s="95"/>
      <c r="D275" s="95"/>
      <c r="E275" s="650"/>
      <c r="F275" s="95"/>
      <c r="G275" s="98"/>
      <c r="H275" s="99"/>
      <c r="I275" s="95"/>
      <c r="J275" s="95"/>
      <c r="K275" s="95"/>
      <c r="L275" s="95"/>
      <c r="M275" s="95"/>
      <c r="N275" s="95"/>
      <c r="O275" s="95"/>
      <c r="P275" s="95"/>
      <c r="Q275" s="95"/>
      <c r="R275" s="98"/>
      <c r="S275" s="101"/>
      <c r="T275" s="644"/>
      <c r="U275" s="101"/>
      <c r="V275" s="647"/>
      <c r="W275" s="643"/>
      <c r="X275" s="644"/>
      <c r="Y275" s="101"/>
      <c r="Z275" s="644"/>
      <c r="AA275" s="101"/>
      <c r="AB275" s="644"/>
      <c r="AC275" s="101"/>
      <c r="AD275" s="646"/>
      <c r="AE275" s="271"/>
      <c r="AF275" s="646"/>
      <c r="AG275" s="646"/>
      <c r="AH275" s="646"/>
      <c r="AI275" s="646"/>
      <c r="AJ275" s="646"/>
      <c r="AK275" s="646"/>
      <c r="AL275" s="646"/>
      <c r="AM275" s="271"/>
      <c r="AN275" s="646"/>
      <c r="AO275" s="646"/>
      <c r="AP275" s="646"/>
      <c r="AQ275" s="271"/>
      <c r="AR275" s="646"/>
      <c r="AS275" s="270"/>
      <c r="AT275" s="646"/>
      <c r="AU275" s="646"/>
      <c r="AV275" s="646"/>
      <c r="AW275" s="270"/>
      <c r="AX275" s="646"/>
      <c r="AY275" s="270"/>
      <c r="AZ275" s="646"/>
      <c r="BA275" s="646"/>
      <c r="BB275" s="644"/>
      <c r="BC275" s="644"/>
      <c r="BD275" s="644"/>
      <c r="BE275" s="644"/>
      <c r="BF275" s="644"/>
      <c r="BG275" s="644"/>
      <c r="BH275" s="644"/>
      <c r="BI275" s="644"/>
      <c r="BJ275" s="644"/>
      <c r="BK275" s="644"/>
      <c r="BL275" s="644"/>
      <c r="BM275" s="95"/>
      <c r="BN275" s="644"/>
      <c r="BO275" s="95"/>
      <c r="BP275" s="644"/>
      <c r="BQ275" s="644"/>
      <c r="BR275" s="644"/>
      <c r="BS275" s="644"/>
      <c r="BT275" s="644"/>
      <c r="BU275" s="644"/>
      <c r="BV275" s="644"/>
      <c r="BW275" s="644"/>
      <c r="BX275" s="644"/>
      <c r="BY275" s="644"/>
      <c r="BZ275" s="644"/>
      <c r="CA275" s="644"/>
      <c r="CB275" s="644"/>
      <c r="CC275" s="644"/>
      <c r="CD275" s="644"/>
      <c r="CE275" s="644"/>
      <c r="CF275" s="644"/>
      <c r="CG275" s="644"/>
      <c r="CH275" s="644"/>
      <c r="CI275" s="644"/>
      <c r="CJ275" s="644"/>
      <c r="CK275" s="644"/>
      <c r="CL275" s="644"/>
      <c r="CM275" s="95"/>
      <c r="CN275" s="644"/>
      <c r="CO275" s="644"/>
      <c r="CP275" s="95"/>
      <c r="CQ275" s="98"/>
      <c r="CR275" s="95"/>
      <c r="CS275" s="95"/>
      <c r="CT275" s="95"/>
      <c r="CU275" s="108"/>
      <c r="CV275" s="109"/>
      <c r="CW275" s="644"/>
      <c r="CX275" s="496"/>
      <c r="CY275" s="637"/>
      <c r="CZ275" s="644"/>
      <c r="DA275" s="644"/>
      <c r="DB275" s="644"/>
      <c r="DC275" s="496"/>
      <c r="DD275" s="644"/>
      <c r="DE275" s="101"/>
      <c r="DF275" s="644"/>
      <c r="DG275" s="101"/>
      <c r="DH275" s="644"/>
      <c r="DI275" s="644"/>
      <c r="DJ275" s="644"/>
      <c r="DK275" s="644"/>
      <c r="DL275" s="644"/>
      <c r="DM275" s="101"/>
      <c r="DN275" s="644"/>
      <c r="DO275" s="644"/>
      <c r="DP275" s="644"/>
      <c r="DQ275" s="644"/>
      <c r="DR275" s="644"/>
      <c r="DS275" s="644"/>
      <c r="DT275" s="644"/>
      <c r="DU275" s="644"/>
      <c r="DV275" s="644"/>
      <c r="DW275" s="101"/>
      <c r="DX275" s="646"/>
      <c r="DY275" s="646"/>
      <c r="DZ275" s="646"/>
      <c r="EA275" s="646"/>
      <c r="EB275" s="646"/>
      <c r="EC275" s="646"/>
      <c r="ED275" s="646"/>
      <c r="EE275" s="646"/>
      <c r="EF275" s="646"/>
      <c r="EG275" s="646"/>
      <c r="EH275" s="646"/>
      <c r="EI275" s="646"/>
      <c r="EJ275" s="646"/>
      <c r="EK275" s="271"/>
      <c r="EL275" s="644"/>
      <c r="EM275" s="634"/>
      <c r="EN275" s="647"/>
      <c r="EO275" s="648"/>
      <c r="EP275" s="647"/>
      <c r="EQ275" s="647"/>
      <c r="ER275" s="647"/>
      <c r="ES275" s="139"/>
      <c r="EV275" s="647"/>
      <c r="EW275" s="647"/>
      <c r="EX275" s="647"/>
      <c r="EY275" s="647"/>
      <c r="EZ275" s="647"/>
      <c r="FA275" s="646"/>
      <c r="FB275" s="646"/>
      <c r="FC275" s="646"/>
      <c r="FD275" s="646"/>
      <c r="FE275" s="646"/>
      <c r="FF275" s="646"/>
      <c r="FG275" s="647"/>
      <c r="FH275" s="647"/>
      <c r="FI275" s="647"/>
      <c r="FJ275" s="647"/>
      <c r="FK275" s="647"/>
      <c r="FL275" s="647"/>
      <c r="FM275" s="647"/>
      <c r="FN275" s="647"/>
      <c r="FO275" s="647"/>
      <c r="FP275" s="647"/>
      <c r="FQ275" s="647"/>
      <c r="FR275" s="647"/>
      <c r="FS275" s="101"/>
      <c r="FT275" s="95"/>
      <c r="FU275" s="651"/>
      <c r="FV275" s="101"/>
      <c r="FW275" s="101"/>
      <c r="FX275" s="634"/>
      <c r="FY275" s="634"/>
      <c r="FZ275" s="634"/>
      <c r="GA275" s="634"/>
      <c r="GB275" s="634"/>
      <c r="GC275" s="634"/>
      <c r="GD275" s="634"/>
      <c r="GE275" s="634"/>
      <c r="GF275" s="634"/>
      <c r="GG275" s="634"/>
      <c r="GH275" s="634"/>
      <c r="GI275" s="634"/>
      <c r="GJ275" s="634"/>
      <c r="GK275" s="634"/>
      <c r="GL275" s="101"/>
      <c r="GM275" s="101"/>
      <c r="GN275" s="101"/>
      <c r="GO275" s="643"/>
      <c r="GP275" s="644"/>
      <c r="GQ275" s="643"/>
      <c r="GR275" s="644"/>
      <c r="GS275" s="643"/>
      <c r="GT275" s="644"/>
      <c r="GU275" s="644"/>
      <c r="GV275" s="644"/>
      <c r="GW275" s="644"/>
      <c r="GX275" s="644"/>
      <c r="GY275" s="644"/>
      <c r="GZ275" s="644"/>
      <c r="HA275" s="644"/>
    </row>
    <row r="276" spans="1:209">
      <c r="A276" s="638"/>
      <c r="B276" s="95"/>
      <c r="C276" s="95"/>
      <c r="D276" s="95"/>
      <c r="E276" s="650"/>
      <c r="F276" s="95"/>
      <c r="G276" s="98"/>
      <c r="H276" s="99"/>
      <c r="I276" s="95"/>
      <c r="J276" s="95"/>
      <c r="K276" s="95"/>
      <c r="L276" s="95"/>
      <c r="M276" s="95"/>
      <c r="N276" s="95"/>
      <c r="O276" s="95"/>
      <c r="P276" s="95"/>
      <c r="Q276" s="95"/>
      <c r="R276" s="98"/>
      <c r="S276" s="101"/>
      <c r="T276" s="644"/>
      <c r="U276" s="101"/>
      <c r="V276" s="647"/>
      <c r="W276" s="643"/>
      <c r="X276" s="644"/>
      <c r="Y276" s="101"/>
      <c r="Z276" s="644"/>
      <c r="AA276" s="101"/>
      <c r="AB276" s="644"/>
      <c r="AC276" s="101"/>
      <c r="AD276" s="646"/>
      <c r="AE276" s="271"/>
      <c r="AF276" s="646"/>
      <c r="AG276" s="646"/>
      <c r="AH276" s="646"/>
      <c r="AI276" s="646"/>
      <c r="AJ276" s="646"/>
      <c r="AK276" s="646"/>
      <c r="AL276" s="646"/>
      <c r="AM276" s="271"/>
      <c r="AN276" s="646"/>
      <c r="AO276" s="646"/>
      <c r="AP276" s="646"/>
      <c r="AQ276" s="271"/>
      <c r="AR276" s="646"/>
      <c r="AS276" s="270"/>
      <c r="AT276" s="646"/>
      <c r="AU276" s="646"/>
      <c r="AV276" s="646"/>
      <c r="AW276" s="270"/>
      <c r="AX276" s="646"/>
      <c r="AY276" s="270"/>
      <c r="AZ276" s="646"/>
      <c r="BA276" s="646"/>
      <c r="BB276" s="644"/>
      <c r="BC276" s="644"/>
      <c r="BD276" s="644"/>
      <c r="BE276" s="644"/>
      <c r="BF276" s="644"/>
      <c r="BG276" s="644"/>
      <c r="BH276" s="644"/>
      <c r="BI276" s="644"/>
      <c r="BJ276" s="644"/>
      <c r="BK276" s="644"/>
      <c r="BL276" s="644"/>
      <c r="BM276" s="95"/>
      <c r="BN276" s="644"/>
      <c r="BO276" s="95"/>
      <c r="BP276" s="644"/>
      <c r="BQ276" s="644"/>
      <c r="BR276" s="644"/>
      <c r="BS276" s="644"/>
      <c r="BT276" s="644"/>
      <c r="BU276" s="644"/>
      <c r="BV276" s="644"/>
      <c r="BW276" s="644"/>
      <c r="BX276" s="644"/>
      <c r="BY276" s="644"/>
      <c r="BZ276" s="644"/>
      <c r="CA276" s="644"/>
      <c r="CB276" s="644"/>
      <c r="CC276" s="644"/>
      <c r="CD276" s="644"/>
      <c r="CE276" s="644"/>
      <c r="CF276" s="644"/>
      <c r="CG276" s="644"/>
      <c r="CH276" s="644"/>
      <c r="CI276" s="644"/>
      <c r="CJ276" s="644"/>
      <c r="CK276" s="644"/>
      <c r="CL276" s="644"/>
      <c r="CM276" s="95"/>
      <c r="CN276" s="644"/>
      <c r="CO276" s="644"/>
      <c r="CP276" s="95"/>
      <c r="CQ276" s="98"/>
      <c r="CR276" s="95"/>
      <c r="CS276" s="95"/>
      <c r="CT276" s="95"/>
      <c r="CU276" s="108"/>
      <c r="CV276" s="109"/>
      <c r="CW276" s="644"/>
      <c r="CX276" s="496"/>
      <c r="CY276" s="637"/>
      <c r="CZ276" s="644"/>
      <c r="DA276" s="644"/>
      <c r="DB276" s="644"/>
      <c r="DC276" s="496"/>
      <c r="DD276" s="644"/>
      <c r="DE276" s="101"/>
      <c r="DF276" s="644"/>
      <c r="DG276" s="101"/>
      <c r="DH276" s="644"/>
      <c r="DI276" s="644"/>
      <c r="DJ276" s="644"/>
      <c r="DK276" s="644"/>
      <c r="DL276" s="644"/>
      <c r="DM276" s="101"/>
      <c r="DN276" s="644"/>
      <c r="DO276" s="644"/>
      <c r="DP276" s="644"/>
      <c r="DQ276" s="644"/>
      <c r="DR276" s="644"/>
      <c r="DS276" s="644"/>
      <c r="DT276" s="644"/>
      <c r="DU276" s="644"/>
      <c r="DV276" s="644"/>
      <c r="DW276" s="101"/>
      <c r="DX276" s="646"/>
      <c r="DY276" s="646"/>
      <c r="DZ276" s="646"/>
      <c r="EA276" s="646"/>
      <c r="EB276" s="646"/>
      <c r="EC276" s="646"/>
      <c r="ED276" s="646"/>
      <c r="EE276" s="646"/>
      <c r="EF276" s="646"/>
      <c r="EG276" s="646"/>
      <c r="EH276" s="646"/>
      <c r="EI276" s="646"/>
      <c r="EJ276" s="646"/>
      <c r="EK276" s="271"/>
      <c r="EL276" s="644"/>
      <c r="EM276" s="634"/>
      <c r="EN276" s="647"/>
      <c r="EO276" s="648"/>
      <c r="EP276" s="647"/>
      <c r="EQ276" s="647"/>
      <c r="ER276" s="647"/>
      <c r="ES276" s="139"/>
      <c r="EV276" s="647"/>
      <c r="EW276" s="647"/>
      <c r="EX276" s="647"/>
      <c r="EY276" s="647"/>
      <c r="EZ276" s="647"/>
      <c r="FA276" s="646"/>
      <c r="FB276" s="646"/>
      <c r="FC276" s="646"/>
      <c r="FD276" s="646"/>
      <c r="FE276" s="646"/>
      <c r="FF276" s="646"/>
      <c r="FG276" s="647"/>
      <c r="FH276" s="647"/>
      <c r="FI276" s="647"/>
      <c r="FJ276" s="647"/>
      <c r="FK276" s="647"/>
      <c r="FL276" s="647"/>
      <c r="FM276" s="647"/>
      <c r="FN276" s="647"/>
      <c r="FO276" s="647"/>
      <c r="FP276" s="647"/>
      <c r="FQ276" s="647"/>
      <c r="FR276" s="647"/>
      <c r="FS276" s="101"/>
      <c r="FT276" s="95"/>
      <c r="FU276" s="651"/>
      <c r="FV276" s="101"/>
      <c r="FW276" s="101"/>
      <c r="FX276" s="634"/>
      <c r="FY276" s="634"/>
      <c r="FZ276" s="634"/>
      <c r="GA276" s="634"/>
      <c r="GB276" s="634"/>
      <c r="GC276" s="634"/>
      <c r="GD276" s="634"/>
      <c r="GE276" s="634"/>
      <c r="GF276" s="634"/>
      <c r="GG276" s="634"/>
      <c r="GH276" s="634"/>
      <c r="GI276" s="634"/>
      <c r="GJ276" s="634"/>
      <c r="GK276" s="634"/>
      <c r="GL276" s="101"/>
      <c r="GM276" s="101"/>
      <c r="GN276" s="101"/>
      <c r="GO276" s="643"/>
      <c r="GP276" s="644"/>
      <c r="GQ276" s="643"/>
      <c r="GR276" s="644"/>
      <c r="GS276" s="643"/>
      <c r="GT276" s="644"/>
      <c r="GU276" s="644"/>
      <c r="GV276" s="644"/>
      <c r="GW276" s="644"/>
      <c r="GX276" s="644"/>
      <c r="GY276" s="644"/>
      <c r="GZ276" s="644"/>
      <c r="HA276" s="644"/>
    </row>
    <row r="277" spans="1:209">
      <c r="A277" s="638"/>
      <c r="B277" s="95"/>
      <c r="C277" s="95"/>
      <c r="D277" s="95"/>
      <c r="E277" s="650"/>
      <c r="F277" s="95"/>
      <c r="G277" s="98"/>
      <c r="H277" s="99"/>
      <c r="I277" s="95"/>
      <c r="J277" s="95"/>
      <c r="K277" s="95"/>
      <c r="L277" s="95"/>
      <c r="M277" s="95"/>
      <c r="N277" s="95"/>
      <c r="O277" s="95"/>
      <c r="P277" s="95"/>
      <c r="Q277" s="95"/>
      <c r="R277" s="98"/>
      <c r="S277" s="101"/>
      <c r="T277" s="644"/>
      <c r="U277" s="101"/>
      <c r="V277" s="647"/>
      <c r="W277" s="643"/>
      <c r="X277" s="644"/>
      <c r="Y277" s="101"/>
      <c r="Z277" s="644"/>
      <c r="AA277" s="101"/>
      <c r="AB277" s="644"/>
      <c r="AC277" s="101"/>
      <c r="AD277" s="646"/>
      <c r="AE277" s="271"/>
      <c r="AF277" s="646"/>
      <c r="AG277" s="646"/>
      <c r="AH277" s="646"/>
      <c r="AI277" s="646"/>
      <c r="AJ277" s="646"/>
      <c r="AK277" s="646"/>
      <c r="AL277" s="646"/>
      <c r="AM277" s="271"/>
      <c r="AN277" s="646"/>
      <c r="AO277" s="646"/>
      <c r="AP277" s="646"/>
      <c r="AQ277" s="271"/>
      <c r="AR277" s="646"/>
      <c r="AS277" s="270"/>
      <c r="AT277" s="646"/>
      <c r="AU277" s="646"/>
      <c r="AV277" s="646"/>
      <c r="AW277" s="270"/>
      <c r="AX277" s="646"/>
      <c r="AY277" s="270"/>
      <c r="AZ277" s="646"/>
      <c r="BA277" s="646"/>
      <c r="BB277" s="644"/>
      <c r="BC277" s="644"/>
      <c r="BD277" s="644"/>
      <c r="BE277" s="644"/>
      <c r="BF277" s="644"/>
      <c r="BG277" s="644"/>
      <c r="BH277" s="644"/>
      <c r="BI277" s="644"/>
      <c r="BJ277" s="644"/>
      <c r="BK277" s="644"/>
      <c r="BL277" s="644"/>
      <c r="BM277" s="95"/>
      <c r="BN277" s="644"/>
      <c r="BO277" s="95"/>
      <c r="BP277" s="644"/>
      <c r="BQ277" s="644"/>
      <c r="BR277" s="644"/>
      <c r="BS277" s="644"/>
      <c r="BT277" s="644"/>
      <c r="BU277" s="644"/>
      <c r="BV277" s="644"/>
      <c r="BW277" s="644"/>
      <c r="BX277" s="644"/>
      <c r="BY277" s="644"/>
      <c r="BZ277" s="644"/>
      <c r="CA277" s="644"/>
      <c r="CB277" s="644"/>
      <c r="CC277" s="644"/>
      <c r="CD277" s="644"/>
      <c r="CE277" s="644"/>
      <c r="CF277" s="644"/>
      <c r="CG277" s="644"/>
      <c r="CH277" s="644"/>
      <c r="CI277" s="644"/>
      <c r="CJ277" s="644"/>
      <c r="CK277" s="644"/>
      <c r="CL277" s="644"/>
      <c r="CM277" s="95"/>
      <c r="CN277" s="644"/>
      <c r="CO277" s="644"/>
      <c r="CP277" s="95"/>
      <c r="CQ277" s="98"/>
      <c r="CR277" s="95"/>
      <c r="CS277" s="95"/>
      <c r="CT277" s="95"/>
      <c r="CU277" s="108"/>
      <c r="CV277" s="109"/>
      <c r="CW277" s="644"/>
      <c r="CX277" s="496"/>
      <c r="CY277" s="637"/>
      <c r="CZ277" s="644"/>
      <c r="DA277" s="644"/>
      <c r="DB277" s="644"/>
      <c r="DC277" s="496"/>
      <c r="DD277" s="644"/>
      <c r="DE277" s="101"/>
      <c r="DF277" s="644"/>
      <c r="DG277" s="101"/>
      <c r="DH277" s="644"/>
      <c r="DI277" s="644"/>
      <c r="DJ277" s="644"/>
      <c r="DK277" s="644"/>
      <c r="DL277" s="644"/>
      <c r="DM277" s="101"/>
      <c r="DN277" s="644"/>
      <c r="DO277" s="644"/>
      <c r="DP277" s="644"/>
      <c r="DQ277" s="644"/>
      <c r="DR277" s="644"/>
      <c r="DS277" s="644"/>
      <c r="DT277" s="644"/>
      <c r="DU277" s="644"/>
      <c r="DV277" s="644"/>
      <c r="DW277" s="101"/>
      <c r="DX277" s="646"/>
      <c r="DY277" s="646"/>
      <c r="DZ277" s="646"/>
      <c r="EA277" s="646"/>
      <c r="EB277" s="646"/>
      <c r="EC277" s="646"/>
      <c r="ED277" s="646"/>
      <c r="EE277" s="646"/>
      <c r="EF277" s="646"/>
      <c r="EG277" s="646"/>
      <c r="EH277" s="646"/>
      <c r="EI277" s="646"/>
      <c r="EJ277" s="646"/>
      <c r="EK277" s="271"/>
      <c r="EL277" s="644"/>
      <c r="EM277" s="634"/>
      <c r="EN277" s="647"/>
      <c r="EO277" s="648"/>
      <c r="EP277" s="647"/>
      <c r="EQ277" s="647"/>
      <c r="ER277" s="647"/>
      <c r="ES277" s="139"/>
      <c r="EV277" s="647"/>
      <c r="EW277" s="647"/>
      <c r="EX277" s="647"/>
      <c r="EY277" s="647"/>
      <c r="EZ277" s="647"/>
      <c r="FA277" s="646"/>
      <c r="FB277" s="646"/>
      <c r="FC277" s="646"/>
      <c r="FD277" s="646"/>
      <c r="FE277" s="646"/>
      <c r="FF277" s="646"/>
      <c r="FG277" s="647"/>
      <c r="FH277" s="647"/>
      <c r="FI277" s="647"/>
      <c r="FJ277" s="647"/>
      <c r="FK277" s="647"/>
      <c r="FL277" s="647"/>
      <c r="FM277" s="647"/>
      <c r="FN277" s="647"/>
      <c r="FO277" s="647"/>
      <c r="FP277" s="647"/>
      <c r="FQ277" s="647"/>
      <c r="FR277" s="647"/>
      <c r="FS277" s="101"/>
      <c r="FT277" s="95"/>
      <c r="FU277" s="651"/>
      <c r="FV277" s="101"/>
      <c r="FW277" s="101"/>
      <c r="FX277" s="634"/>
      <c r="FY277" s="634"/>
      <c r="FZ277" s="634"/>
      <c r="GA277" s="634"/>
      <c r="GB277" s="634"/>
      <c r="GC277" s="634"/>
      <c r="GD277" s="634"/>
      <c r="GE277" s="634"/>
      <c r="GF277" s="634"/>
      <c r="GG277" s="634"/>
      <c r="GH277" s="634"/>
      <c r="GI277" s="634"/>
      <c r="GJ277" s="634"/>
      <c r="GK277" s="634"/>
      <c r="GL277" s="101"/>
      <c r="GM277" s="101"/>
      <c r="GN277" s="101"/>
      <c r="GO277" s="643"/>
      <c r="GP277" s="644"/>
      <c r="GQ277" s="643"/>
      <c r="GR277" s="644"/>
      <c r="GS277" s="643"/>
      <c r="GT277" s="644"/>
      <c r="GU277" s="644"/>
      <c r="GV277" s="644"/>
      <c r="GW277" s="644"/>
      <c r="GX277" s="644"/>
      <c r="GY277" s="644"/>
      <c r="GZ277" s="644"/>
      <c r="HA277" s="644"/>
    </row>
    <row r="278" spans="1:209">
      <c r="A278" s="638"/>
      <c r="B278" s="95"/>
      <c r="C278" s="95"/>
      <c r="D278" s="95"/>
      <c r="E278" s="650"/>
      <c r="F278" s="95"/>
      <c r="G278" s="98"/>
      <c r="H278" s="99"/>
      <c r="I278" s="95"/>
      <c r="J278" s="95"/>
      <c r="K278" s="95"/>
      <c r="L278" s="95"/>
      <c r="M278" s="95"/>
      <c r="N278" s="95"/>
      <c r="O278" s="95"/>
      <c r="P278" s="95"/>
      <c r="Q278" s="95"/>
      <c r="R278" s="98"/>
      <c r="S278" s="101"/>
      <c r="T278" s="644"/>
      <c r="U278" s="101"/>
      <c r="V278" s="647"/>
      <c r="W278" s="643"/>
      <c r="X278" s="644"/>
      <c r="Y278" s="101"/>
      <c r="Z278" s="644"/>
      <c r="AA278" s="101"/>
      <c r="AB278" s="644"/>
      <c r="AC278" s="101"/>
      <c r="AD278" s="646"/>
      <c r="AE278" s="271"/>
      <c r="AF278" s="646"/>
      <c r="AG278" s="646"/>
      <c r="AH278" s="646"/>
      <c r="AI278" s="646"/>
      <c r="AJ278" s="646"/>
      <c r="AK278" s="646"/>
      <c r="AL278" s="646"/>
      <c r="AM278" s="271"/>
      <c r="AN278" s="646"/>
      <c r="AO278" s="646"/>
      <c r="AP278" s="646"/>
      <c r="AQ278" s="271"/>
      <c r="AR278" s="646"/>
      <c r="AS278" s="270"/>
      <c r="AT278" s="646"/>
      <c r="AU278" s="646"/>
      <c r="AV278" s="646"/>
      <c r="AW278" s="270"/>
      <c r="AX278" s="646"/>
      <c r="AY278" s="270"/>
      <c r="AZ278" s="646"/>
      <c r="BA278" s="646"/>
      <c r="BB278" s="644"/>
      <c r="BC278" s="644"/>
      <c r="BD278" s="644"/>
      <c r="BE278" s="644"/>
      <c r="BF278" s="644"/>
      <c r="BG278" s="644"/>
      <c r="BH278" s="644"/>
      <c r="BI278" s="644"/>
      <c r="BJ278" s="644"/>
      <c r="BK278" s="644"/>
      <c r="BL278" s="644"/>
      <c r="BM278" s="95"/>
      <c r="BN278" s="644"/>
      <c r="BO278" s="95"/>
      <c r="BP278" s="644"/>
      <c r="BQ278" s="644"/>
      <c r="BR278" s="644"/>
      <c r="BS278" s="644"/>
      <c r="BT278" s="644"/>
      <c r="BU278" s="644"/>
      <c r="BV278" s="644"/>
      <c r="BW278" s="644"/>
      <c r="BX278" s="644"/>
      <c r="BY278" s="644"/>
      <c r="BZ278" s="644"/>
      <c r="CA278" s="644"/>
      <c r="CB278" s="644"/>
      <c r="CC278" s="644"/>
      <c r="CD278" s="644"/>
      <c r="CE278" s="644"/>
      <c r="CF278" s="644"/>
      <c r="CG278" s="644"/>
      <c r="CH278" s="644"/>
      <c r="CI278" s="644"/>
      <c r="CJ278" s="644"/>
      <c r="CK278" s="644"/>
      <c r="CL278" s="644"/>
      <c r="CM278" s="95"/>
      <c r="CN278" s="644"/>
      <c r="CO278" s="644"/>
      <c r="CP278" s="95"/>
      <c r="CQ278" s="98"/>
      <c r="CR278" s="95"/>
      <c r="CS278" s="95"/>
      <c r="CT278" s="95"/>
      <c r="CU278" s="108"/>
      <c r="CV278" s="109"/>
      <c r="CW278" s="644"/>
      <c r="CX278" s="496"/>
      <c r="CY278" s="637"/>
      <c r="CZ278" s="644"/>
      <c r="DA278" s="644"/>
      <c r="DB278" s="644"/>
      <c r="DC278" s="496"/>
      <c r="DD278" s="644"/>
      <c r="DE278" s="101"/>
      <c r="DF278" s="644"/>
      <c r="DG278" s="101"/>
      <c r="DH278" s="644"/>
      <c r="DI278" s="644"/>
      <c r="DJ278" s="644"/>
      <c r="DK278" s="644"/>
      <c r="DL278" s="644"/>
      <c r="DM278" s="101"/>
      <c r="DN278" s="644"/>
      <c r="DO278" s="644"/>
      <c r="DP278" s="644"/>
      <c r="DQ278" s="644"/>
      <c r="DR278" s="644"/>
      <c r="DS278" s="644"/>
      <c r="DT278" s="644"/>
      <c r="DU278" s="644"/>
      <c r="DV278" s="644"/>
      <c r="DW278" s="101"/>
      <c r="DX278" s="646"/>
      <c r="DY278" s="646"/>
      <c r="DZ278" s="646"/>
      <c r="EA278" s="646"/>
      <c r="EB278" s="646"/>
      <c r="EC278" s="646"/>
      <c r="ED278" s="646"/>
      <c r="EE278" s="646"/>
      <c r="EF278" s="646"/>
      <c r="EG278" s="646"/>
      <c r="EH278" s="646"/>
      <c r="EI278" s="646"/>
      <c r="EJ278" s="646"/>
      <c r="EK278" s="271"/>
      <c r="EL278" s="644"/>
      <c r="EM278" s="634"/>
      <c r="EN278" s="647"/>
      <c r="EO278" s="648"/>
      <c r="EP278" s="647"/>
      <c r="EQ278" s="647"/>
      <c r="ER278" s="647"/>
      <c r="ES278" s="139"/>
      <c r="EV278" s="647"/>
      <c r="EW278" s="647"/>
      <c r="EX278" s="647"/>
      <c r="EY278" s="647"/>
      <c r="EZ278" s="647"/>
      <c r="FA278" s="646"/>
      <c r="FB278" s="646"/>
      <c r="FC278" s="646"/>
      <c r="FD278" s="646"/>
      <c r="FE278" s="646"/>
      <c r="FF278" s="646"/>
      <c r="FG278" s="647"/>
      <c r="FH278" s="647"/>
      <c r="FI278" s="647"/>
      <c r="FJ278" s="647"/>
      <c r="FK278" s="647"/>
      <c r="FL278" s="647"/>
      <c r="FM278" s="647"/>
      <c r="FN278" s="647"/>
      <c r="FO278" s="647"/>
      <c r="FP278" s="647"/>
      <c r="FQ278" s="647"/>
      <c r="FR278" s="647"/>
      <c r="FS278" s="101"/>
      <c r="FT278" s="95"/>
      <c r="FU278" s="651"/>
      <c r="FV278" s="101"/>
      <c r="FW278" s="101"/>
      <c r="FX278" s="634"/>
      <c r="FY278" s="634"/>
      <c r="FZ278" s="634"/>
      <c r="GA278" s="634"/>
      <c r="GB278" s="634"/>
      <c r="GC278" s="634"/>
      <c r="GD278" s="634"/>
      <c r="GE278" s="634"/>
      <c r="GF278" s="634"/>
      <c r="GG278" s="634"/>
      <c r="GH278" s="634"/>
      <c r="GI278" s="634"/>
      <c r="GJ278" s="634"/>
      <c r="GK278" s="634"/>
      <c r="GL278" s="101"/>
      <c r="GM278" s="101"/>
      <c r="GN278" s="101"/>
      <c r="GO278" s="643"/>
      <c r="GP278" s="644"/>
      <c r="GQ278" s="643"/>
      <c r="GR278" s="644"/>
      <c r="GS278" s="643"/>
      <c r="GT278" s="644"/>
      <c r="GU278" s="644"/>
      <c r="GV278" s="644"/>
      <c r="GW278" s="644"/>
      <c r="GX278" s="644"/>
      <c r="GY278" s="644"/>
      <c r="GZ278" s="644"/>
      <c r="HA278" s="644"/>
    </row>
    <row r="279" spans="1:209">
      <c r="A279" s="638"/>
      <c r="B279" s="95"/>
      <c r="C279" s="95"/>
      <c r="D279" s="95"/>
      <c r="E279" s="650"/>
      <c r="F279" s="95"/>
      <c r="G279" s="98"/>
      <c r="H279" s="99"/>
      <c r="I279" s="95"/>
      <c r="J279" s="95"/>
      <c r="K279" s="95"/>
      <c r="L279" s="95"/>
      <c r="M279" s="95"/>
      <c r="N279" s="95"/>
      <c r="O279" s="95"/>
      <c r="P279" s="95"/>
      <c r="Q279" s="95"/>
      <c r="R279" s="98"/>
      <c r="S279" s="101"/>
      <c r="T279" s="644"/>
      <c r="U279" s="101"/>
      <c r="V279" s="647"/>
      <c r="W279" s="643"/>
      <c r="X279" s="644"/>
      <c r="Y279" s="101"/>
      <c r="Z279" s="644"/>
      <c r="AA279" s="101"/>
      <c r="AB279" s="644"/>
      <c r="AC279" s="101"/>
      <c r="AD279" s="646"/>
      <c r="AE279" s="271"/>
      <c r="AF279" s="646"/>
      <c r="AG279" s="646"/>
      <c r="AH279" s="646"/>
      <c r="AI279" s="646"/>
      <c r="AJ279" s="646"/>
      <c r="AK279" s="646"/>
      <c r="AL279" s="646"/>
      <c r="AM279" s="271"/>
      <c r="AN279" s="646"/>
      <c r="AO279" s="646"/>
      <c r="AP279" s="646"/>
      <c r="AQ279" s="271"/>
      <c r="AR279" s="646"/>
      <c r="AS279" s="270"/>
      <c r="AT279" s="646"/>
      <c r="AU279" s="646"/>
      <c r="AV279" s="646"/>
      <c r="AW279" s="270"/>
      <c r="AX279" s="646"/>
      <c r="AY279" s="270"/>
      <c r="AZ279" s="646"/>
      <c r="BA279" s="646"/>
      <c r="BB279" s="644"/>
      <c r="BC279" s="644"/>
      <c r="BD279" s="644"/>
      <c r="BE279" s="644"/>
      <c r="BF279" s="644"/>
      <c r="BG279" s="644"/>
      <c r="BH279" s="644"/>
      <c r="BI279" s="644"/>
      <c r="BJ279" s="644"/>
      <c r="BK279" s="644"/>
      <c r="BL279" s="644"/>
      <c r="BM279" s="95"/>
      <c r="BN279" s="644"/>
      <c r="BO279" s="95"/>
      <c r="BP279" s="644"/>
      <c r="BQ279" s="644"/>
      <c r="BR279" s="644"/>
      <c r="BS279" s="644"/>
      <c r="BT279" s="644"/>
      <c r="BU279" s="644"/>
      <c r="BV279" s="644"/>
      <c r="BW279" s="644"/>
      <c r="BX279" s="644"/>
      <c r="BY279" s="644"/>
      <c r="BZ279" s="644"/>
      <c r="CA279" s="644"/>
      <c r="CB279" s="644"/>
      <c r="CC279" s="644"/>
      <c r="CD279" s="644"/>
      <c r="CE279" s="644"/>
      <c r="CF279" s="644"/>
      <c r="CG279" s="644"/>
      <c r="CH279" s="644"/>
      <c r="CI279" s="644"/>
      <c r="CJ279" s="644"/>
      <c r="CK279" s="644"/>
      <c r="CL279" s="644"/>
      <c r="CM279" s="95"/>
      <c r="CN279" s="644"/>
      <c r="CO279" s="644"/>
      <c r="CP279" s="95"/>
      <c r="CQ279" s="98"/>
      <c r="CR279" s="95"/>
      <c r="CS279" s="95"/>
      <c r="CT279" s="95"/>
      <c r="CU279" s="108"/>
      <c r="CV279" s="109"/>
      <c r="CW279" s="644"/>
      <c r="CX279" s="496"/>
      <c r="CY279" s="637"/>
      <c r="CZ279" s="644"/>
      <c r="DA279" s="644"/>
      <c r="DB279" s="644"/>
      <c r="DC279" s="496"/>
      <c r="DD279" s="644"/>
      <c r="DE279" s="101"/>
      <c r="DF279" s="644"/>
      <c r="DG279" s="101"/>
      <c r="DH279" s="644"/>
      <c r="DI279" s="644"/>
      <c r="DJ279" s="644"/>
      <c r="DK279" s="644"/>
      <c r="DL279" s="644"/>
      <c r="DM279" s="101"/>
      <c r="DN279" s="644"/>
      <c r="DO279" s="644"/>
      <c r="DP279" s="644"/>
      <c r="DQ279" s="644"/>
      <c r="DR279" s="644"/>
      <c r="DS279" s="644"/>
      <c r="DT279" s="644"/>
      <c r="DU279" s="644"/>
      <c r="DV279" s="644"/>
      <c r="DW279" s="101"/>
      <c r="DX279" s="646"/>
      <c r="DY279" s="646"/>
      <c r="DZ279" s="646"/>
      <c r="EA279" s="646"/>
      <c r="EB279" s="646"/>
      <c r="EC279" s="646"/>
      <c r="ED279" s="646"/>
      <c r="EE279" s="646"/>
      <c r="EF279" s="646"/>
      <c r="EG279" s="646"/>
      <c r="EH279" s="646"/>
      <c r="EI279" s="646"/>
      <c r="EJ279" s="646"/>
      <c r="EK279" s="271"/>
      <c r="EL279" s="644"/>
      <c r="EM279" s="634"/>
      <c r="EN279" s="647"/>
      <c r="EO279" s="648"/>
      <c r="EP279" s="647"/>
      <c r="EQ279" s="647"/>
      <c r="ER279" s="647"/>
      <c r="ES279" s="139"/>
      <c r="EV279" s="647"/>
      <c r="EW279" s="647"/>
      <c r="EX279" s="647"/>
      <c r="EY279" s="647"/>
      <c r="EZ279" s="647"/>
      <c r="FA279" s="646"/>
      <c r="FB279" s="646"/>
      <c r="FC279" s="646"/>
      <c r="FD279" s="646"/>
      <c r="FE279" s="646"/>
      <c r="FF279" s="646"/>
      <c r="FG279" s="647"/>
      <c r="FH279" s="647"/>
      <c r="FI279" s="647"/>
      <c r="FJ279" s="647"/>
      <c r="FK279" s="647"/>
      <c r="FL279" s="647"/>
      <c r="FM279" s="647"/>
      <c r="FN279" s="647"/>
      <c r="FO279" s="647"/>
      <c r="FP279" s="647"/>
      <c r="FQ279" s="647"/>
      <c r="FR279" s="647"/>
      <c r="FS279" s="101"/>
      <c r="FT279" s="95"/>
      <c r="FU279" s="651"/>
      <c r="FV279" s="101"/>
      <c r="FW279" s="101"/>
      <c r="FX279" s="634"/>
      <c r="FY279" s="634"/>
      <c r="FZ279" s="634"/>
      <c r="GA279" s="634"/>
      <c r="GB279" s="634"/>
      <c r="GC279" s="634"/>
      <c r="GD279" s="634"/>
      <c r="GE279" s="634"/>
      <c r="GF279" s="634"/>
      <c r="GG279" s="634"/>
      <c r="GH279" s="634"/>
      <c r="GI279" s="634"/>
      <c r="GJ279" s="634"/>
      <c r="GK279" s="634"/>
      <c r="GL279" s="101"/>
      <c r="GM279" s="101"/>
      <c r="GN279" s="101"/>
      <c r="GO279" s="643"/>
      <c r="GP279" s="644"/>
      <c r="GQ279" s="643"/>
      <c r="GR279" s="644"/>
      <c r="GS279" s="643"/>
      <c r="GT279" s="644"/>
      <c r="GU279" s="644"/>
      <c r="GV279" s="644"/>
      <c r="GW279" s="644"/>
      <c r="GX279" s="644"/>
      <c r="GY279" s="644"/>
      <c r="GZ279" s="644"/>
      <c r="HA279" s="644"/>
    </row>
    <row r="280" spans="1:209">
      <c r="A280" s="638"/>
      <c r="B280" s="95"/>
      <c r="C280" s="95"/>
      <c r="D280" s="95"/>
      <c r="E280" s="650"/>
      <c r="F280" s="95"/>
      <c r="G280" s="98"/>
      <c r="H280" s="99"/>
      <c r="I280" s="95"/>
      <c r="J280" s="95"/>
      <c r="K280" s="95"/>
      <c r="L280" s="95"/>
      <c r="M280" s="95"/>
      <c r="N280" s="95"/>
      <c r="O280" s="95"/>
      <c r="P280" s="95"/>
      <c r="Q280" s="95"/>
      <c r="R280" s="98"/>
      <c r="S280" s="101"/>
      <c r="T280" s="644"/>
      <c r="U280" s="101"/>
      <c r="V280" s="647"/>
      <c r="W280" s="643"/>
      <c r="X280" s="644"/>
      <c r="Y280" s="101"/>
      <c r="Z280" s="644"/>
      <c r="AA280" s="101"/>
      <c r="AB280" s="644"/>
      <c r="AC280" s="101"/>
      <c r="AD280" s="646"/>
      <c r="AE280" s="271"/>
      <c r="AF280" s="646"/>
      <c r="AG280" s="646"/>
      <c r="AH280" s="646"/>
      <c r="AI280" s="646"/>
      <c r="AJ280" s="646"/>
      <c r="AK280" s="646"/>
      <c r="AL280" s="646"/>
      <c r="AM280" s="271"/>
      <c r="AN280" s="646"/>
      <c r="AO280" s="646"/>
      <c r="AP280" s="646"/>
      <c r="AQ280" s="271"/>
      <c r="AR280" s="646"/>
      <c r="AS280" s="270"/>
      <c r="AT280" s="646"/>
      <c r="AU280" s="646"/>
      <c r="AV280" s="646"/>
      <c r="AW280" s="270"/>
      <c r="AX280" s="646"/>
      <c r="AY280" s="270"/>
      <c r="AZ280" s="646"/>
      <c r="BA280" s="646"/>
      <c r="BB280" s="644"/>
      <c r="BC280" s="644"/>
      <c r="BD280" s="644"/>
      <c r="BE280" s="644"/>
      <c r="BF280" s="644"/>
      <c r="BG280" s="644"/>
      <c r="BH280" s="644"/>
      <c r="BI280" s="644"/>
      <c r="BJ280" s="644"/>
      <c r="BK280" s="644"/>
      <c r="BL280" s="644"/>
      <c r="BM280" s="95"/>
      <c r="BN280" s="644"/>
      <c r="BO280" s="95"/>
      <c r="BP280" s="644"/>
      <c r="BQ280" s="644"/>
      <c r="BR280" s="644"/>
      <c r="BS280" s="644"/>
      <c r="BT280" s="644"/>
      <c r="BU280" s="644"/>
      <c r="BV280" s="644"/>
      <c r="BW280" s="644"/>
      <c r="BX280" s="644"/>
      <c r="BY280" s="644"/>
      <c r="BZ280" s="644"/>
      <c r="CA280" s="644"/>
      <c r="CB280" s="644"/>
      <c r="CC280" s="644"/>
      <c r="CD280" s="644"/>
      <c r="CE280" s="644"/>
      <c r="CF280" s="644"/>
      <c r="CG280" s="644"/>
      <c r="CH280" s="644"/>
      <c r="CI280" s="644"/>
      <c r="CJ280" s="644"/>
      <c r="CK280" s="644"/>
      <c r="CL280" s="644"/>
      <c r="CM280" s="95"/>
      <c r="CN280" s="644"/>
      <c r="CO280" s="644"/>
      <c r="CP280" s="95"/>
      <c r="CQ280" s="98"/>
      <c r="CR280" s="95"/>
      <c r="CS280" s="95"/>
      <c r="CT280" s="95"/>
      <c r="CU280" s="108"/>
      <c r="CV280" s="109"/>
      <c r="CW280" s="644"/>
      <c r="CX280" s="496"/>
      <c r="CY280" s="637"/>
      <c r="CZ280" s="644"/>
      <c r="DA280" s="644"/>
      <c r="DB280" s="644"/>
      <c r="DC280" s="496"/>
      <c r="DD280" s="644"/>
      <c r="DE280" s="101"/>
      <c r="DF280" s="644"/>
      <c r="DG280" s="101"/>
      <c r="DH280" s="644"/>
      <c r="DI280" s="644"/>
      <c r="DJ280" s="644"/>
      <c r="DK280" s="644"/>
      <c r="DL280" s="644"/>
      <c r="DM280" s="101"/>
      <c r="DN280" s="644"/>
      <c r="DO280" s="644"/>
      <c r="DP280" s="644"/>
      <c r="DQ280" s="644"/>
      <c r="DR280" s="644"/>
      <c r="DS280" s="644"/>
      <c r="DT280" s="644"/>
      <c r="DU280" s="644"/>
      <c r="DV280" s="644"/>
      <c r="DW280" s="101"/>
      <c r="DX280" s="646"/>
      <c r="DY280" s="646"/>
      <c r="DZ280" s="646"/>
      <c r="EA280" s="646"/>
      <c r="EB280" s="646"/>
      <c r="EC280" s="646"/>
      <c r="ED280" s="646"/>
      <c r="EE280" s="646"/>
      <c r="EF280" s="646"/>
      <c r="EG280" s="646"/>
      <c r="EH280" s="646"/>
      <c r="EI280" s="646"/>
      <c r="EJ280" s="646"/>
      <c r="EK280" s="271"/>
      <c r="EL280" s="644"/>
      <c r="EM280" s="634"/>
      <c r="EN280" s="647"/>
      <c r="EO280" s="648"/>
      <c r="EP280" s="647"/>
      <c r="EQ280" s="647"/>
      <c r="ER280" s="647"/>
      <c r="ES280" s="139"/>
      <c r="EV280" s="647"/>
      <c r="EW280" s="647"/>
      <c r="EX280" s="647"/>
      <c r="EY280" s="647"/>
      <c r="EZ280" s="647"/>
      <c r="FA280" s="646"/>
      <c r="FB280" s="646"/>
      <c r="FC280" s="646"/>
      <c r="FD280" s="646"/>
      <c r="FE280" s="646"/>
      <c r="FF280" s="646"/>
      <c r="FG280" s="647"/>
      <c r="FH280" s="647"/>
      <c r="FI280" s="647"/>
      <c r="FJ280" s="647"/>
      <c r="FK280" s="647"/>
      <c r="FL280" s="647"/>
      <c r="FM280" s="647"/>
      <c r="FN280" s="647"/>
      <c r="FO280" s="647"/>
      <c r="FP280" s="647"/>
      <c r="FQ280" s="647"/>
      <c r="FR280" s="647"/>
      <c r="FS280" s="101"/>
      <c r="FT280" s="95"/>
      <c r="FU280" s="651"/>
      <c r="FV280" s="101"/>
      <c r="FW280" s="101"/>
      <c r="FX280" s="634"/>
      <c r="FY280" s="634"/>
      <c r="FZ280" s="634"/>
      <c r="GA280" s="634"/>
      <c r="GB280" s="634"/>
      <c r="GC280" s="634"/>
      <c r="GD280" s="634"/>
      <c r="GE280" s="634"/>
      <c r="GF280" s="634"/>
      <c r="GG280" s="634"/>
      <c r="GH280" s="634"/>
      <c r="GI280" s="634"/>
      <c r="GJ280" s="634"/>
      <c r="GK280" s="634"/>
      <c r="GL280" s="101"/>
      <c r="GM280" s="101"/>
      <c r="GN280" s="101"/>
      <c r="GO280" s="643"/>
      <c r="GP280" s="644"/>
      <c r="GQ280" s="643"/>
      <c r="GR280" s="644"/>
      <c r="GS280" s="643"/>
      <c r="GT280" s="644"/>
      <c r="GU280" s="644"/>
      <c r="GV280" s="644"/>
      <c r="GW280" s="644"/>
      <c r="GX280" s="644"/>
      <c r="GY280" s="644"/>
      <c r="GZ280" s="644"/>
      <c r="HA280" s="644"/>
    </row>
    <row r="281" spans="1:209">
      <c r="A281" s="638"/>
      <c r="B281" s="95"/>
      <c r="C281" s="95"/>
      <c r="D281" s="95"/>
      <c r="E281" s="650"/>
      <c r="F281" s="95"/>
      <c r="G281" s="98"/>
      <c r="H281" s="99"/>
      <c r="I281" s="95"/>
      <c r="J281" s="95"/>
      <c r="K281" s="95"/>
      <c r="L281" s="95"/>
      <c r="M281" s="95"/>
      <c r="N281" s="95"/>
      <c r="O281" s="95"/>
      <c r="P281" s="95"/>
      <c r="Q281" s="95"/>
      <c r="R281" s="98"/>
      <c r="S281" s="101"/>
      <c r="T281" s="644"/>
      <c r="U281" s="101"/>
      <c r="V281" s="647"/>
      <c r="W281" s="643"/>
      <c r="X281" s="644"/>
      <c r="Y281" s="101"/>
      <c r="Z281" s="644"/>
      <c r="AA281" s="101"/>
      <c r="AB281" s="644"/>
      <c r="AC281" s="101"/>
      <c r="AD281" s="646"/>
      <c r="AE281" s="271"/>
      <c r="AF281" s="646"/>
      <c r="AG281" s="646"/>
      <c r="AH281" s="646"/>
      <c r="AI281" s="646"/>
      <c r="AJ281" s="646"/>
      <c r="AK281" s="646"/>
      <c r="AL281" s="646"/>
      <c r="AM281" s="271"/>
      <c r="AN281" s="646"/>
      <c r="AO281" s="646"/>
      <c r="AP281" s="646"/>
      <c r="AQ281" s="271"/>
      <c r="AR281" s="646"/>
      <c r="AS281" s="270"/>
      <c r="AT281" s="646"/>
      <c r="AU281" s="646"/>
      <c r="AV281" s="646"/>
      <c r="AW281" s="270"/>
      <c r="AX281" s="646"/>
      <c r="AY281" s="270"/>
      <c r="AZ281" s="646"/>
      <c r="BA281" s="646"/>
      <c r="BB281" s="644"/>
      <c r="BC281" s="644"/>
      <c r="BD281" s="644"/>
      <c r="BE281" s="644"/>
      <c r="BF281" s="644"/>
      <c r="BG281" s="644"/>
      <c r="BH281" s="644"/>
      <c r="BI281" s="644"/>
      <c r="BJ281" s="644"/>
      <c r="BK281" s="644"/>
      <c r="BL281" s="644"/>
      <c r="BM281" s="95"/>
      <c r="BN281" s="644"/>
      <c r="BO281" s="95"/>
      <c r="BP281" s="644"/>
      <c r="BQ281" s="644"/>
      <c r="BR281" s="644"/>
      <c r="BS281" s="644"/>
      <c r="BT281" s="644"/>
      <c r="BU281" s="644"/>
      <c r="BV281" s="644"/>
      <c r="BW281" s="644"/>
      <c r="BX281" s="644"/>
      <c r="BY281" s="644"/>
      <c r="BZ281" s="644"/>
      <c r="CA281" s="644"/>
      <c r="CB281" s="644"/>
      <c r="CC281" s="644"/>
      <c r="CD281" s="644"/>
      <c r="CE281" s="644"/>
      <c r="CF281" s="644"/>
      <c r="CG281" s="644"/>
      <c r="CH281" s="644"/>
      <c r="CI281" s="644"/>
      <c r="CJ281" s="644"/>
      <c r="CK281" s="644"/>
      <c r="CL281" s="644"/>
      <c r="CM281" s="95"/>
      <c r="CN281" s="644"/>
      <c r="CO281" s="644"/>
      <c r="CP281" s="95"/>
      <c r="CQ281" s="98"/>
      <c r="CR281" s="95"/>
      <c r="CS281" s="95"/>
      <c r="CT281" s="95"/>
      <c r="CU281" s="108"/>
      <c r="CV281" s="109"/>
      <c r="CW281" s="644"/>
      <c r="CX281" s="496"/>
      <c r="CY281" s="637"/>
      <c r="CZ281" s="644"/>
      <c r="DA281" s="644"/>
      <c r="DB281" s="644"/>
      <c r="DC281" s="496"/>
      <c r="DD281" s="644"/>
      <c r="DE281" s="101"/>
      <c r="DF281" s="644"/>
      <c r="DG281" s="101"/>
      <c r="DH281" s="644"/>
      <c r="DI281" s="644"/>
      <c r="DJ281" s="644"/>
      <c r="DK281" s="644"/>
      <c r="DL281" s="644"/>
      <c r="DM281" s="101"/>
      <c r="DN281" s="644"/>
      <c r="DO281" s="644"/>
      <c r="DP281" s="644"/>
      <c r="DQ281" s="644"/>
      <c r="DR281" s="644"/>
      <c r="DS281" s="644"/>
      <c r="DT281" s="644"/>
      <c r="DU281" s="644"/>
      <c r="DV281" s="644"/>
      <c r="DW281" s="101"/>
      <c r="DX281" s="646"/>
      <c r="DY281" s="646"/>
      <c r="DZ281" s="646"/>
      <c r="EA281" s="646"/>
      <c r="EB281" s="646"/>
      <c r="EC281" s="646"/>
      <c r="ED281" s="646"/>
      <c r="EE281" s="646"/>
      <c r="EF281" s="646"/>
      <c r="EG281" s="646"/>
      <c r="EH281" s="646"/>
      <c r="EI281" s="646"/>
      <c r="EJ281" s="646"/>
      <c r="EK281" s="271"/>
      <c r="EL281" s="644"/>
      <c r="EM281" s="634"/>
      <c r="EN281" s="647"/>
      <c r="EO281" s="648"/>
      <c r="EP281" s="647"/>
      <c r="EQ281" s="647"/>
      <c r="ER281" s="647"/>
      <c r="ES281" s="139"/>
      <c r="EV281" s="647"/>
      <c r="EW281" s="647"/>
      <c r="EX281" s="647"/>
      <c r="EY281" s="647"/>
      <c r="EZ281" s="647"/>
      <c r="FA281" s="646"/>
      <c r="FB281" s="646"/>
      <c r="FC281" s="646"/>
      <c r="FD281" s="646"/>
      <c r="FE281" s="646"/>
      <c r="FF281" s="646"/>
      <c r="FG281" s="647"/>
      <c r="FH281" s="647"/>
      <c r="FI281" s="647"/>
      <c r="FJ281" s="647"/>
      <c r="FK281" s="647"/>
      <c r="FL281" s="647"/>
      <c r="FM281" s="647"/>
      <c r="FN281" s="647"/>
      <c r="FO281" s="647"/>
      <c r="FP281" s="647"/>
      <c r="FQ281" s="647"/>
      <c r="FR281" s="647"/>
      <c r="FS281" s="101"/>
      <c r="FT281" s="95"/>
      <c r="FU281" s="651"/>
      <c r="FV281" s="101"/>
      <c r="FW281" s="101"/>
      <c r="FX281" s="634"/>
      <c r="FY281" s="634"/>
      <c r="FZ281" s="634"/>
      <c r="GA281" s="634"/>
      <c r="GB281" s="634"/>
      <c r="GC281" s="634"/>
      <c r="GD281" s="634"/>
      <c r="GE281" s="634"/>
      <c r="GF281" s="634"/>
      <c r="GG281" s="634"/>
      <c r="GH281" s="634"/>
      <c r="GI281" s="634"/>
      <c r="GJ281" s="634"/>
      <c r="GK281" s="634"/>
      <c r="GL281" s="101"/>
      <c r="GM281" s="101"/>
      <c r="GN281" s="101"/>
      <c r="GO281" s="643"/>
      <c r="GP281" s="644"/>
      <c r="GQ281" s="643"/>
      <c r="GR281" s="644"/>
      <c r="GS281" s="643"/>
      <c r="GT281" s="644"/>
      <c r="GU281" s="644"/>
      <c r="GV281" s="644"/>
      <c r="GW281" s="644"/>
      <c r="GX281" s="644"/>
      <c r="GY281" s="644"/>
      <c r="GZ281" s="644"/>
      <c r="HA281" s="644"/>
    </row>
    <row r="282" spans="1:209">
      <c r="A282" s="638"/>
      <c r="B282" s="95"/>
      <c r="C282" s="95"/>
      <c r="D282" s="95"/>
      <c r="E282" s="650"/>
      <c r="F282" s="95"/>
      <c r="G282" s="98"/>
      <c r="H282" s="99"/>
      <c r="I282" s="95"/>
      <c r="J282" s="95"/>
      <c r="K282" s="95"/>
      <c r="L282" s="95"/>
      <c r="M282" s="95"/>
      <c r="N282" s="95"/>
      <c r="O282" s="95"/>
      <c r="P282" s="95"/>
      <c r="Q282" s="95"/>
      <c r="R282" s="98"/>
      <c r="S282" s="101"/>
      <c r="T282" s="644"/>
      <c r="U282" s="101"/>
      <c r="V282" s="647"/>
      <c r="W282" s="643"/>
      <c r="X282" s="644"/>
      <c r="Y282" s="101"/>
      <c r="Z282" s="644"/>
      <c r="AA282" s="101"/>
      <c r="AB282" s="644"/>
      <c r="AC282" s="101"/>
      <c r="AD282" s="646"/>
      <c r="AE282" s="271"/>
      <c r="AF282" s="646"/>
      <c r="AG282" s="646"/>
      <c r="AH282" s="646"/>
      <c r="AI282" s="646"/>
      <c r="AJ282" s="646"/>
      <c r="AK282" s="646"/>
      <c r="AL282" s="646"/>
      <c r="AM282" s="271"/>
      <c r="AN282" s="646"/>
      <c r="AO282" s="646"/>
      <c r="AP282" s="646"/>
      <c r="AQ282" s="271"/>
      <c r="AR282" s="646"/>
      <c r="AS282" s="270"/>
      <c r="AT282" s="646"/>
      <c r="AU282" s="646"/>
      <c r="AV282" s="646"/>
      <c r="AW282" s="270"/>
      <c r="AX282" s="646"/>
      <c r="AY282" s="270"/>
      <c r="AZ282" s="646"/>
      <c r="BA282" s="646"/>
      <c r="BB282" s="644"/>
      <c r="BC282" s="644"/>
      <c r="BD282" s="644"/>
      <c r="BE282" s="644"/>
      <c r="BF282" s="644"/>
      <c r="BG282" s="644"/>
      <c r="BH282" s="644"/>
      <c r="BI282" s="644"/>
      <c r="BJ282" s="644"/>
      <c r="BK282" s="644"/>
      <c r="BL282" s="644"/>
      <c r="BM282" s="95"/>
      <c r="BN282" s="644"/>
      <c r="BO282" s="95"/>
      <c r="BP282" s="644"/>
      <c r="BQ282" s="644"/>
      <c r="BR282" s="644"/>
      <c r="BS282" s="644"/>
      <c r="BT282" s="644"/>
      <c r="BU282" s="644"/>
      <c r="BV282" s="644"/>
      <c r="BW282" s="644"/>
      <c r="BX282" s="644"/>
      <c r="BY282" s="644"/>
      <c r="BZ282" s="644"/>
      <c r="CA282" s="644"/>
      <c r="CB282" s="644"/>
      <c r="CC282" s="644"/>
      <c r="CD282" s="644"/>
      <c r="CE282" s="644"/>
      <c r="CF282" s="644"/>
      <c r="CG282" s="644"/>
      <c r="CH282" s="644"/>
      <c r="CI282" s="644"/>
      <c r="CJ282" s="644"/>
      <c r="CK282" s="644"/>
      <c r="CL282" s="644"/>
      <c r="CM282" s="95"/>
      <c r="CN282" s="644"/>
      <c r="CO282" s="644"/>
      <c r="CP282" s="95"/>
      <c r="CQ282" s="98"/>
      <c r="CR282" s="95"/>
      <c r="CS282" s="95"/>
      <c r="CT282" s="95"/>
      <c r="CU282" s="108"/>
      <c r="CV282" s="109"/>
      <c r="CW282" s="644"/>
      <c r="CX282" s="496"/>
      <c r="CY282" s="637"/>
      <c r="CZ282" s="644"/>
      <c r="DA282" s="644"/>
      <c r="DB282" s="644"/>
      <c r="DC282" s="496"/>
      <c r="DD282" s="644"/>
      <c r="DE282" s="101"/>
      <c r="DF282" s="644"/>
      <c r="DG282" s="101"/>
      <c r="DH282" s="644"/>
      <c r="DI282" s="644"/>
      <c r="DJ282" s="644"/>
      <c r="DK282" s="644"/>
      <c r="DL282" s="644"/>
      <c r="DM282" s="101"/>
      <c r="DN282" s="644"/>
      <c r="DO282" s="644"/>
      <c r="DP282" s="644"/>
      <c r="DQ282" s="644"/>
      <c r="DR282" s="644"/>
      <c r="DS282" s="644"/>
      <c r="DT282" s="644"/>
      <c r="DU282" s="644"/>
      <c r="DV282" s="644"/>
      <c r="DW282" s="101"/>
      <c r="DX282" s="646"/>
      <c r="DY282" s="646"/>
      <c r="DZ282" s="646"/>
      <c r="EA282" s="646"/>
      <c r="EB282" s="646"/>
      <c r="EC282" s="646"/>
      <c r="ED282" s="646"/>
      <c r="EE282" s="646"/>
      <c r="EF282" s="646"/>
      <c r="EG282" s="646"/>
      <c r="EH282" s="646"/>
      <c r="EI282" s="646"/>
      <c r="EJ282" s="646"/>
      <c r="EK282" s="271"/>
      <c r="EL282" s="644"/>
      <c r="EM282" s="634"/>
      <c r="EN282" s="647"/>
      <c r="EO282" s="648"/>
      <c r="EP282" s="647"/>
      <c r="EQ282" s="647"/>
      <c r="ER282" s="647"/>
      <c r="ES282" s="139"/>
      <c r="EV282" s="647"/>
      <c r="EW282" s="647"/>
      <c r="EX282" s="647"/>
      <c r="EY282" s="647"/>
      <c r="EZ282" s="647"/>
      <c r="FA282" s="646"/>
      <c r="FB282" s="646"/>
      <c r="FC282" s="646"/>
      <c r="FD282" s="646"/>
      <c r="FE282" s="646"/>
      <c r="FF282" s="646"/>
      <c r="FG282" s="647"/>
      <c r="FH282" s="647"/>
      <c r="FI282" s="647"/>
      <c r="FJ282" s="647"/>
      <c r="FK282" s="647"/>
      <c r="FL282" s="647"/>
      <c r="FM282" s="647"/>
      <c r="FN282" s="647"/>
      <c r="FO282" s="647"/>
      <c r="FP282" s="647"/>
      <c r="FQ282" s="647"/>
      <c r="FR282" s="647"/>
      <c r="FS282" s="101"/>
      <c r="FT282" s="95"/>
      <c r="FU282" s="651"/>
      <c r="FV282" s="101"/>
      <c r="FW282" s="101"/>
      <c r="FX282" s="634"/>
      <c r="FY282" s="634"/>
      <c r="FZ282" s="634"/>
      <c r="GA282" s="634"/>
      <c r="GB282" s="634"/>
      <c r="GC282" s="634"/>
      <c r="GD282" s="634"/>
      <c r="GE282" s="634"/>
      <c r="GF282" s="634"/>
      <c r="GG282" s="634"/>
      <c r="GH282" s="634"/>
      <c r="GI282" s="634"/>
      <c r="GJ282" s="634"/>
      <c r="GK282" s="634"/>
      <c r="GL282" s="101"/>
      <c r="GM282" s="101"/>
      <c r="GN282" s="101"/>
      <c r="GO282" s="643"/>
      <c r="GP282" s="644"/>
      <c r="GQ282" s="643"/>
      <c r="GR282" s="644"/>
      <c r="GS282" s="643"/>
      <c r="GT282" s="644"/>
      <c r="GU282" s="644"/>
      <c r="GV282" s="644"/>
      <c r="GW282" s="644"/>
      <c r="GX282" s="644"/>
      <c r="GY282" s="644"/>
      <c r="GZ282" s="644"/>
      <c r="HA282" s="644"/>
    </row>
    <row r="283" spans="1:209">
      <c r="A283" s="638"/>
      <c r="B283" s="95"/>
      <c r="C283" s="95"/>
      <c r="D283" s="95"/>
      <c r="E283" s="650"/>
      <c r="F283" s="95"/>
      <c r="G283" s="98"/>
      <c r="H283" s="99"/>
      <c r="I283" s="95"/>
      <c r="J283" s="95"/>
      <c r="K283" s="95"/>
      <c r="L283" s="95"/>
      <c r="M283" s="95"/>
      <c r="N283" s="95"/>
      <c r="O283" s="95"/>
      <c r="P283" s="95"/>
      <c r="Q283" s="95"/>
      <c r="R283" s="98"/>
      <c r="S283" s="101"/>
      <c r="T283" s="644"/>
      <c r="U283" s="101"/>
      <c r="V283" s="647"/>
      <c r="W283" s="643"/>
      <c r="X283" s="644"/>
      <c r="Y283" s="101"/>
      <c r="Z283" s="644"/>
      <c r="AA283" s="101"/>
      <c r="AB283" s="644"/>
      <c r="AC283" s="101"/>
      <c r="AD283" s="646"/>
      <c r="AE283" s="271"/>
      <c r="AF283" s="646"/>
      <c r="AG283" s="646"/>
      <c r="AH283" s="646"/>
      <c r="AI283" s="646"/>
      <c r="AJ283" s="646"/>
      <c r="AK283" s="646"/>
      <c r="AL283" s="646"/>
      <c r="AM283" s="271"/>
      <c r="AN283" s="646"/>
      <c r="AO283" s="646"/>
      <c r="AP283" s="646"/>
      <c r="AQ283" s="271"/>
      <c r="AR283" s="646"/>
      <c r="AS283" s="270"/>
      <c r="AT283" s="646"/>
      <c r="AU283" s="646"/>
      <c r="AV283" s="646"/>
      <c r="AW283" s="270"/>
      <c r="AX283" s="646"/>
      <c r="AY283" s="270"/>
      <c r="AZ283" s="646"/>
      <c r="BA283" s="646"/>
      <c r="BB283" s="644"/>
      <c r="BC283" s="644"/>
      <c r="BD283" s="644"/>
      <c r="BE283" s="644"/>
      <c r="BF283" s="644"/>
      <c r="BG283" s="644"/>
      <c r="BH283" s="644"/>
      <c r="BI283" s="644"/>
      <c r="BJ283" s="644"/>
      <c r="BK283" s="644"/>
      <c r="BL283" s="644"/>
      <c r="BM283" s="95"/>
      <c r="BN283" s="644"/>
      <c r="BO283" s="95"/>
      <c r="BP283" s="644"/>
      <c r="BQ283" s="644"/>
      <c r="BR283" s="644"/>
      <c r="BS283" s="644"/>
      <c r="BT283" s="644"/>
      <c r="BU283" s="644"/>
      <c r="BV283" s="644"/>
      <c r="BW283" s="644"/>
      <c r="BX283" s="644"/>
      <c r="BY283" s="644"/>
      <c r="BZ283" s="644"/>
      <c r="CA283" s="644"/>
      <c r="CB283" s="644"/>
      <c r="CC283" s="644"/>
      <c r="CD283" s="644"/>
      <c r="CE283" s="644"/>
      <c r="CF283" s="644"/>
      <c r="CG283" s="644"/>
      <c r="CH283" s="644"/>
      <c r="CI283" s="644"/>
      <c r="CJ283" s="644"/>
      <c r="CK283" s="644"/>
      <c r="CL283" s="644"/>
      <c r="CM283" s="95"/>
      <c r="CN283" s="644"/>
      <c r="CO283" s="644"/>
      <c r="CP283" s="95"/>
      <c r="CQ283" s="98"/>
      <c r="CR283" s="95"/>
      <c r="CS283" s="95"/>
      <c r="CT283" s="95"/>
      <c r="CU283" s="108"/>
      <c r="CV283" s="109"/>
      <c r="CW283" s="644"/>
      <c r="CX283" s="496"/>
      <c r="CY283" s="637"/>
      <c r="CZ283" s="644"/>
      <c r="DA283" s="644"/>
      <c r="DB283" s="644"/>
      <c r="DC283" s="496"/>
      <c r="DD283" s="644"/>
      <c r="DE283" s="101"/>
      <c r="DF283" s="644"/>
      <c r="DG283" s="101"/>
      <c r="DH283" s="644"/>
      <c r="DI283" s="644"/>
      <c r="DJ283" s="644"/>
      <c r="DK283" s="644"/>
      <c r="DL283" s="644"/>
      <c r="DM283" s="101"/>
      <c r="DN283" s="644"/>
      <c r="DO283" s="644"/>
      <c r="DP283" s="644"/>
      <c r="DQ283" s="644"/>
      <c r="DR283" s="644"/>
      <c r="DS283" s="644"/>
      <c r="DT283" s="644"/>
      <c r="DU283" s="644"/>
      <c r="DV283" s="644"/>
      <c r="DW283" s="101"/>
      <c r="DX283" s="646"/>
      <c r="DY283" s="646"/>
      <c r="DZ283" s="646"/>
      <c r="EA283" s="646"/>
      <c r="EB283" s="646"/>
      <c r="EC283" s="646"/>
      <c r="ED283" s="646"/>
      <c r="EE283" s="646"/>
      <c r="EF283" s="646"/>
      <c r="EG283" s="646"/>
      <c r="EH283" s="646"/>
      <c r="EI283" s="646"/>
      <c r="EJ283" s="646"/>
      <c r="EK283" s="271"/>
      <c r="EL283" s="644"/>
      <c r="EM283" s="634"/>
      <c r="EN283" s="647"/>
      <c r="EO283" s="648"/>
      <c r="EP283" s="647"/>
      <c r="EQ283" s="647"/>
      <c r="ER283" s="647"/>
      <c r="ES283" s="139"/>
      <c r="EV283" s="647"/>
      <c r="EW283" s="647"/>
      <c r="EX283" s="647"/>
      <c r="EY283" s="647"/>
      <c r="EZ283" s="647"/>
      <c r="FA283" s="646"/>
      <c r="FB283" s="646"/>
      <c r="FC283" s="646"/>
      <c r="FD283" s="646"/>
      <c r="FE283" s="646"/>
      <c r="FF283" s="646"/>
      <c r="FG283" s="647"/>
      <c r="FH283" s="647"/>
      <c r="FI283" s="647"/>
      <c r="FJ283" s="647"/>
      <c r="FK283" s="647"/>
      <c r="FL283" s="647"/>
      <c r="FM283" s="647"/>
      <c r="FN283" s="647"/>
      <c r="FO283" s="647"/>
      <c r="FP283" s="647"/>
      <c r="FQ283" s="647"/>
      <c r="FR283" s="647"/>
      <c r="FS283" s="101"/>
      <c r="FT283" s="95"/>
      <c r="FU283" s="651"/>
      <c r="FV283" s="101"/>
      <c r="FW283" s="101"/>
      <c r="FX283" s="634"/>
      <c r="FY283" s="634"/>
      <c r="FZ283" s="634"/>
      <c r="GA283" s="634"/>
      <c r="GB283" s="634"/>
      <c r="GC283" s="634"/>
      <c r="GD283" s="634"/>
      <c r="GE283" s="634"/>
      <c r="GF283" s="634"/>
      <c r="GG283" s="634"/>
      <c r="GH283" s="634"/>
      <c r="GI283" s="634"/>
      <c r="GJ283" s="634"/>
      <c r="GK283" s="634"/>
      <c r="GL283" s="101"/>
      <c r="GM283" s="101"/>
      <c r="GN283" s="101"/>
      <c r="GO283" s="643"/>
      <c r="GP283" s="644"/>
      <c r="GQ283" s="643"/>
      <c r="GR283" s="644"/>
      <c r="GS283" s="643"/>
      <c r="GT283" s="644"/>
      <c r="GU283" s="644"/>
      <c r="GV283" s="644"/>
      <c r="GW283" s="644"/>
      <c r="GX283" s="644"/>
      <c r="GY283" s="644"/>
      <c r="GZ283" s="644"/>
      <c r="HA283" s="644"/>
    </row>
    <row r="284" spans="1:209">
      <c r="A284" s="638"/>
      <c r="B284" s="95"/>
      <c r="C284" s="95"/>
      <c r="D284" s="95"/>
      <c r="E284" s="650"/>
      <c r="F284" s="95"/>
      <c r="G284" s="98"/>
      <c r="H284" s="99"/>
      <c r="I284" s="95"/>
      <c r="J284" s="95"/>
      <c r="K284" s="95"/>
      <c r="L284" s="95"/>
      <c r="M284" s="95"/>
      <c r="N284" s="95"/>
      <c r="O284" s="95"/>
      <c r="P284" s="95"/>
      <c r="Q284" s="95"/>
      <c r="R284" s="98"/>
      <c r="S284" s="101"/>
      <c r="T284" s="644"/>
      <c r="U284" s="101"/>
      <c r="V284" s="647"/>
      <c r="W284" s="643"/>
      <c r="X284" s="644"/>
      <c r="Y284" s="101"/>
      <c r="Z284" s="644"/>
      <c r="AA284" s="101"/>
      <c r="AB284" s="644"/>
      <c r="AC284" s="101"/>
      <c r="AD284" s="646"/>
      <c r="AE284" s="271"/>
      <c r="AF284" s="646"/>
      <c r="AG284" s="646"/>
      <c r="AH284" s="646"/>
      <c r="AI284" s="646"/>
      <c r="AJ284" s="646"/>
      <c r="AK284" s="646"/>
      <c r="AL284" s="646"/>
      <c r="AM284" s="271"/>
      <c r="AN284" s="646"/>
      <c r="AO284" s="646"/>
      <c r="AP284" s="646"/>
      <c r="AQ284" s="271"/>
      <c r="AR284" s="646"/>
      <c r="AS284" s="270"/>
      <c r="AT284" s="646"/>
      <c r="AU284" s="646"/>
      <c r="AV284" s="646"/>
      <c r="AW284" s="270"/>
      <c r="AX284" s="646"/>
      <c r="AY284" s="270"/>
      <c r="AZ284" s="646"/>
      <c r="BA284" s="646"/>
      <c r="BB284" s="644"/>
      <c r="BC284" s="644"/>
      <c r="BD284" s="644"/>
      <c r="BE284" s="644"/>
      <c r="BF284" s="644"/>
      <c r="BG284" s="644"/>
      <c r="BH284" s="644"/>
      <c r="BI284" s="644"/>
      <c r="BJ284" s="644"/>
      <c r="BK284" s="644"/>
      <c r="BL284" s="644"/>
      <c r="BM284" s="95"/>
      <c r="BN284" s="644"/>
      <c r="BO284" s="95"/>
      <c r="BP284" s="644"/>
      <c r="BQ284" s="644"/>
      <c r="BR284" s="644"/>
      <c r="BS284" s="644"/>
      <c r="BT284" s="644"/>
      <c r="BU284" s="644"/>
      <c r="BV284" s="644"/>
      <c r="BW284" s="644"/>
      <c r="BX284" s="644"/>
      <c r="BY284" s="644"/>
      <c r="BZ284" s="644"/>
      <c r="CA284" s="644"/>
      <c r="CB284" s="644"/>
      <c r="CC284" s="644"/>
      <c r="CD284" s="644"/>
      <c r="CE284" s="644"/>
      <c r="CF284" s="644"/>
      <c r="CG284" s="644"/>
      <c r="CH284" s="644"/>
      <c r="CI284" s="644"/>
      <c r="CJ284" s="644"/>
      <c r="CK284" s="644"/>
      <c r="CL284" s="644"/>
      <c r="CM284" s="95"/>
      <c r="CN284" s="644"/>
      <c r="CO284" s="644"/>
      <c r="CP284" s="95"/>
      <c r="CQ284" s="98"/>
      <c r="CR284" s="95"/>
      <c r="CS284" s="95"/>
      <c r="CT284" s="95"/>
      <c r="CU284" s="108"/>
      <c r="CV284" s="109"/>
      <c r="CW284" s="644"/>
      <c r="CX284" s="496"/>
      <c r="CY284" s="637"/>
      <c r="CZ284" s="644"/>
      <c r="DA284" s="644"/>
      <c r="DB284" s="644"/>
      <c r="DC284" s="496"/>
      <c r="DD284" s="644"/>
      <c r="DE284" s="101"/>
      <c r="DF284" s="644"/>
      <c r="DG284" s="101"/>
      <c r="DH284" s="644"/>
      <c r="DI284" s="644"/>
      <c r="DJ284" s="644"/>
      <c r="DK284" s="644"/>
      <c r="DL284" s="644"/>
      <c r="DM284" s="101"/>
      <c r="DN284" s="644"/>
      <c r="DO284" s="644"/>
      <c r="DP284" s="644"/>
      <c r="DQ284" s="644"/>
      <c r="DR284" s="644"/>
      <c r="DS284" s="644"/>
      <c r="DT284" s="644"/>
      <c r="DU284" s="644"/>
      <c r="DV284" s="644"/>
      <c r="DW284" s="101"/>
      <c r="DX284" s="646"/>
      <c r="DY284" s="646"/>
      <c r="DZ284" s="646"/>
      <c r="EA284" s="646"/>
      <c r="EB284" s="646"/>
      <c r="EC284" s="646"/>
      <c r="ED284" s="646"/>
      <c r="EE284" s="646"/>
      <c r="EF284" s="646"/>
      <c r="EG284" s="646"/>
      <c r="EH284" s="646"/>
      <c r="EI284" s="646"/>
      <c r="EJ284" s="646"/>
      <c r="EK284" s="271"/>
      <c r="EL284" s="644"/>
      <c r="EM284" s="634"/>
      <c r="EN284" s="647"/>
      <c r="EO284" s="648"/>
      <c r="EP284" s="647"/>
      <c r="EQ284" s="647"/>
      <c r="ER284" s="647"/>
      <c r="ES284" s="139"/>
      <c r="EV284" s="647"/>
      <c r="EW284" s="647"/>
      <c r="EX284" s="647"/>
      <c r="EY284" s="647"/>
      <c r="EZ284" s="647"/>
      <c r="FA284" s="646"/>
      <c r="FB284" s="646"/>
      <c r="FC284" s="646"/>
      <c r="FD284" s="646"/>
      <c r="FE284" s="646"/>
      <c r="FF284" s="646"/>
      <c r="FG284" s="647"/>
      <c r="FH284" s="647"/>
      <c r="FI284" s="647"/>
      <c r="FJ284" s="647"/>
      <c r="FK284" s="647"/>
      <c r="FL284" s="647"/>
      <c r="FM284" s="647"/>
      <c r="FN284" s="647"/>
      <c r="FO284" s="647"/>
      <c r="FP284" s="647"/>
      <c r="FQ284" s="647"/>
      <c r="FR284" s="647"/>
      <c r="FS284" s="101"/>
      <c r="FT284" s="95"/>
      <c r="FU284" s="651"/>
      <c r="FV284" s="101"/>
      <c r="FW284" s="101"/>
      <c r="FX284" s="634"/>
      <c r="FY284" s="634"/>
      <c r="FZ284" s="634"/>
      <c r="GA284" s="634"/>
      <c r="GB284" s="634"/>
      <c r="GC284" s="634"/>
      <c r="GD284" s="634"/>
      <c r="GE284" s="634"/>
      <c r="GF284" s="634"/>
      <c r="GG284" s="634"/>
      <c r="GH284" s="634"/>
      <c r="GI284" s="634"/>
      <c r="GJ284" s="634"/>
      <c r="GK284" s="634"/>
      <c r="GL284" s="101"/>
      <c r="GM284" s="101"/>
      <c r="GN284" s="101"/>
      <c r="GO284" s="643"/>
      <c r="GP284" s="644"/>
      <c r="GQ284" s="643"/>
      <c r="GR284" s="644"/>
      <c r="GS284" s="643"/>
      <c r="GT284" s="644"/>
      <c r="GU284" s="644"/>
      <c r="GV284" s="644"/>
      <c r="GW284" s="644"/>
      <c r="GX284" s="644"/>
      <c r="GY284" s="644"/>
      <c r="GZ284" s="644"/>
      <c r="HA284" s="644"/>
    </row>
    <row r="285" spans="1:209">
      <c r="A285" s="638"/>
      <c r="B285" s="95"/>
      <c r="C285" s="95"/>
      <c r="D285" s="95"/>
      <c r="E285" s="650"/>
      <c r="F285" s="95"/>
      <c r="G285" s="98"/>
      <c r="H285" s="99"/>
      <c r="I285" s="95"/>
      <c r="J285" s="95"/>
      <c r="K285" s="95"/>
      <c r="L285" s="95"/>
      <c r="M285" s="95"/>
      <c r="N285" s="95"/>
      <c r="O285" s="95"/>
      <c r="P285" s="95"/>
      <c r="Q285" s="95"/>
      <c r="R285" s="98"/>
      <c r="S285" s="101"/>
      <c r="T285" s="644"/>
      <c r="U285" s="101"/>
      <c r="V285" s="647"/>
      <c r="W285" s="643"/>
      <c r="X285" s="644"/>
      <c r="Y285" s="101"/>
      <c r="Z285" s="644"/>
      <c r="AA285" s="101"/>
      <c r="AB285" s="644"/>
      <c r="AC285" s="101"/>
      <c r="AD285" s="646"/>
      <c r="AE285" s="271"/>
      <c r="AF285" s="646"/>
      <c r="AG285" s="646"/>
      <c r="AH285" s="646"/>
      <c r="AI285" s="646"/>
      <c r="AJ285" s="646"/>
      <c r="AK285" s="646"/>
      <c r="AL285" s="646"/>
      <c r="AM285" s="271"/>
      <c r="AN285" s="646"/>
      <c r="AO285" s="646"/>
      <c r="AP285" s="646"/>
      <c r="AQ285" s="271"/>
      <c r="AR285" s="646"/>
      <c r="AS285" s="270"/>
      <c r="AT285" s="646"/>
      <c r="AU285" s="646"/>
      <c r="AV285" s="646"/>
      <c r="AW285" s="270"/>
      <c r="AX285" s="646"/>
      <c r="AY285" s="270"/>
      <c r="AZ285" s="646"/>
      <c r="BA285" s="646"/>
      <c r="BB285" s="644"/>
      <c r="BC285" s="644"/>
      <c r="BD285" s="644"/>
      <c r="BE285" s="644"/>
      <c r="BF285" s="644"/>
      <c r="BG285" s="644"/>
      <c r="BH285" s="644"/>
      <c r="BI285" s="644"/>
      <c r="BJ285" s="644"/>
      <c r="BK285" s="644"/>
      <c r="BL285" s="644"/>
      <c r="BM285" s="95"/>
      <c r="BN285" s="644"/>
      <c r="BO285" s="95"/>
      <c r="BP285" s="644"/>
      <c r="BQ285" s="644"/>
      <c r="BR285" s="644"/>
      <c r="BS285" s="644"/>
      <c r="BT285" s="644"/>
      <c r="BU285" s="644"/>
      <c r="BV285" s="644"/>
      <c r="BW285" s="644"/>
      <c r="BX285" s="644"/>
      <c r="BY285" s="644"/>
      <c r="BZ285" s="644"/>
      <c r="CA285" s="644"/>
      <c r="CB285" s="644"/>
      <c r="CC285" s="644"/>
      <c r="CD285" s="644"/>
      <c r="CE285" s="644"/>
      <c r="CF285" s="644"/>
      <c r="CG285" s="644"/>
      <c r="CH285" s="644"/>
      <c r="CI285" s="644"/>
      <c r="CJ285" s="644"/>
      <c r="CK285" s="644"/>
      <c r="CL285" s="644"/>
      <c r="CM285" s="95"/>
      <c r="CN285" s="644"/>
      <c r="CO285" s="644"/>
      <c r="CP285" s="95"/>
      <c r="CQ285" s="98"/>
      <c r="CR285" s="95"/>
      <c r="CS285" s="95"/>
      <c r="CT285" s="95"/>
      <c r="CU285" s="108"/>
      <c r="CV285" s="109"/>
      <c r="CW285" s="644"/>
      <c r="CX285" s="496"/>
      <c r="CY285" s="637"/>
      <c r="CZ285" s="644"/>
      <c r="DA285" s="644"/>
      <c r="DB285" s="644"/>
      <c r="DC285" s="496"/>
      <c r="DD285" s="644"/>
      <c r="DE285" s="101"/>
      <c r="DF285" s="644"/>
      <c r="DG285" s="101"/>
      <c r="DH285" s="644"/>
      <c r="DI285" s="644"/>
      <c r="DJ285" s="644"/>
      <c r="DK285" s="644"/>
      <c r="DL285" s="644"/>
      <c r="DM285" s="101"/>
      <c r="DN285" s="644"/>
      <c r="DO285" s="644"/>
      <c r="DP285" s="644"/>
      <c r="DQ285" s="644"/>
      <c r="DR285" s="644"/>
      <c r="DS285" s="644"/>
      <c r="DT285" s="644"/>
      <c r="DU285" s="644"/>
      <c r="DV285" s="644"/>
      <c r="DW285" s="101"/>
      <c r="DX285" s="646"/>
      <c r="DY285" s="646"/>
      <c r="DZ285" s="646"/>
      <c r="EA285" s="646"/>
      <c r="EB285" s="646"/>
      <c r="EC285" s="646"/>
      <c r="ED285" s="646"/>
      <c r="EE285" s="646"/>
      <c r="EF285" s="646"/>
      <c r="EG285" s="646"/>
      <c r="EH285" s="646"/>
      <c r="EI285" s="646"/>
      <c r="EJ285" s="646"/>
      <c r="EK285" s="271"/>
      <c r="EL285" s="644"/>
      <c r="EM285" s="634"/>
      <c r="EN285" s="647"/>
      <c r="EO285" s="648"/>
      <c r="EP285" s="647"/>
      <c r="EQ285" s="647"/>
      <c r="ER285" s="647"/>
      <c r="ES285" s="139"/>
      <c r="EV285" s="647"/>
      <c r="EW285" s="647"/>
      <c r="EX285" s="647"/>
      <c r="EY285" s="647"/>
      <c r="EZ285" s="647"/>
      <c r="FA285" s="646"/>
      <c r="FB285" s="646"/>
      <c r="FC285" s="646"/>
      <c r="FD285" s="646"/>
      <c r="FE285" s="646"/>
      <c r="FF285" s="646"/>
      <c r="FG285" s="647"/>
      <c r="FH285" s="647"/>
      <c r="FI285" s="647"/>
      <c r="FJ285" s="647"/>
      <c r="FK285" s="647"/>
      <c r="FL285" s="647"/>
      <c r="FM285" s="647"/>
      <c r="FN285" s="647"/>
      <c r="FO285" s="647"/>
      <c r="FP285" s="647"/>
      <c r="FQ285" s="647"/>
      <c r="FR285" s="647"/>
      <c r="FS285" s="101"/>
      <c r="FT285" s="95"/>
      <c r="FU285" s="651"/>
      <c r="FV285" s="101"/>
      <c r="FW285" s="101"/>
      <c r="FX285" s="634"/>
      <c r="FY285" s="634"/>
      <c r="FZ285" s="634"/>
      <c r="GA285" s="634"/>
      <c r="GB285" s="634"/>
      <c r="GC285" s="634"/>
      <c r="GD285" s="634"/>
      <c r="GE285" s="634"/>
      <c r="GF285" s="634"/>
      <c r="GG285" s="634"/>
      <c r="GH285" s="634"/>
      <c r="GI285" s="634"/>
      <c r="GJ285" s="634"/>
      <c r="GK285" s="634"/>
      <c r="GL285" s="101"/>
      <c r="GM285" s="101"/>
      <c r="GN285" s="101"/>
      <c r="GO285" s="643"/>
      <c r="GP285" s="644"/>
      <c r="GQ285" s="643"/>
      <c r="GR285" s="644"/>
      <c r="GS285" s="643"/>
      <c r="GT285" s="644"/>
      <c r="GU285" s="644"/>
      <c r="GV285" s="644"/>
      <c r="GW285" s="644"/>
      <c r="GX285" s="644"/>
      <c r="GY285" s="644"/>
      <c r="GZ285" s="644"/>
      <c r="HA285" s="644"/>
    </row>
    <row r="286" spans="1:209">
      <c r="A286" s="638"/>
      <c r="B286" s="95"/>
      <c r="C286" s="95"/>
      <c r="D286" s="95"/>
      <c r="E286" s="650"/>
      <c r="F286" s="95"/>
      <c r="G286" s="98"/>
      <c r="H286" s="99"/>
      <c r="I286" s="95"/>
      <c r="J286" s="95"/>
      <c r="K286" s="95"/>
      <c r="L286" s="95"/>
      <c r="M286" s="95"/>
      <c r="N286" s="95"/>
      <c r="O286" s="95"/>
      <c r="P286" s="95"/>
      <c r="Q286" s="95"/>
      <c r="R286" s="98"/>
      <c r="S286" s="101"/>
      <c r="T286" s="644"/>
      <c r="U286" s="101"/>
      <c r="V286" s="647"/>
      <c r="W286" s="643"/>
      <c r="X286" s="644"/>
      <c r="Y286" s="101"/>
      <c r="Z286" s="644"/>
      <c r="AA286" s="101"/>
      <c r="AB286" s="644"/>
      <c r="AC286" s="101"/>
      <c r="AD286" s="646"/>
      <c r="AE286" s="271"/>
      <c r="AF286" s="646"/>
      <c r="AG286" s="646"/>
      <c r="AH286" s="646"/>
      <c r="AI286" s="646"/>
      <c r="AJ286" s="646"/>
      <c r="AK286" s="646"/>
      <c r="AL286" s="646"/>
      <c r="AM286" s="271"/>
      <c r="AN286" s="646"/>
      <c r="AO286" s="646"/>
      <c r="AP286" s="646"/>
      <c r="AQ286" s="271"/>
      <c r="AR286" s="646"/>
      <c r="AS286" s="270"/>
      <c r="AT286" s="646"/>
      <c r="AU286" s="646"/>
      <c r="AV286" s="646"/>
      <c r="AW286" s="270"/>
      <c r="AX286" s="646"/>
      <c r="AY286" s="270"/>
      <c r="AZ286" s="646"/>
      <c r="BA286" s="646"/>
      <c r="BB286" s="644"/>
      <c r="BC286" s="644"/>
      <c r="BD286" s="644"/>
      <c r="BE286" s="644"/>
      <c r="BF286" s="644"/>
      <c r="BG286" s="644"/>
      <c r="BH286" s="644"/>
      <c r="BI286" s="644"/>
      <c r="BJ286" s="644"/>
      <c r="BK286" s="644"/>
      <c r="BL286" s="644"/>
      <c r="BM286" s="95"/>
      <c r="BN286" s="644"/>
      <c r="BO286" s="95"/>
      <c r="BP286" s="644"/>
      <c r="BQ286" s="644"/>
      <c r="BR286" s="644"/>
      <c r="BS286" s="644"/>
      <c r="BT286" s="644"/>
      <c r="BU286" s="644"/>
      <c r="BV286" s="644"/>
      <c r="BW286" s="644"/>
      <c r="BX286" s="644"/>
      <c r="BY286" s="644"/>
      <c r="BZ286" s="644"/>
      <c r="CA286" s="644"/>
      <c r="CB286" s="644"/>
      <c r="CC286" s="644"/>
      <c r="CD286" s="644"/>
      <c r="CE286" s="644"/>
      <c r="CF286" s="644"/>
      <c r="CG286" s="644"/>
      <c r="CH286" s="644"/>
      <c r="CI286" s="644"/>
      <c r="CJ286" s="644"/>
      <c r="CK286" s="644"/>
      <c r="CL286" s="644"/>
      <c r="CM286" s="95"/>
      <c r="CN286" s="644"/>
      <c r="CO286" s="644"/>
      <c r="CP286" s="95"/>
      <c r="CQ286" s="98"/>
      <c r="CR286" s="95"/>
      <c r="CS286" s="95"/>
      <c r="CT286" s="95"/>
      <c r="CU286" s="108"/>
      <c r="CV286" s="109"/>
      <c r="CW286" s="644"/>
      <c r="CX286" s="496"/>
      <c r="CY286" s="637"/>
      <c r="CZ286" s="644"/>
      <c r="DA286" s="644"/>
      <c r="DB286" s="644"/>
      <c r="DC286" s="496"/>
      <c r="DD286" s="644"/>
      <c r="DE286" s="101"/>
      <c r="DF286" s="644"/>
      <c r="DG286" s="101"/>
      <c r="DH286" s="644"/>
      <c r="DI286" s="644"/>
      <c r="DJ286" s="644"/>
      <c r="DK286" s="644"/>
      <c r="DL286" s="644"/>
      <c r="DM286" s="101"/>
      <c r="DN286" s="644"/>
      <c r="DO286" s="644"/>
      <c r="DP286" s="644"/>
      <c r="DQ286" s="644"/>
      <c r="DR286" s="644"/>
      <c r="DS286" s="644"/>
      <c r="DT286" s="644"/>
      <c r="DU286" s="644"/>
      <c r="DV286" s="644"/>
      <c r="DW286" s="101"/>
      <c r="DX286" s="646"/>
      <c r="DY286" s="646"/>
      <c r="DZ286" s="646"/>
      <c r="EA286" s="646"/>
      <c r="EB286" s="646"/>
      <c r="EC286" s="646"/>
      <c r="ED286" s="646"/>
      <c r="EE286" s="646"/>
      <c r="EF286" s="646"/>
      <c r="EG286" s="646"/>
      <c r="EH286" s="646"/>
      <c r="EI286" s="646"/>
      <c r="EJ286" s="646"/>
      <c r="EK286" s="271"/>
      <c r="EL286" s="644"/>
      <c r="EM286" s="634"/>
      <c r="EN286" s="647"/>
      <c r="EO286" s="648"/>
      <c r="EP286" s="647"/>
      <c r="EQ286" s="647"/>
      <c r="ER286" s="647"/>
      <c r="ES286" s="139"/>
      <c r="EV286" s="647"/>
      <c r="EW286" s="647"/>
      <c r="EX286" s="647"/>
      <c r="EY286" s="647"/>
      <c r="EZ286" s="647"/>
      <c r="FA286" s="646"/>
      <c r="FB286" s="646"/>
      <c r="FC286" s="646"/>
      <c r="FD286" s="646"/>
      <c r="FE286" s="646"/>
      <c r="FF286" s="646"/>
      <c r="FG286" s="647"/>
      <c r="FH286" s="647"/>
      <c r="FI286" s="647"/>
      <c r="FJ286" s="647"/>
      <c r="FK286" s="647"/>
      <c r="FL286" s="647"/>
      <c r="FM286" s="647"/>
      <c r="FN286" s="647"/>
      <c r="FO286" s="647"/>
      <c r="FP286" s="647"/>
      <c r="FQ286" s="647"/>
      <c r="FR286" s="647"/>
      <c r="FS286" s="101"/>
      <c r="FT286" s="95"/>
      <c r="FU286" s="651"/>
      <c r="FV286" s="101"/>
      <c r="FW286" s="101"/>
      <c r="FX286" s="634"/>
      <c r="FY286" s="634"/>
      <c r="FZ286" s="634"/>
      <c r="GA286" s="634"/>
      <c r="GB286" s="634"/>
      <c r="GC286" s="634"/>
      <c r="GD286" s="634"/>
      <c r="GE286" s="634"/>
      <c r="GF286" s="634"/>
      <c r="GG286" s="634"/>
      <c r="GH286" s="634"/>
      <c r="GI286" s="634"/>
      <c r="GJ286" s="634"/>
      <c r="GK286" s="634"/>
      <c r="GL286" s="101"/>
      <c r="GM286" s="101"/>
      <c r="GN286" s="101"/>
      <c r="GO286" s="643"/>
      <c r="GP286" s="644"/>
      <c r="GQ286" s="643"/>
      <c r="GR286" s="644"/>
      <c r="GS286" s="643"/>
      <c r="GT286" s="644"/>
      <c r="GU286" s="644"/>
      <c r="GV286" s="644"/>
      <c r="GW286" s="644"/>
      <c r="GX286" s="644"/>
      <c r="GY286" s="644"/>
      <c r="GZ286" s="644"/>
      <c r="HA286" s="644"/>
    </row>
    <row r="287" spans="1:209">
      <c r="A287" s="638"/>
      <c r="B287" s="95"/>
      <c r="C287" s="95"/>
      <c r="D287" s="95"/>
      <c r="E287" s="650"/>
      <c r="F287" s="95"/>
      <c r="G287" s="98"/>
      <c r="H287" s="99"/>
      <c r="I287" s="95"/>
      <c r="J287" s="95"/>
      <c r="K287" s="95"/>
      <c r="L287" s="95"/>
      <c r="M287" s="95"/>
      <c r="N287" s="95"/>
      <c r="O287" s="95"/>
      <c r="P287" s="95"/>
      <c r="Q287" s="95"/>
      <c r="R287" s="98"/>
      <c r="S287" s="101"/>
      <c r="T287" s="644"/>
      <c r="U287" s="101"/>
      <c r="V287" s="647"/>
      <c r="W287" s="643"/>
      <c r="X287" s="644"/>
      <c r="Y287" s="101"/>
      <c r="Z287" s="644"/>
      <c r="AA287" s="101"/>
      <c r="AB287" s="644"/>
      <c r="AC287" s="101"/>
      <c r="AD287" s="646"/>
      <c r="AE287" s="271"/>
      <c r="AF287" s="646"/>
      <c r="AG287" s="646"/>
      <c r="AH287" s="646"/>
      <c r="AI287" s="646"/>
      <c r="AJ287" s="646"/>
      <c r="AK287" s="646"/>
      <c r="AL287" s="646"/>
      <c r="AM287" s="271"/>
      <c r="AN287" s="646"/>
      <c r="AO287" s="646"/>
      <c r="AP287" s="646"/>
      <c r="AQ287" s="271"/>
      <c r="AR287" s="646"/>
      <c r="AS287" s="270"/>
      <c r="AT287" s="646"/>
      <c r="AU287" s="646"/>
      <c r="AV287" s="646"/>
      <c r="AW287" s="270"/>
      <c r="AX287" s="646"/>
      <c r="AY287" s="270"/>
      <c r="AZ287" s="646"/>
      <c r="BA287" s="646"/>
      <c r="BB287" s="644"/>
      <c r="BC287" s="644"/>
      <c r="BD287" s="644"/>
      <c r="BE287" s="644"/>
      <c r="BF287" s="644"/>
      <c r="BG287" s="644"/>
      <c r="BH287" s="644"/>
      <c r="BI287" s="644"/>
      <c r="BJ287" s="644"/>
      <c r="BK287" s="644"/>
      <c r="BL287" s="644"/>
      <c r="BM287" s="95"/>
      <c r="BN287" s="644"/>
      <c r="BO287" s="95"/>
      <c r="BP287" s="644"/>
      <c r="BQ287" s="644"/>
      <c r="BR287" s="644"/>
      <c r="BS287" s="644"/>
      <c r="BT287" s="644"/>
      <c r="BU287" s="644"/>
      <c r="BV287" s="644"/>
      <c r="BW287" s="644"/>
      <c r="BX287" s="644"/>
      <c r="BY287" s="644"/>
      <c r="BZ287" s="644"/>
      <c r="CA287" s="644"/>
      <c r="CB287" s="644"/>
      <c r="CC287" s="644"/>
      <c r="CD287" s="644"/>
      <c r="CE287" s="644"/>
      <c r="CF287" s="644"/>
      <c r="CG287" s="644"/>
      <c r="CH287" s="644"/>
      <c r="CI287" s="644"/>
      <c r="CJ287" s="644"/>
      <c r="CK287" s="644"/>
      <c r="CL287" s="644"/>
      <c r="CM287" s="95"/>
      <c r="CN287" s="644"/>
      <c r="CO287" s="644"/>
      <c r="CP287" s="95"/>
      <c r="CQ287" s="98"/>
      <c r="CR287" s="95"/>
      <c r="CS287" s="95"/>
      <c r="CT287" s="95"/>
      <c r="CU287" s="108"/>
      <c r="CV287" s="109"/>
      <c r="CW287" s="644"/>
      <c r="CX287" s="496"/>
      <c r="CY287" s="637"/>
      <c r="CZ287" s="644"/>
      <c r="DA287" s="644"/>
      <c r="DB287" s="644"/>
      <c r="DC287" s="496"/>
      <c r="DD287" s="644"/>
      <c r="DE287" s="101"/>
      <c r="DF287" s="644"/>
      <c r="DG287" s="101"/>
      <c r="DH287" s="644"/>
      <c r="DI287" s="644"/>
      <c r="DJ287" s="644"/>
      <c r="DK287" s="644"/>
      <c r="DL287" s="644"/>
      <c r="DM287" s="101"/>
      <c r="DN287" s="644"/>
      <c r="DO287" s="644"/>
      <c r="DP287" s="644"/>
      <c r="DQ287" s="644"/>
      <c r="DR287" s="644"/>
      <c r="DS287" s="644"/>
      <c r="DT287" s="644"/>
      <c r="DU287" s="644"/>
      <c r="DV287" s="644"/>
      <c r="DW287" s="101"/>
      <c r="DX287" s="646"/>
      <c r="DY287" s="646"/>
      <c r="DZ287" s="646"/>
      <c r="EA287" s="646"/>
      <c r="EB287" s="646"/>
      <c r="EC287" s="646"/>
      <c r="ED287" s="646"/>
      <c r="EE287" s="646"/>
      <c r="EF287" s="646"/>
      <c r="EG287" s="646"/>
      <c r="EH287" s="646"/>
      <c r="EI287" s="646"/>
      <c r="EJ287" s="646"/>
      <c r="EK287" s="271"/>
      <c r="EL287" s="644"/>
      <c r="EM287" s="634"/>
      <c r="EN287" s="647"/>
      <c r="EO287" s="648"/>
      <c r="EP287" s="647"/>
      <c r="EQ287" s="647"/>
      <c r="ER287" s="647"/>
      <c r="ES287" s="139"/>
      <c r="EV287" s="647"/>
      <c r="EW287" s="647"/>
      <c r="EX287" s="647"/>
      <c r="EY287" s="647"/>
      <c r="EZ287" s="647"/>
      <c r="FA287" s="646"/>
      <c r="FB287" s="646"/>
      <c r="FC287" s="646"/>
      <c r="FD287" s="646"/>
      <c r="FE287" s="646"/>
      <c r="FF287" s="646"/>
      <c r="FG287" s="647"/>
      <c r="FH287" s="647"/>
      <c r="FI287" s="647"/>
      <c r="FJ287" s="647"/>
      <c r="FK287" s="647"/>
      <c r="FL287" s="647"/>
      <c r="FM287" s="647"/>
      <c r="FN287" s="647"/>
      <c r="FO287" s="647"/>
      <c r="FP287" s="647"/>
      <c r="FQ287" s="647"/>
      <c r="FR287" s="647"/>
      <c r="FS287" s="101"/>
      <c r="FT287" s="95"/>
      <c r="FU287" s="651"/>
      <c r="FV287" s="101"/>
      <c r="FW287" s="101"/>
      <c r="FX287" s="634"/>
      <c r="FY287" s="634"/>
      <c r="FZ287" s="634"/>
      <c r="GA287" s="634"/>
      <c r="GB287" s="634"/>
      <c r="GC287" s="634"/>
      <c r="GD287" s="634"/>
      <c r="GE287" s="634"/>
      <c r="GF287" s="634"/>
      <c r="GG287" s="634"/>
      <c r="GH287" s="634"/>
      <c r="GI287" s="634"/>
      <c r="GJ287" s="634"/>
      <c r="GK287" s="634"/>
      <c r="GL287" s="101"/>
      <c r="GM287" s="101"/>
      <c r="GN287" s="101"/>
      <c r="GO287" s="643"/>
      <c r="GP287" s="644"/>
      <c r="GQ287" s="643"/>
      <c r="GR287" s="644"/>
      <c r="GS287" s="643"/>
      <c r="GT287" s="644"/>
      <c r="GU287" s="644"/>
      <c r="GV287" s="644"/>
      <c r="GW287" s="644"/>
      <c r="GX287" s="644"/>
      <c r="GY287" s="644"/>
      <c r="GZ287" s="644"/>
      <c r="HA287" s="644"/>
    </row>
    <row r="288" spans="1:209">
      <c r="A288" s="638"/>
      <c r="B288" s="95"/>
      <c r="C288" s="95"/>
      <c r="D288" s="95"/>
      <c r="E288" s="650"/>
      <c r="F288" s="95"/>
      <c r="G288" s="98"/>
      <c r="H288" s="99"/>
      <c r="I288" s="95"/>
      <c r="J288" s="95"/>
      <c r="K288" s="95"/>
      <c r="L288" s="95"/>
      <c r="M288" s="95"/>
      <c r="N288" s="95"/>
      <c r="O288" s="95"/>
      <c r="P288" s="95"/>
      <c r="Q288" s="95"/>
      <c r="R288" s="98"/>
      <c r="S288" s="101"/>
      <c r="T288" s="644"/>
      <c r="U288" s="101"/>
      <c r="V288" s="647"/>
      <c r="W288" s="643"/>
      <c r="X288" s="644"/>
      <c r="Y288" s="101"/>
      <c r="Z288" s="644"/>
      <c r="AA288" s="101"/>
      <c r="AB288" s="644"/>
      <c r="AC288" s="101"/>
      <c r="AD288" s="646"/>
      <c r="AE288" s="271"/>
      <c r="AF288" s="646"/>
      <c r="AG288" s="646"/>
      <c r="AH288" s="646"/>
      <c r="AI288" s="646"/>
      <c r="AJ288" s="646"/>
      <c r="AK288" s="646"/>
      <c r="AL288" s="646"/>
      <c r="AM288" s="271"/>
      <c r="AN288" s="646"/>
      <c r="AO288" s="646"/>
      <c r="AP288" s="646"/>
      <c r="AQ288" s="271"/>
      <c r="AR288" s="646"/>
      <c r="AS288" s="270"/>
      <c r="AT288" s="646"/>
      <c r="AU288" s="646"/>
      <c r="AV288" s="646"/>
      <c r="AW288" s="270"/>
      <c r="AX288" s="646"/>
      <c r="AY288" s="270"/>
      <c r="AZ288" s="646"/>
      <c r="BA288" s="646"/>
      <c r="BB288" s="644"/>
      <c r="BC288" s="644"/>
      <c r="BD288" s="644"/>
      <c r="BE288" s="644"/>
      <c r="BF288" s="644"/>
      <c r="BG288" s="644"/>
      <c r="BH288" s="644"/>
      <c r="BI288" s="644"/>
      <c r="BJ288" s="644"/>
      <c r="BK288" s="644"/>
      <c r="BL288" s="644"/>
      <c r="BM288" s="95"/>
      <c r="BN288" s="644"/>
      <c r="BO288" s="95"/>
      <c r="BP288" s="644"/>
      <c r="BQ288" s="644"/>
      <c r="BR288" s="644"/>
      <c r="BS288" s="644"/>
      <c r="BT288" s="644"/>
      <c r="BU288" s="644"/>
      <c r="BV288" s="644"/>
      <c r="BW288" s="644"/>
      <c r="BX288" s="644"/>
      <c r="BY288" s="644"/>
      <c r="BZ288" s="644"/>
      <c r="CA288" s="644"/>
      <c r="CB288" s="644"/>
      <c r="CC288" s="644"/>
      <c r="CD288" s="644"/>
      <c r="CE288" s="644"/>
      <c r="CF288" s="644"/>
      <c r="CG288" s="644"/>
      <c r="CH288" s="644"/>
      <c r="CI288" s="644"/>
      <c r="CJ288" s="644"/>
      <c r="CK288" s="644"/>
      <c r="CL288" s="644"/>
      <c r="CM288" s="95"/>
      <c r="CN288" s="644"/>
      <c r="CO288" s="644"/>
      <c r="CP288" s="95"/>
      <c r="CQ288" s="98"/>
      <c r="CR288" s="95"/>
      <c r="CS288" s="95"/>
      <c r="CT288" s="95"/>
      <c r="CU288" s="108"/>
      <c r="CV288" s="109"/>
      <c r="CW288" s="644"/>
      <c r="CX288" s="496"/>
      <c r="CY288" s="637"/>
      <c r="CZ288" s="644"/>
      <c r="DA288" s="644"/>
      <c r="DB288" s="644"/>
      <c r="DC288" s="496"/>
      <c r="DD288" s="644"/>
      <c r="DE288" s="101"/>
      <c r="DF288" s="644"/>
      <c r="DG288" s="101"/>
      <c r="DH288" s="644"/>
      <c r="DI288" s="644"/>
      <c r="DJ288" s="644"/>
      <c r="DK288" s="644"/>
      <c r="DL288" s="644"/>
      <c r="DM288" s="101"/>
      <c r="DN288" s="644"/>
      <c r="DO288" s="644"/>
      <c r="DP288" s="644"/>
      <c r="DQ288" s="644"/>
      <c r="DR288" s="644"/>
      <c r="DS288" s="644"/>
      <c r="DT288" s="644"/>
      <c r="DU288" s="644"/>
      <c r="DV288" s="644"/>
      <c r="DW288" s="101"/>
      <c r="DX288" s="646"/>
      <c r="DY288" s="646"/>
      <c r="DZ288" s="646"/>
      <c r="EA288" s="646"/>
      <c r="EB288" s="646"/>
      <c r="EC288" s="646"/>
      <c r="ED288" s="646"/>
      <c r="EE288" s="646"/>
      <c r="EF288" s="646"/>
      <c r="EG288" s="646"/>
      <c r="EH288" s="646"/>
      <c r="EI288" s="646"/>
      <c r="EJ288" s="646"/>
      <c r="EK288" s="271"/>
      <c r="EL288" s="644"/>
      <c r="EM288" s="634"/>
      <c r="EN288" s="647"/>
      <c r="EO288" s="648"/>
      <c r="EP288" s="647"/>
      <c r="EQ288" s="647"/>
      <c r="ER288" s="647"/>
      <c r="ES288" s="139"/>
      <c r="EV288" s="647"/>
      <c r="EW288" s="647"/>
      <c r="EX288" s="647"/>
      <c r="EY288" s="647"/>
      <c r="EZ288" s="647"/>
      <c r="FA288" s="646"/>
      <c r="FB288" s="646"/>
      <c r="FC288" s="646"/>
      <c r="FD288" s="646"/>
      <c r="FE288" s="646"/>
      <c r="FF288" s="646"/>
      <c r="FG288" s="647"/>
      <c r="FH288" s="647"/>
      <c r="FI288" s="647"/>
      <c r="FJ288" s="647"/>
      <c r="FK288" s="647"/>
      <c r="FL288" s="647"/>
      <c r="FM288" s="647"/>
      <c r="FN288" s="647"/>
      <c r="FO288" s="647"/>
      <c r="FP288" s="647"/>
      <c r="FQ288" s="647"/>
      <c r="FR288" s="647"/>
      <c r="FS288" s="101"/>
      <c r="FT288" s="95"/>
      <c r="FU288" s="651"/>
      <c r="FV288" s="101"/>
      <c r="FW288" s="101"/>
      <c r="FX288" s="634"/>
      <c r="FY288" s="634"/>
      <c r="FZ288" s="634"/>
      <c r="GA288" s="634"/>
      <c r="GB288" s="634"/>
      <c r="GC288" s="634"/>
      <c r="GD288" s="634"/>
      <c r="GE288" s="634"/>
      <c r="GF288" s="634"/>
      <c r="GG288" s="634"/>
      <c r="GH288" s="634"/>
      <c r="GI288" s="634"/>
      <c r="GJ288" s="634"/>
      <c r="GK288" s="634"/>
      <c r="GL288" s="101"/>
      <c r="GM288" s="101"/>
      <c r="GN288" s="101"/>
      <c r="GO288" s="643"/>
      <c r="GP288" s="644"/>
      <c r="GQ288" s="643"/>
      <c r="GR288" s="644"/>
      <c r="GS288" s="643"/>
      <c r="GT288" s="644"/>
      <c r="GU288" s="644"/>
      <c r="GV288" s="644"/>
      <c r="GW288" s="644"/>
      <c r="GX288" s="644"/>
      <c r="GY288" s="644"/>
      <c r="GZ288" s="644"/>
      <c r="HA288" s="644"/>
    </row>
    <row r="289" spans="1:209">
      <c r="A289" s="638"/>
      <c r="B289" s="95"/>
      <c r="C289" s="95"/>
      <c r="D289" s="95"/>
      <c r="E289" s="650"/>
      <c r="F289" s="95"/>
      <c r="G289" s="98"/>
      <c r="H289" s="99"/>
      <c r="I289" s="95"/>
      <c r="J289" s="95"/>
      <c r="K289" s="95"/>
      <c r="L289" s="95"/>
      <c r="M289" s="95"/>
      <c r="N289" s="95"/>
      <c r="O289" s="95"/>
      <c r="P289" s="95"/>
      <c r="Q289" s="95"/>
      <c r="R289" s="98"/>
      <c r="S289" s="101"/>
      <c r="T289" s="644"/>
      <c r="U289" s="101"/>
      <c r="V289" s="647"/>
      <c r="W289" s="643"/>
      <c r="X289" s="644"/>
      <c r="Y289" s="101"/>
      <c r="Z289" s="644"/>
      <c r="AA289" s="101"/>
      <c r="AB289" s="644"/>
      <c r="AC289" s="101"/>
      <c r="AD289" s="646"/>
      <c r="AE289" s="271"/>
      <c r="AF289" s="646"/>
      <c r="AG289" s="646"/>
      <c r="AH289" s="646"/>
      <c r="AI289" s="646"/>
      <c r="AJ289" s="646"/>
      <c r="AK289" s="646"/>
      <c r="AL289" s="646"/>
      <c r="AM289" s="271"/>
      <c r="AN289" s="646"/>
      <c r="AO289" s="646"/>
      <c r="AP289" s="646"/>
      <c r="AQ289" s="271"/>
      <c r="AR289" s="646"/>
      <c r="AS289" s="270"/>
      <c r="AT289" s="646"/>
      <c r="AU289" s="646"/>
      <c r="AV289" s="646"/>
      <c r="AW289" s="270"/>
      <c r="AX289" s="646"/>
      <c r="AY289" s="270"/>
      <c r="AZ289" s="646"/>
      <c r="BA289" s="646"/>
      <c r="BB289" s="644"/>
      <c r="BC289" s="644"/>
      <c r="BD289" s="644"/>
      <c r="BE289" s="644"/>
      <c r="BF289" s="644"/>
      <c r="BG289" s="644"/>
      <c r="BH289" s="644"/>
      <c r="BI289" s="644"/>
      <c r="BJ289" s="644"/>
      <c r="BK289" s="644"/>
      <c r="BL289" s="644"/>
      <c r="BM289" s="95"/>
      <c r="BN289" s="644"/>
      <c r="BO289" s="95"/>
      <c r="BP289" s="644"/>
      <c r="BQ289" s="644"/>
      <c r="BR289" s="644"/>
      <c r="BS289" s="644"/>
      <c r="BT289" s="644"/>
      <c r="BU289" s="644"/>
      <c r="BV289" s="644"/>
      <c r="BW289" s="644"/>
      <c r="BX289" s="644"/>
      <c r="BY289" s="644"/>
      <c r="BZ289" s="644"/>
      <c r="CA289" s="644"/>
      <c r="CB289" s="644"/>
      <c r="CC289" s="644"/>
      <c r="CD289" s="644"/>
      <c r="CE289" s="644"/>
      <c r="CF289" s="644"/>
      <c r="CG289" s="644"/>
      <c r="CH289" s="644"/>
      <c r="CI289" s="644"/>
      <c r="CJ289" s="644"/>
      <c r="CK289" s="644"/>
      <c r="CL289" s="644"/>
      <c r="CM289" s="95"/>
      <c r="CN289" s="644"/>
      <c r="CO289" s="644"/>
      <c r="CP289" s="95"/>
      <c r="CQ289" s="98"/>
      <c r="CR289" s="95"/>
      <c r="CS289" s="95"/>
      <c r="CT289" s="95"/>
      <c r="CU289" s="108"/>
      <c r="CV289" s="109"/>
      <c r="CW289" s="644"/>
      <c r="CX289" s="496"/>
      <c r="CY289" s="637"/>
      <c r="CZ289" s="644"/>
      <c r="DA289" s="644"/>
      <c r="DB289" s="644"/>
      <c r="DC289" s="496"/>
      <c r="DD289" s="644"/>
      <c r="DE289" s="101"/>
      <c r="DF289" s="644"/>
      <c r="DG289" s="101"/>
      <c r="DH289" s="644"/>
      <c r="DI289" s="644"/>
      <c r="DJ289" s="644"/>
      <c r="DK289" s="644"/>
      <c r="DL289" s="644"/>
      <c r="DM289" s="101"/>
      <c r="DN289" s="644"/>
      <c r="DO289" s="644"/>
      <c r="DP289" s="644"/>
      <c r="DQ289" s="644"/>
      <c r="DR289" s="644"/>
      <c r="DS289" s="644"/>
      <c r="DT289" s="644"/>
      <c r="DU289" s="644"/>
      <c r="DV289" s="644"/>
      <c r="DW289" s="101"/>
      <c r="DX289" s="646"/>
      <c r="DY289" s="646"/>
      <c r="DZ289" s="646"/>
      <c r="EA289" s="646"/>
      <c r="EB289" s="646"/>
      <c r="EC289" s="646"/>
      <c r="ED289" s="646"/>
      <c r="EE289" s="646"/>
      <c r="EF289" s="646"/>
      <c r="EG289" s="646"/>
      <c r="EH289" s="646"/>
      <c r="EI289" s="646"/>
      <c r="EJ289" s="646"/>
      <c r="EK289" s="271"/>
      <c r="EL289" s="644"/>
      <c r="EM289" s="634"/>
      <c r="EN289" s="647"/>
      <c r="EO289" s="648"/>
      <c r="EP289" s="647"/>
      <c r="EQ289" s="647"/>
      <c r="ER289" s="647"/>
      <c r="ES289" s="139"/>
      <c r="EV289" s="647"/>
      <c r="EW289" s="647"/>
      <c r="EX289" s="647"/>
      <c r="EY289" s="647"/>
      <c r="EZ289" s="647"/>
      <c r="FA289" s="646"/>
      <c r="FB289" s="646"/>
      <c r="FC289" s="646"/>
      <c r="FD289" s="646"/>
      <c r="FE289" s="646"/>
      <c r="FF289" s="646"/>
      <c r="FG289" s="647"/>
      <c r="FH289" s="647"/>
      <c r="FI289" s="647"/>
      <c r="FJ289" s="647"/>
      <c r="FK289" s="647"/>
      <c r="FL289" s="647"/>
      <c r="FM289" s="647"/>
      <c r="FN289" s="647"/>
      <c r="FO289" s="647"/>
      <c r="FP289" s="647"/>
      <c r="FQ289" s="647"/>
      <c r="FR289" s="647"/>
      <c r="FS289" s="101"/>
      <c r="FT289" s="95"/>
      <c r="FU289" s="651"/>
      <c r="FV289" s="101"/>
      <c r="FW289" s="101"/>
      <c r="FX289" s="634"/>
      <c r="FY289" s="634"/>
      <c r="FZ289" s="634"/>
      <c r="GA289" s="634"/>
      <c r="GB289" s="634"/>
      <c r="GC289" s="634"/>
      <c r="GD289" s="634"/>
      <c r="GE289" s="634"/>
      <c r="GF289" s="634"/>
      <c r="GG289" s="634"/>
      <c r="GH289" s="634"/>
      <c r="GI289" s="634"/>
      <c r="GJ289" s="634"/>
      <c r="GK289" s="634"/>
      <c r="GL289" s="101"/>
      <c r="GM289" s="101"/>
      <c r="GN289" s="101"/>
      <c r="GO289" s="643"/>
      <c r="GP289" s="644"/>
      <c r="GQ289" s="643"/>
      <c r="GR289" s="644"/>
      <c r="GS289" s="643"/>
      <c r="GT289" s="644"/>
      <c r="GU289" s="644"/>
      <c r="GV289" s="644"/>
      <c r="GW289" s="644"/>
      <c r="GX289" s="644"/>
      <c r="GY289" s="644"/>
      <c r="GZ289" s="644"/>
      <c r="HA289" s="644"/>
    </row>
    <row r="290" spans="1:209">
      <c r="A290" s="638"/>
      <c r="B290" s="95"/>
      <c r="C290" s="95"/>
      <c r="D290" s="95"/>
      <c r="E290" s="650"/>
      <c r="F290" s="95"/>
      <c r="G290" s="98"/>
      <c r="H290" s="99"/>
      <c r="I290" s="95"/>
      <c r="J290" s="95"/>
      <c r="K290" s="95"/>
      <c r="L290" s="95"/>
      <c r="M290" s="95"/>
      <c r="N290" s="95"/>
      <c r="O290" s="95"/>
      <c r="P290" s="95"/>
      <c r="Q290" s="95"/>
      <c r="R290" s="98"/>
      <c r="S290" s="101"/>
      <c r="T290" s="644"/>
      <c r="U290" s="101"/>
      <c r="V290" s="647"/>
      <c r="W290" s="643"/>
      <c r="X290" s="644"/>
      <c r="Y290" s="101"/>
      <c r="Z290" s="644"/>
      <c r="AA290" s="101"/>
      <c r="AB290" s="644"/>
      <c r="AC290" s="101"/>
      <c r="AD290" s="646"/>
      <c r="AE290" s="271"/>
      <c r="AF290" s="646"/>
      <c r="AG290" s="646"/>
      <c r="AH290" s="646"/>
      <c r="AI290" s="646"/>
      <c r="AJ290" s="646"/>
      <c r="AK290" s="646"/>
      <c r="AL290" s="646"/>
      <c r="AM290" s="271"/>
      <c r="AN290" s="646"/>
      <c r="AO290" s="646"/>
      <c r="AP290" s="646"/>
      <c r="AQ290" s="271"/>
      <c r="AR290" s="646"/>
      <c r="AS290" s="270"/>
      <c r="AT290" s="646"/>
      <c r="AU290" s="646"/>
      <c r="AV290" s="646"/>
      <c r="AW290" s="270"/>
      <c r="AX290" s="646"/>
      <c r="AY290" s="270"/>
      <c r="AZ290" s="646"/>
      <c r="BA290" s="646"/>
      <c r="BB290" s="644"/>
      <c r="BC290" s="644"/>
      <c r="BD290" s="644"/>
      <c r="BE290" s="644"/>
      <c r="BF290" s="644"/>
      <c r="BG290" s="644"/>
      <c r="BH290" s="644"/>
      <c r="BI290" s="644"/>
      <c r="BJ290" s="644"/>
      <c r="BK290" s="644"/>
      <c r="BL290" s="644"/>
      <c r="BM290" s="95"/>
      <c r="BN290" s="644"/>
      <c r="BO290" s="95"/>
      <c r="BP290" s="644"/>
      <c r="BQ290" s="644"/>
      <c r="BR290" s="644"/>
      <c r="BS290" s="644"/>
      <c r="BT290" s="644"/>
      <c r="BU290" s="644"/>
      <c r="BV290" s="644"/>
      <c r="BW290" s="644"/>
      <c r="BX290" s="644"/>
      <c r="BY290" s="644"/>
      <c r="BZ290" s="644"/>
      <c r="CA290" s="644"/>
      <c r="CB290" s="644"/>
      <c r="CC290" s="644"/>
      <c r="CD290" s="644"/>
      <c r="CE290" s="644"/>
      <c r="CF290" s="644"/>
      <c r="CG290" s="644"/>
      <c r="CH290" s="644"/>
      <c r="CI290" s="644"/>
      <c r="CJ290" s="644"/>
      <c r="CK290" s="644"/>
      <c r="CL290" s="644"/>
      <c r="CM290" s="95"/>
      <c r="CN290" s="644"/>
      <c r="CO290" s="644"/>
      <c r="CP290" s="95"/>
      <c r="CQ290" s="98"/>
      <c r="CR290" s="95"/>
      <c r="CS290" s="95"/>
      <c r="CT290" s="95"/>
      <c r="CU290" s="108"/>
      <c r="CV290" s="109"/>
      <c r="CW290" s="644"/>
      <c r="CX290" s="496"/>
      <c r="CY290" s="637"/>
      <c r="CZ290" s="644"/>
      <c r="DA290" s="644"/>
      <c r="DB290" s="644"/>
      <c r="DC290" s="496"/>
      <c r="DD290" s="644"/>
      <c r="DE290" s="101"/>
      <c r="DF290" s="644"/>
      <c r="DG290" s="101"/>
      <c r="DH290" s="644"/>
      <c r="DI290" s="644"/>
      <c r="DJ290" s="644"/>
      <c r="DK290" s="644"/>
      <c r="DL290" s="644"/>
      <c r="DM290" s="101"/>
      <c r="DN290" s="644"/>
      <c r="DO290" s="644"/>
      <c r="DP290" s="644"/>
      <c r="DQ290" s="644"/>
      <c r="DR290" s="644"/>
      <c r="DS290" s="644"/>
      <c r="DT290" s="644"/>
      <c r="DU290" s="644"/>
      <c r="DV290" s="644"/>
      <c r="DW290" s="101"/>
      <c r="DX290" s="646"/>
      <c r="DY290" s="646"/>
      <c r="DZ290" s="646"/>
      <c r="EA290" s="646"/>
      <c r="EB290" s="646"/>
      <c r="EC290" s="646"/>
      <c r="ED290" s="646"/>
      <c r="EE290" s="646"/>
      <c r="EF290" s="646"/>
      <c r="EG290" s="646"/>
      <c r="EH290" s="646"/>
      <c r="EI290" s="646"/>
      <c r="EJ290" s="646"/>
      <c r="EK290" s="271"/>
      <c r="EL290" s="644"/>
      <c r="EM290" s="634"/>
      <c r="EN290" s="647"/>
      <c r="EO290" s="648"/>
      <c r="EP290" s="647"/>
      <c r="EQ290" s="647"/>
      <c r="ER290" s="647"/>
      <c r="ES290" s="139"/>
      <c r="EV290" s="647"/>
      <c r="EW290" s="647"/>
      <c r="EX290" s="647"/>
      <c r="EY290" s="647"/>
      <c r="EZ290" s="647"/>
      <c r="FA290" s="646"/>
      <c r="FB290" s="646"/>
      <c r="FC290" s="646"/>
      <c r="FD290" s="646"/>
      <c r="FE290" s="646"/>
      <c r="FF290" s="646"/>
      <c r="FG290" s="647"/>
      <c r="FH290" s="647"/>
      <c r="FI290" s="647"/>
      <c r="FJ290" s="647"/>
      <c r="FK290" s="647"/>
      <c r="FL290" s="647"/>
      <c r="FM290" s="647"/>
      <c r="FN290" s="647"/>
      <c r="FO290" s="647"/>
      <c r="FP290" s="647"/>
      <c r="FQ290" s="647"/>
      <c r="FR290" s="647"/>
      <c r="FS290" s="101"/>
      <c r="FT290" s="95"/>
      <c r="FU290" s="651"/>
      <c r="FV290" s="101"/>
      <c r="FW290" s="101"/>
      <c r="FX290" s="634"/>
      <c r="FY290" s="634"/>
      <c r="FZ290" s="634"/>
      <c r="GA290" s="634"/>
      <c r="GB290" s="634"/>
      <c r="GC290" s="634"/>
      <c r="GD290" s="634"/>
      <c r="GE290" s="634"/>
      <c r="GF290" s="634"/>
      <c r="GG290" s="634"/>
      <c r="GH290" s="634"/>
      <c r="GI290" s="634"/>
      <c r="GJ290" s="634"/>
      <c r="GK290" s="634"/>
      <c r="GL290" s="101"/>
      <c r="GM290" s="101"/>
      <c r="GN290" s="101"/>
      <c r="GO290" s="643"/>
      <c r="GP290" s="644"/>
      <c r="GQ290" s="643"/>
      <c r="GR290" s="644"/>
      <c r="GS290" s="643"/>
      <c r="GT290" s="644"/>
      <c r="GU290" s="644"/>
      <c r="GV290" s="644"/>
      <c r="GW290" s="644"/>
      <c r="GX290" s="644"/>
      <c r="GY290" s="644"/>
      <c r="GZ290" s="644"/>
      <c r="HA290" s="644"/>
    </row>
    <row r="291" spans="1:209">
      <c r="A291" s="638"/>
      <c r="B291" s="95"/>
      <c r="C291" s="95"/>
      <c r="D291" s="95"/>
      <c r="E291" s="650"/>
      <c r="F291" s="95"/>
      <c r="G291" s="98"/>
      <c r="H291" s="99"/>
      <c r="I291" s="95"/>
      <c r="J291" s="95"/>
      <c r="K291" s="95"/>
      <c r="L291" s="95"/>
      <c r="M291" s="95"/>
      <c r="N291" s="95"/>
      <c r="O291" s="95"/>
      <c r="P291" s="95"/>
      <c r="Q291" s="95"/>
      <c r="R291" s="98"/>
      <c r="S291" s="101"/>
      <c r="T291" s="644"/>
      <c r="U291" s="101"/>
      <c r="V291" s="647"/>
      <c r="W291" s="643"/>
      <c r="X291" s="644"/>
      <c r="Y291" s="101"/>
      <c r="Z291" s="644"/>
      <c r="AA291" s="101"/>
      <c r="AB291" s="644"/>
      <c r="AC291" s="101"/>
      <c r="AD291" s="646"/>
      <c r="AE291" s="271"/>
      <c r="AF291" s="646"/>
      <c r="AG291" s="646"/>
      <c r="AH291" s="646"/>
      <c r="AI291" s="646"/>
      <c r="AJ291" s="646"/>
      <c r="AK291" s="646"/>
      <c r="AL291" s="646"/>
      <c r="AM291" s="271"/>
      <c r="AN291" s="646"/>
      <c r="AO291" s="646"/>
      <c r="AP291" s="646"/>
      <c r="AQ291" s="271"/>
      <c r="AR291" s="646"/>
      <c r="AS291" s="270"/>
      <c r="AT291" s="646"/>
      <c r="AU291" s="646"/>
      <c r="AV291" s="646"/>
      <c r="AW291" s="270"/>
      <c r="AX291" s="646"/>
      <c r="AY291" s="270"/>
      <c r="AZ291" s="646"/>
      <c r="BA291" s="646"/>
      <c r="BB291" s="644"/>
      <c r="BC291" s="644"/>
      <c r="BD291" s="644"/>
      <c r="BE291" s="644"/>
      <c r="BF291" s="644"/>
      <c r="BG291" s="644"/>
      <c r="BH291" s="644"/>
      <c r="BI291" s="644"/>
      <c r="BJ291" s="644"/>
      <c r="BK291" s="644"/>
      <c r="BL291" s="644"/>
      <c r="BM291" s="95"/>
      <c r="BN291" s="644"/>
      <c r="BO291" s="95"/>
      <c r="BP291" s="644"/>
      <c r="BQ291" s="644"/>
      <c r="BR291" s="644"/>
      <c r="BS291" s="644"/>
      <c r="BT291" s="644"/>
      <c r="BU291" s="644"/>
      <c r="BV291" s="644"/>
      <c r="BW291" s="644"/>
      <c r="BX291" s="644"/>
      <c r="BY291" s="644"/>
      <c r="BZ291" s="644"/>
      <c r="CA291" s="644"/>
      <c r="CB291" s="644"/>
      <c r="CC291" s="644"/>
      <c r="CD291" s="644"/>
      <c r="CE291" s="644"/>
      <c r="CF291" s="644"/>
      <c r="CG291" s="644"/>
      <c r="CH291" s="644"/>
      <c r="CI291" s="644"/>
      <c r="CJ291" s="644"/>
      <c r="CK291" s="644"/>
      <c r="CL291" s="644"/>
      <c r="CM291" s="95"/>
      <c r="CN291" s="644"/>
      <c r="CO291" s="644"/>
      <c r="CP291" s="95"/>
      <c r="CQ291" s="98"/>
      <c r="CR291" s="95"/>
      <c r="CS291" s="95"/>
      <c r="CT291" s="95"/>
      <c r="CU291" s="108"/>
      <c r="CV291" s="109"/>
      <c r="CW291" s="644"/>
      <c r="CX291" s="496"/>
      <c r="CY291" s="637"/>
      <c r="CZ291" s="644"/>
      <c r="DA291" s="644"/>
      <c r="DB291" s="644"/>
      <c r="DC291" s="496"/>
      <c r="DD291" s="644"/>
      <c r="DE291" s="101"/>
      <c r="DF291" s="644"/>
      <c r="DG291" s="101"/>
      <c r="DH291" s="644"/>
      <c r="DI291" s="644"/>
      <c r="DJ291" s="644"/>
      <c r="DK291" s="644"/>
      <c r="DL291" s="644"/>
      <c r="DM291" s="101"/>
      <c r="DN291" s="644"/>
      <c r="DO291" s="644"/>
      <c r="DP291" s="644"/>
      <c r="DQ291" s="644"/>
      <c r="DR291" s="644"/>
      <c r="DS291" s="644"/>
      <c r="DT291" s="644"/>
      <c r="DU291" s="644"/>
      <c r="DV291" s="644"/>
      <c r="DW291" s="101"/>
      <c r="DX291" s="646"/>
      <c r="DY291" s="646"/>
      <c r="DZ291" s="646"/>
      <c r="EA291" s="646"/>
      <c r="EB291" s="646"/>
      <c r="EC291" s="646"/>
      <c r="ED291" s="646"/>
      <c r="EE291" s="646"/>
      <c r="EF291" s="646"/>
      <c r="EG291" s="646"/>
      <c r="EH291" s="646"/>
      <c r="EI291" s="646"/>
      <c r="EJ291" s="646"/>
      <c r="EK291" s="271"/>
      <c r="EL291" s="644"/>
      <c r="EM291" s="634"/>
      <c r="EN291" s="647"/>
      <c r="EO291" s="648"/>
      <c r="EP291" s="647"/>
      <c r="EQ291" s="647"/>
      <c r="ER291" s="647"/>
      <c r="ES291" s="139"/>
      <c r="EV291" s="647"/>
      <c r="EW291" s="647"/>
      <c r="EX291" s="647"/>
      <c r="EY291" s="647"/>
      <c r="EZ291" s="647"/>
      <c r="FA291" s="646"/>
      <c r="FB291" s="646"/>
      <c r="FC291" s="646"/>
      <c r="FD291" s="646"/>
      <c r="FE291" s="646"/>
      <c r="FF291" s="646"/>
      <c r="FG291" s="647"/>
      <c r="FH291" s="647"/>
      <c r="FI291" s="647"/>
      <c r="FJ291" s="647"/>
      <c r="FK291" s="647"/>
      <c r="FL291" s="647"/>
      <c r="FM291" s="647"/>
      <c r="FN291" s="647"/>
      <c r="FO291" s="647"/>
      <c r="FP291" s="647"/>
      <c r="FQ291" s="647"/>
      <c r="FR291" s="647"/>
      <c r="FS291" s="101"/>
      <c r="FT291" s="95"/>
      <c r="FU291" s="651"/>
      <c r="FV291" s="101"/>
      <c r="FW291" s="101"/>
      <c r="FX291" s="634"/>
      <c r="FY291" s="634"/>
      <c r="FZ291" s="634"/>
      <c r="GA291" s="634"/>
      <c r="GB291" s="634"/>
      <c r="GC291" s="634"/>
      <c r="GD291" s="634"/>
      <c r="GE291" s="634"/>
      <c r="GF291" s="634"/>
      <c r="GG291" s="634"/>
      <c r="GH291" s="634"/>
      <c r="GI291" s="634"/>
      <c r="GJ291" s="634"/>
      <c r="GK291" s="634"/>
      <c r="GL291" s="101"/>
      <c r="GM291" s="101"/>
      <c r="GN291" s="101"/>
      <c r="GO291" s="643"/>
      <c r="GP291" s="644"/>
      <c r="GQ291" s="643"/>
      <c r="GR291" s="644"/>
      <c r="GS291" s="643"/>
      <c r="GT291" s="644"/>
      <c r="GU291" s="644"/>
      <c r="GV291" s="644"/>
      <c r="GW291" s="644"/>
      <c r="GX291" s="644"/>
      <c r="GY291" s="644"/>
      <c r="GZ291" s="644"/>
      <c r="HA291" s="644"/>
    </row>
    <row r="292" spans="1:209">
      <c r="A292" s="638"/>
      <c r="B292" s="95"/>
      <c r="C292" s="95"/>
      <c r="D292" s="95"/>
      <c r="E292" s="650"/>
      <c r="F292" s="95"/>
      <c r="G292" s="98"/>
      <c r="H292" s="99"/>
      <c r="I292" s="95"/>
      <c r="J292" s="95"/>
      <c r="K292" s="95"/>
      <c r="L292" s="95"/>
      <c r="M292" s="95"/>
      <c r="N292" s="95"/>
      <c r="O292" s="95"/>
      <c r="P292" s="95"/>
      <c r="Q292" s="95"/>
      <c r="R292" s="98"/>
      <c r="S292" s="101"/>
      <c r="T292" s="644"/>
      <c r="U292" s="101"/>
      <c r="V292" s="647"/>
      <c r="W292" s="643"/>
      <c r="X292" s="644"/>
      <c r="Y292" s="101"/>
      <c r="Z292" s="644"/>
      <c r="AA292" s="101"/>
      <c r="AB292" s="644"/>
      <c r="AC292" s="101"/>
      <c r="AD292" s="646"/>
      <c r="AE292" s="271"/>
      <c r="AF292" s="646"/>
      <c r="AG292" s="646"/>
      <c r="AH292" s="646"/>
      <c r="AI292" s="646"/>
      <c r="AJ292" s="646"/>
      <c r="AK292" s="646"/>
      <c r="AL292" s="646"/>
      <c r="AM292" s="271"/>
      <c r="AN292" s="646"/>
      <c r="AO292" s="646"/>
      <c r="AP292" s="646"/>
      <c r="AQ292" s="271"/>
      <c r="AR292" s="646"/>
      <c r="AS292" s="270"/>
      <c r="AT292" s="646"/>
      <c r="AU292" s="646"/>
      <c r="AV292" s="646"/>
      <c r="AW292" s="270"/>
      <c r="AX292" s="646"/>
      <c r="AY292" s="270"/>
      <c r="AZ292" s="646"/>
      <c r="BA292" s="646"/>
      <c r="BB292" s="644"/>
      <c r="BC292" s="644"/>
      <c r="BD292" s="644"/>
      <c r="BE292" s="644"/>
      <c r="BF292" s="644"/>
      <c r="BG292" s="644"/>
      <c r="BH292" s="644"/>
      <c r="BI292" s="644"/>
      <c r="BJ292" s="644"/>
      <c r="BK292" s="644"/>
      <c r="BL292" s="644"/>
      <c r="BM292" s="95"/>
      <c r="BN292" s="644"/>
      <c r="BO292" s="95"/>
      <c r="BP292" s="644"/>
      <c r="BQ292" s="644"/>
      <c r="BR292" s="644"/>
      <c r="BS292" s="644"/>
      <c r="BT292" s="644"/>
      <c r="BU292" s="644"/>
      <c r="BV292" s="644"/>
      <c r="BW292" s="644"/>
      <c r="BX292" s="644"/>
      <c r="BY292" s="644"/>
      <c r="BZ292" s="644"/>
      <c r="CA292" s="644"/>
      <c r="CB292" s="644"/>
      <c r="CC292" s="644"/>
      <c r="CD292" s="644"/>
      <c r="CE292" s="644"/>
      <c r="CF292" s="644"/>
      <c r="CG292" s="644"/>
      <c r="CH292" s="644"/>
      <c r="CI292" s="644"/>
      <c r="CJ292" s="644"/>
      <c r="CK292" s="644"/>
      <c r="CL292" s="644"/>
      <c r="CM292" s="95"/>
      <c r="CN292" s="644"/>
      <c r="CO292" s="644"/>
      <c r="CP292" s="95"/>
      <c r="CQ292" s="98"/>
      <c r="CR292" s="95"/>
      <c r="CS292" s="95"/>
      <c r="CT292" s="95"/>
      <c r="CU292" s="108"/>
      <c r="CV292" s="109"/>
      <c r="CW292" s="644"/>
      <c r="CX292" s="496"/>
      <c r="CY292" s="637"/>
      <c r="CZ292" s="644"/>
      <c r="DA292" s="644"/>
      <c r="DB292" s="644"/>
      <c r="DC292" s="496"/>
      <c r="DD292" s="644"/>
      <c r="DE292" s="101"/>
      <c r="DF292" s="644"/>
      <c r="DG292" s="101"/>
      <c r="DH292" s="644"/>
      <c r="DI292" s="644"/>
      <c r="DJ292" s="644"/>
      <c r="DK292" s="644"/>
      <c r="DL292" s="644"/>
      <c r="DM292" s="101"/>
      <c r="DN292" s="644"/>
      <c r="DO292" s="644"/>
      <c r="DP292" s="644"/>
      <c r="DQ292" s="644"/>
      <c r="DR292" s="644"/>
      <c r="DS292" s="644"/>
      <c r="DT292" s="644"/>
      <c r="DU292" s="644"/>
      <c r="DV292" s="644"/>
      <c r="DW292" s="101"/>
      <c r="DX292" s="646"/>
      <c r="DY292" s="646"/>
      <c r="DZ292" s="646"/>
      <c r="EA292" s="646"/>
      <c r="EB292" s="646"/>
      <c r="EC292" s="646"/>
      <c r="ED292" s="646"/>
      <c r="EE292" s="646"/>
      <c r="EF292" s="646"/>
      <c r="EG292" s="646"/>
      <c r="EH292" s="646"/>
      <c r="EI292" s="646"/>
      <c r="EJ292" s="646"/>
      <c r="EK292" s="271"/>
      <c r="EL292" s="644"/>
      <c r="EM292" s="634"/>
      <c r="EN292" s="647"/>
      <c r="EO292" s="648"/>
      <c r="EP292" s="647"/>
      <c r="EQ292" s="647"/>
      <c r="ER292" s="647"/>
      <c r="ES292" s="139"/>
      <c r="EV292" s="647"/>
      <c r="EW292" s="647"/>
      <c r="EX292" s="647"/>
      <c r="EY292" s="647"/>
      <c r="EZ292" s="647"/>
      <c r="FA292" s="646"/>
      <c r="FB292" s="646"/>
      <c r="FC292" s="646"/>
      <c r="FD292" s="646"/>
      <c r="FE292" s="646"/>
      <c r="FF292" s="646"/>
      <c r="FG292" s="647"/>
      <c r="FH292" s="647"/>
      <c r="FI292" s="647"/>
      <c r="FJ292" s="647"/>
      <c r="FK292" s="647"/>
      <c r="FL292" s="647"/>
      <c r="FM292" s="647"/>
      <c r="FN292" s="647"/>
      <c r="FO292" s="647"/>
      <c r="FP292" s="647"/>
      <c r="FQ292" s="647"/>
      <c r="FR292" s="647"/>
      <c r="FS292" s="101"/>
      <c r="FT292" s="95"/>
      <c r="FU292" s="651"/>
      <c r="FV292" s="101"/>
      <c r="FW292" s="101"/>
      <c r="FX292" s="634"/>
      <c r="FY292" s="634"/>
      <c r="FZ292" s="634"/>
      <c r="GA292" s="634"/>
      <c r="GB292" s="634"/>
      <c r="GC292" s="634"/>
      <c r="GD292" s="634"/>
      <c r="GE292" s="634"/>
      <c r="GF292" s="634"/>
      <c r="GG292" s="634"/>
      <c r="GH292" s="634"/>
      <c r="GI292" s="634"/>
      <c r="GJ292" s="634"/>
      <c r="GK292" s="634"/>
      <c r="GL292" s="101"/>
      <c r="GM292" s="101"/>
      <c r="GN292" s="101"/>
      <c r="GO292" s="643"/>
      <c r="GP292" s="644"/>
      <c r="GQ292" s="643"/>
      <c r="GR292" s="644"/>
      <c r="GS292" s="643"/>
      <c r="GT292" s="644"/>
      <c r="GU292" s="644"/>
      <c r="GV292" s="644"/>
      <c r="GW292" s="644"/>
      <c r="GX292" s="644"/>
      <c r="GY292" s="644"/>
      <c r="GZ292" s="644"/>
      <c r="HA292" s="644"/>
    </row>
    <row r="293" spans="1:209">
      <c r="A293" s="638"/>
      <c r="B293" s="95"/>
      <c r="C293" s="95"/>
      <c r="D293" s="95"/>
      <c r="E293" s="650"/>
      <c r="F293" s="95"/>
      <c r="G293" s="98"/>
      <c r="H293" s="99"/>
      <c r="I293" s="95"/>
      <c r="J293" s="95"/>
      <c r="K293" s="95"/>
      <c r="L293" s="95"/>
      <c r="M293" s="95"/>
      <c r="N293" s="95"/>
      <c r="O293" s="95"/>
      <c r="P293" s="95"/>
      <c r="Q293" s="95"/>
      <c r="R293" s="98"/>
      <c r="S293" s="101"/>
      <c r="T293" s="644"/>
      <c r="U293" s="101"/>
      <c r="V293" s="647"/>
      <c r="W293" s="643"/>
      <c r="X293" s="644"/>
      <c r="Y293" s="101"/>
      <c r="Z293" s="644"/>
      <c r="AA293" s="101"/>
      <c r="AB293" s="644"/>
      <c r="AC293" s="101"/>
      <c r="AD293" s="646"/>
      <c r="AE293" s="271"/>
      <c r="AF293" s="646"/>
      <c r="AG293" s="646"/>
      <c r="AH293" s="646"/>
      <c r="AI293" s="646"/>
      <c r="AJ293" s="646"/>
      <c r="AK293" s="646"/>
      <c r="AL293" s="646"/>
      <c r="AM293" s="271"/>
      <c r="AN293" s="646"/>
      <c r="AO293" s="646"/>
      <c r="AP293" s="646"/>
      <c r="AQ293" s="271"/>
      <c r="AR293" s="646"/>
      <c r="AS293" s="270"/>
      <c r="AT293" s="646"/>
      <c r="AU293" s="646"/>
      <c r="AV293" s="646"/>
      <c r="AW293" s="270"/>
      <c r="AX293" s="646"/>
      <c r="AY293" s="270"/>
      <c r="AZ293" s="646"/>
      <c r="BA293" s="646"/>
      <c r="BB293" s="644"/>
      <c r="BC293" s="644"/>
      <c r="BD293" s="644"/>
      <c r="BE293" s="644"/>
      <c r="BF293" s="644"/>
      <c r="BG293" s="644"/>
      <c r="BH293" s="644"/>
      <c r="BI293" s="644"/>
      <c r="BJ293" s="644"/>
      <c r="BK293" s="644"/>
      <c r="BL293" s="644"/>
      <c r="BM293" s="95"/>
      <c r="BN293" s="644"/>
      <c r="BO293" s="95"/>
      <c r="BP293" s="644"/>
      <c r="BQ293" s="644"/>
      <c r="BR293" s="644"/>
      <c r="BS293" s="644"/>
      <c r="BT293" s="644"/>
      <c r="BU293" s="644"/>
      <c r="BV293" s="644"/>
      <c r="BW293" s="644"/>
      <c r="BX293" s="644"/>
      <c r="BY293" s="644"/>
      <c r="BZ293" s="644"/>
      <c r="CA293" s="644"/>
      <c r="CB293" s="644"/>
      <c r="CC293" s="644"/>
      <c r="CD293" s="644"/>
      <c r="CE293" s="644"/>
      <c r="CF293" s="644"/>
      <c r="CG293" s="644"/>
      <c r="CH293" s="644"/>
      <c r="CI293" s="644"/>
      <c r="CJ293" s="644"/>
      <c r="CK293" s="644"/>
      <c r="CL293" s="644"/>
      <c r="CM293" s="95"/>
      <c r="CN293" s="644"/>
      <c r="CO293" s="644"/>
      <c r="CP293" s="95"/>
      <c r="CQ293" s="98"/>
      <c r="CR293" s="95"/>
      <c r="CS293" s="95"/>
      <c r="CT293" s="95"/>
      <c r="CU293" s="108"/>
      <c r="CV293" s="109"/>
      <c r="CW293" s="644"/>
      <c r="CX293" s="496"/>
      <c r="CY293" s="637"/>
      <c r="CZ293" s="644"/>
      <c r="DA293" s="644"/>
      <c r="DB293" s="644"/>
      <c r="DC293" s="496"/>
      <c r="DD293" s="644"/>
      <c r="DE293" s="101"/>
      <c r="DF293" s="644"/>
      <c r="DG293" s="101"/>
      <c r="DH293" s="644"/>
      <c r="DI293" s="644"/>
      <c r="DJ293" s="644"/>
      <c r="DK293" s="644"/>
      <c r="DL293" s="644"/>
      <c r="DM293" s="101"/>
      <c r="DN293" s="644"/>
      <c r="DO293" s="644"/>
      <c r="DP293" s="644"/>
      <c r="DQ293" s="644"/>
      <c r="DR293" s="644"/>
      <c r="DS293" s="644"/>
      <c r="DT293" s="644"/>
      <c r="DU293" s="644"/>
      <c r="DV293" s="644"/>
      <c r="DW293" s="101"/>
      <c r="DX293" s="646"/>
      <c r="DY293" s="646"/>
      <c r="DZ293" s="646"/>
      <c r="EA293" s="646"/>
      <c r="EB293" s="646"/>
      <c r="EC293" s="646"/>
      <c r="ED293" s="646"/>
      <c r="EE293" s="646"/>
      <c r="EF293" s="646"/>
      <c r="EG293" s="646"/>
      <c r="EH293" s="646"/>
      <c r="EI293" s="646"/>
      <c r="EJ293" s="646"/>
      <c r="EK293" s="271"/>
      <c r="EL293" s="644"/>
      <c r="EM293" s="634"/>
      <c r="EN293" s="647"/>
      <c r="EO293" s="648"/>
      <c r="EP293" s="647"/>
      <c r="EQ293" s="647"/>
      <c r="ER293" s="647"/>
      <c r="ES293" s="139"/>
      <c r="EV293" s="647"/>
      <c r="EW293" s="647"/>
      <c r="EX293" s="647"/>
      <c r="EY293" s="647"/>
      <c r="EZ293" s="647"/>
      <c r="FA293" s="646"/>
      <c r="FB293" s="646"/>
      <c r="FC293" s="646"/>
      <c r="FD293" s="646"/>
      <c r="FE293" s="646"/>
      <c r="FF293" s="646"/>
      <c r="FG293" s="647"/>
      <c r="FH293" s="647"/>
      <c r="FI293" s="647"/>
      <c r="FJ293" s="647"/>
      <c r="FK293" s="647"/>
      <c r="FL293" s="647"/>
      <c r="FM293" s="647"/>
      <c r="FN293" s="647"/>
      <c r="FO293" s="647"/>
      <c r="FP293" s="647"/>
      <c r="FQ293" s="647"/>
      <c r="FR293" s="647"/>
      <c r="FS293" s="101"/>
      <c r="FT293" s="95"/>
      <c r="FU293" s="651"/>
      <c r="FV293" s="101"/>
      <c r="FW293" s="101"/>
      <c r="FX293" s="634"/>
      <c r="FY293" s="634"/>
      <c r="FZ293" s="634"/>
      <c r="GA293" s="634"/>
      <c r="GB293" s="634"/>
      <c r="GC293" s="634"/>
      <c r="GD293" s="634"/>
      <c r="GE293" s="634"/>
      <c r="GF293" s="634"/>
      <c r="GG293" s="634"/>
      <c r="GH293" s="634"/>
      <c r="GI293" s="634"/>
      <c r="GJ293" s="634"/>
      <c r="GK293" s="634"/>
      <c r="GL293" s="101"/>
      <c r="GM293" s="101"/>
      <c r="GN293" s="101"/>
      <c r="GO293" s="643"/>
      <c r="GP293" s="644"/>
      <c r="GQ293" s="643"/>
      <c r="GR293" s="644"/>
      <c r="GS293" s="643"/>
      <c r="GT293" s="644"/>
      <c r="GU293" s="644"/>
      <c r="GV293" s="644"/>
      <c r="GW293" s="644"/>
      <c r="GX293" s="644"/>
      <c r="GY293" s="644"/>
      <c r="GZ293" s="644"/>
      <c r="HA293" s="644"/>
    </row>
    <row r="294" spans="1:209">
      <c r="A294" s="638"/>
      <c r="B294" s="95"/>
      <c r="C294" s="95"/>
      <c r="D294" s="95"/>
      <c r="E294" s="650"/>
      <c r="F294" s="95"/>
      <c r="G294" s="98"/>
      <c r="H294" s="99"/>
      <c r="I294" s="95"/>
      <c r="J294" s="95"/>
      <c r="K294" s="95"/>
      <c r="L294" s="95"/>
      <c r="M294" s="95"/>
      <c r="N294" s="95"/>
      <c r="O294" s="95"/>
      <c r="P294" s="95"/>
      <c r="Q294" s="95"/>
      <c r="R294" s="98"/>
      <c r="S294" s="101"/>
      <c r="T294" s="644"/>
      <c r="U294" s="101"/>
      <c r="V294" s="647"/>
      <c r="W294" s="643"/>
      <c r="X294" s="644"/>
      <c r="Y294" s="101"/>
      <c r="Z294" s="644"/>
      <c r="AA294" s="101"/>
      <c r="AB294" s="644"/>
      <c r="AC294" s="101"/>
      <c r="AD294" s="646"/>
      <c r="AE294" s="271"/>
      <c r="AF294" s="646"/>
      <c r="AG294" s="646"/>
      <c r="AH294" s="646"/>
      <c r="AI294" s="646"/>
      <c r="AJ294" s="646"/>
      <c r="AK294" s="646"/>
      <c r="AL294" s="646"/>
      <c r="AM294" s="271"/>
      <c r="AN294" s="646"/>
      <c r="AO294" s="646"/>
      <c r="AP294" s="646"/>
      <c r="AQ294" s="271"/>
      <c r="AR294" s="646"/>
      <c r="AS294" s="270"/>
      <c r="AT294" s="646"/>
      <c r="AU294" s="646"/>
      <c r="AV294" s="646"/>
      <c r="AW294" s="270"/>
      <c r="AX294" s="646"/>
      <c r="AY294" s="270"/>
      <c r="AZ294" s="646"/>
      <c r="BA294" s="646"/>
      <c r="BB294" s="644"/>
      <c r="BC294" s="644"/>
      <c r="BD294" s="644"/>
      <c r="BE294" s="644"/>
      <c r="BF294" s="644"/>
      <c r="BG294" s="644"/>
      <c r="BH294" s="644"/>
      <c r="BI294" s="644"/>
      <c r="BJ294" s="644"/>
      <c r="BK294" s="644"/>
      <c r="BL294" s="644"/>
      <c r="BM294" s="95"/>
      <c r="BN294" s="644"/>
      <c r="BO294" s="95"/>
      <c r="BP294" s="644"/>
      <c r="BQ294" s="644"/>
      <c r="BR294" s="644"/>
      <c r="BS294" s="644"/>
      <c r="BT294" s="644"/>
      <c r="BU294" s="644"/>
      <c r="BV294" s="644"/>
      <c r="BW294" s="644"/>
      <c r="BX294" s="644"/>
      <c r="BY294" s="644"/>
      <c r="BZ294" s="644"/>
      <c r="CA294" s="644"/>
      <c r="CB294" s="644"/>
      <c r="CC294" s="644"/>
      <c r="CD294" s="644"/>
      <c r="CE294" s="644"/>
      <c r="CF294" s="644"/>
      <c r="CG294" s="644"/>
      <c r="CH294" s="644"/>
      <c r="CI294" s="644"/>
      <c r="CJ294" s="644"/>
      <c r="CK294" s="644"/>
      <c r="CL294" s="644"/>
      <c r="CM294" s="95"/>
      <c r="CN294" s="644"/>
      <c r="CO294" s="644"/>
      <c r="CP294" s="95"/>
      <c r="CQ294" s="98"/>
      <c r="CR294" s="95"/>
      <c r="CS294" s="95"/>
      <c r="CT294" s="95"/>
      <c r="CU294" s="108"/>
      <c r="CV294" s="109"/>
      <c r="CW294" s="644"/>
      <c r="CX294" s="496"/>
      <c r="CY294" s="637"/>
      <c r="CZ294" s="644"/>
      <c r="DA294" s="644"/>
      <c r="DB294" s="644"/>
      <c r="DC294" s="496"/>
      <c r="DD294" s="644"/>
      <c r="DE294" s="101"/>
      <c r="DF294" s="644"/>
      <c r="DG294" s="101"/>
      <c r="DH294" s="644"/>
      <c r="DI294" s="644"/>
      <c r="DJ294" s="644"/>
      <c r="DK294" s="644"/>
      <c r="DL294" s="644"/>
      <c r="DM294" s="101"/>
      <c r="DN294" s="644"/>
      <c r="DO294" s="644"/>
      <c r="DP294" s="644"/>
      <c r="DQ294" s="644"/>
      <c r="DR294" s="644"/>
      <c r="DS294" s="644"/>
      <c r="DT294" s="644"/>
      <c r="DU294" s="644"/>
      <c r="DV294" s="644"/>
      <c r="DW294" s="101"/>
      <c r="DX294" s="646"/>
      <c r="DY294" s="646"/>
      <c r="DZ294" s="646"/>
      <c r="EA294" s="646"/>
      <c r="EB294" s="646"/>
      <c r="EC294" s="646"/>
      <c r="ED294" s="646"/>
      <c r="EE294" s="646"/>
      <c r="EF294" s="646"/>
      <c r="EG294" s="646"/>
      <c r="EH294" s="646"/>
      <c r="EI294" s="646"/>
      <c r="EJ294" s="646"/>
      <c r="EK294" s="271"/>
      <c r="EL294" s="644"/>
      <c r="EM294" s="634"/>
      <c r="EN294" s="647"/>
      <c r="EO294" s="648"/>
      <c r="EP294" s="647"/>
      <c r="EQ294" s="647"/>
      <c r="ER294" s="647"/>
      <c r="ES294" s="139"/>
      <c r="EV294" s="647"/>
      <c r="EW294" s="647"/>
      <c r="EX294" s="647"/>
      <c r="EY294" s="647"/>
      <c r="EZ294" s="647"/>
      <c r="FA294" s="646"/>
      <c r="FB294" s="646"/>
      <c r="FC294" s="646"/>
      <c r="FD294" s="646"/>
      <c r="FE294" s="646"/>
      <c r="FF294" s="646"/>
      <c r="FG294" s="647"/>
      <c r="FH294" s="647"/>
      <c r="FI294" s="647"/>
      <c r="FJ294" s="647"/>
      <c r="FK294" s="647"/>
      <c r="FL294" s="647"/>
      <c r="FM294" s="647"/>
      <c r="FN294" s="647"/>
      <c r="FO294" s="647"/>
      <c r="FP294" s="647"/>
      <c r="FQ294" s="647"/>
      <c r="FR294" s="647"/>
      <c r="FS294" s="101"/>
      <c r="FT294" s="95"/>
      <c r="FU294" s="651"/>
      <c r="FV294" s="101"/>
      <c r="FW294" s="101"/>
      <c r="FX294" s="634"/>
      <c r="FY294" s="634"/>
      <c r="FZ294" s="634"/>
      <c r="GA294" s="634"/>
      <c r="GB294" s="634"/>
      <c r="GC294" s="634"/>
      <c r="GD294" s="634"/>
      <c r="GE294" s="634"/>
      <c r="GF294" s="634"/>
      <c r="GG294" s="634"/>
      <c r="GH294" s="634"/>
      <c r="GI294" s="634"/>
      <c r="GJ294" s="634"/>
      <c r="GK294" s="634"/>
      <c r="GL294" s="101"/>
      <c r="GM294" s="101"/>
      <c r="GN294" s="101"/>
      <c r="GO294" s="643"/>
      <c r="GP294" s="644"/>
      <c r="GQ294" s="643"/>
      <c r="GR294" s="644"/>
      <c r="GS294" s="643"/>
      <c r="GT294" s="644"/>
      <c r="GU294" s="644"/>
      <c r="GV294" s="644"/>
      <c r="GW294" s="644"/>
      <c r="GX294" s="644"/>
      <c r="GY294" s="644"/>
      <c r="GZ294" s="644"/>
      <c r="HA294" s="644"/>
    </row>
    <row r="295" spans="1:209">
      <c r="A295" s="638"/>
      <c r="B295" s="95"/>
      <c r="C295" s="95"/>
      <c r="D295" s="95"/>
      <c r="E295" s="650"/>
      <c r="F295" s="95"/>
      <c r="G295" s="98"/>
      <c r="H295" s="99"/>
      <c r="I295" s="95"/>
      <c r="J295" s="95"/>
      <c r="K295" s="95"/>
      <c r="L295" s="95"/>
      <c r="M295" s="95"/>
      <c r="N295" s="95"/>
      <c r="O295" s="95"/>
      <c r="P295" s="95"/>
      <c r="Q295" s="95"/>
      <c r="R295" s="98"/>
      <c r="S295" s="101"/>
      <c r="T295" s="644"/>
      <c r="U295" s="101"/>
      <c r="V295" s="647"/>
      <c r="W295" s="643"/>
      <c r="X295" s="644"/>
      <c r="Y295" s="101"/>
      <c r="Z295" s="644"/>
      <c r="AA295" s="101"/>
      <c r="AB295" s="644"/>
      <c r="AC295" s="101"/>
      <c r="AD295" s="646"/>
      <c r="AE295" s="271"/>
      <c r="AF295" s="646"/>
      <c r="AG295" s="646"/>
      <c r="AH295" s="646"/>
      <c r="AI295" s="646"/>
      <c r="AJ295" s="646"/>
      <c r="AK295" s="646"/>
      <c r="AL295" s="646"/>
      <c r="AM295" s="271"/>
      <c r="AN295" s="646"/>
      <c r="AO295" s="646"/>
      <c r="AP295" s="646"/>
      <c r="AQ295" s="271"/>
      <c r="AR295" s="646"/>
      <c r="AS295" s="270"/>
      <c r="AT295" s="646"/>
      <c r="AU295" s="646"/>
      <c r="AV295" s="646"/>
      <c r="AW295" s="270"/>
      <c r="AX295" s="646"/>
      <c r="AY295" s="270"/>
      <c r="AZ295" s="646"/>
      <c r="BA295" s="646"/>
      <c r="BB295" s="644"/>
      <c r="BC295" s="644"/>
      <c r="BD295" s="644"/>
      <c r="BE295" s="644"/>
      <c r="BF295" s="644"/>
      <c r="BG295" s="644"/>
      <c r="BH295" s="644"/>
      <c r="BI295" s="644"/>
      <c r="BJ295" s="644"/>
      <c r="BK295" s="644"/>
      <c r="BL295" s="644"/>
      <c r="BM295" s="95"/>
      <c r="BN295" s="644"/>
      <c r="BO295" s="95"/>
      <c r="BP295" s="644"/>
      <c r="BQ295" s="644"/>
      <c r="BR295" s="644"/>
      <c r="BS295" s="644"/>
      <c r="BT295" s="644"/>
      <c r="BU295" s="644"/>
      <c r="BV295" s="644"/>
      <c r="BW295" s="644"/>
      <c r="BX295" s="644"/>
      <c r="BY295" s="644"/>
      <c r="BZ295" s="644"/>
      <c r="CA295" s="644"/>
      <c r="CB295" s="644"/>
      <c r="CC295" s="644"/>
      <c r="CD295" s="644"/>
      <c r="CE295" s="644"/>
      <c r="CF295" s="644"/>
      <c r="CG295" s="644"/>
      <c r="CH295" s="644"/>
      <c r="CI295" s="644"/>
      <c r="CJ295" s="644"/>
      <c r="CK295" s="644"/>
      <c r="CL295" s="644"/>
      <c r="CM295" s="95"/>
      <c r="CN295" s="644"/>
      <c r="CO295" s="644"/>
      <c r="CP295" s="95"/>
      <c r="CQ295" s="98"/>
      <c r="CR295" s="95"/>
      <c r="CS295" s="95"/>
      <c r="CT295" s="95"/>
      <c r="CU295" s="108"/>
      <c r="CV295" s="109"/>
      <c r="CW295" s="644"/>
      <c r="CX295" s="496"/>
      <c r="CY295" s="637"/>
      <c r="CZ295" s="644"/>
      <c r="DA295" s="644"/>
      <c r="DB295" s="644"/>
      <c r="DC295" s="496"/>
      <c r="DD295" s="644"/>
      <c r="DE295" s="101"/>
      <c r="DF295" s="644"/>
      <c r="DG295" s="101"/>
      <c r="DH295" s="644"/>
      <c r="DI295" s="644"/>
      <c r="DJ295" s="644"/>
      <c r="DK295" s="644"/>
      <c r="DL295" s="644"/>
      <c r="DM295" s="101"/>
      <c r="DN295" s="644"/>
      <c r="DO295" s="644"/>
      <c r="DP295" s="644"/>
      <c r="DQ295" s="644"/>
      <c r="DR295" s="644"/>
      <c r="DS295" s="644"/>
      <c r="DT295" s="644"/>
      <c r="DU295" s="644"/>
      <c r="DV295" s="644"/>
      <c r="DW295" s="101"/>
      <c r="DX295" s="646"/>
      <c r="DY295" s="646"/>
      <c r="DZ295" s="646"/>
      <c r="EA295" s="646"/>
      <c r="EB295" s="646"/>
      <c r="EC295" s="646"/>
      <c r="ED295" s="646"/>
      <c r="EE295" s="646"/>
      <c r="EF295" s="646"/>
      <c r="EG295" s="646"/>
      <c r="EH295" s="646"/>
      <c r="EI295" s="646"/>
      <c r="EJ295" s="646"/>
      <c r="EK295" s="271"/>
      <c r="EL295" s="644"/>
      <c r="EM295" s="634"/>
      <c r="EN295" s="647"/>
      <c r="EO295" s="648"/>
      <c r="EP295" s="647"/>
      <c r="EQ295" s="647"/>
      <c r="ER295" s="647"/>
      <c r="ES295" s="139"/>
      <c r="EV295" s="647"/>
      <c r="EW295" s="647"/>
      <c r="EX295" s="647"/>
      <c r="EY295" s="647"/>
      <c r="EZ295" s="647"/>
      <c r="FA295" s="646"/>
      <c r="FB295" s="646"/>
      <c r="FC295" s="646"/>
      <c r="FD295" s="646"/>
      <c r="FE295" s="646"/>
      <c r="FF295" s="646"/>
      <c r="FG295" s="647"/>
      <c r="FH295" s="647"/>
      <c r="FI295" s="647"/>
      <c r="FJ295" s="647"/>
      <c r="FK295" s="647"/>
      <c r="FL295" s="647"/>
      <c r="FM295" s="647"/>
      <c r="FN295" s="647"/>
      <c r="FO295" s="647"/>
      <c r="FP295" s="647"/>
      <c r="FQ295" s="647"/>
      <c r="FR295" s="647"/>
      <c r="FS295" s="101"/>
      <c r="FT295" s="95"/>
      <c r="FU295" s="651"/>
      <c r="FV295" s="101"/>
      <c r="FW295" s="101"/>
      <c r="FX295" s="634"/>
      <c r="FY295" s="634"/>
      <c r="FZ295" s="634"/>
      <c r="GA295" s="634"/>
      <c r="GB295" s="634"/>
      <c r="GC295" s="634"/>
      <c r="GD295" s="634"/>
      <c r="GE295" s="634"/>
      <c r="GF295" s="634"/>
      <c r="GG295" s="634"/>
      <c r="GH295" s="634"/>
      <c r="GI295" s="634"/>
      <c r="GJ295" s="634"/>
      <c r="GK295" s="634"/>
      <c r="GL295" s="101"/>
      <c r="GM295" s="101"/>
      <c r="GN295" s="101"/>
      <c r="GO295" s="643"/>
      <c r="GP295" s="644"/>
      <c r="GQ295" s="643"/>
      <c r="GR295" s="644"/>
      <c r="GS295" s="643"/>
      <c r="GT295" s="644"/>
      <c r="GU295" s="644"/>
      <c r="GV295" s="644"/>
      <c r="GW295" s="644"/>
      <c r="GX295" s="644"/>
      <c r="GY295" s="644"/>
      <c r="GZ295" s="644"/>
      <c r="HA295" s="644"/>
    </row>
    <row r="296" spans="1:209">
      <c r="A296" s="638"/>
      <c r="B296" s="95"/>
      <c r="C296" s="95"/>
      <c r="D296" s="95"/>
      <c r="E296" s="650"/>
      <c r="F296" s="95"/>
      <c r="G296" s="98"/>
      <c r="H296" s="99"/>
      <c r="I296" s="95"/>
      <c r="J296" s="95"/>
      <c r="K296" s="95"/>
      <c r="L296" s="95"/>
      <c r="M296" s="95"/>
      <c r="N296" s="95"/>
      <c r="O296" s="95"/>
      <c r="P296" s="95"/>
      <c r="Q296" s="95"/>
      <c r="R296" s="98"/>
      <c r="S296" s="101"/>
      <c r="T296" s="644"/>
      <c r="U296" s="101"/>
      <c r="V296" s="647"/>
      <c r="W296" s="643"/>
      <c r="X296" s="644"/>
      <c r="Y296" s="101"/>
      <c r="Z296" s="644"/>
      <c r="AA296" s="101"/>
      <c r="AB296" s="644"/>
      <c r="AC296" s="101"/>
      <c r="AD296" s="646"/>
      <c r="AE296" s="271"/>
      <c r="AF296" s="646"/>
      <c r="AG296" s="646"/>
      <c r="AH296" s="646"/>
      <c r="AI296" s="646"/>
      <c r="AJ296" s="646"/>
      <c r="AK296" s="646"/>
      <c r="AL296" s="646"/>
      <c r="AM296" s="271"/>
      <c r="AN296" s="646"/>
      <c r="AO296" s="646"/>
      <c r="AP296" s="646"/>
      <c r="AQ296" s="271"/>
      <c r="AR296" s="646"/>
      <c r="AS296" s="270"/>
      <c r="AT296" s="646"/>
      <c r="AU296" s="646"/>
      <c r="AV296" s="646"/>
      <c r="AW296" s="270"/>
      <c r="AX296" s="646"/>
      <c r="AY296" s="270"/>
      <c r="AZ296" s="646"/>
      <c r="BA296" s="646"/>
      <c r="BB296" s="644"/>
      <c r="BC296" s="644"/>
      <c r="BD296" s="644"/>
      <c r="BE296" s="644"/>
      <c r="BF296" s="644"/>
      <c r="BG296" s="644"/>
      <c r="BH296" s="644"/>
      <c r="BI296" s="644"/>
      <c r="BJ296" s="644"/>
      <c r="BK296" s="644"/>
      <c r="BL296" s="644"/>
      <c r="BM296" s="95"/>
      <c r="BN296" s="644"/>
      <c r="BO296" s="95"/>
      <c r="BP296" s="644"/>
      <c r="BQ296" s="644"/>
      <c r="BR296" s="644"/>
      <c r="BS296" s="644"/>
      <c r="BT296" s="644"/>
      <c r="BU296" s="644"/>
      <c r="BV296" s="644"/>
      <c r="BW296" s="644"/>
      <c r="BX296" s="644"/>
      <c r="BY296" s="644"/>
      <c r="BZ296" s="644"/>
      <c r="CA296" s="644"/>
      <c r="CB296" s="644"/>
      <c r="CC296" s="644"/>
      <c r="CD296" s="644"/>
      <c r="CE296" s="644"/>
      <c r="CF296" s="644"/>
      <c r="CG296" s="644"/>
      <c r="CH296" s="644"/>
      <c r="CI296" s="644"/>
      <c r="CJ296" s="644"/>
      <c r="CK296" s="644"/>
      <c r="CL296" s="644"/>
      <c r="CM296" s="95"/>
      <c r="CN296" s="644"/>
      <c r="CO296" s="644"/>
      <c r="CP296" s="95"/>
      <c r="CQ296" s="98"/>
      <c r="CR296" s="95"/>
      <c r="CS296" s="95"/>
      <c r="CT296" s="95"/>
      <c r="CU296" s="108"/>
      <c r="CV296" s="109"/>
      <c r="CW296" s="644"/>
      <c r="CX296" s="496"/>
      <c r="CY296" s="637"/>
      <c r="CZ296" s="644"/>
      <c r="DA296" s="644"/>
      <c r="DB296" s="644"/>
      <c r="DC296" s="496"/>
      <c r="DD296" s="644"/>
      <c r="DE296" s="101"/>
      <c r="DF296" s="644"/>
      <c r="DG296" s="101"/>
      <c r="DH296" s="644"/>
      <c r="DI296" s="644"/>
      <c r="DJ296" s="644"/>
      <c r="DK296" s="644"/>
      <c r="DL296" s="644"/>
      <c r="DM296" s="101"/>
      <c r="DN296" s="644"/>
      <c r="DO296" s="644"/>
      <c r="DP296" s="644"/>
      <c r="DQ296" s="644"/>
      <c r="DR296" s="644"/>
      <c r="DS296" s="644"/>
      <c r="DT296" s="644"/>
      <c r="DU296" s="644"/>
      <c r="DV296" s="644"/>
      <c r="DW296" s="101"/>
      <c r="DX296" s="646"/>
      <c r="DY296" s="646"/>
      <c r="DZ296" s="646"/>
      <c r="EA296" s="646"/>
      <c r="EB296" s="646"/>
      <c r="EC296" s="646"/>
      <c r="ED296" s="646"/>
      <c r="EE296" s="646"/>
      <c r="EF296" s="646"/>
      <c r="EG296" s="646"/>
      <c r="EH296" s="646"/>
      <c r="EI296" s="646"/>
      <c r="EJ296" s="646"/>
      <c r="EK296" s="271"/>
      <c r="EL296" s="644"/>
      <c r="EM296" s="634"/>
      <c r="EN296" s="647"/>
      <c r="EO296" s="648"/>
      <c r="EP296" s="647"/>
      <c r="EQ296" s="647"/>
      <c r="ER296" s="647"/>
      <c r="ES296" s="139"/>
      <c r="EV296" s="647"/>
      <c r="EW296" s="647"/>
      <c r="EX296" s="647"/>
      <c r="EY296" s="647"/>
      <c r="EZ296" s="647"/>
      <c r="FA296" s="646"/>
      <c r="FB296" s="646"/>
      <c r="FC296" s="646"/>
      <c r="FD296" s="646"/>
      <c r="FE296" s="646"/>
      <c r="FF296" s="646"/>
      <c r="FG296" s="647"/>
      <c r="FH296" s="647"/>
      <c r="FI296" s="647"/>
      <c r="FJ296" s="647"/>
      <c r="FK296" s="647"/>
      <c r="FL296" s="647"/>
      <c r="FM296" s="647"/>
      <c r="FN296" s="647"/>
      <c r="FO296" s="647"/>
      <c r="FP296" s="647"/>
      <c r="FQ296" s="647"/>
      <c r="FR296" s="647"/>
      <c r="FS296" s="101"/>
      <c r="FT296" s="95"/>
      <c r="FU296" s="651"/>
      <c r="FV296" s="101"/>
      <c r="FW296" s="101"/>
      <c r="FX296" s="634"/>
      <c r="FY296" s="634"/>
      <c r="FZ296" s="634"/>
      <c r="GA296" s="634"/>
      <c r="GB296" s="634"/>
      <c r="GC296" s="634"/>
      <c r="GD296" s="634"/>
      <c r="GE296" s="634"/>
      <c r="GF296" s="634"/>
      <c r="GG296" s="634"/>
      <c r="GH296" s="634"/>
      <c r="GI296" s="634"/>
      <c r="GJ296" s="634"/>
      <c r="GK296" s="634"/>
      <c r="GL296" s="101"/>
      <c r="GM296" s="101"/>
      <c r="GN296" s="101"/>
      <c r="GO296" s="643"/>
      <c r="GP296" s="644"/>
      <c r="GQ296" s="643"/>
      <c r="GR296" s="644"/>
      <c r="GS296" s="643"/>
      <c r="GT296" s="644"/>
      <c r="GU296" s="644"/>
      <c r="GV296" s="644"/>
      <c r="GW296" s="644"/>
      <c r="GX296" s="644"/>
      <c r="GY296" s="644"/>
      <c r="GZ296" s="644"/>
      <c r="HA296" s="644"/>
    </row>
    <row r="297" spans="1:209">
      <c r="A297" s="638"/>
      <c r="B297" s="95"/>
      <c r="C297" s="95"/>
      <c r="D297" s="95"/>
      <c r="E297" s="650"/>
      <c r="F297" s="95"/>
      <c r="G297" s="98"/>
      <c r="H297" s="99"/>
      <c r="I297" s="95"/>
      <c r="J297" s="95"/>
      <c r="K297" s="95"/>
      <c r="L297" s="95"/>
      <c r="M297" s="95"/>
      <c r="N297" s="95"/>
      <c r="O297" s="95"/>
      <c r="P297" s="95"/>
      <c r="Q297" s="95"/>
      <c r="R297" s="98"/>
      <c r="S297" s="101"/>
      <c r="T297" s="644"/>
      <c r="U297" s="101"/>
      <c r="V297" s="647"/>
      <c r="W297" s="643"/>
      <c r="X297" s="644"/>
      <c r="Y297" s="101"/>
      <c r="Z297" s="644"/>
      <c r="AA297" s="101"/>
      <c r="AB297" s="644"/>
      <c r="AC297" s="101"/>
      <c r="AD297" s="646"/>
      <c r="AE297" s="271"/>
      <c r="AF297" s="646"/>
      <c r="AG297" s="646"/>
      <c r="AH297" s="646"/>
      <c r="AI297" s="646"/>
      <c r="AJ297" s="646"/>
      <c r="AK297" s="646"/>
      <c r="AL297" s="646"/>
      <c r="AM297" s="271"/>
      <c r="AN297" s="646"/>
      <c r="AO297" s="646"/>
      <c r="AP297" s="646"/>
      <c r="AQ297" s="271"/>
      <c r="AR297" s="646"/>
      <c r="AS297" s="270"/>
      <c r="AT297" s="646"/>
      <c r="AU297" s="646"/>
      <c r="AV297" s="646"/>
      <c r="AW297" s="270"/>
      <c r="AX297" s="646"/>
      <c r="AY297" s="270"/>
      <c r="AZ297" s="646"/>
      <c r="BA297" s="646"/>
      <c r="BB297" s="644"/>
      <c r="BC297" s="644"/>
      <c r="BD297" s="644"/>
      <c r="BE297" s="644"/>
      <c r="BF297" s="644"/>
      <c r="BG297" s="644"/>
      <c r="BH297" s="644"/>
      <c r="BI297" s="644"/>
      <c r="BJ297" s="644"/>
      <c r="BK297" s="644"/>
      <c r="BL297" s="644"/>
      <c r="BM297" s="95"/>
      <c r="BN297" s="644"/>
      <c r="BO297" s="95"/>
      <c r="BP297" s="644"/>
      <c r="BQ297" s="644"/>
      <c r="BR297" s="644"/>
      <c r="BS297" s="644"/>
      <c r="BT297" s="644"/>
      <c r="BU297" s="644"/>
      <c r="BV297" s="644"/>
      <c r="BW297" s="644"/>
      <c r="BX297" s="644"/>
      <c r="BY297" s="644"/>
      <c r="BZ297" s="644"/>
      <c r="CA297" s="644"/>
      <c r="CB297" s="644"/>
      <c r="CC297" s="644"/>
      <c r="CD297" s="644"/>
      <c r="CE297" s="644"/>
      <c r="CF297" s="644"/>
      <c r="CG297" s="644"/>
      <c r="CH297" s="644"/>
      <c r="CI297" s="644"/>
      <c r="CJ297" s="644"/>
      <c r="CK297" s="644"/>
      <c r="CL297" s="644"/>
      <c r="CM297" s="95"/>
      <c r="CN297" s="644"/>
      <c r="CO297" s="644"/>
      <c r="CP297" s="95"/>
      <c r="CQ297" s="98"/>
      <c r="CR297" s="95"/>
      <c r="CS297" s="95"/>
      <c r="CT297" s="95"/>
      <c r="CU297" s="108"/>
      <c r="CV297" s="109"/>
      <c r="CW297" s="644"/>
      <c r="CX297" s="496"/>
      <c r="CY297" s="637"/>
      <c r="CZ297" s="644"/>
      <c r="DA297" s="644"/>
      <c r="DB297" s="644"/>
      <c r="DC297" s="496"/>
      <c r="DD297" s="644"/>
      <c r="DE297" s="101"/>
      <c r="DF297" s="644"/>
      <c r="DG297" s="101"/>
      <c r="DH297" s="644"/>
      <c r="DI297" s="644"/>
      <c r="DJ297" s="644"/>
      <c r="DK297" s="644"/>
      <c r="DL297" s="644"/>
      <c r="DM297" s="101"/>
      <c r="DN297" s="644"/>
      <c r="DO297" s="644"/>
      <c r="DP297" s="644"/>
      <c r="DQ297" s="644"/>
      <c r="DR297" s="644"/>
      <c r="DS297" s="644"/>
      <c r="DT297" s="644"/>
      <c r="DU297" s="644"/>
      <c r="DV297" s="644"/>
      <c r="DW297" s="101"/>
      <c r="DX297" s="646"/>
      <c r="DY297" s="646"/>
      <c r="DZ297" s="646"/>
      <c r="EA297" s="646"/>
      <c r="EB297" s="646"/>
      <c r="EC297" s="646"/>
      <c r="ED297" s="646"/>
      <c r="EE297" s="646"/>
      <c r="EF297" s="646"/>
      <c r="EG297" s="646"/>
      <c r="EH297" s="646"/>
      <c r="EI297" s="646"/>
      <c r="EJ297" s="646"/>
      <c r="EK297" s="271"/>
      <c r="EL297" s="644"/>
      <c r="EM297" s="634"/>
      <c r="EN297" s="647"/>
      <c r="EO297" s="648"/>
      <c r="EP297" s="647"/>
      <c r="EQ297" s="647"/>
      <c r="ER297" s="647"/>
      <c r="ES297" s="139"/>
      <c r="EV297" s="647"/>
      <c r="EW297" s="647"/>
      <c r="EX297" s="647"/>
      <c r="EY297" s="647"/>
      <c r="EZ297" s="647"/>
      <c r="FA297" s="646"/>
      <c r="FB297" s="646"/>
      <c r="FC297" s="646"/>
      <c r="FD297" s="646"/>
      <c r="FE297" s="646"/>
      <c r="FF297" s="646"/>
      <c r="FG297" s="647"/>
      <c r="FH297" s="647"/>
      <c r="FI297" s="647"/>
      <c r="FJ297" s="647"/>
      <c r="FK297" s="647"/>
      <c r="FL297" s="647"/>
      <c r="FM297" s="647"/>
      <c r="FN297" s="647"/>
      <c r="FO297" s="647"/>
      <c r="FP297" s="647"/>
      <c r="FQ297" s="647"/>
      <c r="FR297" s="647"/>
      <c r="FS297" s="101"/>
      <c r="FT297" s="95"/>
      <c r="FU297" s="651"/>
      <c r="FV297" s="101"/>
      <c r="FW297" s="101"/>
      <c r="FX297" s="634"/>
      <c r="FY297" s="634"/>
      <c r="FZ297" s="634"/>
      <c r="GA297" s="634"/>
      <c r="GB297" s="634"/>
      <c r="GC297" s="634"/>
      <c r="GD297" s="634"/>
      <c r="GE297" s="634"/>
      <c r="GF297" s="634"/>
      <c r="GG297" s="634"/>
      <c r="GH297" s="634"/>
      <c r="GI297" s="634"/>
      <c r="GJ297" s="634"/>
      <c r="GK297" s="634"/>
      <c r="GL297" s="101"/>
      <c r="GM297" s="101"/>
      <c r="GN297" s="101"/>
      <c r="GO297" s="643"/>
      <c r="GP297" s="644"/>
      <c r="GQ297" s="643"/>
      <c r="GR297" s="644"/>
      <c r="GS297" s="643"/>
      <c r="GT297" s="644"/>
      <c r="GU297" s="644"/>
      <c r="GV297" s="644"/>
      <c r="GW297" s="644"/>
      <c r="GX297" s="644"/>
      <c r="GY297" s="644"/>
      <c r="GZ297" s="644"/>
      <c r="HA297" s="644"/>
    </row>
    <row r="298" spans="1:209">
      <c r="A298" s="638"/>
      <c r="B298" s="95"/>
      <c r="C298" s="95"/>
      <c r="D298" s="95"/>
      <c r="E298" s="650"/>
      <c r="F298" s="95"/>
      <c r="G298" s="98"/>
      <c r="H298" s="99"/>
      <c r="I298" s="95"/>
      <c r="J298" s="95"/>
      <c r="K298" s="95"/>
      <c r="L298" s="95"/>
      <c r="M298" s="95"/>
      <c r="N298" s="95"/>
      <c r="O298" s="95"/>
      <c r="P298" s="95"/>
      <c r="Q298" s="95"/>
      <c r="R298" s="98"/>
      <c r="S298" s="101"/>
      <c r="T298" s="644"/>
      <c r="U298" s="101"/>
      <c r="V298" s="647"/>
      <c r="W298" s="643"/>
      <c r="X298" s="644"/>
      <c r="Y298" s="101"/>
      <c r="Z298" s="644"/>
      <c r="AA298" s="101"/>
      <c r="AB298" s="644"/>
      <c r="AC298" s="101"/>
      <c r="AD298" s="646"/>
      <c r="AE298" s="271"/>
      <c r="AF298" s="646"/>
      <c r="AG298" s="646"/>
      <c r="AH298" s="646"/>
      <c r="AI298" s="646"/>
      <c r="AJ298" s="646"/>
      <c r="AK298" s="646"/>
      <c r="AL298" s="646"/>
      <c r="AM298" s="271"/>
      <c r="AN298" s="646"/>
      <c r="AO298" s="646"/>
      <c r="AP298" s="646"/>
      <c r="AQ298" s="271"/>
      <c r="AR298" s="646"/>
      <c r="AS298" s="270"/>
      <c r="AT298" s="646"/>
      <c r="AU298" s="646"/>
      <c r="AV298" s="646"/>
      <c r="AW298" s="270"/>
      <c r="AX298" s="646"/>
      <c r="AY298" s="270"/>
      <c r="AZ298" s="646"/>
      <c r="BA298" s="646"/>
      <c r="BB298" s="644"/>
      <c r="BC298" s="644"/>
      <c r="BD298" s="644"/>
      <c r="BE298" s="644"/>
      <c r="BF298" s="644"/>
      <c r="BG298" s="644"/>
      <c r="BH298" s="644"/>
      <c r="BI298" s="644"/>
      <c r="BJ298" s="644"/>
      <c r="BK298" s="644"/>
      <c r="BL298" s="644"/>
      <c r="BM298" s="95"/>
      <c r="BN298" s="644"/>
      <c r="BO298" s="95"/>
      <c r="BP298" s="644"/>
      <c r="BQ298" s="644"/>
      <c r="BR298" s="644"/>
      <c r="BS298" s="644"/>
      <c r="BT298" s="644"/>
      <c r="BU298" s="644"/>
      <c r="BV298" s="644"/>
      <c r="BW298" s="644"/>
      <c r="BX298" s="644"/>
      <c r="BY298" s="644"/>
      <c r="BZ298" s="644"/>
      <c r="CA298" s="644"/>
      <c r="CB298" s="644"/>
      <c r="CC298" s="644"/>
      <c r="CD298" s="644"/>
      <c r="CE298" s="644"/>
      <c r="CF298" s="644"/>
      <c r="CG298" s="644"/>
      <c r="CH298" s="644"/>
      <c r="CI298" s="644"/>
      <c r="CJ298" s="644"/>
      <c r="CK298" s="644"/>
      <c r="CL298" s="644"/>
      <c r="CM298" s="95"/>
      <c r="CN298" s="644"/>
      <c r="CO298" s="644"/>
      <c r="CP298" s="95"/>
      <c r="CQ298" s="98"/>
      <c r="CR298" s="95"/>
      <c r="CS298" s="95"/>
      <c r="CT298" s="95"/>
      <c r="CU298" s="108"/>
      <c r="CV298" s="109"/>
      <c r="CW298" s="644"/>
      <c r="CX298" s="496"/>
      <c r="CY298" s="637"/>
      <c r="CZ298" s="644"/>
      <c r="DA298" s="644"/>
      <c r="DB298" s="644"/>
      <c r="DC298" s="496"/>
      <c r="DD298" s="644"/>
      <c r="DE298" s="101"/>
      <c r="DF298" s="644"/>
      <c r="DG298" s="101"/>
      <c r="DH298" s="644"/>
      <c r="DI298" s="644"/>
      <c r="DJ298" s="644"/>
      <c r="DK298" s="644"/>
      <c r="DL298" s="644"/>
      <c r="DM298" s="101"/>
      <c r="DN298" s="644"/>
      <c r="DO298" s="644"/>
      <c r="DP298" s="644"/>
      <c r="DQ298" s="644"/>
      <c r="DR298" s="644"/>
      <c r="DS298" s="644"/>
      <c r="DT298" s="644"/>
      <c r="DU298" s="644"/>
      <c r="DV298" s="644"/>
      <c r="DW298" s="101"/>
      <c r="DX298" s="646"/>
      <c r="DY298" s="646"/>
      <c r="DZ298" s="646"/>
      <c r="EA298" s="646"/>
      <c r="EB298" s="646"/>
      <c r="EC298" s="646"/>
      <c r="ED298" s="646"/>
      <c r="EE298" s="646"/>
      <c r="EF298" s="646"/>
      <c r="EG298" s="646"/>
      <c r="EH298" s="646"/>
      <c r="EI298" s="646"/>
      <c r="EJ298" s="646"/>
      <c r="EK298" s="271"/>
      <c r="EL298" s="644"/>
      <c r="EM298" s="634"/>
      <c r="EN298" s="647"/>
      <c r="EO298" s="648"/>
      <c r="EP298" s="647"/>
      <c r="EQ298" s="647"/>
      <c r="ER298" s="647"/>
      <c r="ES298" s="139"/>
      <c r="EV298" s="647"/>
      <c r="EW298" s="647"/>
      <c r="EX298" s="647"/>
      <c r="EY298" s="647"/>
      <c r="EZ298" s="647"/>
      <c r="FA298" s="646"/>
      <c r="FB298" s="646"/>
      <c r="FC298" s="646"/>
      <c r="FD298" s="646"/>
      <c r="FE298" s="646"/>
      <c r="FF298" s="646"/>
      <c r="FG298" s="647"/>
      <c r="FH298" s="647"/>
      <c r="FI298" s="647"/>
      <c r="FJ298" s="647"/>
      <c r="FK298" s="647"/>
      <c r="FL298" s="647"/>
      <c r="FM298" s="647"/>
      <c r="FN298" s="647"/>
      <c r="FO298" s="647"/>
      <c r="FP298" s="647"/>
      <c r="FQ298" s="647"/>
      <c r="FR298" s="647"/>
      <c r="FS298" s="101"/>
      <c r="FT298" s="95"/>
      <c r="FU298" s="651"/>
      <c r="FV298" s="101"/>
      <c r="FW298" s="101"/>
      <c r="FX298" s="634"/>
      <c r="FY298" s="634"/>
      <c r="FZ298" s="634"/>
      <c r="GA298" s="634"/>
      <c r="GB298" s="634"/>
      <c r="GC298" s="634"/>
      <c r="GD298" s="634"/>
      <c r="GE298" s="634"/>
      <c r="GF298" s="634"/>
      <c r="GG298" s="634"/>
      <c r="GH298" s="634"/>
      <c r="GI298" s="634"/>
      <c r="GJ298" s="634"/>
      <c r="GK298" s="634"/>
      <c r="GL298" s="101"/>
      <c r="GM298" s="101"/>
      <c r="GN298" s="101"/>
      <c r="GO298" s="643"/>
      <c r="GP298" s="644"/>
      <c r="GQ298" s="643"/>
      <c r="GR298" s="644"/>
      <c r="GS298" s="643"/>
      <c r="GT298" s="644"/>
      <c r="GU298" s="644"/>
      <c r="GV298" s="644"/>
      <c r="GW298" s="644"/>
      <c r="GX298" s="644"/>
      <c r="GY298" s="644"/>
      <c r="GZ298" s="644"/>
      <c r="HA298" s="644"/>
    </row>
    <row r="299" spans="1:209">
      <c r="A299" s="638"/>
      <c r="B299" s="95"/>
      <c r="C299" s="95"/>
      <c r="D299" s="95"/>
      <c r="E299" s="650"/>
      <c r="F299" s="95"/>
      <c r="G299" s="98"/>
      <c r="H299" s="99"/>
      <c r="I299" s="95"/>
      <c r="J299" s="95"/>
      <c r="K299" s="95"/>
      <c r="L299" s="95"/>
      <c r="M299" s="95"/>
      <c r="N299" s="95"/>
      <c r="O299" s="95"/>
      <c r="P299" s="95"/>
      <c r="Q299" s="95"/>
      <c r="R299" s="98"/>
      <c r="S299" s="101"/>
      <c r="T299" s="644"/>
      <c r="U299" s="101"/>
      <c r="V299" s="647"/>
      <c r="W299" s="643"/>
      <c r="X299" s="644"/>
      <c r="Y299" s="101"/>
      <c r="Z299" s="644"/>
      <c r="AA299" s="101"/>
      <c r="AB299" s="644"/>
      <c r="AC299" s="101"/>
      <c r="AD299" s="646"/>
      <c r="AE299" s="271"/>
      <c r="AF299" s="646"/>
      <c r="AG299" s="646"/>
      <c r="AH299" s="646"/>
      <c r="AI299" s="646"/>
      <c r="AJ299" s="646"/>
      <c r="AK299" s="646"/>
      <c r="AL299" s="646"/>
      <c r="AM299" s="271"/>
      <c r="AN299" s="646"/>
      <c r="AO299" s="646"/>
      <c r="AP299" s="646"/>
      <c r="AQ299" s="271"/>
      <c r="AR299" s="646"/>
      <c r="AS299" s="270"/>
      <c r="AT299" s="646"/>
      <c r="AU299" s="646"/>
      <c r="AV299" s="646"/>
      <c r="AW299" s="270"/>
      <c r="AX299" s="646"/>
      <c r="AY299" s="270"/>
      <c r="AZ299" s="646"/>
      <c r="BA299" s="646"/>
      <c r="BB299" s="644"/>
      <c r="BC299" s="644"/>
      <c r="BD299" s="644"/>
      <c r="BE299" s="644"/>
      <c r="BF299" s="644"/>
      <c r="BG299" s="644"/>
      <c r="BH299" s="644"/>
      <c r="BI299" s="644"/>
      <c r="BJ299" s="644"/>
      <c r="BK299" s="644"/>
      <c r="BL299" s="644"/>
      <c r="BM299" s="95"/>
      <c r="BN299" s="644"/>
      <c r="BO299" s="95"/>
      <c r="BP299" s="644"/>
      <c r="BQ299" s="644"/>
      <c r="BR299" s="644"/>
      <c r="BS299" s="644"/>
      <c r="BT299" s="644"/>
      <c r="BU299" s="644"/>
      <c r="BV299" s="644"/>
      <c r="BW299" s="644"/>
      <c r="BX299" s="644"/>
      <c r="BY299" s="644"/>
      <c r="BZ299" s="644"/>
      <c r="CA299" s="644"/>
      <c r="CB299" s="644"/>
      <c r="CC299" s="644"/>
      <c r="CD299" s="644"/>
      <c r="CE299" s="644"/>
      <c r="CF299" s="644"/>
      <c r="CG299" s="644"/>
      <c r="CH299" s="644"/>
      <c r="CI299" s="644"/>
      <c r="CJ299" s="644"/>
      <c r="CK299" s="644"/>
      <c r="CL299" s="644"/>
      <c r="CM299" s="95"/>
      <c r="CN299" s="644"/>
      <c r="CO299" s="644"/>
      <c r="CP299" s="95"/>
      <c r="CQ299" s="98"/>
      <c r="CR299" s="95"/>
      <c r="CS299" s="95"/>
      <c r="CT299" s="95"/>
      <c r="CU299" s="108"/>
      <c r="CV299" s="109"/>
      <c r="CW299" s="644"/>
      <c r="CX299" s="496"/>
      <c r="CY299" s="637"/>
      <c r="CZ299" s="644"/>
      <c r="DA299" s="644"/>
      <c r="DB299" s="644"/>
      <c r="DC299" s="496"/>
      <c r="DD299" s="644"/>
      <c r="DE299" s="101"/>
      <c r="DF299" s="644"/>
      <c r="DG299" s="101"/>
      <c r="DH299" s="644"/>
      <c r="DI299" s="644"/>
      <c r="DJ299" s="644"/>
      <c r="DK299" s="644"/>
      <c r="DL299" s="644"/>
      <c r="DM299" s="101"/>
      <c r="DN299" s="644"/>
      <c r="DO299" s="644"/>
      <c r="DP299" s="644"/>
      <c r="DQ299" s="644"/>
      <c r="DR299" s="644"/>
      <c r="DS299" s="644"/>
      <c r="DT299" s="644"/>
      <c r="DU299" s="644"/>
      <c r="DV299" s="644"/>
      <c r="DW299" s="101"/>
      <c r="DX299" s="646"/>
      <c r="DY299" s="646"/>
      <c r="DZ299" s="646"/>
      <c r="EA299" s="646"/>
      <c r="EB299" s="646"/>
      <c r="EC299" s="646"/>
      <c r="ED299" s="646"/>
      <c r="EE299" s="646"/>
      <c r="EF299" s="646"/>
      <c r="EG299" s="646"/>
      <c r="EH299" s="646"/>
      <c r="EI299" s="646"/>
      <c r="EJ299" s="646"/>
      <c r="EK299" s="271"/>
      <c r="EL299" s="644"/>
      <c r="EM299" s="634"/>
      <c r="EN299" s="647"/>
      <c r="EO299" s="648"/>
      <c r="EP299" s="647"/>
      <c r="EQ299" s="647"/>
      <c r="ER299" s="647"/>
      <c r="ES299" s="139"/>
      <c r="EV299" s="647"/>
      <c r="EW299" s="647"/>
      <c r="EX299" s="647"/>
      <c r="EY299" s="647"/>
      <c r="EZ299" s="647"/>
      <c r="FA299" s="646"/>
      <c r="FB299" s="646"/>
      <c r="FC299" s="646"/>
      <c r="FD299" s="646"/>
      <c r="FE299" s="646"/>
      <c r="FF299" s="646"/>
      <c r="FG299" s="647"/>
      <c r="FH299" s="647"/>
      <c r="FI299" s="647"/>
      <c r="FJ299" s="647"/>
      <c r="FK299" s="647"/>
      <c r="FL299" s="647"/>
      <c r="FM299" s="647"/>
      <c r="FN299" s="647"/>
      <c r="FO299" s="647"/>
      <c r="FP299" s="647"/>
      <c r="FQ299" s="647"/>
      <c r="FR299" s="647"/>
      <c r="FS299" s="101"/>
      <c r="FT299" s="95"/>
      <c r="FU299" s="651"/>
      <c r="FV299" s="101"/>
      <c r="FW299" s="101"/>
      <c r="FX299" s="634"/>
      <c r="FY299" s="634"/>
      <c r="FZ299" s="634"/>
      <c r="GA299" s="634"/>
      <c r="GB299" s="634"/>
      <c r="GC299" s="634"/>
      <c r="GD299" s="634"/>
      <c r="GE299" s="634"/>
      <c r="GF299" s="634"/>
      <c r="GG299" s="634"/>
      <c r="GH299" s="634"/>
      <c r="GI299" s="634"/>
      <c r="GJ299" s="634"/>
      <c r="GK299" s="634"/>
      <c r="GL299" s="101"/>
      <c r="GM299" s="101"/>
      <c r="GN299" s="101"/>
      <c r="GO299" s="643"/>
      <c r="GP299" s="644"/>
      <c r="GQ299" s="643"/>
      <c r="GR299" s="644"/>
      <c r="GS299" s="643"/>
      <c r="GT299" s="644"/>
      <c r="GU299" s="644"/>
      <c r="GV299" s="644"/>
      <c r="GW299" s="644"/>
      <c r="GX299" s="644"/>
      <c r="GY299" s="644"/>
      <c r="GZ299" s="644"/>
      <c r="HA299" s="644"/>
    </row>
    <row r="300" spans="1:209">
      <c r="A300" s="638"/>
      <c r="B300" s="95"/>
      <c r="C300" s="95"/>
      <c r="D300" s="95"/>
      <c r="E300" s="650"/>
      <c r="F300" s="95"/>
      <c r="G300" s="98"/>
      <c r="H300" s="99"/>
      <c r="I300" s="95"/>
      <c r="J300" s="95"/>
      <c r="K300" s="95"/>
      <c r="L300" s="95"/>
      <c r="M300" s="95"/>
      <c r="N300" s="95"/>
      <c r="O300" s="95"/>
      <c r="P300" s="95"/>
      <c r="Q300" s="95"/>
      <c r="R300" s="98"/>
      <c r="S300" s="101"/>
      <c r="T300" s="644"/>
      <c r="U300" s="101"/>
      <c r="V300" s="647"/>
      <c r="W300" s="643"/>
      <c r="X300" s="644"/>
      <c r="Y300" s="101"/>
      <c r="Z300" s="644"/>
      <c r="AA300" s="101"/>
      <c r="AB300" s="644"/>
      <c r="AC300" s="101"/>
      <c r="AD300" s="646"/>
      <c r="AE300" s="271"/>
      <c r="AF300" s="646"/>
      <c r="AG300" s="646"/>
      <c r="AH300" s="646"/>
      <c r="AI300" s="646"/>
      <c r="AJ300" s="646"/>
      <c r="AK300" s="646"/>
      <c r="AL300" s="646"/>
      <c r="AM300" s="271"/>
      <c r="AN300" s="646"/>
      <c r="AO300" s="646"/>
      <c r="AP300" s="646"/>
      <c r="AQ300" s="271"/>
      <c r="AR300" s="646"/>
      <c r="AS300" s="270"/>
      <c r="AT300" s="646"/>
      <c r="AU300" s="646"/>
      <c r="AV300" s="646"/>
      <c r="AW300" s="270"/>
      <c r="AX300" s="646"/>
      <c r="AY300" s="270"/>
      <c r="AZ300" s="646"/>
      <c r="BA300" s="646"/>
      <c r="BB300" s="644"/>
      <c r="BC300" s="644"/>
      <c r="BD300" s="644"/>
      <c r="BE300" s="644"/>
      <c r="BF300" s="644"/>
      <c r="BG300" s="644"/>
      <c r="BH300" s="644"/>
      <c r="BI300" s="644"/>
      <c r="BJ300" s="644"/>
      <c r="BK300" s="644"/>
      <c r="BL300" s="644"/>
      <c r="BM300" s="95"/>
      <c r="BN300" s="644"/>
      <c r="BO300" s="95"/>
      <c r="BP300" s="644"/>
      <c r="BQ300" s="644"/>
      <c r="BR300" s="644"/>
      <c r="BS300" s="644"/>
      <c r="BT300" s="644"/>
      <c r="BU300" s="644"/>
      <c r="BV300" s="644"/>
      <c r="BW300" s="644"/>
      <c r="BX300" s="644"/>
      <c r="BY300" s="644"/>
      <c r="BZ300" s="644"/>
      <c r="CA300" s="644"/>
      <c r="CB300" s="644"/>
      <c r="CC300" s="644"/>
      <c r="CD300" s="644"/>
      <c r="CE300" s="644"/>
      <c r="CF300" s="644"/>
      <c r="CG300" s="644"/>
      <c r="CH300" s="644"/>
      <c r="CI300" s="644"/>
      <c r="CJ300" s="644"/>
      <c r="CK300" s="644"/>
      <c r="CL300" s="644"/>
      <c r="CM300" s="95"/>
      <c r="CN300" s="644"/>
      <c r="CO300" s="644"/>
      <c r="CP300" s="95"/>
      <c r="CQ300" s="98"/>
      <c r="CR300" s="95"/>
      <c r="CS300" s="95"/>
      <c r="CT300" s="95"/>
      <c r="CU300" s="108"/>
      <c r="CV300" s="109"/>
      <c r="CW300" s="644"/>
      <c r="CX300" s="496"/>
      <c r="CY300" s="637"/>
      <c r="CZ300" s="644"/>
      <c r="DA300" s="644"/>
      <c r="DB300" s="644"/>
      <c r="DC300" s="496"/>
      <c r="DD300" s="644"/>
      <c r="DE300" s="101"/>
      <c r="DF300" s="644"/>
      <c r="DG300" s="101"/>
      <c r="DH300" s="644"/>
      <c r="DI300" s="644"/>
      <c r="DJ300" s="644"/>
      <c r="DK300" s="644"/>
      <c r="DL300" s="644"/>
      <c r="DM300" s="101"/>
      <c r="DN300" s="644"/>
      <c r="DO300" s="644"/>
      <c r="DP300" s="644"/>
      <c r="DQ300" s="644"/>
      <c r="DR300" s="644"/>
      <c r="DS300" s="644"/>
      <c r="DT300" s="644"/>
      <c r="DU300" s="644"/>
      <c r="DV300" s="644"/>
      <c r="DW300" s="101"/>
      <c r="DX300" s="646"/>
      <c r="DY300" s="646"/>
      <c r="DZ300" s="646"/>
      <c r="EA300" s="646"/>
      <c r="EB300" s="646"/>
      <c r="EC300" s="646"/>
      <c r="ED300" s="646"/>
      <c r="EE300" s="646"/>
      <c r="EF300" s="646"/>
      <c r="EG300" s="646"/>
      <c r="EH300" s="646"/>
      <c r="EI300" s="646"/>
      <c r="EJ300" s="646"/>
      <c r="EK300" s="271"/>
      <c r="EL300" s="644"/>
      <c r="EM300" s="634"/>
      <c r="EN300" s="647"/>
      <c r="EO300" s="648"/>
      <c r="EP300" s="647"/>
      <c r="EQ300" s="647"/>
      <c r="ER300" s="647"/>
      <c r="ES300" s="139"/>
      <c r="EV300" s="647"/>
      <c r="EW300" s="647"/>
      <c r="EX300" s="647"/>
      <c r="EY300" s="647"/>
      <c r="EZ300" s="647"/>
      <c r="FA300" s="646"/>
      <c r="FB300" s="646"/>
      <c r="FC300" s="646"/>
      <c r="FD300" s="646"/>
      <c r="FE300" s="646"/>
      <c r="FF300" s="646"/>
      <c r="FG300" s="647"/>
      <c r="FH300" s="647"/>
      <c r="FI300" s="647"/>
      <c r="FJ300" s="647"/>
      <c r="FK300" s="647"/>
      <c r="FL300" s="647"/>
      <c r="FM300" s="647"/>
      <c r="FN300" s="647"/>
      <c r="FO300" s="647"/>
      <c r="FP300" s="647"/>
      <c r="FQ300" s="647"/>
      <c r="FR300" s="647"/>
      <c r="FS300" s="101"/>
      <c r="FT300" s="95"/>
      <c r="FU300" s="651"/>
      <c r="FV300" s="101"/>
      <c r="FW300" s="101"/>
      <c r="FX300" s="634"/>
      <c r="FY300" s="634"/>
      <c r="FZ300" s="634"/>
      <c r="GA300" s="634"/>
      <c r="GB300" s="634"/>
      <c r="GC300" s="634"/>
      <c r="GD300" s="634"/>
      <c r="GE300" s="634"/>
      <c r="GF300" s="634"/>
      <c r="GG300" s="634"/>
      <c r="GH300" s="634"/>
      <c r="GI300" s="634"/>
      <c r="GJ300" s="634"/>
      <c r="GK300" s="634"/>
      <c r="GL300" s="101"/>
      <c r="GM300" s="101"/>
      <c r="GN300" s="101"/>
      <c r="GO300" s="643"/>
      <c r="GP300" s="644"/>
      <c r="GQ300" s="643"/>
      <c r="GR300" s="644"/>
      <c r="GS300" s="643"/>
      <c r="GT300" s="644"/>
      <c r="GU300" s="644"/>
      <c r="GV300" s="644"/>
      <c r="GW300" s="644"/>
      <c r="GX300" s="644"/>
      <c r="GY300" s="644"/>
      <c r="GZ300" s="644"/>
      <c r="HA300" s="644"/>
    </row>
    <row r="301" spans="1:209">
      <c r="A301" s="638"/>
      <c r="B301" s="95"/>
      <c r="C301" s="95"/>
      <c r="D301" s="95"/>
      <c r="E301" s="650"/>
      <c r="F301" s="95"/>
      <c r="G301" s="98"/>
      <c r="H301" s="99"/>
      <c r="I301" s="95"/>
      <c r="J301" s="95"/>
      <c r="K301" s="95"/>
      <c r="L301" s="95"/>
      <c r="M301" s="95"/>
      <c r="N301" s="95"/>
      <c r="O301" s="95"/>
      <c r="P301" s="95"/>
      <c r="Q301" s="95"/>
      <c r="R301" s="98"/>
      <c r="S301" s="101"/>
      <c r="T301" s="644"/>
      <c r="U301" s="101"/>
      <c r="V301" s="647"/>
      <c r="W301" s="643"/>
      <c r="X301" s="644"/>
      <c r="Y301" s="101"/>
      <c r="Z301" s="644"/>
      <c r="AA301" s="101"/>
      <c r="AB301" s="644"/>
      <c r="AC301" s="101"/>
      <c r="AD301" s="646"/>
      <c r="AE301" s="271"/>
      <c r="AF301" s="646"/>
      <c r="AG301" s="646"/>
      <c r="AH301" s="646"/>
      <c r="AI301" s="646"/>
      <c r="AJ301" s="646"/>
      <c r="AK301" s="646"/>
      <c r="AL301" s="646"/>
      <c r="AM301" s="271"/>
      <c r="AN301" s="646"/>
      <c r="AO301" s="646"/>
      <c r="AP301" s="646"/>
      <c r="AQ301" s="271"/>
      <c r="AR301" s="646"/>
      <c r="AS301" s="270"/>
      <c r="AT301" s="646"/>
      <c r="AU301" s="646"/>
      <c r="AV301" s="646"/>
      <c r="AW301" s="270"/>
      <c r="AX301" s="646"/>
      <c r="AY301" s="270"/>
      <c r="AZ301" s="646"/>
      <c r="BA301" s="646"/>
      <c r="BB301" s="644"/>
      <c r="BC301" s="644"/>
      <c r="BD301" s="644"/>
      <c r="BE301" s="644"/>
      <c r="BF301" s="644"/>
      <c r="BG301" s="644"/>
      <c r="BH301" s="644"/>
      <c r="BI301" s="644"/>
      <c r="BJ301" s="644"/>
      <c r="BK301" s="644"/>
      <c r="BL301" s="644"/>
      <c r="BM301" s="95"/>
      <c r="BN301" s="644"/>
      <c r="BO301" s="95"/>
      <c r="BP301" s="644"/>
      <c r="BQ301" s="644"/>
      <c r="BR301" s="644"/>
      <c r="BS301" s="644"/>
      <c r="BT301" s="644"/>
      <c r="BU301" s="644"/>
      <c r="BV301" s="644"/>
      <c r="BW301" s="644"/>
      <c r="BX301" s="644"/>
      <c r="BY301" s="644"/>
      <c r="BZ301" s="644"/>
      <c r="CA301" s="644"/>
      <c r="CB301" s="644"/>
      <c r="CC301" s="644"/>
      <c r="CD301" s="644"/>
      <c r="CE301" s="644"/>
      <c r="CF301" s="644"/>
      <c r="CG301" s="644"/>
      <c r="CH301" s="644"/>
      <c r="CI301" s="644"/>
      <c r="CJ301" s="644"/>
      <c r="CK301" s="644"/>
      <c r="CL301" s="644"/>
      <c r="CM301" s="95"/>
      <c r="CN301" s="644"/>
      <c r="CO301" s="644"/>
      <c r="CP301" s="95"/>
      <c r="CQ301" s="98"/>
      <c r="CR301" s="95"/>
      <c r="CS301" s="95"/>
      <c r="CT301" s="95"/>
      <c r="CU301" s="108"/>
      <c r="CV301" s="109"/>
      <c r="CW301" s="644"/>
      <c r="CX301" s="496"/>
      <c r="CY301" s="637"/>
      <c r="CZ301" s="644"/>
      <c r="DA301" s="644"/>
      <c r="DB301" s="644"/>
      <c r="DC301" s="496"/>
      <c r="DD301" s="644"/>
      <c r="DE301" s="101"/>
      <c r="DF301" s="644"/>
      <c r="DG301" s="101"/>
      <c r="DH301" s="644"/>
      <c r="DI301" s="644"/>
      <c r="DJ301" s="644"/>
      <c r="DK301" s="644"/>
      <c r="DL301" s="644"/>
      <c r="DM301" s="101"/>
      <c r="DN301" s="644"/>
      <c r="DO301" s="644"/>
      <c r="DP301" s="644"/>
      <c r="DQ301" s="644"/>
      <c r="DR301" s="644"/>
      <c r="DS301" s="644"/>
      <c r="DT301" s="644"/>
      <c r="DU301" s="644"/>
      <c r="DV301" s="644"/>
      <c r="DW301" s="101"/>
      <c r="DX301" s="646"/>
      <c r="DY301" s="646"/>
      <c r="DZ301" s="646"/>
      <c r="EA301" s="646"/>
      <c r="EB301" s="646"/>
      <c r="EC301" s="646"/>
      <c r="ED301" s="646"/>
      <c r="EE301" s="646"/>
      <c r="EF301" s="646"/>
      <c r="EG301" s="646"/>
      <c r="EH301" s="646"/>
      <c r="EI301" s="646"/>
      <c r="EJ301" s="646"/>
      <c r="EK301" s="271"/>
      <c r="EL301" s="644"/>
      <c r="EM301" s="634"/>
      <c r="EN301" s="647"/>
      <c r="EO301" s="648"/>
      <c r="EP301" s="647"/>
      <c r="EQ301" s="647"/>
      <c r="ER301" s="647"/>
      <c r="ES301" s="139"/>
      <c r="EV301" s="647"/>
      <c r="EW301" s="647"/>
      <c r="EX301" s="647"/>
      <c r="EY301" s="647"/>
      <c r="EZ301" s="647"/>
      <c r="FA301" s="646"/>
      <c r="FB301" s="646"/>
      <c r="FC301" s="646"/>
      <c r="FD301" s="646"/>
      <c r="FE301" s="646"/>
      <c r="FF301" s="646"/>
      <c r="FG301" s="647"/>
      <c r="FH301" s="647"/>
      <c r="FI301" s="647"/>
      <c r="FJ301" s="647"/>
      <c r="FK301" s="647"/>
      <c r="FL301" s="647"/>
      <c r="FM301" s="647"/>
      <c r="FN301" s="647"/>
      <c r="FO301" s="647"/>
      <c r="FP301" s="647"/>
      <c r="FQ301" s="647"/>
      <c r="FR301" s="647"/>
      <c r="FS301" s="101"/>
      <c r="FT301" s="95"/>
      <c r="FU301" s="651"/>
      <c r="FV301" s="101"/>
      <c r="FW301" s="101"/>
      <c r="FX301" s="634"/>
      <c r="FY301" s="634"/>
      <c r="FZ301" s="634"/>
      <c r="GA301" s="634"/>
      <c r="GB301" s="634"/>
      <c r="GC301" s="634"/>
      <c r="GD301" s="634"/>
      <c r="GE301" s="634"/>
      <c r="GF301" s="634"/>
      <c r="GG301" s="634"/>
      <c r="GH301" s="634"/>
      <c r="GI301" s="634"/>
      <c r="GJ301" s="634"/>
      <c r="GK301" s="634"/>
      <c r="GL301" s="101"/>
      <c r="GM301" s="101"/>
      <c r="GN301" s="101"/>
      <c r="GO301" s="643"/>
      <c r="GP301" s="644"/>
      <c r="GQ301" s="643"/>
      <c r="GR301" s="644"/>
      <c r="GS301" s="643"/>
      <c r="GT301" s="644"/>
      <c r="GU301" s="644"/>
      <c r="GV301" s="644"/>
      <c r="GW301" s="644"/>
      <c r="GX301" s="644"/>
      <c r="GY301" s="644"/>
      <c r="GZ301" s="644"/>
      <c r="HA301" s="644"/>
    </row>
    <row r="302" spans="1:209">
      <c r="A302" s="638"/>
      <c r="B302" s="95"/>
      <c r="C302" s="95"/>
      <c r="D302" s="95"/>
      <c r="E302" s="650"/>
      <c r="F302" s="95"/>
      <c r="G302" s="98"/>
      <c r="H302" s="99"/>
      <c r="I302" s="95"/>
      <c r="J302" s="95"/>
      <c r="K302" s="95"/>
      <c r="L302" s="95"/>
      <c r="M302" s="95"/>
      <c r="N302" s="95"/>
      <c r="O302" s="95"/>
      <c r="P302" s="95"/>
      <c r="Q302" s="95"/>
      <c r="R302" s="98"/>
      <c r="S302" s="101"/>
      <c r="T302" s="644"/>
      <c r="U302" s="101"/>
      <c r="V302" s="647"/>
      <c r="W302" s="643"/>
      <c r="X302" s="644"/>
      <c r="Y302" s="101"/>
      <c r="Z302" s="644"/>
      <c r="AA302" s="101"/>
      <c r="AB302" s="644"/>
      <c r="AC302" s="101"/>
      <c r="AD302" s="646"/>
      <c r="AE302" s="271"/>
      <c r="AF302" s="646"/>
      <c r="AG302" s="646"/>
      <c r="AH302" s="646"/>
      <c r="AI302" s="646"/>
      <c r="AJ302" s="646"/>
      <c r="AK302" s="646"/>
      <c r="AL302" s="646"/>
      <c r="AM302" s="271"/>
      <c r="AN302" s="646"/>
      <c r="AO302" s="646"/>
      <c r="AP302" s="646"/>
      <c r="AQ302" s="271"/>
      <c r="AR302" s="646"/>
      <c r="AS302" s="270"/>
      <c r="AT302" s="646"/>
      <c r="AU302" s="646"/>
      <c r="AV302" s="646"/>
      <c r="AW302" s="270"/>
      <c r="AX302" s="646"/>
      <c r="AY302" s="270"/>
      <c r="AZ302" s="646"/>
      <c r="BA302" s="646"/>
      <c r="BB302" s="644"/>
      <c r="BC302" s="644"/>
      <c r="BD302" s="644"/>
      <c r="BE302" s="644"/>
      <c r="BF302" s="644"/>
      <c r="BG302" s="644"/>
      <c r="BH302" s="644"/>
      <c r="BI302" s="644"/>
      <c r="BJ302" s="644"/>
      <c r="BK302" s="644"/>
      <c r="BL302" s="644"/>
      <c r="BM302" s="95"/>
      <c r="BN302" s="644"/>
      <c r="BO302" s="95"/>
      <c r="BP302" s="644"/>
      <c r="BQ302" s="644"/>
      <c r="BR302" s="644"/>
      <c r="BS302" s="644"/>
      <c r="BT302" s="644"/>
      <c r="BU302" s="644"/>
      <c r="BV302" s="644"/>
      <c r="BW302" s="644"/>
      <c r="BX302" s="644"/>
      <c r="BY302" s="644"/>
      <c r="BZ302" s="644"/>
      <c r="CA302" s="644"/>
      <c r="CB302" s="644"/>
      <c r="CC302" s="644"/>
      <c r="CD302" s="644"/>
      <c r="CE302" s="644"/>
      <c r="CF302" s="644"/>
      <c r="CG302" s="644"/>
      <c r="CH302" s="644"/>
      <c r="CI302" s="644"/>
      <c r="CJ302" s="644"/>
      <c r="CK302" s="644"/>
      <c r="CL302" s="644"/>
      <c r="CM302" s="95"/>
      <c r="CN302" s="644"/>
      <c r="CO302" s="644"/>
      <c r="CP302" s="95"/>
      <c r="CQ302" s="98"/>
      <c r="CR302" s="95"/>
      <c r="CS302" s="95"/>
      <c r="CT302" s="95"/>
      <c r="CU302" s="108"/>
      <c r="CV302" s="109"/>
      <c r="CW302" s="644"/>
      <c r="CX302" s="496"/>
      <c r="CY302" s="637"/>
      <c r="CZ302" s="644"/>
      <c r="DA302" s="644"/>
      <c r="DB302" s="644"/>
      <c r="DC302" s="496"/>
      <c r="DD302" s="644"/>
      <c r="DE302" s="101"/>
      <c r="DF302" s="644"/>
      <c r="DG302" s="101"/>
      <c r="DH302" s="644"/>
      <c r="DI302" s="644"/>
      <c r="DJ302" s="644"/>
      <c r="DK302" s="644"/>
      <c r="DL302" s="644"/>
      <c r="DM302" s="101"/>
      <c r="DN302" s="644"/>
      <c r="DO302" s="644"/>
      <c r="DP302" s="644"/>
      <c r="DQ302" s="644"/>
      <c r="DR302" s="644"/>
      <c r="DS302" s="644"/>
      <c r="DT302" s="644"/>
      <c r="DU302" s="644"/>
      <c r="DV302" s="644"/>
      <c r="DW302" s="101"/>
      <c r="DX302" s="646"/>
      <c r="DY302" s="646"/>
      <c r="DZ302" s="646"/>
      <c r="EA302" s="646"/>
      <c r="EB302" s="646"/>
      <c r="EC302" s="646"/>
      <c r="ED302" s="646"/>
      <c r="EE302" s="646"/>
      <c r="EF302" s="646"/>
      <c r="EG302" s="646"/>
      <c r="EH302" s="646"/>
      <c r="EI302" s="646"/>
      <c r="EJ302" s="646"/>
      <c r="EK302" s="271"/>
      <c r="EL302" s="644"/>
      <c r="EM302" s="634"/>
      <c r="EN302" s="647"/>
      <c r="EO302" s="648"/>
      <c r="EP302" s="647"/>
      <c r="EQ302" s="647"/>
      <c r="ER302" s="647"/>
      <c r="ES302" s="139"/>
      <c r="EV302" s="647"/>
      <c r="EW302" s="647"/>
      <c r="EX302" s="647"/>
      <c r="EY302" s="647"/>
      <c r="EZ302" s="647"/>
      <c r="FA302" s="646"/>
      <c r="FB302" s="646"/>
      <c r="FC302" s="646"/>
      <c r="FD302" s="646"/>
      <c r="FE302" s="646"/>
      <c r="FF302" s="646"/>
      <c r="FG302" s="647"/>
      <c r="FH302" s="647"/>
      <c r="FI302" s="647"/>
      <c r="FJ302" s="647"/>
      <c r="FK302" s="647"/>
      <c r="FL302" s="647"/>
      <c r="FM302" s="647"/>
      <c r="FN302" s="647"/>
      <c r="FO302" s="647"/>
      <c r="FP302" s="647"/>
      <c r="FQ302" s="647"/>
      <c r="FR302" s="647"/>
      <c r="FS302" s="101"/>
      <c r="FT302" s="95"/>
      <c r="FU302" s="651"/>
      <c r="FV302" s="101"/>
      <c r="FW302" s="101"/>
      <c r="FX302" s="634"/>
      <c r="FY302" s="634"/>
      <c r="FZ302" s="634"/>
      <c r="GA302" s="634"/>
      <c r="GB302" s="634"/>
      <c r="GC302" s="634"/>
      <c r="GD302" s="634"/>
      <c r="GE302" s="634"/>
      <c r="GF302" s="634"/>
      <c r="GG302" s="634"/>
      <c r="GH302" s="634"/>
      <c r="GI302" s="634"/>
      <c r="GJ302" s="634"/>
      <c r="GK302" s="634"/>
      <c r="GL302" s="101"/>
      <c r="GM302" s="101"/>
      <c r="GN302" s="101"/>
      <c r="GO302" s="643"/>
      <c r="GP302" s="644"/>
      <c r="GQ302" s="643"/>
      <c r="GR302" s="644"/>
      <c r="GS302" s="643"/>
      <c r="GT302" s="644"/>
      <c r="GU302" s="644"/>
      <c r="GV302" s="644"/>
      <c r="GW302" s="644"/>
      <c r="GX302" s="644"/>
      <c r="GY302" s="644"/>
      <c r="GZ302" s="644"/>
      <c r="HA302" s="644"/>
    </row>
    <row r="303" spans="1:209">
      <c r="A303" s="638"/>
      <c r="B303" s="95"/>
      <c r="C303" s="95"/>
      <c r="D303" s="95"/>
      <c r="E303" s="650"/>
      <c r="F303" s="95"/>
      <c r="G303" s="98"/>
      <c r="H303" s="99"/>
      <c r="I303" s="95"/>
      <c r="J303" s="95"/>
      <c r="K303" s="95"/>
      <c r="L303" s="95"/>
      <c r="M303" s="95"/>
      <c r="N303" s="95"/>
      <c r="O303" s="95"/>
      <c r="P303" s="95"/>
      <c r="Q303" s="95"/>
      <c r="R303" s="98"/>
      <c r="S303" s="101"/>
      <c r="T303" s="644"/>
      <c r="U303" s="101"/>
      <c r="V303" s="647"/>
      <c r="W303" s="643"/>
      <c r="X303" s="644"/>
      <c r="Y303" s="101"/>
      <c r="Z303" s="644"/>
      <c r="AA303" s="101"/>
      <c r="AB303" s="644"/>
      <c r="AC303" s="101"/>
      <c r="AD303" s="646"/>
      <c r="AE303" s="271"/>
      <c r="AF303" s="646"/>
      <c r="AG303" s="646"/>
      <c r="AH303" s="646"/>
      <c r="AI303" s="646"/>
      <c r="AJ303" s="646"/>
      <c r="AK303" s="646"/>
      <c r="AL303" s="646"/>
      <c r="AM303" s="271"/>
      <c r="AN303" s="646"/>
      <c r="AO303" s="646"/>
      <c r="AP303" s="646"/>
      <c r="AQ303" s="271"/>
      <c r="AR303" s="646"/>
      <c r="AS303" s="270"/>
      <c r="AT303" s="646"/>
      <c r="AU303" s="646"/>
      <c r="AV303" s="646"/>
      <c r="AW303" s="270"/>
      <c r="AX303" s="646"/>
      <c r="AY303" s="270"/>
      <c r="AZ303" s="646"/>
      <c r="BA303" s="646"/>
      <c r="BB303" s="644"/>
      <c r="BC303" s="644"/>
      <c r="BD303" s="644"/>
      <c r="BE303" s="644"/>
      <c r="BF303" s="644"/>
      <c r="BG303" s="644"/>
      <c r="BH303" s="644"/>
      <c r="BI303" s="644"/>
      <c r="BJ303" s="644"/>
      <c r="BK303" s="644"/>
      <c r="BL303" s="644"/>
      <c r="BM303" s="95"/>
      <c r="BN303" s="644"/>
      <c r="BO303" s="95"/>
      <c r="BP303" s="644"/>
      <c r="BQ303" s="644"/>
      <c r="BR303" s="644"/>
      <c r="BS303" s="644"/>
      <c r="BT303" s="644"/>
      <c r="BU303" s="644"/>
      <c r="BV303" s="644"/>
      <c r="BW303" s="644"/>
      <c r="BX303" s="644"/>
      <c r="BY303" s="644"/>
      <c r="BZ303" s="644"/>
      <c r="CA303" s="644"/>
      <c r="CB303" s="644"/>
      <c r="CC303" s="644"/>
      <c r="CD303" s="644"/>
      <c r="CE303" s="644"/>
      <c r="CF303" s="644"/>
      <c r="CG303" s="644"/>
      <c r="CH303" s="644"/>
      <c r="CI303" s="644"/>
      <c r="CJ303" s="644"/>
      <c r="CK303" s="644"/>
      <c r="CL303" s="644"/>
      <c r="CM303" s="95"/>
      <c r="CN303" s="644"/>
      <c r="CO303" s="644"/>
      <c r="CP303" s="95"/>
      <c r="CQ303" s="98"/>
      <c r="CR303" s="95"/>
      <c r="CS303" s="95"/>
      <c r="CT303" s="95"/>
      <c r="CU303" s="108"/>
      <c r="CV303" s="109"/>
      <c r="CW303" s="644"/>
      <c r="CX303" s="496"/>
      <c r="CY303" s="637"/>
      <c r="CZ303" s="644"/>
      <c r="DA303" s="644"/>
      <c r="DB303" s="644"/>
      <c r="DC303" s="496"/>
      <c r="DD303" s="644"/>
      <c r="DE303" s="101"/>
      <c r="DF303" s="644"/>
      <c r="DG303" s="101"/>
      <c r="DH303" s="644"/>
      <c r="DI303" s="644"/>
      <c r="DJ303" s="644"/>
      <c r="DK303" s="644"/>
      <c r="DL303" s="644"/>
      <c r="DM303" s="101"/>
      <c r="DN303" s="644"/>
      <c r="DO303" s="644"/>
      <c r="DP303" s="644"/>
      <c r="DQ303" s="644"/>
      <c r="DR303" s="644"/>
      <c r="DS303" s="644"/>
      <c r="DT303" s="644"/>
      <c r="DU303" s="644"/>
      <c r="DV303" s="644"/>
      <c r="DW303" s="101"/>
      <c r="DX303" s="646"/>
      <c r="DY303" s="646"/>
      <c r="DZ303" s="646"/>
      <c r="EA303" s="646"/>
      <c r="EB303" s="646"/>
      <c r="EC303" s="646"/>
      <c r="ED303" s="646"/>
      <c r="EE303" s="646"/>
      <c r="EF303" s="646"/>
      <c r="EG303" s="646"/>
      <c r="EH303" s="646"/>
      <c r="EI303" s="646"/>
      <c r="EJ303" s="646"/>
      <c r="EK303" s="271"/>
      <c r="EL303" s="644"/>
      <c r="EM303" s="634"/>
      <c r="EN303" s="647"/>
      <c r="EO303" s="648"/>
      <c r="EP303" s="647"/>
      <c r="EQ303" s="647"/>
      <c r="ER303" s="647"/>
      <c r="ES303" s="139"/>
      <c r="EV303" s="647"/>
      <c r="EW303" s="647"/>
      <c r="EX303" s="647"/>
      <c r="EY303" s="647"/>
      <c r="EZ303" s="647"/>
      <c r="FA303" s="646"/>
      <c r="FB303" s="646"/>
      <c r="FC303" s="646"/>
      <c r="FD303" s="646"/>
      <c r="FE303" s="646"/>
      <c r="FF303" s="646"/>
      <c r="FG303" s="647"/>
      <c r="FH303" s="647"/>
      <c r="FI303" s="647"/>
      <c r="FJ303" s="647"/>
      <c r="FK303" s="647"/>
      <c r="FL303" s="647"/>
      <c r="FM303" s="647"/>
      <c r="FN303" s="647"/>
      <c r="FO303" s="647"/>
      <c r="FP303" s="647"/>
      <c r="FQ303" s="647"/>
      <c r="FR303" s="647"/>
      <c r="FS303" s="101"/>
      <c r="FT303" s="95"/>
      <c r="FU303" s="651"/>
      <c r="FV303" s="101"/>
      <c r="FW303" s="101"/>
      <c r="FX303" s="634"/>
      <c r="FY303" s="634"/>
      <c r="FZ303" s="634"/>
      <c r="GA303" s="634"/>
      <c r="GB303" s="634"/>
      <c r="GC303" s="634"/>
      <c r="GD303" s="634"/>
      <c r="GE303" s="634"/>
      <c r="GF303" s="634"/>
      <c r="GG303" s="634"/>
      <c r="GH303" s="634"/>
      <c r="GI303" s="634"/>
      <c r="GJ303" s="634"/>
      <c r="GK303" s="634"/>
      <c r="GL303" s="101"/>
      <c r="GM303" s="101"/>
      <c r="GN303" s="101"/>
      <c r="GO303" s="643"/>
      <c r="GP303" s="644"/>
      <c r="GQ303" s="643"/>
      <c r="GR303" s="644"/>
      <c r="GS303" s="643"/>
      <c r="GT303" s="644"/>
      <c r="GU303" s="644"/>
      <c r="GV303" s="644"/>
      <c r="GW303" s="644"/>
      <c r="GX303" s="644"/>
      <c r="GY303" s="644"/>
      <c r="GZ303" s="644"/>
      <c r="HA303" s="644"/>
    </row>
    <row r="304" spans="1:209">
      <c r="A304" s="638"/>
      <c r="B304" s="95"/>
      <c r="C304" s="95"/>
      <c r="D304" s="95"/>
      <c r="E304" s="650"/>
      <c r="F304" s="95"/>
      <c r="G304" s="98"/>
      <c r="H304" s="99"/>
      <c r="I304" s="95"/>
      <c r="J304" s="95"/>
      <c r="K304" s="95"/>
      <c r="L304" s="95"/>
      <c r="M304" s="95"/>
      <c r="N304" s="95"/>
      <c r="O304" s="95"/>
      <c r="P304" s="95"/>
      <c r="Q304" s="95"/>
      <c r="R304" s="98"/>
      <c r="S304" s="101"/>
      <c r="T304" s="644"/>
      <c r="U304" s="101"/>
      <c r="V304" s="647"/>
      <c r="W304" s="643"/>
      <c r="X304" s="644"/>
      <c r="Y304" s="101"/>
      <c r="Z304" s="644"/>
      <c r="AA304" s="101"/>
      <c r="AB304" s="644"/>
      <c r="AC304" s="101"/>
      <c r="AD304" s="646"/>
      <c r="AE304" s="271"/>
      <c r="AF304" s="646"/>
      <c r="AG304" s="646"/>
      <c r="AH304" s="646"/>
      <c r="AI304" s="646"/>
      <c r="AJ304" s="646"/>
      <c r="AK304" s="646"/>
      <c r="AL304" s="646"/>
      <c r="AM304" s="271"/>
      <c r="AN304" s="646"/>
      <c r="AO304" s="646"/>
      <c r="AP304" s="646"/>
      <c r="AQ304" s="271"/>
      <c r="AR304" s="646"/>
      <c r="AS304" s="270"/>
      <c r="AT304" s="646"/>
      <c r="AU304" s="646"/>
      <c r="AV304" s="646"/>
      <c r="AW304" s="270"/>
      <c r="AX304" s="646"/>
      <c r="AY304" s="270"/>
      <c r="AZ304" s="646"/>
      <c r="BA304" s="646"/>
      <c r="BB304" s="644"/>
      <c r="BC304" s="644"/>
      <c r="BD304" s="644"/>
      <c r="BE304" s="644"/>
      <c r="BF304" s="644"/>
      <c r="BG304" s="644"/>
      <c r="BH304" s="644"/>
      <c r="BI304" s="644"/>
      <c r="BJ304" s="644"/>
      <c r="BK304" s="644"/>
      <c r="BL304" s="644"/>
      <c r="BM304" s="95"/>
      <c r="BN304" s="644"/>
      <c r="BO304" s="95"/>
      <c r="BP304" s="644"/>
      <c r="BQ304" s="644"/>
      <c r="BR304" s="644"/>
      <c r="BS304" s="644"/>
      <c r="BT304" s="644"/>
      <c r="BU304" s="644"/>
      <c r="BV304" s="644"/>
      <c r="BW304" s="644"/>
      <c r="BX304" s="644"/>
      <c r="BY304" s="644"/>
      <c r="BZ304" s="644"/>
      <c r="CA304" s="644"/>
      <c r="CB304" s="644"/>
      <c r="CC304" s="644"/>
      <c r="CD304" s="644"/>
      <c r="CE304" s="644"/>
      <c r="CF304" s="644"/>
      <c r="CG304" s="644"/>
      <c r="CH304" s="644"/>
      <c r="CI304" s="644"/>
      <c r="CJ304" s="644"/>
      <c r="CK304" s="644"/>
      <c r="CL304" s="644"/>
      <c r="CM304" s="95"/>
      <c r="CN304" s="644"/>
      <c r="CO304" s="644"/>
      <c r="CP304" s="95"/>
      <c r="CQ304" s="98"/>
      <c r="CR304" s="95"/>
      <c r="CS304" s="95"/>
      <c r="CT304" s="95"/>
      <c r="CU304" s="108"/>
      <c r="CV304" s="109"/>
      <c r="CW304" s="644"/>
      <c r="CX304" s="496"/>
      <c r="CY304" s="637"/>
      <c r="CZ304" s="644"/>
      <c r="DA304" s="644"/>
      <c r="DB304" s="644"/>
      <c r="DC304" s="496"/>
      <c r="DD304" s="644"/>
      <c r="DE304" s="101"/>
      <c r="DF304" s="644"/>
      <c r="DG304" s="101"/>
      <c r="DH304" s="644"/>
      <c r="DI304" s="644"/>
      <c r="DJ304" s="644"/>
      <c r="DK304" s="644"/>
      <c r="DL304" s="644"/>
      <c r="DM304" s="101"/>
      <c r="DN304" s="644"/>
      <c r="DO304" s="644"/>
      <c r="DP304" s="644"/>
      <c r="DQ304" s="644"/>
      <c r="DR304" s="644"/>
      <c r="DS304" s="644"/>
      <c r="DT304" s="644"/>
      <c r="DU304" s="644"/>
      <c r="DV304" s="644"/>
      <c r="DW304" s="101"/>
      <c r="DX304" s="646"/>
      <c r="DY304" s="646"/>
      <c r="DZ304" s="646"/>
      <c r="EA304" s="646"/>
      <c r="EB304" s="646"/>
      <c r="EC304" s="646"/>
      <c r="ED304" s="646"/>
      <c r="EE304" s="646"/>
      <c r="EF304" s="646"/>
      <c r="EG304" s="646"/>
      <c r="EH304" s="646"/>
      <c r="EI304" s="646"/>
      <c r="EJ304" s="646"/>
      <c r="EK304" s="271"/>
      <c r="EL304" s="644"/>
      <c r="EM304" s="634"/>
      <c r="EN304" s="647"/>
      <c r="EO304" s="648"/>
      <c r="EP304" s="647"/>
      <c r="EQ304" s="647"/>
      <c r="ER304" s="647"/>
      <c r="ES304" s="139"/>
      <c r="EV304" s="647"/>
      <c r="EW304" s="647"/>
      <c r="EX304" s="647"/>
      <c r="EY304" s="647"/>
      <c r="EZ304" s="647"/>
      <c r="FA304" s="646"/>
      <c r="FB304" s="646"/>
      <c r="FC304" s="646"/>
      <c r="FD304" s="646"/>
      <c r="FE304" s="646"/>
      <c r="FF304" s="646"/>
      <c r="FG304" s="647"/>
      <c r="FH304" s="647"/>
      <c r="FI304" s="647"/>
      <c r="FJ304" s="647"/>
      <c r="FK304" s="647"/>
      <c r="FL304" s="647"/>
      <c r="FM304" s="647"/>
      <c r="FN304" s="647"/>
      <c r="FO304" s="647"/>
      <c r="FP304" s="647"/>
      <c r="FQ304" s="647"/>
      <c r="FR304" s="647"/>
      <c r="FS304" s="101"/>
      <c r="FT304" s="95"/>
      <c r="FU304" s="651"/>
      <c r="FV304" s="101"/>
      <c r="FW304" s="101"/>
      <c r="FX304" s="634"/>
      <c r="FY304" s="634"/>
      <c r="FZ304" s="634"/>
      <c r="GA304" s="634"/>
      <c r="GB304" s="634"/>
      <c r="GC304" s="634"/>
      <c r="GD304" s="634"/>
      <c r="GE304" s="634"/>
      <c r="GF304" s="634"/>
      <c r="GG304" s="634"/>
      <c r="GH304" s="634"/>
      <c r="GI304" s="634"/>
      <c r="GJ304" s="634"/>
      <c r="GK304" s="634"/>
      <c r="GL304" s="101"/>
      <c r="GM304" s="101"/>
      <c r="GN304" s="101"/>
      <c r="GO304" s="643"/>
      <c r="GP304" s="644"/>
      <c r="GQ304" s="643"/>
      <c r="GR304" s="644"/>
      <c r="GS304" s="643"/>
      <c r="GT304" s="644"/>
      <c r="GU304" s="644"/>
      <c r="GV304" s="644"/>
      <c r="GW304" s="644"/>
      <c r="GX304" s="644"/>
      <c r="GY304" s="644"/>
      <c r="GZ304" s="644"/>
      <c r="HA304" s="644"/>
    </row>
    <row r="305" spans="1:209">
      <c r="A305" s="638"/>
      <c r="B305" s="95"/>
      <c r="C305" s="95"/>
      <c r="D305" s="95"/>
      <c r="E305" s="650"/>
      <c r="F305" s="95"/>
      <c r="G305" s="98"/>
      <c r="H305" s="99"/>
      <c r="I305" s="95"/>
      <c r="J305" s="95"/>
      <c r="K305" s="95"/>
      <c r="L305" s="95"/>
      <c r="M305" s="95"/>
      <c r="N305" s="95"/>
      <c r="O305" s="95"/>
      <c r="P305" s="95"/>
      <c r="Q305" s="95"/>
      <c r="R305" s="98"/>
      <c r="S305" s="101"/>
      <c r="T305" s="644"/>
      <c r="U305" s="101"/>
      <c r="V305" s="647"/>
      <c r="W305" s="643"/>
      <c r="X305" s="644"/>
      <c r="Y305" s="101"/>
      <c r="Z305" s="644"/>
      <c r="AA305" s="101"/>
      <c r="AB305" s="644"/>
      <c r="AC305" s="101"/>
      <c r="AD305" s="646"/>
      <c r="AE305" s="271"/>
      <c r="AF305" s="646"/>
      <c r="AG305" s="646"/>
      <c r="AH305" s="646"/>
      <c r="AI305" s="646"/>
      <c r="AJ305" s="646"/>
      <c r="AK305" s="646"/>
      <c r="AL305" s="646"/>
      <c r="AM305" s="271"/>
      <c r="AN305" s="646"/>
      <c r="AO305" s="646"/>
      <c r="AP305" s="646"/>
      <c r="AQ305" s="271"/>
      <c r="AR305" s="646"/>
      <c r="AS305" s="270"/>
      <c r="AT305" s="646"/>
      <c r="AU305" s="646"/>
      <c r="AV305" s="646"/>
      <c r="AW305" s="270"/>
      <c r="AX305" s="646"/>
      <c r="AY305" s="270"/>
      <c r="AZ305" s="646"/>
      <c r="BA305" s="646"/>
      <c r="BB305" s="644"/>
      <c r="BC305" s="644"/>
      <c r="BD305" s="644"/>
      <c r="BE305" s="644"/>
      <c r="BF305" s="644"/>
      <c r="BG305" s="644"/>
      <c r="BH305" s="644"/>
      <c r="BI305" s="644"/>
      <c r="BJ305" s="644"/>
      <c r="BK305" s="644"/>
      <c r="BL305" s="644"/>
      <c r="BM305" s="95"/>
      <c r="BN305" s="644"/>
      <c r="BO305" s="95"/>
      <c r="BP305" s="644"/>
      <c r="BQ305" s="644"/>
      <c r="BR305" s="644"/>
      <c r="BS305" s="644"/>
      <c r="BT305" s="644"/>
      <c r="BU305" s="644"/>
      <c r="BV305" s="644"/>
      <c r="BW305" s="644"/>
      <c r="BX305" s="644"/>
      <c r="BY305" s="644"/>
      <c r="BZ305" s="644"/>
      <c r="CA305" s="644"/>
      <c r="CB305" s="644"/>
      <c r="CC305" s="644"/>
      <c r="CD305" s="644"/>
      <c r="CE305" s="644"/>
      <c r="CF305" s="644"/>
      <c r="CG305" s="644"/>
      <c r="CH305" s="644"/>
      <c r="CI305" s="644"/>
      <c r="CJ305" s="644"/>
      <c r="CK305" s="644"/>
      <c r="CL305" s="644"/>
      <c r="CM305" s="95"/>
      <c r="CN305" s="644"/>
      <c r="CO305" s="644"/>
      <c r="CP305" s="95"/>
      <c r="CQ305" s="98"/>
      <c r="CR305" s="95"/>
      <c r="CS305" s="95"/>
      <c r="CT305" s="95"/>
      <c r="CU305" s="108"/>
      <c r="CV305" s="109"/>
      <c r="CW305" s="644"/>
      <c r="CX305" s="496"/>
      <c r="CY305" s="637"/>
      <c r="CZ305" s="644"/>
      <c r="DA305" s="644"/>
      <c r="DB305" s="644"/>
      <c r="DC305" s="496"/>
      <c r="DD305" s="644"/>
      <c r="DE305" s="101"/>
      <c r="DF305" s="644"/>
      <c r="DG305" s="101"/>
      <c r="DH305" s="644"/>
      <c r="DI305" s="644"/>
      <c r="DJ305" s="644"/>
      <c r="DK305" s="644"/>
      <c r="DL305" s="644"/>
      <c r="DM305" s="101"/>
      <c r="DN305" s="644"/>
      <c r="DO305" s="644"/>
      <c r="DP305" s="644"/>
      <c r="DQ305" s="644"/>
      <c r="DR305" s="644"/>
      <c r="DS305" s="644"/>
      <c r="DT305" s="644"/>
      <c r="DU305" s="644"/>
      <c r="DV305" s="644"/>
      <c r="DW305" s="101"/>
      <c r="DX305" s="646"/>
      <c r="DY305" s="646"/>
      <c r="DZ305" s="646"/>
      <c r="EA305" s="646"/>
      <c r="EB305" s="646"/>
      <c r="EC305" s="646"/>
      <c r="ED305" s="646"/>
      <c r="EE305" s="646"/>
      <c r="EF305" s="646"/>
      <c r="EG305" s="646"/>
      <c r="EH305" s="646"/>
      <c r="EI305" s="646"/>
      <c r="EJ305" s="646"/>
      <c r="EK305" s="271"/>
      <c r="EL305" s="644"/>
      <c r="EM305" s="634"/>
      <c r="EN305" s="647"/>
      <c r="EO305" s="648"/>
      <c r="EP305" s="647"/>
      <c r="EQ305" s="647"/>
      <c r="ER305" s="647"/>
      <c r="ES305" s="139"/>
      <c r="EV305" s="647"/>
      <c r="EW305" s="647"/>
      <c r="EX305" s="647"/>
      <c r="EY305" s="647"/>
      <c r="EZ305" s="647"/>
      <c r="FA305" s="646"/>
      <c r="FB305" s="646"/>
      <c r="FC305" s="646"/>
      <c r="FD305" s="646"/>
      <c r="FE305" s="646"/>
      <c r="FF305" s="646"/>
      <c r="FG305" s="647"/>
      <c r="FH305" s="647"/>
      <c r="FI305" s="647"/>
      <c r="FJ305" s="647"/>
      <c r="FK305" s="647"/>
      <c r="FL305" s="647"/>
      <c r="FM305" s="647"/>
      <c r="FN305" s="647"/>
      <c r="FO305" s="647"/>
      <c r="FP305" s="647"/>
      <c r="FQ305" s="647"/>
      <c r="FR305" s="647"/>
      <c r="FS305" s="101"/>
      <c r="FT305" s="95"/>
      <c r="FU305" s="651"/>
      <c r="FV305" s="101"/>
      <c r="FW305" s="101"/>
      <c r="FX305" s="634"/>
      <c r="FY305" s="634"/>
      <c r="FZ305" s="634"/>
      <c r="GA305" s="634"/>
      <c r="GB305" s="634"/>
      <c r="GC305" s="634"/>
      <c r="GD305" s="634"/>
      <c r="GE305" s="634"/>
      <c r="GF305" s="634"/>
      <c r="GG305" s="634"/>
      <c r="GH305" s="634"/>
      <c r="GI305" s="634"/>
      <c r="GJ305" s="634"/>
      <c r="GK305" s="634"/>
      <c r="GL305" s="101"/>
      <c r="GM305" s="101"/>
      <c r="GN305" s="101"/>
      <c r="GO305" s="643"/>
      <c r="GP305" s="644"/>
      <c r="GQ305" s="643"/>
      <c r="GR305" s="644"/>
      <c r="GS305" s="643"/>
      <c r="GT305" s="644"/>
      <c r="GU305" s="644"/>
      <c r="GV305" s="644"/>
      <c r="GW305" s="644"/>
      <c r="GX305" s="644"/>
      <c r="GY305" s="644"/>
      <c r="GZ305" s="644"/>
      <c r="HA305" s="644"/>
    </row>
    <row r="306" spans="1:209">
      <c r="A306" s="638"/>
      <c r="B306" s="95"/>
      <c r="C306" s="95"/>
      <c r="D306" s="95"/>
      <c r="E306" s="650"/>
      <c r="F306" s="95"/>
      <c r="G306" s="98"/>
      <c r="H306" s="99"/>
      <c r="I306" s="95"/>
      <c r="J306" s="95"/>
      <c r="K306" s="95"/>
      <c r="L306" s="95"/>
      <c r="M306" s="95"/>
      <c r="N306" s="95"/>
      <c r="O306" s="95"/>
      <c r="P306" s="95"/>
      <c r="Q306" s="95"/>
      <c r="R306" s="98"/>
      <c r="S306" s="101"/>
      <c r="T306" s="644"/>
      <c r="U306" s="101"/>
      <c r="V306" s="647"/>
      <c r="W306" s="643"/>
      <c r="X306" s="644"/>
      <c r="Y306" s="101"/>
      <c r="Z306" s="644"/>
      <c r="AA306" s="101"/>
      <c r="AB306" s="644"/>
      <c r="AC306" s="101"/>
      <c r="AD306" s="646"/>
      <c r="AE306" s="271"/>
      <c r="AF306" s="646"/>
      <c r="AG306" s="646"/>
      <c r="AH306" s="646"/>
      <c r="AI306" s="646"/>
      <c r="AJ306" s="646"/>
      <c r="AK306" s="646"/>
      <c r="AL306" s="646"/>
      <c r="AM306" s="271"/>
      <c r="AN306" s="646"/>
      <c r="AO306" s="646"/>
      <c r="AP306" s="646"/>
      <c r="AQ306" s="271"/>
      <c r="AR306" s="646"/>
      <c r="AS306" s="270"/>
      <c r="AT306" s="646"/>
      <c r="AU306" s="646"/>
      <c r="AV306" s="646"/>
      <c r="AW306" s="270"/>
      <c r="AX306" s="646"/>
      <c r="AY306" s="270"/>
      <c r="AZ306" s="646"/>
      <c r="BA306" s="646"/>
      <c r="BB306" s="644"/>
      <c r="BC306" s="644"/>
      <c r="BD306" s="644"/>
      <c r="BE306" s="644"/>
      <c r="BF306" s="644"/>
      <c r="BG306" s="644"/>
      <c r="BH306" s="644"/>
      <c r="BI306" s="644"/>
      <c r="BJ306" s="644"/>
      <c r="BK306" s="644"/>
      <c r="BL306" s="644"/>
      <c r="BM306" s="95"/>
      <c r="BN306" s="644"/>
      <c r="BO306" s="95"/>
      <c r="BP306" s="644"/>
      <c r="BQ306" s="644"/>
      <c r="BR306" s="644"/>
      <c r="BS306" s="644"/>
      <c r="BT306" s="644"/>
      <c r="BU306" s="644"/>
      <c r="BV306" s="644"/>
      <c r="BW306" s="644"/>
      <c r="BX306" s="644"/>
      <c r="BY306" s="644"/>
      <c r="BZ306" s="644"/>
      <c r="CA306" s="644"/>
      <c r="CB306" s="644"/>
      <c r="CC306" s="644"/>
      <c r="CD306" s="644"/>
      <c r="CE306" s="644"/>
      <c r="CF306" s="644"/>
      <c r="CG306" s="644"/>
      <c r="CH306" s="644"/>
      <c r="CI306" s="644"/>
      <c r="CJ306" s="644"/>
      <c r="CK306" s="644"/>
      <c r="CL306" s="644"/>
      <c r="CM306" s="95"/>
      <c r="CN306" s="644"/>
      <c r="CO306" s="644"/>
      <c r="CP306" s="95"/>
      <c r="CQ306" s="98"/>
      <c r="CR306" s="95"/>
      <c r="CS306" s="95"/>
      <c r="CT306" s="95"/>
      <c r="CU306" s="108"/>
      <c r="CV306" s="109"/>
      <c r="CW306" s="644"/>
      <c r="CX306" s="496"/>
      <c r="CY306" s="637"/>
      <c r="CZ306" s="644"/>
      <c r="DA306" s="644"/>
      <c r="DB306" s="644"/>
      <c r="DC306" s="496"/>
      <c r="DD306" s="644"/>
      <c r="DE306" s="101"/>
      <c r="DF306" s="644"/>
      <c r="DG306" s="101"/>
      <c r="DH306" s="644"/>
      <c r="DI306" s="644"/>
      <c r="DJ306" s="644"/>
      <c r="DK306" s="644"/>
      <c r="DL306" s="644"/>
      <c r="DM306" s="101"/>
      <c r="DN306" s="644"/>
      <c r="DO306" s="644"/>
      <c r="DP306" s="644"/>
      <c r="DQ306" s="644"/>
      <c r="DR306" s="644"/>
      <c r="DS306" s="644"/>
      <c r="DT306" s="644"/>
      <c r="DU306" s="644"/>
      <c r="DV306" s="644"/>
      <c r="DW306" s="101"/>
      <c r="DX306" s="646"/>
      <c r="DY306" s="646"/>
      <c r="DZ306" s="646"/>
      <c r="EA306" s="646"/>
      <c r="EB306" s="646"/>
      <c r="EC306" s="646"/>
      <c r="ED306" s="646"/>
      <c r="EE306" s="646"/>
      <c r="EF306" s="646"/>
      <c r="EG306" s="646"/>
      <c r="EH306" s="646"/>
      <c r="EI306" s="646"/>
      <c r="EJ306" s="646"/>
      <c r="EK306" s="271"/>
      <c r="EL306" s="644"/>
      <c r="EM306" s="634"/>
      <c r="EN306" s="647"/>
      <c r="EO306" s="648"/>
      <c r="EP306" s="647"/>
      <c r="EQ306" s="647"/>
      <c r="ER306" s="647"/>
      <c r="ES306" s="139"/>
      <c r="EV306" s="647"/>
      <c r="EW306" s="647"/>
      <c r="EX306" s="647"/>
      <c r="EY306" s="647"/>
      <c r="EZ306" s="647"/>
      <c r="FA306" s="646"/>
      <c r="FB306" s="646"/>
      <c r="FC306" s="646"/>
      <c r="FD306" s="646"/>
      <c r="FE306" s="646"/>
      <c r="FF306" s="646"/>
      <c r="FG306" s="647"/>
      <c r="FH306" s="647"/>
      <c r="FI306" s="647"/>
      <c r="FJ306" s="647"/>
      <c r="FK306" s="647"/>
      <c r="FL306" s="647"/>
      <c r="FM306" s="647"/>
      <c r="FN306" s="647"/>
      <c r="FO306" s="647"/>
      <c r="FP306" s="647"/>
      <c r="FQ306" s="647"/>
      <c r="FR306" s="647"/>
      <c r="FS306" s="101"/>
      <c r="FT306" s="95"/>
      <c r="FU306" s="651"/>
      <c r="FV306" s="101"/>
      <c r="FW306" s="101"/>
      <c r="FX306" s="634"/>
      <c r="FY306" s="634"/>
      <c r="FZ306" s="634"/>
      <c r="GA306" s="634"/>
      <c r="GB306" s="634"/>
      <c r="GC306" s="634"/>
      <c r="GD306" s="634"/>
      <c r="GE306" s="634"/>
      <c r="GF306" s="634"/>
      <c r="GG306" s="634"/>
      <c r="GH306" s="634"/>
      <c r="GI306" s="634"/>
      <c r="GJ306" s="634"/>
      <c r="GK306" s="634"/>
      <c r="GL306" s="101"/>
      <c r="GM306" s="101"/>
      <c r="GN306" s="101"/>
      <c r="GO306" s="643"/>
      <c r="GP306" s="644"/>
      <c r="GQ306" s="643"/>
      <c r="GR306" s="644"/>
      <c r="GS306" s="643"/>
      <c r="GT306" s="644"/>
      <c r="GU306" s="644"/>
      <c r="GV306" s="644"/>
      <c r="GW306" s="644"/>
      <c r="GX306" s="644"/>
      <c r="GY306" s="644"/>
      <c r="GZ306" s="644"/>
      <c r="HA306" s="644"/>
    </row>
    <row r="307" spans="1:209">
      <c r="A307" s="638"/>
      <c r="B307" s="95"/>
      <c r="C307" s="95"/>
      <c r="D307" s="95"/>
      <c r="E307" s="650"/>
      <c r="F307" s="95"/>
      <c r="G307" s="98"/>
      <c r="H307" s="99"/>
      <c r="I307" s="95"/>
      <c r="J307" s="95"/>
      <c r="K307" s="95"/>
      <c r="L307" s="95"/>
      <c r="M307" s="95"/>
      <c r="N307" s="95"/>
      <c r="O307" s="95"/>
      <c r="P307" s="95"/>
      <c r="Q307" s="95"/>
      <c r="R307" s="98"/>
      <c r="S307" s="101"/>
      <c r="T307" s="644"/>
      <c r="U307" s="101"/>
      <c r="V307" s="647"/>
      <c r="W307" s="643"/>
      <c r="X307" s="644"/>
      <c r="Y307" s="101"/>
      <c r="Z307" s="644"/>
      <c r="AA307" s="101"/>
      <c r="AB307" s="644"/>
      <c r="AC307" s="101"/>
      <c r="AD307" s="646"/>
      <c r="AE307" s="271"/>
      <c r="AF307" s="646"/>
      <c r="AG307" s="646"/>
      <c r="AH307" s="646"/>
      <c r="AI307" s="646"/>
      <c r="AJ307" s="646"/>
      <c r="AK307" s="646"/>
      <c r="AL307" s="646"/>
      <c r="AM307" s="271"/>
      <c r="AN307" s="646"/>
      <c r="AO307" s="646"/>
      <c r="AP307" s="646"/>
      <c r="AQ307" s="271"/>
      <c r="AR307" s="646"/>
      <c r="AS307" s="270"/>
      <c r="AT307" s="646"/>
      <c r="AU307" s="646"/>
      <c r="AV307" s="646"/>
      <c r="AW307" s="270"/>
      <c r="AX307" s="646"/>
      <c r="AY307" s="270"/>
      <c r="AZ307" s="646"/>
      <c r="BA307" s="646"/>
      <c r="BB307" s="644"/>
      <c r="BC307" s="644"/>
      <c r="BD307" s="644"/>
      <c r="BE307" s="644"/>
      <c r="BF307" s="644"/>
      <c r="BG307" s="644"/>
      <c r="BH307" s="644"/>
      <c r="BI307" s="644"/>
      <c r="BJ307" s="644"/>
      <c r="BK307" s="644"/>
      <c r="BL307" s="644"/>
      <c r="BM307" s="95"/>
      <c r="BN307" s="644"/>
      <c r="BO307" s="95"/>
      <c r="BP307" s="644"/>
      <c r="BQ307" s="644"/>
      <c r="BR307" s="644"/>
      <c r="BS307" s="644"/>
      <c r="BT307" s="644"/>
      <c r="BU307" s="644"/>
      <c r="BV307" s="644"/>
      <c r="BW307" s="644"/>
      <c r="BX307" s="644"/>
      <c r="BY307" s="644"/>
      <c r="BZ307" s="644"/>
      <c r="CA307" s="644"/>
      <c r="CB307" s="644"/>
      <c r="CC307" s="644"/>
      <c r="CD307" s="644"/>
      <c r="CE307" s="644"/>
      <c r="CF307" s="644"/>
      <c r="CG307" s="644"/>
      <c r="CH307" s="644"/>
      <c r="CI307" s="644"/>
      <c r="CJ307" s="644"/>
      <c r="CK307" s="644"/>
      <c r="CL307" s="644"/>
      <c r="CM307" s="95"/>
      <c r="CN307" s="644"/>
      <c r="CO307" s="644"/>
      <c r="CP307" s="95"/>
      <c r="CQ307" s="98"/>
      <c r="CR307" s="95"/>
      <c r="CS307" s="95"/>
      <c r="CT307" s="95"/>
      <c r="CU307" s="108"/>
      <c r="CV307" s="109"/>
      <c r="CW307" s="644"/>
      <c r="CX307" s="496"/>
      <c r="CY307" s="637"/>
      <c r="CZ307" s="644"/>
      <c r="DA307" s="644"/>
      <c r="DB307" s="644"/>
      <c r="DC307" s="496"/>
      <c r="DD307" s="644"/>
      <c r="DE307" s="101"/>
      <c r="DF307" s="644"/>
      <c r="DG307" s="101"/>
      <c r="DH307" s="644"/>
      <c r="DI307" s="644"/>
      <c r="DJ307" s="644"/>
      <c r="DK307" s="644"/>
      <c r="DL307" s="644"/>
      <c r="DM307" s="101"/>
      <c r="DN307" s="644"/>
      <c r="DO307" s="644"/>
      <c r="DP307" s="644"/>
      <c r="DQ307" s="644"/>
      <c r="DR307" s="644"/>
      <c r="DS307" s="644"/>
      <c r="DT307" s="644"/>
      <c r="DU307" s="644"/>
      <c r="DV307" s="644"/>
      <c r="DW307" s="101"/>
      <c r="DX307" s="646"/>
      <c r="DY307" s="646"/>
      <c r="DZ307" s="646"/>
      <c r="EA307" s="646"/>
      <c r="EB307" s="646"/>
      <c r="EC307" s="646"/>
      <c r="ED307" s="646"/>
      <c r="EE307" s="646"/>
      <c r="EF307" s="646"/>
      <c r="EG307" s="646"/>
      <c r="EH307" s="646"/>
      <c r="EI307" s="646"/>
      <c r="EJ307" s="646"/>
      <c r="EK307" s="271"/>
      <c r="EL307" s="644"/>
      <c r="EM307" s="634"/>
      <c r="EN307" s="647"/>
      <c r="EO307" s="648"/>
      <c r="EP307" s="647"/>
      <c r="EQ307" s="647"/>
      <c r="ER307" s="647"/>
      <c r="ES307" s="139"/>
      <c r="EV307" s="647"/>
      <c r="EW307" s="647"/>
      <c r="EX307" s="647"/>
      <c r="EY307" s="647"/>
      <c r="EZ307" s="647"/>
      <c r="FA307" s="646"/>
      <c r="FB307" s="646"/>
      <c r="FC307" s="646"/>
      <c r="FD307" s="646"/>
      <c r="FE307" s="646"/>
      <c r="FF307" s="646"/>
      <c r="FG307" s="647"/>
      <c r="FH307" s="647"/>
      <c r="FI307" s="647"/>
      <c r="FJ307" s="647"/>
      <c r="FK307" s="647"/>
      <c r="FL307" s="647"/>
      <c r="FM307" s="647"/>
      <c r="FN307" s="647"/>
      <c r="FO307" s="647"/>
      <c r="FP307" s="647"/>
      <c r="FQ307" s="647"/>
      <c r="FR307" s="647"/>
      <c r="FS307" s="101"/>
      <c r="FT307" s="95"/>
      <c r="FU307" s="651"/>
      <c r="FV307" s="101"/>
      <c r="FW307" s="101"/>
      <c r="FX307" s="634"/>
      <c r="FY307" s="634"/>
      <c r="FZ307" s="634"/>
      <c r="GA307" s="634"/>
      <c r="GB307" s="634"/>
      <c r="GC307" s="634"/>
      <c r="GD307" s="634"/>
      <c r="GE307" s="634"/>
      <c r="GF307" s="634"/>
      <c r="GG307" s="634"/>
      <c r="GH307" s="634"/>
      <c r="GI307" s="634"/>
      <c r="GJ307" s="634"/>
      <c r="GK307" s="634"/>
      <c r="GL307" s="101"/>
      <c r="GM307" s="101"/>
      <c r="GN307" s="101"/>
      <c r="GO307" s="643"/>
      <c r="GP307" s="644"/>
      <c r="GQ307" s="643"/>
      <c r="GR307" s="644"/>
      <c r="GS307" s="643"/>
      <c r="GT307" s="644"/>
      <c r="GU307" s="644"/>
      <c r="GV307" s="644"/>
      <c r="GW307" s="644"/>
      <c r="GX307" s="644"/>
      <c r="GY307" s="644"/>
      <c r="GZ307" s="644"/>
      <c r="HA307" s="644"/>
    </row>
    <row r="308" spans="1:209">
      <c r="A308" s="638"/>
      <c r="B308" s="95"/>
      <c r="C308" s="95"/>
      <c r="D308" s="95"/>
      <c r="E308" s="650"/>
      <c r="F308" s="95"/>
      <c r="G308" s="98"/>
      <c r="H308" s="99"/>
      <c r="I308" s="95"/>
      <c r="J308" s="95"/>
      <c r="K308" s="95"/>
      <c r="L308" s="95"/>
      <c r="M308" s="95"/>
      <c r="N308" s="95"/>
      <c r="O308" s="95"/>
      <c r="P308" s="95"/>
      <c r="Q308" s="95"/>
      <c r="R308" s="98"/>
      <c r="S308" s="101"/>
      <c r="T308" s="644"/>
      <c r="U308" s="101"/>
      <c r="V308" s="647"/>
      <c r="W308" s="643"/>
      <c r="X308" s="644"/>
      <c r="Y308" s="101"/>
      <c r="Z308" s="644"/>
      <c r="AA308" s="101"/>
      <c r="AB308" s="644"/>
      <c r="AC308" s="101"/>
      <c r="AD308" s="646"/>
      <c r="AE308" s="271"/>
      <c r="AF308" s="646"/>
      <c r="AG308" s="646"/>
      <c r="AH308" s="646"/>
      <c r="AI308" s="646"/>
      <c r="AJ308" s="646"/>
      <c r="AK308" s="646"/>
      <c r="AL308" s="646"/>
      <c r="AM308" s="271"/>
      <c r="AN308" s="646"/>
      <c r="AO308" s="646"/>
      <c r="AP308" s="646"/>
      <c r="AQ308" s="271"/>
      <c r="AR308" s="646"/>
      <c r="AS308" s="270"/>
      <c r="AT308" s="646"/>
      <c r="AU308" s="646"/>
      <c r="AV308" s="646"/>
      <c r="AW308" s="270"/>
      <c r="AX308" s="646"/>
      <c r="AY308" s="270"/>
      <c r="AZ308" s="646"/>
      <c r="BA308" s="646"/>
      <c r="BB308" s="644"/>
      <c r="BC308" s="644"/>
      <c r="BD308" s="644"/>
      <c r="BE308" s="644"/>
      <c r="BF308" s="644"/>
      <c r="BG308" s="644"/>
      <c r="BH308" s="644"/>
      <c r="BI308" s="644"/>
      <c r="BJ308" s="644"/>
      <c r="BK308" s="644"/>
      <c r="BL308" s="644"/>
      <c r="BM308" s="95"/>
      <c r="BN308" s="644"/>
      <c r="BO308" s="95"/>
      <c r="BP308" s="644"/>
      <c r="BQ308" s="644"/>
      <c r="BR308" s="644"/>
      <c r="BS308" s="644"/>
      <c r="BT308" s="644"/>
      <c r="BU308" s="644"/>
      <c r="BV308" s="644"/>
      <c r="BW308" s="644"/>
      <c r="BX308" s="644"/>
      <c r="BY308" s="644"/>
      <c r="BZ308" s="644"/>
      <c r="CA308" s="644"/>
      <c r="CB308" s="644"/>
      <c r="CC308" s="644"/>
      <c r="CD308" s="644"/>
      <c r="CE308" s="644"/>
      <c r="CF308" s="644"/>
      <c r="CG308" s="644"/>
      <c r="CH308" s="644"/>
      <c r="CI308" s="644"/>
      <c r="CJ308" s="644"/>
      <c r="CK308" s="644"/>
      <c r="CL308" s="644"/>
      <c r="CM308" s="95"/>
      <c r="CN308" s="644"/>
      <c r="CO308" s="644"/>
      <c r="CP308" s="95"/>
      <c r="CQ308" s="98"/>
      <c r="CR308" s="95"/>
      <c r="CS308" s="95"/>
      <c r="CT308" s="95"/>
      <c r="CU308" s="108"/>
      <c r="CV308" s="109"/>
      <c r="CW308" s="644"/>
      <c r="CX308" s="496"/>
      <c r="CY308" s="637"/>
      <c r="CZ308" s="644"/>
      <c r="DA308" s="644"/>
      <c r="DB308" s="644"/>
      <c r="DC308" s="496"/>
      <c r="DD308" s="644"/>
      <c r="DE308" s="101"/>
      <c r="DF308" s="644"/>
      <c r="DG308" s="101"/>
      <c r="DH308" s="644"/>
      <c r="DI308" s="644"/>
      <c r="DJ308" s="644"/>
      <c r="DK308" s="644"/>
      <c r="DL308" s="644"/>
      <c r="DM308" s="101"/>
      <c r="DN308" s="644"/>
      <c r="DO308" s="644"/>
      <c r="DP308" s="644"/>
      <c r="DQ308" s="644"/>
      <c r="DR308" s="644"/>
      <c r="DS308" s="644"/>
      <c r="DT308" s="644"/>
      <c r="DU308" s="644"/>
      <c r="DV308" s="644"/>
      <c r="DW308" s="101"/>
      <c r="DX308" s="646"/>
      <c r="DY308" s="646"/>
      <c r="DZ308" s="646"/>
      <c r="EA308" s="646"/>
      <c r="EB308" s="646"/>
      <c r="EC308" s="646"/>
      <c r="ED308" s="646"/>
      <c r="EE308" s="646"/>
      <c r="EF308" s="646"/>
      <c r="EG308" s="646"/>
      <c r="EH308" s="646"/>
      <c r="EI308" s="646"/>
      <c r="EJ308" s="646"/>
      <c r="EK308" s="271"/>
      <c r="EL308" s="644"/>
      <c r="EM308" s="634"/>
      <c r="EN308" s="647"/>
      <c r="EO308" s="648"/>
      <c r="EP308" s="647"/>
      <c r="EQ308" s="647"/>
      <c r="ER308" s="647"/>
      <c r="ES308" s="139"/>
      <c r="EV308" s="647"/>
      <c r="EW308" s="647"/>
      <c r="EX308" s="647"/>
      <c r="EY308" s="647"/>
      <c r="EZ308" s="647"/>
      <c r="FA308" s="646"/>
      <c r="FB308" s="646"/>
      <c r="FC308" s="646"/>
      <c r="FD308" s="646"/>
      <c r="FE308" s="646"/>
      <c r="FF308" s="646"/>
      <c r="FG308" s="647"/>
      <c r="FH308" s="647"/>
      <c r="FI308" s="647"/>
      <c r="FJ308" s="647"/>
      <c r="FK308" s="647"/>
      <c r="FL308" s="647"/>
      <c r="FM308" s="647"/>
      <c r="FN308" s="647"/>
      <c r="FO308" s="647"/>
      <c r="FP308" s="647"/>
      <c r="FQ308" s="647"/>
      <c r="FR308" s="647"/>
      <c r="FS308" s="101"/>
      <c r="FT308" s="95"/>
      <c r="FU308" s="651"/>
      <c r="FV308" s="101"/>
      <c r="FW308" s="101"/>
      <c r="FX308" s="634"/>
      <c r="FY308" s="634"/>
      <c r="FZ308" s="634"/>
      <c r="GA308" s="634"/>
      <c r="GB308" s="634"/>
      <c r="GC308" s="634"/>
      <c r="GD308" s="634"/>
      <c r="GE308" s="634"/>
      <c r="GF308" s="634"/>
      <c r="GG308" s="634"/>
      <c r="GH308" s="634"/>
      <c r="GI308" s="634"/>
      <c r="GJ308" s="634"/>
      <c r="GK308" s="634"/>
      <c r="GL308" s="101"/>
      <c r="GM308" s="101"/>
      <c r="GN308" s="101"/>
      <c r="GO308" s="643"/>
      <c r="GP308" s="644"/>
      <c r="GQ308" s="643"/>
      <c r="GR308" s="644"/>
      <c r="GS308" s="643"/>
      <c r="GT308" s="644"/>
      <c r="GU308" s="644"/>
      <c r="GV308" s="644"/>
      <c r="GW308" s="644"/>
      <c r="GX308" s="644"/>
      <c r="GY308" s="644"/>
      <c r="GZ308" s="644"/>
      <c r="HA308" s="644"/>
    </row>
    <row r="309" spans="1:209">
      <c r="A309" s="638"/>
      <c r="B309" s="95"/>
      <c r="C309" s="95"/>
      <c r="D309" s="95"/>
      <c r="E309" s="650"/>
      <c r="F309" s="95"/>
      <c r="G309" s="98"/>
      <c r="H309" s="99"/>
      <c r="I309" s="95"/>
      <c r="J309" s="95"/>
      <c r="K309" s="95"/>
      <c r="L309" s="95"/>
      <c r="M309" s="95"/>
      <c r="N309" s="95"/>
      <c r="O309" s="95"/>
      <c r="P309" s="95"/>
      <c r="Q309" s="95"/>
      <c r="R309" s="98"/>
      <c r="S309" s="101"/>
      <c r="T309" s="644"/>
      <c r="U309" s="101"/>
      <c r="V309" s="647"/>
      <c r="W309" s="643"/>
      <c r="X309" s="644"/>
      <c r="Y309" s="101"/>
      <c r="Z309" s="644"/>
      <c r="AA309" s="101"/>
      <c r="AB309" s="644"/>
      <c r="AC309" s="101"/>
      <c r="AD309" s="646"/>
      <c r="AE309" s="271"/>
      <c r="AF309" s="646"/>
      <c r="AG309" s="646"/>
      <c r="AH309" s="646"/>
      <c r="AI309" s="646"/>
      <c r="AJ309" s="646"/>
      <c r="AK309" s="646"/>
      <c r="AL309" s="646"/>
      <c r="AM309" s="271"/>
      <c r="AN309" s="646"/>
      <c r="AO309" s="646"/>
      <c r="AP309" s="646"/>
      <c r="AQ309" s="271"/>
      <c r="AR309" s="646"/>
      <c r="AS309" s="270"/>
      <c r="AT309" s="646"/>
      <c r="AU309" s="646"/>
      <c r="AV309" s="646"/>
      <c r="AW309" s="270"/>
      <c r="AX309" s="646"/>
      <c r="AY309" s="270"/>
      <c r="AZ309" s="646"/>
      <c r="BA309" s="646"/>
      <c r="BB309" s="644"/>
      <c r="BC309" s="644"/>
      <c r="BD309" s="644"/>
      <c r="BE309" s="644"/>
      <c r="BF309" s="644"/>
      <c r="BG309" s="644"/>
      <c r="BH309" s="644"/>
      <c r="BI309" s="644"/>
      <c r="BJ309" s="644"/>
      <c r="BK309" s="644"/>
      <c r="BL309" s="644"/>
      <c r="BM309" s="95"/>
      <c r="BN309" s="644"/>
      <c r="BO309" s="95"/>
      <c r="BP309" s="644"/>
      <c r="BQ309" s="644"/>
      <c r="BR309" s="644"/>
      <c r="BS309" s="644"/>
      <c r="BT309" s="644"/>
      <c r="BU309" s="644"/>
      <c r="BV309" s="644"/>
      <c r="BW309" s="644"/>
      <c r="BX309" s="644"/>
      <c r="BY309" s="644"/>
      <c r="BZ309" s="644"/>
      <c r="CA309" s="644"/>
      <c r="CB309" s="644"/>
      <c r="CC309" s="644"/>
      <c r="CD309" s="644"/>
      <c r="CE309" s="644"/>
      <c r="CF309" s="644"/>
      <c r="CG309" s="644"/>
      <c r="CH309" s="644"/>
      <c r="CI309" s="644"/>
      <c r="CJ309" s="644"/>
      <c r="CK309" s="644"/>
      <c r="CL309" s="644"/>
      <c r="CM309" s="95"/>
      <c r="CN309" s="644"/>
      <c r="CO309" s="644"/>
      <c r="CP309" s="95"/>
      <c r="CQ309" s="98"/>
      <c r="CR309" s="95"/>
      <c r="CS309" s="95"/>
      <c r="CT309" s="95"/>
      <c r="CU309" s="108"/>
      <c r="CV309" s="109"/>
      <c r="CW309" s="644"/>
      <c r="CX309" s="496"/>
      <c r="CY309" s="637"/>
      <c r="CZ309" s="644"/>
      <c r="DA309" s="644"/>
      <c r="DB309" s="644"/>
      <c r="DC309" s="496"/>
      <c r="DD309" s="644"/>
      <c r="DE309" s="101"/>
      <c r="DF309" s="644"/>
      <c r="DG309" s="101"/>
      <c r="DH309" s="644"/>
      <c r="DI309" s="644"/>
      <c r="DJ309" s="644"/>
      <c r="DK309" s="644"/>
      <c r="DL309" s="644"/>
      <c r="DM309" s="101"/>
      <c r="DN309" s="644"/>
      <c r="DO309" s="644"/>
      <c r="DP309" s="644"/>
      <c r="DQ309" s="644"/>
      <c r="DR309" s="644"/>
      <c r="DS309" s="644"/>
      <c r="DT309" s="644"/>
      <c r="DU309" s="644"/>
      <c r="DV309" s="644"/>
      <c r="DW309" s="101"/>
      <c r="DX309" s="646"/>
      <c r="DY309" s="646"/>
      <c r="DZ309" s="646"/>
      <c r="EA309" s="646"/>
      <c r="EB309" s="646"/>
      <c r="EC309" s="646"/>
      <c r="ED309" s="646"/>
      <c r="EE309" s="646"/>
      <c r="EF309" s="646"/>
      <c r="EG309" s="646"/>
      <c r="EH309" s="646"/>
      <c r="EI309" s="646"/>
      <c r="EJ309" s="646"/>
      <c r="EK309" s="271"/>
      <c r="EL309" s="644"/>
      <c r="EM309" s="634"/>
      <c r="EN309" s="647"/>
      <c r="EO309" s="648"/>
      <c r="EP309" s="647"/>
      <c r="EQ309" s="647"/>
      <c r="ER309" s="647"/>
      <c r="ES309" s="139"/>
      <c r="EV309" s="647"/>
      <c r="EW309" s="647"/>
      <c r="EX309" s="647"/>
      <c r="EY309" s="647"/>
      <c r="EZ309" s="647"/>
      <c r="FA309" s="646"/>
      <c r="FB309" s="646"/>
      <c r="FC309" s="646"/>
      <c r="FD309" s="646"/>
      <c r="FE309" s="646"/>
      <c r="FF309" s="646"/>
      <c r="FG309" s="647"/>
      <c r="FH309" s="647"/>
      <c r="FI309" s="647"/>
      <c r="FJ309" s="647"/>
      <c r="FK309" s="647"/>
      <c r="FL309" s="647"/>
      <c r="FM309" s="647"/>
      <c r="FN309" s="647"/>
      <c r="FO309" s="647"/>
      <c r="FP309" s="647"/>
      <c r="FQ309" s="647"/>
      <c r="FR309" s="647"/>
      <c r="FS309" s="101"/>
      <c r="FT309" s="95"/>
      <c r="FU309" s="651"/>
      <c r="FV309" s="101"/>
      <c r="FW309" s="101"/>
      <c r="FX309" s="634"/>
      <c r="FY309" s="634"/>
      <c r="FZ309" s="634"/>
      <c r="GA309" s="634"/>
      <c r="GB309" s="634"/>
      <c r="GC309" s="634"/>
      <c r="GD309" s="634"/>
      <c r="GE309" s="634"/>
      <c r="GF309" s="634"/>
      <c r="GG309" s="634"/>
      <c r="GH309" s="634"/>
      <c r="GI309" s="634"/>
      <c r="GJ309" s="634"/>
      <c r="GK309" s="634"/>
      <c r="GL309" s="101"/>
      <c r="GM309" s="101"/>
      <c r="GN309" s="101"/>
      <c r="GO309" s="643"/>
      <c r="GP309" s="644"/>
      <c r="GQ309" s="643"/>
      <c r="GR309" s="644"/>
      <c r="GS309" s="643"/>
      <c r="GT309" s="644"/>
      <c r="GU309" s="644"/>
      <c r="GV309" s="644"/>
      <c r="GW309" s="644"/>
      <c r="GX309" s="644"/>
      <c r="GY309" s="644"/>
      <c r="GZ309" s="644"/>
      <c r="HA309" s="644"/>
    </row>
    <row r="310" spans="1:209">
      <c r="A310" s="638"/>
      <c r="B310" s="95"/>
      <c r="C310" s="95"/>
      <c r="D310" s="95"/>
      <c r="E310" s="650"/>
      <c r="F310" s="95"/>
      <c r="G310" s="98"/>
      <c r="H310" s="99"/>
      <c r="I310" s="95"/>
      <c r="J310" s="95"/>
      <c r="K310" s="95"/>
      <c r="L310" s="95"/>
      <c r="M310" s="95"/>
      <c r="N310" s="95"/>
      <c r="O310" s="95"/>
      <c r="P310" s="95"/>
      <c r="Q310" s="95"/>
      <c r="R310" s="98"/>
      <c r="S310" s="101"/>
      <c r="T310" s="644"/>
      <c r="U310" s="101"/>
      <c r="V310" s="647"/>
      <c r="W310" s="643"/>
      <c r="X310" s="644"/>
      <c r="Y310" s="101"/>
      <c r="Z310" s="644"/>
      <c r="AA310" s="101"/>
      <c r="AB310" s="644"/>
      <c r="AC310" s="101"/>
      <c r="AD310" s="646"/>
      <c r="AE310" s="271"/>
      <c r="AF310" s="646"/>
      <c r="AG310" s="646"/>
      <c r="AH310" s="646"/>
      <c r="AI310" s="646"/>
      <c r="AJ310" s="646"/>
      <c r="AK310" s="646"/>
      <c r="AL310" s="646"/>
      <c r="AM310" s="271"/>
      <c r="AN310" s="646"/>
      <c r="AO310" s="646"/>
      <c r="AP310" s="646"/>
      <c r="AQ310" s="271"/>
      <c r="AR310" s="646"/>
      <c r="AS310" s="270"/>
      <c r="AT310" s="646"/>
      <c r="AU310" s="646"/>
      <c r="AV310" s="646"/>
      <c r="AW310" s="270"/>
      <c r="AX310" s="646"/>
      <c r="AY310" s="270"/>
      <c r="AZ310" s="646"/>
      <c r="BA310" s="646"/>
      <c r="BB310" s="644"/>
      <c r="BC310" s="644"/>
      <c r="BD310" s="644"/>
      <c r="BE310" s="644"/>
      <c r="BF310" s="644"/>
      <c r="BG310" s="644"/>
      <c r="BH310" s="644"/>
      <c r="BI310" s="644"/>
      <c r="BJ310" s="644"/>
      <c r="BK310" s="644"/>
      <c r="BL310" s="644"/>
      <c r="BM310" s="95"/>
      <c r="BN310" s="644"/>
      <c r="BO310" s="95"/>
      <c r="BP310" s="644"/>
      <c r="BQ310" s="644"/>
      <c r="BR310" s="644"/>
      <c r="BS310" s="644"/>
      <c r="BT310" s="644"/>
      <c r="BU310" s="644"/>
      <c r="BV310" s="644"/>
      <c r="BW310" s="644"/>
      <c r="BX310" s="644"/>
      <c r="BY310" s="644"/>
      <c r="BZ310" s="644"/>
      <c r="CA310" s="644"/>
      <c r="CB310" s="644"/>
      <c r="CC310" s="644"/>
      <c r="CD310" s="644"/>
      <c r="CE310" s="644"/>
      <c r="CF310" s="644"/>
      <c r="CG310" s="644"/>
      <c r="CH310" s="644"/>
      <c r="CI310" s="644"/>
      <c r="CJ310" s="644"/>
      <c r="CK310" s="644"/>
      <c r="CL310" s="644"/>
      <c r="CM310" s="95"/>
      <c r="CN310" s="644"/>
      <c r="CO310" s="644"/>
      <c r="CP310" s="95"/>
      <c r="CQ310" s="98"/>
      <c r="CR310" s="95"/>
      <c r="CS310" s="95"/>
      <c r="CT310" s="95"/>
      <c r="CU310" s="108"/>
      <c r="CV310" s="109"/>
      <c r="CW310" s="644"/>
      <c r="CX310" s="496"/>
      <c r="CY310" s="637"/>
      <c r="CZ310" s="644"/>
      <c r="DA310" s="644"/>
      <c r="DB310" s="644"/>
      <c r="DC310" s="496"/>
      <c r="DD310" s="644"/>
      <c r="DE310" s="101"/>
      <c r="DF310" s="644"/>
      <c r="DG310" s="101"/>
      <c r="DH310" s="644"/>
      <c r="DI310" s="644"/>
      <c r="DJ310" s="644"/>
      <c r="DK310" s="644"/>
      <c r="DL310" s="644"/>
      <c r="DM310" s="101"/>
      <c r="DN310" s="644"/>
      <c r="DO310" s="644"/>
      <c r="DP310" s="644"/>
      <c r="DQ310" s="644"/>
      <c r="DR310" s="644"/>
      <c r="DS310" s="644"/>
      <c r="DT310" s="644"/>
      <c r="DU310" s="644"/>
      <c r="DV310" s="644"/>
      <c r="DW310" s="101"/>
      <c r="DX310" s="646"/>
      <c r="DY310" s="646"/>
      <c r="DZ310" s="646"/>
      <c r="EA310" s="646"/>
      <c r="EB310" s="646"/>
      <c r="EC310" s="646"/>
      <c r="ED310" s="646"/>
      <c r="EE310" s="646"/>
      <c r="EF310" s="646"/>
      <c r="EG310" s="646"/>
      <c r="EH310" s="646"/>
      <c r="EI310" s="646"/>
      <c r="EJ310" s="646"/>
      <c r="EK310" s="271"/>
      <c r="EL310" s="644"/>
      <c r="EM310" s="634"/>
      <c r="EN310" s="647"/>
      <c r="EO310" s="648"/>
      <c r="EP310" s="647"/>
      <c r="EQ310" s="647"/>
      <c r="ER310" s="647"/>
      <c r="ES310" s="139"/>
      <c r="EV310" s="647"/>
      <c r="EW310" s="647"/>
      <c r="EX310" s="647"/>
      <c r="EY310" s="647"/>
      <c r="EZ310" s="647"/>
      <c r="FA310" s="646"/>
      <c r="FB310" s="646"/>
      <c r="FC310" s="646"/>
      <c r="FD310" s="646"/>
      <c r="FE310" s="646"/>
      <c r="FF310" s="646"/>
      <c r="FG310" s="647"/>
      <c r="FH310" s="647"/>
      <c r="FI310" s="647"/>
      <c r="FJ310" s="647"/>
      <c r="FK310" s="647"/>
      <c r="FL310" s="647"/>
      <c r="FM310" s="647"/>
      <c r="FN310" s="647"/>
      <c r="FO310" s="647"/>
      <c r="FP310" s="647"/>
      <c r="FQ310" s="647"/>
      <c r="FR310" s="647"/>
      <c r="FS310" s="101"/>
      <c r="FT310" s="95"/>
      <c r="FU310" s="651"/>
      <c r="FV310" s="101"/>
      <c r="FW310" s="101"/>
      <c r="FX310" s="634"/>
      <c r="FY310" s="634"/>
      <c r="FZ310" s="634"/>
      <c r="GA310" s="634"/>
      <c r="GB310" s="634"/>
      <c r="GC310" s="634"/>
      <c r="GD310" s="634"/>
      <c r="GE310" s="634"/>
      <c r="GF310" s="634"/>
      <c r="GG310" s="634"/>
      <c r="GH310" s="634"/>
      <c r="GI310" s="634"/>
      <c r="GJ310" s="634"/>
      <c r="GK310" s="634"/>
      <c r="GL310" s="101"/>
      <c r="GM310" s="101"/>
      <c r="GN310" s="101"/>
      <c r="GO310" s="643"/>
      <c r="GP310" s="644"/>
      <c r="GQ310" s="643"/>
      <c r="GR310" s="644"/>
      <c r="GS310" s="643"/>
      <c r="GT310" s="644"/>
      <c r="GU310" s="644"/>
      <c r="GV310" s="644"/>
      <c r="GW310" s="644"/>
      <c r="GX310" s="644"/>
      <c r="GY310" s="644"/>
      <c r="GZ310" s="644"/>
      <c r="HA310" s="644"/>
    </row>
    <row r="311" spans="1:209">
      <c r="A311" s="638"/>
      <c r="B311" s="95"/>
      <c r="C311" s="95"/>
      <c r="D311" s="95"/>
      <c r="E311" s="650"/>
      <c r="F311" s="95"/>
      <c r="G311" s="98"/>
      <c r="H311" s="99"/>
      <c r="I311" s="95"/>
      <c r="J311" s="95"/>
      <c r="K311" s="95"/>
      <c r="L311" s="95"/>
      <c r="M311" s="95"/>
      <c r="N311" s="95"/>
      <c r="O311" s="95"/>
      <c r="P311" s="95"/>
      <c r="Q311" s="95"/>
      <c r="R311" s="98"/>
      <c r="S311" s="101"/>
      <c r="T311" s="644"/>
      <c r="U311" s="101"/>
      <c r="V311" s="647"/>
      <c r="W311" s="643"/>
      <c r="X311" s="644"/>
      <c r="Y311" s="101"/>
      <c r="Z311" s="644"/>
      <c r="AA311" s="101"/>
      <c r="AB311" s="644"/>
      <c r="AC311" s="101"/>
      <c r="AD311" s="646"/>
      <c r="AE311" s="271"/>
      <c r="AF311" s="646"/>
      <c r="AG311" s="646"/>
      <c r="AH311" s="646"/>
      <c r="AI311" s="646"/>
      <c r="AJ311" s="646"/>
      <c r="AK311" s="646"/>
      <c r="AL311" s="646"/>
      <c r="AM311" s="271"/>
      <c r="AN311" s="646"/>
      <c r="AO311" s="646"/>
      <c r="AP311" s="646"/>
      <c r="AQ311" s="271"/>
      <c r="AR311" s="646"/>
      <c r="AS311" s="270"/>
      <c r="AT311" s="646"/>
      <c r="AU311" s="646"/>
      <c r="AV311" s="646"/>
      <c r="AW311" s="270"/>
      <c r="AX311" s="646"/>
      <c r="AY311" s="270"/>
      <c r="AZ311" s="646"/>
      <c r="BA311" s="646"/>
      <c r="BB311" s="644"/>
      <c r="BC311" s="644"/>
      <c r="BD311" s="644"/>
      <c r="BE311" s="644"/>
      <c r="BF311" s="644"/>
      <c r="BG311" s="644"/>
      <c r="BH311" s="644"/>
      <c r="BI311" s="644"/>
      <c r="BJ311" s="644"/>
      <c r="BK311" s="644"/>
      <c r="BL311" s="644"/>
      <c r="BM311" s="95"/>
      <c r="BN311" s="644"/>
      <c r="BO311" s="95"/>
      <c r="BP311" s="644"/>
      <c r="BQ311" s="644"/>
      <c r="BR311" s="644"/>
      <c r="BS311" s="644"/>
      <c r="BT311" s="644"/>
      <c r="BU311" s="644"/>
      <c r="BV311" s="644"/>
      <c r="BW311" s="644"/>
      <c r="BX311" s="644"/>
      <c r="BY311" s="644"/>
      <c r="BZ311" s="644"/>
      <c r="CA311" s="644"/>
      <c r="CB311" s="644"/>
      <c r="CC311" s="644"/>
      <c r="CD311" s="644"/>
      <c r="CE311" s="644"/>
      <c r="CF311" s="644"/>
      <c r="CG311" s="644"/>
      <c r="CH311" s="644"/>
      <c r="CI311" s="644"/>
      <c r="CJ311" s="644"/>
      <c r="CK311" s="644"/>
      <c r="CL311" s="644"/>
      <c r="CM311" s="95"/>
      <c r="CN311" s="644"/>
      <c r="CO311" s="644"/>
      <c r="CP311" s="95"/>
      <c r="CQ311" s="98"/>
      <c r="CR311" s="95"/>
      <c r="CS311" s="95"/>
      <c r="CT311" s="95"/>
      <c r="CU311" s="108"/>
      <c r="CV311" s="109"/>
      <c r="CW311" s="644"/>
      <c r="CX311" s="496"/>
      <c r="CY311" s="637"/>
      <c r="CZ311" s="644"/>
      <c r="DA311" s="644"/>
      <c r="DB311" s="644"/>
      <c r="DC311" s="496"/>
      <c r="DD311" s="644"/>
      <c r="DE311" s="101"/>
      <c r="DF311" s="644"/>
      <c r="DG311" s="101"/>
      <c r="DH311" s="644"/>
      <c r="DI311" s="644"/>
      <c r="DJ311" s="644"/>
      <c r="DK311" s="644"/>
      <c r="DL311" s="644"/>
      <c r="DM311" s="101"/>
      <c r="DN311" s="644"/>
      <c r="DO311" s="644"/>
      <c r="DP311" s="644"/>
      <c r="DQ311" s="644"/>
      <c r="DR311" s="644"/>
      <c r="DS311" s="644"/>
      <c r="DT311" s="644"/>
      <c r="DU311" s="644"/>
      <c r="DV311" s="644"/>
      <c r="DW311" s="101"/>
      <c r="DX311" s="646"/>
      <c r="DY311" s="646"/>
      <c r="DZ311" s="646"/>
      <c r="EA311" s="646"/>
      <c r="EB311" s="646"/>
      <c r="EC311" s="646"/>
      <c r="ED311" s="646"/>
      <c r="EE311" s="646"/>
      <c r="EF311" s="646"/>
      <c r="EG311" s="646"/>
      <c r="EH311" s="646"/>
      <c r="EI311" s="646"/>
      <c r="EJ311" s="646"/>
      <c r="EK311" s="271"/>
      <c r="EL311" s="644"/>
      <c r="EM311" s="634"/>
      <c r="EN311" s="647"/>
      <c r="EO311" s="648"/>
      <c r="EP311" s="647"/>
      <c r="EQ311" s="647"/>
      <c r="ER311" s="647"/>
      <c r="ES311" s="139"/>
      <c r="EV311" s="647"/>
      <c r="EW311" s="647"/>
      <c r="EX311" s="647"/>
      <c r="EY311" s="647"/>
      <c r="EZ311" s="647"/>
      <c r="FA311" s="646"/>
      <c r="FB311" s="646"/>
      <c r="FC311" s="646"/>
      <c r="FD311" s="646"/>
      <c r="FE311" s="646"/>
      <c r="FF311" s="646"/>
      <c r="FG311" s="647"/>
      <c r="FH311" s="647"/>
      <c r="FI311" s="647"/>
      <c r="FJ311" s="647"/>
      <c r="FK311" s="647"/>
      <c r="FL311" s="647"/>
      <c r="FM311" s="647"/>
      <c r="FN311" s="647"/>
      <c r="FO311" s="647"/>
      <c r="FP311" s="647"/>
      <c r="FQ311" s="647"/>
      <c r="FR311" s="647"/>
      <c r="FS311" s="101"/>
      <c r="FT311" s="95"/>
      <c r="FU311" s="651"/>
      <c r="FV311" s="101"/>
      <c r="FW311" s="101"/>
      <c r="FX311" s="634"/>
      <c r="FY311" s="634"/>
      <c r="FZ311" s="634"/>
      <c r="GA311" s="634"/>
      <c r="GB311" s="634"/>
      <c r="GC311" s="634"/>
      <c r="GD311" s="634"/>
      <c r="GE311" s="634"/>
      <c r="GF311" s="634"/>
      <c r="GG311" s="634"/>
      <c r="GH311" s="634"/>
      <c r="GI311" s="634"/>
      <c r="GJ311" s="634"/>
      <c r="GK311" s="634"/>
      <c r="GL311" s="101"/>
      <c r="GM311" s="101"/>
      <c r="GN311" s="101"/>
      <c r="GO311" s="643"/>
      <c r="GP311" s="644"/>
      <c r="GQ311" s="643"/>
      <c r="GR311" s="644"/>
      <c r="GS311" s="643"/>
      <c r="GT311" s="644"/>
      <c r="GU311" s="644"/>
      <c r="GV311" s="644"/>
      <c r="GW311" s="644"/>
      <c r="GX311" s="644"/>
      <c r="GY311" s="644"/>
      <c r="GZ311" s="644"/>
      <c r="HA311" s="644"/>
    </row>
    <row r="312" spans="1:209">
      <c r="A312" s="638"/>
      <c r="B312" s="95"/>
      <c r="C312" s="95"/>
      <c r="D312" s="95"/>
      <c r="E312" s="650"/>
      <c r="F312" s="95"/>
      <c r="G312" s="98"/>
      <c r="H312" s="99"/>
      <c r="I312" s="95"/>
      <c r="J312" s="95"/>
      <c r="K312" s="95"/>
      <c r="L312" s="95"/>
      <c r="M312" s="95"/>
      <c r="N312" s="95"/>
      <c r="O312" s="95"/>
      <c r="P312" s="95"/>
      <c r="Q312" s="95"/>
      <c r="R312" s="98"/>
      <c r="S312" s="101"/>
      <c r="T312" s="644"/>
      <c r="U312" s="101"/>
      <c r="V312" s="647"/>
      <c r="W312" s="643"/>
      <c r="X312" s="644"/>
      <c r="Y312" s="101"/>
      <c r="Z312" s="644"/>
      <c r="AA312" s="101"/>
      <c r="AB312" s="644"/>
      <c r="AC312" s="101"/>
      <c r="AD312" s="646"/>
      <c r="AE312" s="271"/>
      <c r="AF312" s="646"/>
      <c r="AG312" s="646"/>
      <c r="AH312" s="646"/>
      <c r="AI312" s="646"/>
      <c r="AJ312" s="646"/>
      <c r="AK312" s="646"/>
      <c r="AL312" s="646"/>
      <c r="AM312" s="271"/>
      <c r="AN312" s="646"/>
      <c r="AO312" s="646"/>
      <c r="AP312" s="646"/>
      <c r="AQ312" s="271"/>
      <c r="AR312" s="646"/>
      <c r="AS312" s="270"/>
      <c r="AT312" s="646"/>
      <c r="AU312" s="646"/>
      <c r="AV312" s="646"/>
      <c r="AW312" s="270"/>
      <c r="AX312" s="646"/>
      <c r="AY312" s="270"/>
      <c r="AZ312" s="646"/>
      <c r="BA312" s="646"/>
      <c r="BB312" s="644"/>
      <c r="BC312" s="644"/>
      <c r="BD312" s="644"/>
      <c r="BE312" s="644"/>
      <c r="BF312" s="644"/>
      <c r="BG312" s="644"/>
      <c r="BH312" s="644"/>
      <c r="BI312" s="644"/>
      <c r="BJ312" s="644"/>
      <c r="BK312" s="644"/>
      <c r="BL312" s="644"/>
      <c r="BM312" s="95"/>
      <c r="BN312" s="644"/>
      <c r="BO312" s="95"/>
      <c r="BP312" s="644"/>
      <c r="BQ312" s="644"/>
      <c r="BR312" s="644"/>
      <c r="BS312" s="644"/>
      <c r="BT312" s="644"/>
      <c r="BU312" s="644"/>
      <c r="BV312" s="644"/>
      <c r="BW312" s="644"/>
      <c r="BX312" s="644"/>
      <c r="BY312" s="644"/>
      <c r="BZ312" s="644"/>
      <c r="CA312" s="644"/>
      <c r="CB312" s="644"/>
      <c r="CC312" s="644"/>
      <c r="CD312" s="644"/>
      <c r="CE312" s="644"/>
      <c r="CF312" s="644"/>
      <c r="CG312" s="644"/>
      <c r="CH312" s="644"/>
      <c r="CI312" s="644"/>
      <c r="CJ312" s="644"/>
      <c r="CK312" s="644"/>
      <c r="CL312" s="644"/>
      <c r="CM312" s="95"/>
      <c r="CN312" s="644"/>
      <c r="CO312" s="644"/>
      <c r="CP312" s="95"/>
      <c r="CQ312" s="98"/>
      <c r="CR312" s="95"/>
      <c r="CS312" s="95"/>
      <c r="CT312" s="95"/>
      <c r="CU312" s="108"/>
      <c r="CV312" s="109"/>
      <c r="CW312" s="644"/>
      <c r="CX312" s="496"/>
      <c r="CY312" s="637"/>
      <c r="CZ312" s="644"/>
      <c r="DA312" s="644"/>
      <c r="DB312" s="644"/>
      <c r="DC312" s="496"/>
      <c r="DD312" s="644"/>
      <c r="DE312" s="101"/>
      <c r="DF312" s="644"/>
      <c r="DG312" s="101"/>
      <c r="DH312" s="644"/>
      <c r="DI312" s="644"/>
      <c r="DJ312" s="644"/>
      <c r="DK312" s="644"/>
      <c r="DL312" s="644"/>
      <c r="DM312" s="101"/>
      <c r="DN312" s="644"/>
      <c r="DO312" s="644"/>
      <c r="DP312" s="644"/>
      <c r="DQ312" s="644"/>
      <c r="DR312" s="644"/>
      <c r="DS312" s="644"/>
      <c r="DT312" s="644"/>
      <c r="DU312" s="644"/>
      <c r="DV312" s="644"/>
      <c r="DW312" s="101"/>
      <c r="DX312" s="646"/>
      <c r="DY312" s="646"/>
      <c r="DZ312" s="646"/>
      <c r="EA312" s="646"/>
      <c r="EB312" s="646"/>
      <c r="EC312" s="646"/>
      <c r="ED312" s="646"/>
      <c r="EE312" s="646"/>
      <c r="EF312" s="646"/>
      <c r="EG312" s="646"/>
      <c r="EH312" s="646"/>
      <c r="EI312" s="646"/>
      <c r="EJ312" s="646"/>
      <c r="EK312" s="271"/>
      <c r="EL312" s="644"/>
      <c r="EM312" s="634"/>
      <c r="EN312" s="647"/>
      <c r="EO312" s="648"/>
      <c r="EP312" s="647"/>
      <c r="EQ312" s="647"/>
      <c r="ER312" s="647"/>
      <c r="ES312" s="139"/>
      <c r="EV312" s="647"/>
      <c r="EW312" s="647"/>
      <c r="EX312" s="647"/>
      <c r="EY312" s="647"/>
      <c r="EZ312" s="647"/>
      <c r="FA312" s="646"/>
      <c r="FB312" s="646"/>
      <c r="FC312" s="646"/>
      <c r="FD312" s="646"/>
      <c r="FE312" s="646"/>
      <c r="FF312" s="646"/>
      <c r="FG312" s="647"/>
      <c r="FH312" s="647"/>
      <c r="FI312" s="647"/>
      <c r="FJ312" s="647"/>
      <c r="FK312" s="647"/>
      <c r="FL312" s="647"/>
      <c r="FM312" s="647"/>
      <c r="FN312" s="647"/>
      <c r="FO312" s="647"/>
      <c r="FP312" s="647"/>
      <c r="FQ312" s="647"/>
      <c r="FR312" s="647"/>
      <c r="FS312" s="101"/>
      <c r="FT312" s="95"/>
      <c r="FU312" s="651"/>
      <c r="FV312" s="101"/>
      <c r="FW312" s="101"/>
      <c r="FX312" s="634"/>
      <c r="FY312" s="634"/>
      <c r="FZ312" s="634"/>
      <c r="GA312" s="634"/>
      <c r="GB312" s="634"/>
      <c r="GC312" s="634"/>
      <c r="GD312" s="634"/>
      <c r="GE312" s="634"/>
      <c r="GF312" s="634"/>
      <c r="GG312" s="634"/>
      <c r="GH312" s="634"/>
      <c r="GI312" s="634"/>
      <c r="GJ312" s="634"/>
      <c r="GK312" s="634"/>
      <c r="GL312" s="101"/>
      <c r="GM312" s="101"/>
      <c r="GN312" s="101"/>
      <c r="GO312" s="643"/>
      <c r="GP312" s="644"/>
      <c r="GQ312" s="643"/>
      <c r="GR312" s="644"/>
      <c r="GS312" s="643"/>
      <c r="GT312" s="644"/>
      <c r="GU312" s="644"/>
      <c r="GV312" s="644"/>
      <c r="GW312" s="644"/>
      <c r="GX312" s="644"/>
      <c r="GY312" s="644"/>
      <c r="GZ312" s="644"/>
      <c r="HA312" s="644"/>
    </row>
    <row r="313" spans="1:209">
      <c r="A313" s="638"/>
      <c r="B313" s="95"/>
      <c r="C313" s="95"/>
      <c r="D313" s="95"/>
      <c r="E313" s="650"/>
      <c r="F313" s="95"/>
      <c r="G313" s="98"/>
      <c r="H313" s="99"/>
      <c r="I313" s="95"/>
      <c r="J313" s="95"/>
      <c r="K313" s="95"/>
      <c r="L313" s="95"/>
      <c r="M313" s="95"/>
      <c r="N313" s="95"/>
      <c r="O313" s="95"/>
      <c r="P313" s="95"/>
      <c r="Q313" s="95"/>
      <c r="R313" s="98"/>
      <c r="S313" s="101"/>
      <c r="T313" s="644"/>
      <c r="U313" s="101"/>
      <c r="V313" s="647"/>
      <c r="W313" s="643"/>
      <c r="X313" s="644"/>
      <c r="Y313" s="101"/>
      <c r="Z313" s="644"/>
      <c r="AA313" s="101"/>
      <c r="AB313" s="644"/>
      <c r="AC313" s="101"/>
      <c r="AD313" s="646"/>
      <c r="AE313" s="271"/>
      <c r="AF313" s="646"/>
      <c r="AG313" s="646"/>
      <c r="AH313" s="646"/>
      <c r="AI313" s="646"/>
      <c r="AJ313" s="646"/>
      <c r="AK313" s="646"/>
      <c r="AL313" s="646"/>
      <c r="AM313" s="271"/>
      <c r="AN313" s="646"/>
      <c r="AO313" s="646"/>
      <c r="AP313" s="646"/>
      <c r="AQ313" s="271"/>
      <c r="AR313" s="646"/>
      <c r="AS313" s="270"/>
      <c r="AT313" s="646"/>
      <c r="AU313" s="646"/>
      <c r="AV313" s="646"/>
      <c r="AW313" s="270"/>
      <c r="AX313" s="646"/>
      <c r="AY313" s="270"/>
      <c r="AZ313" s="646"/>
      <c r="BA313" s="646"/>
      <c r="BB313" s="644"/>
      <c r="BC313" s="644"/>
      <c r="BD313" s="644"/>
      <c r="BE313" s="644"/>
      <c r="BF313" s="644"/>
      <c r="BG313" s="644"/>
      <c r="BH313" s="644"/>
      <c r="BI313" s="644"/>
      <c r="BJ313" s="644"/>
      <c r="BK313" s="644"/>
      <c r="BL313" s="644"/>
      <c r="BM313" s="95"/>
      <c r="BN313" s="644"/>
      <c r="BO313" s="95"/>
      <c r="BP313" s="644"/>
      <c r="BQ313" s="644"/>
      <c r="BR313" s="644"/>
      <c r="BS313" s="644"/>
      <c r="BT313" s="644"/>
      <c r="BU313" s="644"/>
      <c r="BV313" s="644"/>
      <c r="BW313" s="644"/>
      <c r="BX313" s="644"/>
      <c r="BY313" s="644"/>
      <c r="BZ313" s="644"/>
      <c r="CA313" s="644"/>
      <c r="CB313" s="644"/>
      <c r="CC313" s="644"/>
      <c r="CD313" s="644"/>
      <c r="CE313" s="644"/>
      <c r="CF313" s="644"/>
      <c r="CG313" s="644"/>
      <c r="CH313" s="644"/>
      <c r="CI313" s="644"/>
      <c r="CJ313" s="644"/>
      <c r="CK313" s="644"/>
      <c r="CL313" s="644"/>
      <c r="CM313" s="95"/>
      <c r="CN313" s="644"/>
      <c r="CO313" s="644"/>
      <c r="CP313" s="95"/>
      <c r="CQ313" s="98"/>
      <c r="CR313" s="95"/>
      <c r="CS313" s="95"/>
      <c r="CT313" s="95"/>
      <c r="CU313" s="108"/>
      <c r="CV313" s="109"/>
      <c r="CW313" s="644"/>
      <c r="CX313" s="496"/>
      <c r="CY313" s="637"/>
      <c r="CZ313" s="644"/>
      <c r="DA313" s="644"/>
      <c r="DB313" s="644"/>
      <c r="DC313" s="496"/>
      <c r="DD313" s="644"/>
      <c r="DE313" s="101"/>
      <c r="DF313" s="644"/>
      <c r="DG313" s="101"/>
      <c r="DH313" s="644"/>
      <c r="DI313" s="644"/>
      <c r="DJ313" s="644"/>
      <c r="DK313" s="644"/>
      <c r="DL313" s="644"/>
      <c r="DM313" s="101"/>
      <c r="DN313" s="644"/>
      <c r="DO313" s="644"/>
      <c r="DP313" s="644"/>
      <c r="DQ313" s="644"/>
      <c r="DR313" s="644"/>
      <c r="DS313" s="644"/>
      <c r="DT313" s="644"/>
      <c r="DU313" s="644"/>
      <c r="DV313" s="644"/>
      <c r="DW313" s="101"/>
      <c r="DX313" s="646"/>
      <c r="DY313" s="646"/>
      <c r="DZ313" s="646"/>
      <c r="EA313" s="646"/>
      <c r="EB313" s="646"/>
      <c r="EC313" s="646"/>
      <c r="ED313" s="646"/>
      <c r="EE313" s="646"/>
      <c r="EF313" s="646"/>
      <c r="EG313" s="646"/>
      <c r="EH313" s="646"/>
      <c r="EI313" s="646"/>
      <c r="EJ313" s="646"/>
      <c r="EK313" s="271"/>
      <c r="EL313" s="644"/>
      <c r="EM313" s="634"/>
      <c r="EN313" s="647"/>
      <c r="EO313" s="648"/>
      <c r="EP313" s="647"/>
      <c r="EQ313" s="647"/>
      <c r="ER313" s="647"/>
      <c r="ES313" s="139"/>
      <c r="EV313" s="647"/>
      <c r="EW313" s="647"/>
      <c r="EX313" s="647"/>
      <c r="EY313" s="647"/>
      <c r="EZ313" s="647"/>
      <c r="FA313" s="646"/>
      <c r="FB313" s="646"/>
      <c r="FC313" s="646"/>
      <c r="FD313" s="646"/>
      <c r="FE313" s="646"/>
      <c r="FF313" s="646"/>
      <c r="FG313" s="647"/>
      <c r="FH313" s="647"/>
      <c r="FI313" s="647"/>
      <c r="FJ313" s="647"/>
      <c r="FK313" s="647"/>
      <c r="FL313" s="647"/>
      <c r="FM313" s="647"/>
      <c r="FN313" s="647"/>
      <c r="FO313" s="647"/>
      <c r="FP313" s="647"/>
      <c r="FQ313" s="647"/>
      <c r="FR313" s="647"/>
      <c r="FS313" s="101"/>
      <c r="FT313" s="95"/>
      <c r="FU313" s="651"/>
      <c r="FV313" s="101"/>
      <c r="FW313" s="101"/>
      <c r="FX313" s="634"/>
      <c r="FY313" s="634"/>
      <c r="FZ313" s="634"/>
      <c r="GA313" s="634"/>
      <c r="GB313" s="634"/>
      <c r="GC313" s="634"/>
      <c r="GD313" s="634"/>
      <c r="GE313" s="634"/>
      <c r="GF313" s="634"/>
      <c r="GG313" s="634"/>
      <c r="GH313" s="634"/>
      <c r="GI313" s="634"/>
      <c r="GJ313" s="634"/>
      <c r="GK313" s="634"/>
      <c r="GL313" s="101"/>
      <c r="GM313" s="101"/>
      <c r="GN313" s="101"/>
      <c r="GO313" s="643"/>
      <c r="GP313" s="644"/>
      <c r="GQ313" s="643"/>
      <c r="GR313" s="644"/>
      <c r="GS313" s="643"/>
      <c r="GT313" s="644"/>
      <c r="GU313" s="644"/>
      <c r="GV313" s="644"/>
      <c r="GW313" s="644"/>
      <c r="GX313" s="644"/>
      <c r="GY313" s="644"/>
      <c r="GZ313" s="644"/>
      <c r="HA313" s="644"/>
    </row>
    <row r="314" spans="1:209">
      <c r="A314" s="638"/>
      <c r="B314" s="95"/>
      <c r="C314" s="95"/>
      <c r="D314" s="95"/>
      <c r="E314" s="650"/>
      <c r="F314" s="95"/>
      <c r="G314" s="98"/>
      <c r="H314" s="99"/>
      <c r="I314" s="95"/>
      <c r="J314" s="95"/>
      <c r="K314" s="95"/>
      <c r="L314" s="95"/>
      <c r="M314" s="95"/>
      <c r="N314" s="95"/>
      <c r="O314" s="95"/>
      <c r="P314" s="95"/>
      <c r="Q314" s="95"/>
      <c r="R314" s="98"/>
      <c r="S314" s="101"/>
      <c r="T314" s="644"/>
      <c r="U314" s="101"/>
      <c r="V314" s="647"/>
      <c r="W314" s="643"/>
      <c r="X314" s="644"/>
      <c r="Y314" s="101"/>
      <c r="Z314" s="644"/>
      <c r="AA314" s="101"/>
      <c r="AB314" s="644"/>
      <c r="AC314" s="101"/>
      <c r="AD314" s="646"/>
      <c r="AE314" s="271"/>
      <c r="AF314" s="646"/>
      <c r="AG314" s="646"/>
      <c r="AH314" s="646"/>
      <c r="AI314" s="646"/>
      <c r="AJ314" s="646"/>
      <c r="AK314" s="646"/>
      <c r="AL314" s="646"/>
      <c r="AM314" s="271"/>
      <c r="AN314" s="646"/>
      <c r="AO314" s="646"/>
      <c r="AP314" s="646"/>
      <c r="AQ314" s="271"/>
      <c r="AR314" s="646"/>
      <c r="AS314" s="270"/>
      <c r="AT314" s="646"/>
      <c r="AU314" s="646"/>
      <c r="AV314" s="646"/>
      <c r="AW314" s="270"/>
      <c r="AX314" s="646"/>
      <c r="AY314" s="270"/>
      <c r="AZ314" s="646"/>
      <c r="BA314" s="646"/>
      <c r="BB314" s="644"/>
      <c r="BC314" s="644"/>
      <c r="BD314" s="644"/>
      <c r="BE314" s="644"/>
      <c r="BF314" s="644"/>
      <c r="BG314" s="644"/>
      <c r="BH314" s="644"/>
      <c r="BI314" s="644"/>
      <c r="BJ314" s="644"/>
      <c r="BK314" s="644"/>
      <c r="BL314" s="644"/>
      <c r="BM314" s="95"/>
      <c r="BN314" s="644"/>
      <c r="BO314" s="95"/>
      <c r="BP314" s="644"/>
      <c r="BQ314" s="644"/>
      <c r="BR314" s="644"/>
      <c r="BS314" s="644"/>
      <c r="BT314" s="644"/>
      <c r="BU314" s="644"/>
      <c r="BV314" s="644"/>
      <c r="BW314" s="644"/>
      <c r="BX314" s="644"/>
      <c r="BY314" s="644"/>
      <c r="BZ314" s="644"/>
      <c r="CA314" s="644"/>
      <c r="CB314" s="644"/>
      <c r="CC314" s="644"/>
      <c r="CD314" s="644"/>
      <c r="CE314" s="644"/>
      <c r="CF314" s="644"/>
      <c r="CG314" s="644"/>
      <c r="CH314" s="644"/>
      <c r="CI314" s="644"/>
      <c r="CJ314" s="644"/>
      <c r="CK314" s="644"/>
      <c r="CL314" s="644"/>
      <c r="CM314" s="95"/>
      <c r="CN314" s="644"/>
      <c r="CO314" s="644"/>
      <c r="CP314" s="95"/>
      <c r="CQ314" s="98"/>
      <c r="CR314" s="95"/>
      <c r="CS314" s="95"/>
      <c r="CT314" s="95"/>
      <c r="CU314" s="108"/>
      <c r="CV314" s="109"/>
      <c r="CW314" s="644"/>
      <c r="CX314" s="496"/>
      <c r="CY314" s="637"/>
      <c r="CZ314" s="644"/>
      <c r="DA314" s="644"/>
      <c r="DB314" s="644"/>
      <c r="DC314" s="496"/>
      <c r="DD314" s="644"/>
      <c r="DE314" s="101"/>
      <c r="DF314" s="644"/>
      <c r="DG314" s="101"/>
      <c r="DH314" s="644"/>
      <c r="DI314" s="644"/>
      <c r="DJ314" s="644"/>
      <c r="DK314" s="644"/>
      <c r="DL314" s="644"/>
      <c r="DM314" s="101"/>
      <c r="DN314" s="644"/>
      <c r="DO314" s="644"/>
      <c r="DP314" s="644"/>
      <c r="DQ314" s="644"/>
      <c r="DR314" s="644"/>
      <c r="DS314" s="644"/>
      <c r="DT314" s="644"/>
      <c r="DU314" s="644"/>
      <c r="DV314" s="644"/>
      <c r="DW314" s="101"/>
      <c r="DX314" s="646"/>
      <c r="DY314" s="646"/>
      <c r="DZ314" s="646"/>
      <c r="EA314" s="646"/>
      <c r="EB314" s="646"/>
      <c r="EC314" s="646"/>
      <c r="ED314" s="646"/>
      <c r="EE314" s="646"/>
      <c r="EF314" s="646"/>
      <c r="EG314" s="646"/>
      <c r="EH314" s="646"/>
      <c r="EI314" s="646"/>
      <c r="EJ314" s="646"/>
      <c r="EK314" s="271"/>
      <c r="EL314" s="644"/>
      <c r="EM314" s="634"/>
      <c r="EN314" s="647"/>
      <c r="EO314" s="648"/>
      <c r="EP314" s="647"/>
      <c r="EQ314" s="647"/>
      <c r="ER314" s="647"/>
      <c r="ES314" s="139"/>
      <c r="EV314" s="647"/>
      <c r="EW314" s="647"/>
      <c r="EX314" s="647"/>
      <c r="EY314" s="647"/>
      <c r="EZ314" s="647"/>
      <c r="FA314" s="646"/>
      <c r="FB314" s="646"/>
      <c r="FC314" s="646"/>
      <c r="FD314" s="646"/>
      <c r="FE314" s="646"/>
      <c r="FF314" s="646"/>
      <c r="FG314" s="647"/>
      <c r="FH314" s="647"/>
      <c r="FI314" s="647"/>
      <c r="FJ314" s="647"/>
      <c r="FK314" s="647"/>
      <c r="FL314" s="647"/>
      <c r="FM314" s="647"/>
      <c r="FN314" s="647"/>
      <c r="FO314" s="647"/>
      <c r="FP314" s="647"/>
      <c r="FQ314" s="647"/>
      <c r="FR314" s="647"/>
      <c r="FS314" s="101"/>
      <c r="FT314" s="95"/>
      <c r="FU314" s="651"/>
      <c r="FV314" s="101"/>
      <c r="FW314" s="101"/>
      <c r="FX314" s="634"/>
      <c r="FY314" s="634"/>
      <c r="FZ314" s="634"/>
      <c r="GA314" s="634"/>
      <c r="GB314" s="634"/>
      <c r="GC314" s="634"/>
      <c r="GD314" s="634"/>
      <c r="GE314" s="634"/>
      <c r="GF314" s="634"/>
      <c r="GG314" s="634"/>
      <c r="GH314" s="634"/>
      <c r="GI314" s="634"/>
      <c r="GJ314" s="634"/>
      <c r="GK314" s="634"/>
      <c r="GL314" s="101"/>
      <c r="GM314" s="101"/>
      <c r="GN314" s="101"/>
      <c r="GO314" s="643"/>
      <c r="GP314" s="644"/>
      <c r="GQ314" s="643"/>
      <c r="GR314" s="644"/>
      <c r="GS314" s="643"/>
      <c r="GT314" s="644"/>
      <c r="GU314" s="644"/>
      <c r="GV314" s="644"/>
      <c r="GW314" s="644"/>
      <c r="GX314" s="644"/>
      <c r="GY314" s="644"/>
      <c r="GZ314" s="644"/>
      <c r="HA314" s="644"/>
    </row>
    <row r="315" spans="1:209">
      <c r="A315" s="638"/>
      <c r="B315" s="95"/>
      <c r="C315" s="95"/>
      <c r="D315" s="95"/>
      <c r="E315" s="650"/>
      <c r="F315" s="95"/>
      <c r="G315" s="98"/>
      <c r="H315" s="99"/>
      <c r="I315" s="95"/>
      <c r="J315" s="95"/>
      <c r="K315" s="95"/>
      <c r="L315" s="95"/>
      <c r="M315" s="95"/>
      <c r="N315" s="95"/>
      <c r="O315" s="95"/>
      <c r="P315" s="95"/>
      <c r="Q315" s="95"/>
      <c r="R315" s="98"/>
      <c r="S315" s="101"/>
      <c r="T315" s="644"/>
      <c r="U315" s="101"/>
      <c r="V315" s="647"/>
      <c r="W315" s="643"/>
      <c r="X315" s="644"/>
      <c r="Y315" s="101"/>
      <c r="Z315" s="644"/>
      <c r="AA315" s="101"/>
      <c r="AB315" s="644"/>
      <c r="AC315" s="101"/>
      <c r="AD315" s="646"/>
      <c r="AE315" s="271"/>
      <c r="AF315" s="646"/>
      <c r="AG315" s="646"/>
      <c r="AH315" s="646"/>
      <c r="AI315" s="646"/>
      <c r="AJ315" s="646"/>
      <c r="AK315" s="646"/>
      <c r="AL315" s="646"/>
      <c r="AM315" s="271"/>
      <c r="AN315" s="646"/>
      <c r="AO315" s="646"/>
      <c r="AP315" s="646"/>
      <c r="AQ315" s="271"/>
      <c r="AR315" s="646"/>
      <c r="AS315" s="270"/>
      <c r="AT315" s="646"/>
      <c r="AU315" s="646"/>
      <c r="AV315" s="646"/>
      <c r="AW315" s="270"/>
      <c r="AX315" s="646"/>
      <c r="AY315" s="270"/>
      <c r="AZ315" s="646"/>
      <c r="BA315" s="646"/>
      <c r="BB315" s="644"/>
      <c r="BC315" s="644"/>
      <c r="BD315" s="644"/>
      <c r="BE315" s="644"/>
      <c r="BF315" s="644"/>
      <c r="BG315" s="644"/>
      <c r="BH315" s="644"/>
      <c r="BI315" s="644"/>
      <c r="BJ315" s="644"/>
      <c r="BK315" s="644"/>
      <c r="BL315" s="644"/>
      <c r="BM315" s="95"/>
      <c r="BN315" s="644"/>
      <c r="BO315" s="95"/>
      <c r="BP315" s="644"/>
      <c r="BQ315" s="644"/>
      <c r="BR315" s="644"/>
      <c r="BS315" s="644"/>
      <c r="BT315" s="644"/>
      <c r="BU315" s="644"/>
      <c r="BV315" s="644"/>
      <c r="BW315" s="644"/>
      <c r="BX315" s="644"/>
      <c r="BY315" s="644"/>
      <c r="BZ315" s="644"/>
      <c r="CA315" s="644"/>
      <c r="CB315" s="644"/>
      <c r="CC315" s="644"/>
      <c r="CD315" s="644"/>
      <c r="CE315" s="644"/>
      <c r="CF315" s="644"/>
      <c r="CG315" s="644"/>
      <c r="CH315" s="644"/>
      <c r="CI315" s="644"/>
      <c r="CJ315" s="644"/>
      <c r="CK315" s="644"/>
      <c r="CL315" s="644"/>
      <c r="CM315" s="95"/>
      <c r="CN315" s="644"/>
      <c r="CO315" s="644"/>
      <c r="CP315" s="95"/>
      <c r="CQ315" s="98"/>
      <c r="CR315" s="95"/>
      <c r="CS315" s="95"/>
      <c r="CT315" s="95"/>
      <c r="CU315" s="108"/>
      <c r="CV315" s="109"/>
      <c r="CW315" s="644"/>
      <c r="CX315" s="496"/>
      <c r="CY315" s="637"/>
      <c r="CZ315" s="644"/>
      <c r="DA315" s="644"/>
      <c r="DB315" s="644"/>
      <c r="DC315" s="496"/>
      <c r="DD315" s="644"/>
      <c r="DE315" s="101"/>
      <c r="DF315" s="644"/>
      <c r="DG315" s="101"/>
      <c r="DH315" s="644"/>
      <c r="DI315" s="644"/>
      <c r="DJ315" s="644"/>
      <c r="DK315" s="644"/>
      <c r="DL315" s="644"/>
      <c r="DM315" s="101"/>
      <c r="DN315" s="644"/>
      <c r="DO315" s="644"/>
      <c r="DP315" s="644"/>
      <c r="DQ315" s="644"/>
      <c r="DR315" s="644"/>
      <c r="DS315" s="644"/>
      <c r="DT315" s="644"/>
      <c r="DU315" s="644"/>
      <c r="DV315" s="644"/>
      <c r="DW315" s="101"/>
      <c r="DX315" s="646"/>
      <c r="DY315" s="646"/>
      <c r="DZ315" s="646"/>
      <c r="EA315" s="646"/>
      <c r="EB315" s="646"/>
      <c r="EC315" s="646"/>
      <c r="ED315" s="646"/>
      <c r="EE315" s="646"/>
      <c r="EF315" s="646"/>
      <c r="EG315" s="646"/>
      <c r="EH315" s="646"/>
      <c r="EI315" s="646"/>
      <c r="EJ315" s="646"/>
      <c r="EK315" s="271"/>
      <c r="EL315" s="644"/>
      <c r="EM315" s="634"/>
      <c r="EN315" s="647"/>
      <c r="EO315" s="648"/>
      <c r="EP315" s="647"/>
      <c r="EQ315" s="647"/>
      <c r="ER315" s="647"/>
      <c r="ES315" s="139"/>
      <c r="EV315" s="647"/>
      <c r="EW315" s="647"/>
      <c r="EX315" s="647"/>
      <c r="EY315" s="647"/>
      <c r="EZ315" s="647"/>
      <c r="FA315" s="646"/>
      <c r="FB315" s="646"/>
      <c r="FC315" s="646"/>
      <c r="FD315" s="646"/>
      <c r="FE315" s="646"/>
      <c r="FF315" s="646"/>
      <c r="FG315" s="647"/>
      <c r="FH315" s="647"/>
      <c r="FI315" s="647"/>
      <c r="FJ315" s="647"/>
      <c r="FK315" s="647"/>
      <c r="FL315" s="647"/>
      <c r="FM315" s="647"/>
      <c r="FN315" s="647"/>
      <c r="FO315" s="647"/>
      <c r="FP315" s="647"/>
      <c r="FQ315" s="647"/>
      <c r="FR315" s="647"/>
      <c r="FS315" s="101"/>
      <c r="FT315" s="95"/>
      <c r="FU315" s="651"/>
      <c r="FV315" s="101"/>
      <c r="FW315" s="101"/>
      <c r="FX315" s="634"/>
      <c r="FY315" s="634"/>
      <c r="FZ315" s="634"/>
      <c r="GA315" s="634"/>
      <c r="GB315" s="634"/>
      <c r="GC315" s="634"/>
      <c r="GD315" s="634"/>
      <c r="GE315" s="634"/>
      <c r="GF315" s="634"/>
      <c r="GG315" s="634"/>
      <c r="GH315" s="634"/>
      <c r="GI315" s="634"/>
      <c r="GJ315" s="634"/>
      <c r="GK315" s="634"/>
      <c r="GL315" s="101"/>
      <c r="GM315" s="101"/>
      <c r="GN315" s="101"/>
      <c r="GO315" s="643"/>
      <c r="GP315" s="644"/>
      <c r="GQ315" s="643"/>
      <c r="GR315" s="644"/>
      <c r="GS315" s="643"/>
      <c r="GT315" s="644"/>
      <c r="GU315" s="644"/>
      <c r="GV315" s="644"/>
      <c r="GW315" s="644"/>
      <c r="GX315" s="644"/>
      <c r="GY315" s="644"/>
      <c r="GZ315" s="644"/>
      <c r="HA315" s="644"/>
    </row>
    <row r="316" spans="1:209">
      <c r="A316" s="638"/>
      <c r="B316" s="95"/>
      <c r="C316" s="95"/>
      <c r="D316" s="95"/>
      <c r="E316" s="650"/>
      <c r="F316" s="95"/>
      <c r="G316" s="98"/>
      <c r="H316" s="99"/>
      <c r="I316" s="95"/>
      <c r="J316" s="95"/>
      <c r="K316" s="95"/>
      <c r="L316" s="95"/>
      <c r="M316" s="95"/>
      <c r="N316" s="95"/>
      <c r="O316" s="95"/>
      <c r="P316" s="95"/>
      <c r="Q316" s="95"/>
      <c r="R316" s="98"/>
      <c r="S316" s="101"/>
      <c r="T316" s="644"/>
      <c r="U316" s="101"/>
      <c r="V316" s="647"/>
      <c r="W316" s="643"/>
      <c r="X316" s="644"/>
      <c r="Y316" s="101"/>
      <c r="Z316" s="644"/>
      <c r="AA316" s="101"/>
      <c r="AB316" s="644"/>
      <c r="AC316" s="101"/>
      <c r="AD316" s="646"/>
      <c r="AE316" s="271"/>
      <c r="AF316" s="646"/>
      <c r="AG316" s="646"/>
      <c r="AH316" s="646"/>
      <c r="AI316" s="646"/>
      <c r="AJ316" s="646"/>
      <c r="AK316" s="646"/>
      <c r="AL316" s="646"/>
      <c r="AM316" s="271"/>
      <c r="AN316" s="646"/>
      <c r="AO316" s="646"/>
      <c r="AP316" s="646"/>
      <c r="AQ316" s="271"/>
      <c r="AR316" s="646"/>
      <c r="AS316" s="270"/>
      <c r="AT316" s="646"/>
      <c r="AU316" s="646"/>
      <c r="AV316" s="646"/>
      <c r="AW316" s="270"/>
      <c r="AX316" s="646"/>
      <c r="AY316" s="270"/>
      <c r="AZ316" s="646"/>
      <c r="BA316" s="646"/>
      <c r="BB316" s="644"/>
      <c r="BC316" s="644"/>
      <c r="BD316" s="644"/>
      <c r="BE316" s="644"/>
      <c r="BF316" s="644"/>
      <c r="BG316" s="644"/>
      <c r="BH316" s="644"/>
      <c r="BI316" s="644"/>
      <c r="BJ316" s="644"/>
      <c r="BK316" s="644"/>
      <c r="BL316" s="644"/>
      <c r="BM316" s="95"/>
      <c r="BN316" s="644"/>
      <c r="BO316" s="95"/>
      <c r="BP316" s="644"/>
      <c r="BQ316" s="644"/>
      <c r="BR316" s="644"/>
      <c r="BS316" s="644"/>
      <c r="BT316" s="644"/>
      <c r="BU316" s="644"/>
      <c r="BV316" s="644"/>
      <c r="BW316" s="644"/>
      <c r="BX316" s="644"/>
      <c r="BY316" s="644"/>
      <c r="BZ316" s="644"/>
      <c r="CA316" s="644"/>
      <c r="CB316" s="644"/>
      <c r="CC316" s="644"/>
      <c r="CD316" s="644"/>
      <c r="CE316" s="644"/>
      <c r="CF316" s="644"/>
      <c r="CG316" s="644"/>
      <c r="CH316" s="644"/>
      <c r="CI316" s="644"/>
      <c r="CJ316" s="644"/>
      <c r="CK316" s="644"/>
      <c r="CL316" s="644"/>
      <c r="CM316" s="95"/>
      <c r="CN316" s="644"/>
      <c r="CO316" s="644"/>
      <c r="CP316" s="95"/>
      <c r="CQ316" s="98"/>
      <c r="CR316" s="95"/>
      <c r="CS316" s="95"/>
      <c r="CT316" s="95"/>
      <c r="CU316" s="108"/>
      <c r="CV316" s="109"/>
      <c r="CW316" s="644"/>
      <c r="CX316" s="496"/>
      <c r="CY316" s="637"/>
      <c r="CZ316" s="644"/>
      <c r="DA316" s="644"/>
      <c r="DB316" s="644"/>
      <c r="DC316" s="496"/>
      <c r="DD316" s="644"/>
      <c r="DE316" s="101"/>
      <c r="DF316" s="644"/>
      <c r="DG316" s="101"/>
      <c r="DH316" s="644"/>
      <c r="DI316" s="644"/>
      <c r="DJ316" s="644"/>
      <c r="DK316" s="644"/>
      <c r="DL316" s="644"/>
      <c r="DM316" s="101"/>
      <c r="DN316" s="644"/>
      <c r="DO316" s="644"/>
      <c r="DP316" s="644"/>
      <c r="DQ316" s="644"/>
      <c r="DR316" s="644"/>
      <c r="DS316" s="644"/>
      <c r="DT316" s="644"/>
      <c r="DU316" s="644"/>
      <c r="DV316" s="644"/>
      <c r="DW316" s="101"/>
      <c r="DX316" s="646"/>
      <c r="DY316" s="646"/>
      <c r="DZ316" s="646"/>
      <c r="EA316" s="646"/>
      <c r="EB316" s="646"/>
      <c r="EC316" s="646"/>
      <c r="ED316" s="646"/>
      <c r="EE316" s="646"/>
      <c r="EF316" s="646"/>
      <c r="EG316" s="646"/>
      <c r="EH316" s="646"/>
      <c r="EI316" s="646"/>
      <c r="EJ316" s="646"/>
      <c r="EK316" s="271"/>
      <c r="EL316" s="644"/>
      <c r="EM316" s="634"/>
      <c r="EN316" s="647"/>
      <c r="EO316" s="648"/>
      <c r="EP316" s="647"/>
      <c r="EQ316" s="647"/>
      <c r="ER316" s="647"/>
      <c r="ES316" s="139"/>
      <c r="EV316" s="647"/>
      <c r="EW316" s="647"/>
      <c r="EX316" s="647"/>
      <c r="EY316" s="647"/>
      <c r="EZ316" s="647"/>
      <c r="FA316" s="646"/>
      <c r="FB316" s="646"/>
      <c r="FC316" s="646"/>
      <c r="FD316" s="646"/>
      <c r="FE316" s="646"/>
      <c r="FF316" s="646"/>
      <c r="FG316" s="647"/>
      <c r="FH316" s="647"/>
      <c r="FI316" s="647"/>
      <c r="FJ316" s="647"/>
      <c r="FK316" s="647"/>
      <c r="FL316" s="647"/>
      <c r="FM316" s="647"/>
      <c r="FN316" s="647"/>
      <c r="FO316" s="647"/>
      <c r="FP316" s="647"/>
      <c r="FQ316" s="647"/>
      <c r="FR316" s="647"/>
      <c r="FS316" s="101"/>
      <c r="FT316" s="95"/>
      <c r="FU316" s="651"/>
      <c r="FV316" s="101"/>
      <c r="FW316" s="101"/>
      <c r="FX316" s="634"/>
      <c r="FY316" s="634"/>
      <c r="FZ316" s="634"/>
      <c r="GA316" s="634"/>
      <c r="GB316" s="634"/>
      <c r="GC316" s="634"/>
      <c r="GD316" s="634"/>
      <c r="GE316" s="634"/>
      <c r="GF316" s="634"/>
      <c r="GG316" s="634"/>
      <c r="GH316" s="634"/>
      <c r="GI316" s="634"/>
      <c r="GJ316" s="634"/>
      <c r="GK316" s="634"/>
      <c r="GL316" s="101"/>
      <c r="GM316" s="101"/>
      <c r="GN316" s="101"/>
      <c r="GO316" s="643"/>
      <c r="GP316" s="644"/>
      <c r="GQ316" s="643"/>
      <c r="GR316" s="644"/>
      <c r="GS316" s="643"/>
      <c r="GT316" s="644"/>
      <c r="GU316" s="644"/>
      <c r="GV316" s="644"/>
      <c r="GW316" s="644"/>
      <c r="GX316" s="644"/>
      <c r="GY316" s="644"/>
      <c r="GZ316" s="644"/>
      <c r="HA316" s="644"/>
    </row>
    <row r="317" spans="1:209">
      <c r="A317" s="638"/>
      <c r="B317" s="95"/>
      <c r="C317" s="95"/>
      <c r="D317" s="95"/>
      <c r="E317" s="650"/>
      <c r="F317" s="95"/>
      <c r="G317" s="98"/>
      <c r="H317" s="99"/>
      <c r="I317" s="95"/>
      <c r="J317" s="95"/>
      <c r="K317" s="95"/>
      <c r="L317" s="95"/>
      <c r="M317" s="95"/>
      <c r="N317" s="95"/>
      <c r="O317" s="95"/>
      <c r="P317" s="95"/>
      <c r="Q317" s="95"/>
      <c r="R317" s="98"/>
      <c r="S317" s="101"/>
      <c r="T317" s="644"/>
      <c r="U317" s="101"/>
      <c r="V317" s="647"/>
      <c r="W317" s="643"/>
      <c r="X317" s="644"/>
      <c r="Y317" s="101"/>
      <c r="Z317" s="644"/>
      <c r="AA317" s="101"/>
      <c r="AB317" s="644"/>
      <c r="AC317" s="101"/>
      <c r="AD317" s="646"/>
      <c r="AE317" s="271"/>
      <c r="AF317" s="646"/>
      <c r="AG317" s="646"/>
      <c r="AH317" s="646"/>
      <c r="AI317" s="646"/>
      <c r="AJ317" s="646"/>
      <c r="AK317" s="646"/>
      <c r="AL317" s="646"/>
      <c r="AM317" s="271"/>
      <c r="AN317" s="646"/>
      <c r="AO317" s="646"/>
      <c r="AP317" s="646"/>
      <c r="AQ317" s="271"/>
      <c r="AR317" s="646"/>
      <c r="AS317" s="270"/>
      <c r="AT317" s="646"/>
      <c r="AU317" s="646"/>
      <c r="AV317" s="646"/>
      <c r="AW317" s="270"/>
      <c r="AX317" s="646"/>
      <c r="AY317" s="270"/>
      <c r="AZ317" s="646"/>
      <c r="BA317" s="646"/>
      <c r="BB317" s="644"/>
      <c r="BC317" s="644"/>
      <c r="BD317" s="644"/>
      <c r="BE317" s="644"/>
      <c r="BF317" s="644"/>
      <c r="BG317" s="644"/>
      <c r="BH317" s="644"/>
      <c r="BI317" s="644"/>
      <c r="BJ317" s="644"/>
      <c r="BK317" s="644"/>
      <c r="BL317" s="644"/>
      <c r="BM317" s="95"/>
      <c r="BN317" s="644"/>
      <c r="BO317" s="95"/>
      <c r="BP317" s="644"/>
      <c r="BQ317" s="644"/>
      <c r="BR317" s="644"/>
      <c r="BS317" s="644"/>
      <c r="BT317" s="644"/>
      <c r="BU317" s="644"/>
      <c r="BV317" s="644"/>
      <c r="BW317" s="644"/>
      <c r="BX317" s="644"/>
      <c r="BY317" s="644"/>
      <c r="BZ317" s="644"/>
      <c r="CA317" s="644"/>
      <c r="CB317" s="644"/>
      <c r="CC317" s="644"/>
      <c r="CD317" s="644"/>
      <c r="CE317" s="644"/>
      <c r="CF317" s="644"/>
      <c r="CG317" s="644"/>
      <c r="CH317" s="644"/>
      <c r="CI317" s="644"/>
      <c r="CJ317" s="644"/>
      <c r="CK317" s="644"/>
      <c r="CL317" s="644"/>
      <c r="CM317" s="95"/>
      <c r="CN317" s="644"/>
      <c r="CO317" s="644"/>
      <c r="CP317" s="95"/>
      <c r="CQ317" s="98"/>
      <c r="CR317" s="95"/>
      <c r="CS317" s="95"/>
      <c r="CT317" s="95"/>
      <c r="CU317" s="108"/>
      <c r="CV317" s="109"/>
      <c r="CW317" s="644"/>
      <c r="CX317" s="496"/>
      <c r="CY317" s="637"/>
      <c r="CZ317" s="644"/>
      <c r="DA317" s="644"/>
      <c r="DB317" s="644"/>
      <c r="DC317" s="496"/>
      <c r="DD317" s="644"/>
      <c r="DE317" s="101"/>
      <c r="DF317" s="644"/>
      <c r="DG317" s="101"/>
      <c r="DH317" s="644"/>
      <c r="DI317" s="644"/>
      <c r="DJ317" s="644"/>
      <c r="DK317" s="644"/>
      <c r="DL317" s="644"/>
      <c r="DM317" s="101"/>
      <c r="DN317" s="644"/>
      <c r="DO317" s="644"/>
      <c r="DP317" s="644"/>
      <c r="DQ317" s="644"/>
      <c r="DR317" s="644"/>
      <c r="DS317" s="644"/>
      <c r="DT317" s="644"/>
      <c r="DU317" s="644"/>
      <c r="DV317" s="644"/>
      <c r="DW317" s="101"/>
      <c r="DX317" s="646"/>
      <c r="DY317" s="646"/>
      <c r="DZ317" s="646"/>
      <c r="EA317" s="646"/>
      <c r="EB317" s="646"/>
      <c r="EC317" s="646"/>
      <c r="ED317" s="646"/>
      <c r="EE317" s="646"/>
      <c r="EF317" s="646"/>
      <c r="EG317" s="646"/>
      <c r="EH317" s="646"/>
      <c r="EI317" s="646"/>
      <c r="EJ317" s="646"/>
      <c r="EK317" s="271"/>
      <c r="EL317" s="644"/>
      <c r="EM317" s="634"/>
      <c r="EN317" s="647"/>
      <c r="EO317" s="648"/>
      <c r="EP317" s="647"/>
      <c r="EQ317" s="647"/>
      <c r="ER317" s="647"/>
      <c r="ES317" s="139"/>
      <c r="EV317" s="647"/>
      <c r="EW317" s="647"/>
      <c r="EX317" s="647"/>
      <c r="EY317" s="647"/>
      <c r="EZ317" s="647"/>
      <c r="FA317" s="646"/>
      <c r="FB317" s="646"/>
      <c r="FC317" s="646"/>
      <c r="FD317" s="646"/>
      <c r="FE317" s="646"/>
      <c r="FF317" s="646"/>
      <c r="FG317" s="647"/>
      <c r="FH317" s="647"/>
      <c r="FI317" s="647"/>
      <c r="FJ317" s="647"/>
      <c r="FK317" s="647"/>
      <c r="FL317" s="647"/>
      <c r="FM317" s="647"/>
      <c r="FN317" s="647"/>
      <c r="FO317" s="647"/>
      <c r="FP317" s="647"/>
      <c r="FQ317" s="647"/>
      <c r="FR317" s="647"/>
      <c r="FS317" s="101"/>
      <c r="FT317" s="95"/>
      <c r="FU317" s="651"/>
      <c r="FV317" s="101"/>
      <c r="FW317" s="101"/>
      <c r="FX317" s="634"/>
      <c r="FY317" s="634"/>
      <c r="FZ317" s="634"/>
      <c r="GA317" s="634"/>
      <c r="GB317" s="634"/>
      <c r="GC317" s="634"/>
      <c r="GD317" s="634"/>
      <c r="GE317" s="634"/>
      <c r="GF317" s="634"/>
      <c r="GG317" s="634"/>
      <c r="GH317" s="634"/>
      <c r="GI317" s="634"/>
      <c r="GJ317" s="634"/>
      <c r="GK317" s="634"/>
      <c r="GL317" s="101"/>
      <c r="GM317" s="101"/>
      <c r="GN317" s="101"/>
      <c r="GO317" s="643"/>
      <c r="GP317" s="644"/>
      <c r="GQ317" s="643"/>
      <c r="GR317" s="644"/>
      <c r="GS317" s="643"/>
      <c r="GT317" s="644"/>
      <c r="GU317" s="644"/>
      <c r="GV317" s="644"/>
      <c r="GW317" s="644"/>
      <c r="GX317" s="644"/>
      <c r="GY317" s="644"/>
      <c r="GZ317" s="644"/>
      <c r="HA317" s="644"/>
    </row>
    <row r="318" spans="1:209">
      <c r="A318" s="638"/>
      <c r="B318" s="95"/>
      <c r="C318" s="95"/>
      <c r="D318" s="95"/>
      <c r="E318" s="650"/>
      <c r="F318" s="95"/>
      <c r="G318" s="98"/>
      <c r="H318" s="99"/>
      <c r="I318" s="95"/>
      <c r="J318" s="95"/>
      <c r="K318" s="95"/>
      <c r="L318" s="95"/>
      <c r="M318" s="95"/>
      <c r="N318" s="95"/>
      <c r="O318" s="95"/>
      <c r="P318" s="95"/>
      <c r="Q318" s="95"/>
      <c r="R318" s="98"/>
      <c r="S318" s="101"/>
      <c r="T318" s="644"/>
      <c r="U318" s="101"/>
      <c r="V318" s="647"/>
      <c r="W318" s="643"/>
      <c r="X318" s="644"/>
      <c r="Y318" s="101"/>
      <c r="Z318" s="644"/>
      <c r="AA318" s="101"/>
      <c r="AB318" s="644"/>
      <c r="AC318" s="101"/>
      <c r="AD318" s="646"/>
      <c r="AE318" s="271"/>
      <c r="AF318" s="646"/>
      <c r="AG318" s="646"/>
      <c r="AH318" s="646"/>
      <c r="AI318" s="646"/>
      <c r="AJ318" s="646"/>
      <c r="AK318" s="646"/>
      <c r="AL318" s="646"/>
      <c r="AM318" s="271"/>
      <c r="AN318" s="646"/>
      <c r="AO318" s="646"/>
      <c r="AP318" s="646"/>
      <c r="AQ318" s="271"/>
      <c r="AR318" s="646"/>
      <c r="AS318" s="270"/>
      <c r="AT318" s="646"/>
      <c r="AU318" s="646"/>
      <c r="AV318" s="646"/>
      <c r="AW318" s="270"/>
      <c r="AX318" s="646"/>
      <c r="AY318" s="270"/>
      <c r="AZ318" s="646"/>
      <c r="BA318" s="646"/>
      <c r="BB318" s="644"/>
      <c r="BC318" s="644"/>
      <c r="BD318" s="644"/>
      <c r="BE318" s="644"/>
      <c r="BF318" s="644"/>
      <c r="BG318" s="644"/>
      <c r="BH318" s="644"/>
      <c r="BI318" s="644"/>
      <c r="BJ318" s="644"/>
      <c r="BK318" s="644"/>
      <c r="BL318" s="644"/>
      <c r="BM318" s="95"/>
      <c r="BN318" s="644"/>
      <c r="BO318" s="95"/>
      <c r="BP318" s="644"/>
      <c r="BQ318" s="644"/>
      <c r="BR318" s="644"/>
      <c r="BS318" s="644"/>
      <c r="BT318" s="644"/>
      <c r="BU318" s="644"/>
      <c r="BV318" s="644"/>
      <c r="BW318" s="644"/>
      <c r="BX318" s="644"/>
      <c r="BY318" s="644"/>
      <c r="BZ318" s="644"/>
      <c r="CA318" s="644"/>
      <c r="CB318" s="644"/>
      <c r="CC318" s="644"/>
      <c r="CD318" s="644"/>
      <c r="CE318" s="644"/>
      <c r="CF318" s="644"/>
      <c r="CG318" s="644"/>
      <c r="CH318" s="644"/>
      <c r="CI318" s="644"/>
      <c r="CJ318" s="644"/>
      <c r="CK318" s="644"/>
      <c r="CL318" s="644"/>
      <c r="CM318" s="95"/>
      <c r="CN318" s="644"/>
      <c r="CO318" s="644"/>
      <c r="CP318" s="95"/>
      <c r="CQ318" s="98"/>
      <c r="CR318" s="95"/>
      <c r="CS318" s="95"/>
      <c r="CT318" s="95"/>
      <c r="CU318" s="108"/>
      <c r="CV318" s="109"/>
      <c r="CW318" s="644"/>
      <c r="CX318" s="496"/>
      <c r="CY318" s="637"/>
      <c r="CZ318" s="644"/>
      <c r="DA318" s="644"/>
      <c r="DB318" s="644"/>
      <c r="DC318" s="496"/>
      <c r="DD318" s="644"/>
      <c r="DE318" s="101"/>
      <c r="DF318" s="644"/>
      <c r="DG318" s="101"/>
      <c r="DH318" s="644"/>
      <c r="DI318" s="644"/>
      <c r="DJ318" s="644"/>
      <c r="DK318" s="644"/>
      <c r="DL318" s="644"/>
      <c r="DM318" s="101"/>
      <c r="DN318" s="644"/>
      <c r="DO318" s="644"/>
      <c r="DP318" s="644"/>
      <c r="DQ318" s="644"/>
      <c r="DR318" s="644"/>
      <c r="DS318" s="644"/>
      <c r="DT318" s="644"/>
      <c r="DU318" s="644"/>
      <c r="DV318" s="644"/>
      <c r="DW318" s="101"/>
      <c r="DX318" s="646"/>
      <c r="DY318" s="646"/>
      <c r="DZ318" s="646"/>
      <c r="EA318" s="646"/>
      <c r="EB318" s="646"/>
      <c r="EC318" s="646"/>
      <c r="ED318" s="646"/>
      <c r="EE318" s="646"/>
      <c r="EF318" s="646"/>
      <c r="EG318" s="646"/>
      <c r="EH318" s="646"/>
      <c r="EI318" s="646"/>
      <c r="EJ318" s="646"/>
      <c r="EK318" s="271"/>
      <c r="EL318" s="644"/>
      <c r="EM318" s="634"/>
      <c r="EN318" s="647"/>
      <c r="EO318" s="648"/>
      <c r="EP318" s="647"/>
      <c r="EQ318" s="647"/>
      <c r="ER318" s="647"/>
      <c r="ES318" s="139"/>
      <c r="EV318" s="647"/>
      <c r="EW318" s="647"/>
      <c r="EX318" s="647"/>
      <c r="EY318" s="647"/>
      <c r="EZ318" s="647"/>
      <c r="FA318" s="646"/>
      <c r="FB318" s="646"/>
      <c r="FC318" s="646"/>
      <c r="FD318" s="646"/>
      <c r="FE318" s="646"/>
      <c r="FF318" s="646"/>
      <c r="FG318" s="647"/>
      <c r="FH318" s="647"/>
      <c r="FI318" s="647"/>
      <c r="FJ318" s="647"/>
      <c r="FK318" s="647"/>
      <c r="FL318" s="647"/>
      <c r="FM318" s="647"/>
      <c r="FN318" s="647"/>
      <c r="FO318" s="647"/>
      <c r="FP318" s="647"/>
      <c r="FQ318" s="647"/>
      <c r="FR318" s="647"/>
      <c r="FS318" s="101"/>
      <c r="FT318" s="95"/>
      <c r="FU318" s="651"/>
      <c r="FV318" s="101"/>
      <c r="FW318" s="101"/>
      <c r="FX318" s="634"/>
      <c r="FY318" s="634"/>
      <c r="FZ318" s="634"/>
      <c r="GA318" s="634"/>
      <c r="GB318" s="634"/>
      <c r="GC318" s="634"/>
      <c r="GD318" s="634"/>
      <c r="GE318" s="634"/>
      <c r="GF318" s="634"/>
      <c r="GG318" s="634"/>
      <c r="GH318" s="634"/>
      <c r="GI318" s="634"/>
      <c r="GJ318" s="634"/>
      <c r="GK318" s="634"/>
      <c r="GL318" s="101"/>
      <c r="GM318" s="101"/>
      <c r="GN318" s="101"/>
      <c r="GO318" s="643"/>
      <c r="GP318" s="644"/>
      <c r="GQ318" s="643"/>
      <c r="GR318" s="644"/>
      <c r="GS318" s="643"/>
      <c r="GT318" s="644"/>
      <c r="GU318" s="644"/>
      <c r="GV318" s="644"/>
      <c r="GW318" s="644"/>
      <c r="GX318" s="644"/>
      <c r="GY318" s="644"/>
      <c r="GZ318" s="644"/>
      <c r="HA318" s="644"/>
    </row>
    <row r="319" spans="1:209">
      <c r="A319" s="638"/>
      <c r="B319" s="95"/>
      <c r="C319" s="95"/>
      <c r="D319" s="95"/>
      <c r="E319" s="650"/>
      <c r="F319" s="95"/>
      <c r="G319" s="98"/>
      <c r="H319" s="99"/>
      <c r="I319" s="95"/>
      <c r="J319" s="95"/>
      <c r="K319" s="95"/>
      <c r="L319" s="95"/>
      <c r="M319" s="95"/>
      <c r="N319" s="95"/>
      <c r="O319" s="95"/>
      <c r="P319" s="95"/>
      <c r="Q319" s="95"/>
      <c r="R319" s="98"/>
      <c r="S319" s="101"/>
      <c r="T319" s="644"/>
      <c r="U319" s="101"/>
      <c r="V319" s="647"/>
      <c r="W319" s="643"/>
      <c r="X319" s="644"/>
      <c r="Y319" s="101"/>
      <c r="Z319" s="644"/>
      <c r="AA319" s="101"/>
      <c r="AB319" s="644"/>
      <c r="AC319" s="101"/>
      <c r="AD319" s="646"/>
      <c r="AE319" s="271"/>
      <c r="AF319" s="646"/>
      <c r="AG319" s="646"/>
      <c r="AH319" s="646"/>
      <c r="AI319" s="646"/>
      <c r="AJ319" s="646"/>
      <c r="AK319" s="646"/>
      <c r="AL319" s="646"/>
      <c r="AM319" s="271"/>
      <c r="AN319" s="646"/>
      <c r="AO319" s="646"/>
      <c r="AP319" s="646"/>
      <c r="AQ319" s="271"/>
      <c r="AR319" s="646"/>
      <c r="AS319" s="270"/>
      <c r="AT319" s="646"/>
      <c r="AU319" s="646"/>
      <c r="AV319" s="646"/>
      <c r="AW319" s="270"/>
      <c r="AX319" s="646"/>
      <c r="AY319" s="270"/>
      <c r="AZ319" s="646"/>
      <c r="BA319" s="646"/>
      <c r="BB319" s="644"/>
      <c r="BC319" s="644"/>
      <c r="BD319" s="644"/>
      <c r="BE319" s="644"/>
      <c r="BF319" s="644"/>
      <c r="BG319" s="644"/>
      <c r="BH319" s="644"/>
      <c r="BI319" s="644"/>
      <c r="BJ319" s="644"/>
      <c r="BK319" s="644"/>
      <c r="BL319" s="644"/>
      <c r="BM319" s="95"/>
      <c r="BN319" s="644"/>
      <c r="BO319" s="95"/>
      <c r="BP319" s="644"/>
      <c r="BQ319" s="644"/>
      <c r="BR319" s="644"/>
      <c r="BS319" s="644"/>
      <c r="BT319" s="644"/>
      <c r="BU319" s="644"/>
      <c r="BV319" s="644"/>
      <c r="BW319" s="644"/>
      <c r="BX319" s="644"/>
      <c r="BY319" s="644"/>
      <c r="BZ319" s="644"/>
      <c r="CA319" s="644"/>
      <c r="CB319" s="644"/>
      <c r="CC319" s="644"/>
      <c r="CD319" s="644"/>
      <c r="CE319" s="644"/>
      <c r="CF319" s="644"/>
      <c r="CG319" s="644"/>
      <c r="CH319" s="644"/>
      <c r="CI319" s="644"/>
      <c r="CJ319" s="644"/>
      <c r="CK319" s="644"/>
      <c r="CL319" s="644"/>
      <c r="CM319" s="95"/>
      <c r="CN319" s="644"/>
      <c r="CO319" s="644"/>
      <c r="CP319" s="95"/>
      <c r="CQ319" s="98"/>
      <c r="CR319" s="95"/>
      <c r="CS319" s="95"/>
      <c r="CT319" s="95"/>
      <c r="CU319" s="108"/>
      <c r="CV319" s="109"/>
      <c r="CW319" s="644"/>
      <c r="CX319" s="496"/>
      <c r="CY319" s="637"/>
      <c r="CZ319" s="644"/>
      <c r="DA319" s="644"/>
      <c r="DB319" s="644"/>
      <c r="DC319" s="496"/>
      <c r="DD319" s="644"/>
      <c r="DE319" s="101"/>
      <c r="DF319" s="644"/>
      <c r="DG319" s="101"/>
      <c r="DH319" s="644"/>
      <c r="DI319" s="644"/>
      <c r="DJ319" s="644"/>
      <c r="DK319" s="644"/>
      <c r="DL319" s="644"/>
      <c r="DM319" s="101"/>
      <c r="DN319" s="644"/>
      <c r="DO319" s="644"/>
      <c r="DP319" s="644"/>
      <c r="DQ319" s="644"/>
      <c r="DR319" s="644"/>
      <c r="DS319" s="644"/>
      <c r="DT319" s="644"/>
      <c r="DU319" s="644"/>
      <c r="DV319" s="644"/>
      <c r="DW319" s="101"/>
      <c r="DX319" s="646"/>
      <c r="DY319" s="646"/>
      <c r="DZ319" s="646"/>
      <c r="EA319" s="646"/>
      <c r="EB319" s="646"/>
      <c r="EC319" s="646"/>
      <c r="ED319" s="646"/>
      <c r="EE319" s="646"/>
      <c r="EF319" s="646"/>
      <c r="EG319" s="646"/>
      <c r="EH319" s="646"/>
      <c r="EI319" s="646"/>
      <c r="EJ319" s="646"/>
      <c r="EK319" s="271"/>
      <c r="EL319" s="644"/>
      <c r="EM319" s="634"/>
      <c r="EN319" s="647"/>
      <c r="EO319" s="648"/>
      <c r="EP319" s="647"/>
      <c r="EQ319" s="647"/>
      <c r="ER319" s="647"/>
      <c r="ES319" s="139"/>
      <c r="EV319" s="647"/>
      <c r="EW319" s="647"/>
      <c r="EX319" s="647"/>
      <c r="EY319" s="647"/>
      <c r="EZ319" s="647"/>
      <c r="FA319" s="646"/>
      <c r="FB319" s="646"/>
      <c r="FC319" s="646"/>
      <c r="FD319" s="646"/>
      <c r="FE319" s="646"/>
      <c r="FF319" s="646"/>
      <c r="FG319" s="647"/>
      <c r="FH319" s="647"/>
      <c r="FI319" s="647"/>
      <c r="FJ319" s="647"/>
      <c r="FK319" s="647"/>
      <c r="FL319" s="647"/>
      <c r="FM319" s="647"/>
      <c r="FN319" s="647"/>
      <c r="FO319" s="647"/>
      <c r="FP319" s="647"/>
      <c r="FQ319" s="647"/>
      <c r="FR319" s="647"/>
      <c r="FS319" s="101"/>
      <c r="FT319" s="95"/>
      <c r="FU319" s="651"/>
      <c r="FV319" s="101"/>
      <c r="FW319" s="101"/>
      <c r="FX319" s="634"/>
      <c r="FY319" s="634"/>
      <c r="FZ319" s="634"/>
      <c r="GA319" s="634"/>
      <c r="GB319" s="634"/>
      <c r="GC319" s="634"/>
      <c r="GD319" s="634"/>
      <c r="GE319" s="634"/>
      <c r="GF319" s="634"/>
      <c r="GG319" s="634"/>
      <c r="GH319" s="634"/>
      <c r="GI319" s="634"/>
      <c r="GJ319" s="634"/>
      <c r="GK319" s="634"/>
      <c r="GL319" s="101"/>
      <c r="GM319" s="101"/>
      <c r="GN319" s="101"/>
      <c r="GO319" s="643"/>
      <c r="GP319" s="644"/>
      <c r="GQ319" s="643"/>
      <c r="GR319" s="644"/>
      <c r="GS319" s="643"/>
      <c r="GT319" s="644"/>
      <c r="GU319" s="644"/>
      <c r="GV319" s="644"/>
      <c r="GW319" s="644"/>
      <c r="GX319" s="644"/>
      <c r="GY319" s="644"/>
      <c r="GZ319" s="644"/>
      <c r="HA319" s="644"/>
    </row>
    <row r="320" spans="1:209">
      <c r="A320" s="638"/>
      <c r="B320" s="95"/>
      <c r="C320" s="95"/>
      <c r="D320" s="95"/>
      <c r="E320" s="650"/>
      <c r="F320" s="95"/>
      <c r="G320" s="98"/>
      <c r="H320" s="99"/>
      <c r="I320" s="95"/>
      <c r="J320" s="95"/>
      <c r="K320" s="95"/>
      <c r="L320" s="95"/>
      <c r="M320" s="95"/>
      <c r="N320" s="95"/>
      <c r="O320" s="95"/>
      <c r="P320" s="95"/>
      <c r="Q320" s="95"/>
      <c r="R320" s="98"/>
      <c r="S320" s="101"/>
      <c r="T320" s="644"/>
      <c r="U320" s="101"/>
      <c r="V320" s="647"/>
      <c r="W320" s="643"/>
      <c r="X320" s="644"/>
      <c r="Y320" s="101"/>
      <c r="Z320" s="644"/>
      <c r="AA320" s="101"/>
      <c r="AB320" s="644"/>
      <c r="AC320" s="101"/>
      <c r="AD320" s="646"/>
      <c r="AE320" s="271"/>
      <c r="AF320" s="646"/>
      <c r="AG320" s="646"/>
      <c r="AH320" s="646"/>
      <c r="AI320" s="646"/>
      <c r="AJ320" s="646"/>
      <c r="AK320" s="646"/>
      <c r="AL320" s="646"/>
      <c r="AM320" s="271"/>
      <c r="AN320" s="646"/>
      <c r="AO320" s="646"/>
      <c r="AP320" s="646"/>
      <c r="AQ320" s="271"/>
      <c r="AR320" s="646"/>
      <c r="AS320" s="270"/>
      <c r="AT320" s="646"/>
      <c r="AU320" s="646"/>
      <c r="AV320" s="646"/>
      <c r="AW320" s="270"/>
      <c r="AX320" s="646"/>
      <c r="AY320" s="270"/>
      <c r="AZ320" s="646"/>
      <c r="BA320" s="646"/>
      <c r="BB320" s="644"/>
      <c r="BC320" s="644"/>
      <c r="BD320" s="644"/>
      <c r="BE320" s="644"/>
      <c r="BF320" s="644"/>
      <c r="BG320" s="644"/>
      <c r="BH320" s="644"/>
      <c r="BI320" s="644"/>
      <c r="BJ320" s="644"/>
      <c r="BK320" s="644"/>
      <c r="BL320" s="644"/>
      <c r="BM320" s="95"/>
      <c r="BN320" s="644"/>
      <c r="BO320" s="95"/>
      <c r="BP320" s="644"/>
      <c r="BQ320" s="644"/>
      <c r="BR320" s="644"/>
      <c r="BS320" s="644"/>
      <c r="BT320" s="644"/>
      <c r="BU320" s="644"/>
      <c r="BV320" s="644"/>
      <c r="BW320" s="644"/>
      <c r="BX320" s="644"/>
      <c r="BY320" s="644"/>
      <c r="BZ320" s="644"/>
      <c r="CA320" s="644"/>
      <c r="CB320" s="644"/>
      <c r="CC320" s="644"/>
      <c r="CD320" s="644"/>
      <c r="CE320" s="644"/>
      <c r="CF320" s="644"/>
      <c r="CG320" s="644"/>
      <c r="CH320" s="644"/>
      <c r="CI320" s="644"/>
      <c r="CJ320" s="644"/>
      <c r="CK320" s="644"/>
      <c r="CL320" s="644"/>
      <c r="CM320" s="95"/>
      <c r="CN320" s="644"/>
      <c r="CO320" s="644"/>
      <c r="CP320" s="95"/>
      <c r="CQ320" s="98"/>
      <c r="CR320" s="95"/>
      <c r="CS320" s="95"/>
      <c r="CT320" s="95"/>
      <c r="CU320" s="108"/>
      <c r="CV320" s="109"/>
      <c r="CW320" s="644"/>
      <c r="CX320" s="496"/>
      <c r="CY320" s="637"/>
      <c r="CZ320" s="644"/>
      <c r="DA320" s="644"/>
      <c r="DB320" s="644"/>
      <c r="DC320" s="496"/>
      <c r="DD320" s="644"/>
      <c r="DE320" s="101"/>
      <c r="DF320" s="644"/>
      <c r="DG320" s="101"/>
      <c r="DH320" s="644"/>
      <c r="DI320" s="644"/>
      <c r="DJ320" s="644"/>
      <c r="DK320" s="644"/>
      <c r="DL320" s="644"/>
      <c r="DM320" s="101"/>
      <c r="DN320" s="644"/>
      <c r="DO320" s="644"/>
      <c r="DP320" s="644"/>
      <c r="DQ320" s="644"/>
      <c r="DR320" s="644"/>
      <c r="DS320" s="644"/>
      <c r="DT320" s="644"/>
      <c r="DU320" s="644"/>
      <c r="DV320" s="644"/>
      <c r="DW320" s="101"/>
      <c r="DX320" s="646"/>
      <c r="DY320" s="646"/>
      <c r="DZ320" s="646"/>
      <c r="EA320" s="646"/>
      <c r="EB320" s="646"/>
      <c r="EC320" s="646"/>
      <c r="ED320" s="646"/>
      <c r="EE320" s="646"/>
      <c r="EF320" s="646"/>
      <c r="EG320" s="646"/>
      <c r="EH320" s="646"/>
      <c r="EI320" s="646"/>
      <c r="EJ320" s="646"/>
      <c r="EK320" s="271"/>
      <c r="EL320" s="644"/>
      <c r="EM320" s="634"/>
      <c r="EN320" s="647"/>
      <c r="EO320" s="648"/>
      <c r="EP320" s="647"/>
      <c r="EQ320" s="647"/>
      <c r="ER320" s="647"/>
      <c r="ES320" s="139"/>
      <c r="EV320" s="647"/>
      <c r="EW320" s="647"/>
      <c r="EX320" s="647"/>
      <c r="EY320" s="647"/>
      <c r="EZ320" s="647"/>
      <c r="FA320" s="646"/>
      <c r="FB320" s="646"/>
      <c r="FC320" s="646"/>
      <c r="FD320" s="646"/>
      <c r="FE320" s="646"/>
      <c r="FF320" s="646"/>
      <c r="FG320" s="647"/>
      <c r="FH320" s="647"/>
      <c r="FI320" s="647"/>
      <c r="FJ320" s="647"/>
      <c r="FK320" s="647"/>
      <c r="FL320" s="647"/>
      <c r="FM320" s="647"/>
      <c r="FN320" s="647"/>
      <c r="FO320" s="647"/>
      <c r="FP320" s="647"/>
      <c r="FQ320" s="647"/>
      <c r="FR320" s="647"/>
      <c r="FS320" s="101"/>
      <c r="FT320" s="95"/>
      <c r="FU320" s="651"/>
      <c r="FV320" s="101"/>
      <c r="FW320" s="101"/>
      <c r="FX320" s="634"/>
      <c r="FY320" s="634"/>
      <c r="FZ320" s="634"/>
      <c r="GA320" s="634"/>
      <c r="GB320" s="634"/>
      <c r="GC320" s="634"/>
      <c r="GD320" s="634"/>
      <c r="GE320" s="634"/>
      <c r="GF320" s="634"/>
      <c r="GG320" s="634"/>
      <c r="GH320" s="634"/>
      <c r="GI320" s="634"/>
      <c r="GJ320" s="634"/>
      <c r="GK320" s="634"/>
      <c r="GL320" s="101"/>
      <c r="GM320" s="101"/>
      <c r="GN320" s="101"/>
      <c r="GO320" s="643"/>
      <c r="GP320" s="644"/>
      <c r="GQ320" s="643"/>
      <c r="GR320" s="644"/>
      <c r="GS320" s="643"/>
      <c r="GT320" s="644"/>
      <c r="GU320" s="644"/>
      <c r="GV320" s="644"/>
      <c r="GW320" s="644"/>
      <c r="GX320" s="644"/>
      <c r="GY320" s="644"/>
      <c r="GZ320" s="644"/>
      <c r="HA320" s="644"/>
    </row>
    <row r="321" spans="1:209">
      <c r="A321" s="638"/>
      <c r="B321" s="95"/>
      <c r="C321" s="95"/>
      <c r="D321" s="95"/>
      <c r="E321" s="650"/>
      <c r="F321" s="95"/>
      <c r="G321" s="98"/>
      <c r="H321" s="99"/>
      <c r="I321" s="95"/>
      <c r="J321" s="95"/>
      <c r="K321" s="95"/>
      <c r="L321" s="95"/>
      <c r="M321" s="95"/>
      <c r="N321" s="95"/>
      <c r="O321" s="95"/>
      <c r="P321" s="95"/>
      <c r="Q321" s="95"/>
      <c r="R321" s="98"/>
      <c r="S321" s="101"/>
      <c r="T321" s="644"/>
      <c r="U321" s="101"/>
      <c r="V321" s="647"/>
      <c r="W321" s="643"/>
      <c r="X321" s="644"/>
      <c r="Y321" s="101"/>
      <c r="Z321" s="644"/>
      <c r="AA321" s="101"/>
      <c r="AB321" s="644"/>
      <c r="AC321" s="101"/>
      <c r="AD321" s="646"/>
      <c r="AE321" s="271"/>
      <c r="AF321" s="646"/>
      <c r="AG321" s="646"/>
      <c r="AH321" s="646"/>
      <c r="AI321" s="646"/>
      <c r="AJ321" s="646"/>
      <c r="AK321" s="646"/>
      <c r="AL321" s="646"/>
      <c r="AM321" s="271"/>
      <c r="AN321" s="646"/>
      <c r="AO321" s="646"/>
      <c r="AP321" s="646"/>
      <c r="AQ321" s="271"/>
      <c r="AR321" s="646"/>
      <c r="AS321" s="270"/>
      <c r="AT321" s="646"/>
      <c r="AU321" s="646"/>
      <c r="AV321" s="646"/>
      <c r="AW321" s="270"/>
      <c r="AX321" s="646"/>
      <c r="AY321" s="270"/>
      <c r="AZ321" s="646"/>
      <c r="BA321" s="646"/>
      <c r="BB321" s="644"/>
      <c r="BC321" s="644"/>
      <c r="BD321" s="644"/>
      <c r="BE321" s="644"/>
      <c r="BF321" s="644"/>
      <c r="BG321" s="644"/>
      <c r="BH321" s="644"/>
      <c r="BI321" s="644"/>
      <c r="BJ321" s="644"/>
      <c r="BK321" s="644"/>
      <c r="BL321" s="644"/>
      <c r="BM321" s="95"/>
      <c r="BN321" s="644"/>
      <c r="BO321" s="95"/>
      <c r="BP321" s="644"/>
      <c r="BQ321" s="644"/>
      <c r="BR321" s="644"/>
      <c r="BS321" s="644"/>
      <c r="BT321" s="644"/>
      <c r="BU321" s="644"/>
      <c r="BV321" s="644"/>
      <c r="BW321" s="644"/>
      <c r="BX321" s="644"/>
      <c r="BY321" s="644"/>
      <c r="BZ321" s="644"/>
      <c r="CA321" s="644"/>
      <c r="CB321" s="644"/>
      <c r="CC321" s="644"/>
      <c r="CD321" s="644"/>
      <c r="CE321" s="644"/>
      <c r="CF321" s="644"/>
      <c r="CG321" s="644"/>
      <c r="CH321" s="644"/>
      <c r="CI321" s="644"/>
      <c r="CJ321" s="644"/>
      <c r="CK321" s="644"/>
      <c r="CL321" s="644"/>
      <c r="CM321" s="95"/>
      <c r="CN321" s="644"/>
      <c r="CO321" s="644"/>
      <c r="CP321" s="95"/>
      <c r="CQ321" s="98"/>
      <c r="CR321" s="95"/>
      <c r="CS321" s="95"/>
      <c r="CT321" s="95"/>
      <c r="CU321" s="108"/>
      <c r="CV321" s="109"/>
      <c r="CW321" s="644"/>
      <c r="CX321" s="496"/>
      <c r="CY321" s="637"/>
      <c r="CZ321" s="644"/>
      <c r="DA321" s="644"/>
      <c r="DB321" s="644"/>
      <c r="DC321" s="496"/>
      <c r="DD321" s="644"/>
      <c r="DE321" s="101"/>
      <c r="DF321" s="644"/>
      <c r="DG321" s="101"/>
      <c r="DH321" s="644"/>
      <c r="DI321" s="644"/>
      <c r="DJ321" s="644"/>
      <c r="DK321" s="644"/>
      <c r="DL321" s="644"/>
      <c r="DM321" s="101"/>
      <c r="DN321" s="644"/>
      <c r="DO321" s="644"/>
      <c r="DP321" s="644"/>
      <c r="DQ321" s="644"/>
      <c r="DR321" s="644"/>
      <c r="DS321" s="644"/>
      <c r="DT321" s="644"/>
      <c r="DU321" s="644"/>
      <c r="DV321" s="644"/>
      <c r="DW321" s="101"/>
      <c r="DX321" s="646"/>
      <c r="DY321" s="646"/>
      <c r="DZ321" s="646"/>
      <c r="EA321" s="646"/>
      <c r="EB321" s="646"/>
      <c r="EC321" s="646"/>
      <c r="ED321" s="646"/>
      <c r="EE321" s="646"/>
      <c r="EF321" s="646"/>
      <c r="EG321" s="646"/>
      <c r="EH321" s="646"/>
      <c r="EI321" s="646"/>
      <c r="EJ321" s="646"/>
      <c r="EK321" s="271"/>
      <c r="EL321" s="644"/>
      <c r="EM321" s="634"/>
      <c r="EN321" s="647"/>
      <c r="EO321" s="648"/>
      <c r="EP321" s="647"/>
      <c r="EQ321" s="647"/>
      <c r="ER321" s="647"/>
      <c r="ES321" s="139"/>
      <c r="EV321" s="647"/>
      <c r="EW321" s="647"/>
      <c r="EX321" s="647"/>
      <c r="EY321" s="647"/>
      <c r="EZ321" s="647"/>
      <c r="FA321" s="646"/>
      <c r="FB321" s="646"/>
      <c r="FC321" s="646"/>
      <c r="FD321" s="646"/>
      <c r="FE321" s="646"/>
      <c r="FF321" s="646"/>
      <c r="FG321" s="647"/>
      <c r="FH321" s="647"/>
      <c r="FI321" s="647"/>
      <c r="FJ321" s="647"/>
      <c r="FK321" s="647"/>
      <c r="FL321" s="647"/>
      <c r="FM321" s="647"/>
      <c r="FN321" s="647"/>
      <c r="FO321" s="647"/>
      <c r="FP321" s="647"/>
      <c r="FQ321" s="647"/>
      <c r="FR321" s="647"/>
      <c r="FS321" s="101"/>
      <c r="FT321" s="95"/>
      <c r="FU321" s="651"/>
      <c r="FV321" s="101"/>
      <c r="FW321" s="101"/>
      <c r="FX321" s="634"/>
      <c r="FY321" s="634"/>
      <c r="FZ321" s="634"/>
      <c r="GA321" s="634"/>
      <c r="GB321" s="634"/>
      <c r="GC321" s="634"/>
      <c r="GD321" s="634"/>
      <c r="GE321" s="634"/>
      <c r="GF321" s="634"/>
      <c r="GG321" s="634"/>
      <c r="GH321" s="634"/>
      <c r="GI321" s="634"/>
      <c r="GJ321" s="634"/>
      <c r="GK321" s="634"/>
      <c r="GL321" s="101"/>
      <c r="GM321" s="101"/>
      <c r="GN321" s="101"/>
      <c r="GO321" s="643"/>
      <c r="GP321" s="644"/>
      <c r="GQ321" s="643"/>
      <c r="GR321" s="644"/>
      <c r="GS321" s="643"/>
      <c r="GT321" s="644"/>
      <c r="GU321" s="644"/>
      <c r="GV321" s="644"/>
      <c r="GW321" s="644"/>
      <c r="GX321" s="644"/>
      <c r="GY321" s="644"/>
      <c r="GZ321" s="644"/>
      <c r="HA321" s="644"/>
    </row>
    <row r="322" spans="1:209">
      <c r="A322" s="638"/>
      <c r="B322" s="95"/>
      <c r="C322" s="95"/>
      <c r="D322" s="95"/>
      <c r="E322" s="650"/>
      <c r="F322" s="95"/>
      <c r="G322" s="98"/>
      <c r="H322" s="99"/>
      <c r="I322" s="95"/>
      <c r="J322" s="95"/>
      <c r="K322" s="95"/>
      <c r="L322" s="95"/>
      <c r="M322" s="95"/>
      <c r="N322" s="95"/>
      <c r="O322" s="95"/>
      <c r="P322" s="95"/>
      <c r="Q322" s="95"/>
      <c r="R322" s="98"/>
      <c r="S322" s="101"/>
      <c r="T322" s="644"/>
      <c r="U322" s="101"/>
      <c r="V322" s="647"/>
      <c r="W322" s="643"/>
      <c r="X322" s="644"/>
      <c r="Y322" s="101"/>
      <c r="Z322" s="644"/>
      <c r="AA322" s="101"/>
      <c r="AB322" s="644"/>
      <c r="AC322" s="101"/>
      <c r="AD322" s="646"/>
      <c r="AE322" s="271"/>
      <c r="AF322" s="646"/>
      <c r="AG322" s="646"/>
      <c r="AH322" s="646"/>
      <c r="AI322" s="646"/>
      <c r="AJ322" s="646"/>
      <c r="AK322" s="646"/>
      <c r="AL322" s="646"/>
      <c r="AM322" s="271"/>
      <c r="AN322" s="646"/>
      <c r="AO322" s="646"/>
      <c r="AP322" s="646"/>
      <c r="AQ322" s="271"/>
      <c r="AR322" s="646"/>
      <c r="AS322" s="270"/>
      <c r="AT322" s="646"/>
      <c r="AU322" s="646"/>
      <c r="AV322" s="646"/>
      <c r="AW322" s="270"/>
      <c r="AX322" s="646"/>
      <c r="AY322" s="270"/>
      <c r="AZ322" s="646"/>
      <c r="BA322" s="646"/>
      <c r="BB322" s="644"/>
      <c r="BC322" s="644"/>
      <c r="BD322" s="644"/>
      <c r="BE322" s="644"/>
      <c r="BF322" s="644"/>
      <c r="BG322" s="644"/>
      <c r="BH322" s="644"/>
      <c r="BI322" s="644"/>
      <c r="BJ322" s="644"/>
      <c r="BK322" s="644"/>
      <c r="BL322" s="644"/>
      <c r="BM322" s="95"/>
      <c r="BN322" s="644"/>
      <c r="BO322" s="95"/>
      <c r="BP322" s="644"/>
      <c r="BQ322" s="644"/>
      <c r="BR322" s="644"/>
      <c r="BS322" s="644"/>
      <c r="BT322" s="644"/>
      <c r="BU322" s="644"/>
      <c r="BV322" s="644"/>
      <c r="BW322" s="644"/>
      <c r="BX322" s="644"/>
      <c r="BY322" s="644"/>
      <c r="BZ322" s="644"/>
      <c r="CA322" s="644"/>
      <c r="CB322" s="644"/>
      <c r="CC322" s="644"/>
      <c r="CD322" s="644"/>
      <c r="CE322" s="644"/>
      <c r="CF322" s="644"/>
      <c r="CG322" s="644"/>
      <c r="CH322" s="644"/>
      <c r="CI322" s="644"/>
      <c r="CJ322" s="644"/>
      <c r="CK322" s="644"/>
      <c r="CL322" s="644"/>
      <c r="CM322" s="95"/>
      <c r="CN322" s="644"/>
      <c r="CO322" s="644"/>
      <c r="CP322" s="95"/>
      <c r="CQ322" s="98"/>
      <c r="CR322" s="95"/>
      <c r="CS322" s="95"/>
      <c r="CT322" s="95"/>
      <c r="CU322" s="108"/>
      <c r="CV322" s="109"/>
      <c r="CW322" s="644"/>
      <c r="CX322" s="496"/>
      <c r="CY322" s="637"/>
      <c r="CZ322" s="644"/>
      <c r="DA322" s="644"/>
      <c r="DB322" s="644"/>
      <c r="DC322" s="496"/>
      <c r="DD322" s="644"/>
      <c r="DE322" s="101"/>
      <c r="DF322" s="644"/>
      <c r="DG322" s="101"/>
      <c r="DH322" s="644"/>
      <c r="DI322" s="644"/>
      <c r="DJ322" s="644"/>
      <c r="DK322" s="644"/>
      <c r="DL322" s="644"/>
      <c r="DM322" s="101"/>
      <c r="DN322" s="644"/>
      <c r="DO322" s="644"/>
      <c r="DP322" s="644"/>
      <c r="DQ322" s="644"/>
      <c r="DR322" s="644"/>
      <c r="DS322" s="644"/>
      <c r="DT322" s="644"/>
      <c r="DU322" s="644"/>
      <c r="DV322" s="644"/>
      <c r="DW322" s="101"/>
      <c r="DX322" s="646"/>
      <c r="DY322" s="646"/>
      <c r="DZ322" s="646"/>
      <c r="EA322" s="646"/>
      <c r="EB322" s="646"/>
      <c r="EC322" s="646"/>
      <c r="ED322" s="646"/>
      <c r="EE322" s="646"/>
      <c r="EF322" s="646"/>
      <c r="EG322" s="646"/>
      <c r="EH322" s="646"/>
      <c r="EI322" s="646"/>
      <c r="EJ322" s="646"/>
      <c r="EK322" s="271"/>
      <c r="EL322" s="644"/>
      <c r="EM322" s="634"/>
      <c r="EN322" s="647"/>
      <c r="EO322" s="648"/>
      <c r="EP322" s="647"/>
      <c r="EQ322" s="647"/>
      <c r="ER322" s="647"/>
      <c r="ES322" s="139"/>
      <c r="EV322" s="647"/>
      <c r="EW322" s="647"/>
      <c r="EX322" s="647"/>
      <c r="EY322" s="647"/>
      <c r="EZ322" s="647"/>
      <c r="FA322" s="646"/>
      <c r="FB322" s="646"/>
      <c r="FC322" s="646"/>
      <c r="FD322" s="646"/>
      <c r="FE322" s="646"/>
      <c r="FF322" s="646"/>
      <c r="FG322" s="647"/>
      <c r="FH322" s="647"/>
      <c r="FI322" s="647"/>
      <c r="FJ322" s="647"/>
      <c r="FK322" s="647"/>
      <c r="FL322" s="647"/>
      <c r="FM322" s="647"/>
      <c r="FN322" s="647"/>
      <c r="FO322" s="647"/>
      <c r="FP322" s="647"/>
      <c r="FQ322" s="647"/>
      <c r="FR322" s="647"/>
      <c r="FS322" s="101"/>
      <c r="FT322" s="95"/>
      <c r="FU322" s="651"/>
      <c r="FV322" s="101"/>
      <c r="FW322" s="101"/>
      <c r="FX322" s="634"/>
      <c r="FY322" s="634"/>
      <c r="FZ322" s="634"/>
      <c r="GA322" s="634"/>
      <c r="GB322" s="634"/>
      <c r="GC322" s="634"/>
      <c r="GD322" s="634"/>
      <c r="GE322" s="634"/>
      <c r="GF322" s="634"/>
      <c r="GG322" s="634"/>
      <c r="GH322" s="634"/>
      <c r="GI322" s="634"/>
      <c r="GJ322" s="634"/>
      <c r="GK322" s="634"/>
      <c r="GL322" s="101"/>
      <c r="GM322" s="101"/>
      <c r="GN322" s="101"/>
      <c r="GO322" s="643"/>
      <c r="GP322" s="644"/>
      <c r="GQ322" s="643"/>
      <c r="GR322" s="644"/>
      <c r="GS322" s="643"/>
      <c r="GT322" s="644"/>
      <c r="GU322" s="644"/>
      <c r="GV322" s="644"/>
      <c r="GW322" s="644"/>
      <c r="GX322" s="644"/>
      <c r="GY322" s="644"/>
      <c r="GZ322" s="644"/>
      <c r="HA322" s="644"/>
    </row>
    <row r="323" spans="1:209">
      <c r="A323" s="638"/>
      <c r="B323" s="95"/>
      <c r="C323" s="95"/>
      <c r="D323" s="95"/>
      <c r="E323" s="650"/>
      <c r="F323" s="95"/>
      <c r="G323" s="98"/>
      <c r="H323" s="99"/>
      <c r="I323" s="95"/>
      <c r="J323" s="95"/>
      <c r="K323" s="95"/>
      <c r="L323" s="95"/>
      <c r="M323" s="95"/>
      <c r="N323" s="95"/>
      <c r="O323" s="95"/>
      <c r="P323" s="95"/>
      <c r="Q323" s="95"/>
      <c r="R323" s="98"/>
      <c r="S323" s="101"/>
      <c r="T323" s="644"/>
      <c r="U323" s="101"/>
      <c r="V323" s="647"/>
      <c r="W323" s="643"/>
      <c r="X323" s="644"/>
      <c r="Y323" s="101"/>
      <c r="Z323" s="644"/>
      <c r="AA323" s="101"/>
      <c r="AB323" s="644"/>
      <c r="AC323" s="101"/>
      <c r="AD323" s="646"/>
      <c r="AE323" s="271"/>
      <c r="AF323" s="646"/>
      <c r="AG323" s="646"/>
      <c r="AH323" s="646"/>
      <c r="AI323" s="646"/>
      <c r="AJ323" s="646"/>
      <c r="AK323" s="646"/>
      <c r="AL323" s="646"/>
      <c r="AM323" s="271"/>
      <c r="AN323" s="646"/>
      <c r="AO323" s="646"/>
      <c r="AP323" s="646"/>
      <c r="AQ323" s="271"/>
      <c r="AR323" s="646"/>
      <c r="AS323" s="270"/>
      <c r="AT323" s="646"/>
      <c r="AU323" s="646"/>
      <c r="AV323" s="646"/>
      <c r="AW323" s="270"/>
      <c r="AX323" s="646"/>
      <c r="AY323" s="270"/>
      <c r="AZ323" s="646"/>
      <c r="BA323" s="646"/>
      <c r="BB323" s="644"/>
      <c r="BC323" s="644"/>
      <c r="BD323" s="644"/>
      <c r="BE323" s="644"/>
      <c r="BF323" s="644"/>
      <c r="BG323" s="644"/>
      <c r="BH323" s="644"/>
      <c r="BI323" s="644"/>
      <c r="BJ323" s="644"/>
      <c r="BK323" s="644"/>
      <c r="BL323" s="644"/>
      <c r="BM323" s="95"/>
      <c r="BN323" s="644"/>
      <c r="BO323" s="95"/>
      <c r="BP323" s="644"/>
      <c r="BQ323" s="644"/>
      <c r="BR323" s="644"/>
      <c r="BS323" s="644"/>
      <c r="BT323" s="644"/>
      <c r="BU323" s="644"/>
      <c r="BV323" s="644"/>
      <c r="BW323" s="644"/>
      <c r="BX323" s="644"/>
      <c r="BY323" s="644"/>
      <c r="BZ323" s="644"/>
      <c r="CA323" s="644"/>
      <c r="CB323" s="644"/>
      <c r="CC323" s="644"/>
      <c r="CD323" s="644"/>
      <c r="CE323" s="644"/>
      <c r="CF323" s="644"/>
      <c r="CG323" s="644"/>
      <c r="CH323" s="644"/>
      <c r="CI323" s="644"/>
      <c r="CJ323" s="644"/>
      <c r="CK323" s="644"/>
      <c r="CL323" s="644"/>
      <c r="CM323" s="95"/>
      <c r="CN323" s="644"/>
      <c r="CO323" s="644"/>
      <c r="CP323" s="95"/>
      <c r="CQ323" s="98"/>
      <c r="CR323" s="95"/>
      <c r="CS323" s="95"/>
      <c r="CT323" s="95"/>
      <c r="CU323" s="108"/>
      <c r="CV323" s="109"/>
      <c r="CW323" s="644"/>
      <c r="CX323" s="496"/>
      <c r="CY323" s="637"/>
      <c r="CZ323" s="644"/>
      <c r="DA323" s="644"/>
      <c r="DB323" s="644"/>
      <c r="DC323" s="496"/>
      <c r="DD323" s="644"/>
      <c r="DE323" s="101"/>
      <c r="DF323" s="644"/>
      <c r="DG323" s="101"/>
      <c r="DH323" s="644"/>
      <c r="DI323" s="644"/>
      <c r="DJ323" s="644"/>
      <c r="DK323" s="644"/>
      <c r="DL323" s="644"/>
      <c r="DM323" s="101"/>
      <c r="DN323" s="644"/>
      <c r="DO323" s="644"/>
      <c r="DP323" s="644"/>
      <c r="DQ323" s="644"/>
      <c r="DR323" s="644"/>
      <c r="DS323" s="644"/>
      <c r="DT323" s="644"/>
      <c r="DU323" s="644"/>
      <c r="DV323" s="644"/>
      <c r="DW323" s="101"/>
      <c r="DX323" s="646"/>
      <c r="DY323" s="646"/>
      <c r="DZ323" s="646"/>
      <c r="EA323" s="646"/>
      <c r="EB323" s="646"/>
      <c r="EC323" s="646"/>
      <c r="ED323" s="646"/>
      <c r="EE323" s="646"/>
      <c r="EF323" s="646"/>
      <c r="EG323" s="646"/>
      <c r="EH323" s="646"/>
      <c r="EI323" s="646"/>
      <c r="EJ323" s="646"/>
      <c r="EK323" s="271"/>
      <c r="EL323" s="644"/>
      <c r="EM323" s="634"/>
      <c r="EN323" s="647"/>
      <c r="EO323" s="648"/>
      <c r="EP323" s="647"/>
      <c r="EQ323" s="647"/>
      <c r="ER323" s="647"/>
      <c r="ES323" s="139"/>
      <c r="EV323" s="647"/>
      <c r="EW323" s="647"/>
      <c r="EX323" s="647"/>
      <c r="EY323" s="647"/>
      <c r="EZ323" s="647"/>
      <c r="FA323" s="646"/>
      <c r="FB323" s="646"/>
      <c r="FC323" s="646"/>
      <c r="FD323" s="646"/>
      <c r="FE323" s="646"/>
      <c r="FF323" s="646"/>
      <c r="FG323" s="647"/>
      <c r="FH323" s="647"/>
      <c r="FI323" s="647"/>
      <c r="FJ323" s="647"/>
      <c r="FK323" s="647"/>
      <c r="FL323" s="647"/>
      <c r="FM323" s="647"/>
      <c r="FN323" s="647"/>
      <c r="FO323" s="647"/>
      <c r="FP323" s="647"/>
      <c r="FQ323" s="647"/>
      <c r="FR323" s="647"/>
      <c r="FS323" s="101"/>
      <c r="FT323" s="95"/>
      <c r="FU323" s="651"/>
      <c r="FV323" s="101"/>
      <c r="FW323" s="101"/>
      <c r="FX323" s="634"/>
      <c r="FY323" s="634"/>
      <c r="FZ323" s="634"/>
      <c r="GA323" s="634"/>
      <c r="GB323" s="634"/>
      <c r="GC323" s="634"/>
      <c r="GD323" s="634"/>
      <c r="GE323" s="634"/>
      <c r="GF323" s="634"/>
      <c r="GG323" s="634"/>
      <c r="GH323" s="634"/>
      <c r="GI323" s="634"/>
      <c r="GJ323" s="634"/>
      <c r="GK323" s="634"/>
      <c r="GL323" s="101"/>
      <c r="GM323" s="101"/>
      <c r="GN323" s="101"/>
      <c r="GO323" s="643"/>
      <c r="GP323" s="644"/>
      <c r="GQ323" s="643"/>
      <c r="GR323" s="644"/>
      <c r="GS323" s="643"/>
      <c r="GT323" s="644"/>
      <c r="GU323" s="644"/>
      <c r="GV323" s="644"/>
      <c r="GW323" s="644"/>
      <c r="GX323" s="644"/>
      <c r="GY323" s="644"/>
      <c r="GZ323" s="644"/>
      <c r="HA323" s="644"/>
    </row>
    <row r="324" spans="1:209">
      <c r="A324" s="638"/>
      <c r="B324" s="95"/>
      <c r="C324" s="95"/>
      <c r="D324" s="95"/>
      <c r="E324" s="650"/>
      <c r="F324" s="95"/>
      <c r="G324" s="98"/>
      <c r="H324" s="99"/>
      <c r="I324" s="95"/>
      <c r="J324" s="95"/>
      <c r="K324" s="95"/>
      <c r="L324" s="95"/>
      <c r="M324" s="95"/>
      <c r="N324" s="95"/>
      <c r="O324" s="95"/>
      <c r="P324" s="95"/>
      <c r="Q324" s="95"/>
      <c r="R324" s="98"/>
      <c r="S324" s="101"/>
      <c r="T324" s="644"/>
      <c r="U324" s="101"/>
      <c r="V324" s="647"/>
      <c r="W324" s="643"/>
      <c r="X324" s="644"/>
      <c r="Y324" s="101"/>
      <c r="Z324" s="644"/>
      <c r="AA324" s="101"/>
      <c r="AB324" s="644"/>
      <c r="AC324" s="101"/>
      <c r="AD324" s="646"/>
      <c r="AE324" s="271"/>
      <c r="AF324" s="646"/>
      <c r="AG324" s="646"/>
      <c r="AH324" s="646"/>
      <c r="AI324" s="646"/>
      <c r="AJ324" s="646"/>
      <c r="AK324" s="646"/>
      <c r="AL324" s="646"/>
      <c r="AM324" s="271"/>
      <c r="AN324" s="646"/>
      <c r="AO324" s="646"/>
      <c r="AP324" s="646"/>
      <c r="AQ324" s="271"/>
      <c r="AR324" s="646"/>
      <c r="AS324" s="270"/>
      <c r="AT324" s="646"/>
      <c r="AU324" s="646"/>
      <c r="AV324" s="646"/>
      <c r="AW324" s="270"/>
      <c r="AX324" s="646"/>
      <c r="AY324" s="270"/>
      <c r="AZ324" s="646"/>
      <c r="BA324" s="646"/>
      <c r="BB324" s="644"/>
      <c r="BC324" s="644"/>
      <c r="BD324" s="644"/>
      <c r="BE324" s="644"/>
      <c r="BF324" s="644"/>
      <c r="BG324" s="644"/>
      <c r="BH324" s="644"/>
      <c r="BI324" s="644"/>
      <c r="BJ324" s="644"/>
      <c r="BK324" s="644"/>
      <c r="BL324" s="644"/>
      <c r="BM324" s="95"/>
      <c r="BN324" s="644"/>
      <c r="BO324" s="95"/>
      <c r="BP324" s="644"/>
      <c r="BQ324" s="644"/>
      <c r="BR324" s="644"/>
      <c r="BS324" s="644"/>
      <c r="BT324" s="644"/>
      <c r="BU324" s="644"/>
      <c r="BV324" s="644"/>
      <c r="BW324" s="644"/>
      <c r="BX324" s="644"/>
      <c r="BY324" s="644"/>
      <c r="BZ324" s="644"/>
      <c r="CA324" s="644"/>
      <c r="CB324" s="644"/>
      <c r="CC324" s="644"/>
      <c r="CD324" s="644"/>
      <c r="CE324" s="644"/>
      <c r="CF324" s="644"/>
      <c r="CG324" s="644"/>
      <c r="CH324" s="644"/>
      <c r="CI324" s="644"/>
      <c r="CJ324" s="644"/>
      <c r="CK324" s="644"/>
      <c r="CL324" s="644"/>
      <c r="CM324" s="95"/>
      <c r="CN324" s="644"/>
      <c r="CO324" s="644"/>
      <c r="CP324" s="95"/>
      <c r="CQ324" s="98"/>
      <c r="CR324" s="95"/>
      <c r="CS324" s="95"/>
      <c r="CT324" s="95"/>
      <c r="CU324" s="108"/>
      <c r="CV324" s="109"/>
      <c r="CW324" s="644"/>
      <c r="CX324" s="496"/>
      <c r="CY324" s="637"/>
      <c r="CZ324" s="644"/>
      <c r="DA324" s="644"/>
      <c r="DB324" s="644"/>
      <c r="DC324" s="496"/>
      <c r="DD324" s="644"/>
      <c r="DE324" s="101"/>
      <c r="DF324" s="644"/>
      <c r="DG324" s="101"/>
      <c r="DH324" s="644"/>
      <c r="DI324" s="644"/>
      <c r="DJ324" s="644"/>
      <c r="DK324" s="644"/>
      <c r="DL324" s="644"/>
      <c r="DM324" s="101"/>
      <c r="DN324" s="644"/>
      <c r="DO324" s="644"/>
      <c r="DP324" s="644"/>
      <c r="DQ324" s="644"/>
      <c r="DR324" s="644"/>
      <c r="DS324" s="644"/>
      <c r="DT324" s="644"/>
      <c r="DU324" s="644"/>
      <c r="DV324" s="644"/>
      <c r="DW324" s="101"/>
      <c r="DX324" s="646"/>
      <c r="DY324" s="646"/>
      <c r="DZ324" s="646"/>
      <c r="EA324" s="646"/>
      <c r="EB324" s="646"/>
      <c r="EC324" s="646"/>
      <c r="ED324" s="646"/>
      <c r="EE324" s="646"/>
      <c r="EF324" s="646"/>
      <c r="EG324" s="646"/>
      <c r="EH324" s="646"/>
      <c r="EI324" s="646"/>
      <c r="EJ324" s="646"/>
      <c r="EK324" s="271"/>
      <c r="EL324" s="644"/>
      <c r="EM324" s="634"/>
      <c r="EN324" s="647"/>
      <c r="EO324" s="648"/>
      <c r="EP324" s="647"/>
      <c r="EQ324" s="647"/>
      <c r="ER324" s="647"/>
      <c r="ES324" s="139"/>
      <c r="EV324" s="647"/>
      <c r="EW324" s="647"/>
      <c r="EX324" s="647"/>
      <c r="EY324" s="647"/>
      <c r="EZ324" s="647"/>
      <c r="FA324" s="646"/>
      <c r="FB324" s="646"/>
      <c r="FC324" s="646"/>
      <c r="FD324" s="646"/>
      <c r="FE324" s="646"/>
      <c r="FF324" s="646"/>
      <c r="FG324" s="647"/>
      <c r="FH324" s="647"/>
      <c r="FI324" s="647"/>
      <c r="FJ324" s="647"/>
      <c r="FK324" s="647"/>
      <c r="FL324" s="647"/>
      <c r="FM324" s="647"/>
      <c r="FN324" s="647"/>
      <c r="FO324" s="647"/>
      <c r="FP324" s="647"/>
      <c r="FQ324" s="647"/>
      <c r="FR324" s="647"/>
      <c r="FS324" s="101"/>
      <c r="FT324" s="95"/>
      <c r="FU324" s="651"/>
      <c r="FV324" s="101"/>
      <c r="FW324" s="101"/>
      <c r="FX324" s="634"/>
      <c r="FY324" s="634"/>
      <c r="FZ324" s="634"/>
      <c r="GA324" s="634"/>
      <c r="GB324" s="634"/>
      <c r="GC324" s="634"/>
      <c r="GD324" s="634"/>
      <c r="GE324" s="634"/>
      <c r="GF324" s="634"/>
      <c r="GG324" s="634"/>
      <c r="GH324" s="634"/>
      <c r="GI324" s="634"/>
      <c r="GJ324" s="634"/>
      <c r="GK324" s="634"/>
      <c r="GL324" s="101"/>
      <c r="GM324" s="101"/>
      <c r="GN324" s="101"/>
      <c r="GO324" s="643"/>
      <c r="GP324" s="644"/>
      <c r="GQ324" s="643"/>
      <c r="GR324" s="644"/>
      <c r="GS324" s="643"/>
      <c r="GT324" s="644"/>
      <c r="GU324" s="644"/>
      <c r="GV324" s="644"/>
      <c r="GW324" s="644"/>
      <c r="GX324" s="644"/>
      <c r="GY324" s="644"/>
      <c r="GZ324" s="644"/>
      <c r="HA324" s="644"/>
    </row>
    <row r="325" spans="1:209">
      <c r="A325" s="638"/>
      <c r="B325" s="95"/>
      <c r="C325" s="95"/>
      <c r="D325" s="95"/>
      <c r="E325" s="650"/>
      <c r="F325" s="95"/>
      <c r="G325" s="98"/>
      <c r="H325" s="99"/>
      <c r="I325" s="95"/>
      <c r="J325" s="95"/>
      <c r="K325" s="95"/>
      <c r="L325" s="95"/>
      <c r="M325" s="95"/>
      <c r="N325" s="95"/>
      <c r="O325" s="95"/>
      <c r="P325" s="95"/>
      <c r="Q325" s="95"/>
      <c r="R325" s="98"/>
      <c r="S325" s="101"/>
      <c r="T325" s="644"/>
      <c r="U325" s="101"/>
      <c r="V325" s="647"/>
      <c r="W325" s="643"/>
      <c r="X325" s="644"/>
      <c r="Y325" s="101"/>
      <c r="Z325" s="644"/>
      <c r="AA325" s="101"/>
      <c r="AB325" s="644"/>
      <c r="AC325" s="101"/>
      <c r="AD325" s="646"/>
      <c r="AE325" s="271"/>
      <c r="AF325" s="646"/>
      <c r="AG325" s="646"/>
      <c r="AH325" s="646"/>
      <c r="AI325" s="646"/>
      <c r="AJ325" s="646"/>
      <c r="AK325" s="646"/>
      <c r="AL325" s="646"/>
      <c r="AM325" s="271"/>
      <c r="AN325" s="646"/>
      <c r="AO325" s="646"/>
      <c r="AP325" s="646"/>
      <c r="AQ325" s="271"/>
      <c r="AR325" s="646"/>
      <c r="AS325" s="270"/>
      <c r="AT325" s="646"/>
      <c r="AU325" s="646"/>
      <c r="AV325" s="646"/>
      <c r="AW325" s="270"/>
      <c r="AX325" s="646"/>
      <c r="AY325" s="270"/>
      <c r="AZ325" s="646"/>
      <c r="BA325" s="646"/>
      <c r="BB325" s="644"/>
      <c r="BC325" s="644"/>
      <c r="BD325" s="644"/>
      <c r="BE325" s="644"/>
      <c r="BF325" s="644"/>
      <c r="BG325" s="644"/>
      <c r="BH325" s="644"/>
      <c r="BI325" s="644"/>
      <c r="BJ325" s="644"/>
      <c r="BK325" s="644"/>
      <c r="BL325" s="644"/>
      <c r="BM325" s="95"/>
      <c r="BN325" s="644"/>
      <c r="BO325" s="95"/>
      <c r="BP325" s="644"/>
      <c r="BQ325" s="644"/>
      <c r="BR325" s="644"/>
      <c r="BS325" s="644"/>
      <c r="BT325" s="644"/>
      <c r="BU325" s="644"/>
      <c r="BV325" s="644"/>
      <c r="BW325" s="644"/>
      <c r="BX325" s="644"/>
      <c r="BY325" s="644"/>
      <c r="BZ325" s="644"/>
      <c r="CA325" s="644"/>
      <c r="CB325" s="644"/>
      <c r="CC325" s="644"/>
      <c r="CD325" s="644"/>
      <c r="CE325" s="644"/>
      <c r="CF325" s="644"/>
      <c r="CG325" s="644"/>
      <c r="CH325" s="644"/>
      <c r="CI325" s="644"/>
      <c r="CJ325" s="644"/>
      <c r="CK325" s="644"/>
      <c r="CL325" s="644"/>
      <c r="CM325" s="95"/>
      <c r="CN325" s="644"/>
      <c r="CO325" s="644"/>
      <c r="CP325" s="95"/>
      <c r="CQ325" s="98"/>
      <c r="CR325" s="95"/>
      <c r="CS325" s="95"/>
      <c r="CT325" s="95"/>
      <c r="CU325" s="108"/>
      <c r="CV325" s="109"/>
      <c r="CW325" s="644"/>
      <c r="CX325" s="496"/>
      <c r="CY325" s="637"/>
      <c r="CZ325" s="644"/>
      <c r="DA325" s="644"/>
      <c r="DB325" s="644"/>
      <c r="DC325" s="496"/>
      <c r="DD325" s="644"/>
      <c r="DE325" s="101"/>
      <c r="DF325" s="644"/>
      <c r="DG325" s="101"/>
      <c r="DH325" s="644"/>
      <c r="DI325" s="644"/>
      <c r="DJ325" s="644"/>
      <c r="DK325" s="644"/>
      <c r="DL325" s="644"/>
      <c r="DM325" s="101"/>
      <c r="DN325" s="644"/>
      <c r="DO325" s="644"/>
      <c r="DP325" s="644"/>
      <c r="DQ325" s="644"/>
      <c r="DR325" s="644"/>
      <c r="DS325" s="644"/>
      <c r="DT325" s="644"/>
      <c r="DU325" s="644"/>
      <c r="DV325" s="644"/>
      <c r="DW325" s="101"/>
      <c r="DX325" s="646"/>
      <c r="DY325" s="646"/>
      <c r="DZ325" s="646"/>
      <c r="EA325" s="646"/>
      <c r="EB325" s="646"/>
      <c r="EC325" s="646"/>
      <c r="ED325" s="646"/>
      <c r="EE325" s="646"/>
      <c r="EF325" s="646"/>
      <c r="EG325" s="646"/>
      <c r="EH325" s="646"/>
      <c r="EI325" s="646"/>
      <c r="EJ325" s="646"/>
      <c r="EK325" s="271"/>
      <c r="EL325" s="644"/>
      <c r="EM325" s="634"/>
      <c r="EN325" s="647"/>
      <c r="EO325" s="648"/>
      <c r="EP325" s="647"/>
      <c r="EQ325" s="647"/>
      <c r="ER325" s="647"/>
      <c r="ES325" s="139"/>
      <c r="EV325" s="647"/>
      <c r="EW325" s="647"/>
      <c r="EX325" s="647"/>
      <c r="EY325" s="647"/>
      <c r="EZ325" s="647"/>
      <c r="FA325" s="646"/>
      <c r="FB325" s="646"/>
      <c r="FC325" s="646"/>
      <c r="FD325" s="646"/>
      <c r="FE325" s="646"/>
      <c r="FF325" s="646"/>
      <c r="FG325" s="647"/>
      <c r="FH325" s="647"/>
      <c r="FI325" s="647"/>
      <c r="FJ325" s="647"/>
      <c r="FK325" s="647"/>
      <c r="FL325" s="647"/>
      <c r="FM325" s="647"/>
      <c r="FN325" s="647"/>
      <c r="FO325" s="647"/>
      <c r="FP325" s="647"/>
      <c r="FQ325" s="647"/>
      <c r="FR325" s="647"/>
      <c r="FS325" s="101"/>
      <c r="FT325" s="95"/>
      <c r="FU325" s="651"/>
      <c r="FV325" s="101"/>
      <c r="FW325" s="101"/>
      <c r="FX325" s="634"/>
      <c r="FY325" s="634"/>
      <c r="FZ325" s="634"/>
      <c r="GA325" s="634"/>
      <c r="GB325" s="634"/>
      <c r="GC325" s="634"/>
      <c r="GD325" s="634"/>
      <c r="GE325" s="634"/>
      <c r="GF325" s="634"/>
      <c r="GG325" s="634"/>
      <c r="GH325" s="634"/>
      <c r="GI325" s="634"/>
      <c r="GJ325" s="634"/>
      <c r="GK325" s="634"/>
      <c r="GL325" s="101"/>
      <c r="GM325" s="101"/>
      <c r="GN325" s="101"/>
      <c r="GO325" s="643"/>
      <c r="GP325" s="644"/>
      <c r="GQ325" s="643"/>
      <c r="GR325" s="644"/>
      <c r="GS325" s="643"/>
      <c r="GT325" s="644"/>
      <c r="GU325" s="644"/>
      <c r="GV325" s="644"/>
      <c r="GW325" s="644"/>
      <c r="GX325" s="644"/>
      <c r="GY325" s="644"/>
      <c r="GZ325" s="644"/>
      <c r="HA325" s="644"/>
    </row>
    <row r="326" spans="1:209">
      <c r="A326" s="638"/>
      <c r="B326" s="95"/>
      <c r="C326" s="95"/>
      <c r="D326" s="95"/>
      <c r="E326" s="650"/>
      <c r="F326" s="95"/>
      <c r="G326" s="98"/>
      <c r="H326" s="99"/>
      <c r="I326" s="95"/>
      <c r="J326" s="95"/>
      <c r="K326" s="95"/>
      <c r="L326" s="95"/>
      <c r="M326" s="95"/>
      <c r="N326" s="95"/>
      <c r="O326" s="95"/>
      <c r="P326" s="95"/>
      <c r="Q326" s="95"/>
      <c r="R326" s="98"/>
      <c r="S326" s="101"/>
      <c r="T326" s="644"/>
      <c r="U326" s="101"/>
      <c r="V326" s="647"/>
      <c r="W326" s="643"/>
      <c r="X326" s="644"/>
      <c r="Y326" s="101"/>
      <c r="Z326" s="644"/>
      <c r="AA326" s="101"/>
      <c r="AB326" s="644"/>
      <c r="AC326" s="101"/>
      <c r="AD326" s="646"/>
      <c r="AE326" s="271"/>
      <c r="AF326" s="646"/>
      <c r="AG326" s="646"/>
      <c r="AH326" s="646"/>
      <c r="AI326" s="646"/>
      <c r="AJ326" s="646"/>
      <c r="AK326" s="646"/>
      <c r="AL326" s="646"/>
      <c r="AM326" s="271"/>
      <c r="AN326" s="646"/>
      <c r="AO326" s="646"/>
      <c r="AP326" s="646"/>
      <c r="AQ326" s="271"/>
      <c r="AR326" s="646"/>
      <c r="AS326" s="270"/>
      <c r="AT326" s="646"/>
      <c r="AU326" s="646"/>
      <c r="AV326" s="646"/>
      <c r="AW326" s="270"/>
      <c r="AX326" s="646"/>
      <c r="AY326" s="270"/>
      <c r="AZ326" s="646"/>
      <c r="BA326" s="646"/>
      <c r="BB326" s="644"/>
      <c r="BC326" s="644"/>
      <c r="BD326" s="644"/>
      <c r="BE326" s="644"/>
      <c r="BF326" s="644"/>
      <c r="BG326" s="644"/>
      <c r="BH326" s="644"/>
      <c r="BI326" s="644"/>
      <c r="BJ326" s="644"/>
      <c r="BK326" s="644"/>
      <c r="BL326" s="644"/>
      <c r="BM326" s="95"/>
      <c r="BN326" s="644"/>
      <c r="BO326" s="95"/>
      <c r="BP326" s="644"/>
      <c r="BQ326" s="644"/>
      <c r="BR326" s="644"/>
      <c r="BS326" s="644"/>
      <c r="BT326" s="644"/>
      <c r="BU326" s="644"/>
      <c r="BV326" s="644"/>
      <c r="BW326" s="644"/>
      <c r="BX326" s="644"/>
      <c r="BY326" s="644"/>
      <c r="BZ326" s="644"/>
      <c r="CA326" s="644"/>
      <c r="CB326" s="644"/>
      <c r="CC326" s="644"/>
      <c r="CD326" s="644"/>
      <c r="CE326" s="644"/>
      <c r="CF326" s="644"/>
      <c r="CG326" s="644"/>
      <c r="CH326" s="644"/>
      <c r="CI326" s="644"/>
      <c r="CJ326" s="644"/>
      <c r="CK326" s="644"/>
      <c r="CL326" s="644"/>
      <c r="CM326" s="95"/>
      <c r="CN326" s="644"/>
      <c r="CO326" s="644"/>
      <c r="CP326" s="95"/>
      <c r="CQ326" s="98"/>
      <c r="CR326" s="95"/>
      <c r="CS326" s="95"/>
      <c r="CT326" s="95"/>
      <c r="CU326" s="108"/>
      <c r="CV326" s="109"/>
      <c r="CW326" s="644"/>
      <c r="CX326" s="496"/>
      <c r="CY326" s="637"/>
      <c r="CZ326" s="644"/>
      <c r="DA326" s="644"/>
      <c r="DB326" s="644"/>
      <c r="DC326" s="496"/>
      <c r="DD326" s="644"/>
      <c r="DE326" s="101"/>
      <c r="DF326" s="644"/>
      <c r="DG326" s="101"/>
      <c r="DH326" s="644"/>
      <c r="DI326" s="644"/>
      <c r="DJ326" s="644"/>
      <c r="DK326" s="644"/>
      <c r="DL326" s="644"/>
      <c r="DM326" s="101"/>
      <c r="DN326" s="644"/>
      <c r="DO326" s="644"/>
      <c r="DP326" s="644"/>
      <c r="DQ326" s="644"/>
      <c r="DR326" s="644"/>
      <c r="DS326" s="644"/>
      <c r="DT326" s="644"/>
      <c r="DU326" s="644"/>
      <c r="DV326" s="644"/>
      <c r="DW326" s="101"/>
      <c r="DX326" s="646"/>
      <c r="DY326" s="646"/>
      <c r="DZ326" s="646"/>
      <c r="EA326" s="646"/>
      <c r="EB326" s="646"/>
      <c r="EC326" s="646"/>
      <c r="ED326" s="646"/>
      <c r="EE326" s="646"/>
      <c r="EF326" s="646"/>
      <c r="EG326" s="646"/>
      <c r="EH326" s="646"/>
      <c r="EI326" s="646"/>
      <c r="EJ326" s="646"/>
      <c r="EK326" s="271"/>
      <c r="EL326" s="644"/>
      <c r="EM326" s="634"/>
      <c r="EN326" s="647"/>
      <c r="EO326" s="648"/>
      <c r="EP326" s="647"/>
      <c r="EQ326" s="647"/>
      <c r="ER326" s="647"/>
      <c r="ES326" s="139"/>
      <c r="EV326" s="647"/>
      <c r="EW326" s="647"/>
      <c r="EX326" s="647"/>
      <c r="EY326" s="647"/>
      <c r="EZ326" s="647"/>
      <c r="FA326" s="646"/>
      <c r="FB326" s="646"/>
      <c r="FC326" s="646"/>
      <c r="FD326" s="646"/>
      <c r="FE326" s="646"/>
      <c r="FF326" s="646"/>
      <c r="FG326" s="647"/>
      <c r="FH326" s="647"/>
      <c r="FI326" s="647"/>
      <c r="FJ326" s="647"/>
      <c r="FK326" s="647"/>
      <c r="FL326" s="647"/>
      <c r="FM326" s="647"/>
      <c r="FN326" s="647"/>
      <c r="FO326" s="647"/>
      <c r="FP326" s="647"/>
      <c r="FQ326" s="647"/>
      <c r="FR326" s="647"/>
      <c r="FS326" s="101"/>
      <c r="FT326" s="95"/>
      <c r="FU326" s="651"/>
      <c r="FV326" s="101"/>
      <c r="FW326" s="101"/>
      <c r="FX326" s="634"/>
      <c r="FY326" s="634"/>
      <c r="FZ326" s="634"/>
      <c r="GA326" s="634"/>
      <c r="GB326" s="634"/>
      <c r="GC326" s="634"/>
      <c r="GD326" s="634"/>
      <c r="GE326" s="634"/>
      <c r="GF326" s="634"/>
      <c r="GG326" s="634"/>
      <c r="GH326" s="634"/>
      <c r="GI326" s="634"/>
      <c r="GJ326" s="634"/>
      <c r="GK326" s="634"/>
      <c r="GL326" s="101"/>
      <c r="GM326" s="101"/>
      <c r="GN326" s="101"/>
      <c r="GO326" s="643"/>
      <c r="GP326" s="644"/>
      <c r="GQ326" s="643"/>
      <c r="GR326" s="644"/>
      <c r="GS326" s="643"/>
      <c r="GT326" s="644"/>
      <c r="GU326" s="644"/>
      <c r="GV326" s="644"/>
      <c r="GW326" s="644"/>
      <c r="GX326" s="644"/>
      <c r="GY326" s="644"/>
      <c r="GZ326" s="644"/>
      <c r="HA326" s="644"/>
    </row>
    <row r="327" spans="1:209">
      <c r="A327" s="638"/>
      <c r="B327" s="95"/>
      <c r="C327" s="95"/>
      <c r="D327" s="95"/>
      <c r="E327" s="650"/>
      <c r="F327" s="95"/>
      <c r="G327" s="98"/>
      <c r="H327" s="99"/>
      <c r="I327" s="95"/>
      <c r="J327" s="95"/>
      <c r="K327" s="95"/>
      <c r="L327" s="95"/>
      <c r="M327" s="95"/>
      <c r="N327" s="95"/>
      <c r="O327" s="95"/>
      <c r="P327" s="95"/>
      <c r="Q327" s="95"/>
      <c r="R327" s="98"/>
      <c r="S327" s="101"/>
      <c r="T327" s="644"/>
      <c r="U327" s="101"/>
      <c r="V327" s="647"/>
      <c r="W327" s="643"/>
      <c r="X327" s="644"/>
      <c r="Y327" s="101"/>
      <c r="Z327" s="644"/>
      <c r="AA327" s="101"/>
      <c r="AB327" s="644"/>
      <c r="AC327" s="101"/>
      <c r="AD327" s="646"/>
      <c r="AE327" s="271"/>
      <c r="AF327" s="646"/>
      <c r="AG327" s="646"/>
      <c r="AH327" s="646"/>
      <c r="AI327" s="646"/>
      <c r="AJ327" s="646"/>
      <c r="AK327" s="646"/>
      <c r="AL327" s="646"/>
      <c r="AM327" s="271"/>
      <c r="AN327" s="646"/>
      <c r="AO327" s="646"/>
      <c r="AP327" s="646"/>
      <c r="AQ327" s="271"/>
      <c r="AR327" s="646"/>
      <c r="AS327" s="270"/>
      <c r="AT327" s="646"/>
      <c r="AU327" s="646"/>
      <c r="AV327" s="646"/>
      <c r="AW327" s="270"/>
      <c r="AX327" s="646"/>
      <c r="AY327" s="270"/>
      <c r="AZ327" s="646"/>
      <c r="BA327" s="646"/>
      <c r="BB327" s="644"/>
      <c r="BC327" s="644"/>
      <c r="BD327" s="644"/>
      <c r="BE327" s="644"/>
      <c r="BF327" s="644"/>
      <c r="BG327" s="644"/>
      <c r="BH327" s="644"/>
      <c r="BI327" s="644"/>
      <c r="BJ327" s="644"/>
      <c r="BK327" s="644"/>
      <c r="BL327" s="644"/>
      <c r="BM327" s="95"/>
      <c r="BN327" s="644"/>
      <c r="BO327" s="95"/>
      <c r="BP327" s="644"/>
      <c r="BQ327" s="644"/>
      <c r="BR327" s="644"/>
      <c r="BS327" s="644"/>
      <c r="BT327" s="644"/>
      <c r="BU327" s="644"/>
      <c r="BV327" s="644"/>
      <c r="BW327" s="644"/>
      <c r="BX327" s="644"/>
      <c r="BY327" s="644"/>
      <c r="BZ327" s="644"/>
      <c r="CA327" s="644"/>
      <c r="CB327" s="644"/>
      <c r="CC327" s="644"/>
      <c r="CD327" s="644"/>
      <c r="CE327" s="644"/>
      <c r="CF327" s="644"/>
      <c r="CG327" s="644"/>
      <c r="CH327" s="644"/>
      <c r="CI327" s="644"/>
      <c r="CJ327" s="644"/>
      <c r="CK327" s="644"/>
      <c r="CL327" s="644"/>
      <c r="CM327" s="95"/>
      <c r="CN327" s="644"/>
      <c r="CO327" s="644"/>
      <c r="CP327" s="95"/>
      <c r="CQ327" s="98"/>
      <c r="CR327" s="95"/>
      <c r="CS327" s="95"/>
      <c r="CT327" s="95"/>
      <c r="CU327" s="108"/>
      <c r="CV327" s="109"/>
      <c r="CW327" s="644"/>
      <c r="CX327" s="496"/>
      <c r="CY327" s="637"/>
      <c r="CZ327" s="644"/>
      <c r="DA327" s="644"/>
      <c r="DB327" s="644"/>
      <c r="DC327" s="496"/>
      <c r="DD327" s="644"/>
      <c r="DE327" s="101"/>
      <c r="DF327" s="644"/>
      <c r="DG327" s="101"/>
      <c r="DH327" s="644"/>
      <c r="DI327" s="644"/>
      <c r="DJ327" s="644"/>
      <c r="DK327" s="644"/>
      <c r="DL327" s="644"/>
      <c r="DM327" s="101"/>
      <c r="DN327" s="644"/>
      <c r="DO327" s="644"/>
      <c r="DP327" s="644"/>
      <c r="DQ327" s="644"/>
      <c r="DR327" s="644"/>
      <c r="DS327" s="644"/>
      <c r="DT327" s="644"/>
      <c r="DU327" s="644"/>
      <c r="DV327" s="644"/>
      <c r="DW327" s="101"/>
      <c r="DX327" s="646"/>
      <c r="DY327" s="646"/>
      <c r="DZ327" s="646"/>
      <c r="EA327" s="646"/>
      <c r="EB327" s="646"/>
      <c r="EC327" s="646"/>
      <c r="ED327" s="646"/>
      <c r="EE327" s="646"/>
      <c r="EF327" s="646"/>
      <c r="EG327" s="646"/>
      <c r="EH327" s="646"/>
      <c r="EI327" s="646"/>
      <c r="EJ327" s="646"/>
      <c r="EK327" s="271"/>
      <c r="EL327" s="644"/>
      <c r="EM327" s="634"/>
      <c r="EN327" s="647"/>
      <c r="EO327" s="648"/>
      <c r="EP327" s="647"/>
      <c r="EQ327" s="647"/>
      <c r="ER327" s="647"/>
      <c r="ES327" s="139"/>
      <c r="EV327" s="647"/>
      <c r="EW327" s="647"/>
      <c r="EX327" s="647"/>
      <c r="EY327" s="647"/>
      <c r="EZ327" s="647"/>
      <c r="FA327" s="646"/>
      <c r="FB327" s="646"/>
      <c r="FC327" s="646"/>
      <c r="FD327" s="646"/>
      <c r="FE327" s="646"/>
      <c r="FF327" s="646"/>
      <c r="FG327" s="647"/>
      <c r="FH327" s="647"/>
      <c r="FI327" s="647"/>
      <c r="FJ327" s="647"/>
      <c r="FK327" s="647"/>
      <c r="FL327" s="647"/>
      <c r="FM327" s="647"/>
      <c r="FN327" s="647"/>
      <c r="FO327" s="647"/>
      <c r="FP327" s="647"/>
      <c r="FQ327" s="647"/>
      <c r="FR327" s="647"/>
      <c r="FS327" s="101"/>
      <c r="FT327" s="95"/>
      <c r="FU327" s="651"/>
      <c r="FV327" s="101"/>
      <c r="FW327" s="101"/>
      <c r="FX327" s="634"/>
      <c r="FY327" s="634"/>
      <c r="FZ327" s="634"/>
      <c r="GA327" s="634"/>
      <c r="GB327" s="634"/>
      <c r="GC327" s="634"/>
      <c r="GD327" s="634"/>
      <c r="GE327" s="634"/>
      <c r="GF327" s="634"/>
      <c r="GG327" s="634"/>
      <c r="GH327" s="634"/>
      <c r="GI327" s="634"/>
      <c r="GJ327" s="634"/>
      <c r="GK327" s="634"/>
      <c r="GL327" s="101"/>
      <c r="GM327" s="101"/>
      <c r="GN327" s="101"/>
      <c r="GO327" s="643"/>
      <c r="GP327" s="644"/>
      <c r="GQ327" s="643"/>
      <c r="GR327" s="644"/>
      <c r="GS327" s="643"/>
      <c r="GT327" s="644"/>
      <c r="GU327" s="644"/>
      <c r="GV327" s="644"/>
      <c r="GW327" s="644"/>
      <c r="GX327" s="644"/>
      <c r="GY327" s="644"/>
      <c r="GZ327" s="644"/>
      <c r="HA327" s="644"/>
    </row>
    <row r="328" spans="1:209">
      <c r="A328" s="638"/>
      <c r="B328" s="95"/>
      <c r="C328" s="95"/>
      <c r="D328" s="95"/>
      <c r="E328" s="650"/>
      <c r="F328" s="95"/>
      <c r="G328" s="98"/>
      <c r="H328" s="99"/>
      <c r="I328" s="95"/>
      <c r="J328" s="95"/>
      <c r="K328" s="95"/>
      <c r="L328" s="95"/>
      <c r="M328" s="95"/>
      <c r="N328" s="95"/>
      <c r="O328" s="95"/>
      <c r="P328" s="95"/>
      <c r="Q328" s="95"/>
      <c r="R328" s="98"/>
      <c r="S328" s="101"/>
      <c r="T328" s="644"/>
      <c r="U328" s="101"/>
      <c r="V328" s="647"/>
      <c r="W328" s="643"/>
      <c r="X328" s="644"/>
      <c r="Y328" s="101"/>
      <c r="Z328" s="644"/>
      <c r="AA328" s="101"/>
      <c r="AB328" s="644"/>
      <c r="AC328" s="101"/>
      <c r="AD328" s="646"/>
      <c r="AE328" s="271"/>
      <c r="AF328" s="646"/>
      <c r="AG328" s="646"/>
      <c r="AH328" s="646"/>
      <c r="AI328" s="646"/>
      <c r="AJ328" s="646"/>
      <c r="AK328" s="646"/>
      <c r="AL328" s="646"/>
      <c r="AM328" s="271"/>
      <c r="AN328" s="646"/>
      <c r="AO328" s="646"/>
      <c r="AP328" s="646"/>
      <c r="AQ328" s="271"/>
      <c r="AR328" s="646"/>
      <c r="AS328" s="270"/>
      <c r="AT328" s="646"/>
      <c r="AU328" s="646"/>
      <c r="AV328" s="646"/>
      <c r="AW328" s="270"/>
      <c r="AX328" s="646"/>
      <c r="AY328" s="270"/>
      <c r="AZ328" s="646"/>
      <c r="BA328" s="646"/>
      <c r="BB328" s="644"/>
      <c r="BC328" s="644"/>
      <c r="BD328" s="644"/>
      <c r="BE328" s="644"/>
      <c r="BF328" s="644"/>
      <c r="BG328" s="644"/>
      <c r="BH328" s="644"/>
      <c r="BI328" s="644"/>
      <c r="BJ328" s="644"/>
      <c r="BK328" s="644"/>
      <c r="BL328" s="644"/>
      <c r="BM328" s="95"/>
      <c r="BN328" s="644"/>
      <c r="BO328" s="95"/>
      <c r="BP328" s="644"/>
      <c r="BQ328" s="644"/>
      <c r="BR328" s="644"/>
      <c r="BS328" s="644"/>
      <c r="BT328" s="644"/>
      <c r="BU328" s="644"/>
      <c r="BV328" s="644"/>
      <c r="BW328" s="644"/>
      <c r="BX328" s="644"/>
      <c r="BY328" s="644"/>
      <c r="BZ328" s="644"/>
      <c r="CA328" s="644"/>
      <c r="CB328" s="644"/>
      <c r="CC328" s="644"/>
      <c r="CD328" s="644"/>
      <c r="CE328" s="644"/>
      <c r="CF328" s="644"/>
      <c r="CG328" s="644"/>
      <c r="CH328" s="644"/>
      <c r="CI328" s="644"/>
      <c r="CJ328" s="644"/>
      <c r="CK328" s="644"/>
      <c r="CL328" s="644"/>
      <c r="CM328" s="95"/>
      <c r="CN328" s="644"/>
      <c r="CO328" s="644"/>
      <c r="CP328" s="95"/>
      <c r="CQ328" s="98"/>
      <c r="CR328" s="95"/>
      <c r="CS328" s="95"/>
      <c r="CT328" s="95"/>
      <c r="CU328" s="108"/>
      <c r="CV328" s="109"/>
      <c r="CW328" s="644"/>
      <c r="CX328" s="496"/>
      <c r="CY328" s="637"/>
      <c r="CZ328" s="644"/>
      <c r="DA328" s="644"/>
      <c r="DB328" s="644"/>
      <c r="DC328" s="496"/>
      <c r="DD328" s="644"/>
      <c r="DE328" s="101"/>
      <c r="DF328" s="644"/>
      <c r="DG328" s="101"/>
      <c r="DH328" s="644"/>
      <c r="DI328" s="644"/>
      <c r="DJ328" s="644"/>
      <c r="DK328" s="644"/>
      <c r="DL328" s="644"/>
      <c r="DM328" s="101"/>
      <c r="DN328" s="644"/>
      <c r="DO328" s="644"/>
      <c r="DP328" s="644"/>
      <c r="DQ328" s="644"/>
      <c r="DR328" s="644"/>
      <c r="DS328" s="644"/>
      <c r="DT328" s="644"/>
      <c r="DU328" s="644"/>
      <c r="DV328" s="644"/>
      <c r="DW328" s="101"/>
      <c r="DX328" s="646"/>
      <c r="DY328" s="646"/>
      <c r="DZ328" s="646"/>
      <c r="EA328" s="646"/>
      <c r="EB328" s="646"/>
      <c r="EC328" s="646"/>
      <c r="ED328" s="646"/>
      <c r="EE328" s="646"/>
      <c r="EF328" s="646"/>
      <c r="EG328" s="646"/>
      <c r="EH328" s="646"/>
      <c r="EI328" s="646"/>
      <c r="EJ328" s="646"/>
      <c r="EK328" s="271"/>
      <c r="EL328" s="644"/>
      <c r="EM328" s="634"/>
      <c r="EN328" s="647"/>
      <c r="EO328" s="648"/>
      <c r="EP328" s="647"/>
      <c r="EQ328" s="647"/>
      <c r="ER328" s="647"/>
      <c r="ES328" s="139"/>
      <c r="EV328" s="647"/>
      <c r="EW328" s="647"/>
      <c r="EX328" s="647"/>
      <c r="EY328" s="647"/>
      <c r="EZ328" s="647"/>
      <c r="FA328" s="646"/>
      <c r="FB328" s="646"/>
      <c r="FC328" s="646"/>
      <c r="FD328" s="646"/>
      <c r="FE328" s="646"/>
      <c r="FF328" s="646"/>
      <c r="FG328" s="647"/>
      <c r="FH328" s="647"/>
      <c r="FI328" s="647"/>
      <c r="FJ328" s="647"/>
      <c r="FK328" s="647"/>
      <c r="FL328" s="647"/>
      <c r="FM328" s="647"/>
      <c r="FN328" s="647"/>
      <c r="FO328" s="647"/>
      <c r="FP328" s="647"/>
      <c r="FQ328" s="647"/>
      <c r="FR328" s="647"/>
      <c r="FS328" s="101"/>
      <c r="FT328" s="95"/>
      <c r="FU328" s="651"/>
      <c r="FV328" s="101"/>
      <c r="FW328" s="101"/>
      <c r="FX328" s="634"/>
      <c r="FY328" s="634"/>
      <c r="FZ328" s="634"/>
      <c r="GA328" s="634"/>
      <c r="GB328" s="634"/>
      <c r="GC328" s="634"/>
      <c r="GD328" s="634"/>
      <c r="GE328" s="634"/>
      <c r="GF328" s="634"/>
      <c r="GG328" s="634"/>
      <c r="GH328" s="634"/>
      <c r="GI328" s="634"/>
      <c r="GJ328" s="634"/>
      <c r="GK328" s="634"/>
      <c r="GL328" s="101"/>
      <c r="GM328" s="101"/>
      <c r="GN328" s="101"/>
      <c r="GO328" s="643"/>
      <c r="GP328" s="644"/>
      <c r="GQ328" s="643"/>
      <c r="GR328" s="644"/>
      <c r="GS328" s="643"/>
      <c r="GT328" s="644"/>
      <c r="GU328" s="644"/>
      <c r="GV328" s="644"/>
      <c r="GW328" s="644"/>
      <c r="GX328" s="644"/>
      <c r="GY328" s="644"/>
      <c r="GZ328" s="644"/>
      <c r="HA328" s="644"/>
    </row>
    <row r="329" spans="1:209">
      <c r="A329" s="638"/>
      <c r="B329" s="95"/>
      <c r="C329" s="95"/>
      <c r="D329" s="95"/>
      <c r="E329" s="650"/>
      <c r="F329" s="95"/>
      <c r="G329" s="98"/>
      <c r="H329" s="99"/>
      <c r="I329" s="95"/>
      <c r="J329" s="95"/>
      <c r="K329" s="95"/>
      <c r="L329" s="95"/>
      <c r="M329" s="95"/>
      <c r="N329" s="95"/>
      <c r="O329" s="95"/>
      <c r="P329" s="95"/>
      <c r="Q329" s="95"/>
      <c r="R329" s="98"/>
      <c r="S329" s="101"/>
      <c r="T329" s="644"/>
      <c r="U329" s="101"/>
      <c r="V329" s="647"/>
      <c r="W329" s="643"/>
      <c r="X329" s="644"/>
      <c r="Y329" s="101"/>
      <c r="Z329" s="644"/>
      <c r="AA329" s="101"/>
      <c r="AB329" s="644"/>
      <c r="AC329" s="101"/>
      <c r="AD329" s="646"/>
      <c r="AE329" s="271"/>
      <c r="AF329" s="646"/>
      <c r="AG329" s="646"/>
      <c r="AH329" s="646"/>
      <c r="AI329" s="646"/>
      <c r="AJ329" s="646"/>
      <c r="AK329" s="646"/>
      <c r="AL329" s="646"/>
      <c r="AM329" s="271"/>
      <c r="AN329" s="646"/>
      <c r="AO329" s="646"/>
      <c r="AP329" s="646"/>
      <c r="AQ329" s="271"/>
      <c r="AR329" s="646"/>
      <c r="AS329" s="270"/>
      <c r="AT329" s="646"/>
      <c r="AU329" s="646"/>
      <c r="AV329" s="646"/>
      <c r="AW329" s="270"/>
      <c r="AX329" s="646"/>
      <c r="AY329" s="270"/>
      <c r="AZ329" s="646"/>
      <c r="BA329" s="646"/>
      <c r="BB329" s="644"/>
      <c r="BC329" s="644"/>
      <c r="BD329" s="644"/>
      <c r="BE329" s="644"/>
      <c r="BF329" s="644"/>
      <c r="BG329" s="644"/>
      <c r="BH329" s="644"/>
      <c r="BI329" s="644"/>
      <c r="BJ329" s="644"/>
      <c r="BK329" s="644"/>
      <c r="BL329" s="644"/>
      <c r="BM329" s="95"/>
      <c r="BN329" s="644"/>
      <c r="BO329" s="95"/>
      <c r="BP329" s="644"/>
      <c r="BQ329" s="644"/>
      <c r="BR329" s="644"/>
      <c r="BS329" s="644"/>
      <c r="BT329" s="644"/>
      <c r="BU329" s="644"/>
      <c r="BV329" s="644"/>
      <c r="BW329" s="644"/>
      <c r="BX329" s="644"/>
      <c r="BY329" s="644"/>
      <c r="BZ329" s="644"/>
      <c r="CA329" s="644"/>
      <c r="CB329" s="644"/>
      <c r="CC329" s="644"/>
      <c r="CD329" s="644"/>
      <c r="CE329" s="644"/>
      <c r="CF329" s="644"/>
      <c r="CG329" s="644"/>
      <c r="CH329" s="644"/>
      <c r="CI329" s="644"/>
      <c r="CJ329" s="644"/>
      <c r="CK329" s="644"/>
      <c r="CL329" s="644"/>
      <c r="CM329" s="95"/>
      <c r="CN329" s="644"/>
      <c r="CO329" s="644"/>
      <c r="CP329" s="95"/>
      <c r="CQ329" s="98"/>
      <c r="CR329" s="95"/>
      <c r="CS329" s="95"/>
      <c r="CT329" s="95"/>
      <c r="CU329" s="108"/>
      <c r="CV329" s="109"/>
      <c r="CW329" s="644"/>
      <c r="CX329" s="496"/>
      <c r="CY329" s="637"/>
      <c r="CZ329" s="644"/>
      <c r="DA329" s="644"/>
      <c r="DB329" s="644"/>
      <c r="DC329" s="496"/>
      <c r="DD329" s="644"/>
      <c r="DE329" s="101"/>
      <c r="DF329" s="644"/>
      <c r="DG329" s="101"/>
      <c r="DH329" s="644"/>
      <c r="DI329" s="644"/>
      <c r="DJ329" s="644"/>
      <c r="DK329" s="644"/>
      <c r="DL329" s="644"/>
      <c r="DM329" s="101"/>
      <c r="DN329" s="644"/>
      <c r="DO329" s="644"/>
      <c r="DP329" s="644"/>
      <c r="DQ329" s="644"/>
      <c r="DR329" s="644"/>
      <c r="DS329" s="644"/>
      <c r="DT329" s="644"/>
      <c r="DU329" s="644"/>
      <c r="DV329" s="644"/>
      <c r="DW329" s="101"/>
      <c r="DX329" s="646"/>
      <c r="DY329" s="646"/>
      <c r="DZ329" s="646"/>
      <c r="EA329" s="646"/>
      <c r="EB329" s="646"/>
      <c r="EC329" s="646"/>
      <c r="ED329" s="646"/>
      <c r="EE329" s="646"/>
      <c r="EF329" s="646"/>
      <c r="EG329" s="646"/>
      <c r="EH329" s="646"/>
      <c r="EI329" s="646"/>
      <c r="EJ329" s="646"/>
      <c r="EK329" s="271"/>
      <c r="EL329" s="644"/>
      <c r="EM329" s="634"/>
      <c r="EN329" s="647"/>
      <c r="EO329" s="648"/>
      <c r="EP329" s="647"/>
      <c r="EQ329" s="647"/>
      <c r="ER329" s="647"/>
      <c r="ES329" s="139"/>
      <c r="EV329" s="647"/>
      <c r="EW329" s="647"/>
      <c r="EX329" s="647"/>
      <c r="EY329" s="647"/>
      <c r="EZ329" s="647"/>
      <c r="FA329" s="646"/>
      <c r="FB329" s="646"/>
      <c r="FC329" s="646"/>
      <c r="FD329" s="646"/>
      <c r="FE329" s="646"/>
      <c r="FF329" s="646"/>
      <c r="FG329" s="647"/>
      <c r="FH329" s="647"/>
      <c r="FI329" s="647"/>
      <c r="FJ329" s="647"/>
      <c r="FK329" s="647"/>
      <c r="FL329" s="647"/>
      <c r="FM329" s="647"/>
      <c r="FN329" s="647"/>
      <c r="FO329" s="647"/>
      <c r="FP329" s="647"/>
      <c r="FQ329" s="647"/>
      <c r="FR329" s="647"/>
      <c r="FS329" s="101"/>
      <c r="FT329" s="95"/>
      <c r="FU329" s="651"/>
      <c r="FV329" s="101"/>
      <c r="FW329" s="101"/>
      <c r="FX329" s="634"/>
      <c r="FY329" s="634"/>
      <c r="FZ329" s="634"/>
      <c r="GA329" s="634"/>
      <c r="GB329" s="634"/>
      <c r="GC329" s="634"/>
      <c r="GD329" s="634"/>
      <c r="GE329" s="634"/>
      <c r="GF329" s="634"/>
      <c r="GG329" s="634"/>
      <c r="GH329" s="634"/>
      <c r="GI329" s="634"/>
      <c r="GJ329" s="634"/>
      <c r="GK329" s="634"/>
      <c r="GL329" s="101"/>
      <c r="GM329" s="101"/>
      <c r="GN329" s="101"/>
      <c r="GO329" s="643"/>
      <c r="GP329" s="644"/>
      <c r="GQ329" s="643"/>
      <c r="GR329" s="644"/>
      <c r="GS329" s="643"/>
      <c r="GT329" s="644"/>
      <c r="GU329" s="644"/>
      <c r="GV329" s="644"/>
      <c r="GW329" s="644"/>
      <c r="GX329" s="644"/>
      <c r="GY329" s="644"/>
      <c r="GZ329" s="644"/>
      <c r="HA329" s="644"/>
    </row>
    <row r="330" spans="1:209">
      <c r="A330" s="638"/>
      <c r="B330" s="95"/>
      <c r="C330" s="95"/>
      <c r="D330" s="95"/>
      <c r="E330" s="650"/>
      <c r="F330" s="95"/>
      <c r="G330" s="98"/>
      <c r="H330" s="99"/>
      <c r="I330" s="95"/>
      <c r="J330" s="95"/>
      <c r="K330" s="95"/>
      <c r="L330" s="95"/>
      <c r="M330" s="95"/>
      <c r="N330" s="95"/>
      <c r="O330" s="95"/>
      <c r="P330" s="95"/>
      <c r="Q330" s="95"/>
      <c r="R330" s="98"/>
      <c r="S330" s="101"/>
      <c r="T330" s="644"/>
      <c r="U330" s="101"/>
      <c r="V330" s="647"/>
      <c r="W330" s="643"/>
      <c r="X330" s="644"/>
      <c r="Y330" s="101"/>
      <c r="Z330" s="644"/>
      <c r="AA330" s="101"/>
      <c r="AB330" s="644"/>
      <c r="AC330" s="101"/>
      <c r="AD330" s="646"/>
      <c r="AE330" s="271"/>
      <c r="AF330" s="646"/>
      <c r="AG330" s="646"/>
      <c r="AH330" s="646"/>
      <c r="AI330" s="646"/>
      <c r="AJ330" s="646"/>
      <c r="AK330" s="646"/>
      <c r="AL330" s="646"/>
      <c r="AM330" s="271"/>
      <c r="AN330" s="646"/>
      <c r="AO330" s="646"/>
      <c r="AP330" s="646"/>
      <c r="AQ330" s="271"/>
      <c r="AR330" s="646"/>
      <c r="AS330" s="270"/>
      <c r="AT330" s="646"/>
      <c r="AU330" s="646"/>
      <c r="AV330" s="646"/>
      <c r="AW330" s="270"/>
      <c r="AX330" s="646"/>
      <c r="AY330" s="270"/>
      <c r="AZ330" s="646"/>
      <c r="BA330" s="646"/>
      <c r="BB330" s="644"/>
      <c r="BC330" s="644"/>
      <c r="BD330" s="644"/>
      <c r="BE330" s="644"/>
      <c r="BF330" s="644"/>
      <c r="BG330" s="644"/>
      <c r="BH330" s="644"/>
      <c r="BI330" s="644"/>
      <c r="BJ330" s="644"/>
      <c r="BK330" s="644"/>
      <c r="BL330" s="644"/>
      <c r="BM330" s="95"/>
      <c r="BN330" s="644"/>
      <c r="BO330" s="95"/>
      <c r="BP330" s="644"/>
      <c r="BQ330" s="644"/>
      <c r="BR330" s="644"/>
      <c r="BS330" s="644"/>
      <c r="BT330" s="644"/>
      <c r="BU330" s="644"/>
      <c r="BV330" s="644"/>
      <c r="BW330" s="644"/>
      <c r="BX330" s="644"/>
      <c r="BY330" s="644"/>
      <c r="BZ330" s="644"/>
      <c r="CA330" s="644"/>
      <c r="CB330" s="644"/>
      <c r="CC330" s="644"/>
      <c r="CD330" s="644"/>
      <c r="CE330" s="644"/>
      <c r="CF330" s="644"/>
      <c r="CG330" s="644"/>
      <c r="CH330" s="644"/>
      <c r="CI330" s="644"/>
      <c r="CJ330" s="644"/>
      <c r="CK330" s="644"/>
      <c r="CL330" s="644"/>
      <c r="CM330" s="95"/>
      <c r="CN330" s="644"/>
      <c r="CO330" s="644"/>
      <c r="CP330" s="95"/>
      <c r="CQ330" s="98"/>
      <c r="CR330" s="95"/>
      <c r="CS330" s="95"/>
      <c r="CT330" s="95"/>
      <c r="CU330" s="108"/>
      <c r="CV330" s="109"/>
      <c r="CW330" s="644"/>
      <c r="CX330" s="496"/>
      <c r="CY330" s="637"/>
      <c r="CZ330" s="644"/>
      <c r="DA330" s="644"/>
      <c r="DB330" s="644"/>
      <c r="DC330" s="496"/>
      <c r="DD330" s="644"/>
      <c r="DE330" s="101"/>
      <c r="DF330" s="644"/>
      <c r="DG330" s="101"/>
      <c r="DH330" s="644"/>
      <c r="DI330" s="644"/>
      <c r="DJ330" s="644"/>
      <c r="DK330" s="644"/>
      <c r="DL330" s="644"/>
      <c r="DM330" s="101"/>
      <c r="DN330" s="644"/>
      <c r="DO330" s="644"/>
      <c r="DP330" s="644"/>
      <c r="DQ330" s="644"/>
      <c r="DR330" s="644"/>
      <c r="DS330" s="644"/>
      <c r="DT330" s="644"/>
      <c r="DU330" s="644"/>
      <c r="DV330" s="644"/>
      <c r="DW330" s="101"/>
      <c r="DX330" s="646"/>
      <c r="DY330" s="646"/>
      <c r="DZ330" s="646"/>
      <c r="EA330" s="646"/>
      <c r="EB330" s="646"/>
      <c r="EC330" s="646"/>
      <c r="ED330" s="646"/>
      <c r="EE330" s="646"/>
      <c r="EF330" s="646"/>
      <c r="EG330" s="646"/>
      <c r="EH330" s="646"/>
      <c r="EI330" s="646"/>
      <c r="EJ330" s="646"/>
      <c r="EK330" s="271"/>
      <c r="EL330" s="644"/>
      <c r="EM330" s="634"/>
      <c r="EN330" s="647"/>
      <c r="EO330" s="648"/>
      <c r="EP330" s="647"/>
      <c r="EQ330" s="647"/>
      <c r="ER330" s="647"/>
      <c r="ES330" s="139"/>
      <c r="EV330" s="647"/>
      <c r="EW330" s="647"/>
      <c r="EX330" s="647"/>
      <c r="EY330" s="647"/>
      <c r="EZ330" s="647"/>
      <c r="FA330" s="646"/>
      <c r="FB330" s="646"/>
      <c r="FC330" s="646"/>
      <c r="FD330" s="646"/>
      <c r="FE330" s="646"/>
      <c r="FF330" s="646"/>
      <c r="FG330" s="647"/>
      <c r="FH330" s="647"/>
      <c r="FI330" s="647"/>
      <c r="FJ330" s="647"/>
      <c r="FK330" s="647"/>
      <c r="FL330" s="647"/>
      <c r="FM330" s="647"/>
      <c r="FN330" s="647"/>
      <c r="FO330" s="647"/>
      <c r="FP330" s="647"/>
      <c r="FQ330" s="647"/>
      <c r="FR330" s="647"/>
      <c r="FS330" s="101"/>
      <c r="FT330" s="95"/>
      <c r="FU330" s="651"/>
      <c r="FV330" s="101"/>
      <c r="FW330" s="101"/>
      <c r="FX330" s="634"/>
      <c r="FY330" s="634"/>
      <c r="FZ330" s="634"/>
      <c r="GA330" s="634"/>
      <c r="GB330" s="634"/>
      <c r="GC330" s="634"/>
      <c r="GD330" s="634"/>
      <c r="GE330" s="634"/>
      <c r="GF330" s="634"/>
      <c r="GG330" s="634"/>
      <c r="GH330" s="634"/>
      <c r="GI330" s="634"/>
      <c r="GJ330" s="634"/>
      <c r="GK330" s="634"/>
      <c r="GL330" s="101"/>
      <c r="GM330" s="101"/>
      <c r="GN330" s="101"/>
      <c r="GO330" s="643"/>
      <c r="GP330" s="644"/>
      <c r="GQ330" s="643"/>
      <c r="GR330" s="644"/>
      <c r="GS330" s="643"/>
      <c r="GT330" s="644"/>
      <c r="GU330" s="644"/>
      <c r="GV330" s="644"/>
      <c r="GW330" s="644"/>
      <c r="GX330" s="644"/>
      <c r="GY330" s="644"/>
      <c r="GZ330" s="644"/>
      <c r="HA330" s="644"/>
    </row>
    <row r="331" spans="1:209">
      <c r="A331" s="638"/>
      <c r="B331" s="95"/>
      <c r="C331" s="95"/>
      <c r="D331" s="95"/>
      <c r="E331" s="650"/>
      <c r="F331" s="95"/>
      <c r="G331" s="98"/>
      <c r="H331" s="99"/>
      <c r="I331" s="95"/>
      <c r="J331" s="95"/>
      <c r="K331" s="95"/>
      <c r="L331" s="95"/>
      <c r="M331" s="95"/>
      <c r="N331" s="95"/>
      <c r="O331" s="95"/>
      <c r="P331" s="95"/>
      <c r="Q331" s="95"/>
      <c r="R331" s="98"/>
      <c r="S331" s="101"/>
      <c r="T331" s="644"/>
      <c r="U331" s="101"/>
      <c r="V331" s="647"/>
      <c r="W331" s="643"/>
      <c r="X331" s="644"/>
      <c r="Y331" s="101"/>
      <c r="Z331" s="644"/>
      <c r="AA331" s="101"/>
      <c r="AB331" s="644"/>
      <c r="AC331" s="101"/>
      <c r="AD331" s="646"/>
      <c r="AE331" s="271"/>
      <c r="AF331" s="646"/>
      <c r="AG331" s="646"/>
      <c r="AH331" s="646"/>
      <c r="AI331" s="646"/>
      <c r="AJ331" s="646"/>
      <c r="AK331" s="646"/>
      <c r="AL331" s="646"/>
      <c r="AM331" s="271"/>
      <c r="AN331" s="646"/>
      <c r="AO331" s="646"/>
      <c r="AP331" s="646"/>
      <c r="AQ331" s="271"/>
      <c r="AR331" s="646"/>
      <c r="AS331" s="270"/>
      <c r="AT331" s="646"/>
      <c r="AU331" s="646"/>
      <c r="AV331" s="646"/>
      <c r="AW331" s="270"/>
      <c r="AX331" s="646"/>
      <c r="AY331" s="270"/>
      <c r="AZ331" s="646"/>
      <c r="BA331" s="646"/>
      <c r="BB331" s="644"/>
      <c r="BC331" s="644"/>
      <c r="BD331" s="644"/>
      <c r="BE331" s="644"/>
      <c r="BF331" s="644"/>
      <c r="BG331" s="644"/>
      <c r="BH331" s="644"/>
      <c r="BI331" s="644"/>
      <c r="BJ331" s="644"/>
      <c r="BK331" s="644"/>
      <c r="BL331" s="644"/>
      <c r="BM331" s="95"/>
      <c r="BN331" s="644"/>
      <c r="BO331" s="95"/>
      <c r="BP331" s="644"/>
      <c r="BQ331" s="644"/>
      <c r="BR331" s="644"/>
      <c r="BS331" s="644"/>
      <c r="BT331" s="644"/>
      <c r="BU331" s="644"/>
      <c r="BV331" s="644"/>
      <c r="BW331" s="644"/>
      <c r="BX331" s="644"/>
      <c r="BY331" s="644"/>
      <c r="BZ331" s="644"/>
      <c r="CA331" s="644"/>
      <c r="CB331" s="644"/>
      <c r="CC331" s="644"/>
      <c r="CD331" s="644"/>
      <c r="CE331" s="644"/>
      <c r="CF331" s="644"/>
      <c r="CG331" s="644"/>
      <c r="CH331" s="644"/>
      <c r="CI331" s="644"/>
      <c r="CJ331" s="644"/>
      <c r="CK331" s="644"/>
      <c r="CL331" s="644"/>
      <c r="CM331" s="95"/>
      <c r="CN331" s="644"/>
      <c r="CO331" s="644"/>
      <c r="CP331" s="95"/>
      <c r="CQ331" s="98"/>
      <c r="CR331" s="95"/>
      <c r="CS331" s="95"/>
      <c r="CT331" s="95"/>
      <c r="CU331" s="108"/>
      <c r="CV331" s="109"/>
      <c r="CW331" s="644"/>
      <c r="CX331" s="496"/>
      <c r="CY331" s="637"/>
      <c r="CZ331" s="644"/>
      <c r="DA331" s="644"/>
      <c r="DB331" s="644"/>
      <c r="DC331" s="496"/>
      <c r="DD331" s="644"/>
      <c r="DE331" s="101"/>
      <c r="DF331" s="644"/>
      <c r="DG331" s="101"/>
      <c r="DH331" s="644"/>
      <c r="DI331" s="644"/>
      <c r="DJ331" s="644"/>
      <c r="DK331" s="644"/>
      <c r="DL331" s="644"/>
      <c r="DM331" s="101"/>
      <c r="DN331" s="644"/>
      <c r="DO331" s="644"/>
      <c r="DP331" s="644"/>
      <c r="DQ331" s="644"/>
      <c r="DR331" s="644"/>
      <c r="DS331" s="644"/>
      <c r="DT331" s="644"/>
      <c r="DU331" s="644"/>
      <c r="DV331" s="644"/>
      <c r="DW331" s="101"/>
      <c r="DX331" s="646"/>
      <c r="DY331" s="646"/>
      <c r="DZ331" s="646"/>
      <c r="EA331" s="646"/>
      <c r="EB331" s="646"/>
      <c r="EC331" s="646"/>
      <c r="ED331" s="646"/>
      <c r="EE331" s="646"/>
      <c r="EF331" s="646"/>
      <c r="EG331" s="646"/>
      <c r="EH331" s="646"/>
      <c r="EI331" s="646"/>
      <c r="EJ331" s="646"/>
      <c r="EK331" s="271"/>
      <c r="EL331" s="644"/>
      <c r="EM331" s="634"/>
      <c r="EN331" s="647"/>
      <c r="EO331" s="648"/>
      <c r="EP331" s="647"/>
      <c r="EQ331" s="647"/>
      <c r="ER331" s="647"/>
      <c r="ES331" s="139"/>
      <c r="EV331" s="647"/>
      <c r="EW331" s="647"/>
      <c r="EX331" s="647"/>
      <c r="EY331" s="647"/>
      <c r="EZ331" s="647"/>
      <c r="FA331" s="646"/>
      <c r="FB331" s="646"/>
      <c r="FC331" s="646"/>
      <c r="FD331" s="646"/>
      <c r="FE331" s="646"/>
      <c r="FF331" s="646"/>
      <c r="FG331" s="647"/>
      <c r="FH331" s="647"/>
      <c r="FI331" s="647"/>
      <c r="FJ331" s="647"/>
      <c r="FK331" s="647"/>
      <c r="FL331" s="647"/>
      <c r="FM331" s="647"/>
      <c r="FN331" s="647"/>
      <c r="FO331" s="647"/>
      <c r="FP331" s="647"/>
      <c r="FQ331" s="647"/>
      <c r="FR331" s="647"/>
      <c r="FS331" s="101"/>
      <c r="FT331" s="95"/>
      <c r="FU331" s="651"/>
      <c r="FV331" s="101"/>
      <c r="FW331" s="101"/>
      <c r="FX331" s="634"/>
      <c r="FY331" s="634"/>
      <c r="FZ331" s="634"/>
      <c r="GA331" s="634"/>
      <c r="GB331" s="634"/>
      <c r="GC331" s="634"/>
      <c r="GD331" s="634"/>
      <c r="GE331" s="634"/>
      <c r="GF331" s="634"/>
      <c r="GG331" s="634"/>
      <c r="GH331" s="634"/>
      <c r="GI331" s="634"/>
      <c r="GJ331" s="634"/>
      <c r="GK331" s="634"/>
      <c r="GL331" s="101"/>
      <c r="GM331" s="101"/>
      <c r="GN331" s="101"/>
      <c r="GO331" s="643"/>
      <c r="GP331" s="644"/>
      <c r="GQ331" s="643"/>
      <c r="GR331" s="644"/>
      <c r="GS331" s="643"/>
      <c r="GT331" s="644"/>
      <c r="GU331" s="644"/>
      <c r="GV331" s="644"/>
      <c r="GW331" s="644"/>
      <c r="GX331" s="644"/>
      <c r="GY331" s="644"/>
      <c r="GZ331" s="644"/>
      <c r="HA331" s="644"/>
    </row>
    <row r="332" spans="1:209">
      <c r="A332" s="638"/>
      <c r="B332" s="95"/>
      <c r="C332" s="95"/>
      <c r="D332" s="95"/>
      <c r="E332" s="650"/>
      <c r="F332" s="95"/>
      <c r="G332" s="98"/>
      <c r="H332" s="99"/>
      <c r="I332" s="95"/>
      <c r="J332" s="95"/>
      <c r="K332" s="95"/>
      <c r="L332" s="95"/>
      <c r="M332" s="95"/>
      <c r="N332" s="95"/>
      <c r="O332" s="95"/>
      <c r="P332" s="95"/>
      <c r="Q332" s="95"/>
      <c r="R332" s="98"/>
      <c r="S332" s="101"/>
      <c r="T332" s="644"/>
      <c r="U332" s="101"/>
      <c r="V332" s="647"/>
      <c r="W332" s="643"/>
      <c r="X332" s="644"/>
      <c r="Y332" s="101"/>
      <c r="Z332" s="644"/>
      <c r="AA332" s="101"/>
      <c r="AB332" s="644"/>
      <c r="AC332" s="101"/>
      <c r="AD332" s="646"/>
      <c r="AE332" s="271"/>
      <c r="AF332" s="646"/>
      <c r="AG332" s="646"/>
      <c r="AH332" s="646"/>
      <c r="AI332" s="646"/>
      <c r="AJ332" s="646"/>
      <c r="AK332" s="646"/>
      <c r="AL332" s="646"/>
      <c r="AM332" s="271"/>
      <c r="AN332" s="646"/>
      <c r="AO332" s="646"/>
      <c r="AP332" s="646"/>
      <c r="AQ332" s="271"/>
      <c r="AR332" s="646"/>
      <c r="AS332" s="270"/>
      <c r="AT332" s="646"/>
      <c r="AU332" s="646"/>
      <c r="AV332" s="646"/>
      <c r="AW332" s="270"/>
      <c r="AX332" s="646"/>
      <c r="AY332" s="270"/>
      <c r="AZ332" s="646"/>
      <c r="BA332" s="646"/>
      <c r="BB332" s="644"/>
      <c r="BC332" s="644"/>
      <c r="BD332" s="644"/>
      <c r="BE332" s="644"/>
      <c r="BF332" s="644"/>
      <c r="BG332" s="644"/>
      <c r="BH332" s="644"/>
      <c r="BI332" s="644"/>
      <c r="BJ332" s="644"/>
      <c r="BK332" s="644"/>
      <c r="BL332" s="644"/>
      <c r="BM332" s="95"/>
      <c r="BN332" s="644"/>
      <c r="BO332" s="95"/>
      <c r="BP332" s="644"/>
      <c r="BQ332" s="644"/>
      <c r="BR332" s="644"/>
      <c r="BS332" s="644"/>
      <c r="BT332" s="644"/>
      <c r="BU332" s="644"/>
      <c r="BV332" s="644"/>
      <c r="BW332" s="644"/>
      <c r="BX332" s="644"/>
      <c r="BY332" s="644"/>
      <c r="BZ332" s="644"/>
      <c r="CA332" s="644"/>
      <c r="CB332" s="644"/>
      <c r="CC332" s="644"/>
      <c r="CD332" s="644"/>
      <c r="CE332" s="644"/>
      <c r="CF332" s="644"/>
      <c r="CG332" s="644"/>
      <c r="CH332" s="644"/>
      <c r="CI332" s="644"/>
      <c r="CJ332" s="644"/>
      <c r="CK332" s="644"/>
      <c r="CL332" s="644"/>
      <c r="CM332" s="95"/>
      <c r="CN332" s="644"/>
      <c r="CO332" s="644"/>
      <c r="CP332" s="95"/>
      <c r="CQ332" s="98"/>
      <c r="CR332" s="95"/>
      <c r="CS332" s="95"/>
      <c r="CT332" s="95"/>
      <c r="CU332" s="108"/>
      <c r="CV332" s="109"/>
      <c r="CW332" s="644"/>
      <c r="CX332" s="496"/>
      <c r="CY332" s="637"/>
      <c r="CZ332" s="644"/>
      <c r="DA332" s="644"/>
      <c r="DB332" s="644"/>
      <c r="DC332" s="496"/>
      <c r="DD332" s="644"/>
      <c r="DE332" s="101"/>
      <c r="DF332" s="644"/>
      <c r="DG332" s="101"/>
      <c r="DH332" s="644"/>
      <c r="DI332" s="644"/>
      <c r="DJ332" s="644"/>
      <c r="DK332" s="644"/>
      <c r="DL332" s="644"/>
      <c r="DM332" s="101"/>
      <c r="DN332" s="644"/>
      <c r="DO332" s="644"/>
      <c r="DP332" s="644"/>
      <c r="DQ332" s="644"/>
      <c r="DR332" s="644"/>
      <c r="DS332" s="644"/>
      <c r="DT332" s="644"/>
      <c r="DU332" s="644"/>
      <c r="DV332" s="644"/>
      <c r="DW332" s="101"/>
      <c r="DX332" s="646"/>
      <c r="DY332" s="646"/>
      <c r="DZ332" s="646"/>
      <c r="EA332" s="646"/>
      <c r="EB332" s="646"/>
      <c r="EC332" s="646"/>
      <c r="ED332" s="646"/>
      <c r="EE332" s="646"/>
      <c r="EF332" s="646"/>
      <c r="EG332" s="646"/>
      <c r="EH332" s="646"/>
      <c r="EI332" s="646"/>
      <c r="EJ332" s="646"/>
      <c r="EK332" s="271"/>
      <c r="EL332" s="644"/>
      <c r="EM332" s="634"/>
      <c r="EN332" s="647"/>
      <c r="EO332" s="648"/>
      <c r="EP332" s="647"/>
      <c r="EQ332" s="647"/>
      <c r="ER332" s="647"/>
      <c r="ES332" s="139"/>
      <c r="EV332" s="647"/>
      <c r="EW332" s="647"/>
      <c r="EX332" s="647"/>
      <c r="EY332" s="647"/>
      <c r="EZ332" s="647"/>
      <c r="FA332" s="646"/>
      <c r="FB332" s="646"/>
      <c r="FC332" s="646"/>
      <c r="FD332" s="646"/>
      <c r="FE332" s="646"/>
      <c r="FF332" s="646"/>
      <c r="FG332" s="647"/>
      <c r="FH332" s="647"/>
      <c r="FI332" s="647"/>
      <c r="FJ332" s="647"/>
      <c r="FK332" s="647"/>
      <c r="FL332" s="647"/>
      <c r="FM332" s="647"/>
      <c r="FN332" s="647"/>
      <c r="FO332" s="647"/>
      <c r="FP332" s="647"/>
      <c r="FQ332" s="647"/>
      <c r="FR332" s="647"/>
      <c r="FS332" s="101"/>
      <c r="FT332" s="95"/>
      <c r="FU332" s="651"/>
      <c r="FV332" s="101"/>
      <c r="FW332" s="101"/>
      <c r="FX332" s="634"/>
      <c r="FY332" s="634"/>
      <c r="FZ332" s="634"/>
      <c r="GA332" s="634"/>
      <c r="GB332" s="634"/>
      <c r="GC332" s="634"/>
      <c r="GD332" s="634"/>
      <c r="GE332" s="634"/>
      <c r="GF332" s="634"/>
      <c r="GG332" s="634"/>
      <c r="GH332" s="634"/>
      <c r="GI332" s="634"/>
      <c r="GJ332" s="634"/>
      <c r="GK332" s="634"/>
      <c r="GL332" s="101"/>
      <c r="GM332" s="101"/>
      <c r="GN332" s="101"/>
      <c r="GO332" s="643"/>
      <c r="GP332" s="644"/>
      <c r="GQ332" s="643"/>
      <c r="GR332" s="644"/>
      <c r="GS332" s="643"/>
      <c r="GT332" s="644"/>
      <c r="GU332" s="644"/>
      <c r="GV332" s="644"/>
      <c r="GW332" s="644"/>
      <c r="GX332" s="644"/>
      <c r="GY332" s="644"/>
      <c r="GZ332" s="644"/>
      <c r="HA332" s="644"/>
    </row>
    <row r="333" spans="1:209">
      <c r="A333" s="638"/>
      <c r="B333" s="95"/>
      <c r="C333" s="95"/>
      <c r="D333" s="95"/>
      <c r="E333" s="650"/>
      <c r="F333" s="95"/>
      <c r="G333" s="98"/>
      <c r="H333" s="99"/>
      <c r="I333" s="95"/>
      <c r="J333" s="95"/>
      <c r="K333" s="95"/>
      <c r="L333" s="95"/>
      <c r="M333" s="95"/>
      <c r="N333" s="95"/>
      <c r="O333" s="95"/>
      <c r="P333" s="95"/>
      <c r="Q333" s="95"/>
      <c r="R333" s="98"/>
      <c r="S333" s="101"/>
      <c r="T333" s="644"/>
      <c r="U333" s="101"/>
      <c r="V333" s="647"/>
      <c r="W333" s="643"/>
      <c r="X333" s="644"/>
      <c r="Y333" s="101"/>
      <c r="Z333" s="644"/>
      <c r="AA333" s="101"/>
      <c r="AB333" s="644"/>
      <c r="AC333" s="101"/>
      <c r="AD333" s="646"/>
      <c r="AE333" s="271"/>
      <c r="AF333" s="646"/>
      <c r="AG333" s="646"/>
      <c r="AH333" s="646"/>
      <c r="AI333" s="646"/>
      <c r="AJ333" s="646"/>
      <c r="AK333" s="646"/>
      <c r="AL333" s="646"/>
      <c r="AM333" s="271"/>
      <c r="AN333" s="646"/>
      <c r="AO333" s="646"/>
      <c r="AP333" s="646"/>
      <c r="AQ333" s="271"/>
      <c r="AR333" s="646"/>
      <c r="AS333" s="270"/>
      <c r="AT333" s="646"/>
      <c r="AU333" s="646"/>
      <c r="AV333" s="646"/>
      <c r="AW333" s="270"/>
      <c r="AX333" s="646"/>
      <c r="AY333" s="270"/>
      <c r="AZ333" s="646"/>
      <c r="BA333" s="646"/>
      <c r="BB333" s="644"/>
      <c r="BC333" s="644"/>
      <c r="BD333" s="644"/>
      <c r="BE333" s="644"/>
      <c r="BF333" s="644"/>
      <c r="BG333" s="644"/>
      <c r="BH333" s="644"/>
      <c r="BI333" s="644"/>
      <c r="BJ333" s="644"/>
      <c r="BK333" s="644"/>
      <c r="BL333" s="644"/>
      <c r="BM333" s="95"/>
      <c r="BN333" s="644"/>
      <c r="BO333" s="95"/>
      <c r="BP333" s="644"/>
      <c r="BQ333" s="644"/>
      <c r="BR333" s="644"/>
      <c r="BS333" s="644"/>
      <c r="BT333" s="644"/>
      <c r="BU333" s="644"/>
      <c r="BV333" s="644"/>
      <c r="BW333" s="644"/>
      <c r="BX333" s="644"/>
      <c r="BY333" s="644"/>
      <c r="BZ333" s="644"/>
      <c r="CA333" s="644"/>
      <c r="CB333" s="644"/>
      <c r="CC333" s="644"/>
      <c r="CD333" s="644"/>
      <c r="CE333" s="644"/>
      <c r="CF333" s="644"/>
      <c r="CG333" s="644"/>
      <c r="CH333" s="644"/>
      <c r="CI333" s="644"/>
      <c r="CJ333" s="644"/>
      <c r="CK333" s="644"/>
      <c r="CL333" s="644"/>
      <c r="CM333" s="95"/>
      <c r="CN333" s="644"/>
      <c r="CO333" s="644"/>
      <c r="CP333" s="95"/>
      <c r="CQ333" s="98"/>
      <c r="CR333" s="95"/>
      <c r="CS333" s="95"/>
      <c r="CT333" s="95"/>
      <c r="CU333" s="108"/>
      <c r="CV333" s="109"/>
      <c r="CW333" s="644"/>
      <c r="CX333" s="496"/>
      <c r="CY333" s="637"/>
      <c r="CZ333" s="644"/>
      <c r="DA333" s="644"/>
      <c r="DB333" s="644"/>
      <c r="DC333" s="496"/>
      <c r="DD333" s="644"/>
      <c r="DE333" s="101"/>
      <c r="DF333" s="644"/>
      <c r="DG333" s="101"/>
      <c r="DH333" s="644"/>
      <c r="DI333" s="644"/>
      <c r="DJ333" s="644"/>
      <c r="DK333" s="644"/>
      <c r="DL333" s="644"/>
      <c r="DM333" s="101"/>
      <c r="DN333" s="644"/>
      <c r="DO333" s="644"/>
      <c r="DP333" s="644"/>
      <c r="DQ333" s="644"/>
      <c r="DR333" s="644"/>
      <c r="DS333" s="644"/>
      <c r="DT333" s="644"/>
      <c r="DU333" s="644"/>
      <c r="DV333" s="644"/>
      <c r="DW333" s="101"/>
      <c r="DX333" s="646"/>
      <c r="DY333" s="646"/>
      <c r="DZ333" s="646"/>
      <c r="EA333" s="646"/>
      <c r="EB333" s="646"/>
      <c r="EC333" s="646"/>
      <c r="ED333" s="646"/>
      <c r="EE333" s="646"/>
      <c r="EF333" s="646"/>
      <c r="EG333" s="646"/>
      <c r="EH333" s="646"/>
      <c r="EI333" s="646"/>
      <c r="EJ333" s="646"/>
      <c r="EK333" s="271"/>
      <c r="EL333" s="644"/>
      <c r="EM333" s="634"/>
      <c r="EN333" s="647"/>
      <c r="EO333" s="648"/>
      <c r="EP333" s="647"/>
      <c r="EQ333" s="647"/>
      <c r="ER333" s="647"/>
      <c r="ES333" s="139"/>
      <c r="EV333" s="647"/>
      <c r="EW333" s="647"/>
      <c r="EX333" s="647"/>
      <c r="EY333" s="647"/>
      <c r="EZ333" s="647"/>
      <c r="FA333" s="646"/>
      <c r="FB333" s="646"/>
      <c r="FC333" s="646"/>
      <c r="FD333" s="646"/>
      <c r="FE333" s="646"/>
      <c r="FF333" s="646"/>
      <c r="FG333" s="647"/>
      <c r="FH333" s="647"/>
      <c r="FI333" s="647"/>
      <c r="FJ333" s="647"/>
      <c r="FK333" s="647"/>
      <c r="FL333" s="647"/>
      <c r="FM333" s="647"/>
      <c r="FN333" s="647"/>
      <c r="FO333" s="647"/>
      <c r="FP333" s="647"/>
      <c r="FQ333" s="647"/>
      <c r="FR333" s="647"/>
      <c r="FS333" s="101"/>
      <c r="FT333" s="95"/>
      <c r="FU333" s="651"/>
      <c r="FV333" s="101"/>
      <c r="FW333" s="101"/>
      <c r="FX333" s="634"/>
      <c r="FY333" s="634"/>
      <c r="FZ333" s="634"/>
      <c r="GA333" s="634"/>
      <c r="GB333" s="634"/>
      <c r="GC333" s="634"/>
      <c r="GD333" s="634"/>
      <c r="GE333" s="634"/>
      <c r="GF333" s="634"/>
      <c r="GG333" s="634"/>
      <c r="GH333" s="634"/>
      <c r="GI333" s="634"/>
      <c r="GJ333" s="634"/>
      <c r="GK333" s="634"/>
      <c r="GL333" s="101"/>
      <c r="GM333" s="101"/>
      <c r="GN333" s="101"/>
      <c r="GO333" s="643"/>
      <c r="GP333" s="644"/>
      <c r="GQ333" s="643"/>
      <c r="GR333" s="644"/>
      <c r="GS333" s="643"/>
      <c r="GT333" s="644"/>
      <c r="GU333" s="644"/>
      <c r="GV333" s="644"/>
      <c r="GW333" s="644"/>
      <c r="GX333" s="644"/>
      <c r="GY333" s="644"/>
      <c r="GZ333" s="644"/>
      <c r="HA333" s="644"/>
    </row>
    <row r="334" spans="1:209">
      <c r="A334" s="638"/>
      <c r="B334" s="95"/>
      <c r="C334" s="95"/>
      <c r="D334" s="95"/>
      <c r="E334" s="650"/>
      <c r="F334" s="95"/>
      <c r="G334" s="98"/>
      <c r="H334" s="99"/>
      <c r="I334" s="95"/>
      <c r="J334" s="95"/>
      <c r="K334" s="95"/>
      <c r="L334" s="95"/>
      <c r="M334" s="95"/>
      <c r="N334" s="95"/>
      <c r="O334" s="95"/>
      <c r="P334" s="95"/>
      <c r="Q334" s="95"/>
      <c r="R334" s="98"/>
      <c r="S334" s="101"/>
      <c r="T334" s="644"/>
      <c r="U334" s="101"/>
      <c r="V334" s="647"/>
      <c r="W334" s="643"/>
      <c r="X334" s="644"/>
      <c r="Y334" s="101"/>
      <c r="Z334" s="644"/>
      <c r="AA334" s="101"/>
      <c r="AB334" s="644"/>
      <c r="AC334" s="101"/>
      <c r="AD334" s="646"/>
      <c r="AE334" s="271"/>
      <c r="AF334" s="646"/>
      <c r="AG334" s="646"/>
      <c r="AH334" s="646"/>
      <c r="AI334" s="646"/>
      <c r="AJ334" s="646"/>
      <c r="AK334" s="646"/>
      <c r="AL334" s="646"/>
      <c r="AM334" s="271"/>
      <c r="AN334" s="646"/>
      <c r="AO334" s="646"/>
      <c r="AP334" s="646"/>
      <c r="AQ334" s="271"/>
      <c r="AR334" s="646"/>
      <c r="AS334" s="270"/>
      <c r="AT334" s="646"/>
      <c r="AU334" s="646"/>
      <c r="AV334" s="646"/>
      <c r="AW334" s="270"/>
      <c r="AX334" s="646"/>
      <c r="AY334" s="270"/>
      <c r="AZ334" s="646"/>
      <c r="BA334" s="646"/>
      <c r="BB334" s="644"/>
      <c r="BC334" s="644"/>
      <c r="BD334" s="644"/>
      <c r="BE334" s="644"/>
      <c r="BF334" s="644"/>
      <c r="BG334" s="644"/>
      <c r="BH334" s="644"/>
      <c r="BI334" s="644"/>
      <c r="BJ334" s="644"/>
      <c r="BK334" s="644"/>
      <c r="BL334" s="644"/>
      <c r="BM334" s="95"/>
      <c r="BN334" s="644"/>
      <c r="BO334" s="95"/>
      <c r="BP334" s="644"/>
      <c r="BQ334" s="644"/>
      <c r="BR334" s="644"/>
      <c r="BS334" s="644"/>
      <c r="BT334" s="644"/>
      <c r="BU334" s="644"/>
      <c r="BV334" s="644"/>
      <c r="BW334" s="644"/>
      <c r="BX334" s="644"/>
      <c r="BY334" s="644"/>
      <c r="BZ334" s="644"/>
      <c r="CA334" s="644"/>
      <c r="CB334" s="644"/>
      <c r="CC334" s="644"/>
      <c r="CD334" s="644"/>
      <c r="CE334" s="644"/>
      <c r="CF334" s="644"/>
      <c r="CG334" s="644"/>
      <c r="CH334" s="644"/>
      <c r="CI334" s="644"/>
      <c r="CJ334" s="644"/>
      <c r="CK334" s="644"/>
      <c r="CL334" s="644"/>
      <c r="CM334" s="95"/>
      <c r="CN334" s="644"/>
      <c r="CO334" s="644"/>
      <c r="CP334" s="95"/>
      <c r="CQ334" s="98"/>
      <c r="CR334" s="95"/>
      <c r="CS334" s="95"/>
      <c r="CT334" s="95"/>
      <c r="CU334" s="108"/>
      <c r="CV334" s="109"/>
      <c r="CW334" s="644"/>
      <c r="CX334" s="496"/>
      <c r="CY334" s="637"/>
      <c r="CZ334" s="644"/>
      <c r="DA334" s="644"/>
      <c r="DB334" s="644"/>
      <c r="DC334" s="496"/>
      <c r="DD334" s="644"/>
      <c r="DE334" s="101"/>
      <c r="DF334" s="644"/>
      <c r="DG334" s="101"/>
      <c r="DH334" s="644"/>
      <c r="DI334" s="644"/>
      <c r="DJ334" s="644"/>
      <c r="DK334" s="644"/>
      <c r="DL334" s="644"/>
      <c r="DM334" s="101"/>
      <c r="DN334" s="644"/>
      <c r="DO334" s="644"/>
      <c r="DP334" s="644"/>
      <c r="DQ334" s="644"/>
      <c r="DR334" s="644"/>
      <c r="DS334" s="644"/>
      <c r="DT334" s="644"/>
      <c r="DU334" s="644"/>
      <c r="DV334" s="644"/>
      <c r="DW334" s="101"/>
      <c r="DX334" s="646"/>
      <c r="DY334" s="646"/>
      <c r="DZ334" s="646"/>
      <c r="EA334" s="646"/>
      <c r="EB334" s="646"/>
      <c r="EC334" s="646"/>
      <c r="ED334" s="646"/>
      <c r="EE334" s="646"/>
      <c r="EF334" s="646"/>
      <c r="EG334" s="646"/>
      <c r="EH334" s="646"/>
      <c r="EI334" s="646"/>
      <c r="EJ334" s="646"/>
      <c r="EK334" s="271"/>
      <c r="EL334" s="644"/>
      <c r="EM334" s="634"/>
      <c r="EN334" s="647"/>
      <c r="EO334" s="648"/>
      <c r="EP334" s="647"/>
      <c r="EQ334" s="647"/>
      <c r="ER334" s="647"/>
      <c r="ES334" s="139"/>
      <c r="EV334" s="647"/>
      <c r="EW334" s="647"/>
      <c r="EX334" s="647"/>
      <c r="EY334" s="647"/>
      <c r="EZ334" s="647"/>
      <c r="FA334" s="646"/>
      <c r="FB334" s="646"/>
      <c r="FC334" s="646"/>
      <c r="FD334" s="646"/>
      <c r="FE334" s="646"/>
      <c r="FF334" s="646"/>
      <c r="FG334" s="647"/>
      <c r="FH334" s="647"/>
      <c r="FI334" s="647"/>
      <c r="FJ334" s="647"/>
      <c r="FK334" s="647"/>
      <c r="FL334" s="647"/>
      <c r="FM334" s="647"/>
      <c r="FN334" s="647"/>
      <c r="FO334" s="647"/>
      <c r="FP334" s="647"/>
      <c r="FQ334" s="647"/>
      <c r="FR334" s="647"/>
      <c r="FS334" s="101"/>
      <c r="FT334" s="95"/>
      <c r="FU334" s="651"/>
      <c r="FV334" s="101"/>
      <c r="FW334" s="101"/>
      <c r="FX334" s="634"/>
      <c r="FY334" s="634"/>
      <c r="FZ334" s="634"/>
      <c r="GA334" s="634"/>
      <c r="GB334" s="634"/>
      <c r="GC334" s="634"/>
      <c r="GD334" s="634"/>
      <c r="GE334" s="634"/>
      <c r="GF334" s="634"/>
      <c r="GG334" s="634"/>
      <c r="GH334" s="634"/>
      <c r="GI334" s="634"/>
      <c r="GJ334" s="634"/>
      <c r="GK334" s="634"/>
      <c r="GL334" s="101"/>
      <c r="GM334" s="101"/>
      <c r="GN334" s="101"/>
      <c r="GO334" s="643"/>
      <c r="GP334" s="644"/>
      <c r="GQ334" s="643"/>
      <c r="GR334" s="644"/>
      <c r="GS334" s="643"/>
      <c r="GT334" s="644"/>
      <c r="GU334" s="644"/>
      <c r="GV334" s="644"/>
      <c r="GW334" s="644"/>
      <c r="GX334" s="644"/>
      <c r="GY334" s="644"/>
      <c r="GZ334" s="644"/>
      <c r="HA334" s="644"/>
    </row>
    <row r="335" spans="1:209">
      <c r="A335" s="638"/>
      <c r="B335" s="95"/>
      <c r="C335" s="95"/>
      <c r="D335" s="95"/>
      <c r="E335" s="650"/>
      <c r="F335" s="95"/>
      <c r="G335" s="98"/>
      <c r="H335" s="99"/>
      <c r="I335" s="95"/>
      <c r="J335" s="95"/>
      <c r="K335" s="95"/>
      <c r="L335" s="95"/>
      <c r="M335" s="95"/>
      <c r="N335" s="95"/>
      <c r="O335" s="95"/>
      <c r="P335" s="95"/>
      <c r="Q335" s="95"/>
      <c r="R335" s="98"/>
      <c r="S335" s="101"/>
      <c r="T335" s="644"/>
      <c r="U335" s="101"/>
      <c r="V335" s="647"/>
      <c r="W335" s="643"/>
      <c r="X335" s="644"/>
      <c r="Y335" s="101"/>
      <c r="Z335" s="644"/>
      <c r="AA335" s="101"/>
      <c r="AB335" s="644"/>
      <c r="AC335" s="101"/>
      <c r="AD335" s="646"/>
      <c r="AE335" s="271"/>
      <c r="AF335" s="646"/>
      <c r="AG335" s="646"/>
      <c r="AH335" s="646"/>
      <c r="AI335" s="646"/>
      <c r="AJ335" s="646"/>
      <c r="AK335" s="646"/>
      <c r="AL335" s="646"/>
      <c r="AM335" s="271"/>
      <c r="AN335" s="646"/>
      <c r="AO335" s="646"/>
      <c r="AP335" s="646"/>
      <c r="AQ335" s="271"/>
      <c r="AR335" s="646"/>
      <c r="AS335" s="270"/>
      <c r="AT335" s="646"/>
      <c r="AU335" s="646"/>
      <c r="AV335" s="646"/>
      <c r="AW335" s="270"/>
      <c r="AX335" s="646"/>
      <c r="AY335" s="270"/>
      <c r="AZ335" s="646"/>
      <c r="BA335" s="646"/>
      <c r="BB335" s="644"/>
      <c r="BC335" s="644"/>
      <c r="BD335" s="644"/>
      <c r="BE335" s="644"/>
      <c r="BF335" s="644"/>
      <c r="BG335" s="644"/>
      <c r="BH335" s="644"/>
      <c r="BI335" s="644"/>
      <c r="BJ335" s="644"/>
      <c r="BK335" s="644"/>
      <c r="BL335" s="644"/>
      <c r="BM335" s="95"/>
      <c r="BN335" s="644"/>
      <c r="BO335" s="95"/>
      <c r="BP335" s="644"/>
      <c r="BQ335" s="644"/>
      <c r="BR335" s="644"/>
      <c r="BS335" s="644"/>
      <c r="BT335" s="644"/>
      <c r="BU335" s="644"/>
      <c r="BV335" s="644"/>
      <c r="BW335" s="644"/>
      <c r="BX335" s="644"/>
      <c r="BY335" s="644"/>
      <c r="BZ335" s="644"/>
      <c r="CA335" s="644"/>
      <c r="CB335" s="644"/>
      <c r="CC335" s="644"/>
      <c r="CD335" s="644"/>
      <c r="CE335" s="644"/>
      <c r="CF335" s="644"/>
      <c r="CG335" s="644"/>
      <c r="CH335" s="644"/>
      <c r="CI335" s="644"/>
      <c r="CJ335" s="644"/>
      <c r="CK335" s="644"/>
      <c r="CL335" s="644"/>
      <c r="CM335" s="95"/>
      <c r="CN335" s="644"/>
      <c r="CO335" s="644"/>
      <c r="CP335" s="95"/>
      <c r="CQ335" s="98"/>
      <c r="CR335" s="95"/>
      <c r="CS335" s="95"/>
      <c r="CT335" s="95"/>
      <c r="CU335" s="108"/>
      <c r="CV335" s="109"/>
      <c r="CW335" s="644"/>
      <c r="CX335" s="496"/>
      <c r="CY335" s="637"/>
      <c r="CZ335" s="644"/>
      <c r="DA335" s="644"/>
      <c r="DB335" s="644"/>
      <c r="DC335" s="496"/>
      <c r="DD335" s="644"/>
      <c r="DE335" s="101"/>
      <c r="DF335" s="644"/>
      <c r="DG335" s="101"/>
      <c r="DH335" s="644"/>
      <c r="DI335" s="644"/>
      <c r="DJ335" s="644"/>
      <c r="DK335" s="644"/>
      <c r="DL335" s="644"/>
      <c r="DM335" s="101"/>
      <c r="DN335" s="644"/>
      <c r="DO335" s="644"/>
      <c r="DP335" s="644"/>
      <c r="DQ335" s="644"/>
      <c r="DR335" s="644"/>
      <c r="DS335" s="644"/>
      <c r="DT335" s="644"/>
      <c r="DU335" s="644"/>
      <c r="DV335" s="644"/>
      <c r="DW335" s="101"/>
      <c r="DX335" s="646"/>
      <c r="DY335" s="646"/>
      <c r="DZ335" s="646"/>
      <c r="EA335" s="646"/>
      <c r="EB335" s="646"/>
      <c r="EC335" s="646"/>
      <c r="ED335" s="646"/>
      <c r="EE335" s="646"/>
      <c r="EF335" s="646"/>
      <c r="EG335" s="646"/>
      <c r="EH335" s="646"/>
      <c r="EI335" s="646"/>
      <c r="EJ335" s="646"/>
      <c r="EK335" s="271"/>
      <c r="EL335" s="644"/>
      <c r="EM335" s="634"/>
      <c r="EN335" s="647"/>
      <c r="EO335" s="648"/>
      <c r="EP335" s="647"/>
      <c r="EQ335" s="647"/>
      <c r="ER335" s="647"/>
      <c r="ES335" s="139"/>
      <c r="EV335" s="647"/>
      <c r="EW335" s="647"/>
      <c r="EX335" s="647"/>
      <c r="EY335" s="647"/>
      <c r="EZ335" s="647"/>
      <c r="FA335" s="646"/>
      <c r="FB335" s="646"/>
      <c r="FC335" s="646"/>
      <c r="FD335" s="646"/>
      <c r="FE335" s="646"/>
      <c r="FF335" s="646"/>
      <c r="FG335" s="647"/>
      <c r="FH335" s="647"/>
      <c r="FI335" s="647"/>
      <c r="FJ335" s="647"/>
      <c r="FK335" s="647"/>
      <c r="FL335" s="647"/>
      <c r="FM335" s="647"/>
      <c r="FN335" s="647"/>
      <c r="FO335" s="647"/>
      <c r="FP335" s="647"/>
      <c r="FQ335" s="647"/>
      <c r="FR335" s="647"/>
      <c r="FS335" s="101"/>
      <c r="FT335" s="95"/>
      <c r="FU335" s="651"/>
      <c r="FV335" s="101"/>
      <c r="FW335" s="101"/>
      <c r="FX335" s="634"/>
      <c r="FY335" s="634"/>
      <c r="FZ335" s="634"/>
      <c r="GA335" s="634"/>
      <c r="GB335" s="634"/>
      <c r="GC335" s="634"/>
      <c r="GD335" s="634"/>
      <c r="GE335" s="634"/>
      <c r="GF335" s="634"/>
      <c r="GG335" s="634"/>
      <c r="GH335" s="634"/>
      <c r="GI335" s="634"/>
      <c r="GJ335" s="634"/>
      <c r="GK335" s="634"/>
      <c r="GL335" s="101"/>
      <c r="GM335" s="101"/>
      <c r="GN335" s="101"/>
      <c r="GO335" s="643"/>
      <c r="GP335" s="644"/>
      <c r="GQ335" s="643"/>
      <c r="GR335" s="644"/>
      <c r="GS335" s="643"/>
      <c r="GT335" s="644"/>
      <c r="GU335" s="644"/>
      <c r="GV335" s="644"/>
      <c r="GW335" s="644"/>
      <c r="GX335" s="644"/>
      <c r="GY335" s="644"/>
      <c r="GZ335" s="644"/>
      <c r="HA335" s="644"/>
    </row>
    <row r="336" spans="1:209">
      <c r="A336" s="638"/>
      <c r="B336" s="95"/>
      <c r="C336" s="95"/>
      <c r="D336" s="95"/>
      <c r="E336" s="650"/>
      <c r="F336" s="95"/>
      <c r="G336" s="98"/>
      <c r="H336" s="99"/>
      <c r="I336" s="95"/>
      <c r="J336" s="95"/>
      <c r="K336" s="95"/>
      <c r="L336" s="95"/>
      <c r="M336" s="95"/>
      <c r="N336" s="95"/>
      <c r="O336" s="95"/>
      <c r="P336" s="95"/>
      <c r="Q336" s="95"/>
      <c r="R336" s="98"/>
      <c r="S336" s="101"/>
      <c r="T336" s="644"/>
      <c r="U336" s="101"/>
      <c r="V336" s="647"/>
      <c r="W336" s="643"/>
      <c r="X336" s="644"/>
      <c r="Y336" s="101"/>
      <c r="Z336" s="644"/>
      <c r="AA336" s="101"/>
      <c r="AB336" s="644"/>
      <c r="AC336" s="101"/>
      <c r="AD336" s="646"/>
      <c r="AE336" s="271"/>
      <c r="AF336" s="646"/>
      <c r="AG336" s="646"/>
      <c r="AH336" s="646"/>
      <c r="AI336" s="646"/>
      <c r="AJ336" s="646"/>
      <c r="AK336" s="646"/>
      <c r="AL336" s="646"/>
      <c r="AM336" s="271"/>
      <c r="AN336" s="646"/>
      <c r="AO336" s="646"/>
      <c r="AP336" s="646"/>
      <c r="AQ336" s="271"/>
      <c r="AR336" s="646"/>
      <c r="AS336" s="270"/>
      <c r="AT336" s="646"/>
      <c r="AU336" s="646"/>
      <c r="AV336" s="646"/>
      <c r="AW336" s="270"/>
      <c r="AX336" s="646"/>
      <c r="AY336" s="270"/>
      <c r="AZ336" s="646"/>
      <c r="BA336" s="646"/>
      <c r="BB336" s="644"/>
      <c r="BC336" s="644"/>
      <c r="BD336" s="644"/>
      <c r="BE336" s="644"/>
      <c r="BF336" s="644"/>
      <c r="BG336" s="644"/>
      <c r="BH336" s="644"/>
      <c r="BI336" s="644"/>
      <c r="BJ336" s="644"/>
      <c r="BK336" s="644"/>
      <c r="BL336" s="644"/>
      <c r="BM336" s="95"/>
      <c r="BN336" s="644"/>
      <c r="BO336" s="95"/>
      <c r="BP336" s="644"/>
      <c r="BQ336" s="644"/>
      <c r="BR336" s="644"/>
      <c r="BS336" s="644"/>
      <c r="BT336" s="644"/>
      <c r="BU336" s="644"/>
      <c r="BV336" s="644"/>
      <c r="BW336" s="644"/>
      <c r="BX336" s="644"/>
      <c r="BY336" s="644"/>
      <c r="BZ336" s="644"/>
      <c r="CA336" s="644"/>
      <c r="CB336" s="644"/>
      <c r="CC336" s="644"/>
      <c r="CD336" s="644"/>
      <c r="CE336" s="644"/>
      <c r="CF336" s="644"/>
      <c r="CG336" s="644"/>
      <c r="CH336" s="644"/>
      <c r="CI336" s="644"/>
      <c r="CJ336" s="644"/>
      <c r="CK336" s="644"/>
      <c r="CL336" s="644"/>
      <c r="CM336" s="95"/>
      <c r="CN336" s="644"/>
      <c r="CO336" s="644"/>
      <c r="CP336" s="95"/>
      <c r="CQ336" s="98"/>
      <c r="CR336" s="95"/>
      <c r="CS336" s="95"/>
      <c r="CT336" s="95"/>
      <c r="CU336" s="108"/>
      <c r="CV336" s="109"/>
      <c r="CW336" s="644"/>
      <c r="CX336" s="496"/>
      <c r="CY336" s="637"/>
      <c r="CZ336" s="644"/>
      <c r="DA336" s="644"/>
      <c r="DB336" s="644"/>
      <c r="DC336" s="496"/>
      <c r="DD336" s="644"/>
      <c r="DE336" s="101"/>
      <c r="DF336" s="644"/>
      <c r="DG336" s="101"/>
      <c r="DH336" s="644"/>
      <c r="DI336" s="644"/>
      <c r="DJ336" s="644"/>
      <c r="DK336" s="644"/>
      <c r="DL336" s="644"/>
      <c r="DM336" s="101"/>
      <c r="DN336" s="644"/>
      <c r="DO336" s="644"/>
      <c r="DP336" s="644"/>
      <c r="DQ336" s="644"/>
      <c r="DR336" s="644"/>
      <c r="DS336" s="644"/>
      <c r="DT336" s="644"/>
      <c r="DU336" s="644"/>
      <c r="DV336" s="644"/>
      <c r="DW336" s="101"/>
      <c r="DX336" s="646"/>
      <c r="DY336" s="646"/>
      <c r="DZ336" s="646"/>
      <c r="EA336" s="646"/>
      <c r="EB336" s="646"/>
      <c r="EC336" s="646"/>
      <c r="ED336" s="646"/>
      <c r="EE336" s="646"/>
      <c r="EF336" s="646"/>
      <c r="EG336" s="646"/>
      <c r="EH336" s="646"/>
      <c r="EI336" s="646"/>
      <c r="EJ336" s="646"/>
      <c r="EK336" s="271"/>
      <c r="EL336" s="644"/>
      <c r="EM336" s="634"/>
      <c r="EN336" s="647"/>
      <c r="EO336" s="648"/>
      <c r="EP336" s="647"/>
      <c r="EQ336" s="647"/>
      <c r="ER336" s="647"/>
      <c r="ES336" s="139"/>
      <c r="EV336" s="647"/>
      <c r="EW336" s="647"/>
      <c r="EX336" s="647"/>
      <c r="EY336" s="647"/>
      <c r="EZ336" s="647"/>
      <c r="FA336" s="646"/>
      <c r="FB336" s="646"/>
      <c r="FC336" s="646"/>
      <c r="FD336" s="646"/>
      <c r="FE336" s="646"/>
      <c r="FF336" s="646"/>
      <c r="FG336" s="647"/>
      <c r="FH336" s="647"/>
      <c r="FI336" s="647"/>
      <c r="FJ336" s="647"/>
      <c r="FK336" s="647"/>
      <c r="FL336" s="647"/>
      <c r="FM336" s="647"/>
      <c r="FN336" s="647"/>
      <c r="FO336" s="647"/>
      <c r="FP336" s="647"/>
      <c r="FQ336" s="647"/>
      <c r="FR336" s="647"/>
      <c r="FS336" s="101"/>
      <c r="FT336" s="95"/>
      <c r="FU336" s="651"/>
      <c r="FV336" s="101"/>
      <c r="FW336" s="101"/>
      <c r="FX336" s="634"/>
      <c r="FY336" s="634"/>
      <c r="FZ336" s="634"/>
      <c r="GA336" s="634"/>
      <c r="GB336" s="634"/>
      <c r="GC336" s="634"/>
      <c r="GD336" s="634"/>
      <c r="GE336" s="634"/>
      <c r="GF336" s="634"/>
      <c r="GG336" s="634"/>
      <c r="GH336" s="634"/>
      <c r="GI336" s="634"/>
      <c r="GJ336" s="634"/>
      <c r="GK336" s="634"/>
      <c r="GL336" s="101"/>
      <c r="GM336" s="101"/>
      <c r="GN336" s="101"/>
      <c r="GO336" s="643"/>
      <c r="GP336" s="644"/>
      <c r="GQ336" s="643"/>
      <c r="GR336" s="644"/>
      <c r="GS336" s="643"/>
      <c r="GT336" s="644"/>
      <c r="GU336" s="644"/>
      <c r="GV336" s="644"/>
      <c r="GW336" s="644"/>
      <c r="GX336" s="644"/>
      <c r="GY336" s="644"/>
      <c r="GZ336" s="644"/>
      <c r="HA336" s="644"/>
    </row>
    <row r="337" spans="1:209">
      <c r="A337" s="638"/>
      <c r="B337" s="95"/>
      <c r="C337" s="95"/>
      <c r="D337" s="95"/>
      <c r="E337" s="650"/>
      <c r="F337" s="95"/>
      <c r="G337" s="98"/>
      <c r="H337" s="99"/>
      <c r="I337" s="95"/>
      <c r="J337" s="95"/>
      <c r="K337" s="95"/>
      <c r="L337" s="95"/>
      <c r="M337" s="95"/>
      <c r="N337" s="95"/>
      <c r="O337" s="95"/>
      <c r="P337" s="95"/>
      <c r="Q337" s="95"/>
      <c r="R337" s="98"/>
      <c r="S337" s="101"/>
      <c r="T337" s="644"/>
      <c r="U337" s="101"/>
      <c r="V337" s="647"/>
      <c r="W337" s="643"/>
      <c r="X337" s="644"/>
      <c r="Y337" s="101"/>
      <c r="Z337" s="644"/>
      <c r="AA337" s="101"/>
      <c r="AB337" s="644"/>
      <c r="AC337" s="101"/>
      <c r="AD337" s="646"/>
      <c r="AE337" s="271"/>
      <c r="AF337" s="646"/>
      <c r="AG337" s="646"/>
      <c r="AH337" s="646"/>
      <c r="AI337" s="646"/>
      <c r="AJ337" s="646"/>
      <c r="AK337" s="646"/>
      <c r="AL337" s="646"/>
      <c r="AM337" s="271"/>
      <c r="AN337" s="646"/>
      <c r="AO337" s="646"/>
      <c r="AP337" s="646"/>
      <c r="AQ337" s="271"/>
      <c r="AR337" s="646"/>
      <c r="AS337" s="270"/>
      <c r="AT337" s="646"/>
      <c r="AU337" s="646"/>
      <c r="AV337" s="646"/>
      <c r="AW337" s="270"/>
      <c r="AX337" s="646"/>
      <c r="AY337" s="270"/>
      <c r="AZ337" s="646"/>
      <c r="BA337" s="646"/>
      <c r="BB337" s="644"/>
      <c r="BC337" s="644"/>
      <c r="BD337" s="644"/>
      <c r="BE337" s="644"/>
      <c r="BF337" s="644"/>
      <c r="BG337" s="644"/>
      <c r="BH337" s="644"/>
      <c r="BI337" s="644"/>
      <c r="BJ337" s="644"/>
      <c r="BK337" s="644"/>
      <c r="BL337" s="644"/>
      <c r="BM337" s="95"/>
      <c r="BN337" s="644"/>
      <c r="BO337" s="95"/>
      <c r="BP337" s="644"/>
      <c r="BQ337" s="644"/>
      <c r="BR337" s="644"/>
      <c r="BS337" s="644"/>
      <c r="BT337" s="644"/>
      <c r="BU337" s="644"/>
      <c r="BV337" s="644"/>
      <c r="BW337" s="644"/>
      <c r="BX337" s="644"/>
      <c r="BY337" s="644"/>
      <c r="BZ337" s="644"/>
      <c r="CA337" s="644"/>
      <c r="CB337" s="644"/>
      <c r="CC337" s="644"/>
      <c r="CD337" s="644"/>
      <c r="CE337" s="644"/>
      <c r="CF337" s="644"/>
      <c r="CG337" s="644"/>
      <c r="CH337" s="644"/>
      <c r="CI337" s="644"/>
      <c r="CJ337" s="644"/>
      <c r="CK337" s="644"/>
      <c r="CL337" s="644"/>
      <c r="CM337" s="95"/>
      <c r="CN337" s="644"/>
      <c r="CO337" s="644"/>
      <c r="CP337" s="95"/>
      <c r="CQ337" s="98"/>
      <c r="CR337" s="95"/>
      <c r="CS337" s="95"/>
      <c r="CT337" s="95"/>
      <c r="CU337" s="108"/>
      <c r="CV337" s="109"/>
      <c r="CW337" s="644"/>
      <c r="CX337" s="496"/>
      <c r="CY337" s="637"/>
      <c r="CZ337" s="644"/>
      <c r="DA337" s="644"/>
      <c r="DB337" s="644"/>
      <c r="DC337" s="496"/>
      <c r="DD337" s="644"/>
      <c r="DE337" s="101"/>
      <c r="DF337" s="644"/>
      <c r="DG337" s="101"/>
      <c r="DH337" s="644"/>
      <c r="DI337" s="644"/>
      <c r="DJ337" s="644"/>
      <c r="DK337" s="644"/>
      <c r="DL337" s="644"/>
      <c r="DM337" s="101"/>
      <c r="DN337" s="644"/>
      <c r="DO337" s="644"/>
      <c r="DP337" s="644"/>
      <c r="DQ337" s="644"/>
      <c r="DR337" s="644"/>
      <c r="DS337" s="644"/>
      <c r="DT337" s="644"/>
      <c r="DU337" s="644"/>
      <c r="DV337" s="644"/>
      <c r="DW337" s="101"/>
      <c r="DX337" s="646"/>
      <c r="DY337" s="646"/>
      <c r="DZ337" s="646"/>
      <c r="EA337" s="646"/>
      <c r="EB337" s="646"/>
      <c r="EC337" s="646"/>
      <c r="ED337" s="646"/>
      <c r="EE337" s="646"/>
      <c r="EF337" s="646"/>
      <c r="EG337" s="646"/>
      <c r="EH337" s="646"/>
      <c r="EI337" s="646"/>
      <c r="EJ337" s="646"/>
      <c r="EK337" s="271"/>
      <c r="EL337" s="644"/>
      <c r="EM337" s="634"/>
      <c r="EN337" s="647"/>
      <c r="EO337" s="648"/>
      <c r="EP337" s="647"/>
      <c r="EQ337" s="647"/>
      <c r="ER337" s="647"/>
      <c r="ES337" s="139"/>
      <c r="EV337" s="647"/>
      <c r="EW337" s="647"/>
      <c r="EX337" s="647"/>
      <c r="EY337" s="647"/>
      <c r="EZ337" s="647"/>
      <c r="FA337" s="646"/>
      <c r="FB337" s="646"/>
      <c r="FC337" s="646"/>
      <c r="FD337" s="646"/>
      <c r="FE337" s="646"/>
      <c r="FF337" s="646"/>
      <c r="FG337" s="647"/>
      <c r="FH337" s="647"/>
      <c r="FI337" s="647"/>
      <c r="FJ337" s="647"/>
      <c r="FK337" s="647"/>
      <c r="FL337" s="647"/>
      <c r="FM337" s="647"/>
      <c r="FN337" s="647"/>
      <c r="FO337" s="647"/>
      <c r="FP337" s="647"/>
      <c r="FQ337" s="647"/>
      <c r="FR337" s="647"/>
      <c r="FS337" s="101"/>
      <c r="FT337" s="95"/>
      <c r="FU337" s="651"/>
      <c r="FV337" s="101"/>
      <c r="FW337" s="101"/>
      <c r="FX337" s="634"/>
      <c r="FY337" s="634"/>
      <c r="FZ337" s="634"/>
      <c r="GA337" s="634"/>
      <c r="GB337" s="634"/>
      <c r="GC337" s="634"/>
      <c r="GD337" s="634"/>
      <c r="GE337" s="634"/>
      <c r="GF337" s="634"/>
      <c r="GG337" s="634"/>
      <c r="GH337" s="634"/>
      <c r="GI337" s="634"/>
      <c r="GJ337" s="634"/>
      <c r="GK337" s="634"/>
      <c r="GL337" s="101"/>
      <c r="GM337" s="101"/>
      <c r="GN337" s="101"/>
      <c r="GO337" s="643"/>
      <c r="GP337" s="644"/>
      <c r="GQ337" s="643"/>
      <c r="GR337" s="644"/>
      <c r="GS337" s="643"/>
      <c r="GT337" s="644"/>
      <c r="GU337" s="644"/>
      <c r="GV337" s="644"/>
      <c r="GW337" s="644"/>
      <c r="GX337" s="644"/>
      <c r="GY337" s="644"/>
      <c r="GZ337" s="644"/>
      <c r="HA337" s="644"/>
    </row>
    <row r="338" spans="1:209">
      <c r="A338" s="638"/>
      <c r="B338" s="95"/>
      <c r="C338" s="95"/>
      <c r="D338" s="95"/>
      <c r="E338" s="650"/>
      <c r="F338" s="95"/>
      <c r="G338" s="98"/>
      <c r="H338" s="99"/>
      <c r="I338" s="95"/>
      <c r="J338" s="95"/>
      <c r="K338" s="95"/>
      <c r="L338" s="95"/>
      <c r="M338" s="95"/>
      <c r="N338" s="95"/>
      <c r="O338" s="95"/>
      <c r="P338" s="95"/>
      <c r="Q338" s="95"/>
      <c r="R338" s="98"/>
      <c r="S338" s="101"/>
      <c r="T338" s="644"/>
      <c r="U338" s="101"/>
      <c r="V338" s="647"/>
      <c r="W338" s="643"/>
      <c r="X338" s="644"/>
      <c r="Y338" s="101"/>
      <c r="Z338" s="644"/>
      <c r="AA338" s="101"/>
      <c r="AB338" s="644"/>
      <c r="AC338" s="101"/>
      <c r="AD338" s="646"/>
      <c r="AE338" s="271"/>
      <c r="AF338" s="646"/>
      <c r="AG338" s="646"/>
      <c r="AH338" s="646"/>
      <c r="AI338" s="646"/>
      <c r="AJ338" s="646"/>
      <c r="AK338" s="646"/>
      <c r="AL338" s="646"/>
      <c r="AM338" s="271"/>
      <c r="AN338" s="646"/>
      <c r="AO338" s="646"/>
      <c r="AP338" s="646"/>
      <c r="AQ338" s="271"/>
      <c r="AR338" s="646"/>
      <c r="AS338" s="270"/>
      <c r="AT338" s="646"/>
      <c r="AU338" s="646"/>
      <c r="AV338" s="646"/>
      <c r="AW338" s="270"/>
      <c r="AX338" s="646"/>
      <c r="AY338" s="270"/>
      <c r="AZ338" s="646"/>
      <c r="BA338" s="646"/>
      <c r="BB338" s="644"/>
      <c r="BC338" s="644"/>
      <c r="BD338" s="644"/>
      <c r="BE338" s="644"/>
      <c r="BF338" s="644"/>
      <c r="BG338" s="644"/>
      <c r="BH338" s="644"/>
      <c r="BI338" s="644"/>
      <c r="BJ338" s="644"/>
      <c r="BK338" s="644"/>
      <c r="BL338" s="644"/>
      <c r="BM338" s="95"/>
      <c r="BN338" s="644"/>
      <c r="BO338" s="95"/>
      <c r="BP338" s="644"/>
      <c r="BQ338" s="644"/>
      <c r="BR338" s="644"/>
      <c r="BS338" s="644"/>
      <c r="BT338" s="644"/>
      <c r="BU338" s="644"/>
      <c r="BV338" s="644"/>
      <c r="BW338" s="644"/>
      <c r="BX338" s="644"/>
      <c r="BY338" s="644"/>
      <c r="BZ338" s="644"/>
      <c r="CA338" s="644"/>
      <c r="CB338" s="644"/>
      <c r="CC338" s="644"/>
      <c r="CD338" s="644"/>
      <c r="CE338" s="644"/>
      <c r="CF338" s="644"/>
      <c r="CG338" s="644"/>
      <c r="CH338" s="644"/>
      <c r="CI338" s="644"/>
      <c r="CJ338" s="644"/>
      <c r="CK338" s="644"/>
      <c r="CL338" s="644"/>
      <c r="CM338" s="95"/>
      <c r="CN338" s="644"/>
      <c r="CO338" s="644"/>
      <c r="CP338" s="95"/>
      <c r="CQ338" s="98"/>
      <c r="CR338" s="95"/>
      <c r="CS338" s="95"/>
      <c r="CT338" s="95"/>
      <c r="CU338" s="108"/>
      <c r="CV338" s="109"/>
      <c r="CW338" s="644"/>
      <c r="CX338" s="496"/>
      <c r="CY338" s="637"/>
      <c r="CZ338" s="644"/>
      <c r="DA338" s="644"/>
      <c r="DB338" s="644"/>
      <c r="DC338" s="496"/>
      <c r="DD338" s="644"/>
      <c r="DE338" s="101"/>
      <c r="DF338" s="644"/>
      <c r="DG338" s="101"/>
      <c r="DH338" s="644"/>
      <c r="DI338" s="644"/>
      <c r="DJ338" s="644"/>
      <c r="DK338" s="644"/>
      <c r="DL338" s="644"/>
      <c r="DM338" s="101"/>
      <c r="DN338" s="644"/>
      <c r="DO338" s="644"/>
      <c r="DP338" s="644"/>
      <c r="DQ338" s="644"/>
      <c r="DR338" s="644"/>
      <c r="DS338" s="644"/>
      <c r="DT338" s="644"/>
      <c r="DU338" s="644"/>
      <c r="DV338" s="644"/>
      <c r="DW338" s="101"/>
      <c r="DX338" s="646"/>
      <c r="DY338" s="646"/>
      <c r="DZ338" s="646"/>
      <c r="EA338" s="646"/>
      <c r="EB338" s="646"/>
      <c r="EC338" s="646"/>
      <c r="ED338" s="646"/>
      <c r="EE338" s="646"/>
      <c r="EF338" s="646"/>
      <c r="EG338" s="646"/>
      <c r="EH338" s="646"/>
      <c r="EI338" s="646"/>
      <c r="EJ338" s="646"/>
      <c r="EK338" s="271"/>
      <c r="EL338" s="644"/>
      <c r="EM338" s="634"/>
      <c r="EN338" s="647"/>
      <c r="EO338" s="648"/>
      <c r="EP338" s="647"/>
      <c r="EQ338" s="647"/>
      <c r="ER338" s="647"/>
      <c r="ES338" s="139"/>
      <c r="EV338" s="647"/>
      <c r="EW338" s="647"/>
      <c r="EX338" s="647"/>
      <c r="EY338" s="647"/>
      <c r="EZ338" s="647"/>
      <c r="FA338" s="646"/>
      <c r="FB338" s="646"/>
      <c r="FC338" s="646"/>
      <c r="FD338" s="646"/>
      <c r="FE338" s="646"/>
      <c r="FF338" s="646"/>
      <c r="FG338" s="647"/>
      <c r="FH338" s="647"/>
      <c r="FI338" s="647"/>
      <c r="FJ338" s="647"/>
      <c r="FK338" s="647"/>
      <c r="FL338" s="647"/>
      <c r="FM338" s="647"/>
      <c r="FN338" s="647"/>
      <c r="FO338" s="647"/>
      <c r="FP338" s="647"/>
      <c r="FQ338" s="647"/>
      <c r="FR338" s="647"/>
      <c r="FS338" s="101"/>
      <c r="FT338" s="95"/>
      <c r="FU338" s="651"/>
      <c r="FV338" s="101"/>
      <c r="FW338" s="101"/>
      <c r="FX338" s="634"/>
      <c r="FY338" s="634"/>
      <c r="FZ338" s="634"/>
      <c r="GA338" s="634"/>
      <c r="GB338" s="634"/>
      <c r="GC338" s="634"/>
      <c r="GD338" s="634"/>
      <c r="GE338" s="634"/>
      <c r="GF338" s="634"/>
      <c r="GG338" s="634"/>
      <c r="GH338" s="634"/>
      <c r="GI338" s="634"/>
      <c r="GJ338" s="634"/>
      <c r="GK338" s="634"/>
      <c r="GL338" s="101"/>
      <c r="GM338" s="101"/>
      <c r="GN338" s="101"/>
      <c r="GO338" s="643"/>
      <c r="GP338" s="644"/>
      <c r="GQ338" s="643"/>
      <c r="GR338" s="644"/>
      <c r="GS338" s="643"/>
      <c r="GT338" s="644"/>
      <c r="GU338" s="644"/>
      <c r="GV338" s="644"/>
      <c r="GW338" s="644"/>
      <c r="GX338" s="644"/>
      <c r="GY338" s="644"/>
      <c r="GZ338" s="644"/>
      <c r="HA338" s="644"/>
    </row>
    <row r="339" spans="1:209">
      <c r="A339" s="638"/>
      <c r="B339" s="95"/>
      <c r="C339" s="95"/>
      <c r="D339" s="95"/>
      <c r="E339" s="650"/>
      <c r="F339" s="95"/>
      <c r="G339" s="98"/>
      <c r="H339" s="99"/>
      <c r="I339" s="95"/>
      <c r="J339" s="95"/>
      <c r="K339" s="95"/>
      <c r="L339" s="95"/>
      <c r="M339" s="95"/>
      <c r="N339" s="95"/>
      <c r="O339" s="95"/>
      <c r="P339" s="95"/>
      <c r="Q339" s="95"/>
      <c r="R339" s="98"/>
      <c r="S339" s="101"/>
      <c r="T339" s="644"/>
      <c r="U339" s="101"/>
      <c r="V339" s="647"/>
      <c r="W339" s="643"/>
      <c r="X339" s="644"/>
      <c r="Y339" s="101"/>
      <c r="Z339" s="644"/>
      <c r="AA339" s="101"/>
      <c r="AB339" s="644"/>
      <c r="AC339" s="101"/>
      <c r="AD339" s="646"/>
      <c r="AE339" s="271"/>
      <c r="AF339" s="646"/>
      <c r="AG339" s="646"/>
      <c r="AH339" s="646"/>
      <c r="AI339" s="646"/>
      <c r="AJ339" s="646"/>
      <c r="AK339" s="646"/>
      <c r="AL339" s="646"/>
      <c r="AM339" s="271"/>
      <c r="AN339" s="646"/>
      <c r="AO339" s="646"/>
      <c r="AP339" s="646"/>
      <c r="AQ339" s="271"/>
      <c r="AR339" s="646"/>
      <c r="AS339" s="270"/>
      <c r="AT339" s="646"/>
      <c r="AU339" s="646"/>
      <c r="AV339" s="646"/>
      <c r="AW339" s="270"/>
      <c r="AX339" s="646"/>
      <c r="AY339" s="270"/>
      <c r="AZ339" s="646"/>
      <c r="BA339" s="646"/>
      <c r="BB339" s="644"/>
      <c r="BC339" s="644"/>
      <c r="BD339" s="644"/>
      <c r="BE339" s="644"/>
      <c r="BF339" s="644"/>
      <c r="BG339" s="644"/>
      <c r="BH339" s="644"/>
      <c r="BI339" s="644"/>
      <c r="BJ339" s="644"/>
      <c r="BK339" s="644"/>
      <c r="BL339" s="644"/>
      <c r="BM339" s="95"/>
      <c r="BN339" s="644"/>
      <c r="BO339" s="95"/>
      <c r="BP339" s="644"/>
      <c r="BQ339" s="644"/>
      <c r="BR339" s="644"/>
      <c r="BS339" s="644"/>
      <c r="BT339" s="644"/>
      <c r="BU339" s="644"/>
      <c r="BV339" s="644"/>
      <c r="BW339" s="644"/>
      <c r="BX339" s="644"/>
      <c r="BY339" s="644"/>
      <c r="BZ339" s="644"/>
      <c r="CA339" s="644"/>
      <c r="CB339" s="644"/>
      <c r="CC339" s="644"/>
      <c r="CD339" s="644"/>
      <c r="CE339" s="644"/>
      <c r="CF339" s="644"/>
      <c r="CG339" s="644"/>
      <c r="CH339" s="644"/>
      <c r="CI339" s="644"/>
      <c r="CJ339" s="644"/>
      <c r="CK339" s="644"/>
      <c r="CL339" s="644"/>
      <c r="CM339" s="95"/>
      <c r="CN339" s="644"/>
      <c r="CO339" s="644"/>
      <c r="CP339" s="95"/>
      <c r="CQ339" s="98"/>
      <c r="CR339" s="95"/>
      <c r="CS339" s="95"/>
      <c r="CT339" s="95"/>
      <c r="CU339" s="108"/>
      <c r="CV339" s="109"/>
      <c r="CW339" s="644"/>
      <c r="CX339" s="496"/>
      <c r="CY339" s="637"/>
      <c r="CZ339" s="644"/>
      <c r="DA339" s="644"/>
      <c r="DB339" s="644"/>
      <c r="DC339" s="496"/>
      <c r="DD339" s="644"/>
      <c r="DE339" s="101"/>
      <c r="DF339" s="644"/>
      <c r="DG339" s="101"/>
      <c r="DH339" s="644"/>
      <c r="DI339" s="644"/>
      <c r="DJ339" s="644"/>
      <c r="DK339" s="644"/>
      <c r="DL339" s="644"/>
      <c r="DM339" s="101"/>
      <c r="DN339" s="644"/>
      <c r="DO339" s="644"/>
      <c r="DP339" s="644"/>
      <c r="DQ339" s="644"/>
      <c r="DR339" s="644"/>
      <c r="DS339" s="644"/>
      <c r="DT339" s="644"/>
      <c r="DU339" s="644"/>
      <c r="DV339" s="644"/>
      <c r="DW339" s="101"/>
      <c r="DX339" s="646"/>
      <c r="DY339" s="646"/>
      <c r="DZ339" s="646"/>
      <c r="EA339" s="646"/>
      <c r="EB339" s="646"/>
      <c r="EC339" s="646"/>
      <c r="ED339" s="646"/>
      <c r="EE339" s="646"/>
      <c r="EF339" s="646"/>
      <c r="EG339" s="646"/>
      <c r="EH339" s="646"/>
      <c r="EI339" s="646"/>
      <c r="EJ339" s="646"/>
      <c r="EK339" s="271"/>
      <c r="EL339" s="644"/>
      <c r="EM339" s="634"/>
      <c r="EN339" s="647"/>
      <c r="EO339" s="648"/>
      <c r="EP339" s="647"/>
      <c r="EQ339" s="647"/>
      <c r="ER339" s="647"/>
      <c r="ES339" s="139"/>
      <c r="EV339" s="647"/>
      <c r="EW339" s="647"/>
      <c r="EX339" s="647"/>
      <c r="EY339" s="647"/>
      <c r="EZ339" s="647"/>
      <c r="FA339" s="646"/>
      <c r="FB339" s="646"/>
      <c r="FC339" s="646"/>
      <c r="FD339" s="646"/>
      <c r="FE339" s="646"/>
      <c r="FF339" s="646"/>
      <c r="FG339" s="647"/>
      <c r="FH339" s="647"/>
      <c r="FI339" s="647"/>
      <c r="FJ339" s="647"/>
      <c r="FK339" s="647"/>
      <c r="FL339" s="647"/>
      <c r="FM339" s="647"/>
      <c r="FN339" s="647"/>
      <c r="FO339" s="647"/>
      <c r="FP339" s="647"/>
      <c r="FQ339" s="647"/>
      <c r="FR339" s="647"/>
      <c r="FS339" s="101"/>
      <c r="FT339" s="95"/>
      <c r="FU339" s="651"/>
      <c r="FV339" s="101"/>
      <c r="FW339" s="101"/>
      <c r="FX339" s="634"/>
      <c r="FY339" s="634"/>
      <c r="FZ339" s="634"/>
      <c r="GA339" s="634"/>
      <c r="GB339" s="634"/>
      <c r="GC339" s="634"/>
      <c r="GD339" s="634"/>
      <c r="GE339" s="634"/>
      <c r="GF339" s="634"/>
      <c r="GG339" s="634"/>
      <c r="GH339" s="634"/>
      <c r="GI339" s="634"/>
      <c r="GJ339" s="634"/>
      <c r="GK339" s="634"/>
      <c r="GL339" s="101"/>
      <c r="GM339" s="101"/>
      <c r="GN339" s="101"/>
      <c r="GO339" s="643"/>
      <c r="GP339" s="644"/>
      <c r="GQ339" s="643"/>
      <c r="GR339" s="644"/>
      <c r="GS339" s="643"/>
      <c r="GT339" s="644"/>
      <c r="GU339" s="644"/>
      <c r="GV339" s="644"/>
      <c r="GW339" s="644"/>
      <c r="GX339" s="644"/>
      <c r="GY339" s="644"/>
      <c r="GZ339" s="644"/>
      <c r="HA339" s="644"/>
    </row>
    <row r="340" spans="1:209">
      <c r="A340" s="638"/>
      <c r="B340" s="95"/>
      <c r="C340" s="95"/>
      <c r="D340" s="95"/>
      <c r="E340" s="650"/>
      <c r="F340" s="95"/>
      <c r="G340" s="98"/>
      <c r="H340" s="99"/>
      <c r="I340" s="95"/>
      <c r="J340" s="95"/>
      <c r="K340" s="95"/>
      <c r="L340" s="95"/>
      <c r="M340" s="95"/>
      <c r="N340" s="95"/>
      <c r="O340" s="95"/>
      <c r="P340" s="95"/>
      <c r="Q340" s="95"/>
      <c r="R340" s="98"/>
      <c r="S340" s="101"/>
      <c r="T340" s="644"/>
      <c r="U340" s="101"/>
      <c r="V340" s="647"/>
      <c r="W340" s="643"/>
      <c r="X340" s="644"/>
      <c r="Y340" s="101"/>
      <c r="Z340" s="644"/>
      <c r="AA340" s="101"/>
      <c r="AB340" s="644"/>
      <c r="AC340" s="101"/>
      <c r="AD340" s="646"/>
      <c r="AE340" s="271"/>
      <c r="AF340" s="646"/>
      <c r="AG340" s="646"/>
      <c r="AH340" s="646"/>
      <c r="AI340" s="646"/>
      <c r="AJ340" s="646"/>
      <c r="AK340" s="646"/>
      <c r="AL340" s="646"/>
      <c r="AM340" s="271"/>
      <c r="AN340" s="646"/>
      <c r="AO340" s="646"/>
      <c r="AP340" s="646"/>
      <c r="AQ340" s="271"/>
      <c r="AR340" s="646"/>
      <c r="AS340" s="270"/>
      <c r="AT340" s="646"/>
      <c r="AU340" s="646"/>
      <c r="AV340" s="646"/>
      <c r="AW340" s="270"/>
      <c r="AX340" s="646"/>
      <c r="AY340" s="270"/>
      <c r="AZ340" s="646"/>
      <c r="BA340" s="646"/>
      <c r="BB340" s="644"/>
      <c r="BC340" s="644"/>
      <c r="BD340" s="644"/>
      <c r="BE340" s="644"/>
      <c r="BF340" s="644"/>
      <c r="BG340" s="644"/>
      <c r="BH340" s="644"/>
      <c r="BI340" s="644"/>
      <c r="BJ340" s="644"/>
      <c r="BK340" s="644"/>
      <c r="BL340" s="644"/>
      <c r="BM340" s="95"/>
      <c r="BN340" s="644"/>
      <c r="BO340" s="95"/>
      <c r="BP340" s="644"/>
      <c r="BQ340" s="644"/>
      <c r="BR340" s="644"/>
      <c r="BS340" s="644"/>
      <c r="BT340" s="644"/>
      <c r="BU340" s="644"/>
      <c r="BV340" s="644"/>
      <c r="BW340" s="644"/>
      <c r="BX340" s="644"/>
      <c r="BY340" s="644"/>
      <c r="BZ340" s="644"/>
      <c r="CA340" s="644"/>
      <c r="CB340" s="644"/>
      <c r="CC340" s="644"/>
      <c r="CD340" s="644"/>
      <c r="CE340" s="644"/>
      <c r="CF340" s="644"/>
      <c r="CG340" s="644"/>
      <c r="CH340" s="644"/>
      <c r="CI340" s="644"/>
      <c r="CJ340" s="644"/>
      <c r="CK340" s="644"/>
      <c r="CL340" s="644"/>
      <c r="CM340" s="95"/>
      <c r="CN340" s="644"/>
      <c r="CO340" s="644"/>
      <c r="CP340" s="95"/>
      <c r="CQ340" s="98"/>
      <c r="CR340" s="95"/>
      <c r="CS340" s="95"/>
      <c r="CT340" s="95"/>
      <c r="CU340" s="108"/>
      <c r="CV340" s="109"/>
      <c r="CW340" s="644"/>
      <c r="CX340" s="496"/>
      <c r="CY340" s="637"/>
      <c r="CZ340" s="644"/>
      <c r="DA340" s="644"/>
      <c r="DB340" s="644"/>
      <c r="DC340" s="496"/>
      <c r="DD340" s="644"/>
      <c r="DE340" s="101"/>
      <c r="DF340" s="644"/>
      <c r="DG340" s="101"/>
      <c r="DH340" s="644"/>
      <c r="DI340" s="644"/>
      <c r="DJ340" s="644"/>
      <c r="DK340" s="644"/>
      <c r="DL340" s="644"/>
      <c r="DM340" s="101"/>
      <c r="DN340" s="644"/>
      <c r="DO340" s="644"/>
      <c r="DP340" s="644"/>
      <c r="DQ340" s="644"/>
      <c r="DR340" s="644"/>
      <c r="DS340" s="644"/>
      <c r="DT340" s="644"/>
      <c r="DU340" s="644"/>
      <c r="DV340" s="644"/>
      <c r="DW340" s="101"/>
      <c r="DX340" s="646"/>
      <c r="DY340" s="646"/>
      <c r="DZ340" s="646"/>
      <c r="EA340" s="646"/>
      <c r="EB340" s="646"/>
      <c r="EC340" s="646"/>
      <c r="ED340" s="646"/>
      <c r="EE340" s="646"/>
      <c r="EF340" s="646"/>
      <c r="EG340" s="646"/>
      <c r="EH340" s="646"/>
      <c r="EI340" s="646"/>
      <c r="EJ340" s="646"/>
      <c r="EK340" s="271"/>
      <c r="EL340" s="644"/>
      <c r="EM340" s="634"/>
      <c r="EN340" s="647"/>
      <c r="EO340" s="648"/>
      <c r="EP340" s="647"/>
      <c r="EQ340" s="647"/>
      <c r="ER340" s="647"/>
      <c r="ES340" s="139"/>
      <c r="EV340" s="647"/>
      <c r="EW340" s="647"/>
      <c r="EX340" s="647"/>
      <c r="EY340" s="647"/>
      <c r="EZ340" s="647"/>
      <c r="FA340" s="646"/>
      <c r="FB340" s="646"/>
      <c r="FC340" s="646"/>
      <c r="FD340" s="646"/>
      <c r="FE340" s="646"/>
      <c r="FF340" s="646"/>
      <c r="FG340" s="647"/>
      <c r="FH340" s="647"/>
      <c r="FI340" s="647"/>
      <c r="FJ340" s="647"/>
      <c r="FK340" s="647"/>
      <c r="FL340" s="647"/>
      <c r="FM340" s="647"/>
      <c r="FN340" s="647"/>
      <c r="FO340" s="647"/>
      <c r="FP340" s="647"/>
      <c r="FQ340" s="647"/>
      <c r="FR340" s="647"/>
      <c r="FS340" s="101"/>
      <c r="FT340" s="95"/>
      <c r="FU340" s="651"/>
      <c r="FV340" s="101"/>
      <c r="FW340" s="101"/>
      <c r="FX340" s="634"/>
      <c r="FY340" s="634"/>
      <c r="FZ340" s="634"/>
      <c r="GA340" s="634"/>
      <c r="GB340" s="634"/>
      <c r="GC340" s="634"/>
      <c r="GD340" s="634"/>
      <c r="GE340" s="634"/>
      <c r="GF340" s="634"/>
      <c r="GG340" s="634"/>
      <c r="GH340" s="634"/>
      <c r="GI340" s="634"/>
      <c r="GJ340" s="634"/>
      <c r="GK340" s="634"/>
      <c r="GL340" s="101"/>
      <c r="GM340" s="101"/>
      <c r="GN340" s="101"/>
      <c r="GO340" s="643"/>
      <c r="GP340" s="644"/>
      <c r="GQ340" s="643"/>
      <c r="GR340" s="644"/>
      <c r="GS340" s="643"/>
      <c r="GT340" s="644"/>
      <c r="GU340" s="644"/>
      <c r="GV340" s="644"/>
      <c r="GW340" s="644"/>
      <c r="GX340" s="644"/>
      <c r="GY340" s="644"/>
      <c r="GZ340" s="644"/>
      <c r="HA340" s="644"/>
    </row>
    <row r="341" spans="1:209">
      <c r="A341" s="638"/>
      <c r="B341" s="95"/>
      <c r="C341" s="95"/>
      <c r="D341" s="95"/>
      <c r="E341" s="650"/>
      <c r="F341" s="95"/>
      <c r="G341" s="98"/>
      <c r="H341" s="99"/>
      <c r="I341" s="95"/>
      <c r="J341" s="95"/>
      <c r="K341" s="95"/>
      <c r="L341" s="95"/>
      <c r="M341" s="95"/>
      <c r="N341" s="95"/>
      <c r="O341" s="95"/>
      <c r="P341" s="95"/>
      <c r="Q341" s="95"/>
      <c r="R341" s="98"/>
      <c r="S341" s="101"/>
      <c r="T341" s="644"/>
      <c r="U341" s="101"/>
      <c r="V341" s="647"/>
      <c r="W341" s="643"/>
      <c r="X341" s="644"/>
      <c r="Y341" s="101"/>
      <c r="Z341" s="644"/>
      <c r="AA341" s="101"/>
      <c r="AB341" s="644"/>
      <c r="AC341" s="101"/>
      <c r="AD341" s="646"/>
      <c r="AE341" s="271"/>
      <c r="AF341" s="646"/>
      <c r="AG341" s="646"/>
      <c r="AH341" s="646"/>
      <c r="AI341" s="646"/>
      <c r="AJ341" s="646"/>
      <c r="AK341" s="646"/>
      <c r="AL341" s="646"/>
      <c r="AM341" s="271"/>
      <c r="AN341" s="646"/>
      <c r="AO341" s="646"/>
      <c r="AP341" s="646"/>
      <c r="AQ341" s="271"/>
      <c r="AR341" s="646"/>
      <c r="AS341" s="270"/>
      <c r="AT341" s="646"/>
      <c r="AU341" s="646"/>
      <c r="AV341" s="646"/>
      <c r="AW341" s="270"/>
      <c r="AX341" s="646"/>
      <c r="AY341" s="270"/>
      <c r="AZ341" s="646"/>
      <c r="BA341" s="646"/>
      <c r="BB341" s="644"/>
      <c r="BC341" s="644"/>
      <c r="BD341" s="644"/>
      <c r="BE341" s="644"/>
      <c r="BF341" s="644"/>
      <c r="BG341" s="644"/>
      <c r="BH341" s="644"/>
      <c r="BI341" s="644"/>
      <c r="BJ341" s="644"/>
      <c r="BK341" s="644"/>
      <c r="BL341" s="644"/>
      <c r="BM341" s="95"/>
      <c r="BN341" s="644"/>
      <c r="BO341" s="95"/>
      <c r="BP341" s="644"/>
      <c r="BQ341" s="644"/>
      <c r="BR341" s="644"/>
      <c r="BS341" s="644"/>
      <c r="BT341" s="644"/>
      <c r="BU341" s="644"/>
      <c r="BV341" s="644"/>
      <c r="BW341" s="644"/>
      <c r="BX341" s="644"/>
      <c r="BY341" s="644"/>
      <c r="BZ341" s="644"/>
      <c r="CA341" s="644"/>
      <c r="CB341" s="644"/>
      <c r="CC341" s="644"/>
      <c r="CD341" s="644"/>
      <c r="CE341" s="644"/>
      <c r="CF341" s="644"/>
      <c r="CG341" s="644"/>
      <c r="CH341" s="644"/>
      <c r="CI341" s="644"/>
      <c r="CJ341" s="644"/>
      <c r="CK341" s="644"/>
      <c r="CL341" s="644"/>
      <c r="CM341" s="95"/>
      <c r="CN341" s="644"/>
      <c r="CO341" s="644"/>
      <c r="CP341" s="95"/>
      <c r="CQ341" s="98"/>
      <c r="CR341" s="95"/>
      <c r="CS341" s="95"/>
      <c r="CT341" s="95"/>
      <c r="CU341" s="108"/>
      <c r="CV341" s="109"/>
      <c r="CW341" s="644"/>
      <c r="CX341" s="496"/>
      <c r="CY341" s="637"/>
      <c r="CZ341" s="644"/>
      <c r="DA341" s="644"/>
      <c r="DB341" s="644"/>
      <c r="DC341" s="496"/>
      <c r="DD341" s="644"/>
      <c r="DE341" s="101"/>
      <c r="DF341" s="644"/>
      <c r="DG341" s="101"/>
      <c r="DH341" s="644"/>
      <c r="DI341" s="644"/>
      <c r="DJ341" s="644"/>
      <c r="DK341" s="644"/>
      <c r="DL341" s="644"/>
      <c r="DM341" s="101"/>
      <c r="DN341" s="644"/>
      <c r="DO341" s="644"/>
      <c r="DP341" s="644"/>
      <c r="DQ341" s="644"/>
      <c r="DR341" s="644"/>
      <c r="DS341" s="644"/>
      <c r="DT341" s="644"/>
      <c r="DU341" s="644"/>
      <c r="DV341" s="644"/>
      <c r="DW341" s="101"/>
      <c r="DX341" s="646"/>
      <c r="DY341" s="646"/>
      <c r="DZ341" s="646"/>
      <c r="EA341" s="646"/>
      <c r="EB341" s="646"/>
      <c r="EC341" s="646"/>
      <c r="ED341" s="646"/>
      <c r="EE341" s="646"/>
      <c r="EF341" s="646"/>
      <c r="EG341" s="646"/>
      <c r="EH341" s="646"/>
      <c r="EI341" s="646"/>
      <c r="EJ341" s="646"/>
      <c r="EK341" s="271"/>
      <c r="EL341" s="644"/>
      <c r="EM341" s="634"/>
      <c r="EN341" s="647"/>
      <c r="EO341" s="648"/>
      <c r="EP341" s="647"/>
      <c r="EQ341" s="647"/>
      <c r="ER341" s="647"/>
      <c r="ES341" s="139"/>
      <c r="EV341" s="647"/>
      <c r="EW341" s="647"/>
      <c r="EX341" s="647"/>
      <c r="EY341" s="647"/>
      <c r="EZ341" s="647"/>
      <c r="FA341" s="646"/>
      <c r="FB341" s="646"/>
      <c r="FC341" s="646"/>
      <c r="FD341" s="646"/>
      <c r="FE341" s="646"/>
      <c r="FF341" s="646"/>
      <c r="FG341" s="647"/>
      <c r="FH341" s="647"/>
      <c r="FI341" s="647"/>
      <c r="FJ341" s="647"/>
      <c r="FK341" s="647"/>
      <c r="FL341" s="647"/>
      <c r="FM341" s="647"/>
      <c r="FN341" s="647"/>
      <c r="FO341" s="647"/>
      <c r="FP341" s="647"/>
      <c r="FQ341" s="647"/>
      <c r="FR341" s="647"/>
      <c r="FS341" s="101"/>
      <c r="FT341" s="95"/>
      <c r="FU341" s="651"/>
      <c r="FV341" s="101"/>
      <c r="FW341" s="101"/>
      <c r="FX341" s="634"/>
      <c r="FY341" s="634"/>
      <c r="FZ341" s="634"/>
      <c r="GA341" s="634"/>
      <c r="GB341" s="634"/>
      <c r="GC341" s="634"/>
      <c r="GD341" s="634"/>
      <c r="GE341" s="634"/>
      <c r="GF341" s="634"/>
      <c r="GG341" s="634"/>
      <c r="GH341" s="634"/>
      <c r="GI341" s="634"/>
      <c r="GJ341" s="634"/>
      <c r="GK341" s="634"/>
      <c r="GL341" s="101"/>
      <c r="GM341" s="101"/>
      <c r="GN341" s="101"/>
      <c r="GO341" s="643"/>
      <c r="GP341" s="644"/>
      <c r="GQ341" s="643"/>
      <c r="GR341" s="644"/>
      <c r="GS341" s="643"/>
      <c r="GT341" s="644"/>
      <c r="GU341" s="644"/>
      <c r="GV341" s="644"/>
      <c r="GW341" s="644"/>
      <c r="GX341" s="644"/>
      <c r="GY341" s="644"/>
      <c r="GZ341" s="644"/>
      <c r="HA341" s="644"/>
    </row>
    <row r="342" spans="1:209">
      <c r="A342" s="638"/>
      <c r="B342" s="95"/>
      <c r="C342" s="95"/>
      <c r="D342" s="95"/>
      <c r="E342" s="650"/>
      <c r="F342" s="95"/>
      <c r="G342" s="98"/>
      <c r="H342" s="99"/>
      <c r="I342" s="95"/>
      <c r="J342" s="95"/>
      <c r="K342" s="95"/>
      <c r="L342" s="95"/>
      <c r="M342" s="95"/>
      <c r="N342" s="95"/>
      <c r="O342" s="95"/>
      <c r="P342" s="95"/>
      <c r="Q342" s="95"/>
      <c r="R342" s="98"/>
      <c r="S342" s="101"/>
      <c r="T342" s="644"/>
      <c r="U342" s="101"/>
      <c r="V342" s="647"/>
      <c r="W342" s="643"/>
      <c r="X342" s="644"/>
      <c r="Y342" s="101"/>
      <c r="Z342" s="644"/>
      <c r="AA342" s="101"/>
      <c r="AB342" s="644"/>
      <c r="AC342" s="101"/>
      <c r="AD342" s="646"/>
      <c r="AE342" s="271"/>
      <c r="AF342" s="646"/>
      <c r="AG342" s="646"/>
      <c r="AH342" s="646"/>
      <c r="AI342" s="646"/>
      <c r="AJ342" s="646"/>
      <c r="AK342" s="646"/>
      <c r="AL342" s="646"/>
      <c r="AM342" s="271"/>
      <c r="AN342" s="646"/>
      <c r="AO342" s="646"/>
      <c r="AP342" s="646"/>
      <c r="AQ342" s="271"/>
      <c r="AR342" s="646"/>
      <c r="AS342" s="270"/>
      <c r="AT342" s="646"/>
      <c r="AU342" s="646"/>
      <c r="AV342" s="646"/>
      <c r="AW342" s="270"/>
      <c r="AX342" s="646"/>
      <c r="AY342" s="270"/>
      <c r="AZ342" s="646"/>
      <c r="BA342" s="646"/>
      <c r="BB342" s="644"/>
      <c r="BC342" s="644"/>
      <c r="BD342" s="644"/>
      <c r="BE342" s="644"/>
      <c r="BF342" s="644"/>
      <c r="BG342" s="644"/>
      <c r="BH342" s="644"/>
      <c r="BI342" s="644"/>
      <c r="BJ342" s="644"/>
      <c r="BK342" s="644"/>
      <c r="BL342" s="644"/>
      <c r="BM342" s="95"/>
      <c r="BN342" s="644"/>
      <c r="BO342" s="95"/>
      <c r="BP342" s="644"/>
      <c r="BQ342" s="644"/>
      <c r="BR342" s="644"/>
      <c r="BS342" s="644"/>
      <c r="BT342" s="644"/>
      <c r="BU342" s="644"/>
      <c r="BV342" s="644"/>
      <c r="BW342" s="644"/>
      <c r="BX342" s="644"/>
      <c r="BY342" s="644"/>
      <c r="BZ342" s="644"/>
      <c r="CA342" s="644"/>
      <c r="CB342" s="644"/>
      <c r="CC342" s="644"/>
      <c r="CD342" s="644"/>
      <c r="CE342" s="644"/>
      <c r="CF342" s="644"/>
      <c r="CG342" s="644"/>
      <c r="CH342" s="644"/>
      <c r="CI342" s="644"/>
      <c r="CJ342" s="644"/>
      <c r="CK342" s="644"/>
      <c r="CL342" s="644"/>
      <c r="CM342" s="95"/>
      <c r="CN342" s="644"/>
      <c r="CO342" s="644"/>
      <c r="CP342" s="95"/>
      <c r="CQ342" s="98"/>
      <c r="CR342" s="95"/>
      <c r="CS342" s="95"/>
      <c r="CT342" s="95"/>
      <c r="CU342" s="108"/>
      <c r="CV342" s="109"/>
      <c r="CW342" s="644"/>
      <c r="CX342" s="496"/>
      <c r="CY342" s="637"/>
      <c r="CZ342" s="644"/>
      <c r="DA342" s="644"/>
      <c r="DB342" s="644"/>
      <c r="DC342" s="496"/>
      <c r="DD342" s="644"/>
      <c r="DE342" s="101"/>
      <c r="DF342" s="644"/>
      <c r="DG342" s="101"/>
      <c r="DH342" s="644"/>
      <c r="DI342" s="644"/>
      <c r="DJ342" s="644"/>
      <c r="DK342" s="644"/>
      <c r="DL342" s="644"/>
      <c r="DM342" s="101"/>
      <c r="DN342" s="644"/>
      <c r="DO342" s="644"/>
      <c r="DP342" s="644"/>
      <c r="DQ342" s="644"/>
      <c r="DR342" s="644"/>
      <c r="DS342" s="644"/>
      <c r="DT342" s="644"/>
      <c r="DU342" s="644"/>
      <c r="DV342" s="644"/>
      <c r="DW342" s="101"/>
      <c r="DX342" s="646"/>
      <c r="DY342" s="646"/>
      <c r="DZ342" s="646"/>
      <c r="EA342" s="646"/>
      <c r="EB342" s="646"/>
      <c r="EC342" s="646"/>
      <c r="ED342" s="646"/>
      <c r="EE342" s="646"/>
      <c r="EF342" s="646"/>
      <c r="EG342" s="646"/>
      <c r="EH342" s="646"/>
      <c r="EI342" s="646"/>
      <c r="EJ342" s="646"/>
      <c r="EK342" s="271"/>
      <c r="EL342" s="644"/>
      <c r="EM342" s="634"/>
      <c r="EN342" s="647"/>
      <c r="EO342" s="648"/>
      <c r="EP342" s="647"/>
      <c r="EQ342" s="647"/>
      <c r="ER342" s="647"/>
      <c r="ES342" s="139"/>
      <c r="EV342" s="647"/>
      <c r="EW342" s="647"/>
      <c r="EX342" s="647"/>
      <c r="EY342" s="647"/>
      <c r="EZ342" s="647"/>
      <c r="FA342" s="646"/>
      <c r="FB342" s="646"/>
      <c r="FC342" s="646"/>
      <c r="FD342" s="646"/>
      <c r="FE342" s="646"/>
      <c r="FF342" s="646"/>
      <c r="FG342" s="647"/>
      <c r="FH342" s="647"/>
      <c r="FI342" s="647"/>
      <c r="FJ342" s="647"/>
      <c r="FK342" s="647"/>
      <c r="FL342" s="647"/>
      <c r="FM342" s="647"/>
      <c r="FN342" s="647"/>
      <c r="FO342" s="647"/>
      <c r="FP342" s="647"/>
      <c r="FQ342" s="647"/>
      <c r="FR342" s="647"/>
      <c r="FS342" s="101"/>
      <c r="FT342" s="95"/>
      <c r="FU342" s="651"/>
      <c r="FV342" s="101"/>
      <c r="FW342" s="101"/>
      <c r="FX342" s="634"/>
      <c r="FY342" s="634"/>
      <c r="FZ342" s="634"/>
      <c r="GA342" s="634"/>
      <c r="GB342" s="634"/>
      <c r="GC342" s="634"/>
      <c r="GD342" s="634"/>
      <c r="GE342" s="634"/>
      <c r="GF342" s="634"/>
      <c r="GG342" s="634"/>
      <c r="GH342" s="634"/>
      <c r="GI342" s="634"/>
      <c r="GJ342" s="634"/>
      <c r="GK342" s="634"/>
      <c r="GL342" s="101"/>
      <c r="GM342" s="101"/>
      <c r="GN342" s="101"/>
      <c r="GO342" s="643"/>
      <c r="GP342" s="644"/>
      <c r="GQ342" s="643"/>
      <c r="GR342" s="644"/>
      <c r="GS342" s="643"/>
      <c r="GT342" s="644"/>
      <c r="GU342" s="644"/>
      <c r="GV342" s="644"/>
      <c r="GW342" s="644"/>
      <c r="GX342" s="644"/>
      <c r="GY342" s="644"/>
      <c r="GZ342" s="644"/>
      <c r="HA342" s="644"/>
    </row>
    <row r="343" spans="1:209">
      <c r="A343" s="638"/>
      <c r="B343" s="95"/>
      <c r="C343" s="95"/>
      <c r="D343" s="95"/>
      <c r="E343" s="650"/>
      <c r="F343" s="95"/>
      <c r="G343" s="98"/>
      <c r="H343" s="99"/>
      <c r="I343" s="95"/>
      <c r="J343" s="95"/>
      <c r="K343" s="95"/>
      <c r="L343" s="95"/>
      <c r="M343" s="95"/>
      <c r="N343" s="95"/>
      <c r="O343" s="95"/>
      <c r="P343" s="95"/>
      <c r="Q343" s="95"/>
      <c r="R343" s="98"/>
      <c r="S343" s="101"/>
      <c r="T343" s="644"/>
      <c r="U343" s="101"/>
      <c r="V343" s="647"/>
      <c r="W343" s="643"/>
      <c r="X343" s="644"/>
      <c r="Y343" s="101"/>
      <c r="Z343" s="644"/>
      <c r="AA343" s="101"/>
      <c r="AB343" s="644"/>
      <c r="AC343" s="101"/>
      <c r="AD343" s="646"/>
      <c r="AE343" s="271"/>
      <c r="AF343" s="646"/>
      <c r="AG343" s="646"/>
      <c r="AH343" s="646"/>
      <c r="AI343" s="646"/>
      <c r="AJ343" s="646"/>
      <c r="AK343" s="646"/>
      <c r="AL343" s="646"/>
      <c r="AM343" s="271"/>
      <c r="AN343" s="646"/>
      <c r="AO343" s="646"/>
      <c r="AP343" s="646"/>
      <c r="AQ343" s="271"/>
      <c r="AR343" s="646"/>
      <c r="AS343" s="270"/>
      <c r="AT343" s="646"/>
      <c r="AU343" s="646"/>
      <c r="AV343" s="646"/>
      <c r="AW343" s="270"/>
      <c r="AX343" s="646"/>
      <c r="AY343" s="270"/>
      <c r="AZ343" s="646"/>
      <c r="BA343" s="646"/>
      <c r="BB343" s="644"/>
      <c r="BC343" s="644"/>
      <c r="BD343" s="644"/>
      <c r="BE343" s="644"/>
      <c r="BF343" s="644"/>
      <c r="BG343" s="644"/>
      <c r="BH343" s="644"/>
      <c r="BI343" s="644"/>
      <c r="BJ343" s="644"/>
      <c r="BK343" s="644"/>
      <c r="BL343" s="644"/>
      <c r="BM343" s="95"/>
      <c r="BN343" s="644"/>
      <c r="BO343" s="95"/>
      <c r="BP343" s="644"/>
      <c r="BQ343" s="644"/>
      <c r="BR343" s="644"/>
      <c r="BS343" s="644"/>
      <c r="BT343" s="644"/>
      <c r="BU343" s="644"/>
      <c r="BV343" s="644"/>
      <c r="BW343" s="644"/>
      <c r="BX343" s="644"/>
      <c r="BY343" s="644"/>
      <c r="BZ343" s="644"/>
      <c r="CA343" s="644"/>
      <c r="CB343" s="644"/>
      <c r="CC343" s="644"/>
      <c r="CD343" s="644"/>
      <c r="CE343" s="644"/>
      <c r="CF343" s="644"/>
      <c r="CG343" s="644"/>
      <c r="CH343" s="644"/>
      <c r="CI343" s="644"/>
      <c r="CJ343" s="644"/>
      <c r="CK343" s="644"/>
      <c r="CL343" s="644"/>
      <c r="CM343" s="95"/>
      <c r="CN343" s="644"/>
      <c r="CO343" s="644"/>
      <c r="CP343" s="95"/>
      <c r="CQ343" s="98"/>
      <c r="CR343" s="95"/>
      <c r="CS343" s="95"/>
      <c r="CT343" s="95"/>
      <c r="CU343" s="108"/>
      <c r="CV343" s="109"/>
      <c r="CW343" s="644"/>
      <c r="CX343" s="496"/>
      <c r="CY343" s="637"/>
      <c r="CZ343" s="644"/>
      <c r="DA343" s="644"/>
      <c r="DB343" s="644"/>
      <c r="DC343" s="496"/>
      <c r="DD343" s="644"/>
      <c r="DE343" s="101"/>
      <c r="DF343" s="644"/>
      <c r="DG343" s="101"/>
      <c r="DH343" s="644"/>
      <c r="DI343" s="644"/>
      <c r="DJ343" s="644"/>
      <c r="DK343" s="644"/>
      <c r="DL343" s="644"/>
      <c r="DM343" s="101"/>
      <c r="DN343" s="644"/>
      <c r="DO343" s="644"/>
      <c r="DP343" s="644"/>
      <c r="DQ343" s="644"/>
      <c r="DR343" s="644"/>
      <c r="DS343" s="644"/>
      <c r="DT343" s="644"/>
      <c r="DU343" s="644"/>
      <c r="DV343" s="644"/>
      <c r="DW343" s="101"/>
      <c r="DX343" s="646"/>
      <c r="DY343" s="646"/>
      <c r="DZ343" s="646"/>
      <c r="EA343" s="646"/>
      <c r="EB343" s="646"/>
      <c r="EC343" s="646"/>
      <c r="ED343" s="646"/>
      <c r="EE343" s="646"/>
      <c r="EF343" s="646"/>
      <c r="EG343" s="646"/>
      <c r="EH343" s="646"/>
      <c r="EI343" s="646"/>
      <c r="EJ343" s="646"/>
      <c r="EK343" s="271"/>
      <c r="EL343" s="644"/>
      <c r="EM343" s="634"/>
      <c r="EN343" s="647"/>
      <c r="EO343" s="648"/>
      <c r="EP343" s="647"/>
      <c r="EQ343" s="647"/>
      <c r="ER343" s="647"/>
      <c r="ES343" s="139"/>
      <c r="EV343" s="647"/>
      <c r="EW343" s="647"/>
      <c r="EX343" s="647"/>
      <c r="EY343" s="647"/>
      <c r="EZ343" s="647"/>
      <c r="FA343" s="646"/>
      <c r="FB343" s="646"/>
      <c r="FC343" s="646"/>
      <c r="FD343" s="646"/>
      <c r="FE343" s="646"/>
      <c r="FF343" s="646"/>
      <c r="FG343" s="647"/>
      <c r="FH343" s="647"/>
      <c r="FI343" s="647"/>
      <c r="FJ343" s="647"/>
      <c r="FK343" s="647"/>
      <c r="FL343" s="647"/>
      <c r="FM343" s="647"/>
      <c r="FN343" s="647"/>
      <c r="FO343" s="647"/>
      <c r="FP343" s="647"/>
      <c r="FQ343" s="647"/>
      <c r="FR343" s="647"/>
      <c r="FS343" s="101"/>
      <c r="FT343" s="95"/>
      <c r="FU343" s="651"/>
      <c r="FV343" s="101"/>
      <c r="FW343" s="101"/>
      <c r="FX343" s="634"/>
      <c r="FY343" s="634"/>
      <c r="FZ343" s="634"/>
      <c r="GA343" s="634"/>
      <c r="GB343" s="634"/>
      <c r="GC343" s="634"/>
      <c r="GD343" s="634"/>
      <c r="GE343" s="634"/>
      <c r="GF343" s="634"/>
      <c r="GG343" s="634"/>
      <c r="GH343" s="634"/>
      <c r="GI343" s="634"/>
      <c r="GJ343" s="634"/>
      <c r="GK343" s="634"/>
      <c r="GL343" s="101"/>
      <c r="GM343" s="101"/>
      <c r="GN343" s="101"/>
      <c r="GO343" s="643"/>
      <c r="GP343" s="644"/>
      <c r="GQ343" s="643"/>
      <c r="GR343" s="644"/>
      <c r="GS343" s="643"/>
      <c r="GT343" s="644"/>
      <c r="GU343" s="644"/>
      <c r="GV343" s="644"/>
      <c r="GW343" s="644"/>
      <c r="GX343" s="644"/>
      <c r="GY343" s="644"/>
      <c r="GZ343" s="644"/>
      <c r="HA343" s="644"/>
    </row>
    <row r="344" spans="1:209">
      <c r="A344" s="638"/>
      <c r="B344" s="95"/>
      <c r="C344" s="95"/>
      <c r="D344" s="95"/>
      <c r="E344" s="650"/>
      <c r="F344" s="95"/>
      <c r="G344" s="98"/>
      <c r="H344" s="99"/>
      <c r="I344" s="95"/>
      <c r="J344" s="95"/>
      <c r="K344" s="95"/>
      <c r="L344" s="95"/>
      <c r="M344" s="95"/>
      <c r="N344" s="95"/>
      <c r="O344" s="95"/>
      <c r="P344" s="95"/>
      <c r="Q344" s="95"/>
      <c r="R344" s="98"/>
      <c r="S344" s="101"/>
      <c r="T344" s="644"/>
      <c r="U344" s="101"/>
      <c r="V344" s="647"/>
      <c r="W344" s="643"/>
      <c r="X344" s="644"/>
      <c r="Y344" s="101"/>
      <c r="Z344" s="644"/>
      <c r="AA344" s="101"/>
      <c r="AB344" s="644"/>
      <c r="AC344" s="101"/>
      <c r="AD344" s="646"/>
      <c r="AE344" s="271"/>
      <c r="AF344" s="646"/>
      <c r="AG344" s="646"/>
      <c r="AH344" s="646"/>
      <c r="AI344" s="646"/>
      <c r="AJ344" s="646"/>
      <c r="AK344" s="646"/>
      <c r="AL344" s="646"/>
      <c r="AM344" s="271"/>
      <c r="AN344" s="646"/>
      <c r="AO344" s="646"/>
      <c r="AP344" s="646"/>
      <c r="AQ344" s="271"/>
      <c r="AR344" s="646"/>
      <c r="AS344" s="270"/>
      <c r="AT344" s="646"/>
      <c r="AU344" s="646"/>
      <c r="AV344" s="646"/>
      <c r="AW344" s="270"/>
      <c r="AX344" s="646"/>
      <c r="AY344" s="270"/>
      <c r="AZ344" s="646"/>
      <c r="BA344" s="646"/>
      <c r="BB344" s="644"/>
      <c r="BC344" s="644"/>
      <c r="BD344" s="644"/>
      <c r="BE344" s="644"/>
      <c r="BF344" s="644"/>
      <c r="BG344" s="644"/>
      <c r="BH344" s="644"/>
      <c r="BI344" s="644"/>
      <c r="BJ344" s="644"/>
      <c r="BK344" s="644"/>
      <c r="BL344" s="644"/>
      <c r="BM344" s="95"/>
      <c r="BN344" s="644"/>
      <c r="BO344" s="95"/>
      <c r="BP344" s="644"/>
      <c r="BQ344" s="644"/>
      <c r="BR344" s="644"/>
      <c r="BS344" s="644"/>
      <c r="BT344" s="644"/>
      <c r="BU344" s="644"/>
      <c r="BV344" s="644"/>
      <c r="BW344" s="644"/>
      <c r="BX344" s="644"/>
      <c r="BY344" s="644"/>
      <c r="BZ344" s="644"/>
      <c r="CA344" s="644"/>
      <c r="CB344" s="644"/>
      <c r="CC344" s="644"/>
      <c r="CD344" s="644"/>
      <c r="CE344" s="644"/>
      <c r="CF344" s="644"/>
      <c r="CG344" s="644"/>
      <c r="CH344" s="644"/>
      <c r="CI344" s="644"/>
      <c r="CJ344" s="644"/>
      <c r="CK344" s="644"/>
      <c r="CL344" s="644"/>
      <c r="CM344" s="95"/>
      <c r="CN344" s="644"/>
      <c r="CO344" s="644"/>
      <c r="CP344" s="95"/>
      <c r="CQ344" s="98"/>
      <c r="CR344" s="95"/>
      <c r="CS344" s="95"/>
      <c r="CT344" s="95"/>
      <c r="CU344" s="108"/>
      <c r="CV344" s="109"/>
      <c r="CW344" s="644"/>
      <c r="CX344" s="496"/>
      <c r="CY344" s="637"/>
      <c r="CZ344" s="644"/>
      <c r="DA344" s="644"/>
      <c r="DB344" s="644"/>
      <c r="DC344" s="496"/>
      <c r="DD344" s="644"/>
      <c r="DE344" s="101"/>
      <c r="DF344" s="644"/>
      <c r="DG344" s="101"/>
      <c r="DH344" s="644"/>
      <c r="DI344" s="644"/>
      <c r="DJ344" s="644"/>
      <c r="DK344" s="644"/>
      <c r="DL344" s="644"/>
      <c r="DM344" s="101"/>
      <c r="DN344" s="644"/>
      <c r="DO344" s="644"/>
      <c r="DP344" s="644"/>
      <c r="DQ344" s="644"/>
      <c r="DR344" s="644"/>
      <c r="DS344" s="644"/>
      <c r="DT344" s="644"/>
      <c r="DU344" s="644"/>
      <c r="DV344" s="644"/>
      <c r="DW344" s="101"/>
      <c r="DX344" s="646"/>
      <c r="DY344" s="646"/>
      <c r="DZ344" s="646"/>
      <c r="EA344" s="646"/>
      <c r="EB344" s="646"/>
      <c r="EC344" s="646"/>
      <c r="ED344" s="646"/>
      <c r="EE344" s="646"/>
      <c r="EF344" s="646"/>
      <c r="EG344" s="646"/>
      <c r="EH344" s="646"/>
      <c r="EI344" s="646"/>
      <c r="EJ344" s="646"/>
      <c r="EK344" s="271"/>
      <c r="EL344" s="644"/>
      <c r="EM344" s="634"/>
      <c r="EN344" s="647"/>
      <c r="EO344" s="648"/>
      <c r="EP344" s="647"/>
      <c r="EQ344" s="647"/>
      <c r="ER344" s="647"/>
      <c r="ES344" s="139"/>
      <c r="EV344" s="647"/>
      <c r="EW344" s="647"/>
      <c r="EX344" s="647"/>
      <c r="EY344" s="647"/>
      <c r="EZ344" s="647"/>
      <c r="FA344" s="646"/>
      <c r="FB344" s="646"/>
      <c r="FC344" s="646"/>
      <c r="FD344" s="646"/>
      <c r="FE344" s="646"/>
      <c r="FF344" s="646"/>
      <c r="FG344" s="647"/>
      <c r="FH344" s="647"/>
      <c r="FI344" s="647"/>
      <c r="FJ344" s="647"/>
      <c r="FK344" s="647"/>
      <c r="FL344" s="647"/>
      <c r="FM344" s="647"/>
      <c r="FN344" s="647"/>
      <c r="FO344" s="647"/>
      <c r="FP344" s="647"/>
      <c r="FQ344" s="647"/>
      <c r="FR344" s="647"/>
      <c r="FS344" s="101"/>
      <c r="FT344" s="95"/>
      <c r="FU344" s="651"/>
      <c r="FV344" s="101"/>
      <c r="FW344" s="101"/>
      <c r="FX344" s="634"/>
      <c r="FY344" s="634"/>
      <c r="FZ344" s="634"/>
      <c r="GA344" s="634"/>
      <c r="GB344" s="634"/>
      <c r="GC344" s="634"/>
      <c r="GD344" s="634"/>
      <c r="GE344" s="634"/>
      <c r="GF344" s="634"/>
      <c r="GG344" s="634"/>
      <c r="GH344" s="634"/>
      <c r="GI344" s="634"/>
      <c r="GJ344" s="634"/>
      <c r="GK344" s="634"/>
      <c r="GL344" s="101"/>
      <c r="GM344" s="101"/>
      <c r="GN344" s="101"/>
      <c r="GO344" s="643"/>
      <c r="GP344" s="644"/>
      <c r="GQ344" s="643"/>
      <c r="GR344" s="644"/>
      <c r="GS344" s="643"/>
      <c r="GT344" s="644"/>
      <c r="GU344" s="644"/>
      <c r="GV344" s="644"/>
      <c r="GW344" s="644"/>
      <c r="GX344" s="644"/>
      <c r="GY344" s="644"/>
      <c r="GZ344" s="644"/>
      <c r="HA344" s="644"/>
    </row>
    <row r="345" spans="1:209">
      <c r="A345" s="638"/>
      <c r="B345" s="95"/>
      <c r="C345" s="95"/>
      <c r="D345" s="95"/>
      <c r="E345" s="650"/>
      <c r="F345" s="95"/>
      <c r="G345" s="98"/>
      <c r="H345" s="99"/>
      <c r="I345" s="95"/>
      <c r="J345" s="95"/>
      <c r="K345" s="95"/>
      <c r="L345" s="95"/>
      <c r="M345" s="95"/>
      <c r="N345" s="95"/>
      <c r="O345" s="95"/>
      <c r="P345" s="95"/>
      <c r="Q345" s="95"/>
      <c r="R345" s="98"/>
      <c r="S345" s="101"/>
      <c r="T345" s="644"/>
      <c r="U345" s="101"/>
      <c r="V345" s="647"/>
      <c r="W345" s="643"/>
      <c r="X345" s="644"/>
      <c r="Y345" s="101"/>
      <c r="Z345" s="644"/>
      <c r="AA345" s="101"/>
      <c r="AB345" s="644"/>
      <c r="AC345" s="101"/>
      <c r="AD345" s="646"/>
      <c r="AE345" s="271"/>
      <c r="AF345" s="646"/>
      <c r="AG345" s="646"/>
      <c r="AH345" s="646"/>
      <c r="AI345" s="646"/>
      <c r="AJ345" s="646"/>
      <c r="AK345" s="646"/>
      <c r="AL345" s="646"/>
      <c r="AM345" s="271"/>
      <c r="AN345" s="646"/>
      <c r="AO345" s="646"/>
      <c r="AP345" s="646"/>
      <c r="AQ345" s="271"/>
      <c r="AR345" s="646"/>
      <c r="AS345" s="270"/>
      <c r="AT345" s="646"/>
      <c r="AU345" s="646"/>
      <c r="AV345" s="646"/>
      <c r="AW345" s="270"/>
      <c r="AX345" s="646"/>
      <c r="AY345" s="270"/>
      <c r="AZ345" s="646"/>
      <c r="BA345" s="646"/>
      <c r="BB345" s="644"/>
      <c r="BC345" s="644"/>
      <c r="BD345" s="644"/>
      <c r="BE345" s="644"/>
      <c r="BF345" s="644"/>
      <c r="BG345" s="644"/>
      <c r="BH345" s="644"/>
      <c r="BI345" s="644"/>
      <c r="BJ345" s="644"/>
      <c r="BK345" s="644"/>
      <c r="BL345" s="644"/>
      <c r="BM345" s="95"/>
      <c r="BN345" s="644"/>
      <c r="BO345" s="95"/>
      <c r="BP345" s="644"/>
      <c r="BQ345" s="644"/>
      <c r="BR345" s="644"/>
      <c r="BS345" s="644"/>
      <c r="BT345" s="644"/>
      <c r="BU345" s="644"/>
      <c r="BV345" s="644"/>
      <c r="BW345" s="644"/>
      <c r="BX345" s="644"/>
      <c r="BY345" s="644"/>
      <c r="BZ345" s="644"/>
      <c r="CA345" s="644"/>
      <c r="CB345" s="644"/>
      <c r="CC345" s="644"/>
      <c r="CD345" s="644"/>
      <c r="CE345" s="644"/>
      <c r="CF345" s="644"/>
      <c r="CG345" s="644"/>
      <c r="CH345" s="644"/>
      <c r="CI345" s="644"/>
      <c r="CJ345" s="644"/>
      <c r="CK345" s="644"/>
      <c r="CL345" s="644"/>
      <c r="CM345" s="95"/>
      <c r="CN345" s="644"/>
      <c r="CO345" s="644"/>
      <c r="CP345" s="95"/>
      <c r="CQ345" s="98"/>
      <c r="CR345" s="95"/>
      <c r="CS345" s="95"/>
      <c r="CT345" s="95"/>
      <c r="CU345" s="108"/>
      <c r="CV345" s="109"/>
      <c r="CW345" s="644"/>
      <c r="CX345" s="496"/>
      <c r="CY345" s="637"/>
      <c r="CZ345" s="644"/>
      <c r="DA345" s="644"/>
      <c r="DB345" s="644"/>
      <c r="DC345" s="496"/>
      <c r="DD345" s="644"/>
      <c r="DE345" s="101"/>
      <c r="DF345" s="644"/>
      <c r="DG345" s="101"/>
      <c r="DH345" s="644"/>
      <c r="DI345" s="644"/>
      <c r="DJ345" s="644"/>
      <c r="DK345" s="644"/>
      <c r="DL345" s="644"/>
      <c r="DM345" s="101"/>
      <c r="DN345" s="644"/>
      <c r="DO345" s="644"/>
      <c r="DP345" s="644"/>
      <c r="DQ345" s="644"/>
      <c r="DR345" s="644"/>
      <c r="DS345" s="644"/>
      <c r="DT345" s="644"/>
      <c r="DU345" s="644"/>
      <c r="DV345" s="644"/>
      <c r="DW345" s="101"/>
      <c r="DX345" s="646"/>
      <c r="DY345" s="646"/>
      <c r="DZ345" s="646"/>
      <c r="EA345" s="646"/>
      <c r="EB345" s="646"/>
      <c r="EC345" s="646"/>
      <c r="ED345" s="646"/>
      <c r="EE345" s="646"/>
      <c r="EF345" s="646"/>
      <c r="EG345" s="646"/>
      <c r="EH345" s="646"/>
      <c r="EI345" s="646"/>
      <c r="EJ345" s="646"/>
      <c r="EK345" s="271"/>
      <c r="EL345" s="644"/>
      <c r="EM345" s="634"/>
      <c r="EN345" s="647"/>
      <c r="EO345" s="648"/>
      <c r="EP345" s="647"/>
      <c r="EQ345" s="647"/>
      <c r="ER345" s="647"/>
      <c r="ES345" s="139"/>
      <c r="EV345" s="647"/>
      <c r="EW345" s="647"/>
      <c r="EX345" s="647"/>
      <c r="EY345" s="647"/>
      <c r="EZ345" s="647"/>
      <c r="FA345" s="646"/>
      <c r="FB345" s="646"/>
      <c r="FC345" s="646"/>
      <c r="FD345" s="646"/>
      <c r="FE345" s="646"/>
      <c r="FF345" s="646"/>
      <c r="FG345" s="647"/>
      <c r="FH345" s="647"/>
      <c r="FI345" s="647"/>
      <c r="FJ345" s="647"/>
      <c r="FK345" s="647"/>
      <c r="FL345" s="647"/>
      <c r="FM345" s="647"/>
      <c r="FN345" s="647"/>
      <c r="FO345" s="647"/>
      <c r="FP345" s="647"/>
      <c r="FQ345" s="647"/>
      <c r="FR345" s="647"/>
      <c r="FS345" s="101"/>
      <c r="FT345" s="95"/>
      <c r="FU345" s="651"/>
      <c r="FV345" s="101"/>
      <c r="FW345" s="101"/>
      <c r="FX345" s="634"/>
      <c r="FY345" s="634"/>
      <c r="FZ345" s="634"/>
      <c r="GA345" s="634"/>
      <c r="GB345" s="634"/>
      <c r="GC345" s="634"/>
      <c r="GD345" s="634"/>
      <c r="GE345" s="634"/>
      <c r="GF345" s="634"/>
      <c r="GG345" s="634"/>
      <c r="GH345" s="634"/>
      <c r="GI345" s="634"/>
      <c r="GJ345" s="634"/>
      <c r="GK345" s="634"/>
      <c r="GL345" s="101"/>
      <c r="GM345" s="101"/>
      <c r="GN345" s="101"/>
      <c r="GO345" s="643"/>
      <c r="GP345" s="644"/>
      <c r="GQ345" s="643"/>
      <c r="GR345" s="644"/>
      <c r="GS345" s="643"/>
      <c r="GT345" s="644"/>
      <c r="GU345" s="644"/>
      <c r="GV345" s="644"/>
      <c r="GW345" s="644"/>
      <c r="GX345" s="644"/>
      <c r="GY345" s="644"/>
      <c r="GZ345" s="644"/>
      <c r="HA345" s="644"/>
    </row>
    <row r="346" spans="1:209">
      <c r="A346" s="638"/>
      <c r="B346" s="95"/>
      <c r="C346" s="95"/>
      <c r="D346" s="95"/>
      <c r="E346" s="650"/>
      <c r="F346" s="95"/>
      <c r="G346" s="98"/>
      <c r="H346" s="99"/>
      <c r="I346" s="95"/>
      <c r="J346" s="95"/>
      <c r="K346" s="95"/>
      <c r="L346" s="95"/>
      <c r="M346" s="95"/>
      <c r="N346" s="95"/>
      <c r="O346" s="95"/>
      <c r="P346" s="95"/>
      <c r="Q346" s="95"/>
      <c r="R346" s="98"/>
      <c r="S346" s="101"/>
      <c r="T346" s="644"/>
      <c r="U346" s="101"/>
      <c r="V346" s="647"/>
      <c r="W346" s="643"/>
      <c r="X346" s="644"/>
      <c r="Y346" s="101"/>
      <c r="Z346" s="644"/>
      <c r="AA346" s="101"/>
      <c r="AB346" s="644"/>
      <c r="AC346" s="101"/>
      <c r="AD346" s="646"/>
      <c r="AE346" s="271"/>
      <c r="AF346" s="646"/>
      <c r="AG346" s="646"/>
      <c r="AH346" s="646"/>
      <c r="AI346" s="646"/>
      <c r="AJ346" s="646"/>
      <c r="AK346" s="646"/>
      <c r="AL346" s="646"/>
      <c r="AM346" s="271"/>
      <c r="AN346" s="646"/>
      <c r="AO346" s="646"/>
      <c r="AP346" s="646"/>
      <c r="AQ346" s="271"/>
      <c r="AR346" s="646"/>
      <c r="AS346" s="270"/>
      <c r="AT346" s="646"/>
      <c r="AU346" s="646"/>
      <c r="AV346" s="646"/>
      <c r="AW346" s="270"/>
      <c r="AX346" s="646"/>
      <c r="AY346" s="270"/>
      <c r="AZ346" s="646"/>
      <c r="BA346" s="646"/>
      <c r="BB346" s="644"/>
      <c r="BC346" s="644"/>
      <c r="BD346" s="644"/>
      <c r="BE346" s="644"/>
      <c r="BF346" s="644"/>
      <c r="BG346" s="644"/>
      <c r="BH346" s="644"/>
      <c r="BI346" s="644"/>
      <c r="BJ346" s="644"/>
      <c r="BK346" s="644"/>
      <c r="BL346" s="644"/>
      <c r="BM346" s="95"/>
      <c r="BN346" s="644"/>
      <c r="BO346" s="95"/>
      <c r="BP346" s="644"/>
      <c r="BQ346" s="644"/>
      <c r="BR346" s="644"/>
      <c r="BS346" s="644"/>
      <c r="BT346" s="644"/>
      <c r="BU346" s="644"/>
      <c r="BV346" s="644"/>
      <c r="BW346" s="644"/>
      <c r="BX346" s="644"/>
      <c r="BY346" s="644"/>
      <c r="BZ346" s="644"/>
      <c r="CA346" s="644"/>
      <c r="CB346" s="644"/>
      <c r="CC346" s="644"/>
      <c r="CD346" s="644"/>
      <c r="CE346" s="644"/>
      <c r="CF346" s="644"/>
      <c r="CG346" s="644"/>
      <c r="CH346" s="644"/>
      <c r="CI346" s="644"/>
      <c r="CJ346" s="644"/>
      <c r="CK346" s="644"/>
      <c r="CL346" s="644"/>
      <c r="CM346" s="95"/>
      <c r="CN346" s="644"/>
      <c r="CO346" s="644"/>
      <c r="CP346" s="95"/>
      <c r="CQ346" s="98"/>
      <c r="CR346" s="95"/>
      <c r="CS346" s="95"/>
      <c r="CT346" s="95"/>
      <c r="CU346" s="108"/>
      <c r="CV346" s="109"/>
      <c r="CW346" s="644"/>
      <c r="CX346" s="496"/>
      <c r="CY346" s="637"/>
      <c r="CZ346" s="644"/>
      <c r="DA346" s="644"/>
      <c r="DB346" s="644"/>
      <c r="DC346" s="496"/>
      <c r="DD346" s="644"/>
      <c r="DE346" s="101"/>
      <c r="DF346" s="644"/>
      <c r="DG346" s="101"/>
      <c r="DH346" s="644"/>
      <c r="DI346" s="644"/>
      <c r="DJ346" s="644"/>
      <c r="DK346" s="644"/>
      <c r="DL346" s="644"/>
      <c r="DM346" s="101"/>
      <c r="DN346" s="644"/>
      <c r="DO346" s="644"/>
      <c r="DP346" s="644"/>
      <c r="DQ346" s="644"/>
      <c r="DR346" s="644"/>
      <c r="DS346" s="644"/>
      <c r="DT346" s="644"/>
      <c r="DU346" s="644"/>
      <c r="DV346" s="644"/>
      <c r="DW346" s="101"/>
      <c r="DX346" s="646"/>
      <c r="DY346" s="646"/>
      <c r="DZ346" s="646"/>
      <c r="EA346" s="646"/>
      <c r="EB346" s="646"/>
      <c r="EC346" s="646"/>
      <c r="ED346" s="646"/>
      <c r="EE346" s="646"/>
      <c r="EF346" s="646"/>
      <c r="EG346" s="646"/>
      <c r="EH346" s="646"/>
      <c r="EI346" s="646"/>
      <c r="EJ346" s="646"/>
      <c r="EK346" s="271"/>
      <c r="EL346" s="644"/>
      <c r="EM346" s="634"/>
      <c r="EN346" s="647"/>
      <c r="EO346" s="648"/>
      <c r="EP346" s="647"/>
      <c r="EQ346" s="647"/>
      <c r="ER346" s="647"/>
      <c r="ES346" s="139"/>
      <c r="EV346" s="647"/>
      <c r="EW346" s="647"/>
      <c r="EX346" s="647"/>
      <c r="EY346" s="647"/>
      <c r="EZ346" s="647"/>
      <c r="FA346" s="646"/>
      <c r="FB346" s="646"/>
      <c r="FC346" s="646"/>
      <c r="FD346" s="646"/>
      <c r="FE346" s="646"/>
      <c r="FF346" s="646"/>
      <c r="FG346" s="647"/>
      <c r="FH346" s="647"/>
      <c r="FI346" s="647"/>
      <c r="FJ346" s="647"/>
      <c r="FK346" s="647"/>
      <c r="FL346" s="647"/>
      <c r="FM346" s="647"/>
      <c r="FN346" s="647"/>
      <c r="FO346" s="647"/>
      <c r="FP346" s="647"/>
      <c r="FQ346" s="647"/>
      <c r="FR346" s="647"/>
      <c r="FS346" s="101"/>
      <c r="FT346" s="95"/>
      <c r="FU346" s="651"/>
      <c r="FV346" s="101"/>
      <c r="FW346" s="101"/>
      <c r="FX346" s="634"/>
      <c r="FY346" s="634"/>
      <c r="FZ346" s="634"/>
      <c r="GA346" s="634"/>
      <c r="GB346" s="634"/>
      <c r="GC346" s="634"/>
      <c r="GD346" s="634"/>
      <c r="GE346" s="634"/>
      <c r="GF346" s="634"/>
      <c r="GG346" s="634"/>
      <c r="GH346" s="634"/>
      <c r="GI346" s="634"/>
      <c r="GJ346" s="634"/>
      <c r="GK346" s="634"/>
      <c r="GL346" s="101"/>
      <c r="GM346" s="101"/>
      <c r="GN346" s="101"/>
      <c r="GO346" s="643"/>
      <c r="GP346" s="644"/>
      <c r="GQ346" s="643"/>
      <c r="GR346" s="644"/>
      <c r="GS346" s="643"/>
      <c r="GT346" s="644"/>
      <c r="GU346" s="644"/>
      <c r="GV346" s="644"/>
      <c r="GW346" s="644"/>
      <c r="GX346" s="644"/>
      <c r="GY346" s="644"/>
      <c r="GZ346" s="644"/>
      <c r="HA346" s="644"/>
    </row>
    <row r="347" spans="1:209">
      <c r="A347" s="638"/>
      <c r="B347" s="95"/>
      <c r="C347" s="95"/>
      <c r="D347" s="95"/>
      <c r="E347" s="650"/>
      <c r="F347" s="95"/>
      <c r="G347" s="98"/>
      <c r="H347" s="99"/>
      <c r="I347" s="95"/>
      <c r="J347" s="95"/>
      <c r="K347" s="95"/>
      <c r="L347" s="95"/>
      <c r="M347" s="95"/>
      <c r="N347" s="95"/>
      <c r="O347" s="95"/>
      <c r="P347" s="95"/>
      <c r="Q347" s="95"/>
      <c r="R347" s="98"/>
      <c r="S347" s="101"/>
      <c r="T347" s="644"/>
      <c r="U347" s="101"/>
      <c r="V347" s="647"/>
      <c r="W347" s="643"/>
      <c r="X347" s="644"/>
      <c r="Y347" s="101"/>
      <c r="Z347" s="644"/>
      <c r="AA347" s="101"/>
      <c r="AB347" s="644"/>
      <c r="AC347" s="101"/>
      <c r="AD347" s="646"/>
      <c r="AE347" s="271"/>
      <c r="AF347" s="646"/>
      <c r="AG347" s="646"/>
      <c r="AH347" s="646"/>
      <c r="AI347" s="646"/>
      <c r="AJ347" s="646"/>
      <c r="AK347" s="646"/>
      <c r="AL347" s="646"/>
      <c r="AM347" s="271"/>
      <c r="AN347" s="646"/>
      <c r="AO347" s="646"/>
      <c r="AP347" s="646"/>
      <c r="AQ347" s="271"/>
      <c r="AR347" s="646"/>
      <c r="AS347" s="270"/>
      <c r="AT347" s="646"/>
      <c r="AU347" s="646"/>
      <c r="AV347" s="646"/>
      <c r="AW347" s="270"/>
      <c r="AX347" s="646"/>
      <c r="AY347" s="270"/>
      <c r="AZ347" s="646"/>
      <c r="BA347" s="646"/>
      <c r="BB347" s="644"/>
      <c r="BC347" s="644"/>
      <c r="BD347" s="644"/>
      <c r="BE347" s="644"/>
      <c r="BF347" s="644"/>
      <c r="BG347" s="644"/>
      <c r="BH347" s="644"/>
      <c r="BI347" s="644"/>
      <c r="BJ347" s="644"/>
      <c r="BK347" s="644"/>
      <c r="BL347" s="644"/>
      <c r="BM347" s="95"/>
      <c r="BN347" s="644"/>
      <c r="BO347" s="95"/>
      <c r="BP347" s="644"/>
      <c r="BQ347" s="644"/>
      <c r="BR347" s="644"/>
      <c r="BS347" s="644"/>
      <c r="BT347" s="644"/>
      <c r="BU347" s="644"/>
      <c r="BV347" s="644"/>
      <c r="BW347" s="644"/>
      <c r="BX347" s="644"/>
      <c r="BY347" s="644"/>
      <c r="BZ347" s="644"/>
      <c r="CA347" s="644"/>
      <c r="CB347" s="644"/>
      <c r="CC347" s="644"/>
      <c r="CD347" s="644"/>
      <c r="CE347" s="644"/>
      <c r="CF347" s="644"/>
      <c r="CG347" s="644"/>
      <c r="CH347" s="644"/>
      <c r="CI347" s="644"/>
      <c r="CJ347" s="644"/>
      <c r="CK347" s="644"/>
      <c r="CL347" s="644"/>
      <c r="CM347" s="95"/>
      <c r="CN347" s="644"/>
      <c r="CO347" s="644"/>
      <c r="CP347" s="95"/>
      <c r="CQ347" s="98"/>
      <c r="CR347" s="95"/>
      <c r="CS347" s="95"/>
      <c r="CT347" s="95"/>
      <c r="CU347" s="108"/>
      <c r="CV347" s="109"/>
      <c r="CW347" s="644"/>
      <c r="CX347" s="496"/>
      <c r="CY347" s="637"/>
      <c r="CZ347" s="644"/>
      <c r="DA347" s="644"/>
      <c r="DB347" s="644"/>
      <c r="DC347" s="496"/>
      <c r="DD347" s="644"/>
      <c r="DE347" s="101"/>
      <c r="DF347" s="644"/>
      <c r="DG347" s="101"/>
      <c r="DH347" s="644"/>
      <c r="DI347" s="644"/>
      <c r="DJ347" s="644"/>
      <c r="DK347" s="644"/>
      <c r="DL347" s="644"/>
      <c r="DM347" s="101"/>
      <c r="DN347" s="644"/>
      <c r="DO347" s="644"/>
      <c r="DP347" s="644"/>
      <c r="DQ347" s="644"/>
      <c r="DR347" s="644"/>
      <c r="DS347" s="644"/>
      <c r="DT347" s="644"/>
      <c r="DU347" s="644"/>
      <c r="DV347" s="644"/>
      <c r="DW347" s="101"/>
      <c r="DX347" s="646"/>
      <c r="DY347" s="646"/>
      <c r="DZ347" s="646"/>
      <c r="EA347" s="646"/>
      <c r="EB347" s="646"/>
      <c r="EC347" s="646"/>
      <c r="ED347" s="646"/>
      <c r="EE347" s="646"/>
      <c r="EF347" s="646"/>
      <c r="EG347" s="646"/>
      <c r="EH347" s="646"/>
      <c r="EI347" s="646"/>
      <c r="EJ347" s="646"/>
      <c r="EK347" s="271"/>
      <c r="EL347" s="644"/>
      <c r="EM347" s="634"/>
      <c r="EN347" s="647"/>
      <c r="EO347" s="648"/>
      <c r="EP347" s="647"/>
      <c r="EQ347" s="647"/>
      <c r="ER347" s="647"/>
      <c r="ES347" s="139"/>
      <c r="EV347" s="647"/>
      <c r="EW347" s="647"/>
      <c r="EX347" s="647"/>
      <c r="EY347" s="647"/>
      <c r="EZ347" s="647"/>
      <c r="FA347" s="646"/>
      <c r="FB347" s="646"/>
      <c r="FC347" s="646"/>
      <c r="FD347" s="646"/>
      <c r="FE347" s="646"/>
      <c r="FF347" s="646"/>
      <c r="FG347" s="647"/>
      <c r="FH347" s="647"/>
      <c r="FI347" s="647"/>
      <c r="FJ347" s="647"/>
      <c r="FK347" s="647"/>
      <c r="FL347" s="647"/>
      <c r="FM347" s="647"/>
      <c r="FN347" s="647"/>
      <c r="FO347" s="647"/>
      <c r="FP347" s="647"/>
      <c r="FQ347" s="647"/>
      <c r="FR347" s="647"/>
      <c r="FS347" s="101"/>
      <c r="FT347" s="95"/>
      <c r="FU347" s="651"/>
      <c r="FV347" s="101"/>
      <c r="FW347" s="101"/>
      <c r="FX347" s="634"/>
      <c r="FY347" s="634"/>
      <c r="FZ347" s="634"/>
      <c r="GA347" s="634"/>
      <c r="GB347" s="634"/>
      <c r="GC347" s="634"/>
      <c r="GD347" s="634"/>
      <c r="GE347" s="634"/>
      <c r="GF347" s="634"/>
      <c r="GG347" s="634"/>
      <c r="GH347" s="634"/>
      <c r="GI347" s="634"/>
      <c r="GJ347" s="634"/>
      <c r="GK347" s="634"/>
      <c r="GL347" s="101"/>
      <c r="GM347" s="101"/>
      <c r="GN347" s="101"/>
      <c r="GO347" s="643"/>
      <c r="GP347" s="644"/>
      <c r="GQ347" s="643"/>
      <c r="GR347" s="644"/>
      <c r="GS347" s="643"/>
      <c r="GT347" s="644"/>
      <c r="GU347" s="644"/>
      <c r="GV347" s="644"/>
      <c r="GW347" s="644"/>
      <c r="GX347" s="644"/>
      <c r="GY347" s="644"/>
      <c r="GZ347" s="644"/>
      <c r="HA347" s="644"/>
    </row>
    <row r="348" spans="1:209">
      <c r="A348" s="638"/>
      <c r="B348" s="95"/>
      <c r="C348" s="95"/>
      <c r="D348" s="95"/>
      <c r="E348" s="650"/>
      <c r="F348" s="95"/>
      <c r="G348" s="98"/>
      <c r="H348" s="99"/>
      <c r="I348" s="95"/>
      <c r="J348" s="95"/>
      <c r="K348" s="95"/>
      <c r="L348" s="95"/>
      <c r="M348" s="95"/>
      <c r="N348" s="95"/>
      <c r="O348" s="95"/>
      <c r="P348" s="95"/>
      <c r="Q348" s="95"/>
      <c r="R348" s="98"/>
      <c r="S348" s="101"/>
      <c r="T348" s="644"/>
      <c r="U348" s="101"/>
      <c r="V348" s="647"/>
      <c r="W348" s="643"/>
      <c r="X348" s="644"/>
      <c r="Y348" s="101"/>
      <c r="Z348" s="644"/>
      <c r="AA348" s="101"/>
      <c r="AB348" s="644"/>
      <c r="AC348" s="101"/>
      <c r="AD348" s="646"/>
      <c r="AE348" s="271"/>
      <c r="AF348" s="646"/>
      <c r="AG348" s="646"/>
      <c r="AH348" s="646"/>
      <c r="AI348" s="646"/>
      <c r="AJ348" s="646"/>
      <c r="AK348" s="646"/>
      <c r="AL348" s="646"/>
      <c r="AM348" s="271"/>
      <c r="AN348" s="646"/>
      <c r="AO348" s="646"/>
      <c r="AP348" s="646"/>
      <c r="AQ348" s="271"/>
      <c r="AR348" s="646"/>
      <c r="AS348" s="270"/>
      <c r="AT348" s="646"/>
      <c r="AU348" s="646"/>
      <c r="AV348" s="646"/>
      <c r="AW348" s="270"/>
      <c r="AX348" s="646"/>
      <c r="AY348" s="270"/>
      <c r="AZ348" s="646"/>
      <c r="BA348" s="646"/>
      <c r="BB348" s="644"/>
      <c r="BC348" s="644"/>
      <c r="BD348" s="644"/>
      <c r="BE348" s="644"/>
      <c r="BF348" s="644"/>
      <c r="BG348" s="644"/>
      <c r="BH348" s="644"/>
      <c r="BI348" s="644"/>
      <c r="BJ348" s="644"/>
      <c r="BK348" s="644"/>
      <c r="BL348" s="644"/>
      <c r="BM348" s="95"/>
      <c r="BN348" s="644"/>
      <c r="BO348" s="95"/>
      <c r="BP348" s="644"/>
      <c r="BQ348" s="644"/>
      <c r="BR348" s="644"/>
      <c r="BS348" s="644"/>
      <c r="BT348" s="644"/>
      <c r="BU348" s="644"/>
      <c r="BV348" s="644"/>
      <c r="BW348" s="644"/>
      <c r="BX348" s="644"/>
      <c r="BY348" s="644"/>
      <c r="BZ348" s="644"/>
      <c r="CA348" s="644"/>
      <c r="CB348" s="644"/>
      <c r="CC348" s="644"/>
      <c r="CD348" s="644"/>
      <c r="CE348" s="644"/>
      <c r="CF348" s="644"/>
      <c r="CG348" s="644"/>
      <c r="CH348" s="644"/>
      <c r="CI348" s="644"/>
      <c r="CJ348" s="644"/>
      <c r="CK348" s="644"/>
      <c r="CL348" s="644"/>
      <c r="CM348" s="95"/>
      <c r="CN348" s="644"/>
      <c r="CO348" s="644"/>
      <c r="CP348" s="95"/>
      <c r="CQ348" s="98"/>
      <c r="CR348" s="95"/>
      <c r="CS348" s="95"/>
      <c r="CT348" s="95"/>
      <c r="CU348" s="108"/>
      <c r="CV348" s="109"/>
      <c r="CW348" s="644"/>
      <c r="CX348" s="496"/>
      <c r="CY348" s="637"/>
      <c r="CZ348" s="644"/>
      <c r="DA348" s="644"/>
      <c r="DB348" s="644"/>
      <c r="DC348" s="496"/>
      <c r="DD348" s="644"/>
      <c r="DE348" s="101"/>
      <c r="DF348" s="644"/>
      <c r="DG348" s="101"/>
      <c r="DH348" s="644"/>
      <c r="DI348" s="644"/>
      <c r="DJ348" s="644"/>
      <c r="DK348" s="644"/>
      <c r="DL348" s="644"/>
      <c r="DM348" s="101"/>
      <c r="DN348" s="644"/>
      <c r="DO348" s="644"/>
      <c r="DP348" s="644"/>
      <c r="DQ348" s="644"/>
      <c r="DR348" s="644"/>
      <c r="DS348" s="644"/>
      <c r="DT348" s="644"/>
      <c r="DU348" s="644"/>
      <c r="DV348" s="644"/>
      <c r="DW348" s="101"/>
      <c r="DX348" s="646"/>
      <c r="DY348" s="646"/>
      <c r="DZ348" s="646"/>
      <c r="EA348" s="646"/>
      <c r="EB348" s="646"/>
      <c r="EC348" s="646"/>
      <c r="ED348" s="646"/>
      <c r="EE348" s="646"/>
      <c r="EF348" s="646"/>
      <c r="EG348" s="646"/>
      <c r="EH348" s="646"/>
      <c r="EI348" s="646"/>
      <c r="EJ348" s="646"/>
      <c r="EK348" s="271"/>
      <c r="EL348" s="644"/>
      <c r="EM348" s="634"/>
      <c r="EN348" s="647"/>
      <c r="EO348" s="648"/>
      <c r="EP348" s="647"/>
      <c r="EQ348" s="647"/>
      <c r="ER348" s="647"/>
      <c r="ES348" s="139"/>
      <c r="EV348" s="647"/>
      <c r="EW348" s="647"/>
      <c r="EX348" s="647"/>
      <c r="EY348" s="647"/>
      <c r="EZ348" s="647"/>
      <c r="FA348" s="646"/>
      <c r="FB348" s="646"/>
      <c r="FC348" s="646"/>
      <c r="FD348" s="646"/>
      <c r="FE348" s="646"/>
      <c r="FF348" s="646"/>
      <c r="FG348" s="647"/>
      <c r="FH348" s="647"/>
      <c r="FI348" s="647"/>
      <c r="FJ348" s="647"/>
      <c r="FK348" s="647"/>
      <c r="FL348" s="647"/>
      <c r="FM348" s="647"/>
      <c r="FN348" s="647"/>
      <c r="FO348" s="647"/>
      <c r="FP348" s="647"/>
      <c r="FQ348" s="647"/>
      <c r="FR348" s="647"/>
      <c r="FS348" s="101"/>
      <c r="FT348" s="95"/>
      <c r="FU348" s="651"/>
      <c r="FV348" s="101"/>
      <c r="FW348" s="101"/>
      <c r="FX348" s="634"/>
      <c r="FY348" s="634"/>
      <c r="FZ348" s="634"/>
      <c r="GA348" s="634"/>
      <c r="GB348" s="634"/>
      <c r="GC348" s="634"/>
      <c r="GD348" s="634"/>
      <c r="GE348" s="634"/>
      <c r="GF348" s="634"/>
      <c r="GG348" s="634"/>
      <c r="GH348" s="634"/>
      <c r="GI348" s="634"/>
      <c r="GJ348" s="634"/>
      <c r="GK348" s="634"/>
      <c r="GL348" s="101"/>
      <c r="GM348" s="101"/>
      <c r="GN348" s="101"/>
      <c r="GO348" s="643"/>
      <c r="GP348" s="644"/>
      <c r="GQ348" s="643"/>
      <c r="GR348" s="644"/>
      <c r="GS348" s="643"/>
      <c r="GT348" s="644"/>
      <c r="GU348" s="644"/>
      <c r="GV348" s="644"/>
      <c r="GW348" s="644"/>
      <c r="GX348" s="644"/>
      <c r="GY348" s="644"/>
      <c r="GZ348" s="644"/>
      <c r="HA348" s="644"/>
    </row>
    <row r="349" spans="1:209">
      <c r="A349" s="638"/>
      <c r="B349" s="95"/>
      <c r="C349" s="95"/>
      <c r="D349" s="95"/>
      <c r="E349" s="650"/>
      <c r="F349" s="95"/>
      <c r="G349" s="98"/>
      <c r="H349" s="99"/>
      <c r="I349" s="95"/>
      <c r="J349" s="95"/>
      <c r="K349" s="95"/>
      <c r="L349" s="95"/>
      <c r="M349" s="95"/>
      <c r="N349" s="95"/>
      <c r="O349" s="95"/>
      <c r="P349" s="95"/>
      <c r="Q349" s="95"/>
      <c r="R349" s="98"/>
      <c r="S349" s="101"/>
      <c r="T349" s="644"/>
      <c r="U349" s="101"/>
      <c r="V349" s="647"/>
      <c r="W349" s="643"/>
      <c r="X349" s="644"/>
      <c r="Y349" s="101"/>
      <c r="Z349" s="644"/>
      <c r="AA349" s="101"/>
      <c r="AB349" s="644"/>
      <c r="AC349" s="101"/>
      <c r="AD349" s="646"/>
      <c r="AE349" s="271"/>
      <c r="AF349" s="646"/>
      <c r="AG349" s="646"/>
      <c r="AH349" s="646"/>
      <c r="AI349" s="646"/>
      <c r="AJ349" s="646"/>
      <c r="AK349" s="646"/>
      <c r="AL349" s="646"/>
      <c r="AM349" s="271"/>
      <c r="AN349" s="646"/>
      <c r="AO349" s="646"/>
      <c r="AP349" s="646"/>
      <c r="AQ349" s="271"/>
      <c r="AR349" s="646"/>
      <c r="AS349" s="270"/>
      <c r="AT349" s="646"/>
      <c r="AU349" s="646"/>
      <c r="AV349" s="646"/>
      <c r="AW349" s="270"/>
      <c r="AX349" s="646"/>
      <c r="AY349" s="270"/>
      <c r="AZ349" s="646"/>
      <c r="BA349" s="646"/>
      <c r="BB349" s="644"/>
      <c r="BC349" s="644"/>
      <c r="BD349" s="644"/>
      <c r="BE349" s="644"/>
      <c r="BF349" s="644"/>
      <c r="BG349" s="644"/>
      <c r="BH349" s="644"/>
      <c r="BI349" s="644"/>
      <c r="BJ349" s="644"/>
      <c r="BK349" s="644"/>
      <c r="BL349" s="644"/>
      <c r="BM349" s="95"/>
      <c r="BN349" s="644"/>
      <c r="BO349" s="95"/>
      <c r="BP349" s="644"/>
      <c r="BQ349" s="644"/>
      <c r="BR349" s="644"/>
      <c r="BS349" s="644"/>
      <c r="BT349" s="644"/>
      <c r="BU349" s="644"/>
      <c r="BV349" s="644"/>
      <c r="BW349" s="644"/>
      <c r="BX349" s="644"/>
      <c r="BY349" s="644"/>
      <c r="BZ349" s="644"/>
      <c r="CA349" s="644"/>
      <c r="CB349" s="644"/>
      <c r="CC349" s="644"/>
      <c r="CD349" s="644"/>
      <c r="CE349" s="644"/>
      <c r="CF349" s="644"/>
      <c r="CG349" s="644"/>
      <c r="CH349" s="644"/>
      <c r="CI349" s="644"/>
      <c r="CJ349" s="644"/>
      <c r="CK349" s="644"/>
      <c r="CL349" s="644"/>
      <c r="CM349" s="95"/>
      <c r="CN349" s="644"/>
      <c r="CO349" s="644"/>
      <c r="CP349" s="95"/>
      <c r="CQ349" s="98"/>
      <c r="CR349" s="95"/>
      <c r="CS349" s="95"/>
      <c r="CT349" s="95"/>
      <c r="CU349" s="108"/>
      <c r="CV349" s="109"/>
      <c r="CW349" s="644"/>
      <c r="CX349" s="496"/>
      <c r="CY349" s="637"/>
      <c r="CZ349" s="644"/>
      <c r="DA349" s="644"/>
      <c r="DB349" s="644"/>
      <c r="DC349" s="496"/>
      <c r="DD349" s="644"/>
      <c r="DE349" s="101"/>
      <c r="DF349" s="644"/>
      <c r="DG349" s="101"/>
      <c r="DH349" s="644"/>
      <c r="DI349" s="644"/>
      <c r="DJ349" s="644"/>
      <c r="DK349" s="644"/>
      <c r="DL349" s="644"/>
      <c r="DM349" s="101"/>
      <c r="DN349" s="644"/>
      <c r="DO349" s="644"/>
      <c r="DP349" s="644"/>
      <c r="DQ349" s="644"/>
      <c r="DR349" s="644"/>
      <c r="DS349" s="644"/>
      <c r="DT349" s="644"/>
      <c r="DU349" s="644"/>
      <c r="DV349" s="644"/>
      <c r="DW349" s="101"/>
      <c r="DX349" s="646"/>
      <c r="DY349" s="646"/>
      <c r="DZ349" s="646"/>
      <c r="EA349" s="646"/>
      <c r="EB349" s="646"/>
      <c r="EC349" s="646"/>
      <c r="ED349" s="646"/>
      <c r="EE349" s="646"/>
      <c r="EF349" s="646"/>
      <c r="EG349" s="646"/>
      <c r="EH349" s="646"/>
      <c r="EI349" s="646"/>
      <c r="EJ349" s="646"/>
      <c r="EK349" s="271"/>
      <c r="EL349" s="644"/>
      <c r="EM349" s="634"/>
      <c r="EN349" s="647"/>
      <c r="EO349" s="648"/>
      <c r="EP349" s="647"/>
      <c r="EQ349" s="647"/>
      <c r="ER349" s="647"/>
      <c r="ES349" s="139"/>
      <c r="EV349" s="647"/>
      <c r="EW349" s="647"/>
      <c r="EX349" s="647"/>
      <c r="EY349" s="647"/>
      <c r="EZ349" s="647"/>
      <c r="FA349" s="646"/>
      <c r="FB349" s="646"/>
      <c r="FC349" s="646"/>
      <c r="FD349" s="646"/>
      <c r="FE349" s="646"/>
      <c r="FF349" s="646"/>
      <c r="FG349" s="647"/>
      <c r="FH349" s="647"/>
      <c r="FI349" s="647"/>
      <c r="FJ349" s="647"/>
      <c r="FK349" s="647"/>
      <c r="FL349" s="647"/>
      <c r="FM349" s="647"/>
      <c r="FN349" s="647"/>
      <c r="FO349" s="647"/>
      <c r="FP349" s="647"/>
      <c r="FQ349" s="647"/>
      <c r="FR349" s="647"/>
      <c r="FS349" s="101"/>
      <c r="FT349" s="95"/>
      <c r="FU349" s="651"/>
      <c r="FV349" s="101"/>
      <c r="FW349" s="101"/>
      <c r="FX349" s="634"/>
      <c r="FY349" s="634"/>
      <c r="FZ349" s="634"/>
      <c r="GA349" s="634"/>
      <c r="GB349" s="634"/>
      <c r="GC349" s="634"/>
      <c r="GD349" s="634"/>
      <c r="GE349" s="634"/>
      <c r="GF349" s="634"/>
      <c r="GG349" s="634"/>
      <c r="GH349" s="634"/>
      <c r="GI349" s="634"/>
      <c r="GJ349" s="634"/>
      <c r="GK349" s="634"/>
      <c r="GL349" s="101"/>
      <c r="GM349" s="101"/>
      <c r="GN349" s="101"/>
      <c r="GO349" s="643"/>
      <c r="GP349" s="644"/>
      <c r="GQ349" s="643"/>
      <c r="GR349" s="644"/>
      <c r="GS349" s="643"/>
      <c r="GT349" s="644"/>
      <c r="GU349" s="644"/>
      <c r="GV349" s="644"/>
      <c r="GW349" s="644"/>
      <c r="GX349" s="644"/>
      <c r="GY349" s="644"/>
      <c r="GZ349" s="644"/>
      <c r="HA349" s="644"/>
    </row>
    <row r="350" spans="1:209">
      <c r="A350" s="638"/>
      <c r="B350" s="95"/>
      <c r="C350" s="95"/>
      <c r="D350" s="95"/>
      <c r="E350" s="650"/>
      <c r="F350" s="95"/>
      <c r="G350" s="98"/>
      <c r="H350" s="99"/>
      <c r="I350" s="95"/>
      <c r="J350" s="95"/>
      <c r="K350" s="95"/>
      <c r="L350" s="95"/>
      <c r="M350" s="95"/>
      <c r="N350" s="95"/>
      <c r="O350" s="95"/>
      <c r="P350" s="95"/>
      <c r="Q350" s="95"/>
      <c r="R350" s="98"/>
      <c r="S350" s="101"/>
      <c r="T350" s="644"/>
      <c r="U350" s="101"/>
      <c r="V350" s="647"/>
      <c r="W350" s="643"/>
      <c r="X350" s="644"/>
      <c r="Y350" s="101"/>
      <c r="Z350" s="644"/>
      <c r="AA350" s="101"/>
      <c r="AB350" s="644"/>
      <c r="AC350" s="101"/>
      <c r="AD350" s="646"/>
      <c r="AE350" s="271"/>
      <c r="AF350" s="646"/>
      <c r="AG350" s="646"/>
      <c r="AH350" s="646"/>
      <c r="AI350" s="646"/>
      <c r="AJ350" s="646"/>
      <c r="AK350" s="646"/>
      <c r="AL350" s="646"/>
      <c r="AM350" s="271"/>
      <c r="AN350" s="646"/>
      <c r="AO350" s="646"/>
      <c r="AP350" s="646"/>
      <c r="AQ350" s="271"/>
      <c r="AR350" s="646"/>
      <c r="AS350" s="270"/>
      <c r="AT350" s="646"/>
      <c r="AU350" s="646"/>
      <c r="AV350" s="646"/>
      <c r="AW350" s="270"/>
      <c r="AX350" s="646"/>
      <c r="AY350" s="270"/>
      <c r="AZ350" s="646"/>
      <c r="BA350" s="646"/>
      <c r="BB350" s="644"/>
      <c r="BC350" s="644"/>
      <c r="BD350" s="644"/>
      <c r="BE350" s="644"/>
      <c r="BF350" s="644"/>
      <c r="BG350" s="644"/>
      <c r="BH350" s="644"/>
      <c r="BI350" s="644"/>
      <c r="BJ350" s="644"/>
      <c r="BK350" s="644"/>
      <c r="BL350" s="644"/>
      <c r="BM350" s="95"/>
      <c r="BN350" s="644"/>
      <c r="BO350" s="95"/>
      <c r="BP350" s="644"/>
      <c r="BQ350" s="644"/>
      <c r="BR350" s="644"/>
      <c r="BS350" s="644"/>
      <c r="BT350" s="644"/>
      <c r="BU350" s="644"/>
      <c r="BV350" s="644"/>
      <c r="BW350" s="644"/>
      <c r="BX350" s="644"/>
      <c r="BY350" s="644"/>
      <c r="BZ350" s="644"/>
      <c r="CA350" s="644"/>
      <c r="CB350" s="644"/>
      <c r="CC350" s="644"/>
      <c r="CD350" s="644"/>
      <c r="CE350" s="644"/>
      <c r="CF350" s="644"/>
      <c r="CG350" s="644"/>
      <c r="CH350" s="644"/>
      <c r="CI350" s="644"/>
      <c r="CJ350" s="644"/>
      <c r="CK350" s="644"/>
      <c r="CL350" s="644"/>
      <c r="CM350" s="95"/>
      <c r="CN350" s="644"/>
      <c r="CO350" s="644"/>
      <c r="CP350" s="95"/>
      <c r="CQ350" s="98"/>
      <c r="CR350" s="95"/>
      <c r="CS350" s="95"/>
      <c r="CT350" s="95"/>
      <c r="CU350" s="108"/>
      <c r="CV350" s="109"/>
      <c r="CW350" s="644"/>
      <c r="CX350" s="496"/>
      <c r="CY350" s="637"/>
      <c r="CZ350" s="644"/>
      <c r="DA350" s="644"/>
      <c r="DB350" s="644"/>
      <c r="DC350" s="496"/>
      <c r="DD350" s="644"/>
      <c r="DE350" s="101"/>
      <c r="DF350" s="644"/>
      <c r="DG350" s="101"/>
      <c r="DH350" s="644"/>
      <c r="DI350" s="644"/>
      <c r="DJ350" s="644"/>
      <c r="DK350" s="644"/>
      <c r="DL350" s="644"/>
      <c r="DM350" s="101"/>
      <c r="DN350" s="644"/>
      <c r="DO350" s="644"/>
      <c r="DP350" s="644"/>
      <c r="DQ350" s="644"/>
      <c r="DR350" s="644"/>
      <c r="DS350" s="644"/>
      <c r="DT350" s="644"/>
      <c r="DU350" s="644"/>
      <c r="DV350" s="644"/>
      <c r="DW350" s="101"/>
      <c r="DX350" s="646"/>
      <c r="DY350" s="646"/>
      <c r="DZ350" s="646"/>
      <c r="EA350" s="646"/>
      <c r="EB350" s="646"/>
      <c r="EC350" s="646"/>
      <c r="ED350" s="646"/>
      <c r="EE350" s="646"/>
      <c r="EF350" s="646"/>
      <c r="EG350" s="646"/>
      <c r="EH350" s="646"/>
      <c r="EI350" s="646"/>
      <c r="EJ350" s="646"/>
      <c r="EK350" s="271"/>
      <c r="EL350" s="644"/>
      <c r="EM350" s="634"/>
      <c r="EN350" s="647"/>
      <c r="EO350" s="648"/>
      <c r="EP350" s="647"/>
      <c r="EQ350" s="647"/>
      <c r="ER350" s="647"/>
      <c r="ES350" s="139"/>
      <c r="EV350" s="647"/>
      <c r="EW350" s="647"/>
      <c r="EX350" s="647"/>
      <c r="EY350" s="647"/>
      <c r="EZ350" s="647"/>
      <c r="FA350" s="646"/>
      <c r="FB350" s="646"/>
      <c r="FC350" s="646"/>
      <c r="FD350" s="646"/>
      <c r="FE350" s="646"/>
      <c r="FF350" s="646"/>
      <c r="FG350" s="647"/>
      <c r="FH350" s="647"/>
      <c r="FI350" s="647"/>
      <c r="FJ350" s="647"/>
      <c r="FK350" s="647"/>
      <c r="FL350" s="647"/>
      <c r="FM350" s="647"/>
      <c r="FN350" s="647"/>
      <c r="FO350" s="647"/>
      <c r="FP350" s="647"/>
      <c r="FQ350" s="647"/>
      <c r="FR350" s="647"/>
      <c r="FS350" s="101"/>
      <c r="FT350" s="95"/>
      <c r="FU350" s="651"/>
      <c r="FV350" s="101"/>
      <c r="FW350" s="101"/>
      <c r="FX350" s="634"/>
      <c r="FY350" s="634"/>
      <c r="FZ350" s="634"/>
      <c r="GA350" s="634"/>
      <c r="GB350" s="634"/>
      <c r="GC350" s="634"/>
      <c r="GD350" s="634"/>
      <c r="GE350" s="634"/>
      <c r="GF350" s="634"/>
      <c r="GG350" s="634"/>
      <c r="GH350" s="634"/>
      <c r="GI350" s="634"/>
      <c r="GJ350" s="634"/>
      <c r="GK350" s="634"/>
      <c r="GL350" s="101"/>
      <c r="GM350" s="101"/>
      <c r="GN350" s="101"/>
      <c r="GO350" s="643"/>
      <c r="GP350" s="644"/>
      <c r="GQ350" s="643"/>
      <c r="GR350" s="644"/>
      <c r="GS350" s="643"/>
      <c r="GT350" s="644"/>
      <c r="GU350" s="644"/>
      <c r="GV350" s="644"/>
      <c r="GW350" s="644"/>
      <c r="GX350" s="644"/>
      <c r="GY350" s="644"/>
      <c r="GZ350" s="644"/>
      <c r="HA350" s="644"/>
    </row>
    <row r="351" spans="1:209">
      <c r="A351" s="638"/>
      <c r="B351" s="95"/>
      <c r="C351" s="95"/>
      <c r="D351" s="95"/>
      <c r="E351" s="650"/>
      <c r="F351" s="95"/>
      <c r="G351" s="98"/>
      <c r="H351" s="99"/>
      <c r="I351" s="95"/>
      <c r="J351" s="95"/>
      <c r="K351" s="95"/>
      <c r="L351" s="95"/>
      <c r="M351" s="95"/>
      <c r="N351" s="95"/>
      <c r="O351" s="95"/>
      <c r="P351" s="95"/>
      <c r="Q351" s="95"/>
      <c r="R351" s="98"/>
      <c r="S351" s="101"/>
      <c r="T351" s="644"/>
      <c r="U351" s="101"/>
      <c r="V351" s="647"/>
      <c r="W351" s="643"/>
      <c r="X351" s="644"/>
      <c r="Y351" s="101"/>
      <c r="Z351" s="644"/>
      <c r="AA351" s="101"/>
      <c r="AB351" s="644"/>
      <c r="AC351" s="101"/>
      <c r="AD351" s="646"/>
      <c r="AE351" s="271"/>
      <c r="AF351" s="646"/>
      <c r="AG351" s="646"/>
      <c r="AH351" s="646"/>
      <c r="AI351" s="646"/>
      <c r="AJ351" s="646"/>
      <c r="AK351" s="646"/>
      <c r="AL351" s="646"/>
      <c r="AM351" s="271"/>
      <c r="AN351" s="646"/>
      <c r="AO351" s="646"/>
      <c r="AP351" s="646"/>
      <c r="AQ351" s="271"/>
      <c r="AR351" s="646"/>
      <c r="AS351" s="270"/>
      <c r="AT351" s="646"/>
      <c r="AU351" s="646"/>
      <c r="AV351" s="646"/>
      <c r="AW351" s="270"/>
      <c r="AX351" s="646"/>
      <c r="AY351" s="270"/>
      <c r="AZ351" s="646"/>
      <c r="BA351" s="646"/>
      <c r="BB351" s="644"/>
      <c r="BC351" s="644"/>
      <c r="BD351" s="644"/>
      <c r="BE351" s="644"/>
      <c r="BF351" s="644"/>
      <c r="BG351" s="644"/>
      <c r="BH351" s="644"/>
      <c r="BI351" s="644"/>
      <c r="BJ351" s="644"/>
      <c r="BK351" s="644"/>
      <c r="BL351" s="644"/>
      <c r="BM351" s="95"/>
      <c r="BN351" s="644"/>
      <c r="BO351" s="95"/>
      <c r="BP351" s="644"/>
      <c r="BQ351" s="644"/>
      <c r="BR351" s="644"/>
      <c r="BS351" s="644"/>
      <c r="BT351" s="644"/>
      <c r="BU351" s="644"/>
      <c r="BV351" s="644"/>
      <c r="BW351" s="644"/>
      <c r="BX351" s="644"/>
      <c r="BY351" s="644"/>
      <c r="BZ351" s="644"/>
      <c r="CA351" s="644"/>
      <c r="CB351" s="644"/>
      <c r="CC351" s="644"/>
      <c r="CD351" s="644"/>
      <c r="CE351" s="644"/>
      <c r="CF351" s="644"/>
      <c r="CG351" s="644"/>
      <c r="CH351" s="644"/>
      <c r="CI351" s="644"/>
      <c r="CJ351" s="644"/>
      <c r="CK351" s="644"/>
      <c r="CL351" s="644"/>
      <c r="CM351" s="95"/>
      <c r="CN351" s="644"/>
      <c r="CO351" s="644"/>
      <c r="CP351" s="95"/>
      <c r="CQ351" s="98"/>
      <c r="CR351" s="95"/>
      <c r="CS351" s="95"/>
      <c r="CT351" s="95"/>
      <c r="CU351" s="108"/>
      <c r="CV351" s="109"/>
      <c r="CW351" s="644"/>
      <c r="CX351" s="496"/>
      <c r="CY351" s="637"/>
      <c r="CZ351" s="644"/>
      <c r="DA351" s="644"/>
      <c r="DB351" s="644"/>
      <c r="DC351" s="496"/>
      <c r="DD351" s="644"/>
      <c r="DE351" s="101"/>
      <c r="DF351" s="644"/>
      <c r="DG351" s="101"/>
      <c r="DH351" s="644"/>
      <c r="DI351" s="644"/>
      <c r="DJ351" s="644"/>
      <c r="DK351" s="644"/>
      <c r="DL351" s="644"/>
      <c r="DM351" s="101"/>
      <c r="DN351" s="644"/>
      <c r="DO351" s="644"/>
      <c r="DP351" s="644"/>
      <c r="DQ351" s="644"/>
      <c r="DR351" s="644"/>
      <c r="DS351" s="644"/>
      <c r="DT351" s="644"/>
      <c r="DU351" s="644"/>
      <c r="DV351" s="644"/>
      <c r="DW351" s="101"/>
      <c r="DX351" s="646"/>
      <c r="DY351" s="646"/>
      <c r="DZ351" s="646"/>
      <c r="EA351" s="646"/>
      <c r="EB351" s="646"/>
      <c r="EC351" s="646"/>
      <c r="ED351" s="646"/>
      <c r="EE351" s="646"/>
      <c r="EF351" s="646"/>
      <c r="EG351" s="646"/>
      <c r="EH351" s="646"/>
      <c r="EI351" s="646"/>
      <c r="EJ351" s="646"/>
      <c r="EK351" s="271"/>
      <c r="EL351" s="644"/>
      <c r="EM351" s="634"/>
      <c r="EN351" s="647"/>
      <c r="EO351" s="648"/>
      <c r="EP351" s="647"/>
      <c r="EQ351" s="647"/>
      <c r="ER351" s="647"/>
      <c r="ES351" s="139"/>
      <c r="EV351" s="647"/>
      <c r="EW351" s="647"/>
      <c r="EX351" s="647"/>
      <c r="EY351" s="647"/>
      <c r="EZ351" s="647"/>
      <c r="FA351" s="646"/>
      <c r="FB351" s="646"/>
      <c r="FC351" s="646"/>
      <c r="FD351" s="646"/>
      <c r="FE351" s="646"/>
      <c r="FF351" s="646"/>
      <c r="FG351" s="647"/>
      <c r="FH351" s="647"/>
      <c r="FI351" s="647"/>
      <c r="FJ351" s="647"/>
      <c r="FK351" s="647"/>
      <c r="FL351" s="647"/>
      <c r="FM351" s="647"/>
      <c r="FN351" s="647"/>
      <c r="FO351" s="647"/>
      <c r="FP351" s="647"/>
      <c r="FQ351" s="647"/>
      <c r="FR351" s="647"/>
      <c r="FS351" s="101"/>
      <c r="FT351" s="95"/>
      <c r="FU351" s="651"/>
      <c r="FV351" s="101"/>
      <c r="FW351" s="101"/>
      <c r="FX351" s="634"/>
      <c r="FY351" s="634"/>
      <c r="FZ351" s="634"/>
      <c r="GA351" s="634"/>
      <c r="GB351" s="634"/>
      <c r="GC351" s="634"/>
      <c r="GD351" s="634"/>
      <c r="GE351" s="634"/>
      <c r="GF351" s="634"/>
      <c r="GG351" s="634"/>
      <c r="GH351" s="634"/>
      <c r="GI351" s="634"/>
      <c r="GJ351" s="634"/>
      <c r="GK351" s="634"/>
      <c r="GL351" s="101"/>
      <c r="GM351" s="101"/>
      <c r="GN351" s="101"/>
      <c r="GO351" s="643"/>
      <c r="GP351" s="644"/>
      <c r="GQ351" s="643"/>
      <c r="GR351" s="644"/>
      <c r="GS351" s="643"/>
      <c r="GT351" s="644"/>
      <c r="GU351" s="644"/>
      <c r="GV351" s="644"/>
      <c r="GW351" s="644"/>
      <c r="GX351" s="644"/>
      <c r="GY351" s="644"/>
      <c r="GZ351" s="644"/>
      <c r="HA351" s="644"/>
    </row>
    <row r="352" spans="1:209">
      <c r="A352" s="638"/>
      <c r="B352" s="95"/>
      <c r="C352" s="95"/>
      <c r="D352" s="95"/>
      <c r="E352" s="650"/>
      <c r="F352" s="95"/>
      <c r="G352" s="98"/>
      <c r="H352" s="99"/>
      <c r="I352" s="95"/>
      <c r="J352" s="95"/>
      <c r="K352" s="95"/>
      <c r="L352" s="95"/>
      <c r="M352" s="95"/>
      <c r="N352" s="95"/>
      <c r="O352" s="95"/>
      <c r="P352" s="95"/>
      <c r="Q352" s="95"/>
      <c r="R352" s="98"/>
      <c r="S352" s="101"/>
      <c r="T352" s="644"/>
      <c r="U352" s="101"/>
      <c r="V352" s="647"/>
      <c r="W352" s="643"/>
      <c r="X352" s="644"/>
      <c r="Y352" s="101"/>
      <c r="Z352" s="644"/>
      <c r="AA352" s="101"/>
      <c r="AB352" s="644"/>
      <c r="AC352" s="101"/>
      <c r="AD352" s="646"/>
      <c r="AE352" s="271"/>
      <c r="AF352" s="646"/>
      <c r="AG352" s="646"/>
      <c r="AH352" s="646"/>
      <c r="AI352" s="646"/>
      <c r="AJ352" s="646"/>
      <c r="AK352" s="646"/>
      <c r="AL352" s="646"/>
      <c r="AM352" s="271"/>
      <c r="AN352" s="646"/>
      <c r="AO352" s="646"/>
      <c r="AP352" s="646"/>
      <c r="AQ352" s="271"/>
      <c r="AR352" s="646"/>
      <c r="AS352" s="270"/>
      <c r="AT352" s="646"/>
      <c r="AU352" s="646"/>
      <c r="AV352" s="646"/>
      <c r="AW352" s="270"/>
      <c r="AX352" s="646"/>
      <c r="AY352" s="270"/>
      <c r="AZ352" s="646"/>
      <c r="BA352" s="646"/>
      <c r="BB352" s="644"/>
      <c r="BC352" s="644"/>
      <c r="BD352" s="644"/>
      <c r="BE352" s="644"/>
      <c r="BF352" s="644"/>
      <c r="BG352" s="644"/>
      <c r="BH352" s="644"/>
      <c r="BI352" s="644"/>
      <c r="BJ352" s="644"/>
      <c r="BK352" s="644"/>
      <c r="BL352" s="644"/>
      <c r="BM352" s="95"/>
      <c r="BN352" s="644"/>
      <c r="BO352" s="95"/>
      <c r="BP352" s="644"/>
      <c r="BQ352" s="644"/>
      <c r="BR352" s="644"/>
      <c r="BS352" s="644"/>
      <c r="BT352" s="644"/>
      <c r="BU352" s="644"/>
      <c r="BV352" s="644"/>
      <c r="BW352" s="644"/>
      <c r="BX352" s="644"/>
      <c r="BY352" s="644"/>
      <c r="BZ352" s="644"/>
      <c r="CA352" s="644"/>
      <c r="CB352" s="644"/>
      <c r="CC352" s="644"/>
      <c r="CD352" s="644"/>
      <c r="CE352" s="644"/>
      <c r="CF352" s="644"/>
      <c r="CG352" s="644"/>
      <c r="CH352" s="644"/>
      <c r="CI352" s="644"/>
      <c r="CJ352" s="644"/>
      <c r="CK352" s="644"/>
      <c r="CL352" s="644"/>
      <c r="CM352" s="95"/>
      <c r="CN352" s="644"/>
      <c r="CO352" s="644"/>
      <c r="CP352" s="95"/>
      <c r="CQ352" s="98"/>
      <c r="CR352" s="95"/>
      <c r="CS352" s="95"/>
      <c r="CT352" s="95"/>
      <c r="CU352" s="108"/>
      <c r="CV352" s="109"/>
      <c r="CW352" s="644"/>
      <c r="CX352" s="496"/>
      <c r="CY352" s="637"/>
      <c r="CZ352" s="644"/>
      <c r="DA352" s="644"/>
      <c r="DB352" s="644"/>
      <c r="DC352" s="496"/>
      <c r="DD352" s="644"/>
      <c r="DE352" s="101"/>
      <c r="DF352" s="644"/>
      <c r="DG352" s="101"/>
      <c r="DH352" s="644"/>
      <c r="DI352" s="644"/>
      <c r="DJ352" s="644"/>
      <c r="DK352" s="644"/>
      <c r="DL352" s="644"/>
      <c r="DM352" s="101"/>
      <c r="DN352" s="644"/>
      <c r="DO352" s="644"/>
      <c r="DP352" s="644"/>
      <c r="DQ352" s="644"/>
      <c r="DR352" s="644"/>
      <c r="DS352" s="644"/>
      <c r="DT352" s="644"/>
      <c r="DU352" s="644"/>
      <c r="DV352" s="644"/>
      <c r="DW352" s="101"/>
      <c r="DX352" s="646"/>
      <c r="DY352" s="646"/>
      <c r="DZ352" s="646"/>
      <c r="EA352" s="646"/>
      <c r="EB352" s="646"/>
      <c r="EC352" s="646"/>
      <c r="ED352" s="646"/>
      <c r="EE352" s="646"/>
      <c r="EF352" s="646"/>
      <c r="EG352" s="646"/>
      <c r="EH352" s="646"/>
      <c r="EI352" s="646"/>
      <c r="EJ352" s="646"/>
      <c r="EK352" s="271"/>
      <c r="EL352" s="644"/>
      <c r="EM352" s="634"/>
      <c r="EN352" s="647"/>
      <c r="EO352" s="648"/>
      <c r="EP352" s="647"/>
      <c r="EQ352" s="647"/>
      <c r="ER352" s="647"/>
      <c r="ES352" s="139"/>
      <c r="EV352" s="647"/>
      <c r="EW352" s="647"/>
      <c r="EX352" s="647"/>
      <c r="EY352" s="647"/>
      <c r="EZ352" s="647"/>
      <c r="FA352" s="646"/>
      <c r="FB352" s="646"/>
      <c r="FC352" s="646"/>
      <c r="FD352" s="646"/>
      <c r="FE352" s="646"/>
      <c r="FF352" s="646"/>
      <c r="FG352" s="647"/>
      <c r="FH352" s="647"/>
      <c r="FI352" s="647"/>
      <c r="FJ352" s="647"/>
      <c r="FK352" s="647"/>
      <c r="FL352" s="647"/>
      <c r="FM352" s="647"/>
      <c r="FN352" s="647"/>
      <c r="FO352" s="647"/>
      <c r="FP352" s="647"/>
      <c r="FQ352" s="647"/>
      <c r="FR352" s="647"/>
      <c r="FS352" s="101"/>
      <c r="FT352" s="95"/>
      <c r="FU352" s="651"/>
      <c r="FV352" s="101"/>
      <c r="FW352" s="101"/>
      <c r="FX352" s="634"/>
      <c r="FY352" s="634"/>
      <c r="FZ352" s="634"/>
      <c r="GA352" s="634"/>
      <c r="GB352" s="634"/>
      <c r="GC352" s="634"/>
      <c r="GD352" s="634"/>
      <c r="GE352" s="634"/>
      <c r="GF352" s="634"/>
      <c r="GG352" s="634"/>
      <c r="GH352" s="634"/>
      <c r="GI352" s="634"/>
      <c r="GJ352" s="634"/>
      <c r="GK352" s="634"/>
      <c r="GL352" s="101"/>
      <c r="GM352" s="101"/>
      <c r="GN352" s="101"/>
      <c r="GO352" s="643"/>
      <c r="GP352" s="644"/>
      <c r="GQ352" s="643"/>
      <c r="GR352" s="644"/>
      <c r="GS352" s="643"/>
      <c r="GT352" s="644"/>
      <c r="GU352" s="644"/>
      <c r="GV352" s="644"/>
      <c r="GW352" s="644"/>
      <c r="GX352" s="644"/>
      <c r="GY352" s="644"/>
      <c r="GZ352" s="644"/>
      <c r="HA352" s="644"/>
    </row>
    <row r="353" spans="1:209">
      <c r="A353" s="638"/>
      <c r="B353" s="95"/>
      <c r="C353" s="95"/>
      <c r="D353" s="95"/>
      <c r="E353" s="650"/>
      <c r="F353" s="95"/>
      <c r="G353" s="98"/>
      <c r="H353" s="99"/>
      <c r="I353" s="95"/>
      <c r="J353" s="95"/>
      <c r="K353" s="95"/>
      <c r="L353" s="95"/>
      <c r="M353" s="95"/>
      <c r="N353" s="95"/>
      <c r="O353" s="95"/>
      <c r="P353" s="95"/>
      <c r="Q353" s="95"/>
      <c r="R353" s="98"/>
      <c r="S353" s="101"/>
      <c r="T353" s="644"/>
      <c r="U353" s="101"/>
      <c r="V353" s="647"/>
      <c r="W353" s="643"/>
      <c r="X353" s="644"/>
      <c r="Y353" s="101"/>
      <c r="Z353" s="644"/>
      <c r="AA353" s="101"/>
      <c r="AB353" s="644"/>
      <c r="AC353" s="101"/>
      <c r="AD353" s="646"/>
      <c r="AE353" s="271"/>
      <c r="AF353" s="646"/>
      <c r="AG353" s="646"/>
      <c r="AH353" s="646"/>
      <c r="AI353" s="646"/>
      <c r="AJ353" s="646"/>
      <c r="AK353" s="646"/>
      <c r="AL353" s="646"/>
      <c r="AM353" s="271"/>
      <c r="AN353" s="646"/>
      <c r="AO353" s="646"/>
      <c r="AP353" s="646"/>
      <c r="AQ353" s="271"/>
      <c r="AR353" s="646"/>
      <c r="AS353" s="270"/>
      <c r="AT353" s="646"/>
      <c r="AU353" s="646"/>
      <c r="AV353" s="646"/>
      <c r="AW353" s="270"/>
      <c r="AX353" s="646"/>
      <c r="AY353" s="270"/>
      <c r="AZ353" s="646"/>
      <c r="BA353" s="646"/>
      <c r="BB353" s="644"/>
      <c r="BC353" s="644"/>
      <c r="BD353" s="644"/>
      <c r="BE353" s="644"/>
      <c r="BF353" s="644"/>
      <c r="BG353" s="644"/>
      <c r="BH353" s="644"/>
      <c r="BI353" s="644"/>
      <c r="BJ353" s="644"/>
      <c r="BK353" s="644"/>
      <c r="BL353" s="644"/>
      <c r="BM353" s="95"/>
      <c r="BN353" s="644"/>
      <c r="BO353" s="95"/>
      <c r="BP353" s="644"/>
      <c r="BQ353" s="644"/>
      <c r="BR353" s="644"/>
      <c r="BS353" s="644"/>
      <c r="BT353" s="644"/>
      <c r="BU353" s="644"/>
      <c r="BV353" s="644"/>
      <c r="BW353" s="644"/>
      <c r="BX353" s="644"/>
      <c r="BY353" s="644"/>
      <c r="BZ353" s="644"/>
      <c r="CA353" s="644"/>
      <c r="CB353" s="644"/>
      <c r="CC353" s="644"/>
      <c r="CD353" s="644"/>
      <c r="CE353" s="644"/>
      <c r="CF353" s="644"/>
      <c r="CG353" s="644"/>
      <c r="CH353" s="644"/>
      <c r="CI353" s="644"/>
      <c r="CJ353" s="644"/>
      <c r="CK353" s="644"/>
      <c r="CL353" s="644"/>
      <c r="CM353" s="95"/>
      <c r="CN353" s="644"/>
      <c r="CO353" s="644"/>
      <c r="CP353" s="95"/>
      <c r="CQ353" s="98"/>
      <c r="CR353" s="95"/>
      <c r="CS353" s="95"/>
      <c r="CT353" s="95"/>
      <c r="CU353" s="108"/>
      <c r="CV353" s="109"/>
      <c r="CW353" s="644"/>
      <c r="CX353" s="496"/>
      <c r="CY353" s="637"/>
      <c r="CZ353" s="644"/>
      <c r="DA353" s="644"/>
      <c r="DB353" s="644"/>
      <c r="DC353" s="496"/>
      <c r="DD353" s="644"/>
      <c r="DE353" s="101"/>
      <c r="DF353" s="644"/>
      <c r="DG353" s="101"/>
      <c r="DH353" s="644"/>
      <c r="DI353" s="644"/>
      <c r="DJ353" s="644"/>
      <c r="DK353" s="644"/>
      <c r="DL353" s="644"/>
      <c r="DM353" s="101"/>
      <c r="DN353" s="644"/>
      <c r="DO353" s="644"/>
      <c r="DP353" s="644"/>
      <c r="DQ353" s="644"/>
      <c r="DR353" s="644"/>
      <c r="DS353" s="644"/>
      <c r="DT353" s="644"/>
      <c r="DU353" s="644"/>
      <c r="DV353" s="644"/>
      <c r="DW353" s="101"/>
      <c r="DX353" s="646"/>
      <c r="DY353" s="646"/>
      <c r="DZ353" s="646"/>
      <c r="EA353" s="646"/>
      <c r="EB353" s="646"/>
      <c r="EC353" s="646"/>
      <c r="ED353" s="646"/>
      <c r="EE353" s="646"/>
      <c r="EF353" s="646"/>
      <c r="EG353" s="646"/>
      <c r="EH353" s="646"/>
      <c r="EI353" s="646"/>
      <c r="EJ353" s="646"/>
      <c r="EK353" s="271"/>
      <c r="EL353" s="644"/>
      <c r="EM353" s="634"/>
      <c r="EN353" s="647"/>
      <c r="EO353" s="648"/>
      <c r="EP353" s="647"/>
      <c r="EQ353" s="647"/>
      <c r="ER353" s="647"/>
      <c r="ES353" s="139"/>
      <c r="EV353" s="647"/>
      <c r="EW353" s="647"/>
      <c r="EX353" s="647"/>
      <c r="EY353" s="647"/>
      <c r="EZ353" s="647"/>
      <c r="FA353" s="646"/>
      <c r="FB353" s="646"/>
      <c r="FC353" s="646"/>
      <c r="FD353" s="646"/>
      <c r="FE353" s="646"/>
      <c r="FF353" s="646"/>
      <c r="FG353" s="647"/>
      <c r="FH353" s="647"/>
      <c r="FI353" s="647"/>
      <c r="FJ353" s="647"/>
      <c r="FK353" s="647"/>
      <c r="FL353" s="647"/>
      <c r="FM353" s="647"/>
      <c r="FN353" s="647"/>
      <c r="FO353" s="647"/>
      <c r="FP353" s="647"/>
      <c r="FQ353" s="647"/>
      <c r="FR353" s="647"/>
      <c r="FS353" s="101"/>
      <c r="FT353" s="95"/>
      <c r="FU353" s="651"/>
      <c r="FV353" s="101"/>
      <c r="FW353" s="101"/>
      <c r="FX353" s="634"/>
      <c r="FY353" s="634"/>
      <c r="FZ353" s="634"/>
      <c r="GA353" s="634"/>
      <c r="GB353" s="634"/>
      <c r="GC353" s="634"/>
      <c r="GD353" s="634"/>
      <c r="GE353" s="634"/>
      <c r="GF353" s="634"/>
      <c r="GG353" s="634"/>
      <c r="GH353" s="634"/>
      <c r="GI353" s="634"/>
      <c r="GJ353" s="634"/>
      <c r="GK353" s="634"/>
      <c r="GL353" s="101"/>
      <c r="GM353" s="101"/>
      <c r="GN353" s="101"/>
      <c r="GO353" s="643"/>
      <c r="GP353" s="644"/>
      <c r="GQ353" s="643"/>
      <c r="GR353" s="644"/>
      <c r="GS353" s="643"/>
      <c r="GT353" s="644"/>
      <c r="GU353" s="644"/>
      <c r="GV353" s="644"/>
      <c r="GW353" s="644"/>
      <c r="GX353" s="644"/>
      <c r="GY353" s="644"/>
      <c r="GZ353" s="644"/>
      <c r="HA353" s="644"/>
    </row>
    <row r="354" spans="1:209">
      <c r="A354" s="638"/>
      <c r="B354" s="95"/>
      <c r="C354" s="95"/>
      <c r="D354" s="95"/>
      <c r="E354" s="650"/>
      <c r="F354" s="95"/>
      <c r="G354" s="98"/>
      <c r="H354" s="99"/>
      <c r="I354" s="95"/>
      <c r="J354" s="95"/>
      <c r="K354" s="95"/>
      <c r="L354" s="95"/>
      <c r="M354" s="95"/>
      <c r="N354" s="95"/>
      <c r="O354" s="95"/>
      <c r="P354" s="95"/>
      <c r="Q354" s="95"/>
      <c r="R354" s="98"/>
      <c r="S354" s="101"/>
      <c r="T354" s="644"/>
      <c r="U354" s="101"/>
      <c r="V354" s="647"/>
      <c r="W354" s="643"/>
      <c r="X354" s="644"/>
      <c r="Y354" s="101"/>
      <c r="Z354" s="644"/>
      <c r="AA354" s="101"/>
      <c r="AB354" s="644"/>
      <c r="AC354" s="101"/>
      <c r="AD354" s="646"/>
      <c r="AE354" s="271"/>
      <c r="AF354" s="646"/>
      <c r="AG354" s="646"/>
      <c r="AH354" s="646"/>
      <c r="AI354" s="646"/>
      <c r="AJ354" s="646"/>
      <c r="AK354" s="646"/>
      <c r="AL354" s="646"/>
      <c r="AM354" s="271"/>
      <c r="AN354" s="646"/>
      <c r="AO354" s="646"/>
      <c r="AP354" s="646"/>
      <c r="AQ354" s="271"/>
      <c r="AR354" s="646"/>
      <c r="AS354" s="270"/>
      <c r="AT354" s="646"/>
      <c r="AU354" s="646"/>
      <c r="AV354" s="646"/>
      <c r="AW354" s="270"/>
      <c r="AX354" s="646"/>
      <c r="AY354" s="270"/>
      <c r="AZ354" s="646"/>
      <c r="BA354" s="646"/>
      <c r="BB354" s="644"/>
      <c r="BC354" s="644"/>
      <c r="BD354" s="644"/>
      <c r="BE354" s="644"/>
      <c r="BF354" s="644"/>
      <c r="BG354" s="644"/>
      <c r="BH354" s="644"/>
      <c r="BI354" s="644"/>
      <c r="BJ354" s="644"/>
      <c r="BK354" s="644"/>
      <c r="BL354" s="644"/>
      <c r="BM354" s="95"/>
      <c r="BN354" s="644"/>
      <c r="BO354" s="95"/>
      <c r="BP354" s="644"/>
      <c r="BQ354" s="644"/>
      <c r="BR354" s="644"/>
      <c r="BS354" s="644"/>
      <c r="BT354" s="644"/>
      <c r="BU354" s="644"/>
      <c r="BV354" s="644"/>
      <c r="BW354" s="644"/>
      <c r="BX354" s="644"/>
      <c r="BY354" s="644"/>
      <c r="BZ354" s="644"/>
      <c r="CA354" s="644"/>
      <c r="CB354" s="644"/>
      <c r="CC354" s="644"/>
      <c r="CD354" s="644"/>
      <c r="CE354" s="644"/>
      <c r="CF354" s="644"/>
      <c r="CG354" s="644"/>
      <c r="CH354" s="644"/>
      <c r="CI354" s="644"/>
      <c r="CJ354" s="644"/>
      <c r="CK354" s="644"/>
      <c r="CL354" s="644"/>
      <c r="CM354" s="95"/>
      <c r="CN354" s="644"/>
      <c r="CO354" s="644"/>
      <c r="CP354" s="95"/>
      <c r="CQ354" s="98"/>
      <c r="CR354" s="95"/>
      <c r="CS354" s="95"/>
      <c r="CT354" s="95"/>
      <c r="CU354" s="108"/>
      <c r="CV354" s="109"/>
      <c r="CW354" s="644"/>
      <c r="CX354" s="496"/>
      <c r="CY354" s="637"/>
      <c r="CZ354" s="644"/>
      <c r="DA354" s="644"/>
      <c r="DB354" s="644"/>
      <c r="DC354" s="496"/>
      <c r="DD354" s="644"/>
      <c r="DE354" s="101"/>
      <c r="DF354" s="644"/>
      <c r="DG354" s="101"/>
      <c r="DH354" s="644"/>
      <c r="DI354" s="644"/>
      <c r="DJ354" s="644"/>
      <c r="DK354" s="644"/>
      <c r="DL354" s="644"/>
      <c r="DM354" s="101"/>
      <c r="DN354" s="644"/>
      <c r="DO354" s="644"/>
      <c r="DP354" s="644"/>
      <c r="DQ354" s="644"/>
      <c r="DR354" s="644"/>
      <c r="DS354" s="644"/>
      <c r="DT354" s="644"/>
      <c r="DU354" s="644"/>
      <c r="DV354" s="644"/>
      <c r="DW354" s="101"/>
      <c r="DX354" s="646"/>
      <c r="DY354" s="646"/>
      <c r="DZ354" s="646"/>
      <c r="EA354" s="646"/>
      <c r="EB354" s="646"/>
      <c r="EC354" s="646"/>
      <c r="ED354" s="646"/>
      <c r="EE354" s="646"/>
      <c r="EF354" s="646"/>
      <c r="EG354" s="646"/>
      <c r="EH354" s="646"/>
      <c r="EI354" s="646"/>
      <c r="EJ354" s="646"/>
      <c r="EK354" s="271"/>
      <c r="EL354" s="644"/>
      <c r="EM354" s="634"/>
      <c r="EN354" s="647"/>
      <c r="EO354" s="648"/>
      <c r="EP354" s="647"/>
      <c r="EQ354" s="647"/>
      <c r="ER354" s="647"/>
      <c r="ES354" s="139"/>
      <c r="EV354" s="647"/>
      <c r="EW354" s="647"/>
      <c r="EX354" s="647"/>
      <c r="EY354" s="647"/>
      <c r="EZ354" s="647"/>
      <c r="FA354" s="646"/>
      <c r="FB354" s="646"/>
      <c r="FC354" s="646"/>
      <c r="FD354" s="646"/>
      <c r="FE354" s="646"/>
      <c r="FF354" s="646"/>
      <c r="FG354" s="647"/>
      <c r="FH354" s="647"/>
      <c r="FI354" s="647"/>
      <c r="FJ354" s="647"/>
      <c r="FK354" s="647"/>
      <c r="FL354" s="647"/>
      <c r="FM354" s="647"/>
      <c r="FN354" s="647"/>
      <c r="FO354" s="647"/>
      <c r="FP354" s="647"/>
      <c r="FQ354" s="647"/>
      <c r="FR354" s="647"/>
      <c r="FS354" s="101"/>
      <c r="FT354" s="95"/>
      <c r="FU354" s="651"/>
      <c r="FV354" s="101"/>
      <c r="FW354" s="101"/>
      <c r="FX354" s="634"/>
      <c r="FY354" s="634"/>
      <c r="FZ354" s="634"/>
      <c r="GA354" s="634"/>
      <c r="GB354" s="634"/>
      <c r="GC354" s="634"/>
      <c r="GD354" s="634"/>
      <c r="GE354" s="634"/>
      <c r="GF354" s="634"/>
      <c r="GG354" s="634"/>
      <c r="GH354" s="634"/>
      <c r="GI354" s="634"/>
      <c r="GJ354" s="634"/>
      <c r="GK354" s="634"/>
      <c r="GL354" s="101"/>
      <c r="GM354" s="101"/>
      <c r="GN354" s="101"/>
      <c r="GO354" s="643"/>
      <c r="GP354" s="644"/>
      <c r="GQ354" s="643"/>
      <c r="GR354" s="644"/>
      <c r="GS354" s="643"/>
      <c r="GT354" s="644"/>
      <c r="GU354" s="644"/>
      <c r="GV354" s="644"/>
      <c r="GW354" s="644"/>
      <c r="GX354" s="644"/>
      <c r="GY354" s="644"/>
      <c r="GZ354" s="644"/>
      <c r="HA354" s="644"/>
    </row>
    <row r="355" spans="1:209">
      <c r="A355" s="638"/>
      <c r="B355" s="95"/>
      <c r="C355" s="95"/>
      <c r="D355" s="95"/>
      <c r="E355" s="650"/>
      <c r="F355" s="95"/>
      <c r="G355" s="98"/>
      <c r="H355" s="99"/>
      <c r="I355" s="95"/>
      <c r="J355" s="95"/>
      <c r="K355" s="95"/>
      <c r="L355" s="95"/>
      <c r="M355" s="95"/>
      <c r="N355" s="95"/>
      <c r="O355" s="95"/>
      <c r="P355" s="95"/>
      <c r="Q355" s="95"/>
      <c r="R355" s="98"/>
      <c r="S355" s="101"/>
      <c r="T355" s="644"/>
      <c r="U355" s="101"/>
      <c r="V355" s="647"/>
      <c r="W355" s="643"/>
      <c r="X355" s="644"/>
      <c r="Y355" s="101"/>
      <c r="Z355" s="644"/>
      <c r="AA355" s="101"/>
      <c r="AB355" s="644"/>
      <c r="AC355" s="101"/>
      <c r="AD355" s="646"/>
      <c r="AE355" s="271"/>
      <c r="AF355" s="646"/>
      <c r="AG355" s="646"/>
      <c r="AH355" s="646"/>
      <c r="AI355" s="646"/>
      <c r="AJ355" s="646"/>
      <c r="AK355" s="646"/>
      <c r="AL355" s="646"/>
      <c r="AM355" s="271"/>
      <c r="AN355" s="646"/>
      <c r="AO355" s="646"/>
      <c r="AP355" s="646"/>
      <c r="AQ355" s="271"/>
      <c r="AR355" s="646"/>
      <c r="AS355" s="270"/>
      <c r="AT355" s="646"/>
      <c r="AU355" s="646"/>
      <c r="AV355" s="646"/>
      <c r="AW355" s="270"/>
      <c r="AX355" s="646"/>
      <c r="AY355" s="270"/>
      <c r="AZ355" s="646"/>
      <c r="BA355" s="646"/>
      <c r="BB355" s="644"/>
      <c r="BC355" s="644"/>
      <c r="BD355" s="644"/>
      <c r="BE355" s="644"/>
      <c r="BF355" s="644"/>
      <c r="BG355" s="644"/>
      <c r="BH355" s="644"/>
      <c r="BI355" s="644"/>
      <c r="BJ355" s="644"/>
      <c r="BK355" s="644"/>
      <c r="BL355" s="644"/>
      <c r="BM355" s="95"/>
      <c r="BN355" s="644"/>
      <c r="BO355" s="95"/>
      <c r="BP355" s="644"/>
      <c r="BQ355" s="644"/>
      <c r="BR355" s="644"/>
      <c r="BS355" s="644"/>
      <c r="BT355" s="644"/>
      <c r="BU355" s="644"/>
      <c r="BV355" s="644"/>
      <c r="BW355" s="644"/>
      <c r="BX355" s="644"/>
      <c r="BY355" s="644"/>
      <c r="BZ355" s="644"/>
      <c r="CA355" s="644"/>
      <c r="CB355" s="644"/>
      <c r="CC355" s="644"/>
      <c r="CD355" s="644"/>
      <c r="CE355" s="644"/>
      <c r="CF355" s="644"/>
      <c r="CG355" s="644"/>
      <c r="CH355" s="644"/>
      <c r="CI355" s="644"/>
      <c r="CJ355" s="644"/>
      <c r="CK355" s="644"/>
      <c r="CL355" s="644"/>
      <c r="CM355" s="95"/>
      <c r="CN355" s="644"/>
      <c r="CO355" s="644"/>
      <c r="CP355" s="95"/>
      <c r="CQ355" s="98"/>
      <c r="CR355" s="95"/>
      <c r="CS355" s="95"/>
      <c r="CT355" s="95"/>
      <c r="CU355" s="108"/>
      <c r="CV355" s="109"/>
      <c r="CW355" s="644"/>
      <c r="CX355" s="496"/>
      <c r="CY355" s="637"/>
      <c r="CZ355" s="644"/>
      <c r="DA355" s="644"/>
      <c r="DB355" s="644"/>
      <c r="DC355" s="496"/>
      <c r="DD355" s="644"/>
      <c r="DE355" s="101"/>
      <c r="DF355" s="644"/>
      <c r="DG355" s="101"/>
      <c r="DH355" s="644"/>
      <c r="DI355" s="644"/>
      <c r="DJ355" s="644"/>
      <c r="DK355" s="644"/>
      <c r="DL355" s="644"/>
      <c r="DM355" s="101"/>
      <c r="DN355" s="644"/>
      <c r="DO355" s="644"/>
      <c r="DP355" s="644"/>
      <c r="DQ355" s="644"/>
      <c r="DR355" s="644"/>
      <c r="DS355" s="644"/>
      <c r="DT355" s="644"/>
      <c r="DU355" s="644"/>
      <c r="DV355" s="644"/>
      <c r="DW355" s="101"/>
      <c r="DX355" s="646"/>
      <c r="DY355" s="646"/>
      <c r="DZ355" s="646"/>
      <c r="EA355" s="646"/>
      <c r="EB355" s="646"/>
      <c r="EC355" s="646"/>
      <c r="ED355" s="646"/>
      <c r="EE355" s="646"/>
      <c r="EF355" s="646"/>
      <c r="EG355" s="646"/>
      <c r="EH355" s="646"/>
      <c r="EI355" s="646"/>
      <c r="EJ355" s="646"/>
      <c r="EK355" s="271"/>
      <c r="EL355" s="644"/>
      <c r="EM355" s="634"/>
      <c r="EN355" s="647"/>
      <c r="EO355" s="648"/>
      <c r="EP355" s="647"/>
      <c r="EQ355" s="647"/>
      <c r="ER355" s="647"/>
      <c r="ES355" s="139"/>
      <c r="EV355" s="647"/>
      <c r="EW355" s="647"/>
      <c r="EX355" s="647"/>
      <c r="EY355" s="647"/>
      <c r="EZ355" s="647"/>
      <c r="FA355" s="646"/>
      <c r="FB355" s="646"/>
      <c r="FC355" s="646"/>
      <c r="FD355" s="646"/>
      <c r="FE355" s="646"/>
      <c r="FF355" s="646"/>
      <c r="FG355" s="647"/>
      <c r="FH355" s="647"/>
      <c r="FI355" s="647"/>
      <c r="FJ355" s="647"/>
      <c r="FK355" s="647"/>
      <c r="FL355" s="647"/>
      <c r="FM355" s="647"/>
      <c r="FN355" s="647"/>
      <c r="FO355" s="647"/>
      <c r="FP355" s="647"/>
      <c r="FQ355" s="647"/>
      <c r="FR355" s="647"/>
      <c r="FS355" s="101"/>
      <c r="FT355" s="95"/>
      <c r="FU355" s="651"/>
      <c r="FV355" s="101"/>
      <c r="FW355" s="101"/>
      <c r="FX355" s="634"/>
      <c r="FY355" s="634"/>
      <c r="FZ355" s="634"/>
      <c r="GA355" s="634"/>
      <c r="GB355" s="634"/>
      <c r="GC355" s="634"/>
      <c r="GD355" s="634"/>
      <c r="GE355" s="634"/>
      <c r="GF355" s="634"/>
      <c r="GG355" s="634"/>
      <c r="GH355" s="634"/>
      <c r="GI355" s="634"/>
      <c r="GJ355" s="634"/>
      <c r="GK355" s="634"/>
      <c r="GL355" s="101"/>
      <c r="GM355" s="101"/>
      <c r="GN355" s="101"/>
      <c r="GO355" s="643"/>
      <c r="GP355" s="644"/>
      <c r="GQ355" s="643"/>
      <c r="GR355" s="644"/>
      <c r="GS355" s="643"/>
      <c r="GT355" s="644"/>
      <c r="GU355" s="644"/>
      <c r="GV355" s="644"/>
      <c r="GW355" s="644"/>
      <c r="GX355" s="644"/>
      <c r="GY355" s="644"/>
      <c r="GZ355" s="644"/>
      <c r="HA355" s="644"/>
    </row>
    <row r="356" spans="1:209">
      <c r="A356" s="638"/>
      <c r="B356" s="95"/>
      <c r="C356" s="95"/>
      <c r="D356" s="95"/>
      <c r="E356" s="650"/>
      <c r="F356" s="95"/>
      <c r="G356" s="98"/>
      <c r="H356" s="99"/>
      <c r="I356" s="95"/>
      <c r="J356" s="95"/>
      <c r="K356" s="95"/>
      <c r="L356" s="95"/>
      <c r="M356" s="95"/>
      <c r="N356" s="95"/>
      <c r="O356" s="95"/>
      <c r="P356" s="95"/>
      <c r="Q356" s="95"/>
      <c r="R356" s="98"/>
      <c r="S356" s="101"/>
      <c r="T356" s="644"/>
      <c r="U356" s="101"/>
      <c r="V356" s="647"/>
      <c r="W356" s="643"/>
      <c r="X356" s="644"/>
      <c r="Y356" s="101"/>
      <c r="Z356" s="644"/>
      <c r="AA356" s="101"/>
      <c r="AB356" s="644"/>
      <c r="AC356" s="101"/>
      <c r="AD356" s="646"/>
      <c r="AE356" s="271"/>
      <c r="AF356" s="646"/>
      <c r="AG356" s="646"/>
      <c r="AH356" s="646"/>
      <c r="AI356" s="646"/>
      <c r="AJ356" s="646"/>
      <c r="AK356" s="646"/>
      <c r="AL356" s="646"/>
      <c r="AM356" s="271"/>
      <c r="AN356" s="646"/>
      <c r="AO356" s="646"/>
      <c r="AP356" s="646"/>
      <c r="AQ356" s="271"/>
      <c r="AR356" s="646"/>
      <c r="AS356" s="270"/>
      <c r="AT356" s="646"/>
      <c r="AU356" s="646"/>
      <c r="AV356" s="646"/>
      <c r="AW356" s="270"/>
      <c r="AX356" s="646"/>
      <c r="AY356" s="270"/>
      <c r="AZ356" s="646"/>
      <c r="BA356" s="646"/>
      <c r="BB356" s="644"/>
      <c r="BC356" s="644"/>
      <c r="BD356" s="644"/>
      <c r="BE356" s="644"/>
      <c r="BF356" s="644"/>
      <c r="BG356" s="644"/>
      <c r="BH356" s="644"/>
      <c r="BI356" s="644"/>
      <c r="BJ356" s="644"/>
      <c r="BK356" s="644"/>
      <c r="BL356" s="644"/>
      <c r="BM356" s="95"/>
      <c r="BN356" s="644"/>
      <c r="BO356" s="95"/>
      <c r="BP356" s="644"/>
      <c r="BQ356" s="644"/>
      <c r="BR356" s="644"/>
      <c r="BS356" s="644"/>
      <c r="BT356" s="644"/>
      <c r="BU356" s="644"/>
      <c r="BV356" s="644"/>
      <c r="BW356" s="644"/>
      <c r="BX356" s="644"/>
      <c r="BY356" s="644"/>
      <c r="BZ356" s="644"/>
      <c r="CA356" s="644"/>
      <c r="CB356" s="644"/>
      <c r="CC356" s="644"/>
      <c r="CD356" s="644"/>
      <c r="CE356" s="644"/>
      <c r="CF356" s="644"/>
      <c r="CG356" s="644"/>
      <c r="CH356" s="644"/>
      <c r="CI356" s="644"/>
      <c r="CJ356" s="644"/>
      <c r="CK356" s="644"/>
      <c r="CL356" s="644"/>
      <c r="CM356" s="95"/>
      <c r="CN356" s="644"/>
      <c r="CO356" s="644"/>
      <c r="CP356" s="95"/>
      <c r="CQ356" s="98"/>
      <c r="CR356" s="95"/>
      <c r="CS356" s="95"/>
      <c r="CT356" s="95"/>
      <c r="CU356" s="108"/>
      <c r="CV356" s="109"/>
      <c r="CW356" s="644"/>
      <c r="CX356" s="496"/>
      <c r="CY356" s="637"/>
      <c r="CZ356" s="644"/>
      <c r="DA356" s="644"/>
      <c r="DB356" s="644"/>
      <c r="DC356" s="496"/>
      <c r="DD356" s="644"/>
      <c r="DE356" s="101"/>
      <c r="DF356" s="644"/>
      <c r="DG356" s="101"/>
      <c r="DH356" s="644"/>
      <c r="DI356" s="644"/>
      <c r="DJ356" s="644"/>
      <c r="DK356" s="644"/>
      <c r="DL356" s="644"/>
      <c r="DM356" s="101"/>
      <c r="DN356" s="644"/>
      <c r="DO356" s="644"/>
      <c r="DP356" s="644"/>
      <c r="DQ356" s="644"/>
      <c r="DR356" s="644"/>
      <c r="DS356" s="644"/>
      <c r="DT356" s="644"/>
      <c r="DU356" s="644"/>
      <c r="DV356" s="644"/>
      <c r="DW356" s="101"/>
      <c r="DX356" s="646"/>
      <c r="DY356" s="646"/>
      <c r="DZ356" s="646"/>
      <c r="EA356" s="646"/>
      <c r="EB356" s="646"/>
      <c r="EC356" s="646"/>
      <c r="ED356" s="646"/>
      <c r="EE356" s="646"/>
      <c r="EF356" s="646"/>
      <c r="EG356" s="646"/>
      <c r="EH356" s="646"/>
      <c r="EI356" s="646"/>
      <c r="EJ356" s="646"/>
      <c r="EK356" s="271"/>
      <c r="EL356" s="644"/>
      <c r="EM356" s="634"/>
      <c r="EN356" s="647"/>
      <c r="EO356" s="648"/>
      <c r="EP356" s="647"/>
      <c r="EQ356" s="647"/>
      <c r="ER356" s="647"/>
      <c r="ES356" s="139"/>
      <c r="EV356" s="647"/>
      <c r="EW356" s="647"/>
      <c r="EX356" s="647"/>
      <c r="EY356" s="647"/>
      <c r="EZ356" s="647"/>
      <c r="FA356" s="646"/>
      <c r="FB356" s="646"/>
      <c r="FC356" s="646"/>
      <c r="FD356" s="646"/>
      <c r="FE356" s="646"/>
      <c r="FF356" s="646"/>
      <c r="FG356" s="647"/>
      <c r="FH356" s="647"/>
      <c r="FI356" s="647"/>
      <c r="FJ356" s="647"/>
      <c r="FK356" s="647"/>
      <c r="FL356" s="647"/>
      <c r="FM356" s="647"/>
      <c r="FN356" s="647"/>
      <c r="FO356" s="647"/>
      <c r="FP356" s="647"/>
      <c r="FQ356" s="647"/>
      <c r="FR356" s="647"/>
      <c r="FS356" s="101"/>
      <c r="FT356" s="95"/>
      <c r="FU356" s="651"/>
      <c r="FV356" s="101"/>
      <c r="FW356" s="101"/>
      <c r="FX356" s="634"/>
      <c r="FY356" s="634"/>
      <c r="FZ356" s="634"/>
      <c r="GA356" s="634"/>
      <c r="GB356" s="634"/>
      <c r="GC356" s="634"/>
      <c r="GD356" s="634"/>
      <c r="GE356" s="634"/>
      <c r="GF356" s="634"/>
      <c r="GG356" s="634"/>
      <c r="GH356" s="634"/>
      <c r="GI356" s="634"/>
      <c r="GJ356" s="634"/>
      <c r="GK356" s="634"/>
      <c r="GL356" s="101"/>
      <c r="GM356" s="101"/>
      <c r="GN356" s="101"/>
      <c r="GO356" s="643"/>
      <c r="GP356" s="644"/>
      <c r="GQ356" s="643"/>
      <c r="GR356" s="644"/>
      <c r="GS356" s="643"/>
      <c r="GT356" s="644"/>
      <c r="GU356" s="644"/>
      <c r="GV356" s="644"/>
      <c r="GW356" s="644"/>
      <c r="GX356" s="644"/>
      <c r="GY356" s="644"/>
      <c r="GZ356" s="644"/>
      <c r="HA356" s="644"/>
    </row>
    <row r="357" spans="1:209">
      <c r="A357" s="638"/>
      <c r="B357" s="95"/>
      <c r="C357" s="95"/>
      <c r="D357" s="95"/>
      <c r="E357" s="650"/>
      <c r="F357" s="95"/>
      <c r="G357" s="98"/>
      <c r="H357" s="99"/>
      <c r="I357" s="95"/>
      <c r="J357" s="95"/>
      <c r="K357" s="95"/>
      <c r="L357" s="95"/>
      <c r="M357" s="95"/>
      <c r="N357" s="95"/>
      <c r="O357" s="95"/>
      <c r="P357" s="95"/>
      <c r="Q357" s="95"/>
      <c r="R357" s="98"/>
      <c r="S357" s="101"/>
      <c r="T357" s="644"/>
      <c r="U357" s="101"/>
      <c r="V357" s="647"/>
      <c r="W357" s="643"/>
      <c r="X357" s="644"/>
      <c r="Y357" s="101"/>
      <c r="Z357" s="644"/>
      <c r="AA357" s="101"/>
      <c r="AB357" s="644"/>
      <c r="AC357" s="101"/>
      <c r="AD357" s="646"/>
      <c r="AE357" s="271"/>
      <c r="AF357" s="646"/>
      <c r="AG357" s="646"/>
      <c r="AH357" s="646"/>
      <c r="AI357" s="646"/>
      <c r="AJ357" s="646"/>
      <c r="AK357" s="646"/>
      <c r="AL357" s="646"/>
      <c r="AM357" s="271"/>
      <c r="AN357" s="646"/>
      <c r="AO357" s="646"/>
      <c r="AP357" s="646"/>
      <c r="AQ357" s="271"/>
      <c r="AR357" s="646"/>
      <c r="AS357" s="270"/>
      <c r="AT357" s="646"/>
      <c r="AU357" s="646"/>
      <c r="AV357" s="646"/>
      <c r="AW357" s="270"/>
      <c r="AX357" s="646"/>
      <c r="AY357" s="270"/>
      <c r="AZ357" s="646"/>
      <c r="BA357" s="646"/>
      <c r="BB357" s="644"/>
      <c r="BC357" s="644"/>
      <c r="BD357" s="644"/>
      <c r="BE357" s="644"/>
      <c r="BF357" s="644"/>
      <c r="BG357" s="644"/>
      <c r="BH357" s="644"/>
      <c r="BI357" s="644"/>
      <c r="BJ357" s="644"/>
      <c r="BK357" s="644"/>
      <c r="BL357" s="644"/>
      <c r="BM357" s="95"/>
      <c r="BN357" s="644"/>
      <c r="BO357" s="95"/>
      <c r="BP357" s="644"/>
      <c r="BQ357" s="644"/>
      <c r="BR357" s="644"/>
      <c r="BS357" s="644"/>
      <c r="BT357" s="644"/>
      <c r="BU357" s="644"/>
      <c r="BV357" s="644"/>
      <c r="BW357" s="644"/>
      <c r="BX357" s="644"/>
      <c r="BY357" s="644"/>
      <c r="BZ357" s="644"/>
      <c r="CA357" s="644"/>
      <c r="CB357" s="644"/>
      <c r="CC357" s="644"/>
      <c r="CD357" s="644"/>
      <c r="CE357" s="644"/>
      <c r="CF357" s="644"/>
      <c r="CG357" s="644"/>
      <c r="CH357" s="644"/>
      <c r="CI357" s="644"/>
      <c r="CJ357" s="644"/>
      <c r="CK357" s="644"/>
      <c r="CL357" s="644"/>
      <c r="CM357" s="95"/>
      <c r="CN357" s="644"/>
      <c r="CO357" s="644"/>
      <c r="CP357" s="95"/>
      <c r="CQ357" s="98"/>
      <c r="CR357" s="95"/>
      <c r="CS357" s="95"/>
      <c r="CT357" s="95"/>
      <c r="CU357" s="108"/>
      <c r="CV357" s="109"/>
      <c r="CW357" s="644"/>
      <c r="CX357" s="496"/>
      <c r="CY357" s="637"/>
      <c r="CZ357" s="644"/>
      <c r="DA357" s="644"/>
      <c r="DB357" s="644"/>
      <c r="DC357" s="496"/>
      <c r="DD357" s="644"/>
      <c r="DE357" s="101"/>
      <c r="DF357" s="644"/>
      <c r="DG357" s="101"/>
      <c r="DH357" s="644"/>
      <c r="DI357" s="644"/>
      <c r="DJ357" s="644"/>
      <c r="DK357" s="644"/>
      <c r="DL357" s="644"/>
      <c r="DM357" s="101"/>
      <c r="DN357" s="644"/>
      <c r="DO357" s="644"/>
      <c r="DP357" s="644"/>
      <c r="DQ357" s="644"/>
      <c r="DR357" s="644"/>
      <c r="DS357" s="644"/>
      <c r="DT357" s="644"/>
      <c r="DU357" s="644"/>
      <c r="DV357" s="644"/>
      <c r="DW357" s="101"/>
      <c r="DX357" s="646"/>
      <c r="DY357" s="646"/>
      <c r="DZ357" s="646"/>
      <c r="EA357" s="646"/>
      <c r="EB357" s="646"/>
      <c r="EC357" s="646"/>
      <c r="ED357" s="646"/>
      <c r="EE357" s="646"/>
      <c r="EF357" s="646"/>
      <c r="EG357" s="646"/>
      <c r="EH357" s="646"/>
      <c r="EI357" s="646"/>
      <c r="EJ357" s="646"/>
      <c r="EK357" s="271"/>
      <c r="EL357" s="644"/>
      <c r="EM357" s="634"/>
      <c r="EN357" s="647"/>
      <c r="EO357" s="648"/>
      <c r="EP357" s="647"/>
      <c r="EQ357" s="647"/>
      <c r="ER357" s="647"/>
      <c r="ES357" s="139"/>
      <c r="EV357" s="647"/>
      <c r="EW357" s="647"/>
      <c r="EX357" s="647"/>
      <c r="EY357" s="647"/>
      <c r="EZ357" s="647"/>
      <c r="FA357" s="646"/>
      <c r="FB357" s="646"/>
      <c r="FC357" s="646"/>
      <c r="FD357" s="646"/>
      <c r="FE357" s="646"/>
      <c r="FF357" s="646"/>
      <c r="FG357" s="647"/>
      <c r="FH357" s="647"/>
      <c r="FI357" s="647"/>
      <c r="FJ357" s="647"/>
      <c r="FK357" s="647"/>
      <c r="FL357" s="647"/>
      <c r="FM357" s="647"/>
      <c r="FN357" s="647"/>
      <c r="FO357" s="647"/>
      <c r="FP357" s="647"/>
      <c r="FQ357" s="647"/>
      <c r="FR357" s="647"/>
      <c r="FS357" s="101"/>
      <c r="FT357" s="95"/>
      <c r="FU357" s="651"/>
      <c r="FV357" s="101"/>
      <c r="FW357" s="101"/>
      <c r="FX357" s="634"/>
      <c r="FY357" s="634"/>
      <c r="FZ357" s="634"/>
      <c r="GA357" s="634"/>
      <c r="GB357" s="634"/>
      <c r="GC357" s="634"/>
      <c r="GD357" s="634"/>
      <c r="GE357" s="634"/>
      <c r="GF357" s="634"/>
      <c r="GG357" s="634"/>
      <c r="GH357" s="634"/>
      <c r="GI357" s="634"/>
      <c r="GJ357" s="634"/>
      <c r="GK357" s="634"/>
      <c r="GL357" s="101"/>
      <c r="GM357" s="101"/>
      <c r="GN357" s="101"/>
      <c r="GO357" s="643"/>
      <c r="GP357" s="644"/>
      <c r="GQ357" s="643"/>
      <c r="GR357" s="644"/>
      <c r="GS357" s="643"/>
      <c r="GT357" s="644"/>
      <c r="GU357" s="644"/>
      <c r="GV357" s="644"/>
      <c r="GW357" s="644"/>
      <c r="GX357" s="644"/>
      <c r="GY357" s="644"/>
      <c r="GZ357" s="644"/>
      <c r="HA357" s="644"/>
    </row>
    <row r="358" spans="1:209">
      <c r="A358" s="638"/>
      <c r="B358" s="95"/>
      <c r="C358" s="95"/>
      <c r="D358" s="95"/>
      <c r="E358" s="650"/>
      <c r="F358" s="95"/>
      <c r="G358" s="98"/>
      <c r="H358" s="99"/>
      <c r="I358" s="95"/>
      <c r="J358" s="95"/>
      <c r="K358" s="95"/>
      <c r="L358" s="95"/>
      <c r="M358" s="95"/>
      <c r="N358" s="95"/>
      <c r="O358" s="95"/>
      <c r="P358" s="95"/>
      <c r="Q358" s="95"/>
      <c r="R358" s="98"/>
      <c r="S358" s="101"/>
      <c r="T358" s="644"/>
      <c r="U358" s="101"/>
      <c r="V358" s="647"/>
      <c r="W358" s="643"/>
      <c r="X358" s="644"/>
      <c r="Y358" s="101"/>
      <c r="Z358" s="644"/>
      <c r="AA358" s="101"/>
      <c r="AB358" s="644"/>
      <c r="AC358" s="101"/>
      <c r="AD358" s="646"/>
      <c r="AE358" s="271"/>
      <c r="AF358" s="646"/>
      <c r="AG358" s="646"/>
      <c r="AH358" s="646"/>
      <c r="AI358" s="646"/>
      <c r="AJ358" s="646"/>
      <c r="AK358" s="646"/>
      <c r="AL358" s="646"/>
      <c r="AM358" s="271"/>
      <c r="AN358" s="646"/>
      <c r="AO358" s="646"/>
      <c r="AP358" s="646"/>
      <c r="AQ358" s="271"/>
      <c r="AR358" s="646"/>
      <c r="AS358" s="270"/>
      <c r="AT358" s="646"/>
      <c r="AU358" s="646"/>
      <c r="AV358" s="646"/>
      <c r="AW358" s="270"/>
      <c r="AX358" s="646"/>
      <c r="AY358" s="270"/>
      <c r="AZ358" s="646"/>
      <c r="BA358" s="646"/>
      <c r="BB358" s="644"/>
      <c r="BC358" s="644"/>
      <c r="BD358" s="644"/>
      <c r="BE358" s="644"/>
      <c r="BF358" s="644"/>
      <c r="BG358" s="644"/>
      <c r="BH358" s="644"/>
      <c r="BI358" s="644"/>
      <c r="BJ358" s="644"/>
      <c r="BK358" s="644"/>
      <c r="BL358" s="644"/>
      <c r="BM358" s="95"/>
      <c r="BN358" s="644"/>
      <c r="BO358" s="95"/>
      <c r="BP358" s="644"/>
      <c r="BQ358" s="644"/>
      <c r="BR358" s="644"/>
      <c r="BS358" s="644"/>
      <c r="BT358" s="644"/>
      <c r="BU358" s="644"/>
      <c r="BV358" s="644"/>
      <c r="BW358" s="644"/>
      <c r="BX358" s="644"/>
      <c r="BY358" s="644"/>
      <c r="BZ358" s="644"/>
      <c r="CA358" s="644"/>
      <c r="CB358" s="644"/>
      <c r="CC358" s="644"/>
      <c r="CD358" s="644"/>
      <c r="CE358" s="644"/>
      <c r="CF358" s="644"/>
      <c r="CG358" s="644"/>
      <c r="CH358" s="644"/>
      <c r="CI358" s="644"/>
      <c r="CJ358" s="644"/>
      <c r="CK358" s="644"/>
      <c r="CL358" s="644"/>
      <c r="CM358" s="95"/>
      <c r="CN358" s="644"/>
      <c r="CO358" s="644"/>
      <c r="CP358" s="95"/>
      <c r="CQ358" s="98"/>
      <c r="CR358" s="95"/>
      <c r="CS358" s="95"/>
      <c r="CT358" s="95"/>
      <c r="CU358" s="108"/>
      <c r="CV358" s="109"/>
      <c r="CW358" s="644"/>
      <c r="CX358" s="496"/>
      <c r="CY358" s="637"/>
      <c r="CZ358" s="644"/>
      <c r="DA358" s="644"/>
      <c r="DB358" s="644"/>
      <c r="DC358" s="496"/>
      <c r="DD358" s="644"/>
      <c r="DE358" s="101"/>
      <c r="DF358" s="644"/>
      <c r="DG358" s="101"/>
      <c r="DH358" s="644"/>
      <c r="DI358" s="644"/>
      <c r="DJ358" s="644"/>
      <c r="DK358" s="644"/>
      <c r="DL358" s="644"/>
      <c r="DM358" s="101"/>
      <c r="DN358" s="644"/>
      <c r="DO358" s="644"/>
      <c r="DP358" s="644"/>
      <c r="DQ358" s="644"/>
      <c r="DR358" s="644"/>
      <c r="DS358" s="644"/>
      <c r="DT358" s="644"/>
      <c r="DU358" s="644"/>
      <c r="DV358" s="644"/>
      <c r="DW358" s="101"/>
      <c r="DX358" s="646"/>
      <c r="DY358" s="646"/>
      <c r="DZ358" s="646"/>
      <c r="EA358" s="646"/>
      <c r="EB358" s="646"/>
      <c r="EC358" s="646"/>
      <c r="ED358" s="646"/>
      <c r="EE358" s="646"/>
      <c r="EF358" s="646"/>
      <c r="EG358" s="646"/>
      <c r="EH358" s="646"/>
      <c r="EI358" s="646"/>
      <c r="EJ358" s="646"/>
      <c r="EK358" s="271"/>
      <c r="EL358" s="644"/>
      <c r="EM358" s="634"/>
      <c r="EN358" s="647"/>
      <c r="EO358" s="648"/>
      <c r="EP358" s="647"/>
      <c r="EQ358" s="647"/>
      <c r="ER358" s="647"/>
      <c r="ES358" s="139"/>
      <c r="EV358" s="647"/>
      <c r="EW358" s="647"/>
      <c r="EX358" s="647"/>
      <c r="EY358" s="647"/>
      <c r="EZ358" s="647"/>
      <c r="FA358" s="646"/>
      <c r="FB358" s="646"/>
      <c r="FC358" s="646"/>
      <c r="FD358" s="646"/>
      <c r="FE358" s="646"/>
      <c r="FF358" s="646"/>
      <c r="FG358" s="647"/>
      <c r="FH358" s="647"/>
      <c r="FI358" s="647"/>
      <c r="FJ358" s="647"/>
      <c r="FK358" s="647"/>
      <c r="FL358" s="647"/>
      <c r="FM358" s="647"/>
      <c r="FN358" s="647"/>
      <c r="FO358" s="647"/>
      <c r="FP358" s="647"/>
      <c r="FQ358" s="647"/>
      <c r="FR358" s="647"/>
      <c r="FS358" s="101"/>
      <c r="FT358" s="95"/>
      <c r="FU358" s="651"/>
      <c r="FV358" s="101"/>
      <c r="FW358" s="101"/>
      <c r="FX358" s="634"/>
      <c r="FY358" s="634"/>
      <c r="FZ358" s="634"/>
      <c r="GA358" s="634"/>
      <c r="GB358" s="634"/>
      <c r="GC358" s="634"/>
      <c r="GD358" s="634"/>
      <c r="GE358" s="634"/>
      <c r="GF358" s="634"/>
      <c r="GG358" s="634"/>
      <c r="GH358" s="634"/>
      <c r="GI358" s="634"/>
      <c r="GJ358" s="634"/>
      <c r="GK358" s="634"/>
      <c r="GL358" s="101"/>
      <c r="GM358" s="101"/>
      <c r="GN358" s="101"/>
      <c r="GO358" s="643"/>
      <c r="GP358" s="644"/>
      <c r="GQ358" s="643"/>
      <c r="GR358" s="644"/>
      <c r="GS358" s="643"/>
      <c r="GT358" s="644"/>
      <c r="GU358" s="644"/>
      <c r="GV358" s="644"/>
      <c r="GW358" s="644"/>
      <c r="GX358" s="644"/>
      <c r="GY358" s="644"/>
      <c r="GZ358" s="644"/>
      <c r="HA358" s="644"/>
    </row>
    <row r="359" spans="1:209">
      <c r="A359" s="638"/>
      <c r="B359" s="95"/>
      <c r="C359" s="95"/>
      <c r="D359" s="95"/>
      <c r="E359" s="650"/>
      <c r="F359" s="95"/>
      <c r="G359" s="98"/>
      <c r="H359" s="99"/>
      <c r="I359" s="95"/>
      <c r="J359" s="95"/>
      <c r="K359" s="95"/>
      <c r="L359" s="95"/>
      <c r="M359" s="95"/>
      <c r="N359" s="95"/>
      <c r="O359" s="95"/>
      <c r="P359" s="95"/>
      <c r="Q359" s="95"/>
      <c r="R359" s="98"/>
      <c r="S359" s="101"/>
      <c r="T359" s="644"/>
      <c r="U359" s="101"/>
      <c r="V359" s="647"/>
      <c r="W359" s="643"/>
      <c r="X359" s="644"/>
      <c r="Y359" s="101"/>
      <c r="Z359" s="644"/>
      <c r="AA359" s="101"/>
      <c r="AB359" s="644"/>
      <c r="AC359" s="101"/>
      <c r="AD359" s="646"/>
      <c r="AE359" s="271"/>
      <c r="AF359" s="646"/>
      <c r="AG359" s="646"/>
      <c r="AH359" s="646"/>
      <c r="AI359" s="646"/>
      <c r="AJ359" s="646"/>
      <c r="AK359" s="646"/>
      <c r="AL359" s="646"/>
      <c r="AM359" s="271"/>
      <c r="AN359" s="646"/>
      <c r="AO359" s="646"/>
      <c r="AP359" s="646"/>
      <c r="AQ359" s="271"/>
      <c r="AR359" s="646"/>
      <c r="AS359" s="270"/>
      <c r="AT359" s="646"/>
      <c r="AU359" s="646"/>
      <c r="AV359" s="646"/>
      <c r="AW359" s="270"/>
      <c r="AX359" s="646"/>
      <c r="AY359" s="270"/>
      <c r="AZ359" s="646"/>
      <c r="BA359" s="646"/>
      <c r="BB359" s="644"/>
      <c r="BC359" s="644"/>
      <c r="BD359" s="644"/>
      <c r="BE359" s="644"/>
      <c r="BF359" s="644"/>
      <c r="BG359" s="644"/>
      <c r="BH359" s="644"/>
      <c r="BI359" s="644"/>
      <c r="BJ359" s="644"/>
      <c r="BK359" s="644"/>
      <c r="BL359" s="644"/>
      <c r="BM359" s="95"/>
      <c r="BN359" s="644"/>
      <c r="BO359" s="95"/>
      <c r="BP359" s="644"/>
      <c r="BQ359" s="644"/>
      <c r="BR359" s="644"/>
      <c r="BS359" s="644"/>
      <c r="BT359" s="644"/>
      <c r="BU359" s="644"/>
      <c r="BV359" s="644"/>
      <c r="BW359" s="644"/>
      <c r="BX359" s="644"/>
      <c r="BY359" s="644"/>
      <c r="BZ359" s="644"/>
      <c r="CA359" s="644"/>
      <c r="CB359" s="644"/>
      <c r="CC359" s="644"/>
      <c r="CD359" s="644"/>
      <c r="CE359" s="644"/>
      <c r="CF359" s="644"/>
      <c r="CG359" s="644"/>
      <c r="CH359" s="644"/>
      <c r="CI359" s="644"/>
      <c r="CJ359" s="644"/>
      <c r="CK359" s="644"/>
      <c r="CL359" s="644"/>
      <c r="CM359" s="95"/>
      <c r="CN359" s="644"/>
      <c r="CO359" s="644"/>
      <c r="CP359" s="95"/>
      <c r="CQ359" s="98"/>
      <c r="CR359" s="95"/>
      <c r="CS359" s="95"/>
      <c r="CT359" s="95"/>
      <c r="CU359" s="108"/>
      <c r="CV359" s="109"/>
      <c r="CW359" s="644"/>
      <c r="CX359" s="496"/>
      <c r="CY359" s="637"/>
      <c r="CZ359" s="644"/>
      <c r="DA359" s="644"/>
      <c r="DB359" s="644"/>
      <c r="DC359" s="496"/>
      <c r="DD359" s="644"/>
      <c r="DE359" s="101"/>
      <c r="DF359" s="644"/>
      <c r="DG359" s="101"/>
      <c r="DH359" s="644"/>
      <c r="DI359" s="644"/>
      <c r="DJ359" s="644"/>
      <c r="DK359" s="644"/>
      <c r="DL359" s="644"/>
      <c r="DM359" s="101"/>
      <c r="DN359" s="644"/>
      <c r="DO359" s="644"/>
      <c r="DP359" s="644"/>
      <c r="DQ359" s="644"/>
      <c r="DR359" s="644"/>
      <c r="DS359" s="644"/>
      <c r="DT359" s="644"/>
      <c r="DU359" s="644"/>
      <c r="DV359" s="644"/>
      <c r="DW359" s="101"/>
      <c r="DX359" s="646"/>
      <c r="DY359" s="646"/>
      <c r="DZ359" s="646"/>
      <c r="EA359" s="646"/>
      <c r="EB359" s="646"/>
      <c r="EC359" s="646"/>
      <c r="ED359" s="646"/>
      <c r="EE359" s="646"/>
      <c r="EF359" s="646"/>
      <c r="EG359" s="646"/>
      <c r="EH359" s="646"/>
      <c r="EI359" s="646"/>
      <c r="EJ359" s="646"/>
      <c r="EK359" s="271"/>
      <c r="EL359" s="644"/>
      <c r="EM359" s="634"/>
      <c r="EN359" s="647"/>
      <c r="EO359" s="648"/>
      <c r="EP359" s="647"/>
      <c r="EQ359" s="647"/>
      <c r="ER359" s="647"/>
      <c r="ES359" s="139"/>
      <c r="EV359" s="647"/>
      <c r="EW359" s="647"/>
      <c r="EX359" s="647"/>
      <c r="EY359" s="647"/>
      <c r="EZ359" s="647"/>
      <c r="FA359" s="646"/>
      <c r="FB359" s="646"/>
      <c r="FC359" s="646"/>
      <c r="FD359" s="646"/>
      <c r="FE359" s="646"/>
      <c r="FF359" s="646"/>
      <c r="FG359" s="647"/>
      <c r="FH359" s="647"/>
      <c r="FI359" s="647"/>
      <c r="FJ359" s="647"/>
      <c r="FK359" s="647"/>
      <c r="FL359" s="647"/>
      <c r="FM359" s="647"/>
      <c r="FN359" s="647"/>
      <c r="FO359" s="647"/>
      <c r="FP359" s="647"/>
      <c r="FQ359" s="647"/>
      <c r="FR359" s="647"/>
      <c r="FS359" s="101"/>
      <c r="FT359" s="95"/>
      <c r="FU359" s="651"/>
      <c r="FV359" s="101"/>
      <c r="FW359" s="101"/>
      <c r="FX359" s="634"/>
      <c r="FY359" s="634"/>
      <c r="FZ359" s="634"/>
      <c r="GA359" s="634"/>
      <c r="GB359" s="634"/>
      <c r="GC359" s="634"/>
      <c r="GD359" s="634"/>
      <c r="GE359" s="634"/>
      <c r="GF359" s="634"/>
      <c r="GG359" s="634"/>
      <c r="GH359" s="634"/>
      <c r="GI359" s="634"/>
      <c r="GJ359" s="634"/>
      <c r="GK359" s="634"/>
      <c r="GL359" s="101"/>
      <c r="GM359" s="101"/>
      <c r="GN359" s="101"/>
      <c r="GO359" s="643"/>
      <c r="GP359" s="644"/>
      <c r="GQ359" s="643"/>
      <c r="GR359" s="644"/>
      <c r="GS359" s="643"/>
      <c r="GT359" s="644"/>
      <c r="GU359" s="644"/>
      <c r="GV359" s="644"/>
      <c r="GW359" s="644"/>
      <c r="GX359" s="644"/>
      <c r="GY359" s="644"/>
      <c r="GZ359" s="644"/>
      <c r="HA359" s="644"/>
    </row>
    <row r="360" spans="1:209">
      <c r="A360" s="638"/>
      <c r="B360" s="95"/>
      <c r="C360" s="95"/>
      <c r="D360" s="95"/>
      <c r="E360" s="650"/>
      <c r="F360" s="95"/>
      <c r="G360" s="98"/>
      <c r="H360" s="99"/>
      <c r="I360" s="95"/>
      <c r="J360" s="95"/>
      <c r="K360" s="95"/>
      <c r="L360" s="95"/>
      <c r="M360" s="95"/>
      <c r="N360" s="95"/>
      <c r="O360" s="95"/>
      <c r="P360" s="95"/>
      <c r="Q360" s="95"/>
      <c r="R360" s="98"/>
      <c r="S360" s="101"/>
      <c r="T360" s="644"/>
      <c r="U360" s="101"/>
      <c r="V360" s="647"/>
      <c r="W360" s="643"/>
      <c r="X360" s="644"/>
      <c r="Y360" s="101"/>
      <c r="Z360" s="644"/>
      <c r="AA360" s="101"/>
      <c r="AB360" s="644"/>
      <c r="AC360" s="101"/>
      <c r="AD360" s="646"/>
      <c r="AE360" s="271"/>
      <c r="AF360" s="646"/>
      <c r="AG360" s="646"/>
      <c r="AH360" s="646"/>
      <c r="AI360" s="646"/>
      <c r="AJ360" s="646"/>
      <c r="AK360" s="646"/>
      <c r="AL360" s="646"/>
      <c r="AM360" s="271"/>
      <c r="AN360" s="646"/>
      <c r="AO360" s="646"/>
      <c r="AP360" s="646"/>
      <c r="AQ360" s="271"/>
      <c r="AR360" s="646"/>
      <c r="AS360" s="270"/>
      <c r="AT360" s="646"/>
      <c r="AU360" s="646"/>
      <c r="AV360" s="646"/>
      <c r="AW360" s="270"/>
      <c r="AX360" s="646"/>
      <c r="AY360" s="270"/>
      <c r="AZ360" s="646"/>
      <c r="BA360" s="646"/>
      <c r="BB360" s="644"/>
      <c r="BC360" s="644"/>
      <c r="BD360" s="644"/>
      <c r="BE360" s="644"/>
      <c r="BF360" s="644"/>
      <c r="BG360" s="644"/>
      <c r="BH360" s="644"/>
      <c r="BI360" s="644"/>
      <c r="BJ360" s="644"/>
      <c r="BK360" s="644"/>
      <c r="BL360" s="644"/>
      <c r="BM360" s="95"/>
      <c r="BN360" s="644"/>
      <c r="BO360" s="95"/>
      <c r="BP360" s="644"/>
      <c r="BQ360" s="644"/>
      <c r="BR360" s="644"/>
      <c r="BS360" s="644"/>
      <c r="BT360" s="644"/>
      <c r="BU360" s="644"/>
      <c r="BV360" s="644"/>
      <c r="BW360" s="644"/>
      <c r="BX360" s="644"/>
      <c r="BY360" s="644"/>
      <c r="BZ360" s="644"/>
      <c r="CA360" s="644"/>
      <c r="CB360" s="644"/>
      <c r="CC360" s="644"/>
      <c r="CD360" s="644"/>
      <c r="CE360" s="644"/>
      <c r="CF360" s="644"/>
      <c r="CG360" s="644"/>
      <c r="CH360" s="644"/>
      <c r="CI360" s="644"/>
      <c r="CJ360" s="644"/>
      <c r="CK360" s="644"/>
      <c r="CL360" s="644"/>
      <c r="CM360" s="95"/>
      <c r="CN360" s="644"/>
      <c r="CO360" s="644"/>
      <c r="CP360" s="95"/>
      <c r="CQ360" s="98"/>
      <c r="CR360" s="95"/>
      <c r="CS360" s="95"/>
      <c r="CT360" s="95"/>
      <c r="CU360" s="108"/>
      <c r="CV360" s="109"/>
      <c r="CW360" s="644"/>
      <c r="CX360" s="496"/>
      <c r="CY360" s="637"/>
      <c r="CZ360" s="644"/>
      <c r="DA360" s="644"/>
      <c r="DB360" s="644"/>
      <c r="DC360" s="496"/>
      <c r="DD360" s="644"/>
      <c r="DE360" s="101"/>
      <c r="DF360" s="644"/>
      <c r="DG360" s="101"/>
      <c r="DH360" s="644"/>
      <c r="DI360" s="644"/>
      <c r="DJ360" s="644"/>
      <c r="DK360" s="644"/>
      <c r="DL360" s="644"/>
      <c r="DM360" s="101"/>
      <c r="DN360" s="644"/>
      <c r="DO360" s="644"/>
      <c r="DP360" s="644"/>
      <c r="DQ360" s="644"/>
      <c r="DR360" s="644"/>
      <c r="DS360" s="644"/>
      <c r="DT360" s="644"/>
      <c r="DU360" s="644"/>
      <c r="DV360" s="644"/>
      <c r="DW360" s="101"/>
      <c r="DX360" s="646"/>
      <c r="DY360" s="646"/>
      <c r="DZ360" s="646"/>
      <c r="EA360" s="646"/>
      <c r="EB360" s="646"/>
      <c r="EC360" s="646"/>
      <c r="ED360" s="646"/>
      <c r="EE360" s="646"/>
      <c r="EF360" s="646"/>
      <c r="EG360" s="646"/>
      <c r="EH360" s="646"/>
      <c r="EI360" s="646"/>
      <c r="EJ360" s="646"/>
      <c r="EK360" s="271"/>
      <c r="EL360" s="644"/>
      <c r="EM360" s="634"/>
      <c r="EN360" s="647"/>
      <c r="EO360" s="648"/>
      <c r="EP360" s="647"/>
      <c r="EQ360" s="647"/>
      <c r="ER360" s="647"/>
      <c r="ES360" s="139"/>
      <c r="EV360" s="647"/>
      <c r="EW360" s="647"/>
      <c r="EX360" s="647"/>
      <c r="EY360" s="647"/>
      <c r="EZ360" s="647"/>
      <c r="FA360" s="646"/>
      <c r="FB360" s="646"/>
      <c r="FC360" s="646"/>
      <c r="FD360" s="646"/>
      <c r="FE360" s="646"/>
      <c r="FF360" s="646"/>
      <c r="FG360" s="647"/>
      <c r="FH360" s="647"/>
      <c r="FI360" s="647"/>
      <c r="FJ360" s="647"/>
      <c r="FK360" s="647"/>
      <c r="FL360" s="647"/>
      <c r="FM360" s="647"/>
      <c r="FN360" s="647"/>
      <c r="FO360" s="647"/>
      <c r="FP360" s="647"/>
      <c r="FQ360" s="647"/>
      <c r="FR360" s="647"/>
      <c r="FS360" s="101"/>
      <c r="FT360" s="95"/>
      <c r="FU360" s="651"/>
      <c r="FV360" s="101"/>
      <c r="FW360" s="101"/>
      <c r="FX360" s="634"/>
      <c r="FY360" s="634"/>
      <c r="FZ360" s="634"/>
      <c r="GA360" s="634"/>
      <c r="GB360" s="634"/>
      <c r="GC360" s="634"/>
      <c r="GD360" s="634"/>
      <c r="GE360" s="634"/>
      <c r="GF360" s="634"/>
      <c r="GG360" s="634"/>
      <c r="GH360" s="634"/>
      <c r="GI360" s="634"/>
      <c r="GJ360" s="634"/>
      <c r="GK360" s="634"/>
      <c r="GL360" s="101"/>
      <c r="GM360" s="101"/>
      <c r="GN360" s="101"/>
      <c r="GO360" s="643"/>
      <c r="GP360" s="644"/>
      <c r="GQ360" s="643"/>
      <c r="GR360" s="644"/>
      <c r="GS360" s="643"/>
      <c r="GT360" s="644"/>
      <c r="GU360" s="644"/>
      <c r="GV360" s="644"/>
      <c r="GW360" s="644"/>
      <c r="GX360" s="644"/>
      <c r="GY360" s="644"/>
      <c r="GZ360" s="644"/>
      <c r="HA360" s="644"/>
    </row>
    <row r="361" spans="1:209">
      <c r="A361" s="638"/>
      <c r="B361" s="95"/>
      <c r="C361" s="95"/>
      <c r="D361" s="95"/>
      <c r="E361" s="650"/>
      <c r="F361" s="95"/>
      <c r="G361" s="98"/>
      <c r="H361" s="99"/>
      <c r="I361" s="95"/>
      <c r="J361" s="95"/>
      <c r="K361" s="95"/>
      <c r="L361" s="95"/>
      <c r="M361" s="95"/>
      <c r="N361" s="95"/>
      <c r="O361" s="95"/>
      <c r="P361" s="95"/>
      <c r="Q361" s="95"/>
      <c r="R361" s="98"/>
      <c r="S361" s="101"/>
      <c r="T361" s="644"/>
      <c r="U361" s="101"/>
      <c r="V361" s="647"/>
      <c r="W361" s="643"/>
      <c r="X361" s="644"/>
      <c r="Y361" s="101"/>
      <c r="Z361" s="644"/>
      <c r="AA361" s="101"/>
      <c r="AB361" s="644"/>
      <c r="AC361" s="101"/>
      <c r="AD361" s="646"/>
      <c r="AE361" s="271"/>
      <c r="AF361" s="646"/>
      <c r="AG361" s="646"/>
      <c r="AH361" s="646"/>
      <c r="AI361" s="646"/>
      <c r="AJ361" s="646"/>
      <c r="AK361" s="646"/>
      <c r="AL361" s="646"/>
      <c r="AM361" s="271"/>
      <c r="AN361" s="646"/>
      <c r="AO361" s="646"/>
      <c r="AP361" s="646"/>
      <c r="AQ361" s="271"/>
      <c r="AR361" s="646"/>
      <c r="AS361" s="270"/>
      <c r="AT361" s="646"/>
      <c r="AU361" s="646"/>
      <c r="AV361" s="646"/>
      <c r="AW361" s="270"/>
      <c r="AX361" s="646"/>
      <c r="AY361" s="270"/>
      <c r="AZ361" s="646"/>
      <c r="BA361" s="646"/>
      <c r="BB361" s="644"/>
      <c r="BC361" s="644"/>
      <c r="BD361" s="644"/>
      <c r="BE361" s="644"/>
      <c r="BF361" s="644"/>
      <c r="BG361" s="644"/>
      <c r="BH361" s="644"/>
      <c r="BI361" s="644"/>
      <c r="BJ361" s="644"/>
      <c r="BK361" s="644"/>
      <c r="BL361" s="644"/>
      <c r="BM361" s="95"/>
      <c r="BN361" s="644"/>
      <c r="BO361" s="95"/>
      <c r="BP361" s="644"/>
      <c r="BQ361" s="644"/>
      <c r="BR361" s="644"/>
      <c r="BS361" s="644"/>
      <c r="BT361" s="644"/>
      <c r="BU361" s="644"/>
      <c r="BV361" s="644"/>
      <c r="BW361" s="644"/>
      <c r="BX361" s="644"/>
      <c r="BY361" s="644"/>
      <c r="BZ361" s="644"/>
      <c r="CA361" s="644"/>
      <c r="CB361" s="644"/>
      <c r="CC361" s="644"/>
      <c r="CD361" s="644"/>
      <c r="CE361" s="644"/>
      <c r="CF361" s="644"/>
      <c r="CG361" s="644"/>
      <c r="CH361" s="644"/>
      <c r="CI361" s="644"/>
      <c r="CJ361" s="644"/>
      <c r="CK361" s="644"/>
      <c r="CL361" s="644"/>
      <c r="CM361" s="95"/>
      <c r="CN361" s="644"/>
      <c r="CO361" s="644"/>
      <c r="CP361" s="95"/>
      <c r="CQ361" s="98"/>
      <c r="CR361" s="95"/>
      <c r="CS361" s="95"/>
      <c r="CT361" s="95"/>
      <c r="CU361" s="108"/>
      <c r="CV361" s="109"/>
      <c r="CW361" s="644"/>
      <c r="CX361" s="496"/>
      <c r="CY361" s="637"/>
      <c r="CZ361" s="644"/>
      <c r="DA361" s="644"/>
      <c r="DB361" s="644"/>
      <c r="DC361" s="496"/>
      <c r="DD361" s="644"/>
      <c r="DE361" s="101"/>
      <c r="DF361" s="644"/>
      <c r="DG361" s="101"/>
      <c r="DH361" s="644"/>
      <c r="DI361" s="644"/>
      <c r="DJ361" s="644"/>
      <c r="DK361" s="644"/>
      <c r="DL361" s="644"/>
      <c r="DM361" s="101"/>
      <c r="DN361" s="644"/>
      <c r="DO361" s="644"/>
      <c r="DP361" s="644"/>
      <c r="DQ361" s="644"/>
      <c r="DR361" s="644"/>
      <c r="DS361" s="644"/>
      <c r="DT361" s="644"/>
      <c r="DU361" s="644"/>
      <c r="DV361" s="644"/>
      <c r="DW361" s="101"/>
      <c r="DX361" s="646"/>
      <c r="DY361" s="646"/>
      <c r="DZ361" s="646"/>
      <c r="EA361" s="646"/>
      <c r="EB361" s="646"/>
      <c r="EC361" s="646"/>
      <c r="ED361" s="646"/>
      <c r="EE361" s="646"/>
      <c r="EF361" s="646"/>
      <c r="EG361" s="646"/>
      <c r="EH361" s="646"/>
      <c r="EI361" s="646"/>
      <c r="EJ361" s="646"/>
      <c r="EK361" s="271"/>
      <c r="EL361" s="644"/>
      <c r="EM361" s="634"/>
      <c r="EN361" s="647"/>
      <c r="EO361" s="648"/>
      <c r="EP361" s="647"/>
      <c r="EQ361" s="647"/>
      <c r="ER361" s="647"/>
      <c r="ES361" s="139"/>
      <c r="EV361" s="647"/>
      <c r="EW361" s="647"/>
      <c r="EX361" s="647"/>
      <c r="EY361" s="647"/>
      <c r="EZ361" s="647"/>
      <c r="FA361" s="646"/>
      <c r="FB361" s="646"/>
      <c r="FC361" s="646"/>
      <c r="FD361" s="646"/>
      <c r="FE361" s="646"/>
      <c r="FF361" s="646"/>
      <c r="FG361" s="647"/>
      <c r="FH361" s="647"/>
      <c r="FI361" s="647"/>
      <c r="FJ361" s="647"/>
      <c r="FK361" s="647"/>
      <c r="FL361" s="647"/>
      <c r="FM361" s="647"/>
      <c r="FN361" s="647"/>
      <c r="FO361" s="647"/>
      <c r="FP361" s="647"/>
      <c r="FQ361" s="647"/>
      <c r="FR361" s="647"/>
      <c r="FS361" s="101"/>
      <c r="FT361" s="95"/>
      <c r="FU361" s="651"/>
      <c r="FV361" s="101"/>
      <c r="FW361" s="101"/>
      <c r="FX361" s="634"/>
      <c r="FY361" s="634"/>
      <c r="FZ361" s="634"/>
      <c r="GA361" s="634"/>
      <c r="GB361" s="634"/>
      <c r="GC361" s="634"/>
      <c r="GD361" s="634"/>
      <c r="GE361" s="634"/>
      <c r="GF361" s="634"/>
      <c r="GG361" s="634"/>
      <c r="GH361" s="634"/>
      <c r="GI361" s="634"/>
      <c r="GJ361" s="634"/>
      <c r="GK361" s="634"/>
      <c r="GL361" s="101"/>
      <c r="GM361" s="101"/>
      <c r="GN361" s="101"/>
      <c r="GO361" s="643"/>
      <c r="GP361" s="644"/>
      <c r="GQ361" s="643"/>
      <c r="GR361" s="644"/>
      <c r="GS361" s="643"/>
      <c r="GT361" s="644"/>
      <c r="GU361" s="644"/>
      <c r="GV361" s="644"/>
      <c r="GW361" s="644"/>
      <c r="GX361" s="644"/>
      <c r="GY361" s="644"/>
      <c r="GZ361" s="644"/>
      <c r="HA361" s="644"/>
    </row>
    <row r="362" spans="1:209">
      <c r="A362" s="638"/>
      <c r="B362" s="95"/>
      <c r="C362" s="95"/>
      <c r="D362" s="95"/>
      <c r="E362" s="650"/>
      <c r="F362" s="95"/>
      <c r="G362" s="98"/>
      <c r="H362" s="99"/>
      <c r="I362" s="95"/>
      <c r="J362" s="95"/>
      <c r="K362" s="95"/>
      <c r="L362" s="95"/>
      <c r="M362" s="95"/>
      <c r="N362" s="95"/>
      <c r="O362" s="95"/>
      <c r="P362" s="95"/>
      <c r="Q362" s="95"/>
      <c r="R362" s="98"/>
      <c r="S362" s="101"/>
      <c r="T362" s="644"/>
      <c r="U362" s="101"/>
      <c r="V362" s="647"/>
      <c r="W362" s="643"/>
      <c r="X362" s="644"/>
      <c r="Y362" s="101"/>
      <c r="Z362" s="644"/>
      <c r="AA362" s="101"/>
      <c r="AB362" s="644"/>
      <c r="AC362" s="101"/>
      <c r="AD362" s="646"/>
      <c r="AE362" s="271"/>
      <c r="AF362" s="646"/>
      <c r="AG362" s="646"/>
      <c r="AH362" s="646"/>
      <c r="AI362" s="646"/>
      <c r="AJ362" s="646"/>
      <c r="AK362" s="646"/>
      <c r="AL362" s="646"/>
      <c r="AM362" s="271"/>
      <c r="AN362" s="646"/>
      <c r="AO362" s="646"/>
      <c r="AP362" s="646"/>
      <c r="AQ362" s="271"/>
      <c r="AR362" s="646"/>
      <c r="AS362" s="270"/>
      <c r="AT362" s="646"/>
      <c r="AU362" s="646"/>
      <c r="AV362" s="646"/>
      <c r="AW362" s="270"/>
      <c r="AX362" s="646"/>
      <c r="AY362" s="270"/>
      <c r="AZ362" s="646"/>
      <c r="BA362" s="646"/>
      <c r="BB362" s="644"/>
      <c r="BC362" s="644"/>
      <c r="BD362" s="644"/>
      <c r="BE362" s="644"/>
      <c r="BF362" s="644"/>
      <c r="BG362" s="644"/>
      <c r="BH362" s="644"/>
      <c r="BI362" s="644"/>
      <c r="BJ362" s="644"/>
      <c r="BK362" s="644"/>
      <c r="BL362" s="644"/>
      <c r="BM362" s="95"/>
      <c r="BN362" s="644"/>
      <c r="BO362" s="95"/>
      <c r="BP362" s="644"/>
      <c r="BQ362" s="644"/>
      <c r="BR362" s="644"/>
      <c r="BS362" s="644"/>
      <c r="BT362" s="644"/>
      <c r="BU362" s="644"/>
      <c r="BV362" s="644"/>
      <c r="BW362" s="644"/>
      <c r="BX362" s="644"/>
      <c r="BY362" s="644"/>
      <c r="BZ362" s="644"/>
      <c r="CA362" s="644"/>
      <c r="CB362" s="644"/>
      <c r="CC362" s="644"/>
      <c r="CD362" s="644"/>
      <c r="CE362" s="644"/>
      <c r="CF362" s="644"/>
      <c r="CG362" s="644"/>
      <c r="CH362" s="644"/>
      <c r="CI362" s="644"/>
      <c r="CJ362" s="644"/>
      <c r="CK362" s="644"/>
      <c r="CL362" s="644"/>
      <c r="CM362" s="95"/>
      <c r="CN362" s="644"/>
      <c r="CO362" s="644"/>
      <c r="CP362" s="95"/>
      <c r="CQ362" s="98"/>
      <c r="CR362" s="95"/>
      <c r="CS362" s="95"/>
      <c r="CT362" s="95"/>
      <c r="CU362" s="108"/>
      <c r="CV362" s="109"/>
      <c r="CW362" s="644"/>
      <c r="CX362" s="496"/>
      <c r="CY362" s="637"/>
      <c r="CZ362" s="644"/>
      <c r="DA362" s="644"/>
      <c r="DB362" s="644"/>
      <c r="DC362" s="496"/>
      <c r="DD362" s="644"/>
      <c r="DE362" s="101"/>
      <c r="DF362" s="644"/>
      <c r="DG362" s="101"/>
      <c r="DH362" s="644"/>
      <c r="DI362" s="644"/>
      <c r="DJ362" s="644"/>
      <c r="DK362" s="644"/>
      <c r="DL362" s="644"/>
      <c r="DM362" s="101"/>
      <c r="DN362" s="644"/>
      <c r="DO362" s="644"/>
      <c r="DP362" s="644"/>
      <c r="DQ362" s="644"/>
      <c r="DR362" s="644"/>
      <c r="DS362" s="644"/>
      <c r="DT362" s="644"/>
      <c r="DU362" s="644"/>
      <c r="DV362" s="644"/>
      <c r="DW362" s="101"/>
      <c r="DX362" s="646"/>
      <c r="DY362" s="646"/>
      <c r="DZ362" s="646"/>
      <c r="EA362" s="646"/>
      <c r="EB362" s="646"/>
      <c r="EC362" s="646"/>
      <c r="ED362" s="646"/>
      <c r="EE362" s="646"/>
      <c r="EF362" s="646"/>
      <c r="EG362" s="646"/>
      <c r="EH362" s="646"/>
      <c r="EI362" s="646"/>
      <c r="EJ362" s="646"/>
      <c r="EK362" s="271"/>
      <c r="EL362" s="644"/>
      <c r="EM362" s="634"/>
      <c r="EN362" s="647"/>
      <c r="EO362" s="648"/>
      <c r="EP362" s="647"/>
      <c r="EQ362" s="647"/>
      <c r="ER362" s="647"/>
      <c r="ES362" s="139"/>
      <c r="EV362" s="647"/>
      <c r="EW362" s="647"/>
      <c r="EX362" s="647"/>
      <c r="EY362" s="647"/>
      <c r="EZ362" s="647"/>
      <c r="FA362" s="646"/>
      <c r="FB362" s="646"/>
      <c r="FC362" s="646"/>
      <c r="FD362" s="646"/>
      <c r="FE362" s="646"/>
      <c r="FF362" s="646"/>
      <c r="FG362" s="647"/>
      <c r="FH362" s="647"/>
      <c r="FI362" s="647"/>
      <c r="FJ362" s="647"/>
      <c r="FK362" s="647"/>
      <c r="FL362" s="647"/>
      <c r="FM362" s="647"/>
      <c r="FN362" s="647"/>
      <c r="FO362" s="647"/>
      <c r="FP362" s="647"/>
      <c r="FQ362" s="647"/>
      <c r="FR362" s="647"/>
      <c r="FS362" s="101"/>
      <c r="FT362" s="95"/>
      <c r="FU362" s="651"/>
      <c r="FV362" s="101"/>
      <c r="FW362" s="101"/>
      <c r="FX362" s="634"/>
      <c r="FY362" s="634"/>
      <c r="FZ362" s="634"/>
      <c r="GA362" s="634"/>
      <c r="GB362" s="634"/>
      <c r="GC362" s="634"/>
      <c r="GD362" s="634"/>
      <c r="GE362" s="634"/>
      <c r="GF362" s="634"/>
      <c r="GG362" s="634"/>
      <c r="GH362" s="634"/>
      <c r="GI362" s="634"/>
      <c r="GJ362" s="634"/>
      <c r="GK362" s="634"/>
      <c r="GL362" s="101"/>
      <c r="GM362" s="101"/>
      <c r="GN362" s="101"/>
      <c r="GO362" s="643"/>
      <c r="GP362" s="644"/>
      <c r="GQ362" s="643"/>
      <c r="GR362" s="644"/>
      <c r="GS362" s="643"/>
      <c r="GT362" s="644"/>
      <c r="GU362" s="644"/>
      <c r="GV362" s="644"/>
      <c r="GW362" s="644"/>
      <c r="GX362" s="644"/>
      <c r="GY362" s="644"/>
      <c r="GZ362" s="644"/>
      <c r="HA362" s="644"/>
    </row>
    <row r="363" spans="1:209">
      <c r="A363" s="638"/>
      <c r="B363" s="95"/>
      <c r="C363" s="95"/>
      <c r="D363" s="95"/>
      <c r="E363" s="650"/>
      <c r="F363" s="95"/>
      <c r="G363" s="98"/>
      <c r="H363" s="99"/>
      <c r="I363" s="95"/>
      <c r="J363" s="95"/>
      <c r="K363" s="95"/>
      <c r="L363" s="95"/>
      <c r="M363" s="95"/>
      <c r="N363" s="95"/>
      <c r="O363" s="95"/>
      <c r="P363" s="95"/>
      <c r="Q363" s="95"/>
      <c r="R363" s="98"/>
      <c r="S363" s="101"/>
      <c r="T363" s="644"/>
      <c r="U363" s="101"/>
      <c r="V363" s="647"/>
      <c r="W363" s="643"/>
      <c r="X363" s="644"/>
      <c r="Y363" s="101"/>
      <c r="Z363" s="644"/>
      <c r="AA363" s="101"/>
      <c r="AB363" s="644"/>
      <c r="AC363" s="101"/>
      <c r="AD363" s="646"/>
      <c r="AE363" s="271"/>
      <c r="AF363" s="646"/>
      <c r="AG363" s="646"/>
      <c r="AH363" s="646"/>
      <c r="AI363" s="646"/>
      <c r="AJ363" s="646"/>
      <c r="AK363" s="646"/>
      <c r="AL363" s="646"/>
      <c r="AM363" s="271"/>
      <c r="AN363" s="646"/>
      <c r="AO363" s="646"/>
      <c r="AP363" s="646"/>
      <c r="AQ363" s="271"/>
      <c r="AR363" s="646"/>
      <c r="AS363" s="270"/>
      <c r="AT363" s="646"/>
      <c r="AU363" s="646"/>
      <c r="AV363" s="646"/>
      <c r="AW363" s="270"/>
      <c r="AX363" s="646"/>
      <c r="AY363" s="270"/>
      <c r="AZ363" s="646"/>
      <c r="BA363" s="646"/>
      <c r="BB363" s="644"/>
      <c r="BC363" s="644"/>
      <c r="BD363" s="644"/>
      <c r="BE363" s="644"/>
      <c r="BF363" s="644"/>
      <c r="BG363" s="644"/>
      <c r="BH363" s="644"/>
      <c r="BI363" s="644"/>
      <c r="BJ363" s="644"/>
      <c r="BK363" s="644"/>
      <c r="BL363" s="644"/>
      <c r="BM363" s="95"/>
      <c r="BN363" s="644"/>
      <c r="BO363" s="95"/>
      <c r="BP363" s="644"/>
      <c r="BQ363" s="644"/>
      <c r="BR363" s="644"/>
      <c r="BS363" s="644"/>
      <c r="BT363" s="644"/>
      <c r="BU363" s="644"/>
      <c r="BV363" s="644"/>
      <c r="BW363" s="644"/>
      <c r="BX363" s="644"/>
      <c r="BY363" s="644"/>
      <c r="BZ363" s="644"/>
      <c r="CA363" s="644"/>
      <c r="CB363" s="644"/>
      <c r="CC363" s="644"/>
      <c r="CD363" s="644"/>
      <c r="CE363" s="644"/>
      <c r="CF363" s="644"/>
      <c r="CG363" s="644"/>
      <c r="CH363" s="644"/>
      <c r="CI363" s="644"/>
      <c r="CJ363" s="644"/>
      <c r="CK363" s="644"/>
      <c r="CL363" s="644"/>
      <c r="CM363" s="95"/>
      <c r="CN363" s="644"/>
      <c r="CO363" s="644"/>
      <c r="CP363" s="95"/>
      <c r="CQ363" s="98"/>
      <c r="CR363" s="95"/>
      <c r="CS363" s="95"/>
      <c r="CT363" s="95"/>
      <c r="CU363" s="108"/>
      <c r="CV363" s="109"/>
      <c r="CW363" s="644"/>
      <c r="CX363" s="496"/>
      <c r="CY363" s="637"/>
      <c r="CZ363" s="644"/>
      <c r="DA363" s="644"/>
      <c r="DB363" s="644"/>
      <c r="DC363" s="496"/>
      <c r="DD363" s="644"/>
      <c r="DE363" s="101"/>
      <c r="DF363" s="644"/>
      <c r="DG363" s="101"/>
      <c r="DH363" s="644"/>
      <c r="DI363" s="644"/>
      <c r="DJ363" s="644"/>
      <c r="DK363" s="644"/>
      <c r="DL363" s="644"/>
      <c r="DM363" s="101"/>
      <c r="DN363" s="644"/>
      <c r="DO363" s="644"/>
      <c r="DP363" s="644"/>
      <c r="DQ363" s="644"/>
      <c r="DR363" s="644"/>
      <c r="DS363" s="644"/>
      <c r="DT363" s="644"/>
      <c r="DU363" s="644"/>
      <c r="DV363" s="644"/>
      <c r="DW363" s="101"/>
      <c r="DX363" s="646"/>
      <c r="DY363" s="646"/>
      <c r="DZ363" s="646"/>
      <c r="EA363" s="646"/>
      <c r="EB363" s="646"/>
      <c r="EC363" s="646"/>
      <c r="ED363" s="646"/>
      <c r="EE363" s="646"/>
      <c r="EF363" s="646"/>
      <c r="EG363" s="646"/>
      <c r="EH363" s="646"/>
      <c r="EI363" s="646"/>
      <c r="EJ363" s="646"/>
      <c r="EK363" s="271"/>
      <c r="EL363" s="644"/>
      <c r="EM363" s="634"/>
      <c r="EN363" s="647"/>
      <c r="EO363" s="648"/>
      <c r="EP363" s="647"/>
      <c r="EQ363" s="647"/>
      <c r="ER363" s="647"/>
      <c r="ES363" s="139"/>
      <c r="EV363" s="647"/>
      <c r="EW363" s="647"/>
      <c r="EX363" s="647"/>
      <c r="EY363" s="647"/>
      <c r="EZ363" s="647"/>
      <c r="FA363" s="646"/>
      <c r="FB363" s="646"/>
      <c r="FC363" s="646"/>
      <c r="FD363" s="646"/>
      <c r="FE363" s="646"/>
      <c r="FF363" s="646"/>
      <c r="FG363" s="647"/>
      <c r="FH363" s="647"/>
      <c r="FI363" s="647"/>
      <c r="FJ363" s="647"/>
      <c r="FK363" s="647"/>
      <c r="FL363" s="647"/>
      <c r="FM363" s="647"/>
      <c r="FN363" s="647"/>
      <c r="FO363" s="647"/>
      <c r="FP363" s="647"/>
      <c r="FQ363" s="647"/>
      <c r="FR363" s="647"/>
      <c r="FS363" s="101"/>
      <c r="FT363" s="95"/>
      <c r="FU363" s="651"/>
      <c r="FV363" s="101"/>
      <c r="FW363" s="101"/>
      <c r="FX363" s="634"/>
      <c r="FY363" s="634"/>
      <c r="FZ363" s="634"/>
      <c r="GA363" s="634"/>
      <c r="GB363" s="634"/>
      <c r="GC363" s="634"/>
      <c r="GD363" s="634"/>
      <c r="GE363" s="634"/>
      <c r="GF363" s="634"/>
      <c r="GG363" s="634"/>
      <c r="GH363" s="634"/>
      <c r="GI363" s="634"/>
      <c r="GJ363" s="634"/>
      <c r="GK363" s="634"/>
      <c r="GL363" s="101"/>
      <c r="GM363" s="101"/>
      <c r="GN363" s="101"/>
      <c r="GO363" s="643"/>
      <c r="GP363" s="644"/>
      <c r="GQ363" s="643"/>
      <c r="GR363" s="644"/>
      <c r="GS363" s="643"/>
      <c r="GT363" s="644"/>
      <c r="GU363" s="644"/>
      <c r="GV363" s="644"/>
      <c r="GW363" s="644"/>
      <c r="GX363" s="644"/>
      <c r="GY363" s="644"/>
      <c r="GZ363" s="644"/>
      <c r="HA363" s="644"/>
    </row>
    <row r="364" spans="1:209">
      <c r="A364" s="638"/>
      <c r="B364" s="95"/>
      <c r="C364" s="95"/>
      <c r="D364" s="95"/>
      <c r="E364" s="650"/>
      <c r="F364" s="95"/>
      <c r="G364" s="98"/>
      <c r="H364" s="99"/>
      <c r="I364" s="95"/>
      <c r="J364" s="95"/>
      <c r="K364" s="95"/>
      <c r="L364" s="95"/>
      <c r="M364" s="95"/>
      <c r="N364" s="95"/>
      <c r="O364" s="95"/>
      <c r="P364" s="95"/>
      <c r="Q364" s="95"/>
      <c r="R364" s="98"/>
      <c r="S364" s="101"/>
      <c r="T364" s="644"/>
      <c r="U364" s="101"/>
      <c r="V364" s="647"/>
      <c r="W364" s="643"/>
      <c r="X364" s="644"/>
      <c r="Y364" s="101"/>
      <c r="Z364" s="644"/>
      <c r="AA364" s="101"/>
      <c r="AB364" s="644"/>
      <c r="AC364" s="101"/>
      <c r="AD364" s="646"/>
      <c r="AE364" s="271"/>
      <c r="AF364" s="646"/>
      <c r="AG364" s="646"/>
      <c r="AH364" s="646"/>
      <c r="AI364" s="646"/>
      <c r="AJ364" s="646"/>
      <c r="AK364" s="646"/>
      <c r="AL364" s="646"/>
      <c r="AM364" s="271"/>
      <c r="AN364" s="646"/>
      <c r="AO364" s="646"/>
      <c r="AP364" s="646"/>
      <c r="AQ364" s="271"/>
      <c r="AR364" s="646"/>
      <c r="AS364" s="270"/>
      <c r="AT364" s="646"/>
      <c r="AU364" s="646"/>
      <c r="AV364" s="646"/>
      <c r="AW364" s="270"/>
      <c r="AX364" s="646"/>
      <c r="AY364" s="270"/>
      <c r="AZ364" s="646"/>
      <c r="BA364" s="646"/>
      <c r="BB364" s="644"/>
      <c r="BC364" s="644"/>
      <c r="BD364" s="644"/>
      <c r="BE364" s="644"/>
      <c r="BF364" s="644"/>
      <c r="BG364" s="644"/>
      <c r="BH364" s="644"/>
      <c r="BI364" s="644"/>
      <c r="BJ364" s="644"/>
      <c r="BK364" s="644"/>
      <c r="BL364" s="644"/>
      <c r="BM364" s="95"/>
      <c r="BN364" s="644"/>
      <c r="BO364" s="95"/>
      <c r="BP364" s="644"/>
      <c r="BQ364" s="644"/>
      <c r="BR364" s="644"/>
      <c r="BS364" s="644"/>
      <c r="BT364" s="644"/>
      <c r="BU364" s="644"/>
      <c r="BV364" s="644"/>
      <c r="BW364" s="644"/>
      <c r="BX364" s="644"/>
      <c r="BY364" s="644"/>
      <c r="BZ364" s="644"/>
      <c r="CA364" s="644"/>
      <c r="CB364" s="644"/>
      <c r="CC364" s="644"/>
      <c r="CD364" s="644"/>
      <c r="CE364" s="644"/>
      <c r="CF364" s="644"/>
      <c r="CG364" s="644"/>
      <c r="CH364" s="644"/>
      <c r="CI364" s="644"/>
      <c r="CJ364" s="644"/>
      <c r="CK364" s="644"/>
      <c r="CL364" s="644"/>
      <c r="CM364" s="95"/>
      <c r="CN364" s="644"/>
      <c r="CO364" s="644"/>
      <c r="CP364" s="95"/>
      <c r="CQ364" s="98"/>
      <c r="CR364" s="95"/>
      <c r="CS364" s="95"/>
      <c r="CT364" s="95"/>
      <c r="CU364" s="108"/>
      <c r="CV364" s="109"/>
      <c r="CW364" s="644"/>
      <c r="CX364" s="496"/>
      <c r="CY364" s="637"/>
      <c r="CZ364" s="644"/>
      <c r="DA364" s="644"/>
      <c r="DB364" s="644"/>
      <c r="DC364" s="496"/>
      <c r="DD364" s="644"/>
      <c r="DE364" s="101"/>
      <c r="DF364" s="644"/>
      <c r="DG364" s="101"/>
      <c r="DH364" s="644"/>
      <c r="DI364" s="644"/>
      <c r="DJ364" s="644"/>
      <c r="DK364" s="644"/>
      <c r="DL364" s="644"/>
      <c r="DM364" s="101"/>
      <c r="DN364" s="644"/>
      <c r="DO364" s="644"/>
      <c r="DP364" s="644"/>
      <c r="DQ364" s="644"/>
      <c r="DR364" s="644"/>
      <c r="DS364" s="644"/>
      <c r="DT364" s="644"/>
      <c r="DU364" s="644"/>
      <c r="DV364" s="644"/>
      <c r="DW364" s="101"/>
      <c r="DX364" s="646"/>
      <c r="DY364" s="646"/>
      <c r="DZ364" s="646"/>
      <c r="EA364" s="646"/>
      <c r="EB364" s="646"/>
      <c r="EC364" s="646"/>
      <c r="ED364" s="646"/>
      <c r="EE364" s="646"/>
      <c r="EF364" s="646"/>
      <c r="EG364" s="646"/>
      <c r="EH364" s="646"/>
      <c r="EI364" s="646"/>
      <c r="EJ364" s="646"/>
      <c r="EK364" s="271"/>
      <c r="EL364" s="644"/>
      <c r="EM364" s="634"/>
      <c r="EN364" s="647"/>
      <c r="EO364" s="648"/>
      <c r="EP364" s="647"/>
      <c r="EQ364" s="647"/>
      <c r="ER364" s="647"/>
      <c r="ES364" s="139"/>
      <c r="EV364" s="647"/>
      <c r="EW364" s="647"/>
      <c r="EX364" s="647"/>
      <c r="EY364" s="647"/>
      <c r="EZ364" s="647"/>
      <c r="FA364" s="646"/>
      <c r="FB364" s="646"/>
      <c r="FC364" s="646"/>
      <c r="FD364" s="646"/>
      <c r="FE364" s="646"/>
      <c r="FF364" s="646"/>
      <c r="FG364" s="647"/>
      <c r="FH364" s="647"/>
      <c r="FI364" s="647"/>
      <c r="FJ364" s="647"/>
      <c r="FK364" s="647"/>
      <c r="FL364" s="647"/>
      <c r="FM364" s="647"/>
      <c r="FN364" s="647"/>
      <c r="FO364" s="647"/>
      <c r="FP364" s="647"/>
      <c r="FQ364" s="647"/>
      <c r="FR364" s="647"/>
      <c r="FS364" s="101"/>
      <c r="FT364" s="95"/>
      <c r="FU364" s="651"/>
      <c r="FV364" s="101"/>
      <c r="FW364" s="101"/>
      <c r="FX364" s="634"/>
      <c r="FY364" s="634"/>
      <c r="FZ364" s="634"/>
      <c r="GA364" s="634"/>
      <c r="GB364" s="634"/>
      <c r="GC364" s="634"/>
      <c r="GD364" s="634"/>
      <c r="GE364" s="634"/>
      <c r="GF364" s="634"/>
      <c r="GG364" s="634"/>
      <c r="GH364" s="634"/>
      <c r="GI364" s="634"/>
      <c r="GJ364" s="634"/>
      <c r="GK364" s="634"/>
      <c r="GL364" s="101"/>
      <c r="GM364" s="101"/>
      <c r="GN364" s="101"/>
      <c r="GO364" s="643"/>
      <c r="GP364" s="644"/>
      <c r="GQ364" s="643"/>
      <c r="GR364" s="644"/>
      <c r="GS364" s="643"/>
      <c r="GT364" s="644"/>
      <c r="GU364" s="644"/>
      <c r="GV364" s="644"/>
      <c r="GW364" s="644"/>
      <c r="GX364" s="644"/>
      <c r="GY364" s="644"/>
      <c r="GZ364" s="644"/>
      <c r="HA364" s="644"/>
    </row>
    <row r="365" spans="1:209">
      <c r="A365" s="638"/>
      <c r="B365" s="95"/>
      <c r="C365" s="95"/>
      <c r="D365" s="95"/>
      <c r="E365" s="650"/>
      <c r="F365" s="95"/>
      <c r="G365" s="98"/>
      <c r="H365" s="99"/>
      <c r="I365" s="95"/>
      <c r="J365" s="95"/>
      <c r="K365" s="95"/>
      <c r="L365" s="95"/>
      <c r="M365" s="95"/>
      <c r="N365" s="95"/>
      <c r="O365" s="95"/>
      <c r="P365" s="95"/>
      <c r="Q365" s="95"/>
      <c r="R365" s="98"/>
      <c r="S365" s="101"/>
      <c r="T365" s="644"/>
      <c r="U365" s="101"/>
      <c r="V365" s="647"/>
      <c r="W365" s="643"/>
      <c r="X365" s="644"/>
      <c r="Y365" s="101"/>
      <c r="Z365" s="644"/>
      <c r="AA365" s="101"/>
      <c r="AB365" s="644"/>
      <c r="AC365" s="101"/>
      <c r="AD365" s="646"/>
      <c r="AE365" s="271"/>
      <c r="AF365" s="646"/>
      <c r="AG365" s="646"/>
      <c r="AH365" s="646"/>
      <c r="AI365" s="646"/>
      <c r="AJ365" s="646"/>
      <c r="AK365" s="646"/>
      <c r="AL365" s="646"/>
      <c r="AM365" s="271"/>
      <c r="AN365" s="646"/>
      <c r="AO365" s="646"/>
      <c r="AP365" s="646"/>
      <c r="AQ365" s="271"/>
      <c r="AR365" s="646"/>
      <c r="AS365" s="270"/>
      <c r="AT365" s="646"/>
      <c r="AU365" s="646"/>
      <c r="AV365" s="646"/>
      <c r="AW365" s="270"/>
      <c r="AX365" s="646"/>
      <c r="AY365" s="270"/>
      <c r="AZ365" s="646"/>
      <c r="BA365" s="646"/>
      <c r="BB365" s="644"/>
      <c r="BC365" s="644"/>
      <c r="BD365" s="644"/>
      <c r="BE365" s="644"/>
      <c r="BF365" s="644"/>
      <c r="BG365" s="644"/>
      <c r="BH365" s="644"/>
      <c r="BI365" s="644"/>
      <c r="BJ365" s="644"/>
      <c r="BK365" s="644"/>
      <c r="BL365" s="644"/>
      <c r="BM365" s="95"/>
      <c r="BN365" s="644"/>
      <c r="BO365" s="95"/>
      <c r="BP365" s="644"/>
      <c r="BQ365" s="644"/>
      <c r="BR365" s="644"/>
      <c r="BS365" s="644"/>
      <c r="BT365" s="644"/>
      <c r="BU365" s="644"/>
      <c r="BV365" s="644"/>
      <c r="BW365" s="644"/>
      <c r="BX365" s="644"/>
      <c r="BY365" s="644"/>
      <c r="BZ365" s="644"/>
      <c r="CA365" s="644"/>
      <c r="CB365" s="644"/>
      <c r="CC365" s="644"/>
      <c r="CD365" s="644"/>
      <c r="CE365" s="644"/>
      <c r="CF365" s="644"/>
      <c r="CG365" s="644"/>
      <c r="CH365" s="644"/>
      <c r="CI365" s="644"/>
      <c r="CJ365" s="644"/>
      <c r="CK365" s="644"/>
      <c r="CL365" s="644"/>
      <c r="CM365" s="95"/>
      <c r="CN365" s="644"/>
      <c r="CO365" s="644"/>
      <c r="CP365" s="95"/>
      <c r="CQ365" s="98"/>
      <c r="CR365" s="95"/>
      <c r="CS365" s="95"/>
      <c r="CT365" s="95"/>
      <c r="CU365" s="108"/>
      <c r="CV365" s="109"/>
      <c r="CW365" s="644"/>
      <c r="CX365" s="496"/>
      <c r="CY365" s="637"/>
      <c r="CZ365" s="644"/>
      <c r="DA365" s="644"/>
      <c r="DB365" s="644"/>
      <c r="DC365" s="496"/>
      <c r="DD365" s="644"/>
      <c r="DE365" s="101"/>
      <c r="DF365" s="644"/>
      <c r="DG365" s="101"/>
      <c r="DH365" s="644"/>
      <c r="DI365" s="644"/>
      <c r="DJ365" s="644"/>
      <c r="DK365" s="644"/>
      <c r="DL365" s="644"/>
      <c r="DM365" s="101"/>
      <c r="DN365" s="644"/>
      <c r="DO365" s="644"/>
      <c r="DP365" s="644"/>
      <c r="DQ365" s="644"/>
      <c r="DR365" s="644"/>
      <c r="DS365" s="644"/>
      <c r="DT365" s="644"/>
      <c r="DU365" s="644"/>
      <c r="DV365" s="644"/>
      <c r="DW365" s="101"/>
      <c r="DX365" s="646"/>
      <c r="DY365" s="646"/>
      <c r="DZ365" s="646"/>
      <c r="EA365" s="646"/>
      <c r="EB365" s="646"/>
      <c r="EC365" s="646"/>
      <c r="ED365" s="646"/>
      <c r="EE365" s="646"/>
      <c r="EF365" s="646"/>
      <c r="EG365" s="646"/>
      <c r="EH365" s="646"/>
      <c r="EI365" s="646"/>
      <c r="EJ365" s="646"/>
      <c r="EK365" s="271"/>
      <c r="EL365" s="644"/>
      <c r="EM365" s="634"/>
      <c r="EN365" s="647"/>
      <c r="EO365" s="648"/>
      <c r="EP365" s="647"/>
      <c r="EQ365" s="647"/>
      <c r="ER365" s="647"/>
      <c r="ES365" s="139"/>
      <c r="EV365" s="647"/>
      <c r="EW365" s="647"/>
      <c r="EX365" s="647"/>
      <c r="EY365" s="647"/>
      <c r="EZ365" s="647"/>
      <c r="FA365" s="646"/>
      <c r="FB365" s="646"/>
      <c r="FC365" s="646"/>
      <c r="FD365" s="646"/>
      <c r="FE365" s="646"/>
      <c r="FF365" s="646"/>
      <c r="FG365" s="647"/>
      <c r="FH365" s="647"/>
      <c r="FI365" s="647"/>
      <c r="FJ365" s="647"/>
      <c r="FK365" s="647"/>
      <c r="FL365" s="647"/>
      <c r="FM365" s="647"/>
      <c r="FN365" s="647"/>
      <c r="FO365" s="647"/>
      <c r="FP365" s="647"/>
      <c r="FQ365" s="647"/>
      <c r="FR365" s="647"/>
      <c r="FS365" s="101"/>
      <c r="FT365" s="95"/>
      <c r="FU365" s="651"/>
      <c r="FV365" s="101"/>
      <c r="FW365" s="101"/>
      <c r="FX365" s="634"/>
      <c r="FY365" s="634"/>
      <c r="FZ365" s="634"/>
      <c r="GA365" s="634"/>
      <c r="GB365" s="634"/>
      <c r="GC365" s="634"/>
      <c r="GD365" s="634"/>
      <c r="GE365" s="634"/>
      <c r="GF365" s="634"/>
      <c r="GG365" s="634"/>
      <c r="GH365" s="634"/>
      <c r="GI365" s="634"/>
      <c r="GJ365" s="634"/>
      <c r="GK365" s="634"/>
      <c r="GL365" s="101"/>
      <c r="GM365" s="101"/>
      <c r="GN365" s="101"/>
      <c r="GO365" s="643"/>
      <c r="GP365" s="644"/>
      <c r="GQ365" s="643"/>
      <c r="GR365" s="644"/>
      <c r="GS365" s="643"/>
      <c r="GT365" s="644"/>
      <c r="GU365" s="644"/>
      <c r="GV365" s="644"/>
      <c r="GW365" s="644"/>
      <c r="GX365" s="644"/>
      <c r="GY365" s="644"/>
      <c r="GZ365" s="644"/>
      <c r="HA365" s="644"/>
    </row>
    <row r="366" spans="1:209">
      <c r="A366" s="638"/>
      <c r="B366" s="95"/>
      <c r="C366" s="95"/>
      <c r="D366" s="95"/>
      <c r="E366" s="650"/>
      <c r="F366" s="95"/>
      <c r="G366" s="98"/>
      <c r="H366" s="99"/>
      <c r="I366" s="95"/>
      <c r="J366" s="95"/>
      <c r="K366" s="95"/>
      <c r="L366" s="95"/>
      <c r="M366" s="95"/>
      <c r="N366" s="95"/>
      <c r="O366" s="95"/>
      <c r="P366" s="95"/>
      <c r="Q366" s="95"/>
      <c r="R366" s="98"/>
      <c r="S366" s="101"/>
      <c r="T366" s="644"/>
      <c r="U366" s="101"/>
      <c r="V366" s="647"/>
      <c r="W366" s="643"/>
      <c r="X366" s="644"/>
      <c r="Y366" s="101"/>
      <c r="Z366" s="644"/>
      <c r="AA366" s="101"/>
      <c r="AB366" s="644"/>
      <c r="AC366" s="101"/>
      <c r="AD366" s="646"/>
      <c r="AE366" s="271"/>
      <c r="AF366" s="646"/>
      <c r="AG366" s="646"/>
      <c r="AH366" s="646"/>
      <c r="AI366" s="646"/>
      <c r="AJ366" s="646"/>
      <c r="AK366" s="646"/>
      <c r="AL366" s="646"/>
      <c r="AM366" s="271"/>
      <c r="AN366" s="646"/>
      <c r="AO366" s="646"/>
      <c r="AP366" s="646"/>
      <c r="AQ366" s="271"/>
      <c r="AR366" s="646"/>
      <c r="AS366" s="270"/>
      <c r="AT366" s="646"/>
      <c r="AU366" s="646"/>
      <c r="AV366" s="646"/>
      <c r="AW366" s="270"/>
      <c r="AX366" s="646"/>
      <c r="AY366" s="270"/>
      <c r="AZ366" s="646"/>
      <c r="BA366" s="646"/>
      <c r="BB366" s="644"/>
      <c r="BC366" s="644"/>
      <c r="BD366" s="644"/>
      <c r="BE366" s="644"/>
      <c r="BF366" s="644"/>
      <c r="BG366" s="644"/>
      <c r="BH366" s="644"/>
      <c r="BI366" s="644"/>
      <c r="BJ366" s="644"/>
      <c r="BK366" s="644"/>
      <c r="BL366" s="644"/>
      <c r="BM366" s="95"/>
      <c r="BN366" s="644"/>
      <c r="BO366" s="95"/>
      <c r="BP366" s="644"/>
      <c r="BQ366" s="644"/>
      <c r="BR366" s="644"/>
      <c r="BS366" s="644"/>
      <c r="BT366" s="644"/>
      <c r="BU366" s="644"/>
      <c r="BV366" s="644"/>
      <c r="BW366" s="644"/>
      <c r="BX366" s="644"/>
      <c r="BY366" s="644"/>
      <c r="BZ366" s="644"/>
      <c r="CA366" s="644"/>
      <c r="CB366" s="644"/>
      <c r="CC366" s="644"/>
      <c r="CD366" s="644"/>
      <c r="CE366" s="644"/>
      <c r="CF366" s="644"/>
      <c r="CG366" s="644"/>
      <c r="CH366" s="644"/>
      <c r="CI366" s="644"/>
      <c r="CJ366" s="644"/>
      <c r="CK366" s="644"/>
      <c r="CL366" s="644"/>
      <c r="CM366" s="95"/>
      <c r="CN366" s="644"/>
      <c r="CO366" s="644"/>
      <c r="CP366" s="95"/>
      <c r="CQ366" s="98"/>
      <c r="CR366" s="95"/>
      <c r="CS366" s="95"/>
      <c r="CT366" s="95"/>
      <c r="CU366" s="108"/>
      <c r="CV366" s="109"/>
      <c r="CW366" s="644"/>
      <c r="CX366" s="496"/>
      <c r="CY366" s="637"/>
      <c r="CZ366" s="644"/>
      <c r="DA366" s="644"/>
      <c r="DB366" s="644"/>
      <c r="DC366" s="496"/>
      <c r="DD366" s="644"/>
      <c r="DE366" s="101"/>
      <c r="DF366" s="644"/>
      <c r="DG366" s="101"/>
      <c r="DH366" s="644"/>
      <c r="DI366" s="644"/>
      <c r="DJ366" s="644"/>
      <c r="DK366" s="644"/>
      <c r="DL366" s="644"/>
      <c r="DM366" s="101"/>
      <c r="DN366" s="644"/>
      <c r="DO366" s="644"/>
      <c r="DP366" s="644"/>
      <c r="DQ366" s="644"/>
      <c r="DR366" s="644"/>
      <c r="DS366" s="644"/>
      <c r="DT366" s="644"/>
      <c r="DU366" s="644"/>
      <c r="DV366" s="644"/>
      <c r="DW366" s="101"/>
      <c r="DX366" s="646"/>
      <c r="DY366" s="646"/>
      <c r="DZ366" s="646"/>
      <c r="EA366" s="646"/>
      <c r="EB366" s="646"/>
      <c r="EC366" s="646"/>
      <c r="ED366" s="646"/>
      <c r="EE366" s="646"/>
      <c r="EF366" s="646"/>
      <c r="EG366" s="646"/>
      <c r="EH366" s="646"/>
      <c r="EI366" s="646"/>
      <c r="EJ366" s="646"/>
      <c r="EK366" s="271"/>
      <c r="EL366" s="644"/>
      <c r="EM366" s="634"/>
      <c r="EN366" s="647"/>
      <c r="EO366" s="648"/>
      <c r="EP366" s="647"/>
      <c r="EQ366" s="647"/>
      <c r="ER366" s="647"/>
      <c r="ES366" s="139"/>
      <c r="EV366" s="647"/>
      <c r="EW366" s="647"/>
      <c r="EX366" s="647"/>
      <c r="EY366" s="647"/>
      <c r="EZ366" s="647"/>
      <c r="FA366" s="646"/>
      <c r="FB366" s="646"/>
      <c r="FC366" s="646"/>
      <c r="FD366" s="646"/>
      <c r="FE366" s="646"/>
      <c r="FF366" s="646"/>
      <c r="FG366" s="647"/>
      <c r="FH366" s="647"/>
      <c r="FI366" s="647"/>
      <c r="FJ366" s="647"/>
      <c r="FK366" s="647"/>
      <c r="FL366" s="647"/>
      <c r="FM366" s="647"/>
      <c r="FN366" s="647"/>
      <c r="FO366" s="647"/>
      <c r="FP366" s="647"/>
      <c r="FQ366" s="647"/>
      <c r="FR366" s="647"/>
      <c r="FS366" s="101"/>
      <c r="FT366" s="95"/>
      <c r="FU366" s="651"/>
      <c r="FV366" s="101"/>
      <c r="FW366" s="101"/>
      <c r="FX366" s="634"/>
      <c r="FY366" s="634"/>
      <c r="FZ366" s="634"/>
      <c r="GA366" s="634"/>
      <c r="GB366" s="634"/>
      <c r="GC366" s="634"/>
      <c r="GD366" s="634"/>
      <c r="GE366" s="634"/>
      <c r="GF366" s="634"/>
      <c r="GG366" s="634"/>
      <c r="GH366" s="634"/>
      <c r="GI366" s="634"/>
      <c r="GJ366" s="634"/>
      <c r="GK366" s="634"/>
      <c r="GL366" s="101"/>
      <c r="GM366" s="101"/>
      <c r="GN366" s="101"/>
      <c r="GO366" s="643"/>
      <c r="GP366" s="644"/>
      <c r="GQ366" s="643"/>
      <c r="GR366" s="644"/>
      <c r="GS366" s="643"/>
      <c r="GT366" s="644"/>
      <c r="GU366" s="644"/>
      <c r="GV366" s="644"/>
      <c r="GW366" s="644"/>
      <c r="GX366" s="644"/>
      <c r="GY366" s="644"/>
      <c r="GZ366" s="644"/>
      <c r="HA366" s="644"/>
    </row>
    <row r="367" spans="1:209">
      <c r="A367" s="638"/>
      <c r="B367" s="95"/>
      <c r="C367" s="95"/>
      <c r="D367" s="95"/>
      <c r="E367" s="650"/>
      <c r="F367" s="95"/>
      <c r="G367" s="98"/>
      <c r="H367" s="99"/>
      <c r="I367" s="95"/>
      <c r="J367" s="95"/>
      <c r="K367" s="95"/>
      <c r="L367" s="95"/>
      <c r="M367" s="95"/>
      <c r="N367" s="95"/>
      <c r="O367" s="95"/>
      <c r="P367" s="95"/>
      <c r="Q367" s="95"/>
      <c r="R367" s="98"/>
      <c r="S367" s="101"/>
      <c r="T367" s="644"/>
      <c r="U367" s="101"/>
      <c r="V367" s="647"/>
      <c r="W367" s="643"/>
      <c r="X367" s="644"/>
      <c r="Y367" s="101"/>
      <c r="Z367" s="644"/>
      <c r="AA367" s="101"/>
      <c r="AB367" s="644"/>
      <c r="AC367" s="101"/>
      <c r="AD367" s="646"/>
      <c r="AE367" s="271"/>
      <c r="AF367" s="646"/>
      <c r="AG367" s="646"/>
      <c r="AH367" s="646"/>
      <c r="AI367" s="646"/>
      <c r="AJ367" s="646"/>
      <c r="AK367" s="646"/>
      <c r="AL367" s="646"/>
      <c r="AM367" s="271"/>
      <c r="AN367" s="646"/>
      <c r="AO367" s="646"/>
      <c r="AP367" s="646"/>
      <c r="AQ367" s="271"/>
      <c r="AR367" s="646"/>
      <c r="AS367" s="270"/>
      <c r="AT367" s="646"/>
      <c r="AU367" s="646"/>
      <c r="AV367" s="646"/>
      <c r="AW367" s="270"/>
      <c r="AX367" s="646"/>
      <c r="AY367" s="270"/>
      <c r="AZ367" s="646"/>
      <c r="BA367" s="646"/>
      <c r="BB367" s="644"/>
      <c r="BC367" s="644"/>
      <c r="BD367" s="644"/>
      <c r="BE367" s="644"/>
      <c r="BF367" s="644"/>
      <c r="BG367" s="644"/>
      <c r="BH367" s="644"/>
      <c r="BI367" s="644"/>
      <c r="BJ367" s="644"/>
      <c r="BK367" s="644"/>
      <c r="BL367" s="644"/>
      <c r="BM367" s="95"/>
      <c r="BN367" s="644"/>
      <c r="BO367" s="95"/>
      <c r="BP367" s="644"/>
      <c r="BQ367" s="644"/>
      <c r="BR367" s="644"/>
      <c r="BS367" s="644"/>
      <c r="BT367" s="644"/>
      <c r="BU367" s="644"/>
      <c r="BV367" s="644"/>
      <c r="BW367" s="644"/>
      <c r="BX367" s="644"/>
      <c r="BY367" s="644"/>
      <c r="BZ367" s="644"/>
      <c r="CA367" s="644"/>
      <c r="CB367" s="644"/>
      <c r="CC367" s="644"/>
      <c r="CD367" s="644"/>
      <c r="CE367" s="644"/>
      <c r="CF367" s="644"/>
      <c r="CG367" s="644"/>
      <c r="CH367" s="644"/>
      <c r="CI367" s="644"/>
      <c r="CJ367" s="644"/>
      <c r="CK367" s="644"/>
      <c r="CL367" s="644"/>
      <c r="CM367" s="95"/>
      <c r="CN367" s="644"/>
      <c r="CO367" s="644"/>
      <c r="CP367" s="95"/>
      <c r="CQ367" s="98"/>
      <c r="CR367" s="95"/>
      <c r="CS367" s="95"/>
      <c r="CT367" s="95"/>
      <c r="CU367" s="108"/>
      <c r="CV367" s="109"/>
      <c r="CW367" s="644"/>
      <c r="CX367" s="496"/>
      <c r="CY367" s="637"/>
      <c r="CZ367" s="644"/>
      <c r="DA367" s="644"/>
      <c r="DB367" s="644"/>
      <c r="DC367" s="496"/>
      <c r="DD367" s="644"/>
      <c r="DE367" s="101"/>
      <c r="DF367" s="644"/>
      <c r="DG367" s="101"/>
      <c r="DH367" s="644"/>
      <c r="DI367" s="644"/>
      <c r="DJ367" s="644"/>
      <c r="DK367" s="644"/>
      <c r="DL367" s="644"/>
      <c r="DM367" s="101"/>
      <c r="DN367" s="644"/>
      <c r="DO367" s="644"/>
      <c r="DP367" s="644"/>
      <c r="DQ367" s="644"/>
      <c r="DR367" s="644"/>
      <c r="DS367" s="644"/>
      <c r="DT367" s="644"/>
      <c r="DU367" s="644"/>
      <c r="DV367" s="644"/>
      <c r="DW367" s="101"/>
      <c r="DX367" s="646"/>
      <c r="DY367" s="646"/>
      <c r="DZ367" s="646"/>
      <c r="EA367" s="646"/>
      <c r="EB367" s="646"/>
      <c r="EC367" s="646"/>
      <c r="ED367" s="646"/>
      <c r="EE367" s="646"/>
      <c r="EF367" s="646"/>
      <c r="EG367" s="646"/>
      <c r="EH367" s="646"/>
      <c r="EI367" s="646"/>
      <c r="EJ367" s="646"/>
      <c r="EK367" s="271"/>
      <c r="EL367" s="644"/>
      <c r="EM367" s="634"/>
      <c r="EN367" s="647"/>
      <c r="EO367" s="648"/>
      <c r="EP367" s="647"/>
      <c r="EQ367" s="647"/>
      <c r="ER367" s="647"/>
      <c r="ES367" s="139"/>
      <c r="EV367" s="647"/>
      <c r="EW367" s="647"/>
      <c r="EX367" s="647"/>
      <c r="EY367" s="647"/>
      <c r="EZ367" s="647"/>
      <c r="FA367" s="646"/>
      <c r="FB367" s="646"/>
      <c r="FC367" s="646"/>
      <c r="FD367" s="646"/>
      <c r="FE367" s="646"/>
      <c r="FF367" s="646"/>
      <c r="FG367" s="647"/>
      <c r="FH367" s="647"/>
      <c r="FI367" s="647"/>
      <c r="FJ367" s="647"/>
      <c r="FK367" s="647"/>
      <c r="FL367" s="647"/>
      <c r="FM367" s="647"/>
      <c r="FN367" s="647"/>
      <c r="FO367" s="647"/>
      <c r="FP367" s="647"/>
      <c r="FQ367" s="647"/>
      <c r="FR367" s="647"/>
      <c r="FS367" s="101"/>
      <c r="FT367" s="95"/>
      <c r="FU367" s="651"/>
      <c r="FV367" s="101"/>
      <c r="FW367" s="101"/>
      <c r="FX367" s="634"/>
      <c r="FY367" s="634"/>
      <c r="FZ367" s="634"/>
      <c r="GA367" s="634"/>
      <c r="GB367" s="634"/>
      <c r="GC367" s="634"/>
      <c r="GD367" s="634"/>
      <c r="GE367" s="634"/>
      <c r="GF367" s="634"/>
      <c r="GG367" s="634"/>
      <c r="GH367" s="634"/>
      <c r="GI367" s="634"/>
      <c r="GJ367" s="634"/>
      <c r="GK367" s="634"/>
      <c r="GL367" s="101"/>
      <c r="GM367" s="101"/>
      <c r="GN367" s="101"/>
      <c r="GO367" s="643"/>
      <c r="GP367" s="644"/>
      <c r="GQ367" s="643"/>
      <c r="GR367" s="644"/>
      <c r="GS367" s="643"/>
      <c r="GT367" s="644"/>
      <c r="GU367" s="644"/>
      <c r="GV367" s="644"/>
      <c r="GW367" s="644"/>
      <c r="GX367" s="644"/>
      <c r="GY367" s="644"/>
      <c r="GZ367" s="644"/>
      <c r="HA367" s="644"/>
    </row>
    <row r="368" spans="1:209">
      <c r="A368" s="638"/>
      <c r="B368" s="95"/>
      <c r="C368" s="95"/>
      <c r="D368" s="95"/>
      <c r="E368" s="650"/>
      <c r="F368" s="95"/>
      <c r="G368" s="98"/>
      <c r="H368" s="99"/>
      <c r="I368" s="95"/>
      <c r="J368" s="95"/>
      <c r="K368" s="95"/>
      <c r="L368" s="95"/>
      <c r="M368" s="95"/>
      <c r="N368" s="95"/>
      <c r="O368" s="95"/>
      <c r="P368" s="95"/>
      <c r="Q368" s="95"/>
      <c r="R368" s="98"/>
      <c r="S368" s="101"/>
      <c r="T368" s="644"/>
      <c r="U368" s="101"/>
      <c r="V368" s="647"/>
      <c r="W368" s="643"/>
      <c r="X368" s="644"/>
      <c r="Y368" s="101"/>
      <c r="Z368" s="644"/>
      <c r="AA368" s="101"/>
      <c r="AB368" s="644"/>
      <c r="AC368" s="101"/>
      <c r="AD368" s="646"/>
      <c r="AE368" s="271"/>
      <c r="AF368" s="646"/>
      <c r="AG368" s="646"/>
      <c r="AH368" s="646"/>
      <c r="AI368" s="646"/>
      <c r="AJ368" s="646"/>
      <c r="AK368" s="646"/>
      <c r="AL368" s="646"/>
      <c r="AM368" s="271"/>
      <c r="AN368" s="646"/>
      <c r="AO368" s="646"/>
      <c r="AP368" s="646"/>
      <c r="AQ368" s="271"/>
      <c r="AR368" s="646"/>
      <c r="AS368" s="270"/>
      <c r="AT368" s="646"/>
      <c r="AU368" s="646"/>
      <c r="AV368" s="646"/>
      <c r="AW368" s="270"/>
      <c r="AX368" s="646"/>
      <c r="AY368" s="270"/>
      <c r="AZ368" s="646"/>
      <c r="BA368" s="646"/>
      <c r="BB368" s="644"/>
      <c r="BC368" s="644"/>
      <c r="BD368" s="644"/>
      <c r="BE368" s="644"/>
      <c r="BF368" s="644"/>
      <c r="BG368" s="644"/>
      <c r="BH368" s="644"/>
      <c r="BI368" s="644"/>
      <c r="BJ368" s="644"/>
      <c r="BK368" s="644"/>
      <c r="BL368" s="644"/>
      <c r="BM368" s="95"/>
      <c r="BN368" s="644"/>
      <c r="BO368" s="95"/>
      <c r="BP368" s="644"/>
      <c r="BQ368" s="644"/>
      <c r="BR368" s="644"/>
      <c r="BS368" s="644"/>
      <c r="BT368" s="644"/>
      <c r="BU368" s="644"/>
      <c r="BV368" s="644"/>
      <c r="BW368" s="644"/>
      <c r="BX368" s="644"/>
      <c r="BY368" s="644"/>
      <c r="BZ368" s="644"/>
      <c r="CA368" s="644"/>
      <c r="CB368" s="644"/>
      <c r="CC368" s="644"/>
      <c r="CD368" s="644"/>
      <c r="CE368" s="644"/>
      <c r="CF368" s="644"/>
      <c r="CG368" s="644"/>
      <c r="CH368" s="644"/>
      <c r="CI368" s="644"/>
      <c r="CJ368" s="644"/>
      <c r="CK368" s="644"/>
      <c r="CL368" s="644"/>
      <c r="CM368" s="95"/>
      <c r="CN368" s="644"/>
      <c r="CO368" s="644"/>
      <c r="CP368" s="95"/>
      <c r="CQ368" s="98"/>
      <c r="CR368" s="95"/>
      <c r="CS368" s="95"/>
      <c r="CT368" s="95"/>
      <c r="CU368" s="108"/>
      <c r="CV368" s="109"/>
      <c r="CW368" s="644"/>
      <c r="CX368" s="496"/>
      <c r="CY368" s="637"/>
      <c r="CZ368" s="644"/>
      <c r="DA368" s="644"/>
      <c r="DB368" s="644"/>
      <c r="DC368" s="496"/>
      <c r="DD368" s="644"/>
      <c r="DE368" s="101"/>
      <c r="DF368" s="644"/>
      <c r="DG368" s="101"/>
      <c r="DH368" s="644"/>
      <c r="DI368" s="644"/>
      <c r="DJ368" s="644"/>
      <c r="DK368" s="644"/>
      <c r="DL368" s="644"/>
      <c r="DM368" s="101"/>
      <c r="DN368" s="644"/>
      <c r="DO368" s="644"/>
      <c r="DP368" s="644"/>
      <c r="DQ368" s="644"/>
      <c r="DR368" s="644"/>
      <c r="DS368" s="644"/>
      <c r="DT368" s="644"/>
      <c r="DU368" s="644"/>
      <c r="DV368" s="644"/>
      <c r="DW368" s="101"/>
      <c r="DX368" s="646"/>
      <c r="DY368" s="646"/>
      <c r="DZ368" s="646"/>
      <c r="EA368" s="646"/>
      <c r="EB368" s="646"/>
      <c r="EC368" s="646"/>
      <c r="ED368" s="646"/>
      <c r="EE368" s="646"/>
      <c r="EF368" s="646"/>
      <c r="EG368" s="646"/>
      <c r="EH368" s="646"/>
      <c r="EI368" s="646"/>
      <c r="EJ368" s="646"/>
      <c r="EK368" s="271"/>
      <c r="EL368" s="644"/>
      <c r="EM368" s="634"/>
      <c r="EN368" s="647"/>
      <c r="EO368" s="648"/>
      <c r="EP368" s="647"/>
      <c r="EQ368" s="647"/>
      <c r="ER368" s="647"/>
      <c r="ES368" s="139"/>
      <c r="EV368" s="647"/>
      <c r="EW368" s="647"/>
      <c r="EX368" s="647"/>
      <c r="EY368" s="647"/>
      <c r="EZ368" s="647"/>
      <c r="FA368" s="646"/>
      <c r="FB368" s="646"/>
      <c r="FC368" s="646"/>
      <c r="FD368" s="646"/>
      <c r="FE368" s="646"/>
      <c r="FF368" s="646"/>
      <c r="FG368" s="647"/>
      <c r="FH368" s="647"/>
      <c r="FI368" s="647"/>
      <c r="FJ368" s="647"/>
      <c r="FK368" s="647"/>
      <c r="FL368" s="647"/>
      <c r="FM368" s="647"/>
      <c r="FN368" s="647"/>
      <c r="FO368" s="647"/>
      <c r="FP368" s="647"/>
      <c r="FQ368" s="647"/>
      <c r="FR368" s="647"/>
      <c r="FS368" s="101"/>
      <c r="FT368" s="95"/>
      <c r="FU368" s="651"/>
      <c r="FV368" s="101"/>
      <c r="FW368" s="101"/>
      <c r="FX368" s="634"/>
      <c r="FY368" s="634"/>
      <c r="FZ368" s="634"/>
      <c r="GA368" s="634"/>
      <c r="GB368" s="634"/>
      <c r="GC368" s="634"/>
      <c r="GD368" s="634"/>
      <c r="GE368" s="634"/>
      <c r="GF368" s="634"/>
      <c r="GG368" s="634"/>
      <c r="GH368" s="634"/>
      <c r="GI368" s="634"/>
      <c r="GJ368" s="634"/>
      <c r="GK368" s="634"/>
      <c r="GL368" s="101"/>
      <c r="GM368" s="101"/>
      <c r="GN368" s="101"/>
      <c r="GO368" s="643"/>
      <c r="GP368" s="644"/>
      <c r="GQ368" s="643"/>
      <c r="GR368" s="644"/>
      <c r="GS368" s="643"/>
      <c r="GT368" s="644"/>
      <c r="GU368" s="644"/>
      <c r="GV368" s="644"/>
      <c r="GW368" s="644"/>
      <c r="GX368" s="644"/>
      <c r="GY368" s="644"/>
      <c r="GZ368" s="644"/>
      <c r="HA368" s="644"/>
    </row>
    <row r="369" spans="1:209">
      <c r="A369" s="638"/>
      <c r="B369" s="95"/>
      <c r="C369" s="95"/>
      <c r="D369" s="95"/>
      <c r="E369" s="650"/>
      <c r="F369" s="95"/>
      <c r="G369" s="98"/>
      <c r="H369" s="99"/>
      <c r="I369" s="95"/>
      <c r="J369" s="95"/>
      <c r="K369" s="95"/>
      <c r="L369" s="95"/>
      <c r="M369" s="95"/>
      <c r="N369" s="95"/>
      <c r="O369" s="95"/>
      <c r="P369" s="95"/>
      <c r="Q369" s="95"/>
      <c r="R369" s="98"/>
      <c r="S369" s="101"/>
      <c r="T369" s="644"/>
      <c r="U369" s="101"/>
      <c r="V369" s="647"/>
      <c r="W369" s="643"/>
      <c r="X369" s="644"/>
      <c r="Y369" s="101"/>
      <c r="Z369" s="644"/>
      <c r="AA369" s="101"/>
      <c r="AB369" s="644"/>
      <c r="AC369" s="101"/>
      <c r="AD369" s="646"/>
      <c r="AE369" s="271"/>
      <c r="AF369" s="646"/>
      <c r="AG369" s="646"/>
      <c r="AH369" s="646"/>
      <c r="AI369" s="646"/>
      <c r="AJ369" s="646"/>
      <c r="AK369" s="646"/>
      <c r="AL369" s="646"/>
      <c r="AM369" s="271"/>
      <c r="AN369" s="646"/>
      <c r="AO369" s="646"/>
      <c r="AP369" s="646"/>
      <c r="AQ369" s="271"/>
      <c r="AR369" s="646"/>
      <c r="AS369" s="270"/>
      <c r="AT369" s="646"/>
      <c r="AU369" s="646"/>
      <c r="AV369" s="646"/>
      <c r="AW369" s="270"/>
      <c r="AX369" s="646"/>
      <c r="AY369" s="270"/>
      <c r="AZ369" s="646"/>
      <c r="BA369" s="646"/>
      <c r="BB369" s="644"/>
      <c r="BC369" s="644"/>
      <c r="BD369" s="644"/>
      <c r="BE369" s="644"/>
      <c r="BF369" s="644"/>
      <c r="BG369" s="644"/>
      <c r="BH369" s="644"/>
      <c r="BI369" s="644"/>
      <c r="BJ369" s="644"/>
      <c r="BK369" s="644"/>
      <c r="BL369" s="644"/>
      <c r="BM369" s="95"/>
      <c r="BN369" s="644"/>
      <c r="BO369" s="95"/>
      <c r="BP369" s="644"/>
      <c r="BQ369" s="644"/>
      <c r="BR369" s="644"/>
      <c r="BS369" s="644"/>
      <c r="BT369" s="644"/>
      <c r="BU369" s="644"/>
      <c r="BV369" s="644"/>
      <c r="BW369" s="644"/>
      <c r="BX369" s="644"/>
      <c r="BY369" s="644"/>
      <c r="BZ369" s="644"/>
      <c r="CA369" s="644"/>
      <c r="CB369" s="644"/>
      <c r="CC369" s="644"/>
      <c r="CD369" s="644"/>
      <c r="CE369" s="644"/>
      <c r="CF369" s="644"/>
      <c r="CG369" s="644"/>
      <c r="CH369" s="644"/>
      <c r="CI369" s="644"/>
      <c r="CJ369" s="644"/>
      <c r="CK369" s="644"/>
      <c r="CL369" s="644"/>
      <c r="CM369" s="95"/>
      <c r="CN369" s="644"/>
      <c r="CO369" s="644"/>
      <c r="CP369" s="95"/>
      <c r="CQ369" s="98"/>
      <c r="CR369" s="95"/>
      <c r="CS369" s="95"/>
      <c r="CT369" s="95"/>
      <c r="CU369" s="108"/>
      <c r="CV369" s="109"/>
      <c r="CW369" s="644"/>
      <c r="CX369" s="496"/>
      <c r="CY369" s="637"/>
      <c r="CZ369" s="644"/>
      <c r="DA369" s="644"/>
      <c r="DB369" s="644"/>
      <c r="DC369" s="496"/>
      <c r="DD369" s="644"/>
      <c r="DE369" s="101"/>
      <c r="DF369" s="644"/>
      <c r="DG369" s="101"/>
      <c r="DH369" s="644"/>
      <c r="DI369" s="644"/>
      <c r="DJ369" s="644"/>
      <c r="DK369" s="644"/>
      <c r="DL369" s="644"/>
      <c r="DM369" s="101"/>
      <c r="DN369" s="644"/>
      <c r="DO369" s="644"/>
      <c r="DP369" s="644"/>
      <c r="DQ369" s="644"/>
      <c r="DR369" s="644"/>
      <c r="DS369" s="644"/>
      <c r="DT369" s="644"/>
      <c r="DU369" s="644"/>
      <c r="DV369" s="644"/>
      <c r="DW369" s="101"/>
      <c r="DX369" s="646"/>
      <c r="DY369" s="646"/>
      <c r="DZ369" s="646"/>
      <c r="EA369" s="646"/>
      <c r="EB369" s="646"/>
      <c r="EC369" s="646"/>
      <c r="ED369" s="646"/>
      <c r="EE369" s="646"/>
      <c r="EF369" s="646"/>
      <c r="EG369" s="646"/>
      <c r="EH369" s="646"/>
      <c r="EI369" s="646"/>
      <c r="EJ369" s="646"/>
      <c r="EK369" s="271"/>
      <c r="EL369" s="644"/>
      <c r="EM369" s="634"/>
      <c r="EN369" s="647"/>
      <c r="EO369" s="648"/>
      <c r="EP369" s="647"/>
      <c r="EQ369" s="647"/>
      <c r="ER369" s="647"/>
      <c r="ES369" s="139"/>
      <c r="EV369" s="647"/>
      <c r="EW369" s="647"/>
      <c r="EX369" s="647"/>
      <c r="EY369" s="647"/>
      <c r="EZ369" s="647"/>
      <c r="FA369" s="646"/>
      <c r="FB369" s="646"/>
      <c r="FC369" s="646"/>
      <c r="FD369" s="646"/>
      <c r="FE369" s="646"/>
      <c r="FF369" s="646"/>
      <c r="FG369" s="647"/>
      <c r="FH369" s="647"/>
      <c r="FI369" s="647"/>
      <c r="FJ369" s="647"/>
      <c r="FK369" s="647"/>
      <c r="FL369" s="647"/>
      <c r="FM369" s="647"/>
      <c r="FN369" s="647"/>
      <c r="FO369" s="647"/>
      <c r="FP369" s="647"/>
      <c r="FQ369" s="647"/>
      <c r="FR369" s="647"/>
      <c r="FS369" s="101"/>
      <c r="FT369" s="95"/>
      <c r="FU369" s="651"/>
      <c r="FV369" s="101"/>
      <c r="FW369" s="101"/>
      <c r="FX369" s="634"/>
      <c r="FY369" s="634"/>
      <c r="FZ369" s="634"/>
      <c r="GA369" s="634"/>
      <c r="GB369" s="634"/>
      <c r="GC369" s="634"/>
      <c r="GD369" s="634"/>
      <c r="GE369" s="634"/>
      <c r="GF369" s="634"/>
      <c r="GG369" s="634"/>
      <c r="GH369" s="634"/>
      <c r="GI369" s="634"/>
      <c r="GJ369" s="634"/>
      <c r="GK369" s="634"/>
      <c r="GL369" s="101"/>
      <c r="GM369" s="101"/>
      <c r="GN369" s="101"/>
      <c r="GO369" s="643"/>
      <c r="GP369" s="644"/>
      <c r="GQ369" s="643"/>
      <c r="GR369" s="644"/>
      <c r="GS369" s="643"/>
      <c r="GT369" s="644"/>
      <c r="GU369" s="644"/>
      <c r="GV369" s="644"/>
      <c r="GW369" s="644"/>
      <c r="GX369" s="644"/>
      <c r="GY369" s="644"/>
      <c r="GZ369" s="644"/>
      <c r="HA369" s="644"/>
    </row>
    <row r="370" spans="1:209">
      <c r="A370" s="638"/>
      <c r="B370" s="95"/>
      <c r="C370" s="95"/>
      <c r="D370" s="95"/>
      <c r="E370" s="650"/>
      <c r="F370" s="95"/>
      <c r="G370" s="98"/>
      <c r="H370" s="99"/>
      <c r="I370" s="95"/>
      <c r="J370" s="95"/>
      <c r="K370" s="95"/>
      <c r="L370" s="95"/>
      <c r="M370" s="95"/>
      <c r="N370" s="95"/>
      <c r="O370" s="95"/>
      <c r="P370" s="95"/>
      <c r="Q370" s="95"/>
      <c r="R370" s="98"/>
      <c r="S370" s="101"/>
      <c r="T370" s="644"/>
      <c r="U370" s="101"/>
      <c r="V370" s="647"/>
      <c r="W370" s="643"/>
      <c r="X370" s="644"/>
      <c r="Y370" s="101"/>
      <c r="Z370" s="644"/>
      <c r="AA370" s="101"/>
      <c r="AB370" s="644"/>
      <c r="AC370" s="101"/>
      <c r="AD370" s="646"/>
      <c r="AE370" s="271"/>
      <c r="AF370" s="646"/>
      <c r="AG370" s="646"/>
      <c r="AH370" s="646"/>
      <c r="AI370" s="646"/>
      <c r="AJ370" s="646"/>
      <c r="AK370" s="646"/>
      <c r="AL370" s="646"/>
      <c r="AM370" s="271"/>
      <c r="AN370" s="646"/>
      <c r="AO370" s="646"/>
      <c r="AP370" s="646"/>
      <c r="AQ370" s="271"/>
      <c r="AR370" s="646"/>
      <c r="AS370" s="270"/>
      <c r="AT370" s="646"/>
      <c r="AU370" s="646"/>
      <c r="AV370" s="646"/>
      <c r="AW370" s="270"/>
      <c r="AX370" s="646"/>
      <c r="AY370" s="270"/>
      <c r="AZ370" s="646"/>
      <c r="BA370" s="646"/>
      <c r="BB370" s="644"/>
      <c r="BC370" s="644"/>
      <c r="BD370" s="644"/>
      <c r="BE370" s="644"/>
      <c r="BF370" s="644"/>
      <c r="BG370" s="644"/>
      <c r="BH370" s="644"/>
      <c r="BI370" s="644"/>
      <c r="BJ370" s="644"/>
      <c r="BK370" s="644"/>
      <c r="BL370" s="644"/>
      <c r="BM370" s="95"/>
      <c r="BN370" s="644"/>
      <c r="BO370" s="95"/>
      <c r="BP370" s="644"/>
      <c r="BQ370" s="644"/>
      <c r="BR370" s="644"/>
      <c r="BS370" s="644"/>
      <c r="BT370" s="644"/>
      <c r="BU370" s="644"/>
      <c r="BV370" s="644"/>
      <c r="BW370" s="644"/>
      <c r="BX370" s="644"/>
      <c r="BY370" s="644"/>
      <c r="BZ370" s="644"/>
      <c r="CA370" s="644"/>
      <c r="CB370" s="644"/>
      <c r="CC370" s="644"/>
      <c r="CD370" s="644"/>
      <c r="CE370" s="644"/>
      <c r="CF370" s="644"/>
      <c r="CG370" s="644"/>
      <c r="CH370" s="644"/>
      <c r="CI370" s="644"/>
      <c r="CJ370" s="644"/>
      <c r="CK370" s="644"/>
      <c r="CL370" s="644"/>
      <c r="CM370" s="95"/>
      <c r="CN370" s="644"/>
      <c r="CO370" s="644"/>
      <c r="CP370" s="95"/>
      <c r="CQ370" s="98"/>
      <c r="CR370" s="95"/>
      <c r="CS370" s="95"/>
      <c r="CT370" s="95"/>
      <c r="CU370" s="108"/>
      <c r="CV370" s="109"/>
      <c r="CW370" s="644"/>
      <c r="CX370" s="496"/>
      <c r="CY370" s="637"/>
      <c r="CZ370" s="644"/>
      <c r="DA370" s="644"/>
      <c r="DB370" s="644"/>
      <c r="DC370" s="496"/>
      <c r="DD370" s="644"/>
      <c r="DE370" s="101"/>
      <c r="DF370" s="644"/>
      <c r="DG370" s="101"/>
      <c r="DH370" s="644"/>
      <c r="DI370" s="644"/>
      <c r="DJ370" s="644"/>
      <c r="DK370" s="644"/>
      <c r="DL370" s="644"/>
      <c r="DM370" s="101"/>
      <c r="DN370" s="644"/>
      <c r="DO370" s="644"/>
      <c r="DP370" s="644"/>
      <c r="DQ370" s="644"/>
      <c r="DR370" s="644"/>
      <c r="DS370" s="644"/>
      <c r="DT370" s="644"/>
      <c r="DU370" s="644"/>
      <c r="DV370" s="644"/>
      <c r="DW370" s="101"/>
      <c r="DX370" s="646"/>
      <c r="DY370" s="646"/>
      <c r="DZ370" s="646"/>
      <c r="EA370" s="646"/>
      <c r="EB370" s="646"/>
      <c r="EC370" s="646"/>
      <c r="ED370" s="646"/>
      <c r="EE370" s="646"/>
      <c r="EF370" s="646"/>
      <c r="EG370" s="646"/>
      <c r="EH370" s="646"/>
      <c r="EI370" s="646"/>
      <c r="EJ370" s="646"/>
      <c r="EK370" s="271"/>
      <c r="EL370" s="644"/>
      <c r="EM370" s="634"/>
      <c r="EN370" s="647"/>
      <c r="EO370" s="648"/>
      <c r="EP370" s="647"/>
      <c r="EQ370" s="647"/>
      <c r="ER370" s="647"/>
      <c r="ES370" s="139"/>
      <c r="EV370" s="647"/>
      <c r="EW370" s="647"/>
      <c r="EX370" s="647"/>
      <c r="EY370" s="647"/>
      <c r="EZ370" s="647"/>
      <c r="FA370" s="646"/>
      <c r="FB370" s="646"/>
      <c r="FC370" s="646"/>
      <c r="FD370" s="646"/>
      <c r="FE370" s="646"/>
      <c r="FF370" s="646"/>
      <c r="FG370" s="647"/>
      <c r="FH370" s="647"/>
      <c r="FI370" s="647"/>
      <c r="FJ370" s="647"/>
      <c r="FK370" s="647"/>
      <c r="FL370" s="647"/>
      <c r="FM370" s="647"/>
      <c r="FN370" s="647"/>
      <c r="FO370" s="647"/>
      <c r="FP370" s="647"/>
      <c r="FQ370" s="647"/>
      <c r="FR370" s="647"/>
      <c r="FS370" s="101"/>
      <c r="FT370" s="95"/>
      <c r="FU370" s="651"/>
      <c r="FV370" s="101"/>
      <c r="FW370" s="101"/>
      <c r="FX370" s="634"/>
      <c r="FY370" s="634"/>
      <c r="FZ370" s="634"/>
      <c r="GA370" s="634"/>
      <c r="GB370" s="634"/>
      <c r="GC370" s="634"/>
      <c r="GD370" s="634"/>
      <c r="GE370" s="634"/>
      <c r="GF370" s="634"/>
      <c r="GG370" s="634"/>
      <c r="GH370" s="634"/>
      <c r="GI370" s="634"/>
      <c r="GJ370" s="634"/>
      <c r="GK370" s="634"/>
      <c r="GL370" s="101"/>
      <c r="GM370" s="101"/>
      <c r="GN370" s="101"/>
      <c r="GO370" s="643"/>
      <c r="GP370" s="644"/>
      <c r="GQ370" s="643"/>
      <c r="GR370" s="644"/>
      <c r="GS370" s="643"/>
      <c r="GT370" s="644"/>
      <c r="GU370" s="644"/>
      <c r="GV370" s="644"/>
      <c r="GW370" s="644"/>
      <c r="GX370" s="644"/>
      <c r="GY370" s="644"/>
      <c r="GZ370" s="644"/>
      <c r="HA370" s="644"/>
    </row>
    <row r="371" spans="1:209">
      <c r="A371" s="638"/>
      <c r="B371" s="95"/>
      <c r="C371" s="95"/>
      <c r="D371" s="95"/>
      <c r="E371" s="650"/>
      <c r="F371" s="95"/>
      <c r="G371" s="98"/>
      <c r="H371" s="99"/>
      <c r="I371" s="95"/>
      <c r="J371" s="95"/>
      <c r="K371" s="95"/>
      <c r="L371" s="95"/>
      <c r="M371" s="95"/>
      <c r="N371" s="95"/>
      <c r="O371" s="95"/>
      <c r="P371" s="95"/>
      <c r="Q371" s="95"/>
      <c r="R371" s="98"/>
      <c r="S371" s="101"/>
      <c r="T371" s="644"/>
      <c r="U371" s="101"/>
      <c r="V371" s="647"/>
      <c r="W371" s="643"/>
      <c r="X371" s="644"/>
      <c r="Y371" s="101"/>
      <c r="Z371" s="644"/>
      <c r="AA371" s="101"/>
      <c r="AB371" s="644"/>
      <c r="AC371" s="101"/>
      <c r="AD371" s="646"/>
      <c r="AE371" s="271"/>
      <c r="AF371" s="646"/>
      <c r="AG371" s="646"/>
      <c r="AH371" s="646"/>
      <c r="AI371" s="646"/>
      <c r="AJ371" s="646"/>
      <c r="AK371" s="646"/>
      <c r="AL371" s="646"/>
      <c r="AM371" s="271"/>
      <c r="AN371" s="646"/>
      <c r="AO371" s="646"/>
      <c r="AP371" s="646"/>
      <c r="AQ371" s="271"/>
      <c r="AR371" s="646"/>
      <c r="AS371" s="270"/>
      <c r="AT371" s="646"/>
      <c r="AU371" s="646"/>
      <c r="AV371" s="646"/>
      <c r="AW371" s="270"/>
      <c r="AX371" s="646"/>
      <c r="AY371" s="270"/>
      <c r="AZ371" s="646"/>
      <c r="BA371" s="646"/>
      <c r="BB371" s="644"/>
      <c r="BC371" s="644"/>
      <c r="BD371" s="644"/>
      <c r="BE371" s="644"/>
      <c r="BF371" s="644"/>
      <c r="BG371" s="644"/>
      <c r="BH371" s="644"/>
      <c r="BI371" s="644"/>
      <c r="BJ371" s="644"/>
      <c r="BK371" s="644"/>
      <c r="BL371" s="644"/>
      <c r="BM371" s="95"/>
      <c r="BN371" s="644"/>
      <c r="BO371" s="95"/>
      <c r="BP371" s="644"/>
      <c r="BQ371" s="644"/>
      <c r="BR371" s="644"/>
      <c r="BS371" s="644"/>
      <c r="BT371" s="644"/>
      <c r="BU371" s="644"/>
      <c r="BV371" s="644"/>
      <c r="BW371" s="644"/>
      <c r="BX371" s="644"/>
      <c r="BY371" s="644"/>
      <c r="BZ371" s="644"/>
      <c r="CA371" s="644"/>
      <c r="CB371" s="644"/>
      <c r="CC371" s="644"/>
      <c r="CD371" s="644"/>
      <c r="CE371" s="644"/>
      <c r="CF371" s="644"/>
      <c r="CG371" s="644"/>
      <c r="CH371" s="644"/>
      <c r="CI371" s="644"/>
      <c r="CJ371" s="644"/>
      <c r="CK371" s="644"/>
      <c r="CL371" s="644"/>
      <c r="CM371" s="95"/>
      <c r="CN371" s="644"/>
      <c r="CO371" s="644"/>
      <c r="CP371" s="95"/>
      <c r="CQ371" s="98"/>
      <c r="CR371" s="95"/>
      <c r="CS371" s="95"/>
      <c r="CT371" s="95"/>
      <c r="CU371" s="108"/>
      <c r="CV371" s="109"/>
      <c r="CW371" s="644"/>
      <c r="CX371" s="496"/>
      <c r="CY371" s="637"/>
      <c r="CZ371" s="644"/>
      <c r="DA371" s="644"/>
      <c r="DB371" s="644"/>
      <c r="DC371" s="496"/>
      <c r="DD371" s="644"/>
      <c r="DE371" s="101"/>
      <c r="DF371" s="644"/>
      <c r="DG371" s="101"/>
      <c r="DH371" s="644"/>
      <c r="DI371" s="644"/>
      <c r="DJ371" s="644"/>
      <c r="DK371" s="644"/>
      <c r="DL371" s="644"/>
      <c r="DM371" s="101"/>
      <c r="DN371" s="644"/>
      <c r="DO371" s="644"/>
      <c r="DP371" s="644"/>
      <c r="DQ371" s="644"/>
      <c r="DR371" s="644"/>
      <c r="DS371" s="644"/>
      <c r="DT371" s="644"/>
      <c r="DU371" s="644"/>
      <c r="DV371" s="644"/>
      <c r="DW371" s="101"/>
      <c r="DX371" s="646"/>
      <c r="DY371" s="646"/>
      <c r="DZ371" s="646"/>
      <c r="EA371" s="646"/>
      <c r="EB371" s="646"/>
      <c r="EC371" s="646"/>
      <c r="ED371" s="646"/>
      <c r="EE371" s="646"/>
      <c r="EF371" s="646"/>
      <c r="EG371" s="646"/>
      <c r="EH371" s="646"/>
      <c r="EI371" s="646"/>
      <c r="EJ371" s="646"/>
      <c r="EK371" s="271"/>
      <c r="EL371" s="644"/>
      <c r="EM371" s="634"/>
      <c r="EN371" s="647"/>
      <c r="EO371" s="648"/>
      <c r="EP371" s="647"/>
      <c r="EQ371" s="647"/>
      <c r="ER371" s="647"/>
      <c r="ES371" s="139"/>
      <c r="EV371" s="647"/>
      <c r="EW371" s="647"/>
      <c r="EX371" s="647"/>
      <c r="EY371" s="647"/>
      <c r="EZ371" s="647"/>
      <c r="FA371" s="646"/>
      <c r="FB371" s="646"/>
      <c r="FC371" s="646"/>
      <c r="FD371" s="646"/>
      <c r="FE371" s="646"/>
      <c r="FF371" s="646"/>
      <c r="FG371" s="647"/>
      <c r="FH371" s="647"/>
      <c r="FI371" s="647"/>
      <c r="FJ371" s="647"/>
      <c r="FK371" s="647"/>
      <c r="FL371" s="647"/>
      <c r="FM371" s="647"/>
      <c r="FN371" s="647"/>
      <c r="FO371" s="647"/>
      <c r="FP371" s="647"/>
      <c r="FQ371" s="647"/>
      <c r="FR371" s="647"/>
      <c r="FS371" s="101"/>
      <c r="FT371" s="95"/>
      <c r="FU371" s="651"/>
      <c r="FV371" s="101"/>
      <c r="FW371" s="101"/>
      <c r="FX371" s="634"/>
      <c r="FY371" s="634"/>
      <c r="FZ371" s="634"/>
      <c r="GA371" s="634"/>
      <c r="GB371" s="634"/>
      <c r="GC371" s="634"/>
      <c r="GD371" s="634"/>
      <c r="GE371" s="634"/>
      <c r="GF371" s="634"/>
      <c r="GG371" s="634"/>
      <c r="GH371" s="634"/>
      <c r="GI371" s="634"/>
      <c r="GJ371" s="634"/>
      <c r="GK371" s="634"/>
      <c r="GL371" s="101"/>
      <c r="GM371" s="101"/>
      <c r="GN371" s="101"/>
      <c r="GO371" s="643"/>
      <c r="GP371" s="644"/>
      <c r="GQ371" s="643"/>
      <c r="GR371" s="644"/>
      <c r="GS371" s="643"/>
      <c r="GT371" s="644"/>
      <c r="GU371" s="644"/>
      <c r="GV371" s="644"/>
      <c r="GW371" s="644"/>
      <c r="GX371" s="644"/>
      <c r="GY371" s="644"/>
      <c r="GZ371" s="644"/>
      <c r="HA371" s="644"/>
    </row>
    <row r="372" spans="1:209">
      <c r="A372" s="638"/>
      <c r="B372" s="95"/>
      <c r="C372" s="95"/>
      <c r="D372" s="95"/>
      <c r="E372" s="650"/>
      <c r="F372" s="95"/>
      <c r="G372" s="98"/>
      <c r="H372" s="99"/>
      <c r="I372" s="95"/>
      <c r="J372" s="95"/>
      <c r="K372" s="95"/>
      <c r="L372" s="95"/>
      <c r="M372" s="95"/>
      <c r="N372" s="95"/>
      <c r="O372" s="95"/>
      <c r="P372" s="95"/>
      <c r="Q372" s="95"/>
      <c r="R372" s="98"/>
      <c r="S372" s="101"/>
      <c r="T372" s="644"/>
      <c r="U372" s="101"/>
      <c r="V372" s="647"/>
      <c r="W372" s="643"/>
      <c r="X372" s="644"/>
      <c r="Y372" s="101"/>
      <c r="Z372" s="644"/>
      <c r="AA372" s="101"/>
      <c r="AB372" s="644"/>
      <c r="AC372" s="101"/>
      <c r="AD372" s="646"/>
      <c r="AE372" s="271"/>
      <c r="AF372" s="646"/>
      <c r="AG372" s="646"/>
      <c r="AH372" s="646"/>
      <c r="AI372" s="646"/>
      <c r="AJ372" s="646"/>
      <c r="AK372" s="646"/>
      <c r="AL372" s="646"/>
      <c r="AM372" s="271"/>
      <c r="AN372" s="646"/>
      <c r="AO372" s="646"/>
      <c r="AP372" s="646"/>
      <c r="AQ372" s="271"/>
      <c r="AR372" s="646"/>
      <c r="AS372" s="270"/>
      <c r="AT372" s="646"/>
      <c r="AU372" s="646"/>
      <c r="AV372" s="646"/>
      <c r="AW372" s="270"/>
      <c r="AX372" s="646"/>
      <c r="AY372" s="270"/>
      <c r="AZ372" s="646"/>
      <c r="BA372" s="646"/>
      <c r="BB372" s="644"/>
      <c r="BC372" s="644"/>
      <c r="BD372" s="644"/>
      <c r="BE372" s="644"/>
      <c r="BF372" s="644"/>
      <c r="BG372" s="644"/>
      <c r="BH372" s="644"/>
      <c r="BI372" s="644"/>
      <c r="BJ372" s="644"/>
      <c r="BK372" s="644"/>
      <c r="BL372" s="644"/>
      <c r="BM372" s="95"/>
      <c r="BN372" s="644"/>
      <c r="BO372" s="95"/>
      <c r="BP372" s="644"/>
      <c r="BQ372" s="644"/>
      <c r="BR372" s="644"/>
      <c r="BS372" s="644"/>
      <c r="BT372" s="644"/>
      <c r="BU372" s="644"/>
      <c r="BV372" s="644"/>
      <c r="BW372" s="644"/>
      <c r="BX372" s="644"/>
      <c r="BY372" s="644"/>
      <c r="BZ372" s="644"/>
      <c r="CA372" s="644"/>
      <c r="CB372" s="644"/>
      <c r="CC372" s="644"/>
      <c r="CD372" s="644"/>
      <c r="CE372" s="644"/>
      <c r="CF372" s="644"/>
      <c r="CG372" s="644"/>
      <c r="CH372" s="644"/>
      <c r="CI372" s="644"/>
      <c r="CJ372" s="644"/>
      <c r="CK372" s="644"/>
      <c r="CL372" s="644"/>
      <c r="CM372" s="95"/>
      <c r="CN372" s="644"/>
      <c r="CO372" s="644"/>
      <c r="CP372" s="95"/>
      <c r="CQ372" s="98"/>
      <c r="CR372" s="95"/>
      <c r="CS372" s="95"/>
      <c r="CT372" s="95"/>
      <c r="CU372" s="108"/>
      <c r="CV372" s="109"/>
      <c r="CW372" s="644"/>
      <c r="CX372" s="496"/>
      <c r="CY372" s="637"/>
      <c r="CZ372" s="644"/>
      <c r="DA372" s="644"/>
      <c r="DB372" s="644"/>
      <c r="DC372" s="496"/>
      <c r="DD372" s="644"/>
      <c r="DE372" s="101"/>
      <c r="DF372" s="644"/>
      <c r="DG372" s="101"/>
      <c r="DH372" s="644"/>
      <c r="DI372" s="644"/>
      <c r="DJ372" s="644"/>
      <c r="DK372" s="644"/>
      <c r="DL372" s="644"/>
      <c r="DM372" s="101"/>
      <c r="DN372" s="644"/>
      <c r="DO372" s="644"/>
      <c r="DP372" s="644"/>
      <c r="DQ372" s="644"/>
      <c r="DR372" s="644"/>
      <c r="DS372" s="644"/>
      <c r="DT372" s="644"/>
      <c r="DU372" s="644"/>
      <c r="DV372" s="644"/>
      <c r="DW372" s="101"/>
      <c r="DX372" s="646"/>
      <c r="DY372" s="646"/>
      <c r="DZ372" s="646"/>
      <c r="EA372" s="646"/>
      <c r="EB372" s="646"/>
      <c r="EC372" s="646"/>
      <c r="ED372" s="646"/>
      <c r="EE372" s="646"/>
      <c r="EF372" s="646"/>
      <c r="EG372" s="646"/>
      <c r="EH372" s="646"/>
      <c r="EI372" s="646"/>
      <c r="EJ372" s="646"/>
      <c r="EK372" s="271"/>
      <c r="EL372" s="644"/>
      <c r="EM372" s="634"/>
      <c r="EN372" s="647"/>
      <c r="EO372" s="648"/>
      <c r="EP372" s="647"/>
      <c r="EQ372" s="647"/>
      <c r="ER372" s="647"/>
      <c r="ES372" s="139"/>
      <c r="EV372" s="647"/>
      <c r="EW372" s="647"/>
      <c r="EX372" s="647"/>
      <c r="EY372" s="647"/>
      <c r="EZ372" s="647"/>
      <c r="FA372" s="646"/>
      <c r="FB372" s="646"/>
      <c r="FC372" s="646"/>
      <c r="FD372" s="646"/>
      <c r="FE372" s="646"/>
      <c r="FF372" s="646"/>
      <c r="FG372" s="647"/>
      <c r="FH372" s="647"/>
      <c r="FI372" s="647"/>
      <c r="FJ372" s="647"/>
      <c r="FK372" s="647"/>
      <c r="FL372" s="647"/>
      <c r="FM372" s="647"/>
      <c r="FN372" s="647"/>
      <c r="FO372" s="647"/>
      <c r="FP372" s="647"/>
      <c r="FQ372" s="647"/>
      <c r="FR372" s="647"/>
      <c r="FS372" s="101"/>
      <c r="FT372" s="95"/>
      <c r="FU372" s="651"/>
      <c r="FV372" s="101"/>
      <c r="FW372" s="101"/>
      <c r="FX372" s="634"/>
      <c r="FY372" s="634"/>
      <c r="FZ372" s="634"/>
      <c r="GA372" s="634"/>
      <c r="GB372" s="634"/>
      <c r="GC372" s="634"/>
      <c r="GD372" s="634"/>
      <c r="GE372" s="634"/>
      <c r="GF372" s="634"/>
      <c r="GG372" s="634"/>
      <c r="GH372" s="634"/>
      <c r="GI372" s="634"/>
      <c r="GJ372" s="634"/>
      <c r="GK372" s="634"/>
      <c r="GL372" s="101"/>
      <c r="GM372" s="101"/>
      <c r="GN372" s="101"/>
      <c r="GO372" s="643"/>
      <c r="GP372" s="644"/>
      <c r="GQ372" s="643"/>
      <c r="GR372" s="644"/>
      <c r="GS372" s="643"/>
      <c r="GT372" s="644"/>
      <c r="GU372" s="644"/>
      <c r="GV372" s="644"/>
      <c r="GW372" s="644"/>
      <c r="GX372" s="644"/>
      <c r="GY372" s="644"/>
      <c r="GZ372" s="644"/>
      <c r="HA372" s="644"/>
    </row>
    <row r="373" spans="1:209">
      <c r="A373" s="638"/>
      <c r="B373" s="95"/>
      <c r="C373" s="95"/>
      <c r="D373" s="95"/>
      <c r="E373" s="650"/>
      <c r="F373" s="95"/>
      <c r="G373" s="98"/>
      <c r="H373" s="99"/>
      <c r="I373" s="95"/>
      <c r="J373" s="95"/>
      <c r="K373" s="95"/>
      <c r="L373" s="95"/>
      <c r="M373" s="95"/>
      <c r="N373" s="95"/>
      <c r="O373" s="95"/>
      <c r="P373" s="95"/>
      <c r="Q373" s="95"/>
      <c r="R373" s="98"/>
      <c r="S373" s="101"/>
      <c r="T373" s="644"/>
      <c r="U373" s="101"/>
      <c r="V373" s="647"/>
      <c r="W373" s="643"/>
      <c r="X373" s="644"/>
      <c r="Y373" s="101"/>
      <c r="Z373" s="644"/>
      <c r="AA373" s="101"/>
      <c r="AB373" s="644"/>
      <c r="AC373" s="101"/>
      <c r="AD373" s="646"/>
      <c r="AE373" s="271"/>
      <c r="AF373" s="646"/>
      <c r="AG373" s="646"/>
      <c r="AH373" s="646"/>
      <c r="AI373" s="646"/>
      <c r="AJ373" s="646"/>
      <c r="AK373" s="646"/>
      <c r="AL373" s="646"/>
      <c r="AM373" s="271"/>
      <c r="AN373" s="646"/>
      <c r="AO373" s="646"/>
      <c r="AP373" s="646"/>
      <c r="AQ373" s="271"/>
      <c r="AR373" s="646"/>
      <c r="AS373" s="270"/>
      <c r="AT373" s="646"/>
      <c r="AU373" s="646"/>
      <c r="AV373" s="646"/>
      <c r="AW373" s="270"/>
      <c r="AX373" s="646"/>
      <c r="AY373" s="270"/>
      <c r="AZ373" s="646"/>
      <c r="BA373" s="646"/>
      <c r="BB373" s="644"/>
      <c r="BC373" s="644"/>
      <c r="BD373" s="644"/>
      <c r="BE373" s="644"/>
      <c r="BF373" s="644"/>
      <c r="BG373" s="644"/>
      <c r="BH373" s="644"/>
      <c r="BI373" s="644"/>
      <c r="BJ373" s="644"/>
      <c r="BK373" s="644"/>
      <c r="BL373" s="644"/>
      <c r="BM373" s="95"/>
      <c r="BN373" s="644"/>
      <c r="BO373" s="95"/>
      <c r="BP373" s="644"/>
      <c r="BQ373" s="644"/>
      <c r="BR373" s="644"/>
      <c r="BS373" s="644"/>
      <c r="BT373" s="644"/>
      <c r="BU373" s="644"/>
      <c r="BV373" s="644"/>
      <c r="BW373" s="644"/>
      <c r="BX373" s="644"/>
      <c r="BY373" s="644"/>
      <c r="BZ373" s="644"/>
      <c r="CA373" s="644"/>
      <c r="CB373" s="644"/>
      <c r="CC373" s="644"/>
      <c r="CD373" s="644"/>
      <c r="CE373" s="644"/>
      <c r="CF373" s="644"/>
      <c r="CG373" s="644"/>
      <c r="CH373" s="644"/>
      <c r="CI373" s="644"/>
      <c r="CJ373" s="644"/>
      <c r="CK373" s="644"/>
      <c r="CL373" s="644"/>
      <c r="CM373" s="95"/>
      <c r="CN373" s="644"/>
      <c r="CO373" s="644"/>
      <c r="CP373" s="95"/>
      <c r="CQ373" s="98"/>
      <c r="CR373" s="95"/>
      <c r="CS373" s="95"/>
      <c r="CT373" s="95"/>
      <c r="CU373" s="108"/>
      <c r="CV373" s="109"/>
      <c r="CW373" s="644"/>
      <c r="CX373" s="496"/>
      <c r="CY373" s="637"/>
      <c r="CZ373" s="644"/>
      <c r="DA373" s="644"/>
      <c r="DB373" s="644"/>
      <c r="DC373" s="496"/>
      <c r="DD373" s="644"/>
      <c r="DE373" s="101"/>
      <c r="DF373" s="644"/>
      <c r="DG373" s="101"/>
      <c r="DH373" s="644"/>
      <c r="DI373" s="644"/>
      <c r="DJ373" s="644"/>
      <c r="DK373" s="644"/>
      <c r="DL373" s="644"/>
      <c r="DM373" s="101"/>
      <c r="DN373" s="644"/>
      <c r="DO373" s="644"/>
      <c r="DP373" s="644"/>
      <c r="DQ373" s="644"/>
      <c r="DR373" s="644"/>
      <c r="DS373" s="644"/>
      <c r="DT373" s="644"/>
      <c r="DU373" s="644"/>
      <c r="DV373" s="644"/>
      <c r="DW373" s="101"/>
      <c r="DX373" s="646"/>
      <c r="DY373" s="646"/>
      <c r="DZ373" s="646"/>
      <c r="EA373" s="646"/>
      <c r="EB373" s="646"/>
      <c r="EC373" s="646"/>
      <c r="ED373" s="646"/>
      <c r="EE373" s="646"/>
      <c r="EF373" s="646"/>
      <c r="EG373" s="646"/>
      <c r="EH373" s="646"/>
      <c r="EI373" s="646"/>
      <c r="EJ373" s="646"/>
      <c r="EK373" s="271"/>
      <c r="EL373" s="644"/>
      <c r="EM373" s="634"/>
      <c r="EN373" s="647"/>
      <c r="EO373" s="648"/>
      <c r="EP373" s="647"/>
      <c r="EQ373" s="647"/>
      <c r="ER373" s="647"/>
      <c r="ES373" s="139"/>
      <c r="EV373" s="647"/>
      <c r="EW373" s="647"/>
      <c r="EX373" s="647"/>
      <c r="EY373" s="647"/>
      <c r="EZ373" s="647"/>
      <c r="FA373" s="646"/>
      <c r="FB373" s="646"/>
      <c r="FC373" s="646"/>
      <c r="FD373" s="646"/>
      <c r="FE373" s="646"/>
      <c r="FF373" s="646"/>
      <c r="FG373" s="647"/>
      <c r="FH373" s="647"/>
      <c r="FI373" s="647"/>
      <c r="FJ373" s="647"/>
      <c r="FK373" s="647"/>
      <c r="FL373" s="647"/>
      <c r="FM373" s="647"/>
      <c r="FN373" s="647"/>
      <c r="FO373" s="647"/>
      <c r="FP373" s="647"/>
      <c r="FQ373" s="647"/>
      <c r="FR373" s="647"/>
      <c r="FS373" s="101"/>
      <c r="FT373" s="95"/>
      <c r="FU373" s="651"/>
      <c r="FV373" s="101"/>
      <c r="FW373" s="101"/>
      <c r="FX373" s="634"/>
      <c r="FY373" s="634"/>
      <c r="FZ373" s="634"/>
      <c r="GA373" s="634"/>
      <c r="GB373" s="634"/>
      <c r="GC373" s="634"/>
      <c r="GD373" s="634"/>
      <c r="GE373" s="634"/>
      <c r="GF373" s="634"/>
      <c r="GG373" s="634"/>
      <c r="GH373" s="634"/>
      <c r="GI373" s="634"/>
      <c r="GJ373" s="634"/>
      <c r="GK373" s="634"/>
      <c r="GL373" s="101"/>
      <c r="GM373" s="101"/>
      <c r="GN373" s="101"/>
      <c r="GO373" s="643"/>
      <c r="GP373" s="644"/>
      <c r="GQ373" s="643"/>
      <c r="GR373" s="644"/>
      <c r="GS373" s="643"/>
      <c r="GT373" s="644"/>
      <c r="GU373" s="644"/>
      <c r="GV373" s="644"/>
      <c r="GW373" s="644"/>
      <c r="GX373" s="644"/>
      <c r="GY373" s="644"/>
      <c r="GZ373" s="644"/>
      <c r="HA373" s="644"/>
    </row>
    <row r="374" spans="1:209">
      <c r="A374" s="638"/>
      <c r="B374" s="95"/>
      <c r="C374" s="95"/>
      <c r="D374" s="95"/>
      <c r="E374" s="650"/>
      <c r="F374" s="95"/>
      <c r="G374" s="98"/>
      <c r="H374" s="99"/>
      <c r="I374" s="95"/>
      <c r="J374" s="95"/>
      <c r="K374" s="95"/>
      <c r="L374" s="95"/>
      <c r="M374" s="95"/>
      <c r="N374" s="95"/>
      <c r="O374" s="95"/>
      <c r="P374" s="95"/>
      <c r="Q374" s="95"/>
      <c r="R374" s="98"/>
      <c r="S374" s="101"/>
      <c r="T374" s="644"/>
      <c r="U374" s="101"/>
      <c r="V374" s="647"/>
      <c r="W374" s="643"/>
      <c r="X374" s="644"/>
      <c r="Y374" s="101"/>
      <c r="Z374" s="644"/>
      <c r="AA374" s="101"/>
      <c r="AB374" s="644"/>
      <c r="AC374" s="101"/>
      <c r="AD374" s="646"/>
      <c r="AE374" s="271"/>
      <c r="AF374" s="646"/>
      <c r="AG374" s="646"/>
      <c r="AH374" s="646"/>
      <c r="AI374" s="646"/>
      <c r="AJ374" s="646"/>
      <c r="AK374" s="646"/>
      <c r="AL374" s="646"/>
      <c r="AM374" s="271"/>
      <c r="AN374" s="646"/>
      <c r="AO374" s="646"/>
      <c r="AP374" s="646"/>
      <c r="AQ374" s="271"/>
      <c r="AR374" s="646"/>
      <c r="AS374" s="270"/>
      <c r="AT374" s="646"/>
      <c r="AU374" s="646"/>
      <c r="AV374" s="646"/>
      <c r="AW374" s="270"/>
      <c r="AX374" s="646"/>
      <c r="AY374" s="270"/>
      <c r="AZ374" s="646"/>
      <c r="BA374" s="646"/>
      <c r="BB374" s="644"/>
      <c r="BC374" s="644"/>
      <c r="BD374" s="644"/>
      <c r="BE374" s="644"/>
      <c r="BF374" s="644"/>
      <c r="BG374" s="644"/>
      <c r="BH374" s="644"/>
      <c r="BI374" s="644"/>
      <c r="BJ374" s="644"/>
      <c r="BK374" s="644"/>
      <c r="BL374" s="644"/>
      <c r="BM374" s="95"/>
      <c r="BN374" s="644"/>
      <c r="BO374" s="95"/>
      <c r="BP374" s="644"/>
      <c r="BQ374" s="644"/>
      <c r="BR374" s="644"/>
      <c r="BS374" s="644"/>
      <c r="BT374" s="644"/>
      <c r="BU374" s="644"/>
      <c r="BV374" s="644"/>
      <c r="BW374" s="644"/>
      <c r="BX374" s="644"/>
      <c r="BY374" s="644"/>
      <c r="BZ374" s="644"/>
      <c r="CA374" s="644"/>
      <c r="CB374" s="644"/>
      <c r="CC374" s="644"/>
      <c r="CD374" s="644"/>
      <c r="CE374" s="644"/>
      <c r="CF374" s="644"/>
      <c r="CG374" s="644"/>
      <c r="CH374" s="644"/>
      <c r="CI374" s="644"/>
      <c r="CJ374" s="644"/>
      <c r="CK374" s="644"/>
      <c r="CL374" s="644"/>
      <c r="CM374" s="95"/>
      <c r="CN374" s="644"/>
      <c r="CO374" s="644"/>
      <c r="CP374" s="95"/>
      <c r="CQ374" s="98"/>
      <c r="CR374" s="95"/>
      <c r="CS374" s="95"/>
      <c r="CT374" s="95"/>
      <c r="CU374" s="108"/>
      <c r="CV374" s="109"/>
      <c r="CW374" s="644"/>
      <c r="CX374" s="496"/>
      <c r="CY374" s="637"/>
      <c r="CZ374" s="644"/>
      <c r="DA374" s="644"/>
      <c r="DB374" s="644"/>
      <c r="DC374" s="496"/>
      <c r="DD374" s="644"/>
      <c r="DE374" s="101"/>
      <c r="DF374" s="644"/>
      <c r="DG374" s="101"/>
      <c r="DH374" s="644"/>
      <c r="DI374" s="644"/>
      <c r="DJ374" s="644"/>
      <c r="DK374" s="644"/>
      <c r="DL374" s="644"/>
      <c r="DM374" s="101"/>
      <c r="DN374" s="644"/>
      <c r="DO374" s="644"/>
      <c r="DP374" s="644"/>
      <c r="DQ374" s="644"/>
      <c r="DR374" s="644"/>
      <c r="DS374" s="644"/>
      <c r="DT374" s="644"/>
      <c r="DU374" s="644"/>
      <c r="DV374" s="644"/>
      <c r="DW374" s="101"/>
      <c r="DX374" s="646"/>
      <c r="DY374" s="646"/>
      <c r="DZ374" s="646"/>
      <c r="EA374" s="646"/>
      <c r="EB374" s="646"/>
      <c r="EC374" s="646"/>
      <c r="ED374" s="646"/>
      <c r="EE374" s="646"/>
      <c r="EF374" s="646"/>
      <c r="EG374" s="646"/>
      <c r="EH374" s="646"/>
      <c r="EI374" s="646"/>
      <c r="EJ374" s="646"/>
      <c r="EK374" s="271"/>
      <c r="EL374" s="644"/>
      <c r="EM374" s="634"/>
      <c r="EN374" s="647"/>
      <c r="EO374" s="648"/>
      <c r="EP374" s="647"/>
      <c r="EQ374" s="647"/>
      <c r="ER374" s="647"/>
      <c r="ES374" s="139"/>
      <c r="EV374" s="647"/>
      <c r="EW374" s="647"/>
      <c r="EX374" s="647"/>
      <c r="EY374" s="647"/>
      <c r="EZ374" s="647"/>
      <c r="FA374" s="646"/>
      <c r="FB374" s="646"/>
      <c r="FC374" s="646"/>
      <c r="FD374" s="646"/>
      <c r="FE374" s="646"/>
      <c r="FF374" s="646"/>
      <c r="FG374" s="647"/>
      <c r="FH374" s="647"/>
      <c r="FI374" s="647"/>
      <c r="FJ374" s="647"/>
      <c r="FK374" s="647"/>
      <c r="FL374" s="647"/>
      <c r="FM374" s="647"/>
      <c r="FN374" s="647"/>
      <c r="FO374" s="647"/>
      <c r="FP374" s="647"/>
      <c r="FQ374" s="647"/>
      <c r="FR374" s="647"/>
      <c r="FS374" s="101"/>
      <c r="FT374" s="95"/>
      <c r="FU374" s="651"/>
      <c r="FV374" s="101"/>
      <c r="FW374" s="101"/>
      <c r="FX374" s="634"/>
      <c r="FY374" s="634"/>
      <c r="FZ374" s="634"/>
      <c r="GA374" s="634"/>
      <c r="GB374" s="634"/>
      <c r="GC374" s="634"/>
      <c r="GD374" s="634"/>
      <c r="GE374" s="634"/>
      <c r="GF374" s="634"/>
      <c r="GG374" s="634"/>
      <c r="GH374" s="634"/>
      <c r="GI374" s="634"/>
      <c r="GJ374" s="634"/>
      <c r="GK374" s="634"/>
      <c r="GL374" s="101"/>
      <c r="GM374" s="101"/>
      <c r="GN374" s="101"/>
      <c r="GO374" s="643"/>
      <c r="GP374" s="644"/>
      <c r="GQ374" s="643"/>
      <c r="GR374" s="644"/>
      <c r="GS374" s="643"/>
      <c r="GT374" s="644"/>
      <c r="GU374" s="644"/>
      <c r="GV374" s="644"/>
      <c r="GW374" s="644"/>
      <c r="GX374" s="644"/>
      <c r="GY374" s="644"/>
      <c r="GZ374" s="644"/>
      <c r="HA374" s="644"/>
    </row>
    <row r="375" spans="1:209">
      <c r="A375" s="638"/>
      <c r="B375" s="95"/>
      <c r="C375" s="95"/>
      <c r="D375" s="95"/>
      <c r="E375" s="650"/>
      <c r="F375" s="95"/>
      <c r="G375" s="98"/>
      <c r="H375" s="99"/>
      <c r="I375" s="95"/>
      <c r="J375" s="95"/>
      <c r="K375" s="95"/>
      <c r="L375" s="95"/>
      <c r="M375" s="95"/>
      <c r="N375" s="95"/>
      <c r="O375" s="95"/>
      <c r="P375" s="95"/>
      <c r="Q375" s="95"/>
      <c r="R375" s="98"/>
      <c r="S375" s="101"/>
      <c r="T375" s="644"/>
      <c r="U375" s="101"/>
      <c r="V375" s="647"/>
      <c r="W375" s="643"/>
      <c r="X375" s="644"/>
      <c r="Y375" s="101"/>
      <c r="Z375" s="644"/>
      <c r="AA375" s="101"/>
      <c r="AB375" s="644"/>
      <c r="AC375" s="101"/>
      <c r="AD375" s="646"/>
      <c r="AE375" s="271"/>
      <c r="AF375" s="646"/>
      <c r="AG375" s="646"/>
      <c r="AH375" s="646"/>
      <c r="AI375" s="646"/>
      <c r="AJ375" s="646"/>
      <c r="AK375" s="646"/>
      <c r="AL375" s="646"/>
      <c r="AM375" s="271"/>
      <c r="AN375" s="646"/>
      <c r="AO375" s="646"/>
      <c r="AP375" s="646"/>
      <c r="AQ375" s="271"/>
      <c r="AR375" s="646"/>
      <c r="AS375" s="270"/>
      <c r="AT375" s="646"/>
      <c r="AU375" s="646"/>
      <c r="AV375" s="646"/>
      <c r="AW375" s="270"/>
      <c r="AX375" s="646"/>
      <c r="AY375" s="270"/>
      <c r="AZ375" s="646"/>
      <c r="BA375" s="646"/>
      <c r="BB375" s="644"/>
      <c r="BC375" s="644"/>
      <c r="BD375" s="644"/>
      <c r="BE375" s="644"/>
      <c r="BF375" s="644"/>
      <c r="BG375" s="644"/>
      <c r="BH375" s="644"/>
      <c r="BI375" s="644"/>
      <c r="BJ375" s="644"/>
      <c r="BK375" s="644"/>
      <c r="BL375" s="644"/>
      <c r="BM375" s="95"/>
      <c r="BN375" s="644"/>
      <c r="BO375" s="95"/>
      <c r="BP375" s="644"/>
      <c r="BQ375" s="644"/>
      <c r="BR375" s="644"/>
      <c r="BS375" s="644"/>
      <c r="BT375" s="644"/>
      <c r="BU375" s="644"/>
      <c r="BV375" s="644"/>
      <c r="BW375" s="644"/>
      <c r="BX375" s="644"/>
      <c r="BY375" s="644"/>
      <c r="BZ375" s="644"/>
      <c r="CA375" s="644"/>
      <c r="CB375" s="644"/>
      <c r="CC375" s="644"/>
      <c r="CD375" s="644"/>
      <c r="CE375" s="644"/>
      <c r="CF375" s="644"/>
      <c r="CG375" s="644"/>
      <c r="CH375" s="644"/>
      <c r="CI375" s="644"/>
      <c r="CJ375" s="644"/>
      <c r="CK375" s="644"/>
      <c r="CL375" s="644"/>
      <c r="CM375" s="95"/>
      <c r="CN375" s="644"/>
      <c r="CO375" s="644"/>
      <c r="CP375" s="95"/>
      <c r="CQ375" s="98"/>
      <c r="CR375" s="95"/>
      <c r="CS375" s="95"/>
      <c r="CT375" s="95"/>
      <c r="CU375" s="108"/>
      <c r="CV375" s="109"/>
      <c r="CW375" s="644"/>
      <c r="CX375" s="496"/>
      <c r="CY375" s="637"/>
      <c r="CZ375" s="644"/>
      <c r="DA375" s="644"/>
      <c r="DB375" s="644"/>
      <c r="DC375" s="496"/>
      <c r="DD375" s="644"/>
      <c r="DE375" s="101"/>
      <c r="DF375" s="644"/>
      <c r="DG375" s="101"/>
      <c r="DH375" s="644"/>
      <c r="DI375" s="644"/>
      <c r="DJ375" s="644"/>
      <c r="DK375" s="644"/>
      <c r="DL375" s="644"/>
      <c r="DM375" s="101"/>
      <c r="DN375" s="644"/>
      <c r="DO375" s="644"/>
      <c r="DP375" s="644"/>
      <c r="DQ375" s="644"/>
      <c r="DR375" s="644"/>
      <c r="DS375" s="644"/>
      <c r="DT375" s="644"/>
      <c r="DU375" s="644"/>
      <c r="DV375" s="644"/>
      <c r="DW375" s="101"/>
      <c r="DX375" s="646"/>
      <c r="DY375" s="646"/>
      <c r="DZ375" s="646"/>
      <c r="EA375" s="646"/>
      <c r="EB375" s="646"/>
      <c r="EC375" s="646"/>
      <c r="ED375" s="646"/>
      <c r="EE375" s="646"/>
      <c r="EF375" s="646"/>
      <c r="EG375" s="646"/>
      <c r="EH375" s="646"/>
      <c r="EI375" s="646"/>
      <c r="EJ375" s="646"/>
      <c r="EK375" s="271"/>
      <c r="EL375" s="644"/>
      <c r="EM375" s="634"/>
      <c r="EN375" s="647"/>
      <c r="EO375" s="648"/>
      <c r="EP375" s="647"/>
      <c r="EQ375" s="647"/>
      <c r="ER375" s="647"/>
      <c r="ES375" s="139"/>
      <c r="EV375" s="647"/>
      <c r="EW375" s="647"/>
      <c r="EX375" s="647"/>
      <c r="EY375" s="647"/>
      <c r="EZ375" s="647"/>
      <c r="FA375" s="646"/>
      <c r="FB375" s="646"/>
      <c r="FC375" s="646"/>
      <c r="FD375" s="646"/>
      <c r="FE375" s="646"/>
      <c r="FF375" s="646"/>
      <c r="FG375" s="647"/>
      <c r="FH375" s="647"/>
      <c r="FI375" s="647"/>
      <c r="FJ375" s="647"/>
      <c r="FK375" s="647"/>
      <c r="FL375" s="647"/>
      <c r="FM375" s="647"/>
      <c r="FN375" s="647"/>
      <c r="FO375" s="647"/>
      <c r="FP375" s="647"/>
      <c r="FQ375" s="647"/>
      <c r="FR375" s="647"/>
      <c r="FS375" s="101"/>
      <c r="FT375" s="95"/>
      <c r="FU375" s="651"/>
      <c r="FV375" s="101"/>
      <c r="FW375" s="101"/>
      <c r="FX375" s="634"/>
      <c r="FY375" s="634"/>
      <c r="FZ375" s="634"/>
      <c r="GA375" s="634"/>
      <c r="GB375" s="634"/>
      <c r="GC375" s="634"/>
      <c r="GD375" s="634"/>
      <c r="GE375" s="634"/>
      <c r="GF375" s="634"/>
      <c r="GG375" s="634"/>
      <c r="GH375" s="634"/>
      <c r="GI375" s="634"/>
      <c r="GJ375" s="634"/>
      <c r="GK375" s="634"/>
      <c r="GL375" s="101"/>
      <c r="GM375" s="101"/>
      <c r="GN375" s="101"/>
      <c r="GO375" s="643"/>
      <c r="GP375" s="644"/>
      <c r="GQ375" s="643"/>
      <c r="GR375" s="644"/>
      <c r="GS375" s="643"/>
      <c r="GT375" s="644"/>
      <c r="GU375" s="644"/>
      <c r="GV375" s="644"/>
      <c r="GW375" s="644"/>
      <c r="GX375" s="644"/>
      <c r="GY375" s="644"/>
      <c r="GZ375" s="644"/>
      <c r="HA375" s="644"/>
    </row>
    <row r="376" spans="1:209">
      <c r="A376" s="638"/>
      <c r="B376" s="95"/>
      <c r="C376" s="95"/>
      <c r="D376" s="95"/>
      <c r="E376" s="650"/>
      <c r="F376" s="95"/>
      <c r="G376" s="98"/>
      <c r="H376" s="99"/>
      <c r="I376" s="95"/>
      <c r="J376" s="95"/>
      <c r="K376" s="95"/>
      <c r="L376" s="95"/>
      <c r="M376" s="95"/>
      <c r="N376" s="95"/>
      <c r="O376" s="95"/>
      <c r="P376" s="95"/>
      <c r="Q376" s="95"/>
      <c r="R376" s="98"/>
      <c r="S376" s="101"/>
      <c r="T376" s="644"/>
      <c r="U376" s="101"/>
      <c r="V376" s="647"/>
      <c r="W376" s="643"/>
      <c r="X376" s="644"/>
      <c r="Y376" s="101"/>
      <c r="Z376" s="644"/>
      <c r="AA376" s="101"/>
      <c r="AB376" s="644"/>
      <c r="AC376" s="101"/>
      <c r="AD376" s="646"/>
      <c r="AE376" s="271"/>
      <c r="AF376" s="646"/>
      <c r="AG376" s="646"/>
      <c r="AH376" s="646"/>
      <c r="AI376" s="646"/>
      <c r="AJ376" s="646"/>
      <c r="AK376" s="646"/>
      <c r="AL376" s="646"/>
      <c r="AM376" s="271"/>
      <c r="AN376" s="646"/>
      <c r="AO376" s="646"/>
      <c r="AP376" s="646"/>
      <c r="AQ376" s="271"/>
      <c r="AR376" s="646"/>
      <c r="AS376" s="270"/>
      <c r="AT376" s="646"/>
      <c r="AU376" s="646"/>
      <c r="AV376" s="646"/>
      <c r="AW376" s="270"/>
      <c r="AX376" s="646"/>
      <c r="AY376" s="270"/>
      <c r="AZ376" s="646"/>
      <c r="BA376" s="646"/>
      <c r="BB376" s="644"/>
      <c r="BC376" s="644"/>
      <c r="BD376" s="644"/>
      <c r="BE376" s="644"/>
      <c r="BF376" s="644"/>
      <c r="BG376" s="644"/>
      <c r="BH376" s="644"/>
      <c r="BI376" s="644"/>
      <c r="BJ376" s="644"/>
      <c r="BK376" s="644"/>
      <c r="BL376" s="644"/>
      <c r="BM376" s="95"/>
      <c r="BN376" s="644"/>
      <c r="BO376" s="95"/>
      <c r="BP376" s="644"/>
      <c r="BQ376" s="644"/>
      <c r="BR376" s="644"/>
      <c r="BS376" s="644"/>
      <c r="BT376" s="644"/>
      <c r="BU376" s="644"/>
      <c r="BV376" s="644"/>
      <c r="BW376" s="644"/>
      <c r="BX376" s="644"/>
      <c r="BY376" s="644"/>
      <c r="BZ376" s="644"/>
      <c r="CA376" s="644"/>
      <c r="CB376" s="644"/>
      <c r="CC376" s="644"/>
      <c r="CD376" s="644"/>
      <c r="CE376" s="644"/>
      <c r="CF376" s="644"/>
      <c r="CG376" s="644"/>
      <c r="CH376" s="644"/>
      <c r="CI376" s="644"/>
      <c r="CJ376" s="644"/>
      <c r="CK376" s="644"/>
      <c r="CL376" s="644"/>
      <c r="CM376" s="95"/>
      <c r="CN376" s="644"/>
      <c r="CO376" s="644"/>
      <c r="CP376" s="95"/>
      <c r="CQ376" s="98"/>
      <c r="CR376" s="95"/>
      <c r="CS376" s="95"/>
      <c r="CT376" s="95"/>
      <c r="CU376" s="108"/>
      <c r="CV376" s="109"/>
      <c r="CW376" s="644"/>
      <c r="CX376" s="496"/>
      <c r="CY376" s="637"/>
      <c r="CZ376" s="644"/>
      <c r="DA376" s="644"/>
      <c r="DB376" s="644"/>
      <c r="DC376" s="496"/>
      <c r="DD376" s="644"/>
      <c r="DE376" s="101"/>
      <c r="DF376" s="644"/>
      <c r="DG376" s="101"/>
      <c r="DH376" s="644"/>
      <c r="DI376" s="644"/>
      <c r="DJ376" s="644"/>
      <c r="DK376" s="644"/>
      <c r="DL376" s="644"/>
      <c r="DM376" s="101"/>
      <c r="DN376" s="644"/>
      <c r="DO376" s="644"/>
      <c r="DP376" s="644"/>
      <c r="DQ376" s="644"/>
      <c r="DR376" s="644"/>
      <c r="DS376" s="644"/>
      <c r="DT376" s="644"/>
      <c r="DU376" s="644"/>
      <c r="DV376" s="644"/>
      <c r="DW376" s="101"/>
      <c r="DX376" s="646"/>
      <c r="DY376" s="646"/>
      <c r="DZ376" s="646"/>
      <c r="EA376" s="646"/>
      <c r="EB376" s="646"/>
      <c r="EC376" s="646"/>
      <c r="ED376" s="646"/>
      <c r="EE376" s="646"/>
      <c r="EF376" s="646"/>
      <c r="EG376" s="646"/>
      <c r="EH376" s="646"/>
      <c r="EI376" s="646"/>
      <c r="EJ376" s="646"/>
      <c r="EK376" s="271"/>
      <c r="EL376" s="644"/>
      <c r="EM376" s="634"/>
      <c r="EN376" s="647"/>
      <c r="EO376" s="648"/>
      <c r="EP376" s="647"/>
      <c r="EQ376" s="647"/>
      <c r="ER376" s="647"/>
      <c r="ES376" s="139"/>
      <c r="EV376" s="647"/>
      <c r="EW376" s="647"/>
      <c r="EX376" s="647"/>
      <c r="EY376" s="647"/>
      <c r="EZ376" s="647"/>
      <c r="FA376" s="646"/>
      <c r="FB376" s="646"/>
      <c r="FC376" s="646"/>
      <c r="FD376" s="646"/>
      <c r="FE376" s="646"/>
      <c r="FF376" s="646"/>
      <c r="FG376" s="647"/>
      <c r="FH376" s="647"/>
      <c r="FI376" s="647"/>
      <c r="FJ376" s="647"/>
      <c r="FK376" s="647"/>
      <c r="FL376" s="647"/>
      <c r="FM376" s="647"/>
      <c r="FN376" s="647"/>
      <c r="FO376" s="647"/>
      <c r="FP376" s="647"/>
      <c r="FQ376" s="647"/>
      <c r="FR376" s="647"/>
      <c r="FS376" s="101"/>
      <c r="FT376" s="95"/>
      <c r="FU376" s="651"/>
      <c r="FV376" s="101"/>
      <c r="FW376" s="101"/>
      <c r="FX376" s="634"/>
      <c r="FY376" s="634"/>
      <c r="FZ376" s="634"/>
      <c r="GA376" s="634"/>
      <c r="GB376" s="634"/>
      <c r="GC376" s="634"/>
      <c r="GD376" s="634"/>
      <c r="GE376" s="634"/>
      <c r="GF376" s="634"/>
      <c r="GG376" s="634"/>
      <c r="GH376" s="634"/>
      <c r="GI376" s="634"/>
      <c r="GJ376" s="634"/>
      <c r="GK376" s="634"/>
      <c r="GL376" s="101"/>
      <c r="GM376" s="101"/>
      <c r="GN376" s="101"/>
      <c r="GO376" s="643"/>
      <c r="GP376" s="644"/>
      <c r="GQ376" s="643"/>
      <c r="GR376" s="644"/>
      <c r="GS376" s="643"/>
      <c r="GT376" s="644"/>
      <c r="GU376" s="644"/>
      <c r="GV376" s="644"/>
      <c r="GW376" s="644"/>
      <c r="GX376" s="644"/>
      <c r="GY376" s="644"/>
      <c r="GZ376" s="644"/>
      <c r="HA376" s="644"/>
    </row>
    <row r="377" spans="1:209">
      <c r="A377" s="638"/>
      <c r="B377" s="95"/>
      <c r="C377" s="95"/>
      <c r="D377" s="95"/>
      <c r="E377" s="650"/>
      <c r="F377" s="95"/>
      <c r="G377" s="98"/>
      <c r="H377" s="99"/>
      <c r="I377" s="95"/>
      <c r="J377" s="95"/>
      <c r="K377" s="95"/>
      <c r="L377" s="95"/>
      <c r="M377" s="95"/>
      <c r="N377" s="95"/>
      <c r="O377" s="95"/>
      <c r="P377" s="95"/>
      <c r="Q377" s="95"/>
      <c r="R377" s="98"/>
      <c r="S377" s="101"/>
      <c r="T377" s="644"/>
      <c r="U377" s="101"/>
      <c r="V377" s="647"/>
      <c r="W377" s="643"/>
      <c r="X377" s="644"/>
      <c r="Y377" s="101"/>
      <c r="Z377" s="644"/>
      <c r="AA377" s="101"/>
      <c r="AB377" s="644"/>
      <c r="AC377" s="101"/>
      <c r="AD377" s="646"/>
      <c r="AE377" s="271"/>
      <c r="AF377" s="646"/>
      <c r="AG377" s="646"/>
      <c r="AH377" s="646"/>
      <c r="AI377" s="646"/>
      <c r="AJ377" s="646"/>
      <c r="AK377" s="646"/>
      <c r="AL377" s="646"/>
      <c r="AM377" s="271"/>
      <c r="AN377" s="646"/>
      <c r="AO377" s="646"/>
      <c r="AP377" s="646"/>
      <c r="AQ377" s="271"/>
      <c r="AR377" s="646"/>
      <c r="AS377" s="270"/>
      <c r="AT377" s="646"/>
      <c r="AU377" s="646"/>
      <c r="AV377" s="646"/>
      <c r="AW377" s="270"/>
      <c r="AX377" s="646"/>
      <c r="AY377" s="270"/>
      <c r="AZ377" s="646"/>
      <c r="BA377" s="646"/>
      <c r="BB377" s="644"/>
      <c r="BC377" s="644"/>
      <c r="BD377" s="644"/>
      <c r="BE377" s="644"/>
      <c r="BF377" s="644"/>
      <c r="BG377" s="644"/>
      <c r="BH377" s="644"/>
      <c r="BI377" s="644"/>
      <c r="BJ377" s="644"/>
      <c r="BK377" s="644"/>
      <c r="BL377" s="644"/>
      <c r="BM377" s="95"/>
      <c r="BN377" s="644"/>
      <c r="BO377" s="95"/>
      <c r="BP377" s="644"/>
      <c r="BQ377" s="644"/>
      <c r="BR377" s="644"/>
      <c r="BS377" s="644"/>
      <c r="BT377" s="644"/>
      <c r="BU377" s="644"/>
      <c r="BV377" s="644"/>
      <c r="BW377" s="644"/>
      <c r="BX377" s="644"/>
      <c r="BY377" s="644"/>
      <c r="BZ377" s="644"/>
      <c r="CA377" s="644"/>
      <c r="CB377" s="644"/>
      <c r="CC377" s="644"/>
      <c r="CD377" s="644"/>
      <c r="CE377" s="644"/>
      <c r="CF377" s="644"/>
      <c r="CG377" s="644"/>
      <c r="CH377" s="644"/>
      <c r="CI377" s="644"/>
      <c r="CJ377" s="644"/>
      <c r="CK377" s="644"/>
      <c r="CL377" s="644"/>
      <c r="CM377" s="95"/>
      <c r="CN377" s="644"/>
      <c r="CO377" s="644"/>
      <c r="CP377" s="95"/>
      <c r="CQ377" s="98"/>
      <c r="CR377" s="95"/>
      <c r="CS377" s="95"/>
      <c r="CT377" s="95"/>
      <c r="CU377" s="108"/>
      <c r="CV377" s="109"/>
      <c r="CW377" s="644"/>
      <c r="CX377" s="496"/>
      <c r="CY377" s="637"/>
      <c r="CZ377" s="644"/>
      <c r="DA377" s="644"/>
      <c r="DB377" s="644"/>
      <c r="DC377" s="496"/>
      <c r="DD377" s="644"/>
      <c r="DE377" s="101"/>
      <c r="DF377" s="644"/>
      <c r="DG377" s="101"/>
      <c r="DH377" s="644"/>
      <c r="DI377" s="644"/>
      <c r="DJ377" s="644"/>
      <c r="DK377" s="644"/>
      <c r="DL377" s="644"/>
      <c r="DM377" s="101"/>
      <c r="DN377" s="644"/>
      <c r="DO377" s="644"/>
      <c r="DP377" s="644"/>
      <c r="DQ377" s="644"/>
      <c r="DR377" s="644"/>
      <c r="DS377" s="644"/>
      <c r="DT377" s="644"/>
      <c r="DU377" s="644"/>
      <c r="DV377" s="644"/>
      <c r="DW377" s="101"/>
      <c r="DX377" s="646"/>
      <c r="DY377" s="646"/>
      <c r="DZ377" s="646"/>
      <c r="EA377" s="646"/>
      <c r="EB377" s="646"/>
      <c r="EC377" s="646"/>
      <c r="ED377" s="646"/>
      <c r="EE377" s="646"/>
      <c r="EF377" s="646"/>
      <c r="EG377" s="646"/>
      <c r="EH377" s="646"/>
      <c r="EI377" s="646"/>
      <c r="EJ377" s="646"/>
      <c r="EK377" s="271"/>
      <c r="EL377" s="644"/>
      <c r="EM377" s="634"/>
      <c r="EN377" s="647"/>
      <c r="EO377" s="648"/>
      <c r="EP377" s="647"/>
      <c r="EQ377" s="647"/>
      <c r="ER377" s="647"/>
      <c r="ES377" s="139"/>
      <c r="EV377" s="647"/>
      <c r="EW377" s="647"/>
      <c r="EX377" s="647"/>
      <c r="EY377" s="647"/>
      <c r="EZ377" s="647"/>
      <c r="FA377" s="646"/>
      <c r="FB377" s="646"/>
      <c r="FC377" s="646"/>
      <c r="FD377" s="646"/>
      <c r="FE377" s="646"/>
      <c r="FF377" s="646"/>
      <c r="FG377" s="647"/>
      <c r="FH377" s="647"/>
      <c r="FI377" s="647"/>
      <c r="FJ377" s="647"/>
      <c r="FK377" s="647"/>
      <c r="FL377" s="647"/>
      <c r="FM377" s="647"/>
      <c r="FN377" s="647"/>
      <c r="FO377" s="647"/>
      <c r="FP377" s="647"/>
      <c r="FQ377" s="647"/>
      <c r="FR377" s="647"/>
      <c r="FS377" s="101"/>
      <c r="FT377" s="95"/>
      <c r="FU377" s="651"/>
      <c r="FV377" s="101"/>
      <c r="FW377" s="101"/>
      <c r="FX377" s="634"/>
      <c r="FY377" s="634"/>
      <c r="FZ377" s="634"/>
      <c r="GA377" s="634"/>
      <c r="GB377" s="634"/>
      <c r="GC377" s="634"/>
      <c r="GD377" s="634"/>
      <c r="GE377" s="634"/>
      <c r="GF377" s="634"/>
      <c r="GG377" s="634"/>
      <c r="GH377" s="634"/>
      <c r="GI377" s="634"/>
      <c r="GJ377" s="634"/>
      <c r="GK377" s="634"/>
      <c r="GL377" s="101"/>
      <c r="GM377" s="101"/>
      <c r="GN377" s="101"/>
      <c r="GO377" s="643"/>
      <c r="GP377" s="644"/>
      <c r="GQ377" s="643"/>
      <c r="GR377" s="644"/>
      <c r="GS377" s="643"/>
      <c r="GT377" s="644"/>
      <c r="GU377" s="644"/>
      <c r="GV377" s="644"/>
      <c r="GW377" s="644"/>
      <c r="GX377" s="644"/>
      <c r="GY377" s="644"/>
      <c r="GZ377" s="644"/>
      <c r="HA377" s="644"/>
    </row>
    <row r="378" spans="1:209">
      <c r="A378" s="638"/>
      <c r="B378" s="95"/>
      <c r="C378" s="95"/>
      <c r="D378" s="95"/>
      <c r="E378" s="650"/>
      <c r="F378" s="95"/>
      <c r="G378" s="98"/>
      <c r="H378" s="99"/>
      <c r="I378" s="95"/>
      <c r="J378" s="95"/>
      <c r="K378" s="95"/>
      <c r="L378" s="95"/>
      <c r="M378" s="95"/>
      <c r="N378" s="95"/>
      <c r="O378" s="95"/>
      <c r="P378" s="95"/>
      <c r="Q378" s="95"/>
      <c r="R378" s="98"/>
      <c r="S378" s="101"/>
      <c r="T378" s="644"/>
      <c r="U378" s="101"/>
      <c r="V378" s="647"/>
      <c r="W378" s="643"/>
      <c r="X378" s="644"/>
      <c r="Y378" s="101"/>
      <c r="Z378" s="644"/>
      <c r="AA378" s="101"/>
      <c r="AB378" s="644"/>
      <c r="AC378" s="101"/>
      <c r="AD378" s="646"/>
      <c r="AE378" s="271"/>
      <c r="AF378" s="646"/>
      <c r="AG378" s="646"/>
      <c r="AH378" s="646"/>
      <c r="AI378" s="646"/>
      <c r="AJ378" s="646"/>
      <c r="AK378" s="646"/>
      <c r="AL378" s="646"/>
      <c r="AM378" s="271"/>
      <c r="AN378" s="646"/>
      <c r="AO378" s="646"/>
      <c r="AP378" s="646"/>
      <c r="AQ378" s="271"/>
      <c r="AR378" s="646"/>
      <c r="AS378" s="270"/>
      <c r="AT378" s="646"/>
      <c r="AU378" s="646"/>
      <c r="AV378" s="646"/>
      <c r="AW378" s="270"/>
      <c r="AX378" s="646"/>
      <c r="AY378" s="270"/>
      <c r="AZ378" s="646"/>
      <c r="BA378" s="646"/>
      <c r="BB378" s="644"/>
      <c r="BC378" s="644"/>
      <c r="BD378" s="644"/>
      <c r="BE378" s="644"/>
      <c r="BF378" s="644"/>
      <c r="BG378" s="644"/>
      <c r="BH378" s="644"/>
      <c r="BI378" s="644"/>
      <c r="BJ378" s="644"/>
      <c r="BK378" s="644"/>
      <c r="BL378" s="644"/>
      <c r="BM378" s="95"/>
      <c r="BN378" s="644"/>
      <c r="BO378" s="95"/>
      <c r="BP378" s="644"/>
      <c r="BQ378" s="644"/>
      <c r="BR378" s="644"/>
      <c r="BS378" s="644"/>
      <c r="BT378" s="644"/>
      <c r="BU378" s="644"/>
      <c r="BV378" s="644"/>
      <c r="BW378" s="644"/>
      <c r="BX378" s="644"/>
      <c r="BY378" s="644"/>
      <c r="BZ378" s="644"/>
      <c r="CA378" s="644"/>
      <c r="CB378" s="644"/>
      <c r="CC378" s="644"/>
      <c r="CD378" s="644"/>
      <c r="CE378" s="644"/>
      <c r="CF378" s="644"/>
      <c r="CG378" s="644"/>
      <c r="CH378" s="644"/>
      <c r="CI378" s="644"/>
      <c r="CJ378" s="644"/>
      <c r="CK378" s="644"/>
      <c r="CL378" s="644"/>
      <c r="CM378" s="95"/>
      <c r="CN378" s="644"/>
      <c r="CO378" s="644"/>
      <c r="CP378" s="95"/>
      <c r="CQ378" s="98"/>
      <c r="CR378" s="95"/>
      <c r="CS378" s="95"/>
      <c r="CT378" s="95"/>
      <c r="CU378" s="108"/>
      <c r="CV378" s="109"/>
      <c r="CW378" s="644"/>
      <c r="CX378" s="496"/>
      <c r="CY378" s="637"/>
      <c r="CZ378" s="644"/>
      <c r="DA378" s="644"/>
      <c r="DB378" s="644"/>
      <c r="DC378" s="496"/>
      <c r="DD378" s="644"/>
      <c r="DE378" s="101"/>
      <c r="DF378" s="644"/>
      <c r="DG378" s="101"/>
      <c r="DH378" s="644"/>
      <c r="DI378" s="644"/>
      <c r="DJ378" s="644"/>
      <c r="DK378" s="644"/>
      <c r="DL378" s="644"/>
      <c r="DM378" s="101"/>
      <c r="DN378" s="644"/>
      <c r="DO378" s="644"/>
      <c r="DP378" s="644"/>
      <c r="DQ378" s="644"/>
      <c r="DR378" s="644"/>
      <c r="DS378" s="644"/>
      <c r="DT378" s="644"/>
      <c r="DU378" s="644"/>
      <c r="DV378" s="644"/>
      <c r="DW378" s="101"/>
      <c r="DX378" s="646"/>
      <c r="DY378" s="646"/>
      <c r="DZ378" s="646"/>
      <c r="EA378" s="646"/>
      <c r="EB378" s="646"/>
      <c r="EC378" s="646"/>
      <c r="ED378" s="646"/>
      <c r="EE378" s="646"/>
      <c r="EF378" s="646"/>
      <c r="EG378" s="646"/>
      <c r="EH378" s="646"/>
      <c r="EI378" s="646"/>
      <c r="EJ378" s="646"/>
      <c r="EK378" s="271"/>
      <c r="EL378" s="644"/>
      <c r="EM378" s="634"/>
      <c r="EN378" s="647"/>
      <c r="EO378" s="648"/>
      <c r="EP378" s="647"/>
      <c r="EQ378" s="647"/>
      <c r="ER378" s="647"/>
      <c r="ES378" s="139"/>
      <c r="EV378" s="647"/>
      <c r="EW378" s="647"/>
      <c r="EX378" s="647"/>
      <c r="EY378" s="647"/>
      <c r="EZ378" s="647"/>
      <c r="FA378" s="646"/>
      <c r="FB378" s="646"/>
      <c r="FC378" s="646"/>
      <c r="FD378" s="646"/>
      <c r="FE378" s="646"/>
      <c r="FF378" s="646"/>
      <c r="FG378" s="647"/>
      <c r="FH378" s="647"/>
      <c r="FI378" s="647"/>
      <c r="FJ378" s="647"/>
      <c r="FK378" s="647"/>
      <c r="FL378" s="647"/>
      <c r="FM378" s="647"/>
      <c r="FN378" s="647"/>
      <c r="FO378" s="647"/>
      <c r="FP378" s="647"/>
      <c r="FQ378" s="647"/>
      <c r="FR378" s="647"/>
      <c r="FS378" s="101"/>
      <c r="FT378" s="95"/>
      <c r="FU378" s="651"/>
      <c r="FV378" s="101"/>
      <c r="FW378" s="101"/>
      <c r="FX378" s="634"/>
      <c r="FY378" s="634"/>
      <c r="FZ378" s="634"/>
      <c r="GA378" s="634"/>
      <c r="GB378" s="634"/>
      <c r="GC378" s="634"/>
      <c r="GD378" s="634"/>
      <c r="GE378" s="634"/>
      <c r="GF378" s="634"/>
      <c r="GG378" s="634"/>
      <c r="GH378" s="634"/>
      <c r="GI378" s="634"/>
      <c r="GJ378" s="634"/>
      <c r="GK378" s="634"/>
      <c r="GL378" s="101"/>
      <c r="GM378" s="101"/>
      <c r="GN378" s="101"/>
      <c r="GO378" s="643"/>
      <c r="GP378" s="644"/>
      <c r="GQ378" s="643"/>
      <c r="GR378" s="644"/>
      <c r="GS378" s="643"/>
      <c r="GT378" s="644"/>
      <c r="GU378" s="644"/>
      <c r="GV378" s="644"/>
      <c r="GW378" s="644"/>
      <c r="GX378" s="644"/>
      <c r="GY378" s="644"/>
      <c r="GZ378" s="644"/>
      <c r="HA378" s="644"/>
    </row>
    <row r="379" spans="1:209">
      <c r="A379" s="638"/>
      <c r="B379" s="95"/>
      <c r="C379" s="95"/>
      <c r="D379" s="95"/>
      <c r="E379" s="650"/>
      <c r="F379" s="95"/>
      <c r="G379" s="98"/>
      <c r="H379" s="99"/>
      <c r="I379" s="95"/>
      <c r="J379" s="95"/>
      <c r="K379" s="95"/>
      <c r="L379" s="95"/>
      <c r="M379" s="95"/>
      <c r="N379" s="95"/>
      <c r="O379" s="95"/>
      <c r="P379" s="95"/>
      <c r="Q379" s="95"/>
      <c r="R379" s="98"/>
      <c r="S379" s="101"/>
      <c r="T379" s="644"/>
      <c r="U379" s="101"/>
      <c r="V379" s="647"/>
      <c r="W379" s="643"/>
      <c r="X379" s="644"/>
      <c r="Y379" s="101"/>
      <c r="Z379" s="644"/>
      <c r="AA379" s="101"/>
      <c r="AB379" s="644"/>
      <c r="AC379" s="101"/>
      <c r="AD379" s="646"/>
      <c r="AE379" s="271"/>
      <c r="AF379" s="646"/>
      <c r="AG379" s="646"/>
      <c r="AH379" s="646"/>
      <c r="AI379" s="646"/>
      <c r="AJ379" s="646"/>
      <c r="AK379" s="646"/>
      <c r="AL379" s="646"/>
      <c r="AM379" s="271"/>
      <c r="AN379" s="646"/>
      <c r="AO379" s="646"/>
      <c r="AP379" s="646"/>
      <c r="AQ379" s="271"/>
      <c r="AR379" s="646"/>
      <c r="AS379" s="270"/>
      <c r="AT379" s="646"/>
      <c r="AU379" s="646"/>
      <c r="AV379" s="646"/>
      <c r="AW379" s="270"/>
      <c r="AX379" s="646"/>
      <c r="AY379" s="270"/>
      <c r="AZ379" s="646"/>
      <c r="BA379" s="646"/>
      <c r="BB379" s="644"/>
      <c r="BC379" s="644"/>
      <c r="BD379" s="644"/>
      <c r="BE379" s="644"/>
      <c r="BF379" s="644"/>
      <c r="BG379" s="644"/>
      <c r="BH379" s="644"/>
      <c r="BI379" s="644"/>
      <c r="BJ379" s="644"/>
      <c r="BK379" s="644"/>
      <c r="BL379" s="644"/>
      <c r="BM379" s="95"/>
      <c r="BN379" s="644"/>
      <c r="BO379" s="95"/>
      <c r="BP379" s="644"/>
      <c r="BQ379" s="644"/>
      <c r="BR379" s="644"/>
      <c r="BS379" s="644"/>
      <c r="BT379" s="644"/>
      <c r="BU379" s="644"/>
      <c r="BV379" s="644"/>
      <c r="BW379" s="644"/>
      <c r="BX379" s="644"/>
      <c r="BY379" s="644"/>
      <c r="BZ379" s="644"/>
      <c r="CA379" s="644"/>
      <c r="CB379" s="644"/>
      <c r="CC379" s="644"/>
      <c r="CD379" s="644"/>
      <c r="CE379" s="644"/>
      <c r="CF379" s="644"/>
      <c r="CG379" s="644"/>
      <c r="CH379" s="644"/>
      <c r="CI379" s="644"/>
      <c r="CJ379" s="644"/>
      <c r="CK379" s="644"/>
      <c r="CL379" s="644"/>
      <c r="CM379" s="95"/>
      <c r="CN379" s="644"/>
      <c r="CO379" s="644"/>
      <c r="CP379" s="95"/>
      <c r="CQ379" s="98"/>
      <c r="CR379" s="95"/>
      <c r="CS379" s="95"/>
      <c r="CT379" s="95"/>
      <c r="CU379" s="108"/>
      <c r="CV379" s="109"/>
      <c r="CW379" s="644"/>
      <c r="CX379" s="496"/>
      <c r="CY379" s="637"/>
      <c r="CZ379" s="644"/>
      <c r="DA379" s="644"/>
      <c r="DB379" s="644"/>
      <c r="DC379" s="496"/>
      <c r="DD379" s="644"/>
      <c r="DE379" s="101"/>
      <c r="DF379" s="644"/>
      <c r="DG379" s="101"/>
      <c r="DH379" s="644"/>
      <c r="DI379" s="644"/>
      <c r="DJ379" s="644"/>
      <c r="DK379" s="644"/>
      <c r="DL379" s="644"/>
      <c r="DM379" s="101"/>
      <c r="DN379" s="644"/>
      <c r="DO379" s="644"/>
      <c r="DP379" s="644"/>
      <c r="DQ379" s="644"/>
      <c r="DR379" s="644"/>
      <c r="DS379" s="644"/>
      <c r="DT379" s="644"/>
      <c r="DU379" s="644"/>
      <c r="DV379" s="644"/>
      <c r="DW379" s="101"/>
      <c r="DX379" s="646"/>
      <c r="DY379" s="646"/>
      <c r="DZ379" s="646"/>
      <c r="EA379" s="646"/>
      <c r="EB379" s="646"/>
      <c r="EC379" s="646"/>
      <c r="ED379" s="646"/>
      <c r="EE379" s="646"/>
      <c r="EF379" s="646"/>
      <c r="EG379" s="646"/>
      <c r="EH379" s="646"/>
      <c r="EI379" s="646"/>
      <c r="EJ379" s="646"/>
      <c r="EK379" s="271"/>
      <c r="EL379" s="644"/>
      <c r="EM379" s="634"/>
      <c r="EN379" s="647"/>
      <c r="EO379" s="648"/>
      <c r="EP379" s="647"/>
      <c r="EQ379" s="647"/>
      <c r="ER379" s="647"/>
      <c r="ES379" s="139"/>
      <c r="EV379" s="647"/>
      <c r="EW379" s="647"/>
      <c r="EX379" s="647"/>
      <c r="EY379" s="647"/>
      <c r="EZ379" s="647"/>
      <c r="FA379" s="646"/>
      <c r="FB379" s="646"/>
      <c r="FC379" s="646"/>
      <c r="FD379" s="646"/>
      <c r="FE379" s="646"/>
      <c r="FF379" s="646"/>
      <c r="FG379" s="647"/>
      <c r="FH379" s="647"/>
      <c r="FI379" s="647"/>
      <c r="FJ379" s="647"/>
      <c r="FK379" s="647"/>
      <c r="FL379" s="647"/>
      <c r="FM379" s="647"/>
      <c r="FN379" s="647"/>
      <c r="FO379" s="647"/>
      <c r="FP379" s="647"/>
      <c r="FQ379" s="647"/>
      <c r="FR379" s="647"/>
      <c r="FS379" s="101"/>
      <c r="FT379" s="95"/>
      <c r="FU379" s="651"/>
      <c r="FV379" s="101"/>
      <c r="FW379" s="101"/>
      <c r="FX379" s="634"/>
      <c r="FY379" s="634"/>
      <c r="FZ379" s="634"/>
      <c r="GA379" s="634"/>
      <c r="GB379" s="634"/>
      <c r="GC379" s="634"/>
      <c r="GD379" s="634"/>
      <c r="GE379" s="634"/>
      <c r="GF379" s="634"/>
      <c r="GG379" s="634"/>
      <c r="GH379" s="634"/>
      <c r="GI379" s="634"/>
      <c r="GJ379" s="634"/>
      <c r="GK379" s="634"/>
      <c r="GL379" s="101"/>
      <c r="GM379" s="101"/>
      <c r="GN379" s="101"/>
      <c r="GO379" s="643"/>
      <c r="GP379" s="644"/>
      <c r="GQ379" s="643"/>
      <c r="GR379" s="644"/>
      <c r="GS379" s="643"/>
      <c r="GT379" s="644"/>
      <c r="GU379" s="644"/>
      <c r="GV379" s="644"/>
      <c r="GW379" s="644"/>
      <c r="GX379" s="644"/>
      <c r="GY379" s="644"/>
      <c r="GZ379" s="644"/>
      <c r="HA379" s="644"/>
    </row>
    <row r="380" spans="1:209">
      <c r="A380" s="638"/>
      <c r="B380" s="95"/>
      <c r="C380" s="95"/>
      <c r="D380" s="95"/>
      <c r="E380" s="650"/>
      <c r="F380" s="95"/>
      <c r="G380" s="98"/>
      <c r="H380" s="99"/>
      <c r="I380" s="95"/>
      <c r="J380" s="95"/>
      <c r="K380" s="95"/>
      <c r="L380" s="95"/>
      <c r="M380" s="95"/>
      <c r="N380" s="95"/>
      <c r="O380" s="95"/>
      <c r="P380" s="95"/>
      <c r="Q380" s="95"/>
      <c r="R380" s="98"/>
      <c r="S380" s="101"/>
      <c r="T380" s="644"/>
      <c r="U380" s="101"/>
      <c r="V380" s="647"/>
      <c r="W380" s="643"/>
      <c r="X380" s="644"/>
      <c r="Y380" s="101"/>
      <c r="Z380" s="644"/>
      <c r="AA380" s="101"/>
      <c r="AB380" s="644"/>
      <c r="AC380" s="101"/>
      <c r="AD380" s="646"/>
      <c r="AE380" s="271"/>
      <c r="AF380" s="646"/>
      <c r="AG380" s="646"/>
      <c r="AH380" s="646"/>
      <c r="AI380" s="646"/>
      <c r="AJ380" s="646"/>
      <c r="AK380" s="646"/>
      <c r="AL380" s="646"/>
      <c r="AM380" s="271"/>
      <c r="AN380" s="646"/>
      <c r="AO380" s="646"/>
      <c r="AP380" s="646"/>
      <c r="AQ380" s="271"/>
      <c r="AR380" s="646"/>
      <c r="AS380" s="270"/>
      <c r="AT380" s="646"/>
      <c r="AU380" s="646"/>
      <c r="AV380" s="646"/>
      <c r="AW380" s="270"/>
      <c r="AX380" s="646"/>
      <c r="AY380" s="270"/>
      <c r="AZ380" s="646"/>
      <c r="BA380" s="646"/>
      <c r="BB380" s="644"/>
      <c r="BC380" s="644"/>
      <c r="BD380" s="644"/>
      <c r="BE380" s="644"/>
      <c r="BF380" s="644"/>
      <c r="BG380" s="644"/>
      <c r="BH380" s="644"/>
      <c r="BI380" s="644"/>
      <c r="BJ380" s="644"/>
      <c r="BK380" s="644"/>
      <c r="BL380" s="644"/>
      <c r="BM380" s="95"/>
      <c r="BN380" s="644"/>
      <c r="BO380" s="95"/>
      <c r="BP380" s="644"/>
      <c r="BQ380" s="644"/>
      <c r="BR380" s="644"/>
      <c r="BS380" s="644"/>
      <c r="BT380" s="644"/>
      <c r="BU380" s="644"/>
      <c r="BV380" s="644"/>
      <c r="BW380" s="644"/>
      <c r="BX380" s="644"/>
      <c r="BY380" s="644"/>
      <c r="BZ380" s="644"/>
      <c r="CA380" s="644"/>
      <c r="CB380" s="644"/>
      <c r="CC380" s="644"/>
      <c r="CD380" s="644"/>
      <c r="CE380" s="644"/>
      <c r="CF380" s="644"/>
      <c r="CG380" s="644"/>
      <c r="CH380" s="644"/>
      <c r="CI380" s="644"/>
      <c r="CJ380" s="644"/>
      <c r="CK380" s="644"/>
      <c r="CL380" s="644"/>
      <c r="CM380" s="95"/>
      <c r="CN380" s="644"/>
      <c r="CO380" s="644"/>
      <c r="CP380" s="95"/>
      <c r="CQ380" s="98"/>
      <c r="CR380" s="95"/>
      <c r="CS380" s="95"/>
      <c r="CT380" s="95"/>
      <c r="CU380" s="108"/>
      <c r="CV380" s="109"/>
      <c r="CW380" s="644"/>
      <c r="CX380" s="496"/>
      <c r="CY380" s="637"/>
      <c r="CZ380" s="644"/>
      <c r="DA380" s="644"/>
      <c r="DB380" s="644"/>
      <c r="DC380" s="496"/>
      <c r="DD380" s="644"/>
      <c r="DE380" s="101"/>
      <c r="DF380" s="644"/>
      <c r="DG380" s="101"/>
      <c r="DH380" s="644"/>
      <c r="DI380" s="644"/>
      <c r="DJ380" s="644"/>
      <c r="DK380" s="644"/>
      <c r="DL380" s="644"/>
      <c r="DM380" s="101"/>
      <c r="DN380" s="644"/>
      <c r="DO380" s="644"/>
      <c r="DP380" s="644"/>
      <c r="DQ380" s="644"/>
      <c r="DR380" s="644"/>
      <c r="DS380" s="644"/>
      <c r="DT380" s="644"/>
      <c r="DU380" s="644"/>
      <c r="DV380" s="644"/>
      <c r="DW380" s="101"/>
      <c r="DX380" s="646"/>
      <c r="DY380" s="646"/>
      <c r="DZ380" s="646"/>
      <c r="EA380" s="646"/>
      <c r="EB380" s="646"/>
      <c r="EC380" s="646"/>
      <c r="ED380" s="646"/>
      <c r="EE380" s="646"/>
      <c r="EF380" s="646"/>
      <c r="EG380" s="646"/>
      <c r="EH380" s="646"/>
      <c r="EI380" s="646"/>
      <c r="EJ380" s="646"/>
      <c r="EK380" s="271"/>
      <c r="EL380" s="644"/>
      <c r="EM380" s="634"/>
      <c r="EN380" s="647"/>
      <c r="EO380" s="648"/>
      <c r="EP380" s="647"/>
      <c r="EQ380" s="647"/>
      <c r="ER380" s="647"/>
      <c r="ES380" s="139"/>
      <c r="EV380" s="647"/>
      <c r="EW380" s="647"/>
      <c r="EX380" s="647"/>
      <c r="EY380" s="647"/>
      <c r="EZ380" s="647"/>
      <c r="FA380" s="646"/>
      <c r="FB380" s="646"/>
      <c r="FC380" s="646"/>
      <c r="FD380" s="646"/>
      <c r="FE380" s="646"/>
      <c r="FF380" s="646"/>
      <c r="FG380" s="647"/>
      <c r="FH380" s="647"/>
      <c r="FI380" s="647"/>
      <c r="FJ380" s="647"/>
      <c r="FK380" s="647"/>
      <c r="FL380" s="647"/>
      <c r="FM380" s="647"/>
      <c r="FN380" s="647"/>
      <c r="FO380" s="647"/>
      <c r="FP380" s="647"/>
      <c r="FQ380" s="647"/>
      <c r="FR380" s="647"/>
      <c r="FS380" s="101"/>
      <c r="FT380" s="95"/>
      <c r="FU380" s="651"/>
      <c r="FV380" s="101"/>
      <c r="FW380" s="101"/>
      <c r="FX380" s="634"/>
      <c r="FY380" s="634"/>
      <c r="FZ380" s="634"/>
      <c r="GA380" s="634"/>
      <c r="GB380" s="634"/>
      <c r="GC380" s="634"/>
      <c r="GD380" s="634"/>
      <c r="GE380" s="634"/>
      <c r="GF380" s="634"/>
      <c r="GG380" s="634"/>
      <c r="GH380" s="634"/>
      <c r="GI380" s="634"/>
      <c r="GJ380" s="634"/>
      <c r="GK380" s="634"/>
      <c r="GL380" s="101"/>
      <c r="GM380" s="101"/>
      <c r="GN380" s="101"/>
      <c r="GO380" s="643"/>
      <c r="GP380" s="644"/>
      <c r="GQ380" s="643"/>
      <c r="GR380" s="644"/>
      <c r="GS380" s="643"/>
      <c r="GT380" s="644"/>
      <c r="GU380" s="644"/>
      <c r="GV380" s="644"/>
      <c r="GW380" s="644"/>
      <c r="GX380" s="644"/>
      <c r="GY380" s="644"/>
      <c r="GZ380" s="644"/>
      <c r="HA380" s="644"/>
    </row>
    <row r="381" spans="1:209">
      <c r="A381" s="638"/>
      <c r="B381" s="95"/>
      <c r="C381" s="95"/>
      <c r="D381" s="95"/>
      <c r="E381" s="650"/>
      <c r="F381" s="95"/>
      <c r="G381" s="98"/>
      <c r="H381" s="99"/>
      <c r="I381" s="95"/>
      <c r="J381" s="95"/>
      <c r="K381" s="95"/>
      <c r="L381" s="95"/>
      <c r="M381" s="95"/>
      <c r="N381" s="95"/>
      <c r="O381" s="95"/>
      <c r="P381" s="95"/>
      <c r="Q381" s="95"/>
      <c r="R381" s="98"/>
      <c r="S381" s="101"/>
      <c r="T381" s="644"/>
      <c r="U381" s="101"/>
      <c r="V381" s="647"/>
      <c r="W381" s="643"/>
      <c r="X381" s="644"/>
      <c r="Y381" s="101"/>
      <c r="Z381" s="644"/>
      <c r="AA381" s="101"/>
      <c r="AB381" s="644"/>
      <c r="AC381" s="101"/>
      <c r="AD381" s="646"/>
      <c r="AE381" s="271"/>
      <c r="AF381" s="646"/>
      <c r="AG381" s="646"/>
      <c r="AH381" s="646"/>
      <c r="AI381" s="646"/>
      <c r="AJ381" s="646"/>
      <c r="AK381" s="646"/>
      <c r="AL381" s="646"/>
      <c r="AM381" s="271"/>
      <c r="AN381" s="646"/>
      <c r="AO381" s="646"/>
      <c r="AP381" s="646"/>
      <c r="AQ381" s="271"/>
      <c r="AR381" s="646"/>
      <c r="AS381" s="270"/>
      <c r="AT381" s="646"/>
      <c r="AU381" s="646"/>
      <c r="AV381" s="646"/>
      <c r="AW381" s="270"/>
      <c r="AX381" s="646"/>
      <c r="AY381" s="270"/>
      <c r="AZ381" s="646"/>
      <c r="BA381" s="646"/>
      <c r="BB381" s="644"/>
      <c r="BC381" s="644"/>
      <c r="BD381" s="644"/>
      <c r="BE381" s="644"/>
      <c r="BF381" s="644"/>
      <c r="BG381" s="644"/>
      <c r="BH381" s="644"/>
      <c r="BI381" s="644"/>
      <c r="BJ381" s="644"/>
      <c r="BK381" s="644"/>
      <c r="BL381" s="644"/>
      <c r="BM381" s="95"/>
      <c r="BN381" s="644"/>
      <c r="BO381" s="95"/>
      <c r="BP381" s="644"/>
      <c r="BQ381" s="644"/>
      <c r="BR381" s="644"/>
      <c r="BS381" s="644"/>
      <c r="BT381" s="644"/>
      <c r="BU381" s="644"/>
      <c r="BV381" s="644"/>
      <c r="BW381" s="644"/>
      <c r="BX381" s="644"/>
      <c r="BY381" s="644"/>
      <c r="BZ381" s="644"/>
      <c r="CA381" s="644"/>
      <c r="CB381" s="644"/>
      <c r="CC381" s="644"/>
      <c r="CD381" s="644"/>
      <c r="CE381" s="644"/>
      <c r="CF381" s="644"/>
      <c r="CG381" s="644"/>
      <c r="CH381" s="644"/>
      <c r="CI381" s="644"/>
      <c r="CJ381" s="644"/>
      <c r="CK381" s="644"/>
      <c r="CL381" s="644"/>
      <c r="CM381" s="95"/>
      <c r="CN381" s="644"/>
      <c r="CO381" s="644"/>
      <c r="CP381" s="95"/>
      <c r="CQ381" s="98"/>
      <c r="CR381" s="95"/>
      <c r="CS381" s="95"/>
      <c r="CT381" s="95"/>
      <c r="CU381" s="108"/>
      <c r="CV381" s="109"/>
      <c r="CW381" s="644"/>
      <c r="CX381" s="496"/>
      <c r="CY381" s="637"/>
      <c r="CZ381" s="644"/>
      <c r="DA381" s="644"/>
      <c r="DB381" s="644"/>
      <c r="DC381" s="496"/>
      <c r="DD381" s="644"/>
      <c r="DE381" s="101"/>
      <c r="DF381" s="644"/>
      <c r="DG381" s="101"/>
      <c r="DH381" s="644"/>
      <c r="DI381" s="644"/>
      <c r="DJ381" s="644"/>
      <c r="DK381" s="644"/>
      <c r="DL381" s="644"/>
      <c r="DM381" s="101"/>
      <c r="DN381" s="644"/>
      <c r="DO381" s="644"/>
      <c r="DP381" s="644"/>
      <c r="DQ381" s="644"/>
      <c r="DR381" s="644"/>
      <c r="DS381" s="644"/>
      <c r="DT381" s="644"/>
      <c r="DU381" s="644"/>
      <c r="DV381" s="644"/>
      <c r="DW381" s="101"/>
      <c r="DX381" s="646"/>
      <c r="DY381" s="646"/>
      <c r="DZ381" s="646"/>
      <c r="EA381" s="646"/>
      <c r="EB381" s="646"/>
      <c r="EC381" s="646"/>
      <c r="ED381" s="646"/>
      <c r="EE381" s="646"/>
      <c r="EF381" s="646"/>
      <c r="EG381" s="646"/>
      <c r="EH381" s="646"/>
      <c r="EI381" s="646"/>
      <c r="EJ381" s="646"/>
      <c r="EK381" s="271"/>
      <c r="EL381" s="644"/>
      <c r="EM381" s="634"/>
      <c r="EN381" s="647"/>
      <c r="EO381" s="648"/>
      <c r="EP381" s="647"/>
      <c r="EQ381" s="647"/>
      <c r="ER381" s="647"/>
      <c r="ES381" s="139"/>
      <c r="EV381" s="647"/>
      <c r="EW381" s="647"/>
      <c r="EX381" s="647"/>
      <c r="EY381" s="647"/>
      <c r="EZ381" s="647"/>
      <c r="FA381" s="646"/>
      <c r="FB381" s="646"/>
      <c r="FC381" s="646"/>
      <c r="FD381" s="646"/>
      <c r="FE381" s="646"/>
      <c r="FF381" s="646"/>
      <c r="FG381" s="647"/>
      <c r="FH381" s="647"/>
      <c r="FI381" s="647"/>
      <c r="FJ381" s="647"/>
      <c r="FK381" s="647"/>
      <c r="FL381" s="647"/>
      <c r="FM381" s="647"/>
      <c r="FN381" s="647"/>
      <c r="FO381" s="647"/>
      <c r="FP381" s="647"/>
      <c r="FQ381" s="647"/>
      <c r="FR381" s="647"/>
      <c r="FS381" s="101"/>
      <c r="FT381" s="95"/>
      <c r="FU381" s="651"/>
      <c r="FV381" s="101"/>
      <c r="FW381" s="101"/>
      <c r="FX381" s="634"/>
      <c r="FY381" s="634"/>
      <c r="FZ381" s="634"/>
      <c r="GA381" s="634"/>
      <c r="GB381" s="634"/>
      <c r="GC381" s="634"/>
      <c r="GD381" s="634"/>
      <c r="GE381" s="634"/>
      <c r="GF381" s="634"/>
      <c r="GG381" s="634"/>
      <c r="GH381" s="634"/>
      <c r="GI381" s="634"/>
      <c r="GJ381" s="634"/>
      <c r="GK381" s="634"/>
      <c r="GL381" s="101"/>
      <c r="GM381" s="101"/>
      <c r="GN381" s="101"/>
      <c r="GO381" s="643"/>
      <c r="GP381" s="644"/>
      <c r="GQ381" s="643"/>
      <c r="GR381" s="644"/>
      <c r="GS381" s="643"/>
      <c r="GT381" s="644"/>
      <c r="GU381" s="644"/>
      <c r="GV381" s="644"/>
      <c r="GW381" s="644"/>
      <c r="GX381" s="644"/>
      <c r="GY381" s="644"/>
      <c r="GZ381" s="644"/>
      <c r="HA381" s="644"/>
    </row>
    <row r="382" spans="1:209">
      <c r="A382" s="638"/>
      <c r="B382" s="95"/>
      <c r="C382" s="95"/>
      <c r="D382" s="95"/>
      <c r="E382" s="650"/>
      <c r="F382" s="95"/>
      <c r="G382" s="98"/>
      <c r="H382" s="99"/>
      <c r="I382" s="95"/>
      <c r="J382" s="95"/>
      <c r="K382" s="95"/>
      <c r="L382" s="95"/>
      <c r="M382" s="95"/>
      <c r="N382" s="95"/>
      <c r="O382" s="95"/>
      <c r="P382" s="95"/>
      <c r="Q382" s="95"/>
      <c r="R382" s="98"/>
      <c r="S382" s="101"/>
      <c r="T382" s="644"/>
      <c r="U382" s="101"/>
      <c r="V382" s="647"/>
      <c r="W382" s="643"/>
      <c r="X382" s="644"/>
      <c r="Y382" s="101"/>
      <c r="Z382" s="644"/>
      <c r="AA382" s="101"/>
      <c r="AB382" s="644"/>
      <c r="AC382" s="101"/>
      <c r="AD382" s="646"/>
      <c r="AE382" s="271"/>
      <c r="AF382" s="646"/>
      <c r="AG382" s="646"/>
      <c r="AH382" s="646"/>
      <c r="AI382" s="646"/>
      <c r="AJ382" s="646"/>
      <c r="AK382" s="646"/>
      <c r="AL382" s="646"/>
      <c r="AM382" s="271"/>
      <c r="AN382" s="646"/>
      <c r="AO382" s="646"/>
      <c r="AP382" s="646"/>
      <c r="AQ382" s="271"/>
      <c r="AR382" s="646"/>
      <c r="AS382" s="270"/>
      <c r="AT382" s="646"/>
      <c r="AU382" s="646"/>
      <c r="AV382" s="646"/>
      <c r="AW382" s="270"/>
      <c r="AX382" s="646"/>
      <c r="AY382" s="270"/>
      <c r="AZ382" s="646"/>
      <c r="BA382" s="646"/>
      <c r="BB382" s="644"/>
      <c r="BC382" s="644"/>
      <c r="BD382" s="644"/>
      <c r="BE382" s="644"/>
      <c r="BF382" s="644"/>
      <c r="BG382" s="644"/>
      <c r="BH382" s="644"/>
      <c r="BI382" s="644"/>
      <c r="BJ382" s="644"/>
      <c r="BK382" s="644"/>
      <c r="BL382" s="644"/>
      <c r="BM382" s="95"/>
      <c r="BN382" s="644"/>
      <c r="BO382" s="95"/>
      <c r="BP382" s="644"/>
      <c r="BQ382" s="644"/>
      <c r="BR382" s="644"/>
      <c r="BS382" s="644"/>
      <c r="BT382" s="644"/>
      <c r="BU382" s="644"/>
      <c r="BV382" s="644"/>
      <c r="BW382" s="644"/>
      <c r="BX382" s="644"/>
      <c r="BY382" s="644"/>
      <c r="BZ382" s="644"/>
      <c r="CA382" s="644"/>
      <c r="CB382" s="644"/>
      <c r="CC382" s="644"/>
      <c r="CD382" s="644"/>
      <c r="CE382" s="644"/>
      <c r="CF382" s="644"/>
      <c r="CG382" s="644"/>
      <c r="CH382" s="644"/>
      <c r="CI382" s="644"/>
      <c r="CJ382" s="644"/>
      <c r="CK382" s="644"/>
      <c r="CL382" s="644"/>
      <c r="CM382" s="95"/>
      <c r="CN382" s="644"/>
      <c r="CO382" s="644"/>
      <c r="CP382" s="95"/>
      <c r="CQ382" s="98"/>
      <c r="CR382" s="95"/>
      <c r="CS382" s="95"/>
      <c r="CT382" s="95"/>
      <c r="CU382" s="108"/>
      <c r="CV382" s="109"/>
      <c r="CW382" s="644"/>
      <c r="CX382" s="496"/>
      <c r="CY382" s="637"/>
      <c r="CZ382" s="644"/>
      <c r="DA382" s="644"/>
      <c r="DB382" s="644"/>
      <c r="DC382" s="496"/>
      <c r="DD382" s="644"/>
      <c r="DE382" s="101"/>
      <c r="DF382" s="644"/>
      <c r="DG382" s="101"/>
      <c r="DH382" s="644"/>
      <c r="DI382" s="644"/>
      <c r="DJ382" s="644"/>
      <c r="DK382" s="644"/>
      <c r="DL382" s="644"/>
      <c r="DM382" s="101"/>
      <c r="DN382" s="644"/>
      <c r="DO382" s="644"/>
      <c r="DP382" s="644"/>
      <c r="DQ382" s="644"/>
      <c r="DR382" s="644"/>
      <c r="DS382" s="644"/>
      <c r="DT382" s="644"/>
      <c r="DU382" s="644"/>
      <c r="DV382" s="644"/>
      <c r="DW382" s="101"/>
      <c r="DX382" s="646"/>
      <c r="DY382" s="646"/>
      <c r="DZ382" s="646"/>
      <c r="EA382" s="646"/>
      <c r="EB382" s="646"/>
      <c r="EC382" s="646"/>
      <c r="ED382" s="646"/>
      <c r="EE382" s="646"/>
      <c r="EF382" s="646"/>
      <c r="EG382" s="646"/>
      <c r="EH382" s="646"/>
      <c r="EI382" s="646"/>
      <c r="EJ382" s="646"/>
      <c r="EK382" s="271"/>
      <c r="EL382" s="644"/>
      <c r="EM382" s="634"/>
      <c r="EN382" s="647"/>
      <c r="EO382" s="648"/>
      <c r="EP382" s="647"/>
      <c r="EQ382" s="647"/>
      <c r="ER382" s="647"/>
      <c r="ES382" s="139"/>
      <c r="EV382" s="647"/>
      <c r="EW382" s="647"/>
      <c r="EX382" s="647"/>
      <c r="EY382" s="647"/>
      <c r="EZ382" s="647"/>
      <c r="FA382" s="646"/>
      <c r="FB382" s="646"/>
      <c r="FC382" s="646"/>
      <c r="FD382" s="646"/>
      <c r="FE382" s="646"/>
      <c r="FF382" s="646"/>
      <c r="FG382" s="647"/>
      <c r="FH382" s="647"/>
      <c r="FI382" s="647"/>
      <c r="FJ382" s="647"/>
      <c r="FK382" s="647"/>
      <c r="FL382" s="647"/>
      <c r="FM382" s="647"/>
      <c r="FN382" s="647"/>
      <c r="FO382" s="647"/>
      <c r="FP382" s="647"/>
      <c r="FQ382" s="647"/>
      <c r="FR382" s="647"/>
      <c r="FS382" s="101"/>
      <c r="FT382" s="95"/>
      <c r="FU382" s="651"/>
      <c r="FV382" s="101"/>
      <c r="FW382" s="101"/>
      <c r="FX382" s="634"/>
      <c r="FY382" s="634"/>
      <c r="FZ382" s="634"/>
      <c r="GA382" s="634"/>
      <c r="GB382" s="634"/>
      <c r="GC382" s="634"/>
      <c r="GD382" s="634"/>
      <c r="GE382" s="634"/>
      <c r="GF382" s="634"/>
      <c r="GG382" s="634"/>
      <c r="GH382" s="634"/>
      <c r="GI382" s="634"/>
      <c r="GJ382" s="634"/>
      <c r="GK382" s="634"/>
      <c r="GL382" s="101"/>
      <c r="GM382" s="101"/>
      <c r="GN382" s="101"/>
      <c r="GO382" s="643"/>
      <c r="GP382" s="644"/>
      <c r="GQ382" s="643"/>
      <c r="GR382" s="644"/>
      <c r="GS382" s="643"/>
      <c r="GT382" s="644"/>
      <c r="GU382" s="644"/>
      <c r="GV382" s="644"/>
      <c r="GW382" s="644"/>
      <c r="GX382" s="644"/>
      <c r="GY382" s="644"/>
      <c r="GZ382" s="644"/>
      <c r="HA382" s="644"/>
    </row>
    <row r="383" spans="1:209">
      <c r="A383" s="638"/>
      <c r="B383" s="95"/>
      <c r="C383" s="95"/>
      <c r="D383" s="95"/>
      <c r="E383" s="650"/>
      <c r="F383" s="95"/>
      <c r="G383" s="98"/>
      <c r="H383" s="99"/>
      <c r="I383" s="95"/>
      <c r="J383" s="95"/>
      <c r="K383" s="95"/>
      <c r="L383" s="95"/>
      <c r="M383" s="95"/>
      <c r="N383" s="95"/>
      <c r="O383" s="95"/>
      <c r="P383" s="95"/>
      <c r="Q383" s="95"/>
      <c r="R383" s="98"/>
      <c r="S383" s="101"/>
      <c r="T383" s="644"/>
      <c r="U383" s="101"/>
      <c r="V383" s="647"/>
      <c r="W383" s="643"/>
      <c r="X383" s="644"/>
      <c r="Y383" s="101"/>
      <c r="Z383" s="644"/>
      <c r="AA383" s="101"/>
      <c r="AB383" s="644"/>
      <c r="AC383" s="101"/>
      <c r="AD383" s="646"/>
      <c r="AE383" s="271"/>
      <c r="AF383" s="646"/>
      <c r="AG383" s="646"/>
      <c r="AH383" s="646"/>
      <c r="AI383" s="646"/>
      <c r="AJ383" s="646"/>
      <c r="AK383" s="646"/>
      <c r="AL383" s="646"/>
      <c r="AM383" s="271"/>
      <c r="AN383" s="646"/>
      <c r="AO383" s="646"/>
      <c r="AP383" s="646"/>
      <c r="AQ383" s="271"/>
      <c r="AR383" s="646"/>
      <c r="AS383" s="270"/>
      <c r="AT383" s="646"/>
      <c r="AU383" s="646"/>
      <c r="AV383" s="646"/>
      <c r="AW383" s="270"/>
      <c r="AX383" s="646"/>
      <c r="AY383" s="270"/>
      <c r="AZ383" s="646"/>
      <c r="BA383" s="646"/>
      <c r="BB383" s="644"/>
      <c r="BC383" s="644"/>
      <c r="BD383" s="644"/>
      <c r="BE383" s="644"/>
      <c r="BF383" s="644"/>
      <c r="BG383" s="644"/>
      <c r="BH383" s="644"/>
      <c r="BI383" s="644"/>
      <c r="BJ383" s="644"/>
      <c r="BK383" s="644"/>
      <c r="BL383" s="644"/>
      <c r="BM383" s="95"/>
      <c r="BN383" s="644"/>
      <c r="BO383" s="95"/>
      <c r="BP383" s="644"/>
      <c r="BQ383" s="644"/>
      <c r="BR383" s="644"/>
      <c r="BS383" s="644"/>
      <c r="BT383" s="644"/>
      <c r="BU383" s="644"/>
      <c r="BV383" s="644"/>
      <c r="BW383" s="644"/>
      <c r="BX383" s="644"/>
      <c r="BY383" s="644"/>
      <c r="BZ383" s="644"/>
      <c r="CA383" s="644"/>
      <c r="CB383" s="644"/>
      <c r="CC383" s="644"/>
      <c r="CD383" s="644"/>
      <c r="CE383" s="644"/>
      <c r="CF383" s="644"/>
      <c r="CG383" s="644"/>
      <c r="CH383" s="644"/>
      <c r="CI383" s="644"/>
      <c r="CJ383" s="644"/>
      <c r="CK383" s="644"/>
      <c r="CL383" s="644"/>
      <c r="CM383" s="95"/>
      <c r="CN383" s="644"/>
      <c r="CO383" s="644"/>
      <c r="CP383" s="95"/>
      <c r="CQ383" s="98"/>
      <c r="CR383" s="95"/>
      <c r="CS383" s="95"/>
      <c r="CT383" s="95"/>
      <c r="CU383" s="108"/>
      <c r="CV383" s="109"/>
      <c r="CW383" s="644"/>
      <c r="CX383" s="496"/>
      <c r="CY383" s="637"/>
      <c r="CZ383" s="644"/>
      <c r="DA383" s="644"/>
      <c r="DB383" s="644"/>
      <c r="DC383" s="496"/>
      <c r="DD383" s="644"/>
      <c r="DE383" s="101"/>
      <c r="DF383" s="644"/>
      <c r="DG383" s="101"/>
      <c r="DH383" s="644"/>
      <c r="DI383" s="644"/>
      <c r="DJ383" s="644"/>
      <c r="DK383" s="644"/>
      <c r="DL383" s="644"/>
      <c r="DM383" s="101"/>
      <c r="DN383" s="644"/>
      <c r="DO383" s="644"/>
      <c r="DP383" s="644"/>
      <c r="DQ383" s="644"/>
      <c r="DR383" s="644"/>
      <c r="DS383" s="644"/>
      <c r="DT383" s="644"/>
      <c r="DU383" s="644"/>
      <c r="DV383" s="644"/>
      <c r="DW383" s="101"/>
      <c r="DX383" s="646"/>
      <c r="DY383" s="646"/>
      <c r="DZ383" s="646"/>
      <c r="EA383" s="646"/>
      <c r="EB383" s="646"/>
      <c r="EC383" s="646"/>
      <c r="ED383" s="646"/>
      <c r="EE383" s="646"/>
      <c r="EF383" s="646"/>
      <c r="EG383" s="646"/>
      <c r="EH383" s="646"/>
      <c r="EI383" s="646"/>
      <c r="EJ383" s="646"/>
      <c r="EK383" s="271"/>
      <c r="EL383" s="644"/>
      <c r="EM383" s="634"/>
      <c r="EN383" s="647"/>
      <c r="EO383" s="648"/>
      <c r="EP383" s="647"/>
      <c r="EQ383" s="647"/>
      <c r="ER383" s="647"/>
      <c r="ES383" s="139"/>
      <c r="EV383" s="647"/>
      <c r="EW383" s="647"/>
      <c r="EX383" s="647"/>
      <c r="EY383" s="647"/>
      <c r="EZ383" s="647"/>
      <c r="FA383" s="646"/>
      <c r="FB383" s="646"/>
      <c r="FC383" s="646"/>
      <c r="FD383" s="646"/>
      <c r="FE383" s="646"/>
      <c r="FF383" s="646"/>
      <c r="FG383" s="647"/>
      <c r="FH383" s="647"/>
      <c r="FI383" s="647"/>
      <c r="FJ383" s="647"/>
      <c r="FK383" s="647"/>
      <c r="FL383" s="647"/>
      <c r="FM383" s="647"/>
      <c r="FN383" s="647"/>
      <c r="FO383" s="647"/>
      <c r="FP383" s="647"/>
      <c r="FQ383" s="647"/>
      <c r="FR383" s="647"/>
      <c r="FS383" s="101"/>
      <c r="FT383" s="95"/>
      <c r="FU383" s="651"/>
      <c r="FV383" s="101"/>
      <c r="FW383" s="101"/>
      <c r="FX383" s="634"/>
      <c r="FY383" s="634"/>
      <c r="FZ383" s="634"/>
      <c r="GA383" s="634"/>
      <c r="GB383" s="634"/>
      <c r="GC383" s="634"/>
      <c r="GD383" s="634"/>
      <c r="GE383" s="634"/>
      <c r="GF383" s="634"/>
      <c r="GG383" s="634"/>
      <c r="GH383" s="634"/>
      <c r="GI383" s="634"/>
      <c r="GJ383" s="634"/>
      <c r="GK383" s="634"/>
      <c r="GL383" s="101"/>
      <c r="GM383" s="101"/>
      <c r="GN383" s="101"/>
      <c r="GO383" s="643"/>
      <c r="GP383" s="644"/>
      <c r="GQ383" s="643"/>
      <c r="GR383" s="644"/>
      <c r="GS383" s="643"/>
      <c r="GT383" s="644"/>
      <c r="GU383" s="644"/>
      <c r="GV383" s="644"/>
      <c r="GW383" s="644"/>
      <c r="GX383" s="644"/>
      <c r="GY383" s="644"/>
      <c r="GZ383" s="644"/>
      <c r="HA383" s="644"/>
    </row>
    <row r="384" spans="1:209">
      <c r="A384" s="638"/>
      <c r="B384" s="95"/>
      <c r="C384" s="95"/>
      <c r="D384" s="95"/>
      <c r="E384" s="650"/>
      <c r="F384" s="95"/>
      <c r="G384" s="98"/>
      <c r="H384" s="99"/>
      <c r="I384" s="95"/>
      <c r="J384" s="95"/>
      <c r="K384" s="95"/>
      <c r="L384" s="95"/>
      <c r="M384" s="95"/>
      <c r="N384" s="95"/>
      <c r="O384" s="95"/>
      <c r="P384" s="95"/>
      <c r="Q384" s="95"/>
      <c r="R384" s="98"/>
      <c r="S384" s="101"/>
      <c r="T384" s="644"/>
      <c r="U384" s="101"/>
      <c r="V384" s="647"/>
      <c r="W384" s="643"/>
      <c r="X384" s="644"/>
      <c r="Y384" s="101"/>
      <c r="Z384" s="644"/>
      <c r="AA384" s="101"/>
      <c r="AB384" s="644"/>
      <c r="AC384" s="101"/>
      <c r="AD384" s="646"/>
      <c r="AE384" s="271"/>
      <c r="AF384" s="646"/>
      <c r="AG384" s="646"/>
      <c r="AH384" s="646"/>
      <c r="AI384" s="646"/>
      <c r="AJ384" s="646"/>
      <c r="AK384" s="646"/>
      <c r="AL384" s="646"/>
      <c r="AM384" s="271"/>
      <c r="AN384" s="646"/>
      <c r="AO384" s="646"/>
      <c r="AP384" s="646"/>
      <c r="AQ384" s="271"/>
      <c r="AR384" s="646"/>
      <c r="AS384" s="270"/>
      <c r="AT384" s="646"/>
      <c r="AU384" s="646"/>
      <c r="AV384" s="646"/>
      <c r="AW384" s="270"/>
      <c r="AX384" s="646"/>
      <c r="AY384" s="270"/>
      <c r="AZ384" s="646"/>
      <c r="BA384" s="646"/>
      <c r="BB384" s="644"/>
      <c r="BC384" s="644"/>
      <c r="BD384" s="644"/>
      <c r="BE384" s="644"/>
      <c r="BF384" s="644"/>
      <c r="BG384" s="644"/>
      <c r="BH384" s="644"/>
      <c r="BI384" s="644"/>
      <c r="BJ384" s="644"/>
      <c r="BK384" s="644"/>
      <c r="BL384" s="644"/>
      <c r="BM384" s="95"/>
      <c r="BN384" s="644"/>
      <c r="BO384" s="95"/>
      <c r="BP384" s="644"/>
      <c r="BQ384" s="644"/>
      <c r="BR384" s="644"/>
      <c r="BS384" s="644"/>
      <c r="BT384" s="644"/>
      <c r="BU384" s="644"/>
      <c r="BV384" s="644"/>
      <c r="BW384" s="644"/>
      <c r="BX384" s="644"/>
      <c r="BY384" s="644"/>
      <c r="BZ384" s="644"/>
      <c r="CA384" s="644"/>
      <c r="CB384" s="644"/>
      <c r="CC384" s="644"/>
      <c r="CD384" s="644"/>
      <c r="CE384" s="644"/>
      <c r="CF384" s="644"/>
      <c r="CG384" s="644"/>
      <c r="CH384" s="644"/>
      <c r="CI384" s="644"/>
      <c r="CJ384" s="644"/>
      <c r="CK384" s="644"/>
      <c r="CL384" s="644"/>
      <c r="CM384" s="95"/>
      <c r="CN384" s="644"/>
      <c r="CO384" s="644"/>
      <c r="CP384" s="95"/>
      <c r="CQ384" s="98"/>
      <c r="CR384" s="95"/>
      <c r="CS384" s="95"/>
      <c r="CT384" s="95"/>
      <c r="CU384" s="108"/>
      <c r="CV384" s="109"/>
      <c r="CW384" s="644"/>
      <c r="CX384" s="496"/>
      <c r="CY384" s="637"/>
      <c r="CZ384" s="644"/>
      <c r="DA384" s="644"/>
      <c r="DB384" s="644"/>
      <c r="DC384" s="496"/>
      <c r="DD384" s="644"/>
      <c r="DE384" s="101"/>
      <c r="DF384" s="644"/>
      <c r="DG384" s="101"/>
      <c r="DH384" s="644"/>
      <c r="DI384" s="644"/>
      <c r="DJ384" s="644"/>
      <c r="DK384" s="644"/>
      <c r="DL384" s="644"/>
      <c r="DM384" s="101"/>
      <c r="DN384" s="644"/>
      <c r="DO384" s="644"/>
      <c r="DP384" s="644"/>
      <c r="DQ384" s="644"/>
      <c r="DR384" s="644"/>
      <c r="DS384" s="644"/>
      <c r="DT384" s="644"/>
      <c r="DU384" s="644"/>
      <c r="DV384" s="644"/>
      <c r="DW384" s="101"/>
      <c r="DX384" s="646"/>
      <c r="DY384" s="646"/>
      <c r="DZ384" s="646"/>
      <c r="EA384" s="646"/>
      <c r="EB384" s="646"/>
      <c r="EC384" s="646"/>
      <c r="ED384" s="646"/>
      <c r="EE384" s="646"/>
      <c r="EF384" s="646"/>
      <c r="EG384" s="646"/>
      <c r="EH384" s="646"/>
      <c r="EI384" s="646"/>
      <c r="EJ384" s="646"/>
      <c r="EK384" s="271"/>
      <c r="EL384" s="644"/>
      <c r="EM384" s="634"/>
      <c r="EN384" s="647"/>
      <c r="EO384" s="648"/>
      <c r="EP384" s="647"/>
      <c r="EQ384" s="647"/>
      <c r="ER384" s="647"/>
      <c r="ES384" s="139"/>
      <c r="EV384" s="647"/>
      <c r="EW384" s="647"/>
      <c r="EX384" s="647"/>
      <c r="EY384" s="647"/>
      <c r="EZ384" s="647"/>
      <c r="FA384" s="646"/>
      <c r="FB384" s="646"/>
      <c r="FC384" s="646"/>
      <c r="FD384" s="646"/>
      <c r="FE384" s="646"/>
      <c r="FF384" s="646"/>
      <c r="FG384" s="647"/>
      <c r="FH384" s="647"/>
      <c r="FI384" s="647"/>
      <c r="FJ384" s="647"/>
      <c r="FK384" s="647"/>
      <c r="FL384" s="647"/>
      <c r="FM384" s="647"/>
      <c r="FN384" s="647"/>
      <c r="FO384" s="647"/>
      <c r="FP384" s="647"/>
      <c r="FQ384" s="647"/>
      <c r="FR384" s="647"/>
      <c r="FS384" s="101"/>
      <c r="FT384" s="95"/>
      <c r="FU384" s="651"/>
      <c r="FV384" s="101"/>
      <c r="FW384" s="101"/>
      <c r="FX384" s="634"/>
      <c r="FY384" s="634"/>
      <c r="FZ384" s="634"/>
      <c r="GA384" s="634"/>
      <c r="GB384" s="634"/>
      <c r="GC384" s="634"/>
      <c r="GD384" s="634"/>
      <c r="GE384" s="634"/>
      <c r="GF384" s="634"/>
      <c r="GG384" s="634"/>
      <c r="GH384" s="634"/>
      <c r="GI384" s="634"/>
      <c r="GJ384" s="634"/>
      <c r="GK384" s="634"/>
      <c r="GL384" s="101"/>
      <c r="GM384" s="101"/>
      <c r="GN384" s="101"/>
      <c r="GO384" s="643"/>
      <c r="GP384" s="644"/>
      <c r="GQ384" s="643"/>
      <c r="GR384" s="644"/>
      <c r="GS384" s="643"/>
      <c r="GT384" s="644"/>
      <c r="GU384" s="644"/>
      <c r="GV384" s="644"/>
      <c r="GW384" s="644"/>
      <c r="GX384" s="644"/>
      <c r="GY384" s="644"/>
      <c r="GZ384" s="644"/>
      <c r="HA384" s="644"/>
    </row>
    <row r="385" spans="1:209">
      <c r="A385" s="638"/>
      <c r="B385" s="95"/>
      <c r="C385" s="95"/>
      <c r="D385" s="95"/>
      <c r="E385" s="650"/>
      <c r="F385" s="95"/>
      <c r="G385" s="98"/>
      <c r="H385" s="99"/>
      <c r="I385" s="95"/>
      <c r="J385" s="95"/>
      <c r="K385" s="95"/>
      <c r="L385" s="95"/>
      <c r="M385" s="95"/>
      <c r="N385" s="95"/>
      <c r="O385" s="95"/>
      <c r="P385" s="95"/>
      <c r="Q385" s="95"/>
      <c r="R385" s="98"/>
      <c r="S385" s="101"/>
      <c r="T385" s="644"/>
      <c r="U385" s="101"/>
      <c r="V385" s="647"/>
      <c r="W385" s="643"/>
      <c r="X385" s="644"/>
      <c r="Y385" s="101"/>
      <c r="Z385" s="644"/>
      <c r="AA385" s="101"/>
      <c r="AB385" s="644"/>
      <c r="AC385" s="101"/>
      <c r="AD385" s="646"/>
      <c r="AE385" s="271"/>
      <c r="AF385" s="646"/>
      <c r="AG385" s="646"/>
      <c r="AH385" s="646"/>
      <c r="AI385" s="646"/>
      <c r="AJ385" s="646"/>
      <c r="AK385" s="646"/>
      <c r="AL385" s="646"/>
      <c r="AM385" s="271"/>
      <c r="AN385" s="646"/>
      <c r="AO385" s="646"/>
      <c r="AP385" s="646"/>
      <c r="AQ385" s="271"/>
      <c r="AR385" s="646"/>
      <c r="AS385" s="270"/>
      <c r="AT385" s="646"/>
      <c r="AU385" s="646"/>
      <c r="AV385" s="646"/>
      <c r="AW385" s="270"/>
      <c r="AX385" s="646"/>
      <c r="AY385" s="270"/>
      <c r="AZ385" s="646"/>
      <c r="BA385" s="646"/>
      <c r="BB385" s="644"/>
      <c r="BC385" s="644"/>
      <c r="BD385" s="644"/>
      <c r="BE385" s="644"/>
      <c r="BF385" s="644"/>
      <c r="BG385" s="644"/>
      <c r="BH385" s="644"/>
      <c r="BI385" s="644"/>
      <c r="BJ385" s="644"/>
      <c r="BK385" s="644"/>
      <c r="BL385" s="644"/>
      <c r="BM385" s="95"/>
      <c r="BN385" s="644"/>
      <c r="BO385" s="95"/>
      <c r="BP385" s="644"/>
      <c r="BQ385" s="644"/>
      <c r="BR385" s="644"/>
      <c r="BS385" s="644"/>
      <c r="BT385" s="644"/>
      <c r="BU385" s="644"/>
      <c r="BV385" s="644"/>
      <c r="BW385" s="644"/>
      <c r="BX385" s="644"/>
      <c r="BY385" s="644"/>
      <c r="BZ385" s="644"/>
      <c r="CA385" s="644"/>
      <c r="CB385" s="644"/>
      <c r="CC385" s="644"/>
      <c r="CD385" s="644"/>
      <c r="CE385" s="644"/>
      <c r="CF385" s="644"/>
      <c r="CG385" s="644"/>
      <c r="CH385" s="644"/>
      <c r="CI385" s="644"/>
      <c r="CJ385" s="644"/>
      <c r="CK385" s="644"/>
      <c r="CL385" s="644"/>
      <c r="CM385" s="95"/>
      <c r="CN385" s="644"/>
      <c r="CO385" s="644"/>
      <c r="CP385" s="95"/>
      <c r="CQ385" s="98"/>
      <c r="CR385" s="95"/>
      <c r="CS385" s="95"/>
      <c r="CT385" s="95"/>
      <c r="CU385" s="108"/>
      <c r="CV385" s="109"/>
      <c r="CW385" s="644"/>
      <c r="CX385" s="496"/>
      <c r="CY385" s="637"/>
      <c r="CZ385" s="644"/>
      <c r="DA385" s="644"/>
      <c r="DB385" s="644"/>
      <c r="DC385" s="496"/>
      <c r="DD385" s="644"/>
      <c r="DE385" s="101"/>
      <c r="DF385" s="644"/>
      <c r="DG385" s="101"/>
      <c r="DH385" s="644"/>
      <c r="DI385" s="644"/>
      <c r="DJ385" s="644"/>
      <c r="DK385" s="644"/>
      <c r="DL385" s="644"/>
      <c r="DM385" s="101"/>
      <c r="DN385" s="644"/>
      <c r="DO385" s="644"/>
      <c r="DP385" s="644"/>
      <c r="DQ385" s="644"/>
      <c r="DR385" s="644"/>
      <c r="DS385" s="644"/>
      <c r="DT385" s="644"/>
      <c r="DU385" s="644"/>
      <c r="DV385" s="644"/>
      <c r="DW385" s="101"/>
      <c r="DX385" s="646"/>
      <c r="DY385" s="646"/>
      <c r="DZ385" s="646"/>
      <c r="EA385" s="646"/>
      <c r="EB385" s="646"/>
      <c r="EC385" s="646"/>
      <c r="ED385" s="646"/>
      <c r="EE385" s="646"/>
      <c r="EF385" s="646"/>
      <c r="EG385" s="646"/>
      <c r="EH385" s="646"/>
      <c r="EI385" s="646"/>
      <c r="EJ385" s="646"/>
      <c r="EK385" s="271"/>
      <c r="EL385" s="644"/>
      <c r="EM385" s="634"/>
      <c r="EN385" s="647"/>
      <c r="EO385" s="648"/>
      <c r="EP385" s="647"/>
      <c r="EQ385" s="647"/>
      <c r="ER385" s="647"/>
      <c r="ES385" s="139"/>
      <c r="EV385" s="647"/>
      <c r="EW385" s="647"/>
      <c r="EX385" s="647"/>
      <c r="EY385" s="647"/>
      <c r="EZ385" s="647"/>
      <c r="FA385" s="646"/>
      <c r="FB385" s="646"/>
      <c r="FC385" s="646"/>
      <c r="FD385" s="646"/>
      <c r="FE385" s="646"/>
      <c r="FF385" s="646"/>
      <c r="FG385" s="647"/>
      <c r="FH385" s="647"/>
      <c r="FI385" s="647"/>
      <c r="FJ385" s="647"/>
      <c r="FK385" s="647"/>
      <c r="FL385" s="647"/>
      <c r="FM385" s="647"/>
      <c r="FN385" s="647"/>
      <c r="FO385" s="647"/>
      <c r="FP385" s="647"/>
      <c r="FQ385" s="647"/>
      <c r="FR385" s="647"/>
      <c r="FS385" s="101"/>
      <c r="FT385" s="95"/>
      <c r="FU385" s="651"/>
      <c r="FV385" s="101"/>
      <c r="FW385" s="101"/>
      <c r="FX385" s="634"/>
      <c r="FY385" s="634"/>
      <c r="FZ385" s="634"/>
      <c r="GA385" s="634"/>
      <c r="GB385" s="634"/>
      <c r="GC385" s="634"/>
      <c r="GD385" s="634"/>
      <c r="GE385" s="634"/>
      <c r="GF385" s="634"/>
      <c r="GG385" s="634"/>
      <c r="GH385" s="634"/>
      <c r="GI385" s="634"/>
      <c r="GJ385" s="634"/>
      <c r="GK385" s="634"/>
      <c r="GL385" s="101"/>
      <c r="GM385" s="101"/>
      <c r="GN385" s="101"/>
      <c r="GO385" s="643"/>
      <c r="GP385" s="644"/>
      <c r="GQ385" s="643"/>
      <c r="GR385" s="644"/>
      <c r="GS385" s="643"/>
      <c r="GT385" s="644"/>
      <c r="GU385" s="644"/>
      <c r="GV385" s="644"/>
      <c r="GW385" s="644"/>
      <c r="GX385" s="644"/>
      <c r="GY385" s="644"/>
      <c r="GZ385" s="644"/>
      <c r="HA385" s="644"/>
    </row>
    <row r="386" spans="1:209">
      <c r="A386" s="638"/>
      <c r="B386" s="95"/>
      <c r="C386" s="95"/>
      <c r="D386" s="95"/>
      <c r="E386" s="650"/>
      <c r="F386" s="95"/>
      <c r="G386" s="98"/>
      <c r="H386" s="99"/>
      <c r="I386" s="95"/>
      <c r="J386" s="95"/>
      <c r="K386" s="95"/>
      <c r="L386" s="95"/>
      <c r="M386" s="95"/>
      <c r="N386" s="95"/>
      <c r="O386" s="95"/>
      <c r="P386" s="95"/>
      <c r="Q386" s="95"/>
      <c r="R386" s="98"/>
      <c r="S386" s="101"/>
      <c r="T386" s="644"/>
      <c r="U386" s="101"/>
      <c r="V386" s="647"/>
      <c r="W386" s="643"/>
      <c r="X386" s="644"/>
      <c r="Y386" s="101"/>
      <c r="Z386" s="644"/>
      <c r="AA386" s="101"/>
      <c r="AB386" s="644"/>
      <c r="AC386" s="101"/>
      <c r="AD386" s="646"/>
      <c r="AE386" s="271"/>
      <c r="AF386" s="646"/>
      <c r="AG386" s="646"/>
      <c r="AH386" s="646"/>
      <c r="AI386" s="646"/>
      <c r="AJ386" s="646"/>
      <c r="AK386" s="646"/>
      <c r="AL386" s="646"/>
      <c r="AM386" s="271"/>
      <c r="AN386" s="646"/>
      <c r="AO386" s="646"/>
      <c r="AP386" s="646"/>
      <c r="AQ386" s="271"/>
      <c r="AR386" s="646"/>
      <c r="AS386" s="270"/>
      <c r="AT386" s="646"/>
      <c r="AU386" s="646"/>
      <c r="AV386" s="646"/>
      <c r="AW386" s="270"/>
      <c r="AX386" s="646"/>
      <c r="AY386" s="270"/>
      <c r="AZ386" s="646"/>
      <c r="BA386" s="646"/>
      <c r="BB386" s="644"/>
      <c r="BC386" s="644"/>
      <c r="BD386" s="644"/>
      <c r="BE386" s="644"/>
      <c r="BF386" s="644"/>
      <c r="BG386" s="644"/>
      <c r="BH386" s="644"/>
      <c r="BI386" s="644"/>
      <c r="BJ386" s="644"/>
      <c r="BK386" s="644"/>
      <c r="BL386" s="644"/>
      <c r="BM386" s="95"/>
      <c r="BN386" s="644"/>
      <c r="BO386" s="95"/>
      <c r="BP386" s="644"/>
      <c r="BQ386" s="644"/>
      <c r="BR386" s="644"/>
      <c r="BS386" s="644"/>
      <c r="BT386" s="644"/>
      <c r="BU386" s="644"/>
      <c r="BV386" s="644"/>
      <c r="BW386" s="644"/>
      <c r="BX386" s="644"/>
      <c r="BY386" s="644"/>
      <c r="BZ386" s="644"/>
      <c r="CA386" s="644"/>
      <c r="CB386" s="644"/>
      <c r="CC386" s="644"/>
      <c r="CD386" s="644"/>
      <c r="CE386" s="644"/>
      <c r="CF386" s="644"/>
      <c r="CG386" s="644"/>
      <c r="CH386" s="644"/>
      <c r="CI386" s="644"/>
      <c r="CJ386" s="644"/>
      <c r="CK386" s="644"/>
      <c r="CL386" s="644"/>
      <c r="CM386" s="95"/>
      <c r="CN386" s="644"/>
      <c r="CO386" s="644"/>
      <c r="CP386" s="95"/>
      <c r="CQ386" s="98"/>
      <c r="CR386" s="95"/>
      <c r="CS386" s="95"/>
      <c r="CT386" s="95"/>
      <c r="CU386" s="108"/>
      <c r="CV386" s="109"/>
      <c r="CW386" s="644"/>
      <c r="CX386" s="496"/>
      <c r="CY386" s="637"/>
      <c r="CZ386" s="644"/>
      <c r="DA386" s="644"/>
      <c r="DB386" s="644"/>
      <c r="DC386" s="496"/>
      <c r="DD386" s="644"/>
      <c r="DE386" s="101"/>
      <c r="DF386" s="644"/>
      <c r="DG386" s="101"/>
      <c r="DH386" s="644"/>
      <c r="DI386" s="644"/>
      <c r="DJ386" s="644"/>
      <c r="DK386" s="644"/>
      <c r="DL386" s="644"/>
      <c r="DM386" s="101"/>
      <c r="DN386" s="644"/>
      <c r="DO386" s="644"/>
      <c r="DP386" s="644"/>
      <c r="DQ386" s="644"/>
      <c r="DR386" s="644"/>
      <c r="DS386" s="644"/>
      <c r="DT386" s="644"/>
      <c r="DU386" s="644"/>
      <c r="DV386" s="644"/>
      <c r="DW386" s="101"/>
      <c r="DX386" s="646"/>
      <c r="DY386" s="646"/>
      <c r="DZ386" s="646"/>
      <c r="EA386" s="646"/>
      <c r="EB386" s="646"/>
      <c r="EC386" s="646"/>
      <c r="ED386" s="646"/>
      <c r="EE386" s="646"/>
      <c r="EF386" s="646"/>
      <c r="EG386" s="646"/>
      <c r="EH386" s="646"/>
      <c r="EI386" s="646"/>
      <c r="EJ386" s="646"/>
      <c r="EK386" s="271"/>
      <c r="EL386" s="644"/>
      <c r="EM386" s="634"/>
      <c r="EN386" s="647"/>
      <c r="EO386" s="648"/>
      <c r="EP386" s="647"/>
      <c r="EQ386" s="647"/>
      <c r="ER386" s="647"/>
      <c r="ES386" s="139"/>
      <c r="EV386" s="647"/>
      <c r="EW386" s="647"/>
      <c r="EX386" s="647"/>
      <c r="EY386" s="647"/>
      <c r="EZ386" s="647"/>
      <c r="FA386" s="646"/>
      <c r="FB386" s="646"/>
      <c r="FC386" s="646"/>
      <c r="FD386" s="646"/>
      <c r="FE386" s="646"/>
      <c r="FF386" s="646"/>
      <c r="FG386" s="647"/>
      <c r="FH386" s="647"/>
      <c r="FI386" s="647"/>
      <c r="FJ386" s="647"/>
      <c r="FK386" s="647"/>
      <c r="FL386" s="647"/>
      <c r="FM386" s="647"/>
      <c r="FN386" s="647"/>
      <c r="FO386" s="647"/>
      <c r="FP386" s="647"/>
      <c r="FQ386" s="647"/>
      <c r="FR386" s="647"/>
      <c r="FS386" s="101"/>
      <c r="FT386" s="95"/>
      <c r="FU386" s="651"/>
      <c r="FV386" s="101"/>
      <c r="FW386" s="101"/>
      <c r="FX386" s="634"/>
      <c r="FY386" s="634"/>
      <c r="FZ386" s="634"/>
      <c r="GA386" s="634"/>
      <c r="GB386" s="634"/>
      <c r="GC386" s="634"/>
      <c r="GD386" s="634"/>
      <c r="GE386" s="634"/>
      <c r="GF386" s="634"/>
      <c r="GG386" s="634"/>
      <c r="GH386" s="634"/>
      <c r="GI386" s="634"/>
      <c r="GJ386" s="634"/>
      <c r="GK386" s="634"/>
      <c r="GL386" s="101"/>
      <c r="GM386" s="101"/>
      <c r="GN386" s="101"/>
      <c r="GO386" s="643"/>
      <c r="GP386" s="644"/>
      <c r="GQ386" s="643"/>
      <c r="GR386" s="644"/>
      <c r="GS386" s="643"/>
      <c r="GT386" s="644"/>
      <c r="GU386" s="644"/>
      <c r="GV386" s="644"/>
      <c r="GW386" s="644"/>
      <c r="GX386" s="644"/>
      <c r="GY386" s="644"/>
      <c r="GZ386" s="644"/>
      <c r="HA386" s="644"/>
    </row>
    <row r="387" spans="1:209">
      <c r="A387" s="638"/>
      <c r="B387" s="95"/>
      <c r="C387" s="95"/>
      <c r="D387" s="95"/>
      <c r="E387" s="650"/>
      <c r="F387" s="95"/>
      <c r="G387" s="98"/>
      <c r="H387" s="99"/>
      <c r="I387" s="95"/>
      <c r="J387" s="95"/>
      <c r="K387" s="95"/>
      <c r="L387" s="95"/>
      <c r="M387" s="95"/>
      <c r="N387" s="95"/>
      <c r="O387" s="95"/>
      <c r="P387" s="95"/>
      <c r="Q387" s="95"/>
      <c r="R387" s="98"/>
      <c r="S387" s="101"/>
      <c r="T387" s="644"/>
      <c r="U387" s="101"/>
      <c r="V387" s="647"/>
      <c r="W387" s="643"/>
      <c r="X387" s="644"/>
      <c r="Y387" s="101"/>
      <c r="Z387" s="644"/>
      <c r="AA387" s="101"/>
      <c r="AB387" s="644"/>
      <c r="AC387" s="101"/>
      <c r="AD387" s="646"/>
      <c r="AE387" s="271"/>
      <c r="AF387" s="646"/>
      <c r="AG387" s="646"/>
      <c r="AH387" s="646"/>
      <c r="AI387" s="646"/>
      <c r="AJ387" s="646"/>
      <c r="AK387" s="646"/>
      <c r="AL387" s="646"/>
      <c r="AM387" s="271"/>
      <c r="AN387" s="646"/>
      <c r="AO387" s="646"/>
      <c r="AP387" s="646"/>
      <c r="AQ387" s="271"/>
      <c r="AR387" s="646"/>
      <c r="AS387" s="270"/>
      <c r="AT387" s="646"/>
      <c r="AU387" s="646"/>
      <c r="AV387" s="646"/>
      <c r="AW387" s="270"/>
      <c r="AX387" s="646"/>
      <c r="AY387" s="270"/>
      <c r="AZ387" s="646"/>
      <c r="BA387" s="646"/>
      <c r="BB387" s="644"/>
      <c r="BC387" s="644"/>
      <c r="BD387" s="644"/>
      <c r="BE387" s="644"/>
      <c r="BF387" s="644"/>
      <c r="BG387" s="644"/>
      <c r="BH387" s="644"/>
      <c r="BI387" s="644"/>
      <c r="BJ387" s="644"/>
      <c r="BK387" s="644"/>
      <c r="BL387" s="644"/>
      <c r="BM387" s="95"/>
      <c r="BN387" s="644"/>
      <c r="BO387" s="95"/>
      <c r="BP387" s="644"/>
      <c r="BQ387" s="644"/>
      <c r="BR387" s="644"/>
      <c r="BS387" s="644"/>
      <c r="BT387" s="644"/>
      <c r="BU387" s="644"/>
      <c r="BV387" s="644"/>
      <c r="BW387" s="644"/>
      <c r="BX387" s="644"/>
      <c r="BY387" s="644"/>
      <c r="BZ387" s="644"/>
      <c r="CA387" s="644"/>
      <c r="CB387" s="644"/>
      <c r="CC387" s="644"/>
      <c r="CD387" s="644"/>
      <c r="CE387" s="644"/>
      <c r="CF387" s="644"/>
      <c r="CG387" s="644"/>
      <c r="CH387" s="644"/>
      <c r="CI387" s="644"/>
      <c r="CJ387" s="644"/>
      <c r="CK387" s="644"/>
      <c r="CL387" s="644"/>
      <c r="CM387" s="95"/>
      <c r="CN387" s="644"/>
      <c r="CO387" s="644"/>
      <c r="CP387" s="95"/>
      <c r="CQ387" s="98"/>
      <c r="CR387" s="95"/>
      <c r="CS387" s="95"/>
      <c r="CT387" s="95"/>
      <c r="CU387" s="108"/>
      <c r="CV387" s="109"/>
      <c r="CW387" s="644"/>
      <c r="CX387" s="496"/>
      <c r="CY387" s="637"/>
      <c r="CZ387" s="644"/>
      <c r="DA387" s="644"/>
      <c r="DB387" s="644"/>
      <c r="DC387" s="496"/>
      <c r="DD387" s="644"/>
      <c r="DE387" s="101"/>
      <c r="DF387" s="644"/>
      <c r="DG387" s="101"/>
      <c r="DH387" s="644"/>
      <c r="DI387" s="644"/>
      <c r="DJ387" s="644"/>
      <c r="DK387" s="644"/>
      <c r="DL387" s="644"/>
      <c r="DM387" s="101"/>
      <c r="DN387" s="644"/>
      <c r="DO387" s="644"/>
      <c r="DP387" s="644"/>
      <c r="DQ387" s="644"/>
      <c r="DR387" s="644"/>
      <c r="DS387" s="644"/>
      <c r="DT387" s="644"/>
      <c r="DU387" s="644"/>
      <c r="DV387" s="644"/>
      <c r="DW387" s="101"/>
      <c r="DX387" s="646"/>
      <c r="DY387" s="646"/>
      <c r="DZ387" s="646"/>
      <c r="EA387" s="646"/>
      <c r="EB387" s="646"/>
      <c r="EC387" s="646"/>
      <c r="ED387" s="646"/>
      <c r="EE387" s="646"/>
      <c r="EF387" s="646"/>
      <c r="EG387" s="646"/>
      <c r="EH387" s="646"/>
      <c r="EI387" s="646"/>
      <c r="EJ387" s="646"/>
      <c r="EK387" s="271"/>
      <c r="EL387" s="644"/>
      <c r="EM387" s="634"/>
      <c r="EN387" s="647"/>
      <c r="EO387" s="648"/>
      <c r="EP387" s="647"/>
      <c r="EQ387" s="647"/>
      <c r="ER387" s="647"/>
      <c r="ES387" s="139"/>
      <c r="EV387" s="647"/>
      <c r="EW387" s="647"/>
      <c r="EX387" s="647"/>
      <c r="EY387" s="647"/>
      <c r="EZ387" s="647"/>
      <c r="FA387" s="646"/>
      <c r="FB387" s="646"/>
      <c r="FC387" s="646"/>
      <c r="FD387" s="646"/>
      <c r="FE387" s="646"/>
      <c r="FF387" s="646"/>
      <c r="FG387" s="647"/>
      <c r="FH387" s="647"/>
      <c r="FI387" s="647"/>
      <c r="FJ387" s="647"/>
      <c r="FK387" s="647"/>
      <c r="FL387" s="647"/>
      <c r="FM387" s="647"/>
      <c r="FN387" s="647"/>
      <c r="FO387" s="647"/>
      <c r="FP387" s="647"/>
      <c r="FQ387" s="647"/>
      <c r="FR387" s="647"/>
      <c r="FS387" s="101"/>
      <c r="FT387" s="95"/>
      <c r="FU387" s="651"/>
      <c r="FV387" s="101"/>
      <c r="FW387" s="101"/>
      <c r="FX387" s="634"/>
      <c r="FY387" s="634"/>
      <c r="FZ387" s="634"/>
      <c r="GA387" s="634"/>
      <c r="GB387" s="634"/>
      <c r="GC387" s="634"/>
      <c r="GD387" s="634"/>
      <c r="GE387" s="634"/>
      <c r="GF387" s="634"/>
      <c r="GG387" s="634"/>
      <c r="GH387" s="634"/>
      <c r="GI387" s="634"/>
      <c r="GJ387" s="634"/>
      <c r="GK387" s="634"/>
      <c r="GL387" s="101"/>
      <c r="GM387" s="101"/>
      <c r="GN387" s="101"/>
      <c r="GO387" s="643"/>
      <c r="GP387" s="644"/>
      <c r="GQ387" s="643"/>
      <c r="GR387" s="644"/>
      <c r="GS387" s="643"/>
      <c r="GT387" s="644"/>
      <c r="GU387" s="644"/>
      <c r="GV387" s="644"/>
      <c r="GW387" s="644"/>
      <c r="GX387" s="644"/>
      <c r="GY387" s="644"/>
      <c r="GZ387" s="644"/>
      <c r="HA387" s="644"/>
    </row>
    <row r="388" spans="1:209">
      <c r="A388" s="638"/>
      <c r="B388" s="95"/>
      <c r="C388" s="95"/>
      <c r="D388" s="95"/>
      <c r="E388" s="650"/>
      <c r="F388" s="95"/>
      <c r="G388" s="98"/>
      <c r="H388" s="99"/>
      <c r="I388" s="95"/>
      <c r="J388" s="95"/>
      <c r="K388" s="95"/>
      <c r="L388" s="95"/>
      <c r="M388" s="95"/>
      <c r="N388" s="95"/>
      <c r="O388" s="95"/>
      <c r="P388" s="95"/>
      <c r="Q388" s="95"/>
      <c r="R388" s="98"/>
      <c r="S388" s="101"/>
      <c r="T388" s="644"/>
      <c r="U388" s="101"/>
      <c r="V388" s="647"/>
      <c r="W388" s="643"/>
      <c r="X388" s="644"/>
      <c r="Y388" s="101"/>
      <c r="Z388" s="644"/>
      <c r="AA388" s="101"/>
      <c r="AB388" s="644"/>
      <c r="AC388" s="101"/>
      <c r="AD388" s="646"/>
      <c r="AE388" s="271"/>
      <c r="AF388" s="646"/>
      <c r="AG388" s="646"/>
      <c r="AH388" s="646"/>
      <c r="AI388" s="646"/>
      <c r="AJ388" s="646"/>
      <c r="AK388" s="646"/>
      <c r="AL388" s="646"/>
      <c r="AM388" s="271"/>
      <c r="AN388" s="646"/>
      <c r="AO388" s="646"/>
      <c r="AP388" s="646"/>
      <c r="AQ388" s="271"/>
      <c r="AR388" s="646"/>
      <c r="AS388" s="270"/>
      <c r="AT388" s="646"/>
      <c r="AU388" s="646"/>
      <c r="AV388" s="646"/>
      <c r="AW388" s="270"/>
      <c r="AX388" s="646"/>
      <c r="AY388" s="270"/>
      <c r="AZ388" s="646"/>
      <c r="BA388" s="646"/>
      <c r="BB388" s="644"/>
      <c r="BC388" s="644"/>
      <c r="BD388" s="644"/>
      <c r="BE388" s="644"/>
      <c r="BF388" s="644"/>
      <c r="BG388" s="644"/>
      <c r="BH388" s="644"/>
      <c r="BI388" s="644"/>
      <c r="BJ388" s="644"/>
      <c r="BK388" s="644"/>
      <c r="BL388" s="644"/>
      <c r="BM388" s="95"/>
      <c r="BN388" s="644"/>
      <c r="BO388" s="95"/>
      <c r="BP388" s="644"/>
      <c r="BQ388" s="644"/>
      <c r="BR388" s="644"/>
      <c r="BS388" s="644"/>
      <c r="BT388" s="644"/>
      <c r="BU388" s="644"/>
      <c r="BV388" s="644"/>
      <c r="BW388" s="644"/>
      <c r="BX388" s="644"/>
      <c r="BY388" s="644"/>
      <c r="BZ388" s="644"/>
      <c r="CA388" s="644"/>
      <c r="CB388" s="644"/>
      <c r="CC388" s="644"/>
      <c r="CD388" s="644"/>
      <c r="CE388" s="644"/>
      <c r="CF388" s="644"/>
      <c r="CG388" s="644"/>
      <c r="CH388" s="644"/>
      <c r="CI388" s="644"/>
      <c r="CJ388" s="644"/>
      <c r="CK388" s="644"/>
      <c r="CL388" s="644"/>
      <c r="CM388" s="95"/>
      <c r="CN388" s="644"/>
      <c r="CO388" s="644"/>
      <c r="CP388" s="95"/>
      <c r="CQ388" s="98"/>
      <c r="CR388" s="95"/>
      <c r="CS388" s="95"/>
      <c r="CT388" s="95"/>
      <c r="CU388" s="108"/>
      <c r="CV388" s="109"/>
      <c r="CW388" s="644"/>
      <c r="CX388" s="496"/>
      <c r="CY388" s="637"/>
      <c r="CZ388" s="644"/>
      <c r="DA388" s="644"/>
      <c r="DB388" s="644"/>
      <c r="DC388" s="496"/>
      <c r="DD388" s="644"/>
      <c r="DE388" s="101"/>
      <c r="DF388" s="644"/>
      <c r="DG388" s="101"/>
      <c r="DH388" s="644"/>
      <c r="DI388" s="644"/>
      <c r="DJ388" s="644"/>
      <c r="DK388" s="644"/>
      <c r="DL388" s="644"/>
      <c r="DM388" s="101"/>
      <c r="DN388" s="644"/>
      <c r="DO388" s="644"/>
      <c r="DP388" s="644"/>
      <c r="DQ388" s="644"/>
      <c r="DR388" s="644"/>
      <c r="DS388" s="644"/>
      <c r="DT388" s="644"/>
      <c r="DU388" s="644"/>
      <c r="DV388" s="644"/>
      <c r="DW388" s="101"/>
      <c r="DX388" s="646"/>
      <c r="DY388" s="646"/>
      <c r="DZ388" s="646"/>
      <c r="EA388" s="646"/>
      <c r="EB388" s="646"/>
      <c r="EC388" s="646"/>
      <c r="ED388" s="646"/>
      <c r="EE388" s="646"/>
      <c r="EF388" s="646"/>
      <c r="EG388" s="646"/>
      <c r="EH388" s="646"/>
      <c r="EI388" s="646"/>
      <c r="EJ388" s="646"/>
      <c r="EK388" s="271"/>
      <c r="EL388" s="644"/>
      <c r="EM388" s="634"/>
      <c r="EN388" s="647"/>
      <c r="EO388" s="648"/>
      <c r="EP388" s="647"/>
      <c r="EQ388" s="647"/>
      <c r="ER388" s="647"/>
      <c r="ES388" s="139"/>
      <c r="EV388" s="647"/>
      <c r="EW388" s="647"/>
      <c r="EX388" s="647"/>
      <c r="EY388" s="647"/>
      <c r="EZ388" s="647"/>
      <c r="FA388" s="646"/>
      <c r="FB388" s="646"/>
      <c r="FC388" s="646"/>
      <c r="FD388" s="646"/>
      <c r="FE388" s="646"/>
      <c r="FF388" s="646"/>
      <c r="FG388" s="647"/>
      <c r="FH388" s="647"/>
      <c r="FI388" s="647"/>
      <c r="FJ388" s="647"/>
      <c r="FK388" s="647"/>
      <c r="FL388" s="647"/>
      <c r="FM388" s="647"/>
      <c r="FN388" s="647"/>
      <c r="FO388" s="647"/>
      <c r="FP388" s="647"/>
      <c r="FQ388" s="647"/>
      <c r="FR388" s="647"/>
      <c r="FS388" s="101"/>
      <c r="FT388" s="95"/>
      <c r="FU388" s="651"/>
      <c r="FV388" s="101"/>
      <c r="FW388" s="101"/>
      <c r="FX388" s="634"/>
      <c r="FY388" s="634"/>
      <c r="FZ388" s="634"/>
      <c r="GA388" s="634"/>
      <c r="GB388" s="634"/>
      <c r="GC388" s="634"/>
      <c r="GD388" s="634"/>
      <c r="GE388" s="634"/>
      <c r="GF388" s="634"/>
      <c r="GG388" s="634"/>
      <c r="GH388" s="634"/>
      <c r="GI388" s="634"/>
      <c r="GJ388" s="634"/>
      <c r="GK388" s="634"/>
      <c r="GL388" s="101"/>
      <c r="GM388" s="101"/>
      <c r="GN388" s="101"/>
      <c r="GO388" s="643"/>
      <c r="GP388" s="644"/>
      <c r="GQ388" s="643"/>
      <c r="GR388" s="644"/>
      <c r="GS388" s="643"/>
      <c r="GT388" s="644"/>
      <c r="GU388" s="644"/>
      <c r="GV388" s="644"/>
      <c r="GW388" s="644"/>
      <c r="GX388" s="644"/>
      <c r="GY388" s="644"/>
      <c r="GZ388" s="644"/>
      <c r="HA388" s="644"/>
    </row>
    <row r="389" spans="1:209">
      <c r="A389" s="638"/>
      <c r="B389" s="95"/>
      <c r="C389" s="95"/>
      <c r="D389" s="95"/>
      <c r="E389" s="650"/>
      <c r="F389" s="95"/>
      <c r="G389" s="98"/>
      <c r="H389" s="99"/>
      <c r="I389" s="95"/>
      <c r="J389" s="95"/>
      <c r="K389" s="95"/>
      <c r="L389" s="95"/>
      <c r="M389" s="95"/>
      <c r="N389" s="95"/>
      <c r="O389" s="95"/>
      <c r="P389" s="95"/>
      <c r="Q389" s="95"/>
      <c r="R389" s="98"/>
      <c r="S389" s="101"/>
      <c r="T389" s="644"/>
      <c r="U389" s="101"/>
      <c r="V389" s="647"/>
      <c r="W389" s="643"/>
      <c r="X389" s="644"/>
      <c r="Y389" s="101"/>
      <c r="Z389" s="644"/>
      <c r="AA389" s="101"/>
      <c r="AB389" s="644"/>
      <c r="AC389" s="101"/>
      <c r="AD389" s="646"/>
      <c r="AE389" s="271"/>
      <c r="AF389" s="646"/>
      <c r="AG389" s="646"/>
      <c r="AH389" s="646"/>
      <c r="AI389" s="646"/>
      <c r="AJ389" s="646"/>
      <c r="AK389" s="646"/>
      <c r="AL389" s="646"/>
      <c r="AM389" s="271"/>
      <c r="AN389" s="646"/>
      <c r="AO389" s="646"/>
      <c r="AP389" s="646"/>
      <c r="AQ389" s="271"/>
      <c r="AR389" s="646"/>
      <c r="AS389" s="270"/>
      <c r="AT389" s="646"/>
      <c r="AU389" s="646"/>
      <c r="AV389" s="646"/>
      <c r="AW389" s="270"/>
      <c r="AX389" s="646"/>
      <c r="AY389" s="270"/>
      <c r="AZ389" s="646"/>
      <c r="BA389" s="646"/>
      <c r="BB389" s="644"/>
      <c r="BC389" s="644"/>
      <c r="BD389" s="644"/>
      <c r="BE389" s="644"/>
      <c r="BF389" s="644"/>
      <c r="BG389" s="644"/>
      <c r="BH389" s="644"/>
      <c r="BI389" s="644"/>
      <c r="BJ389" s="644"/>
      <c r="BK389" s="644"/>
      <c r="BL389" s="644"/>
      <c r="BM389" s="95"/>
      <c r="BN389" s="644"/>
      <c r="BO389" s="95"/>
      <c r="BP389" s="644"/>
      <c r="BQ389" s="644"/>
      <c r="BR389" s="644"/>
      <c r="BS389" s="644"/>
      <c r="BT389" s="644"/>
      <c r="BU389" s="644"/>
      <c r="BV389" s="644"/>
      <c r="BW389" s="644"/>
      <c r="BX389" s="644"/>
      <c r="BY389" s="644"/>
      <c r="BZ389" s="644"/>
      <c r="CA389" s="644"/>
      <c r="CB389" s="644"/>
      <c r="CC389" s="644"/>
      <c r="CD389" s="644"/>
      <c r="CE389" s="644"/>
      <c r="CF389" s="644"/>
      <c r="CG389" s="644"/>
      <c r="CH389" s="644"/>
      <c r="CI389" s="644"/>
      <c r="CJ389" s="644"/>
      <c r="CK389" s="644"/>
      <c r="CL389" s="644"/>
      <c r="CM389" s="95"/>
      <c r="CN389" s="644"/>
      <c r="CO389" s="644"/>
      <c r="CP389" s="95"/>
      <c r="CQ389" s="98"/>
      <c r="CR389" s="95"/>
      <c r="CS389" s="95"/>
      <c r="CT389" s="95"/>
      <c r="CU389" s="108"/>
      <c r="CV389" s="109"/>
      <c r="CW389" s="644"/>
      <c r="CX389" s="496"/>
      <c r="CY389" s="637"/>
      <c r="CZ389" s="644"/>
      <c r="DA389" s="644"/>
      <c r="DB389" s="644"/>
      <c r="DC389" s="496"/>
      <c r="DD389" s="644"/>
      <c r="DE389" s="101"/>
      <c r="DF389" s="644"/>
      <c r="DG389" s="101"/>
      <c r="DH389" s="644"/>
      <c r="DI389" s="644"/>
      <c r="DJ389" s="644"/>
      <c r="DK389" s="644"/>
      <c r="DL389" s="644"/>
      <c r="DM389" s="101"/>
      <c r="DN389" s="644"/>
      <c r="DO389" s="644"/>
      <c r="DP389" s="644"/>
      <c r="DQ389" s="644"/>
      <c r="DR389" s="644"/>
      <c r="DS389" s="644"/>
      <c r="DT389" s="644"/>
      <c r="DU389" s="644"/>
      <c r="DV389" s="644"/>
      <c r="DW389" s="101"/>
      <c r="DX389" s="646"/>
      <c r="DY389" s="646"/>
      <c r="DZ389" s="646"/>
      <c r="EA389" s="646"/>
      <c r="EB389" s="646"/>
      <c r="EC389" s="646"/>
      <c r="ED389" s="646"/>
      <c r="EE389" s="646"/>
      <c r="EF389" s="646"/>
      <c r="EG389" s="646"/>
      <c r="EH389" s="646"/>
      <c r="EI389" s="646"/>
      <c r="EJ389" s="646"/>
      <c r="EK389" s="271"/>
      <c r="EL389" s="644"/>
      <c r="EM389" s="634"/>
      <c r="EN389" s="647"/>
      <c r="EO389" s="648"/>
      <c r="EP389" s="647"/>
      <c r="EQ389" s="647"/>
      <c r="ER389" s="647"/>
      <c r="ES389" s="139"/>
      <c r="EV389" s="647"/>
      <c r="EW389" s="647"/>
      <c r="EX389" s="647"/>
      <c r="EY389" s="647"/>
      <c r="EZ389" s="647"/>
      <c r="FA389" s="646"/>
      <c r="FB389" s="646"/>
      <c r="FC389" s="646"/>
      <c r="FD389" s="646"/>
      <c r="FE389" s="646"/>
      <c r="FF389" s="646"/>
      <c r="FG389" s="647"/>
      <c r="FH389" s="647"/>
      <c r="FI389" s="647"/>
      <c r="FJ389" s="647"/>
      <c r="FK389" s="647"/>
      <c r="FL389" s="647"/>
      <c r="FM389" s="647"/>
      <c r="FN389" s="647"/>
      <c r="FO389" s="647"/>
      <c r="FP389" s="647"/>
      <c r="FQ389" s="647"/>
      <c r="FR389" s="647"/>
      <c r="FS389" s="101"/>
      <c r="FT389" s="95"/>
      <c r="FU389" s="651"/>
      <c r="FV389" s="101"/>
      <c r="FW389" s="101"/>
      <c r="FX389" s="634"/>
      <c r="FY389" s="634"/>
      <c r="FZ389" s="634"/>
      <c r="GA389" s="634"/>
      <c r="GB389" s="634"/>
      <c r="GC389" s="634"/>
      <c r="GD389" s="634"/>
      <c r="GE389" s="634"/>
      <c r="GF389" s="634"/>
      <c r="GG389" s="634"/>
      <c r="GH389" s="634"/>
      <c r="GI389" s="634"/>
      <c r="GJ389" s="634"/>
      <c r="GK389" s="634"/>
      <c r="GL389" s="101"/>
      <c r="GM389" s="101"/>
      <c r="GN389" s="101"/>
      <c r="GO389" s="643"/>
      <c r="GP389" s="644"/>
      <c r="GQ389" s="643"/>
      <c r="GR389" s="644"/>
      <c r="GS389" s="643"/>
      <c r="GT389" s="644"/>
      <c r="GU389" s="644"/>
      <c r="GV389" s="644"/>
      <c r="GW389" s="644"/>
      <c r="GX389" s="644"/>
      <c r="GY389" s="644"/>
      <c r="GZ389" s="644"/>
      <c r="HA389" s="644"/>
    </row>
    <row r="390" spans="1:209">
      <c r="A390" s="638"/>
      <c r="B390" s="95"/>
      <c r="C390" s="95"/>
      <c r="D390" s="95"/>
      <c r="E390" s="650"/>
      <c r="F390" s="95"/>
      <c r="G390" s="98"/>
      <c r="H390" s="99"/>
      <c r="I390" s="95"/>
      <c r="J390" s="95"/>
      <c r="K390" s="95"/>
      <c r="L390" s="95"/>
      <c r="M390" s="95"/>
      <c r="N390" s="95"/>
      <c r="O390" s="95"/>
      <c r="P390" s="95"/>
      <c r="Q390" s="95"/>
      <c r="R390" s="98"/>
      <c r="S390" s="101"/>
      <c r="T390" s="644"/>
      <c r="U390" s="101"/>
      <c r="V390" s="647"/>
      <c r="W390" s="643"/>
      <c r="X390" s="644"/>
      <c r="Y390" s="101"/>
      <c r="Z390" s="644"/>
      <c r="AA390" s="101"/>
      <c r="AB390" s="644"/>
      <c r="AC390" s="101"/>
      <c r="AD390" s="646"/>
      <c r="AE390" s="271"/>
      <c r="AF390" s="646"/>
      <c r="AG390" s="646"/>
      <c r="AH390" s="646"/>
      <c r="AI390" s="646"/>
      <c r="AJ390" s="646"/>
      <c r="AK390" s="646"/>
      <c r="AL390" s="646"/>
      <c r="AM390" s="271"/>
      <c r="AN390" s="646"/>
      <c r="AO390" s="646"/>
      <c r="AP390" s="646"/>
      <c r="AQ390" s="271"/>
      <c r="AR390" s="646"/>
      <c r="AS390" s="270"/>
      <c r="AT390" s="646"/>
      <c r="AU390" s="646"/>
      <c r="AV390" s="646"/>
      <c r="AW390" s="270"/>
      <c r="AX390" s="646"/>
      <c r="AY390" s="270"/>
      <c r="AZ390" s="646"/>
      <c r="BA390" s="646"/>
      <c r="BB390" s="644"/>
      <c r="BC390" s="644"/>
      <c r="BD390" s="644"/>
      <c r="BE390" s="644"/>
      <c r="BF390" s="644"/>
      <c r="BG390" s="644"/>
      <c r="BH390" s="644"/>
      <c r="BI390" s="644"/>
      <c r="BJ390" s="644"/>
      <c r="BK390" s="644"/>
      <c r="BL390" s="644"/>
      <c r="BM390" s="95"/>
      <c r="BN390" s="644"/>
      <c r="BO390" s="95"/>
      <c r="BP390" s="644"/>
      <c r="BQ390" s="644"/>
      <c r="BR390" s="644"/>
      <c r="BS390" s="644"/>
      <c r="BT390" s="644"/>
      <c r="BU390" s="644"/>
      <c r="BV390" s="644"/>
      <c r="BW390" s="644"/>
      <c r="BX390" s="644"/>
      <c r="BY390" s="644"/>
      <c r="BZ390" s="644"/>
      <c r="CA390" s="644"/>
      <c r="CB390" s="644"/>
      <c r="CC390" s="644"/>
      <c r="CD390" s="644"/>
      <c r="CE390" s="644"/>
      <c r="CF390" s="644"/>
      <c r="CG390" s="644"/>
      <c r="CH390" s="644"/>
      <c r="CI390" s="644"/>
      <c r="CJ390" s="644"/>
      <c r="CK390" s="644"/>
      <c r="CL390" s="644"/>
      <c r="CM390" s="95"/>
      <c r="CN390" s="644"/>
      <c r="CO390" s="644"/>
      <c r="CP390" s="95"/>
      <c r="CQ390" s="98"/>
      <c r="CR390" s="95"/>
      <c r="CS390" s="95"/>
      <c r="CT390" s="95"/>
      <c r="CU390" s="108"/>
      <c r="CV390" s="109"/>
      <c r="CW390" s="644"/>
      <c r="CX390" s="496"/>
      <c r="CY390" s="637"/>
      <c r="CZ390" s="644"/>
      <c r="DA390" s="644"/>
      <c r="DB390" s="644"/>
      <c r="DC390" s="496"/>
      <c r="DD390" s="644"/>
      <c r="DE390" s="101"/>
      <c r="DF390" s="644"/>
      <c r="DG390" s="101"/>
      <c r="DH390" s="644"/>
      <c r="DI390" s="644"/>
      <c r="DJ390" s="644"/>
      <c r="DK390" s="644"/>
      <c r="DL390" s="644"/>
      <c r="DM390" s="101"/>
      <c r="DN390" s="644"/>
      <c r="DO390" s="644"/>
      <c r="DP390" s="644"/>
      <c r="DQ390" s="644"/>
      <c r="DR390" s="644"/>
      <c r="DS390" s="644"/>
      <c r="DT390" s="644"/>
      <c r="DU390" s="644"/>
      <c r="DV390" s="644"/>
      <c r="DW390" s="101"/>
      <c r="DX390" s="646"/>
      <c r="DY390" s="646"/>
      <c r="DZ390" s="646"/>
      <c r="EA390" s="646"/>
      <c r="EB390" s="646"/>
      <c r="EC390" s="646"/>
      <c r="ED390" s="646"/>
      <c r="EE390" s="646"/>
      <c r="EF390" s="646"/>
      <c r="EG390" s="646"/>
      <c r="EH390" s="646"/>
      <c r="EI390" s="646"/>
      <c r="EJ390" s="646"/>
      <c r="EK390" s="271"/>
      <c r="EL390" s="644"/>
      <c r="EM390" s="634"/>
      <c r="EN390" s="647"/>
      <c r="EO390" s="648"/>
      <c r="EP390" s="647"/>
      <c r="EQ390" s="647"/>
      <c r="ER390" s="647"/>
      <c r="ES390" s="139"/>
      <c r="EV390" s="647"/>
      <c r="EW390" s="647"/>
      <c r="EX390" s="647"/>
      <c r="EY390" s="647"/>
      <c r="EZ390" s="647"/>
      <c r="FA390" s="646"/>
      <c r="FB390" s="646"/>
      <c r="FC390" s="646"/>
      <c r="FD390" s="646"/>
      <c r="FE390" s="646"/>
      <c r="FF390" s="646"/>
      <c r="FG390" s="647"/>
      <c r="FH390" s="647"/>
      <c r="FI390" s="647"/>
      <c r="FJ390" s="647"/>
      <c r="FK390" s="647"/>
      <c r="FL390" s="647"/>
      <c r="FM390" s="647"/>
      <c r="FN390" s="647"/>
      <c r="FO390" s="647"/>
      <c r="FP390" s="647"/>
      <c r="FQ390" s="647"/>
      <c r="FR390" s="647"/>
      <c r="FS390" s="101"/>
      <c r="FT390" s="95"/>
      <c r="FU390" s="651"/>
      <c r="FV390" s="101"/>
      <c r="FW390" s="101"/>
      <c r="FX390" s="634"/>
      <c r="FY390" s="634"/>
      <c r="FZ390" s="634"/>
      <c r="GA390" s="634"/>
      <c r="GB390" s="634"/>
      <c r="GC390" s="634"/>
      <c r="GD390" s="634"/>
      <c r="GE390" s="634"/>
      <c r="GF390" s="634"/>
      <c r="GG390" s="634"/>
      <c r="GH390" s="634"/>
      <c r="GI390" s="634"/>
      <c r="GJ390" s="634"/>
      <c r="GK390" s="634"/>
      <c r="GL390" s="101"/>
      <c r="GM390" s="101"/>
      <c r="GN390" s="101"/>
      <c r="GO390" s="643"/>
      <c r="GP390" s="644"/>
      <c r="GQ390" s="643"/>
      <c r="GR390" s="644"/>
      <c r="GS390" s="643"/>
      <c r="GT390" s="644"/>
      <c r="GU390" s="644"/>
      <c r="GV390" s="644"/>
      <c r="GW390" s="644"/>
      <c r="GX390" s="644"/>
      <c r="GY390" s="644"/>
      <c r="GZ390" s="644"/>
      <c r="HA390" s="644"/>
    </row>
    <row r="391" spans="1:209">
      <c r="A391" s="638"/>
      <c r="B391" s="95"/>
      <c r="C391" s="95"/>
      <c r="D391" s="95"/>
      <c r="E391" s="650"/>
      <c r="F391" s="95"/>
      <c r="G391" s="98"/>
      <c r="H391" s="99"/>
      <c r="I391" s="95"/>
      <c r="J391" s="95"/>
      <c r="K391" s="95"/>
      <c r="L391" s="95"/>
      <c r="M391" s="95"/>
      <c r="N391" s="95"/>
      <c r="O391" s="95"/>
      <c r="P391" s="95"/>
      <c r="Q391" s="95"/>
      <c r="R391" s="98"/>
      <c r="S391" s="101"/>
      <c r="T391" s="644"/>
      <c r="U391" s="101"/>
      <c r="V391" s="647"/>
      <c r="W391" s="643"/>
      <c r="X391" s="644"/>
      <c r="Y391" s="101"/>
      <c r="Z391" s="644"/>
      <c r="AA391" s="101"/>
      <c r="AB391" s="644"/>
      <c r="AC391" s="101"/>
      <c r="AD391" s="646"/>
      <c r="AE391" s="271"/>
      <c r="AF391" s="646"/>
      <c r="AG391" s="646"/>
      <c r="AH391" s="646"/>
      <c r="AI391" s="646"/>
      <c r="AJ391" s="646"/>
      <c r="AK391" s="646"/>
      <c r="AL391" s="646"/>
      <c r="AM391" s="271"/>
      <c r="AN391" s="646"/>
      <c r="AO391" s="646"/>
      <c r="AP391" s="646"/>
      <c r="AQ391" s="271"/>
      <c r="AR391" s="646"/>
      <c r="AS391" s="270"/>
      <c r="AT391" s="646"/>
      <c r="AU391" s="646"/>
      <c r="AV391" s="646"/>
      <c r="AW391" s="270"/>
      <c r="AX391" s="646"/>
      <c r="AY391" s="270"/>
      <c r="AZ391" s="646"/>
      <c r="BA391" s="646"/>
      <c r="BB391" s="644"/>
      <c r="BC391" s="644"/>
      <c r="BD391" s="644"/>
      <c r="BE391" s="644"/>
      <c r="BF391" s="644"/>
      <c r="BG391" s="644"/>
      <c r="BH391" s="644"/>
      <c r="BI391" s="644"/>
      <c r="BJ391" s="644"/>
      <c r="BK391" s="644"/>
      <c r="BL391" s="644"/>
      <c r="BM391" s="95"/>
      <c r="BN391" s="644"/>
      <c r="BO391" s="95"/>
      <c r="BP391" s="644"/>
      <c r="BQ391" s="644"/>
      <c r="BR391" s="644"/>
      <c r="BS391" s="644"/>
      <c r="BT391" s="644"/>
      <c r="BU391" s="644"/>
      <c r="BV391" s="644"/>
      <c r="BW391" s="644"/>
      <c r="BX391" s="644"/>
      <c r="BY391" s="644"/>
      <c r="BZ391" s="644"/>
      <c r="CA391" s="644"/>
      <c r="CB391" s="644"/>
      <c r="CC391" s="644"/>
      <c r="CD391" s="644"/>
      <c r="CE391" s="644"/>
      <c r="CF391" s="644"/>
      <c r="CG391" s="644"/>
      <c r="CH391" s="644"/>
      <c r="CI391" s="644"/>
      <c r="CJ391" s="644"/>
      <c r="CK391" s="644"/>
      <c r="CL391" s="644"/>
      <c r="CM391" s="95"/>
      <c r="CN391" s="644"/>
      <c r="CO391" s="644"/>
      <c r="CP391" s="95"/>
      <c r="CQ391" s="98"/>
      <c r="CR391" s="95"/>
      <c r="CS391" s="95"/>
      <c r="CT391" s="95"/>
      <c r="CU391" s="108"/>
      <c r="CV391" s="109"/>
      <c r="CW391" s="644"/>
      <c r="CX391" s="496"/>
      <c r="CY391" s="637"/>
      <c r="CZ391" s="644"/>
      <c r="DA391" s="644"/>
      <c r="DB391" s="644"/>
      <c r="DC391" s="496"/>
      <c r="DD391" s="644"/>
      <c r="DE391" s="101"/>
      <c r="DF391" s="644"/>
      <c r="DG391" s="101"/>
      <c r="DH391" s="644"/>
      <c r="DI391" s="644"/>
      <c r="DJ391" s="644"/>
      <c r="DK391" s="644"/>
      <c r="DL391" s="644"/>
      <c r="DM391" s="101"/>
      <c r="DN391" s="644"/>
      <c r="DO391" s="644"/>
      <c r="DP391" s="644"/>
      <c r="DQ391" s="644"/>
      <c r="DR391" s="644"/>
      <c r="DS391" s="644"/>
      <c r="DT391" s="644"/>
      <c r="DU391" s="644"/>
      <c r="DV391" s="644"/>
      <c r="DW391" s="101"/>
      <c r="DX391" s="646"/>
      <c r="DY391" s="646"/>
      <c r="DZ391" s="646"/>
      <c r="EA391" s="646"/>
      <c r="EB391" s="646"/>
      <c r="EC391" s="646"/>
      <c r="ED391" s="646"/>
      <c r="EE391" s="646"/>
      <c r="EF391" s="646"/>
      <c r="EG391" s="646"/>
      <c r="EH391" s="646"/>
      <c r="EI391" s="646"/>
      <c r="EJ391" s="646"/>
      <c r="EK391" s="271"/>
      <c r="EL391" s="644"/>
      <c r="EM391" s="634"/>
      <c r="EN391" s="647"/>
      <c r="EO391" s="648"/>
      <c r="EP391" s="647"/>
      <c r="EQ391" s="647"/>
      <c r="ER391" s="647"/>
      <c r="ES391" s="139"/>
      <c r="EV391" s="647"/>
      <c r="EW391" s="647"/>
      <c r="EX391" s="647"/>
      <c r="EY391" s="647"/>
      <c r="EZ391" s="647"/>
      <c r="FA391" s="646"/>
      <c r="FB391" s="646"/>
      <c r="FC391" s="646"/>
      <c r="FD391" s="646"/>
      <c r="FE391" s="646"/>
      <c r="FF391" s="646"/>
      <c r="FG391" s="647"/>
      <c r="FH391" s="647"/>
      <c r="FI391" s="647"/>
      <c r="FJ391" s="647"/>
      <c r="FK391" s="647"/>
      <c r="FL391" s="647"/>
      <c r="FM391" s="647"/>
      <c r="FN391" s="647"/>
      <c r="FO391" s="647"/>
      <c r="FP391" s="647"/>
      <c r="FQ391" s="647"/>
      <c r="FR391" s="647"/>
      <c r="FS391" s="101"/>
      <c r="FT391" s="95"/>
      <c r="FU391" s="651"/>
      <c r="FV391" s="101"/>
      <c r="FW391" s="101"/>
      <c r="FX391" s="634"/>
      <c r="FY391" s="634"/>
      <c r="FZ391" s="634"/>
      <c r="GA391" s="634"/>
      <c r="GB391" s="634"/>
      <c r="GC391" s="634"/>
      <c r="GD391" s="634"/>
      <c r="GE391" s="634"/>
      <c r="GF391" s="634"/>
      <c r="GG391" s="634"/>
      <c r="GH391" s="634"/>
      <c r="GI391" s="634"/>
      <c r="GJ391" s="634"/>
      <c r="GK391" s="634"/>
      <c r="GL391" s="101"/>
      <c r="GM391" s="101"/>
      <c r="GN391" s="101"/>
      <c r="GO391" s="643"/>
      <c r="GP391" s="644"/>
      <c r="GQ391" s="643"/>
      <c r="GR391" s="644"/>
      <c r="GS391" s="643"/>
      <c r="GT391" s="644"/>
      <c r="GU391" s="644"/>
      <c r="GV391" s="644"/>
      <c r="GW391" s="644"/>
      <c r="GX391" s="644"/>
      <c r="GY391" s="644"/>
      <c r="GZ391" s="644"/>
      <c r="HA391" s="644"/>
    </row>
    <row r="392" spans="1:209">
      <c r="A392" s="638"/>
      <c r="B392" s="95"/>
      <c r="C392" s="95"/>
      <c r="D392" s="95"/>
      <c r="E392" s="650"/>
      <c r="F392" s="95"/>
      <c r="G392" s="98"/>
      <c r="H392" s="99"/>
      <c r="I392" s="95"/>
      <c r="J392" s="95"/>
      <c r="K392" s="95"/>
      <c r="L392" s="95"/>
      <c r="M392" s="95"/>
      <c r="N392" s="95"/>
      <c r="O392" s="95"/>
      <c r="P392" s="95"/>
      <c r="Q392" s="95"/>
      <c r="R392" s="98"/>
      <c r="S392" s="101"/>
      <c r="T392" s="644"/>
      <c r="U392" s="101"/>
      <c r="V392" s="647"/>
      <c r="W392" s="643"/>
      <c r="X392" s="644"/>
      <c r="Y392" s="101"/>
      <c r="Z392" s="644"/>
      <c r="AA392" s="101"/>
      <c r="AB392" s="644"/>
      <c r="AC392" s="101"/>
      <c r="AD392" s="646"/>
      <c r="AE392" s="271"/>
      <c r="AF392" s="646"/>
      <c r="AG392" s="646"/>
      <c r="AH392" s="646"/>
      <c r="AI392" s="646"/>
      <c r="AJ392" s="646"/>
      <c r="AK392" s="646"/>
      <c r="AL392" s="646"/>
      <c r="AM392" s="271"/>
      <c r="AN392" s="646"/>
      <c r="AO392" s="646"/>
      <c r="AP392" s="646"/>
      <c r="AQ392" s="271"/>
      <c r="AR392" s="646"/>
      <c r="AS392" s="270"/>
      <c r="AT392" s="646"/>
      <c r="AU392" s="646"/>
      <c r="AV392" s="646"/>
      <c r="AW392" s="270"/>
      <c r="AX392" s="646"/>
      <c r="AY392" s="270"/>
      <c r="AZ392" s="646"/>
      <c r="BA392" s="646"/>
      <c r="BB392" s="644"/>
      <c r="BC392" s="644"/>
      <c r="BD392" s="644"/>
      <c r="BE392" s="644"/>
      <c r="BF392" s="644"/>
      <c r="BG392" s="644"/>
      <c r="BH392" s="644"/>
      <c r="BI392" s="644"/>
      <c r="BJ392" s="644"/>
      <c r="BK392" s="644"/>
      <c r="BL392" s="644"/>
      <c r="BM392" s="95"/>
      <c r="BN392" s="644"/>
      <c r="BO392" s="95"/>
      <c r="BP392" s="644"/>
      <c r="BQ392" s="644"/>
      <c r="BR392" s="644"/>
      <c r="BS392" s="644"/>
      <c r="BT392" s="644"/>
      <c r="BU392" s="644"/>
      <c r="BV392" s="644"/>
      <c r="BW392" s="644"/>
      <c r="BX392" s="644"/>
      <c r="BY392" s="644"/>
      <c r="BZ392" s="644"/>
      <c r="CA392" s="644"/>
      <c r="CB392" s="644"/>
      <c r="CC392" s="644"/>
      <c r="CD392" s="644"/>
      <c r="CE392" s="644"/>
      <c r="CF392" s="644"/>
      <c r="CG392" s="644"/>
      <c r="CH392" s="644"/>
      <c r="CI392" s="644"/>
      <c r="CJ392" s="644"/>
      <c r="CK392" s="644"/>
      <c r="CL392" s="644"/>
      <c r="CM392" s="95"/>
      <c r="CN392" s="644"/>
      <c r="CO392" s="644"/>
      <c r="CP392" s="95"/>
      <c r="CQ392" s="98"/>
      <c r="CR392" s="95"/>
      <c r="CS392" s="95"/>
      <c r="CT392" s="95"/>
      <c r="CU392" s="108"/>
      <c r="CV392" s="109"/>
      <c r="CW392" s="644"/>
      <c r="CX392" s="496"/>
      <c r="CY392" s="637"/>
      <c r="CZ392" s="644"/>
      <c r="DA392" s="644"/>
      <c r="DB392" s="644"/>
      <c r="DC392" s="496"/>
      <c r="DD392" s="644"/>
      <c r="DE392" s="101"/>
      <c r="DF392" s="644"/>
      <c r="DG392" s="101"/>
      <c r="DH392" s="644"/>
      <c r="DI392" s="644"/>
      <c r="DJ392" s="644"/>
      <c r="DK392" s="644"/>
      <c r="DL392" s="644"/>
      <c r="DM392" s="101"/>
      <c r="DN392" s="644"/>
      <c r="DO392" s="644"/>
      <c r="DP392" s="644"/>
      <c r="DQ392" s="644"/>
      <c r="DR392" s="644"/>
      <c r="DS392" s="644"/>
      <c r="DT392" s="644"/>
      <c r="DU392" s="644"/>
      <c r="DV392" s="644"/>
      <c r="DW392" s="101"/>
      <c r="DX392" s="646"/>
      <c r="DY392" s="646"/>
      <c r="DZ392" s="646"/>
      <c r="EA392" s="646"/>
      <c r="EB392" s="646"/>
      <c r="EC392" s="646"/>
      <c r="ED392" s="646"/>
      <c r="EE392" s="646"/>
      <c r="EF392" s="646"/>
      <c r="EG392" s="646"/>
      <c r="EH392" s="646"/>
      <c r="EI392" s="646"/>
      <c r="EJ392" s="646"/>
      <c r="EK392" s="271"/>
      <c r="EL392" s="644"/>
      <c r="EM392" s="634"/>
      <c r="EN392" s="647"/>
      <c r="EO392" s="648"/>
      <c r="EP392" s="647"/>
      <c r="EQ392" s="647"/>
      <c r="ER392" s="647"/>
      <c r="ES392" s="139"/>
      <c r="EV392" s="647"/>
      <c r="EW392" s="647"/>
      <c r="EX392" s="647"/>
      <c r="EY392" s="647"/>
      <c r="EZ392" s="647"/>
      <c r="FA392" s="646"/>
      <c r="FB392" s="646"/>
      <c r="FC392" s="646"/>
      <c r="FD392" s="646"/>
      <c r="FE392" s="646"/>
      <c r="FF392" s="646"/>
      <c r="FG392" s="647"/>
      <c r="FH392" s="647"/>
      <c r="FI392" s="647"/>
      <c r="FJ392" s="647"/>
      <c r="FK392" s="647"/>
      <c r="FL392" s="647"/>
      <c r="FM392" s="647"/>
      <c r="FN392" s="647"/>
      <c r="FO392" s="647"/>
      <c r="FP392" s="647"/>
      <c r="FQ392" s="647"/>
      <c r="FR392" s="647"/>
      <c r="FS392" s="101"/>
      <c r="FT392" s="95"/>
      <c r="FU392" s="651"/>
      <c r="FV392" s="101"/>
      <c r="FW392" s="101"/>
      <c r="FX392" s="634"/>
      <c r="FY392" s="634"/>
      <c r="FZ392" s="634"/>
      <c r="GA392" s="634"/>
      <c r="GB392" s="634"/>
      <c r="GC392" s="634"/>
      <c r="GD392" s="634"/>
      <c r="GE392" s="634"/>
      <c r="GF392" s="634"/>
      <c r="GG392" s="634"/>
      <c r="GH392" s="634"/>
      <c r="GI392" s="634"/>
      <c r="GJ392" s="634"/>
      <c r="GK392" s="634"/>
      <c r="GL392" s="101"/>
      <c r="GM392" s="101"/>
      <c r="GN392" s="101"/>
      <c r="GO392" s="643"/>
      <c r="GP392" s="644"/>
      <c r="GQ392" s="643"/>
      <c r="GR392" s="644"/>
      <c r="GS392" s="643"/>
      <c r="GT392" s="644"/>
      <c r="GU392" s="644"/>
      <c r="GV392" s="644"/>
      <c r="GW392" s="644"/>
      <c r="GX392" s="644"/>
      <c r="GY392" s="644"/>
      <c r="GZ392" s="644"/>
      <c r="HA392" s="644"/>
    </row>
    <row r="393" spans="1:209">
      <c r="A393" s="638"/>
      <c r="B393" s="95"/>
      <c r="C393" s="95"/>
      <c r="D393" s="95"/>
      <c r="E393" s="650"/>
      <c r="F393" s="95"/>
      <c r="G393" s="98"/>
      <c r="H393" s="99"/>
      <c r="I393" s="95"/>
      <c r="J393" s="95"/>
      <c r="K393" s="95"/>
      <c r="L393" s="95"/>
      <c r="M393" s="95"/>
      <c r="N393" s="95"/>
      <c r="O393" s="95"/>
      <c r="P393" s="95"/>
      <c r="Q393" s="95"/>
      <c r="R393" s="98"/>
      <c r="S393" s="101"/>
      <c r="T393" s="644"/>
      <c r="U393" s="101"/>
      <c r="V393" s="647"/>
      <c r="W393" s="643"/>
      <c r="X393" s="644"/>
      <c r="Y393" s="101"/>
      <c r="Z393" s="644"/>
      <c r="AA393" s="101"/>
      <c r="AB393" s="644"/>
      <c r="AC393" s="101"/>
      <c r="AD393" s="646"/>
      <c r="AE393" s="271"/>
      <c r="AF393" s="646"/>
      <c r="AG393" s="646"/>
      <c r="AH393" s="646"/>
      <c r="AI393" s="646"/>
      <c r="AJ393" s="646"/>
      <c r="AK393" s="646"/>
      <c r="AL393" s="646"/>
      <c r="AM393" s="271"/>
      <c r="AN393" s="646"/>
      <c r="AO393" s="646"/>
      <c r="AP393" s="646"/>
      <c r="AQ393" s="271"/>
      <c r="AR393" s="646"/>
      <c r="AS393" s="270"/>
      <c r="AT393" s="646"/>
      <c r="AU393" s="646"/>
      <c r="AV393" s="646"/>
      <c r="AW393" s="270"/>
      <c r="AX393" s="646"/>
      <c r="AY393" s="270"/>
      <c r="AZ393" s="646"/>
      <c r="BA393" s="646"/>
      <c r="BB393" s="644"/>
      <c r="BC393" s="644"/>
      <c r="BD393" s="644"/>
      <c r="BE393" s="644"/>
      <c r="BF393" s="644"/>
      <c r="BG393" s="644"/>
      <c r="BH393" s="644"/>
      <c r="BI393" s="644"/>
      <c r="BJ393" s="644"/>
      <c r="BK393" s="644"/>
      <c r="BL393" s="644"/>
      <c r="BM393" s="95"/>
      <c r="BN393" s="644"/>
      <c r="BO393" s="95"/>
      <c r="BP393" s="644"/>
      <c r="BQ393" s="644"/>
      <c r="BR393" s="644"/>
      <c r="BS393" s="644"/>
      <c r="BT393" s="644"/>
      <c r="BU393" s="644"/>
      <c r="BV393" s="644"/>
      <c r="BW393" s="644"/>
      <c r="BX393" s="644"/>
      <c r="BY393" s="644"/>
      <c r="BZ393" s="644"/>
      <c r="CA393" s="644"/>
      <c r="CB393" s="644"/>
      <c r="CC393" s="644"/>
      <c r="CD393" s="644"/>
      <c r="CE393" s="644"/>
      <c r="CF393" s="644"/>
      <c r="CG393" s="644"/>
      <c r="CH393" s="644"/>
      <c r="CI393" s="644"/>
      <c r="CJ393" s="644"/>
      <c r="CK393" s="644"/>
      <c r="CL393" s="644"/>
      <c r="CM393" s="95"/>
      <c r="CN393" s="644"/>
      <c r="CO393" s="644"/>
      <c r="CP393" s="95"/>
      <c r="CQ393" s="98"/>
      <c r="CR393" s="95"/>
      <c r="CS393" s="95"/>
      <c r="CT393" s="95"/>
      <c r="CU393" s="108"/>
      <c r="CV393" s="109"/>
      <c r="CW393" s="644"/>
      <c r="CX393" s="496"/>
      <c r="CY393" s="637"/>
      <c r="CZ393" s="644"/>
      <c r="DA393" s="644"/>
      <c r="DB393" s="644"/>
      <c r="DC393" s="496"/>
      <c r="DD393" s="644"/>
      <c r="DE393" s="101"/>
      <c r="DF393" s="644"/>
      <c r="DG393" s="101"/>
      <c r="DH393" s="644"/>
      <c r="DI393" s="644"/>
      <c r="DJ393" s="644"/>
      <c r="DK393" s="644"/>
      <c r="DL393" s="644"/>
      <c r="DM393" s="101"/>
      <c r="DN393" s="644"/>
      <c r="DO393" s="644"/>
      <c r="DP393" s="644"/>
      <c r="DQ393" s="644"/>
      <c r="DR393" s="644"/>
      <c r="DS393" s="644"/>
      <c r="DT393" s="644"/>
      <c r="DU393" s="644"/>
      <c r="DV393" s="644"/>
      <c r="DW393" s="101"/>
      <c r="DX393" s="646"/>
      <c r="DY393" s="646"/>
      <c r="DZ393" s="646"/>
      <c r="EA393" s="646"/>
      <c r="EB393" s="646"/>
      <c r="EC393" s="646"/>
      <c r="ED393" s="646"/>
      <c r="EE393" s="646"/>
      <c r="EF393" s="646"/>
      <c r="EG393" s="646"/>
      <c r="EH393" s="646"/>
      <c r="EI393" s="646"/>
      <c r="EJ393" s="646"/>
      <c r="EK393" s="271"/>
      <c r="EL393" s="644"/>
      <c r="EM393" s="634"/>
      <c r="EN393" s="647"/>
      <c r="EO393" s="648"/>
      <c r="EP393" s="647"/>
      <c r="EQ393" s="647"/>
      <c r="ER393" s="647"/>
      <c r="ES393" s="139"/>
      <c r="EV393" s="647"/>
      <c r="EW393" s="647"/>
      <c r="EX393" s="647"/>
      <c r="EY393" s="647"/>
      <c r="EZ393" s="647"/>
      <c r="FA393" s="646"/>
      <c r="FB393" s="646"/>
      <c r="FC393" s="646"/>
      <c r="FD393" s="646"/>
      <c r="FE393" s="646"/>
      <c r="FF393" s="646"/>
      <c r="FG393" s="647"/>
      <c r="FH393" s="647"/>
      <c r="FI393" s="647"/>
      <c r="FJ393" s="647"/>
      <c r="FK393" s="647"/>
      <c r="FL393" s="647"/>
      <c r="FM393" s="647"/>
      <c r="FN393" s="647"/>
      <c r="FO393" s="647"/>
      <c r="FP393" s="647"/>
      <c r="FQ393" s="647"/>
      <c r="FR393" s="647"/>
      <c r="FS393" s="101"/>
      <c r="FT393" s="95"/>
      <c r="FU393" s="651"/>
      <c r="FV393" s="101"/>
      <c r="FW393" s="101"/>
      <c r="FX393" s="634"/>
      <c r="FY393" s="634"/>
      <c r="FZ393" s="634"/>
      <c r="GA393" s="634"/>
      <c r="GB393" s="634"/>
      <c r="GC393" s="634"/>
      <c r="GD393" s="634"/>
      <c r="GE393" s="634"/>
      <c r="GF393" s="634"/>
      <c r="GG393" s="634"/>
      <c r="GH393" s="634"/>
      <c r="GI393" s="634"/>
      <c r="GJ393" s="634"/>
      <c r="GK393" s="634"/>
      <c r="GL393" s="101"/>
      <c r="GM393" s="101"/>
      <c r="GN393" s="101"/>
      <c r="GO393" s="643"/>
      <c r="GP393" s="644"/>
      <c r="GQ393" s="643"/>
      <c r="GR393" s="644"/>
      <c r="GS393" s="643"/>
      <c r="GT393" s="644"/>
      <c r="GU393" s="644"/>
      <c r="GV393" s="644"/>
      <c r="GW393" s="644"/>
      <c r="GX393" s="644"/>
      <c r="GY393" s="644"/>
      <c r="GZ393" s="644"/>
      <c r="HA393" s="644"/>
    </row>
    <row r="394" spans="1:209">
      <c r="A394" s="638"/>
      <c r="B394" s="95"/>
      <c r="C394" s="95"/>
      <c r="D394" s="95"/>
      <c r="E394" s="650"/>
      <c r="F394" s="95"/>
      <c r="G394" s="98"/>
      <c r="H394" s="99"/>
      <c r="I394" s="95"/>
      <c r="J394" s="95"/>
      <c r="K394" s="95"/>
      <c r="L394" s="95"/>
      <c r="M394" s="95"/>
      <c r="N394" s="95"/>
      <c r="O394" s="95"/>
      <c r="P394" s="95"/>
      <c r="Q394" s="95"/>
      <c r="R394" s="98"/>
      <c r="S394" s="101"/>
      <c r="T394" s="644"/>
      <c r="U394" s="101"/>
      <c r="V394" s="647"/>
      <c r="W394" s="643"/>
      <c r="X394" s="644"/>
      <c r="Y394" s="101"/>
      <c r="Z394" s="644"/>
      <c r="AA394" s="101"/>
      <c r="AB394" s="644"/>
      <c r="AC394" s="101"/>
      <c r="AD394" s="646"/>
      <c r="AE394" s="271"/>
      <c r="AF394" s="646"/>
      <c r="AG394" s="646"/>
      <c r="AH394" s="646"/>
      <c r="AI394" s="646"/>
      <c r="AJ394" s="646"/>
      <c r="AK394" s="646"/>
      <c r="AL394" s="646"/>
      <c r="AM394" s="271"/>
      <c r="AN394" s="646"/>
      <c r="AO394" s="646"/>
      <c r="AP394" s="646"/>
      <c r="AQ394" s="271"/>
      <c r="AR394" s="646"/>
      <c r="AS394" s="270"/>
      <c r="AT394" s="646"/>
      <c r="AU394" s="646"/>
      <c r="AV394" s="646"/>
      <c r="AW394" s="270"/>
      <c r="AX394" s="646"/>
      <c r="AY394" s="270"/>
      <c r="AZ394" s="646"/>
      <c r="BA394" s="646"/>
      <c r="BB394" s="644"/>
      <c r="BC394" s="644"/>
      <c r="BD394" s="644"/>
      <c r="BE394" s="644"/>
      <c r="BF394" s="644"/>
      <c r="BG394" s="644"/>
      <c r="BH394" s="644"/>
      <c r="BI394" s="644"/>
      <c r="BJ394" s="644"/>
      <c r="BK394" s="644"/>
      <c r="BL394" s="644"/>
      <c r="BM394" s="95"/>
      <c r="BN394" s="644"/>
      <c r="BO394" s="95"/>
      <c r="BP394" s="644"/>
      <c r="BQ394" s="644"/>
      <c r="BR394" s="644"/>
      <c r="BS394" s="644"/>
      <c r="BT394" s="644"/>
      <c r="BU394" s="644"/>
      <c r="BV394" s="644"/>
      <c r="BW394" s="644"/>
      <c r="BX394" s="644"/>
      <c r="BY394" s="644"/>
      <c r="BZ394" s="644"/>
      <c r="CA394" s="644"/>
      <c r="CB394" s="644"/>
      <c r="CC394" s="644"/>
      <c r="CD394" s="644"/>
      <c r="CE394" s="644"/>
      <c r="CF394" s="644"/>
      <c r="CG394" s="644"/>
      <c r="CH394" s="644"/>
      <c r="CI394" s="644"/>
      <c r="CJ394" s="644"/>
      <c r="CK394" s="644"/>
      <c r="CL394" s="644"/>
      <c r="CM394" s="95"/>
      <c r="CN394" s="644"/>
      <c r="CO394" s="644"/>
      <c r="CP394" s="95"/>
      <c r="CQ394" s="98"/>
      <c r="CR394" s="95"/>
      <c r="CS394" s="95"/>
      <c r="CT394" s="95"/>
      <c r="CU394" s="108"/>
      <c r="CV394" s="109"/>
      <c r="CW394" s="644"/>
      <c r="CX394" s="496"/>
      <c r="CY394" s="637"/>
      <c r="CZ394" s="644"/>
      <c r="DA394" s="644"/>
      <c r="DB394" s="644"/>
      <c r="DC394" s="496"/>
      <c r="DD394" s="644"/>
      <c r="DE394" s="101"/>
      <c r="DF394" s="644"/>
      <c r="DG394" s="101"/>
      <c r="DH394" s="644"/>
      <c r="DI394" s="644"/>
      <c r="DJ394" s="644"/>
      <c r="DK394" s="644"/>
      <c r="DL394" s="644"/>
      <c r="DM394" s="101"/>
      <c r="DN394" s="644"/>
      <c r="DO394" s="644"/>
      <c r="DP394" s="644"/>
      <c r="DQ394" s="644"/>
      <c r="DR394" s="644"/>
      <c r="DS394" s="644"/>
      <c r="DT394" s="644"/>
      <c r="DU394" s="644"/>
      <c r="DV394" s="644"/>
      <c r="DW394" s="101"/>
      <c r="DX394" s="646"/>
      <c r="DY394" s="646"/>
      <c r="DZ394" s="646"/>
      <c r="EA394" s="646"/>
      <c r="EB394" s="646"/>
      <c r="EC394" s="646"/>
      <c r="ED394" s="646"/>
      <c r="EE394" s="646"/>
      <c r="EF394" s="646"/>
      <c r="EG394" s="646"/>
      <c r="EH394" s="646"/>
      <c r="EI394" s="646"/>
      <c r="EJ394" s="646"/>
      <c r="EK394" s="271"/>
      <c r="EL394" s="644"/>
      <c r="EM394" s="634"/>
      <c r="EN394" s="647"/>
      <c r="EO394" s="648"/>
      <c r="EP394" s="647"/>
      <c r="EQ394" s="647"/>
      <c r="ER394" s="647"/>
      <c r="ES394" s="139"/>
      <c r="EV394" s="647"/>
      <c r="EW394" s="647"/>
      <c r="EX394" s="647"/>
      <c r="EY394" s="647"/>
      <c r="EZ394" s="647"/>
      <c r="FA394" s="646"/>
      <c r="FB394" s="646"/>
      <c r="FC394" s="646"/>
      <c r="FD394" s="646"/>
      <c r="FE394" s="646"/>
      <c r="FF394" s="646"/>
      <c r="FG394" s="647"/>
      <c r="FH394" s="647"/>
      <c r="FI394" s="647"/>
      <c r="FJ394" s="647"/>
      <c r="FK394" s="647"/>
      <c r="FL394" s="647"/>
      <c r="FM394" s="647"/>
      <c r="FN394" s="647"/>
      <c r="FO394" s="647"/>
      <c r="FP394" s="647"/>
      <c r="FQ394" s="647"/>
      <c r="FR394" s="647"/>
      <c r="FS394" s="101"/>
      <c r="FT394" s="95"/>
      <c r="FU394" s="651"/>
      <c r="FV394" s="101"/>
      <c r="FW394" s="101"/>
      <c r="FX394" s="634"/>
      <c r="FY394" s="634"/>
      <c r="FZ394" s="634"/>
      <c r="GA394" s="634"/>
      <c r="GB394" s="634"/>
      <c r="GC394" s="634"/>
      <c r="GD394" s="634"/>
      <c r="GE394" s="634"/>
      <c r="GF394" s="634"/>
      <c r="GG394" s="634"/>
      <c r="GH394" s="634"/>
      <c r="GI394" s="634"/>
      <c r="GJ394" s="634"/>
      <c r="GK394" s="634"/>
      <c r="GL394" s="101"/>
      <c r="GM394" s="101"/>
      <c r="GN394" s="101"/>
      <c r="GO394" s="643"/>
      <c r="GP394" s="644"/>
      <c r="GQ394" s="643"/>
      <c r="GR394" s="644"/>
      <c r="GS394" s="643"/>
      <c r="GT394" s="644"/>
      <c r="GU394" s="644"/>
      <c r="GV394" s="644"/>
      <c r="GW394" s="644"/>
      <c r="GX394" s="644"/>
      <c r="GY394" s="644"/>
      <c r="GZ394" s="644"/>
      <c r="HA394" s="644"/>
    </row>
    <row r="395" spans="1:209">
      <c r="A395" s="638"/>
      <c r="B395" s="95"/>
      <c r="C395" s="95"/>
      <c r="D395" s="95"/>
      <c r="E395" s="650"/>
      <c r="F395" s="95"/>
      <c r="G395" s="98"/>
      <c r="H395" s="99"/>
      <c r="I395" s="95"/>
      <c r="J395" s="95"/>
      <c r="K395" s="95"/>
      <c r="L395" s="95"/>
      <c r="M395" s="95"/>
      <c r="N395" s="95"/>
      <c r="O395" s="95"/>
      <c r="P395" s="95"/>
      <c r="Q395" s="95"/>
      <c r="R395" s="98"/>
      <c r="S395" s="101"/>
      <c r="T395" s="644"/>
      <c r="U395" s="101"/>
      <c r="V395" s="647"/>
      <c r="W395" s="643"/>
      <c r="X395" s="644"/>
      <c r="Y395" s="101"/>
      <c r="Z395" s="644"/>
      <c r="AA395" s="101"/>
      <c r="AB395" s="644"/>
      <c r="AC395" s="101"/>
      <c r="AD395" s="646"/>
      <c r="AE395" s="271"/>
      <c r="AF395" s="646"/>
      <c r="AG395" s="646"/>
      <c r="AH395" s="646"/>
      <c r="AI395" s="646"/>
      <c r="AJ395" s="646"/>
      <c r="AK395" s="646"/>
      <c r="AL395" s="646"/>
      <c r="AM395" s="271"/>
      <c r="AN395" s="646"/>
      <c r="AO395" s="646"/>
      <c r="AP395" s="646"/>
      <c r="AQ395" s="271"/>
      <c r="AR395" s="646"/>
      <c r="AS395" s="270"/>
      <c r="AT395" s="646"/>
      <c r="AU395" s="646"/>
      <c r="AV395" s="646"/>
      <c r="AW395" s="270"/>
      <c r="AX395" s="646"/>
      <c r="AY395" s="270"/>
      <c r="AZ395" s="646"/>
      <c r="BA395" s="646"/>
      <c r="BB395" s="644"/>
      <c r="BC395" s="644"/>
      <c r="BD395" s="644"/>
      <c r="BE395" s="644"/>
      <c r="BF395" s="644"/>
      <c r="BG395" s="644"/>
      <c r="BH395" s="644"/>
      <c r="BI395" s="644"/>
      <c r="BJ395" s="644"/>
      <c r="BK395" s="644"/>
      <c r="BL395" s="644"/>
      <c r="BM395" s="95"/>
      <c r="BN395" s="644"/>
      <c r="BO395" s="95"/>
      <c r="BP395" s="644"/>
      <c r="BQ395" s="644"/>
      <c r="BR395" s="644"/>
      <c r="BS395" s="644"/>
      <c r="BT395" s="644"/>
      <c r="BU395" s="644"/>
      <c r="BV395" s="644"/>
      <c r="BW395" s="644"/>
      <c r="BX395" s="644"/>
      <c r="BY395" s="644"/>
      <c r="BZ395" s="644"/>
      <c r="CA395" s="644"/>
      <c r="CB395" s="644"/>
      <c r="CC395" s="644"/>
      <c r="CD395" s="644"/>
      <c r="CE395" s="644"/>
      <c r="CF395" s="644"/>
      <c r="CG395" s="644"/>
      <c r="CH395" s="644"/>
      <c r="CI395" s="644"/>
      <c r="CJ395" s="644"/>
      <c r="CK395" s="644"/>
      <c r="CL395" s="644"/>
      <c r="CM395" s="95"/>
      <c r="CN395" s="644"/>
      <c r="CO395" s="644"/>
      <c r="CP395" s="95"/>
      <c r="CQ395" s="98"/>
      <c r="CR395" s="95"/>
      <c r="CS395" s="95"/>
      <c r="CT395" s="95"/>
      <c r="CU395" s="108"/>
      <c r="CV395" s="109"/>
      <c r="CW395" s="644"/>
      <c r="CX395" s="496"/>
      <c r="CY395" s="637"/>
      <c r="CZ395" s="644"/>
      <c r="DA395" s="644"/>
      <c r="DB395" s="644"/>
      <c r="DC395" s="496"/>
      <c r="DD395" s="644"/>
      <c r="DE395" s="101"/>
      <c r="DF395" s="644"/>
      <c r="DG395" s="101"/>
      <c r="DH395" s="644"/>
      <c r="DI395" s="644"/>
      <c r="DJ395" s="644"/>
      <c r="DK395" s="644"/>
      <c r="DL395" s="644"/>
      <c r="DM395" s="101"/>
      <c r="DN395" s="644"/>
      <c r="DO395" s="644"/>
      <c r="DP395" s="644"/>
      <c r="DQ395" s="644"/>
      <c r="DR395" s="644"/>
      <c r="DS395" s="644"/>
      <c r="DT395" s="644"/>
      <c r="DU395" s="644"/>
      <c r="DV395" s="644"/>
      <c r="DW395" s="101"/>
      <c r="DX395" s="646"/>
      <c r="DY395" s="646"/>
      <c r="DZ395" s="646"/>
      <c r="EA395" s="646"/>
      <c r="EB395" s="646"/>
      <c r="EC395" s="646"/>
      <c r="ED395" s="646"/>
      <c r="EE395" s="646"/>
      <c r="EF395" s="646"/>
      <c r="EG395" s="646"/>
      <c r="EH395" s="646"/>
      <c r="EI395" s="646"/>
      <c r="EJ395" s="646"/>
      <c r="EK395" s="271"/>
      <c r="EL395" s="644"/>
      <c r="EM395" s="634"/>
      <c r="EN395" s="647"/>
      <c r="EO395" s="648"/>
      <c r="EP395" s="647"/>
      <c r="EQ395" s="647"/>
      <c r="ER395" s="647"/>
      <c r="ES395" s="139"/>
      <c r="EV395" s="647"/>
      <c r="EW395" s="647"/>
      <c r="EX395" s="647"/>
      <c r="EY395" s="647"/>
      <c r="EZ395" s="647"/>
      <c r="FA395" s="646"/>
      <c r="FB395" s="646"/>
      <c r="FC395" s="646"/>
      <c r="FD395" s="646"/>
      <c r="FE395" s="646"/>
      <c r="FF395" s="646"/>
      <c r="FG395" s="647"/>
      <c r="FH395" s="647"/>
      <c r="FI395" s="647"/>
      <c r="FJ395" s="647"/>
      <c r="FK395" s="647"/>
      <c r="FL395" s="647"/>
      <c r="FM395" s="647"/>
      <c r="FN395" s="647"/>
      <c r="FO395" s="647"/>
      <c r="FP395" s="647"/>
      <c r="FQ395" s="647"/>
      <c r="FR395" s="647"/>
      <c r="FS395" s="101"/>
      <c r="FT395" s="95"/>
      <c r="FU395" s="651"/>
      <c r="FV395" s="101"/>
      <c r="FW395" s="101"/>
      <c r="FX395" s="634"/>
      <c r="FY395" s="634"/>
      <c r="FZ395" s="634"/>
      <c r="GA395" s="634"/>
      <c r="GB395" s="634"/>
      <c r="GC395" s="634"/>
      <c r="GD395" s="634"/>
      <c r="GE395" s="634"/>
      <c r="GF395" s="634"/>
      <c r="GG395" s="634"/>
      <c r="GH395" s="634"/>
      <c r="GI395" s="634"/>
      <c r="GJ395" s="634"/>
      <c r="GK395" s="634"/>
      <c r="GL395" s="101"/>
      <c r="GM395" s="101"/>
      <c r="GN395" s="101"/>
      <c r="GO395" s="643"/>
      <c r="GP395" s="644"/>
      <c r="GQ395" s="643"/>
      <c r="GR395" s="644"/>
      <c r="GS395" s="643"/>
      <c r="GT395" s="644"/>
      <c r="GU395" s="644"/>
      <c r="GV395" s="644"/>
      <c r="GW395" s="644"/>
      <c r="GX395" s="644"/>
      <c r="GY395" s="644"/>
      <c r="GZ395" s="644"/>
      <c r="HA395" s="644"/>
    </row>
    <row r="396" spans="1:209">
      <c r="A396" s="638"/>
      <c r="B396" s="95"/>
      <c r="C396" s="95"/>
      <c r="D396" s="95"/>
      <c r="E396" s="650"/>
      <c r="F396" s="95"/>
      <c r="G396" s="98"/>
      <c r="H396" s="99"/>
      <c r="I396" s="95"/>
      <c r="J396" s="95"/>
      <c r="K396" s="95"/>
      <c r="L396" s="95"/>
      <c r="M396" s="95"/>
      <c r="N396" s="95"/>
      <c r="O396" s="95"/>
      <c r="P396" s="95"/>
      <c r="Q396" s="95"/>
      <c r="R396" s="98"/>
      <c r="S396" s="101"/>
      <c r="T396" s="644"/>
      <c r="U396" s="101"/>
      <c r="V396" s="647"/>
      <c r="W396" s="643"/>
      <c r="X396" s="644"/>
      <c r="Y396" s="101"/>
      <c r="Z396" s="644"/>
      <c r="AA396" s="101"/>
      <c r="AB396" s="644"/>
      <c r="AC396" s="101"/>
      <c r="AD396" s="646"/>
      <c r="AE396" s="271"/>
      <c r="AF396" s="646"/>
      <c r="AG396" s="646"/>
      <c r="AH396" s="646"/>
      <c r="AI396" s="646"/>
      <c r="AJ396" s="646"/>
      <c r="AK396" s="646"/>
      <c r="AL396" s="646"/>
      <c r="AM396" s="271"/>
      <c r="AN396" s="646"/>
      <c r="AO396" s="646"/>
      <c r="AP396" s="646"/>
      <c r="AQ396" s="271"/>
      <c r="AR396" s="646"/>
      <c r="AS396" s="270"/>
      <c r="AT396" s="646"/>
      <c r="AU396" s="646"/>
      <c r="AV396" s="646"/>
      <c r="AW396" s="270"/>
      <c r="AX396" s="646"/>
      <c r="AY396" s="270"/>
      <c r="AZ396" s="646"/>
      <c r="BA396" s="646"/>
      <c r="BB396" s="644"/>
      <c r="BC396" s="644"/>
      <c r="BD396" s="644"/>
      <c r="BE396" s="644"/>
      <c r="BF396" s="644"/>
      <c r="BG396" s="644"/>
      <c r="BH396" s="644"/>
      <c r="BI396" s="644"/>
      <c r="BJ396" s="644"/>
      <c r="BK396" s="644"/>
      <c r="BL396" s="644"/>
      <c r="BM396" s="95"/>
      <c r="BN396" s="644"/>
      <c r="BO396" s="95"/>
      <c r="BP396" s="644"/>
      <c r="BQ396" s="644"/>
      <c r="BR396" s="644"/>
      <c r="BS396" s="644"/>
      <c r="BT396" s="644"/>
      <c r="BU396" s="644"/>
      <c r="BV396" s="644"/>
      <c r="BW396" s="644"/>
      <c r="BX396" s="644"/>
      <c r="BY396" s="644"/>
      <c r="BZ396" s="644"/>
      <c r="CA396" s="644"/>
      <c r="CB396" s="644"/>
      <c r="CC396" s="644"/>
      <c r="CD396" s="644"/>
      <c r="CE396" s="644"/>
      <c r="CF396" s="644"/>
      <c r="CG396" s="644"/>
      <c r="CH396" s="644"/>
      <c r="CI396" s="644"/>
      <c r="CJ396" s="644"/>
      <c r="CK396" s="644"/>
      <c r="CL396" s="644"/>
      <c r="CM396" s="95"/>
      <c r="CN396" s="644"/>
      <c r="CO396" s="644"/>
      <c r="CP396" s="95"/>
      <c r="CQ396" s="98"/>
      <c r="CR396" s="95"/>
      <c r="CS396" s="95"/>
      <c r="CT396" s="95"/>
      <c r="CU396" s="108"/>
      <c r="CV396" s="109"/>
      <c r="CW396" s="644"/>
      <c r="CX396" s="496"/>
      <c r="CY396" s="637"/>
      <c r="CZ396" s="644"/>
      <c r="DA396" s="644"/>
      <c r="DB396" s="644"/>
      <c r="DC396" s="496"/>
      <c r="DD396" s="644"/>
      <c r="DE396" s="101"/>
      <c r="DF396" s="644"/>
      <c r="DG396" s="101"/>
      <c r="DH396" s="644"/>
      <c r="DI396" s="644"/>
      <c r="DJ396" s="644"/>
      <c r="DK396" s="644"/>
      <c r="DL396" s="644"/>
      <c r="DM396" s="101"/>
      <c r="DN396" s="644"/>
      <c r="DO396" s="644"/>
      <c r="DP396" s="644"/>
      <c r="DQ396" s="644"/>
      <c r="DR396" s="644"/>
      <c r="DS396" s="644"/>
      <c r="DT396" s="644"/>
      <c r="DU396" s="644"/>
      <c r="DV396" s="644"/>
      <c r="DW396" s="101"/>
      <c r="DX396" s="646"/>
      <c r="DY396" s="646"/>
      <c r="DZ396" s="646"/>
      <c r="EA396" s="646"/>
      <c r="EB396" s="646"/>
      <c r="EC396" s="646"/>
      <c r="ED396" s="646"/>
      <c r="EE396" s="646"/>
      <c r="EF396" s="646"/>
      <c r="EG396" s="646"/>
      <c r="EH396" s="646"/>
      <c r="EI396" s="646"/>
      <c r="EJ396" s="646"/>
      <c r="EK396" s="271"/>
      <c r="EL396" s="644"/>
      <c r="EM396" s="634"/>
      <c r="EN396" s="647"/>
      <c r="EO396" s="648"/>
      <c r="EP396" s="647"/>
      <c r="EQ396" s="647"/>
      <c r="ER396" s="647"/>
      <c r="ES396" s="139"/>
      <c r="EV396" s="647"/>
      <c r="EW396" s="647"/>
      <c r="EX396" s="647"/>
      <c r="EY396" s="647"/>
      <c r="EZ396" s="647"/>
      <c r="FA396" s="646"/>
      <c r="FB396" s="646"/>
      <c r="FC396" s="646"/>
      <c r="FD396" s="646"/>
      <c r="FE396" s="646"/>
      <c r="FF396" s="646"/>
      <c r="FG396" s="647"/>
      <c r="FH396" s="647"/>
      <c r="FI396" s="647"/>
      <c r="FJ396" s="647"/>
      <c r="FK396" s="647"/>
      <c r="FL396" s="647"/>
      <c r="FM396" s="647"/>
      <c r="FN396" s="647"/>
      <c r="FO396" s="647"/>
      <c r="FP396" s="647"/>
      <c r="FQ396" s="647"/>
      <c r="FR396" s="647"/>
      <c r="FS396" s="101"/>
      <c r="FT396" s="95"/>
      <c r="FU396" s="651"/>
      <c r="FV396" s="101"/>
      <c r="FW396" s="101"/>
      <c r="FX396" s="634"/>
      <c r="FY396" s="634"/>
      <c r="FZ396" s="634"/>
      <c r="GA396" s="634"/>
      <c r="GB396" s="634"/>
      <c r="GC396" s="634"/>
      <c r="GD396" s="634"/>
      <c r="GE396" s="634"/>
      <c r="GF396" s="634"/>
      <c r="GG396" s="634"/>
      <c r="GH396" s="634"/>
      <c r="GI396" s="634"/>
      <c r="GJ396" s="634"/>
      <c r="GK396" s="634"/>
      <c r="GL396" s="101"/>
      <c r="GM396" s="101"/>
      <c r="GN396" s="101"/>
      <c r="GO396" s="643"/>
      <c r="GP396" s="644"/>
      <c r="GQ396" s="643"/>
      <c r="GR396" s="644"/>
      <c r="GS396" s="643"/>
      <c r="GT396" s="644"/>
      <c r="GU396" s="644"/>
      <c r="GV396" s="644"/>
      <c r="GW396" s="644"/>
      <c r="GX396" s="644"/>
      <c r="GY396" s="644"/>
      <c r="GZ396" s="644"/>
      <c r="HA396" s="644"/>
    </row>
    <row r="397" spans="1:209">
      <c r="A397" s="638"/>
      <c r="B397" s="95"/>
      <c r="C397" s="95"/>
      <c r="D397" s="95"/>
      <c r="E397" s="650"/>
      <c r="F397" s="95"/>
      <c r="G397" s="98"/>
      <c r="H397" s="99"/>
      <c r="I397" s="95"/>
      <c r="J397" s="95"/>
      <c r="K397" s="95"/>
      <c r="L397" s="95"/>
      <c r="M397" s="95"/>
      <c r="N397" s="95"/>
      <c r="O397" s="95"/>
      <c r="P397" s="95"/>
      <c r="Q397" s="95"/>
      <c r="R397" s="98"/>
      <c r="S397" s="101"/>
      <c r="T397" s="644"/>
      <c r="U397" s="101"/>
      <c r="V397" s="647"/>
      <c r="W397" s="643"/>
      <c r="X397" s="644"/>
      <c r="Y397" s="101"/>
      <c r="Z397" s="644"/>
      <c r="AA397" s="101"/>
      <c r="AB397" s="644"/>
      <c r="AC397" s="101"/>
      <c r="AD397" s="646"/>
      <c r="AE397" s="271"/>
      <c r="AF397" s="646"/>
      <c r="AG397" s="646"/>
      <c r="AH397" s="646"/>
      <c r="AI397" s="646"/>
      <c r="AJ397" s="646"/>
      <c r="AK397" s="646"/>
      <c r="AL397" s="646"/>
      <c r="AM397" s="271"/>
      <c r="AN397" s="646"/>
      <c r="AO397" s="646"/>
      <c r="AP397" s="646"/>
      <c r="AQ397" s="271"/>
      <c r="AR397" s="646"/>
      <c r="AS397" s="270"/>
      <c r="AT397" s="646"/>
      <c r="AU397" s="646"/>
      <c r="AV397" s="646"/>
      <c r="AW397" s="270"/>
      <c r="AX397" s="646"/>
      <c r="AY397" s="270"/>
      <c r="AZ397" s="646"/>
      <c r="BA397" s="646"/>
      <c r="BB397" s="644"/>
      <c r="BC397" s="644"/>
      <c r="BD397" s="644"/>
      <c r="BE397" s="644"/>
      <c r="BF397" s="644"/>
      <c r="BG397" s="644"/>
      <c r="BH397" s="644"/>
      <c r="BI397" s="644"/>
      <c r="BJ397" s="644"/>
      <c r="BK397" s="644"/>
      <c r="BL397" s="644"/>
      <c r="BM397" s="95"/>
      <c r="BN397" s="644"/>
      <c r="BO397" s="95"/>
      <c r="BP397" s="644"/>
      <c r="BQ397" s="644"/>
      <c r="BR397" s="644"/>
      <c r="BS397" s="644"/>
      <c r="BT397" s="644"/>
      <c r="BU397" s="644"/>
      <c r="BV397" s="644"/>
      <c r="BW397" s="644"/>
      <c r="BX397" s="644"/>
      <c r="BY397" s="644"/>
      <c r="BZ397" s="644"/>
      <c r="CA397" s="644"/>
      <c r="CB397" s="644"/>
      <c r="CC397" s="644"/>
      <c r="CD397" s="644"/>
      <c r="CE397" s="644"/>
      <c r="CF397" s="644"/>
      <c r="CG397" s="644"/>
      <c r="CH397" s="644"/>
      <c r="CI397" s="644"/>
      <c r="CJ397" s="644"/>
      <c r="CK397" s="644"/>
      <c r="CL397" s="644"/>
      <c r="CM397" s="95"/>
      <c r="CN397" s="644"/>
      <c r="CO397" s="644"/>
      <c r="CP397" s="95"/>
      <c r="CQ397" s="98"/>
      <c r="CR397" s="95"/>
      <c r="CS397" s="95"/>
      <c r="CT397" s="95"/>
      <c r="CU397" s="108"/>
      <c r="CV397" s="109"/>
      <c r="CW397" s="644"/>
      <c r="CX397" s="496"/>
      <c r="CY397" s="637"/>
      <c r="CZ397" s="644"/>
      <c r="DA397" s="644"/>
      <c r="DB397" s="644"/>
      <c r="DC397" s="496"/>
      <c r="DD397" s="644"/>
      <c r="DE397" s="101"/>
      <c r="DF397" s="644"/>
      <c r="DG397" s="101"/>
      <c r="DH397" s="644"/>
      <c r="DI397" s="644"/>
      <c r="DJ397" s="644"/>
      <c r="DK397" s="644"/>
      <c r="DL397" s="644"/>
      <c r="DM397" s="101"/>
      <c r="DN397" s="644"/>
      <c r="DO397" s="644"/>
      <c r="DP397" s="644"/>
      <c r="DQ397" s="644"/>
      <c r="DR397" s="644"/>
      <c r="DS397" s="644"/>
      <c r="DT397" s="644"/>
      <c r="DU397" s="644"/>
      <c r="DV397" s="644"/>
      <c r="DW397" s="101"/>
      <c r="DX397" s="646"/>
      <c r="DY397" s="646"/>
      <c r="DZ397" s="646"/>
      <c r="EA397" s="646"/>
      <c r="EB397" s="646"/>
      <c r="EC397" s="646"/>
      <c r="ED397" s="646"/>
      <c r="EE397" s="646"/>
      <c r="EF397" s="646"/>
      <c r="EG397" s="646"/>
      <c r="EH397" s="646"/>
      <c r="EI397" s="646"/>
      <c r="EJ397" s="646"/>
      <c r="EK397" s="271"/>
      <c r="EL397" s="644"/>
      <c r="EM397" s="634"/>
      <c r="EN397" s="647"/>
      <c r="EO397" s="648"/>
      <c r="EP397" s="647"/>
      <c r="EQ397" s="647"/>
      <c r="ER397" s="647"/>
      <c r="ES397" s="139"/>
      <c r="EV397" s="647"/>
      <c r="EW397" s="647"/>
      <c r="EX397" s="647"/>
      <c r="EY397" s="647"/>
      <c r="EZ397" s="647"/>
      <c r="FA397" s="646"/>
      <c r="FB397" s="646"/>
      <c r="FC397" s="646"/>
      <c r="FD397" s="646"/>
      <c r="FE397" s="646"/>
      <c r="FF397" s="646"/>
      <c r="FG397" s="647"/>
      <c r="FH397" s="647"/>
      <c r="FI397" s="647"/>
      <c r="FJ397" s="647"/>
      <c r="FK397" s="647"/>
      <c r="FL397" s="647"/>
      <c r="FM397" s="647"/>
      <c r="FN397" s="647"/>
      <c r="FO397" s="647"/>
      <c r="FP397" s="647"/>
      <c r="FQ397" s="647"/>
      <c r="FR397" s="647"/>
      <c r="FS397" s="101"/>
      <c r="FT397" s="95"/>
      <c r="FU397" s="651"/>
      <c r="FV397" s="101"/>
      <c r="FW397" s="101"/>
      <c r="FX397" s="634"/>
      <c r="FY397" s="634"/>
      <c r="FZ397" s="634"/>
      <c r="GA397" s="634"/>
      <c r="GB397" s="634"/>
      <c r="GC397" s="634"/>
      <c r="GD397" s="634"/>
      <c r="GE397" s="634"/>
      <c r="GF397" s="634"/>
      <c r="GG397" s="634"/>
      <c r="GH397" s="634"/>
      <c r="GI397" s="634"/>
      <c r="GJ397" s="634"/>
      <c r="GK397" s="634"/>
      <c r="GL397" s="101"/>
      <c r="GM397" s="101"/>
      <c r="GN397" s="101"/>
      <c r="GO397" s="643"/>
      <c r="GP397" s="644"/>
      <c r="GQ397" s="643"/>
      <c r="GR397" s="644"/>
      <c r="GS397" s="643"/>
      <c r="GT397" s="644"/>
      <c r="GU397" s="644"/>
      <c r="GV397" s="644"/>
      <c r="GW397" s="644"/>
      <c r="GX397" s="644"/>
      <c r="GY397" s="644"/>
      <c r="GZ397" s="644"/>
      <c r="HA397" s="644"/>
    </row>
    <row r="398" spans="1:209">
      <c r="A398" s="638"/>
      <c r="B398" s="95"/>
      <c r="C398" s="95"/>
      <c r="D398" s="95"/>
      <c r="E398" s="650"/>
      <c r="F398" s="95"/>
      <c r="G398" s="98"/>
      <c r="H398" s="99"/>
      <c r="I398" s="95"/>
      <c r="J398" s="95"/>
      <c r="K398" s="95"/>
      <c r="L398" s="95"/>
      <c r="M398" s="95"/>
      <c r="N398" s="95"/>
      <c r="O398" s="95"/>
      <c r="P398" s="95"/>
      <c r="Q398" s="95"/>
      <c r="R398" s="98"/>
      <c r="S398" s="101"/>
      <c r="T398" s="644"/>
      <c r="U398" s="101"/>
      <c r="V398" s="647"/>
      <c r="W398" s="643"/>
      <c r="X398" s="644"/>
      <c r="Y398" s="101"/>
      <c r="Z398" s="644"/>
      <c r="AA398" s="101"/>
      <c r="AB398" s="644"/>
      <c r="AC398" s="101"/>
      <c r="AD398" s="646"/>
      <c r="AE398" s="271"/>
      <c r="AF398" s="646"/>
      <c r="AG398" s="646"/>
      <c r="AH398" s="646"/>
      <c r="AI398" s="646"/>
      <c r="AJ398" s="646"/>
      <c r="AK398" s="646"/>
      <c r="AL398" s="646"/>
      <c r="AM398" s="271"/>
      <c r="AN398" s="646"/>
      <c r="AO398" s="646"/>
      <c r="AP398" s="646"/>
      <c r="AQ398" s="271"/>
      <c r="AR398" s="646"/>
      <c r="AS398" s="270"/>
      <c r="AT398" s="646"/>
      <c r="AU398" s="646"/>
      <c r="AV398" s="646"/>
      <c r="AW398" s="270"/>
      <c r="AX398" s="646"/>
      <c r="AY398" s="270"/>
      <c r="AZ398" s="646"/>
      <c r="BA398" s="646"/>
      <c r="BB398" s="644"/>
      <c r="BC398" s="644"/>
      <c r="BD398" s="644"/>
      <c r="BE398" s="644"/>
      <c r="BF398" s="644"/>
      <c r="BG398" s="644"/>
      <c r="BH398" s="644"/>
      <c r="BI398" s="644"/>
      <c r="BJ398" s="644"/>
      <c r="BK398" s="644"/>
      <c r="BL398" s="644"/>
      <c r="BM398" s="95"/>
      <c r="BN398" s="644"/>
      <c r="BO398" s="95"/>
      <c r="BP398" s="644"/>
      <c r="BQ398" s="644"/>
      <c r="BR398" s="644"/>
      <c r="BS398" s="644"/>
      <c r="BT398" s="644"/>
      <c r="BU398" s="644"/>
      <c r="BV398" s="644"/>
      <c r="BW398" s="644"/>
      <c r="BX398" s="644"/>
      <c r="BY398" s="644"/>
      <c r="BZ398" s="644"/>
      <c r="CA398" s="644"/>
      <c r="CB398" s="644"/>
      <c r="CC398" s="644"/>
      <c r="CD398" s="644"/>
      <c r="CE398" s="644"/>
      <c r="CF398" s="644"/>
      <c r="CG398" s="644"/>
      <c r="CH398" s="644"/>
      <c r="CI398" s="644"/>
      <c r="CJ398" s="644"/>
      <c r="CK398" s="644"/>
      <c r="CL398" s="644"/>
      <c r="CM398" s="95"/>
      <c r="CN398" s="644"/>
      <c r="CO398" s="644"/>
      <c r="CP398" s="95"/>
      <c r="CQ398" s="98"/>
      <c r="CR398" s="95"/>
      <c r="CS398" s="95"/>
      <c r="CT398" s="95"/>
      <c r="CU398" s="108"/>
      <c r="CV398" s="109"/>
      <c r="CW398" s="644"/>
      <c r="CX398" s="496"/>
      <c r="CY398" s="637"/>
      <c r="CZ398" s="644"/>
      <c r="DA398" s="644"/>
      <c r="DB398" s="644"/>
      <c r="DC398" s="496"/>
      <c r="DD398" s="644"/>
      <c r="DE398" s="101"/>
      <c r="DF398" s="644"/>
      <c r="DG398" s="101"/>
      <c r="DH398" s="644"/>
      <c r="DI398" s="644"/>
      <c r="DJ398" s="644"/>
      <c r="DK398" s="644"/>
      <c r="DL398" s="644"/>
      <c r="DM398" s="101"/>
      <c r="DN398" s="644"/>
      <c r="DO398" s="644"/>
      <c r="DP398" s="644"/>
      <c r="DQ398" s="644"/>
      <c r="DR398" s="644"/>
      <c r="DS398" s="644"/>
      <c r="DT398" s="644"/>
      <c r="DU398" s="644"/>
      <c r="DV398" s="644"/>
      <c r="DW398" s="101"/>
      <c r="DX398" s="646"/>
      <c r="DY398" s="646"/>
      <c r="DZ398" s="646"/>
      <c r="EA398" s="646"/>
      <c r="EB398" s="646"/>
      <c r="EC398" s="646"/>
      <c r="ED398" s="646"/>
      <c r="EE398" s="646"/>
      <c r="EF398" s="646"/>
      <c r="EG398" s="646"/>
      <c r="EH398" s="646"/>
      <c r="EI398" s="646"/>
      <c r="EJ398" s="646"/>
      <c r="EK398" s="271"/>
      <c r="EL398" s="644"/>
      <c r="EM398" s="634"/>
      <c r="EN398" s="647"/>
      <c r="EO398" s="648"/>
      <c r="EP398" s="647"/>
      <c r="EQ398" s="647"/>
      <c r="ER398" s="647"/>
      <c r="ES398" s="139"/>
      <c r="EV398" s="647"/>
      <c r="EW398" s="647"/>
      <c r="EX398" s="647"/>
      <c r="EY398" s="647"/>
      <c r="EZ398" s="647"/>
      <c r="FA398" s="646"/>
      <c r="FB398" s="646"/>
      <c r="FC398" s="646"/>
      <c r="FD398" s="646"/>
      <c r="FE398" s="646"/>
      <c r="FF398" s="646"/>
      <c r="FG398" s="647"/>
      <c r="FH398" s="647"/>
      <c r="FI398" s="647"/>
      <c r="FJ398" s="647"/>
      <c r="FK398" s="647"/>
      <c r="FL398" s="647"/>
      <c r="FM398" s="647"/>
      <c r="FN398" s="647"/>
      <c r="FO398" s="647"/>
      <c r="FP398" s="647"/>
      <c r="FQ398" s="647"/>
      <c r="FR398" s="647"/>
      <c r="FS398" s="101"/>
      <c r="FT398" s="95"/>
      <c r="FU398" s="651"/>
      <c r="FV398" s="101"/>
      <c r="FW398" s="101"/>
      <c r="FX398" s="634"/>
      <c r="FY398" s="634"/>
      <c r="FZ398" s="634"/>
      <c r="GA398" s="634"/>
      <c r="GB398" s="634"/>
      <c r="GC398" s="634"/>
      <c r="GD398" s="634"/>
      <c r="GE398" s="634"/>
      <c r="GF398" s="634"/>
      <c r="GG398" s="634"/>
      <c r="GH398" s="634"/>
      <c r="GI398" s="634"/>
      <c r="GJ398" s="634"/>
      <c r="GK398" s="634"/>
      <c r="GL398" s="101"/>
      <c r="GM398" s="101"/>
      <c r="GN398" s="101"/>
      <c r="GO398" s="643"/>
      <c r="GP398" s="644"/>
      <c r="GQ398" s="643"/>
      <c r="GR398" s="644"/>
      <c r="GS398" s="643"/>
      <c r="GT398" s="644"/>
      <c r="GU398" s="644"/>
      <c r="GV398" s="644"/>
      <c r="GW398" s="644"/>
      <c r="GX398" s="644"/>
      <c r="GY398" s="644"/>
      <c r="GZ398" s="644"/>
      <c r="HA398" s="644"/>
    </row>
    <row r="399" spans="1:209">
      <c r="A399" s="638"/>
      <c r="B399" s="95"/>
      <c r="C399" s="95"/>
      <c r="D399" s="95"/>
      <c r="E399" s="650"/>
      <c r="F399" s="95"/>
      <c r="G399" s="98"/>
      <c r="H399" s="99"/>
      <c r="I399" s="95"/>
      <c r="J399" s="95"/>
      <c r="K399" s="95"/>
      <c r="L399" s="95"/>
      <c r="M399" s="95"/>
      <c r="N399" s="95"/>
      <c r="O399" s="95"/>
      <c r="P399" s="95"/>
      <c r="Q399" s="95"/>
      <c r="R399" s="98"/>
      <c r="S399" s="101"/>
      <c r="T399" s="644"/>
      <c r="U399" s="101"/>
      <c r="V399" s="647"/>
      <c r="W399" s="643"/>
      <c r="X399" s="644"/>
      <c r="Y399" s="101"/>
      <c r="Z399" s="644"/>
      <c r="AA399" s="101"/>
      <c r="AB399" s="644"/>
      <c r="AC399" s="101"/>
      <c r="AD399" s="646"/>
      <c r="AE399" s="271"/>
      <c r="AF399" s="646"/>
      <c r="AG399" s="646"/>
      <c r="AH399" s="646"/>
      <c r="AI399" s="646"/>
      <c r="AJ399" s="646"/>
      <c r="AK399" s="646"/>
      <c r="AL399" s="646"/>
      <c r="AM399" s="271"/>
      <c r="AN399" s="646"/>
      <c r="AO399" s="646"/>
      <c r="AP399" s="646"/>
      <c r="AQ399" s="271"/>
      <c r="AR399" s="646"/>
      <c r="AS399" s="270"/>
      <c r="AT399" s="646"/>
      <c r="AU399" s="646"/>
      <c r="AV399" s="646"/>
      <c r="AW399" s="270"/>
      <c r="AX399" s="646"/>
      <c r="AY399" s="270"/>
      <c r="AZ399" s="646"/>
      <c r="BA399" s="646"/>
      <c r="BB399" s="644"/>
      <c r="BC399" s="644"/>
      <c r="BD399" s="644"/>
      <c r="BE399" s="644"/>
      <c r="BF399" s="644"/>
      <c r="BG399" s="644"/>
      <c r="BH399" s="644"/>
      <c r="BI399" s="644"/>
      <c r="BJ399" s="644"/>
      <c r="BK399" s="644"/>
      <c r="BL399" s="644"/>
      <c r="BM399" s="95"/>
      <c r="BN399" s="644"/>
      <c r="BO399" s="95"/>
      <c r="BP399" s="644"/>
      <c r="BQ399" s="644"/>
      <c r="BR399" s="644"/>
      <c r="BS399" s="644"/>
      <c r="BT399" s="644"/>
      <c r="BU399" s="644"/>
      <c r="BV399" s="644"/>
      <c r="BW399" s="644"/>
      <c r="BX399" s="644"/>
      <c r="BY399" s="644"/>
      <c r="BZ399" s="644"/>
      <c r="CA399" s="644"/>
      <c r="CB399" s="644"/>
      <c r="CC399" s="644"/>
      <c r="CD399" s="644"/>
      <c r="CE399" s="644"/>
      <c r="CF399" s="644"/>
      <c r="CG399" s="644"/>
      <c r="CH399" s="644"/>
      <c r="CI399" s="644"/>
      <c r="CJ399" s="644"/>
      <c r="CK399" s="644"/>
      <c r="CL399" s="644"/>
      <c r="CM399" s="95"/>
      <c r="CN399" s="644"/>
      <c r="CO399" s="644"/>
      <c r="CP399" s="95"/>
      <c r="CQ399" s="98"/>
      <c r="CR399" s="95"/>
      <c r="CS399" s="95"/>
      <c r="CT399" s="95"/>
      <c r="CU399" s="108"/>
      <c r="CV399" s="109"/>
      <c r="CW399" s="644"/>
      <c r="CX399" s="496"/>
      <c r="CY399" s="637"/>
      <c r="CZ399" s="644"/>
      <c r="DA399" s="644"/>
      <c r="DB399" s="644"/>
      <c r="DC399" s="496"/>
      <c r="DD399" s="644"/>
      <c r="DE399" s="101"/>
      <c r="DF399" s="644"/>
      <c r="DG399" s="101"/>
      <c r="DH399" s="644"/>
      <c r="DI399" s="644"/>
      <c r="DJ399" s="644"/>
      <c r="DK399" s="644"/>
      <c r="DL399" s="644"/>
      <c r="DM399" s="101"/>
      <c r="DN399" s="644"/>
      <c r="DO399" s="644"/>
      <c r="DP399" s="644"/>
      <c r="DQ399" s="644"/>
      <c r="DR399" s="644"/>
      <c r="DS399" s="644"/>
      <c r="DT399" s="644"/>
      <c r="DU399" s="644"/>
      <c r="DV399" s="644"/>
      <c r="DW399" s="101"/>
      <c r="DX399" s="646"/>
      <c r="DY399" s="646"/>
      <c r="DZ399" s="646"/>
      <c r="EA399" s="646"/>
      <c r="EB399" s="646"/>
      <c r="EC399" s="646"/>
      <c r="ED399" s="646"/>
      <c r="EE399" s="646"/>
      <c r="EF399" s="646"/>
      <c r="EG399" s="646"/>
      <c r="EH399" s="646"/>
      <c r="EI399" s="646"/>
      <c r="EJ399" s="646"/>
      <c r="EK399" s="271"/>
      <c r="EL399" s="644"/>
      <c r="EM399" s="634"/>
      <c r="EN399" s="647"/>
      <c r="EO399" s="648"/>
      <c r="EP399" s="647"/>
      <c r="EQ399" s="647"/>
      <c r="ER399" s="647"/>
      <c r="ES399" s="139"/>
      <c r="EV399" s="647"/>
      <c r="EW399" s="647"/>
      <c r="EX399" s="647"/>
      <c r="EY399" s="647"/>
      <c r="EZ399" s="647"/>
      <c r="FA399" s="646"/>
      <c r="FB399" s="646"/>
      <c r="FC399" s="646"/>
      <c r="FD399" s="646"/>
      <c r="FE399" s="646"/>
      <c r="FF399" s="646"/>
      <c r="FG399" s="647"/>
      <c r="FH399" s="647"/>
      <c r="FI399" s="647"/>
      <c r="FJ399" s="647"/>
      <c r="FK399" s="647"/>
      <c r="FL399" s="647"/>
      <c r="FM399" s="647"/>
      <c r="FN399" s="647"/>
      <c r="FO399" s="647"/>
      <c r="FP399" s="647"/>
      <c r="FQ399" s="647"/>
      <c r="FR399" s="647"/>
      <c r="FS399" s="101"/>
      <c r="FT399" s="95"/>
      <c r="FU399" s="651"/>
      <c r="FV399" s="101"/>
      <c r="FW399" s="101"/>
      <c r="FX399" s="634"/>
      <c r="FY399" s="634"/>
      <c r="FZ399" s="634"/>
      <c r="GA399" s="634"/>
      <c r="GB399" s="634"/>
      <c r="GC399" s="634"/>
      <c r="GD399" s="634"/>
      <c r="GE399" s="634"/>
      <c r="GF399" s="634"/>
      <c r="GG399" s="634"/>
      <c r="GH399" s="634"/>
      <c r="GI399" s="634"/>
      <c r="GJ399" s="634"/>
      <c r="GK399" s="634"/>
      <c r="GL399" s="101"/>
      <c r="GM399" s="101"/>
      <c r="GN399" s="101"/>
      <c r="GO399" s="643"/>
      <c r="GP399" s="644"/>
      <c r="GQ399" s="643"/>
      <c r="GR399" s="644"/>
      <c r="GS399" s="643"/>
      <c r="GT399" s="644"/>
      <c r="GU399" s="644"/>
      <c r="GV399" s="644"/>
      <c r="GW399" s="644"/>
      <c r="GX399" s="644"/>
      <c r="GY399" s="644"/>
      <c r="GZ399" s="644"/>
      <c r="HA399" s="644"/>
    </row>
    <row r="400" spans="1:209">
      <c r="A400" s="638"/>
      <c r="B400" s="95"/>
      <c r="C400" s="95"/>
      <c r="D400" s="95"/>
      <c r="E400" s="650"/>
      <c r="F400" s="95"/>
      <c r="G400" s="98"/>
      <c r="H400" s="99"/>
      <c r="I400" s="95"/>
      <c r="J400" s="95"/>
      <c r="K400" s="95"/>
      <c r="L400" s="95"/>
      <c r="M400" s="95"/>
      <c r="N400" s="95"/>
      <c r="O400" s="95"/>
      <c r="P400" s="95"/>
      <c r="Q400" s="95"/>
      <c r="R400" s="98"/>
      <c r="S400" s="101"/>
      <c r="T400" s="644"/>
      <c r="U400" s="101"/>
      <c r="V400" s="647"/>
      <c r="W400" s="643"/>
      <c r="X400" s="644"/>
      <c r="Y400" s="101"/>
      <c r="Z400" s="644"/>
      <c r="AA400" s="101"/>
      <c r="AB400" s="644"/>
      <c r="AC400" s="101"/>
      <c r="AD400" s="646"/>
      <c r="AE400" s="271"/>
      <c r="AF400" s="646"/>
      <c r="AG400" s="646"/>
      <c r="AH400" s="646"/>
      <c r="AI400" s="646"/>
      <c r="AJ400" s="646"/>
      <c r="AK400" s="646"/>
      <c r="AL400" s="646"/>
      <c r="AM400" s="271"/>
      <c r="AN400" s="646"/>
      <c r="AO400" s="646"/>
      <c r="AP400" s="646"/>
      <c r="AQ400" s="271"/>
      <c r="AR400" s="646"/>
      <c r="AS400" s="270"/>
      <c r="AT400" s="646"/>
      <c r="AU400" s="646"/>
      <c r="AV400" s="646"/>
      <c r="AW400" s="270"/>
      <c r="AX400" s="646"/>
      <c r="AY400" s="270"/>
      <c r="AZ400" s="646"/>
      <c r="BA400" s="646"/>
      <c r="BB400" s="644"/>
      <c r="BC400" s="644"/>
      <c r="BD400" s="644"/>
      <c r="BE400" s="644"/>
      <c r="BF400" s="644"/>
      <c r="BG400" s="644"/>
      <c r="BH400" s="644"/>
      <c r="BI400" s="644"/>
      <c r="BJ400" s="644"/>
      <c r="BK400" s="644"/>
      <c r="BL400" s="644"/>
      <c r="BM400" s="95"/>
      <c r="BN400" s="644"/>
      <c r="BO400" s="95"/>
      <c r="BP400" s="644"/>
      <c r="BQ400" s="644"/>
      <c r="BR400" s="644"/>
      <c r="BS400" s="644"/>
      <c r="BT400" s="644"/>
      <c r="BU400" s="644"/>
      <c r="BV400" s="644"/>
      <c r="BW400" s="644"/>
      <c r="BX400" s="644"/>
      <c r="BY400" s="644"/>
      <c r="BZ400" s="644"/>
      <c r="CA400" s="644"/>
      <c r="CB400" s="644"/>
      <c r="CC400" s="644"/>
      <c r="CD400" s="644"/>
      <c r="CE400" s="644"/>
      <c r="CF400" s="644"/>
      <c r="CG400" s="644"/>
      <c r="CH400" s="644"/>
      <c r="CI400" s="644"/>
      <c r="CJ400" s="644"/>
      <c r="CK400" s="644"/>
      <c r="CL400" s="644"/>
      <c r="CM400" s="95"/>
      <c r="CN400" s="644"/>
      <c r="CO400" s="644"/>
      <c r="CP400" s="95"/>
      <c r="CQ400" s="98"/>
      <c r="CR400" s="95"/>
      <c r="CS400" s="95"/>
      <c r="CT400" s="95"/>
      <c r="CU400" s="108"/>
      <c r="CV400" s="109"/>
      <c r="CW400" s="644"/>
      <c r="CX400" s="496"/>
      <c r="CY400" s="637"/>
      <c r="CZ400" s="644"/>
      <c r="DA400" s="644"/>
      <c r="DB400" s="644"/>
      <c r="DC400" s="496"/>
      <c r="DD400" s="644"/>
      <c r="DE400" s="101"/>
      <c r="DF400" s="644"/>
      <c r="DG400" s="101"/>
      <c r="DH400" s="644"/>
      <c r="DI400" s="644"/>
      <c r="DJ400" s="644"/>
      <c r="DK400" s="644"/>
      <c r="DL400" s="644"/>
      <c r="DM400" s="101"/>
      <c r="DN400" s="644"/>
      <c r="DO400" s="644"/>
      <c r="DP400" s="644"/>
      <c r="DQ400" s="644"/>
      <c r="DR400" s="644"/>
      <c r="DS400" s="644"/>
      <c r="DT400" s="644"/>
      <c r="DU400" s="644"/>
      <c r="DV400" s="644"/>
      <c r="DW400" s="101"/>
      <c r="DX400" s="646"/>
      <c r="DY400" s="646"/>
      <c r="DZ400" s="646"/>
      <c r="EA400" s="646"/>
      <c r="EB400" s="646"/>
      <c r="EC400" s="646"/>
      <c r="ED400" s="646"/>
      <c r="EE400" s="646"/>
      <c r="EF400" s="646"/>
      <c r="EG400" s="646"/>
      <c r="EH400" s="646"/>
      <c r="EI400" s="646"/>
      <c r="EJ400" s="646"/>
      <c r="EK400" s="271"/>
      <c r="EL400" s="644"/>
      <c r="EM400" s="634"/>
      <c r="EN400" s="647"/>
      <c r="EO400" s="648"/>
      <c r="EP400" s="647"/>
      <c r="EQ400" s="647"/>
      <c r="ER400" s="647"/>
      <c r="ES400" s="139"/>
      <c r="EV400" s="647"/>
      <c r="EW400" s="647"/>
      <c r="EX400" s="647"/>
      <c r="EY400" s="647"/>
      <c r="EZ400" s="647"/>
      <c r="FA400" s="646"/>
      <c r="FB400" s="646"/>
      <c r="FC400" s="646"/>
      <c r="FD400" s="646"/>
      <c r="FE400" s="646"/>
      <c r="FF400" s="646"/>
      <c r="FG400" s="647"/>
      <c r="FH400" s="647"/>
      <c r="FI400" s="647"/>
      <c r="FJ400" s="647"/>
      <c r="FK400" s="647"/>
      <c r="FL400" s="647"/>
      <c r="FM400" s="647"/>
      <c r="FN400" s="647"/>
      <c r="FO400" s="647"/>
      <c r="FP400" s="647"/>
      <c r="FQ400" s="647"/>
      <c r="FR400" s="647"/>
      <c r="FS400" s="101"/>
      <c r="FT400" s="95"/>
      <c r="FU400" s="651"/>
      <c r="FV400" s="101"/>
      <c r="FW400" s="101"/>
      <c r="FX400" s="634"/>
      <c r="FY400" s="634"/>
      <c r="FZ400" s="634"/>
      <c r="GA400" s="634"/>
      <c r="GB400" s="634"/>
      <c r="GC400" s="634"/>
      <c r="GD400" s="634"/>
      <c r="GE400" s="634"/>
      <c r="GF400" s="634"/>
      <c r="GG400" s="634"/>
      <c r="GH400" s="634"/>
      <c r="GI400" s="634"/>
      <c r="GJ400" s="634"/>
      <c r="GK400" s="634"/>
      <c r="GL400" s="101"/>
      <c r="GM400" s="101"/>
      <c r="GN400" s="101"/>
      <c r="GO400" s="643"/>
      <c r="GP400" s="644"/>
      <c r="GQ400" s="643"/>
      <c r="GR400" s="644"/>
      <c r="GS400" s="643"/>
      <c r="GT400" s="644"/>
      <c r="GU400" s="644"/>
      <c r="GV400" s="644"/>
      <c r="GW400" s="644"/>
      <c r="GX400" s="644"/>
      <c r="GY400" s="644"/>
      <c r="GZ400" s="644"/>
      <c r="HA400" s="644"/>
    </row>
    <row r="401" spans="1:209">
      <c r="A401" s="638"/>
      <c r="B401" s="95"/>
      <c r="C401" s="95"/>
      <c r="D401" s="95"/>
      <c r="E401" s="650"/>
      <c r="F401" s="95"/>
      <c r="G401" s="98"/>
      <c r="H401" s="99"/>
      <c r="I401" s="95"/>
      <c r="J401" s="95"/>
      <c r="K401" s="95"/>
      <c r="L401" s="95"/>
      <c r="M401" s="95"/>
      <c r="N401" s="95"/>
      <c r="O401" s="95"/>
      <c r="P401" s="95"/>
      <c r="Q401" s="95"/>
      <c r="R401" s="98"/>
      <c r="S401" s="101"/>
      <c r="T401" s="644"/>
      <c r="U401" s="101"/>
      <c r="V401" s="647"/>
      <c r="W401" s="643"/>
      <c r="X401" s="644"/>
      <c r="Y401" s="101"/>
      <c r="Z401" s="644"/>
      <c r="AA401" s="101"/>
      <c r="AB401" s="644"/>
      <c r="AC401" s="101"/>
      <c r="AD401" s="646"/>
      <c r="AE401" s="271"/>
      <c r="AF401" s="646"/>
      <c r="AG401" s="646"/>
      <c r="AH401" s="646"/>
      <c r="AI401" s="646"/>
      <c r="AJ401" s="646"/>
      <c r="AK401" s="646"/>
      <c r="AL401" s="646"/>
      <c r="AM401" s="271"/>
      <c r="AN401" s="646"/>
      <c r="AO401" s="646"/>
      <c r="AP401" s="646"/>
      <c r="AQ401" s="271"/>
      <c r="AR401" s="646"/>
      <c r="AS401" s="270"/>
      <c r="AT401" s="646"/>
      <c r="AU401" s="646"/>
      <c r="AV401" s="646"/>
      <c r="AW401" s="270"/>
      <c r="AX401" s="646"/>
      <c r="AY401" s="270"/>
      <c r="AZ401" s="646"/>
      <c r="BA401" s="646"/>
      <c r="BB401" s="644"/>
      <c r="BC401" s="644"/>
      <c r="BD401" s="644"/>
      <c r="BE401" s="644"/>
      <c r="BF401" s="644"/>
      <c r="BG401" s="644"/>
      <c r="BH401" s="644"/>
      <c r="BI401" s="644"/>
      <c r="BJ401" s="644"/>
      <c r="BK401" s="644"/>
      <c r="BL401" s="644"/>
      <c r="BM401" s="95"/>
      <c r="BN401" s="644"/>
      <c r="BO401" s="95"/>
      <c r="BP401" s="644"/>
      <c r="BQ401" s="644"/>
      <c r="BR401" s="644"/>
      <c r="BS401" s="644"/>
      <c r="BT401" s="644"/>
      <c r="BU401" s="644"/>
      <c r="BV401" s="644"/>
      <c r="BW401" s="644"/>
      <c r="BX401" s="644"/>
      <c r="BY401" s="644"/>
      <c r="BZ401" s="644"/>
      <c r="CA401" s="644"/>
      <c r="CB401" s="644"/>
      <c r="CC401" s="644"/>
      <c r="CD401" s="644"/>
      <c r="CE401" s="644"/>
      <c r="CF401" s="644"/>
      <c r="CG401" s="644"/>
      <c r="CH401" s="644"/>
      <c r="CI401" s="644"/>
      <c r="CJ401" s="644"/>
      <c r="CK401" s="644"/>
      <c r="CL401" s="644"/>
      <c r="CM401" s="95"/>
      <c r="CN401" s="644"/>
      <c r="CO401" s="644"/>
      <c r="CP401" s="95"/>
      <c r="CQ401" s="98"/>
      <c r="CR401" s="95"/>
      <c r="CS401" s="95"/>
      <c r="CT401" s="95"/>
      <c r="CU401" s="108"/>
      <c r="CV401" s="109"/>
      <c r="CW401" s="644"/>
      <c r="CX401" s="496"/>
      <c r="CY401" s="637"/>
      <c r="CZ401" s="644"/>
      <c r="DA401" s="644"/>
      <c r="DB401" s="644"/>
      <c r="DC401" s="496"/>
      <c r="DD401" s="644"/>
      <c r="DE401" s="101"/>
      <c r="DF401" s="644"/>
      <c r="DG401" s="101"/>
      <c r="DH401" s="644"/>
      <c r="DI401" s="644"/>
      <c r="DJ401" s="644"/>
      <c r="DK401" s="644"/>
      <c r="DL401" s="644"/>
      <c r="DM401" s="101"/>
      <c r="DN401" s="644"/>
      <c r="DO401" s="644"/>
      <c r="DP401" s="644"/>
      <c r="DQ401" s="644"/>
      <c r="DR401" s="644"/>
      <c r="DS401" s="644"/>
      <c r="DT401" s="644"/>
      <c r="DU401" s="644"/>
      <c r="DV401" s="644"/>
      <c r="DW401" s="101"/>
      <c r="DX401" s="646"/>
      <c r="DY401" s="646"/>
      <c r="DZ401" s="646"/>
      <c r="EA401" s="646"/>
      <c r="EB401" s="646"/>
      <c r="EC401" s="646"/>
      <c r="ED401" s="646"/>
      <c r="EE401" s="646"/>
      <c r="EF401" s="646"/>
      <c r="EG401" s="646"/>
      <c r="EH401" s="646"/>
      <c r="EI401" s="646"/>
      <c r="EJ401" s="646"/>
      <c r="EK401" s="271"/>
      <c r="EL401" s="644"/>
      <c r="EM401" s="634"/>
      <c r="EN401" s="647"/>
      <c r="EO401" s="648"/>
      <c r="EP401" s="647"/>
      <c r="EQ401" s="647"/>
      <c r="ER401" s="647"/>
      <c r="ES401" s="139"/>
      <c r="EV401" s="647"/>
      <c r="EW401" s="647"/>
      <c r="EX401" s="647"/>
      <c r="EY401" s="647"/>
      <c r="EZ401" s="647"/>
      <c r="FA401" s="646"/>
      <c r="FB401" s="646"/>
      <c r="FC401" s="646"/>
      <c r="FD401" s="646"/>
      <c r="FE401" s="646"/>
      <c r="FF401" s="646"/>
      <c r="FG401" s="647"/>
      <c r="FH401" s="647"/>
      <c r="FI401" s="647"/>
      <c r="FJ401" s="647"/>
      <c r="FK401" s="647"/>
      <c r="FL401" s="647"/>
      <c r="FM401" s="647"/>
      <c r="FN401" s="647"/>
      <c r="FO401" s="647"/>
      <c r="FP401" s="647"/>
      <c r="FQ401" s="647"/>
      <c r="FR401" s="647"/>
      <c r="FS401" s="101"/>
      <c r="FT401" s="95"/>
      <c r="FU401" s="651"/>
      <c r="FV401" s="101"/>
      <c r="FW401" s="101"/>
      <c r="FX401" s="634"/>
      <c r="FY401" s="634"/>
      <c r="FZ401" s="634"/>
      <c r="GA401" s="634"/>
      <c r="GB401" s="634"/>
      <c r="GC401" s="634"/>
      <c r="GD401" s="634"/>
      <c r="GE401" s="634"/>
      <c r="GF401" s="634"/>
      <c r="GG401" s="634"/>
      <c r="GH401" s="634"/>
      <c r="GI401" s="634"/>
      <c r="GJ401" s="634"/>
      <c r="GK401" s="634"/>
      <c r="GL401" s="101"/>
      <c r="GM401" s="101"/>
      <c r="GN401" s="101"/>
      <c r="GO401" s="643"/>
      <c r="GP401" s="644"/>
      <c r="GQ401" s="643"/>
      <c r="GR401" s="644"/>
      <c r="GS401" s="643"/>
      <c r="GT401" s="644"/>
      <c r="GU401" s="644"/>
      <c r="GV401" s="644"/>
      <c r="GW401" s="644"/>
      <c r="GX401" s="644"/>
      <c r="GY401" s="644"/>
      <c r="GZ401" s="644"/>
      <c r="HA401" s="644"/>
    </row>
    <row r="402" spans="1:209">
      <c r="A402" s="638"/>
      <c r="B402" s="95"/>
      <c r="C402" s="95"/>
      <c r="D402" s="95"/>
      <c r="E402" s="650"/>
      <c r="F402" s="95"/>
      <c r="G402" s="98"/>
      <c r="H402" s="99"/>
      <c r="I402" s="95"/>
      <c r="J402" s="95"/>
      <c r="K402" s="95"/>
      <c r="L402" s="95"/>
      <c r="M402" s="95"/>
      <c r="N402" s="95"/>
      <c r="O402" s="95"/>
      <c r="P402" s="95"/>
      <c r="Q402" s="95"/>
      <c r="R402" s="98"/>
      <c r="S402" s="101"/>
      <c r="T402" s="644"/>
      <c r="U402" s="101"/>
      <c r="V402" s="647"/>
      <c r="W402" s="643"/>
      <c r="X402" s="644"/>
      <c r="Y402" s="101"/>
      <c r="Z402" s="644"/>
      <c r="AA402" s="101"/>
      <c r="AB402" s="644"/>
      <c r="AC402" s="101"/>
      <c r="AD402" s="646"/>
      <c r="AE402" s="271"/>
      <c r="AF402" s="646"/>
      <c r="AG402" s="646"/>
      <c r="AH402" s="646"/>
      <c r="AI402" s="646"/>
      <c r="AJ402" s="646"/>
      <c r="AK402" s="646"/>
      <c r="AL402" s="646"/>
      <c r="AM402" s="271"/>
      <c r="AN402" s="646"/>
      <c r="AO402" s="646"/>
      <c r="AP402" s="646"/>
      <c r="AQ402" s="271"/>
      <c r="AR402" s="646"/>
      <c r="AS402" s="270"/>
      <c r="AT402" s="646"/>
      <c r="AU402" s="646"/>
      <c r="AV402" s="646"/>
      <c r="AW402" s="270"/>
      <c r="AX402" s="646"/>
      <c r="AY402" s="270"/>
      <c r="AZ402" s="646"/>
      <c r="BA402" s="646"/>
      <c r="BB402" s="644"/>
      <c r="BC402" s="644"/>
      <c r="BD402" s="644"/>
      <c r="BE402" s="644"/>
      <c r="BF402" s="644"/>
      <c r="BG402" s="644"/>
      <c r="BH402" s="644"/>
      <c r="BI402" s="644"/>
      <c r="BJ402" s="644"/>
      <c r="BK402" s="644"/>
      <c r="BL402" s="644"/>
      <c r="BM402" s="95"/>
      <c r="BN402" s="644"/>
      <c r="BO402" s="95"/>
      <c r="BP402" s="644"/>
      <c r="BQ402" s="644"/>
      <c r="BR402" s="644"/>
      <c r="BS402" s="644"/>
      <c r="BT402" s="644"/>
      <c r="BU402" s="644"/>
      <c r="BV402" s="644"/>
      <c r="BW402" s="644"/>
      <c r="BX402" s="644"/>
      <c r="BY402" s="644"/>
      <c r="BZ402" s="644"/>
      <c r="CA402" s="644"/>
      <c r="CB402" s="644"/>
      <c r="CC402" s="644"/>
      <c r="CD402" s="644"/>
      <c r="CE402" s="644"/>
      <c r="CF402" s="644"/>
      <c r="CG402" s="644"/>
      <c r="CH402" s="644"/>
      <c r="CI402" s="644"/>
      <c r="CJ402" s="644"/>
      <c r="CK402" s="644"/>
      <c r="CL402" s="644"/>
      <c r="CM402" s="95"/>
      <c r="CN402" s="644"/>
      <c r="CO402" s="644"/>
      <c r="CP402" s="95"/>
      <c r="CQ402" s="98"/>
      <c r="CR402" s="95"/>
      <c r="CS402" s="95"/>
      <c r="CT402" s="95"/>
      <c r="CU402" s="108"/>
      <c r="CV402" s="109"/>
      <c r="CW402" s="644"/>
      <c r="CX402" s="496"/>
      <c r="CY402" s="637"/>
      <c r="CZ402" s="644"/>
      <c r="DA402" s="644"/>
      <c r="DB402" s="644"/>
      <c r="DC402" s="496"/>
      <c r="DD402" s="644"/>
      <c r="DE402" s="101"/>
      <c r="DF402" s="644"/>
      <c r="DG402" s="101"/>
      <c r="DH402" s="644"/>
      <c r="DI402" s="644"/>
      <c r="DJ402" s="644"/>
      <c r="DK402" s="644"/>
      <c r="DL402" s="644"/>
      <c r="DM402" s="101"/>
      <c r="DN402" s="644"/>
      <c r="DO402" s="644"/>
      <c r="DP402" s="644"/>
      <c r="DQ402" s="644"/>
      <c r="DR402" s="644"/>
      <c r="DS402" s="644"/>
      <c r="DT402" s="644"/>
      <c r="DU402" s="644"/>
      <c r="DV402" s="644"/>
      <c r="DW402" s="101"/>
      <c r="DX402" s="646"/>
      <c r="DY402" s="646"/>
      <c r="DZ402" s="646"/>
      <c r="EA402" s="646"/>
      <c r="EB402" s="646"/>
      <c r="EC402" s="646"/>
      <c r="ED402" s="646"/>
      <c r="EE402" s="646"/>
      <c r="EF402" s="646"/>
      <c r="EG402" s="646"/>
      <c r="EH402" s="646"/>
      <c r="EI402" s="646"/>
      <c r="EJ402" s="646"/>
      <c r="EK402" s="271"/>
      <c r="EL402" s="644"/>
      <c r="EM402" s="634"/>
      <c r="EN402" s="647"/>
      <c r="EO402" s="648"/>
      <c r="EP402" s="647"/>
      <c r="EQ402" s="647"/>
      <c r="ER402" s="647"/>
      <c r="ES402" s="139"/>
      <c r="EV402" s="647"/>
      <c r="EW402" s="647"/>
      <c r="EX402" s="647"/>
      <c r="EY402" s="647"/>
      <c r="EZ402" s="647"/>
      <c r="FA402" s="646"/>
      <c r="FB402" s="646"/>
      <c r="FC402" s="646"/>
      <c r="FD402" s="646"/>
      <c r="FE402" s="646"/>
      <c r="FF402" s="646"/>
      <c r="FG402" s="647"/>
      <c r="FH402" s="647"/>
      <c r="FI402" s="647"/>
      <c r="FJ402" s="647"/>
      <c r="FK402" s="647"/>
      <c r="FL402" s="647"/>
      <c r="FM402" s="647"/>
      <c r="FN402" s="647"/>
      <c r="FO402" s="647"/>
      <c r="FP402" s="647"/>
      <c r="FQ402" s="647"/>
      <c r="FR402" s="647"/>
      <c r="FS402" s="101"/>
      <c r="FT402" s="95"/>
      <c r="FU402" s="651"/>
      <c r="FV402" s="101"/>
      <c r="FW402" s="101"/>
      <c r="FX402" s="634"/>
      <c r="FY402" s="634"/>
      <c r="FZ402" s="634"/>
      <c r="GA402" s="634"/>
      <c r="GB402" s="634"/>
      <c r="GC402" s="634"/>
      <c r="GD402" s="634"/>
      <c r="GE402" s="634"/>
      <c r="GF402" s="634"/>
      <c r="GG402" s="634"/>
      <c r="GH402" s="634"/>
      <c r="GI402" s="634"/>
      <c r="GJ402" s="634"/>
      <c r="GK402" s="634"/>
      <c r="GL402" s="101"/>
      <c r="GM402" s="101"/>
      <c r="GN402" s="101"/>
      <c r="GO402" s="643"/>
      <c r="GP402" s="644"/>
      <c r="GQ402" s="643"/>
      <c r="GR402" s="644"/>
      <c r="GS402" s="643"/>
      <c r="GT402" s="644"/>
      <c r="GU402" s="644"/>
      <c r="GV402" s="644"/>
      <c r="GW402" s="644"/>
      <c r="GX402" s="644"/>
      <c r="GY402" s="644"/>
      <c r="GZ402" s="644"/>
      <c r="HA402" s="644"/>
    </row>
    <row r="403" spans="1:209">
      <c r="A403" s="638"/>
      <c r="B403" s="95"/>
      <c r="C403" s="95"/>
      <c r="D403" s="95"/>
      <c r="E403" s="650"/>
      <c r="F403" s="95"/>
      <c r="G403" s="98"/>
      <c r="H403" s="99"/>
      <c r="I403" s="95"/>
      <c r="J403" s="95"/>
      <c r="K403" s="95"/>
      <c r="L403" s="95"/>
      <c r="M403" s="95"/>
      <c r="N403" s="95"/>
      <c r="O403" s="95"/>
      <c r="P403" s="95"/>
      <c r="Q403" s="95"/>
      <c r="R403" s="98"/>
      <c r="S403" s="101"/>
      <c r="T403" s="644"/>
      <c r="U403" s="101"/>
      <c r="V403" s="647"/>
      <c r="W403" s="643"/>
      <c r="X403" s="644"/>
      <c r="Y403" s="101"/>
      <c r="Z403" s="644"/>
      <c r="AA403" s="101"/>
      <c r="AB403" s="644"/>
      <c r="AC403" s="101"/>
      <c r="AD403" s="646"/>
      <c r="AE403" s="271"/>
      <c r="AF403" s="646"/>
      <c r="AG403" s="646"/>
      <c r="AH403" s="646"/>
      <c r="AI403" s="646"/>
      <c r="AJ403" s="646"/>
      <c r="AK403" s="646"/>
      <c r="AL403" s="646"/>
      <c r="AM403" s="271"/>
      <c r="AN403" s="646"/>
      <c r="AO403" s="646"/>
      <c r="AP403" s="646"/>
      <c r="AQ403" s="271"/>
      <c r="AR403" s="646"/>
      <c r="AS403" s="270"/>
      <c r="AT403" s="646"/>
      <c r="AU403" s="646"/>
      <c r="AV403" s="646"/>
      <c r="AW403" s="270"/>
      <c r="AX403" s="646"/>
      <c r="AY403" s="270"/>
      <c r="AZ403" s="646"/>
      <c r="BA403" s="646"/>
      <c r="BB403" s="644"/>
      <c r="BC403" s="644"/>
      <c r="BD403" s="644"/>
      <c r="BE403" s="644"/>
      <c r="BF403" s="644"/>
      <c r="BG403" s="644"/>
      <c r="BH403" s="644"/>
      <c r="BI403" s="644"/>
      <c r="BJ403" s="644"/>
      <c r="BK403" s="644"/>
      <c r="BL403" s="644"/>
      <c r="BM403" s="95"/>
      <c r="BN403" s="644"/>
      <c r="BO403" s="95"/>
      <c r="BP403" s="644"/>
      <c r="BQ403" s="644"/>
      <c r="BR403" s="644"/>
      <c r="BS403" s="644"/>
      <c r="BT403" s="644"/>
      <c r="BU403" s="644"/>
      <c r="BV403" s="644"/>
      <c r="BW403" s="644"/>
      <c r="BX403" s="644"/>
      <c r="BY403" s="644"/>
      <c r="BZ403" s="644"/>
      <c r="CA403" s="644"/>
      <c r="CB403" s="644"/>
      <c r="CC403" s="644"/>
      <c r="CD403" s="644"/>
      <c r="CE403" s="644"/>
      <c r="CF403" s="644"/>
      <c r="CG403" s="644"/>
      <c r="CH403" s="644"/>
      <c r="CI403" s="644"/>
      <c r="CJ403" s="644"/>
      <c r="CK403" s="644"/>
      <c r="CL403" s="644"/>
      <c r="CM403" s="95"/>
      <c r="CN403" s="644"/>
      <c r="CO403" s="644"/>
      <c r="CP403" s="95"/>
      <c r="CQ403" s="98"/>
      <c r="CR403" s="95"/>
      <c r="CS403" s="95"/>
      <c r="CT403" s="95"/>
      <c r="CU403" s="108"/>
      <c r="CV403" s="109"/>
      <c r="CW403" s="644"/>
      <c r="CX403" s="496"/>
      <c r="CY403" s="637"/>
      <c r="CZ403" s="644"/>
      <c r="DA403" s="644"/>
      <c r="DB403" s="644"/>
      <c r="DC403" s="496"/>
      <c r="DD403" s="644"/>
      <c r="DE403" s="101"/>
      <c r="DF403" s="644"/>
      <c r="DG403" s="101"/>
      <c r="DH403" s="644"/>
      <c r="DI403" s="644"/>
      <c r="DJ403" s="644"/>
      <c r="DK403" s="644"/>
      <c r="DL403" s="644"/>
      <c r="DM403" s="101"/>
      <c r="DN403" s="644"/>
      <c r="DO403" s="644"/>
      <c r="DP403" s="644"/>
      <c r="DQ403" s="644"/>
      <c r="DR403" s="644"/>
      <c r="DS403" s="644"/>
      <c r="DT403" s="644"/>
      <c r="DU403" s="644"/>
      <c r="DV403" s="644"/>
      <c r="DW403" s="101"/>
      <c r="DX403" s="646"/>
      <c r="DY403" s="646"/>
      <c r="DZ403" s="646"/>
      <c r="EA403" s="646"/>
      <c r="EB403" s="646"/>
      <c r="EC403" s="646"/>
      <c r="ED403" s="646"/>
      <c r="EE403" s="646"/>
      <c r="EF403" s="646"/>
      <c r="EG403" s="646"/>
      <c r="EH403" s="646"/>
      <c r="EI403" s="646"/>
      <c r="EJ403" s="646"/>
      <c r="EK403" s="271"/>
      <c r="EL403" s="644"/>
      <c r="EM403" s="634"/>
      <c r="EN403" s="647"/>
      <c r="EO403" s="648"/>
      <c r="EP403" s="647"/>
      <c r="EQ403" s="647"/>
      <c r="ER403" s="647"/>
      <c r="ES403" s="139"/>
      <c r="EV403" s="647"/>
      <c r="EW403" s="647"/>
      <c r="EX403" s="647"/>
      <c r="EY403" s="647"/>
      <c r="EZ403" s="647"/>
      <c r="FA403" s="646"/>
      <c r="FB403" s="646"/>
      <c r="FC403" s="646"/>
      <c r="FD403" s="646"/>
      <c r="FE403" s="646"/>
      <c r="FF403" s="646"/>
      <c r="FG403" s="647"/>
      <c r="FH403" s="647"/>
      <c r="FI403" s="647"/>
      <c r="FJ403" s="647"/>
      <c r="FK403" s="647"/>
      <c r="FL403" s="647"/>
      <c r="FM403" s="647"/>
      <c r="FN403" s="647"/>
      <c r="FO403" s="647"/>
      <c r="FP403" s="647"/>
      <c r="FQ403" s="647"/>
      <c r="FR403" s="647"/>
      <c r="FS403" s="101"/>
      <c r="FT403" s="95"/>
      <c r="FU403" s="651"/>
      <c r="FV403" s="101"/>
      <c r="FW403" s="101"/>
      <c r="FX403" s="634"/>
      <c r="FY403" s="634"/>
      <c r="FZ403" s="634"/>
      <c r="GA403" s="634"/>
      <c r="GB403" s="634"/>
      <c r="GC403" s="634"/>
      <c r="GD403" s="634"/>
      <c r="GE403" s="634"/>
      <c r="GF403" s="634"/>
      <c r="GG403" s="634"/>
      <c r="GH403" s="634"/>
      <c r="GI403" s="634"/>
      <c r="GJ403" s="634"/>
      <c r="GK403" s="634"/>
      <c r="GL403" s="101"/>
      <c r="GM403" s="101"/>
      <c r="GN403" s="101"/>
      <c r="GO403" s="643"/>
      <c r="GP403" s="644"/>
      <c r="GQ403" s="643"/>
      <c r="GR403" s="644"/>
      <c r="GS403" s="643"/>
      <c r="GT403" s="644"/>
      <c r="GU403" s="644"/>
      <c r="GV403" s="644"/>
      <c r="GW403" s="644"/>
      <c r="GX403" s="644"/>
      <c r="GY403" s="644"/>
      <c r="GZ403" s="644"/>
      <c r="HA403" s="644"/>
    </row>
    <row r="404" spans="1:209">
      <c r="A404" s="638"/>
      <c r="B404" s="95"/>
      <c r="C404" s="95"/>
      <c r="D404" s="95"/>
      <c r="E404" s="650"/>
      <c r="F404" s="95"/>
      <c r="G404" s="98"/>
      <c r="H404" s="99"/>
      <c r="I404" s="95"/>
      <c r="J404" s="95"/>
      <c r="K404" s="95"/>
      <c r="L404" s="95"/>
      <c r="M404" s="95"/>
      <c r="N404" s="95"/>
      <c r="O404" s="95"/>
      <c r="P404" s="95"/>
      <c r="Q404" s="95"/>
      <c r="R404" s="98"/>
      <c r="S404" s="101"/>
      <c r="T404" s="644"/>
      <c r="U404" s="101"/>
      <c r="V404" s="647"/>
      <c r="W404" s="643"/>
      <c r="X404" s="644"/>
      <c r="Y404" s="101"/>
      <c r="Z404" s="644"/>
      <c r="AA404" s="101"/>
      <c r="AB404" s="644"/>
      <c r="AC404" s="101"/>
      <c r="AD404" s="646"/>
      <c r="AE404" s="271"/>
      <c r="AF404" s="646"/>
      <c r="AG404" s="646"/>
      <c r="AH404" s="646"/>
      <c r="AI404" s="646"/>
      <c r="AJ404" s="646"/>
      <c r="AK404" s="646"/>
      <c r="AL404" s="646"/>
      <c r="AM404" s="271"/>
      <c r="AN404" s="646"/>
      <c r="AO404" s="646"/>
      <c r="AP404" s="646"/>
      <c r="AQ404" s="271"/>
      <c r="AR404" s="646"/>
      <c r="AS404" s="270"/>
      <c r="AT404" s="646"/>
      <c r="AU404" s="646"/>
      <c r="AV404" s="646"/>
      <c r="AW404" s="270"/>
      <c r="AX404" s="646"/>
      <c r="AY404" s="270"/>
      <c r="AZ404" s="646"/>
      <c r="BA404" s="646"/>
      <c r="BB404" s="644"/>
      <c r="BC404" s="644"/>
      <c r="BD404" s="644"/>
      <c r="BE404" s="644"/>
      <c r="BF404" s="644"/>
      <c r="BG404" s="644"/>
      <c r="BH404" s="644"/>
      <c r="BI404" s="644"/>
      <c r="BJ404" s="644"/>
      <c r="BK404" s="644"/>
      <c r="BL404" s="644"/>
      <c r="BM404" s="95"/>
      <c r="BN404" s="644"/>
      <c r="BO404" s="95"/>
      <c r="BP404" s="644"/>
      <c r="BQ404" s="644"/>
      <c r="BR404" s="644"/>
      <c r="BS404" s="644"/>
      <c r="BT404" s="644"/>
      <c r="BU404" s="644"/>
      <c r="BV404" s="644"/>
      <c r="BW404" s="644"/>
      <c r="BX404" s="644"/>
      <c r="BY404" s="644"/>
      <c r="BZ404" s="644"/>
      <c r="CA404" s="644"/>
      <c r="CB404" s="644"/>
      <c r="CC404" s="644"/>
      <c r="CD404" s="644"/>
      <c r="CE404" s="644"/>
      <c r="CF404" s="644"/>
      <c r="CG404" s="644"/>
      <c r="CH404" s="644"/>
      <c r="CI404" s="644"/>
      <c r="CJ404" s="644"/>
      <c r="CK404" s="644"/>
      <c r="CL404" s="644"/>
      <c r="CM404" s="95"/>
      <c r="CN404" s="644"/>
      <c r="CO404" s="644"/>
      <c r="CP404" s="95"/>
      <c r="CQ404" s="98"/>
      <c r="CR404" s="95"/>
      <c r="CS404" s="95"/>
      <c r="CT404" s="95"/>
      <c r="CU404" s="108"/>
      <c r="CV404" s="109"/>
      <c r="CW404" s="644"/>
      <c r="CX404" s="496"/>
      <c r="CY404" s="637"/>
      <c r="CZ404" s="644"/>
      <c r="DA404" s="644"/>
      <c r="DB404" s="644"/>
      <c r="DC404" s="496"/>
      <c r="DD404" s="644"/>
      <c r="DE404" s="101"/>
      <c r="DF404" s="644"/>
      <c r="DG404" s="101"/>
      <c r="DH404" s="644"/>
      <c r="DI404" s="644"/>
      <c r="DJ404" s="644"/>
      <c r="DK404" s="644"/>
      <c r="DL404" s="644"/>
      <c r="DM404" s="101"/>
      <c r="DN404" s="644"/>
      <c r="DO404" s="644"/>
      <c r="DP404" s="644"/>
      <c r="DQ404" s="644"/>
      <c r="DR404" s="644"/>
      <c r="DS404" s="644"/>
      <c r="DT404" s="644"/>
      <c r="DU404" s="644"/>
      <c r="DV404" s="644"/>
      <c r="DW404" s="101"/>
      <c r="DX404" s="646"/>
      <c r="DY404" s="646"/>
      <c r="DZ404" s="646"/>
      <c r="EA404" s="646"/>
      <c r="EB404" s="646"/>
      <c r="EC404" s="646"/>
      <c r="ED404" s="646"/>
      <c r="EE404" s="646"/>
      <c r="EF404" s="646"/>
      <c r="EG404" s="646"/>
      <c r="EH404" s="646"/>
      <c r="EI404" s="646"/>
      <c r="EJ404" s="646"/>
      <c r="EK404" s="271"/>
      <c r="EL404" s="644"/>
      <c r="EM404" s="634"/>
      <c r="EN404" s="647"/>
      <c r="EO404" s="648"/>
      <c r="EP404" s="647"/>
      <c r="EQ404" s="647"/>
      <c r="ER404" s="647"/>
      <c r="ES404" s="139"/>
      <c r="EV404" s="647"/>
      <c r="EW404" s="647"/>
      <c r="EX404" s="647"/>
      <c r="EY404" s="647"/>
      <c r="EZ404" s="647"/>
      <c r="FA404" s="646"/>
      <c r="FB404" s="646"/>
      <c r="FC404" s="646"/>
      <c r="FD404" s="646"/>
      <c r="FE404" s="646"/>
      <c r="FF404" s="646"/>
      <c r="FG404" s="647"/>
      <c r="FH404" s="647"/>
      <c r="FI404" s="647"/>
      <c r="FJ404" s="647"/>
      <c r="FK404" s="647"/>
      <c r="FL404" s="647"/>
      <c r="FM404" s="647"/>
      <c r="FN404" s="647"/>
      <c r="FO404" s="647"/>
      <c r="FP404" s="647"/>
      <c r="FQ404" s="647"/>
      <c r="FR404" s="647"/>
      <c r="FS404" s="101"/>
      <c r="FT404" s="95"/>
      <c r="FU404" s="651"/>
      <c r="FV404" s="101"/>
      <c r="FW404" s="101"/>
      <c r="FX404" s="634"/>
      <c r="FY404" s="634"/>
      <c r="FZ404" s="634"/>
      <c r="GA404" s="634"/>
      <c r="GB404" s="634"/>
      <c r="GC404" s="634"/>
      <c r="GD404" s="634"/>
      <c r="GE404" s="634"/>
      <c r="GF404" s="634"/>
      <c r="GG404" s="634"/>
      <c r="GH404" s="634"/>
      <c r="GI404" s="634"/>
      <c r="GJ404" s="634"/>
      <c r="GK404" s="634"/>
      <c r="GL404" s="101"/>
      <c r="GM404" s="101"/>
      <c r="GN404" s="101"/>
      <c r="GO404" s="643"/>
      <c r="GP404" s="644"/>
      <c r="GQ404" s="643"/>
      <c r="GR404" s="644"/>
      <c r="GS404" s="643"/>
      <c r="GT404" s="644"/>
      <c r="GU404" s="644"/>
      <c r="GV404" s="644"/>
      <c r="GW404" s="644"/>
      <c r="GX404" s="644"/>
      <c r="GY404" s="644"/>
      <c r="GZ404" s="644"/>
      <c r="HA404" s="644"/>
    </row>
    <row r="405" spans="1:209">
      <c r="A405" s="638"/>
      <c r="B405" s="95"/>
      <c r="C405" s="95"/>
      <c r="D405" s="95"/>
      <c r="E405" s="650"/>
      <c r="F405" s="95"/>
      <c r="G405" s="98"/>
      <c r="H405" s="99"/>
      <c r="I405" s="95"/>
      <c r="J405" s="95"/>
      <c r="K405" s="95"/>
      <c r="L405" s="95"/>
      <c r="M405" s="95"/>
      <c r="N405" s="95"/>
      <c r="O405" s="95"/>
      <c r="P405" s="95"/>
      <c r="Q405" s="95"/>
      <c r="R405" s="98"/>
      <c r="S405" s="101"/>
      <c r="T405" s="644"/>
      <c r="U405" s="101"/>
      <c r="V405" s="647"/>
      <c r="W405" s="643"/>
      <c r="X405" s="644"/>
      <c r="Y405" s="101"/>
      <c r="Z405" s="644"/>
      <c r="AA405" s="101"/>
      <c r="AB405" s="644"/>
      <c r="AC405" s="101"/>
      <c r="AD405" s="646"/>
      <c r="AE405" s="271"/>
      <c r="AF405" s="646"/>
      <c r="AG405" s="646"/>
      <c r="AH405" s="646"/>
      <c r="AI405" s="646"/>
      <c r="AJ405" s="646"/>
      <c r="AK405" s="646"/>
      <c r="AL405" s="646"/>
      <c r="AM405" s="271"/>
      <c r="AN405" s="646"/>
      <c r="AO405" s="646"/>
      <c r="AP405" s="646"/>
      <c r="AQ405" s="271"/>
      <c r="AR405" s="646"/>
      <c r="AS405" s="270"/>
      <c r="AT405" s="646"/>
      <c r="AU405" s="646"/>
      <c r="AV405" s="646"/>
      <c r="AW405" s="270"/>
      <c r="AX405" s="646"/>
      <c r="AY405" s="270"/>
      <c r="AZ405" s="646"/>
      <c r="BA405" s="646"/>
      <c r="BB405" s="644"/>
      <c r="BC405" s="644"/>
      <c r="BD405" s="644"/>
      <c r="BE405" s="644"/>
      <c r="BF405" s="644"/>
      <c r="BG405" s="644"/>
      <c r="BH405" s="644"/>
      <c r="BI405" s="644"/>
      <c r="BJ405" s="644"/>
      <c r="BK405" s="644"/>
      <c r="BL405" s="644"/>
      <c r="BM405" s="95"/>
      <c r="BN405" s="644"/>
      <c r="BO405" s="95"/>
      <c r="BP405" s="644"/>
      <c r="BQ405" s="644"/>
      <c r="BR405" s="644"/>
      <c r="BS405" s="644"/>
      <c r="BT405" s="644"/>
      <c r="BU405" s="644"/>
      <c r="BV405" s="644"/>
      <c r="BW405" s="644"/>
      <c r="BX405" s="644"/>
      <c r="BY405" s="644"/>
      <c r="BZ405" s="644"/>
      <c r="CA405" s="644"/>
      <c r="CB405" s="644"/>
      <c r="CC405" s="644"/>
      <c r="CD405" s="644"/>
      <c r="CE405" s="644"/>
      <c r="CF405" s="644"/>
      <c r="CG405" s="644"/>
      <c r="CH405" s="644"/>
      <c r="CI405" s="644"/>
      <c r="CJ405" s="644"/>
      <c r="CK405" s="644"/>
      <c r="CL405" s="644"/>
      <c r="CM405" s="95"/>
      <c r="CN405" s="644"/>
      <c r="CO405" s="644"/>
      <c r="CP405" s="95"/>
      <c r="CQ405" s="98"/>
      <c r="CR405" s="95"/>
      <c r="CS405" s="95"/>
      <c r="CT405" s="95"/>
      <c r="CU405" s="108"/>
      <c r="CV405" s="109"/>
      <c r="CW405" s="644"/>
      <c r="CX405" s="496"/>
      <c r="CY405" s="637"/>
      <c r="CZ405" s="644"/>
      <c r="DA405" s="644"/>
      <c r="DB405" s="644"/>
      <c r="DC405" s="496"/>
      <c r="DD405" s="644"/>
      <c r="DE405" s="101"/>
      <c r="DF405" s="644"/>
      <c r="DG405" s="101"/>
      <c r="DH405" s="644"/>
      <c r="DI405" s="644"/>
      <c r="DJ405" s="644"/>
      <c r="DK405" s="644"/>
      <c r="DL405" s="644"/>
      <c r="DM405" s="101"/>
      <c r="DN405" s="644"/>
      <c r="DO405" s="644"/>
      <c r="DP405" s="644"/>
      <c r="DQ405" s="644"/>
      <c r="DR405" s="644"/>
      <c r="DS405" s="644"/>
      <c r="DT405" s="644"/>
      <c r="DU405" s="644"/>
      <c r="DV405" s="644"/>
      <c r="DW405" s="101"/>
      <c r="DX405" s="646"/>
      <c r="DY405" s="646"/>
      <c r="DZ405" s="646"/>
      <c r="EA405" s="646"/>
      <c r="EB405" s="646"/>
      <c r="EC405" s="646"/>
      <c r="ED405" s="646"/>
      <c r="EE405" s="646"/>
      <c r="EF405" s="646"/>
      <c r="EG405" s="646"/>
      <c r="EH405" s="646"/>
      <c r="EI405" s="646"/>
      <c r="EJ405" s="646"/>
      <c r="EK405" s="271"/>
      <c r="EL405" s="644"/>
      <c r="EM405" s="634"/>
      <c r="EN405" s="647"/>
      <c r="EO405" s="648"/>
      <c r="EP405" s="647"/>
      <c r="EQ405" s="647"/>
      <c r="ER405" s="647"/>
      <c r="ES405" s="139"/>
      <c r="EV405" s="647"/>
      <c r="EW405" s="647"/>
      <c r="EX405" s="647"/>
      <c r="EY405" s="647"/>
      <c r="EZ405" s="647"/>
      <c r="FA405" s="646"/>
      <c r="FB405" s="646"/>
      <c r="FC405" s="646"/>
      <c r="FD405" s="646"/>
      <c r="FE405" s="646"/>
      <c r="FF405" s="646"/>
      <c r="FG405" s="647"/>
      <c r="FH405" s="647"/>
      <c r="FI405" s="647"/>
      <c r="FJ405" s="647"/>
      <c r="FK405" s="647"/>
      <c r="FL405" s="647"/>
      <c r="FM405" s="647"/>
      <c r="FN405" s="647"/>
      <c r="FO405" s="647"/>
      <c r="FP405" s="647"/>
      <c r="FQ405" s="647"/>
      <c r="FR405" s="647"/>
      <c r="FS405" s="101"/>
      <c r="FT405" s="95"/>
      <c r="FU405" s="651"/>
      <c r="FV405" s="101"/>
      <c r="FW405" s="101"/>
      <c r="FX405" s="634"/>
      <c r="FY405" s="634"/>
      <c r="FZ405" s="634"/>
      <c r="GA405" s="634"/>
      <c r="GB405" s="634"/>
      <c r="GC405" s="634"/>
      <c r="GD405" s="634"/>
      <c r="GE405" s="634"/>
      <c r="GF405" s="634"/>
      <c r="GG405" s="634"/>
      <c r="GH405" s="634"/>
      <c r="GI405" s="634"/>
      <c r="GJ405" s="634"/>
      <c r="GK405" s="634"/>
      <c r="GL405" s="101"/>
      <c r="GM405" s="101"/>
      <c r="GN405" s="101"/>
      <c r="GO405" s="643"/>
      <c r="GP405" s="644"/>
      <c r="GQ405" s="643"/>
      <c r="GR405" s="644"/>
      <c r="GS405" s="643"/>
      <c r="GT405" s="644"/>
      <c r="GU405" s="644"/>
      <c r="GV405" s="644"/>
      <c r="GW405" s="644"/>
      <c r="GX405" s="644"/>
      <c r="GY405" s="644"/>
      <c r="GZ405" s="644"/>
      <c r="HA405" s="644"/>
    </row>
    <row r="406" spans="1:209">
      <c r="A406" s="638"/>
      <c r="B406" s="95"/>
      <c r="C406" s="95"/>
      <c r="D406" s="95"/>
      <c r="E406" s="650"/>
      <c r="F406" s="95"/>
      <c r="G406" s="98"/>
      <c r="H406" s="99"/>
      <c r="I406" s="95"/>
      <c r="J406" s="95"/>
      <c r="K406" s="95"/>
      <c r="L406" s="95"/>
      <c r="M406" s="95"/>
      <c r="N406" s="95"/>
      <c r="O406" s="95"/>
      <c r="P406" s="95"/>
      <c r="Q406" s="95"/>
      <c r="R406" s="98"/>
      <c r="S406" s="101"/>
      <c r="T406" s="644"/>
      <c r="U406" s="101"/>
      <c r="V406" s="647"/>
      <c r="W406" s="643"/>
      <c r="X406" s="644"/>
      <c r="Y406" s="101"/>
      <c r="Z406" s="644"/>
      <c r="AA406" s="101"/>
      <c r="AB406" s="644"/>
      <c r="AC406" s="101"/>
      <c r="AD406" s="646"/>
      <c r="AE406" s="271"/>
      <c r="AF406" s="646"/>
      <c r="AG406" s="646"/>
      <c r="AH406" s="646"/>
      <c r="AI406" s="646"/>
      <c r="AJ406" s="646"/>
      <c r="AK406" s="646"/>
      <c r="AL406" s="646"/>
      <c r="AM406" s="271"/>
      <c r="AN406" s="646"/>
      <c r="AO406" s="646"/>
      <c r="AP406" s="646"/>
      <c r="AQ406" s="271"/>
      <c r="AR406" s="646"/>
      <c r="AS406" s="270"/>
      <c r="AT406" s="646"/>
      <c r="AU406" s="646"/>
      <c r="AV406" s="646"/>
      <c r="AW406" s="270"/>
      <c r="AX406" s="646"/>
      <c r="AY406" s="270"/>
      <c r="AZ406" s="646"/>
      <c r="BA406" s="646"/>
      <c r="BB406" s="644"/>
      <c r="BC406" s="644"/>
      <c r="BD406" s="644"/>
      <c r="BE406" s="644"/>
      <c r="BF406" s="644"/>
      <c r="BG406" s="644"/>
      <c r="BH406" s="644"/>
      <c r="BI406" s="644"/>
      <c r="BJ406" s="644"/>
      <c r="BK406" s="644"/>
      <c r="BL406" s="644"/>
      <c r="BM406" s="95"/>
      <c r="BN406" s="644"/>
      <c r="BO406" s="95"/>
      <c r="BP406" s="644"/>
      <c r="BQ406" s="644"/>
      <c r="BR406" s="644"/>
      <c r="BS406" s="644"/>
      <c r="BT406" s="644"/>
      <c r="BU406" s="644"/>
      <c r="BV406" s="644"/>
      <c r="BW406" s="644"/>
      <c r="BX406" s="644"/>
      <c r="BY406" s="644"/>
      <c r="BZ406" s="644"/>
      <c r="CA406" s="644"/>
      <c r="CB406" s="644"/>
      <c r="CC406" s="644"/>
      <c r="CD406" s="644"/>
      <c r="CE406" s="644"/>
      <c r="CF406" s="644"/>
      <c r="CG406" s="644"/>
      <c r="CH406" s="644"/>
      <c r="CI406" s="644"/>
      <c r="CJ406" s="644"/>
      <c r="CK406" s="644"/>
      <c r="CL406" s="644"/>
      <c r="CM406" s="95"/>
      <c r="CN406" s="644"/>
      <c r="CO406" s="644"/>
      <c r="CP406" s="95"/>
      <c r="CQ406" s="98"/>
      <c r="CR406" s="95"/>
      <c r="CS406" s="95"/>
      <c r="CT406" s="95"/>
      <c r="CU406" s="108"/>
      <c r="CV406" s="109"/>
      <c r="CW406" s="644"/>
      <c r="CX406" s="496"/>
      <c r="CY406" s="637"/>
      <c r="CZ406" s="644"/>
      <c r="DA406" s="644"/>
      <c r="DB406" s="644"/>
      <c r="DC406" s="496"/>
      <c r="DD406" s="644"/>
      <c r="DE406" s="101"/>
      <c r="DF406" s="644"/>
      <c r="DG406" s="101"/>
      <c r="DH406" s="644"/>
      <c r="DI406" s="644"/>
      <c r="DJ406" s="644"/>
      <c r="DK406" s="644"/>
      <c r="DL406" s="644"/>
      <c r="DM406" s="101"/>
      <c r="DN406" s="644"/>
      <c r="DO406" s="644"/>
      <c r="DP406" s="644"/>
      <c r="DQ406" s="644"/>
      <c r="DR406" s="644"/>
      <c r="DS406" s="644"/>
      <c r="DT406" s="644"/>
      <c r="DU406" s="644"/>
      <c r="DV406" s="644"/>
      <c r="DW406" s="101"/>
      <c r="DX406" s="646"/>
      <c r="DY406" s="646"/>
      <c r="DZ406" s="646"/>
      <c r="EA406" s="646"/>
      <c r="EB406" s="646"/>
      <c r="EC406" s="646"/>
      <c r="ED406" s="646"/>
      <c r="EE406" s="646"/>
      <c r="EF406" s="646"/>
      <c r="EG406" s="646"/>
      <c r="EH406" s="646"/>
      <c r="EI406" s="646"/>
      <c r="EJ406" s="646"/>
      <c r="EK406" s="271"/>
      <c r="EL406" s="644"/>
      <c r="EM406" s="634"/>
      <c r="EN406" s="647"/>
      <c r="EO406" s="648"/>
      <c r="EP406" s="647"/>
      <c r="EQ406" s="647"/>
      <c r="ER406" s="647"/>
      <c r="ES406" s="139"/>
      <c r="EV406" s="647"/>
      <c r="EW406" s="647"/>
      <c r="EX406" s="647"/>
      <c r="EY406" s="647"/>
      <c r="EZ406" s="647"/>
      <c r="FA406" s="646"/>
      <c r="FB406" s="646"/>
      <c r="FC406" s="646"/>
      <c r="FD406" s="646"/>
      <c r="FE406" s="646"/>
      <c r="FF406" s="646"/>
      <c r="FG406" s="647"/>
      <c r="FH406" s="647"/>
      <c r="FI406" s="647"/>
      <c r="FJ406" s="647"/>
      <c r="FK406" s="647"/>
      <c r="FL406" s="647"/>
      <c r="FM406" s="647"/>
      <c r="FN406" s="647"/>
      <c r="FO406" s="647"/>
      <c r="FP406" s="647"/>
      <c r="FQ406" s="647"/>
      <c r="FR406" s="647"/>
      <c r="FS406" s="101"/>
      <c r="FT406" s="95"/>
      <c r="FU406" s="651"/>
      <c r="FV406" s="101"/>
      <c r="FW406" s="101"/>
      <c r="FX406" s="634"/>
      <c r="FY406" s="634"/>
      <c r="FZ406" s="634"/>
      <c r="GA406" s="634"/>
      <c r="GB406" s="634"/>
      <c r="GC406" s="634"/>
      <c r="GD406" s="634"/>
      <c r="GE406" s="634"/>
      <c r="GF406" s="634"/>
      <c r="GG406" s="634"/>
      <c r="GH406" s="634"/>
      <c r="GI406" s="634"/>
      <c r="GJ406" s="634"/>
      <c r="GK406" s="634"/>
      <c r="GL406" s="101"/>
      <c r="GM406" s="101"/>
      <c r="GN406" s="101"/>
      <c r="GO406" s="643"/>
      <c r="GP406" s="644"/>
      <c r="GQ406" s="643"/>
      <c r="GR406" s="644"/>
      <c r="GS406" s="643"/>
      <c r="GT406" s="644"/>
      <c r="GU406" s="644"/>
      <c r="GV406" s="644"/>
      <c r="GW406" s="644"/>
      <c r="GX406" s="644"/>
      <c r="GY406" s="644"/>
      <c r="GZ406" s="644"/>
      <c r="HA406" s="644"/>
    </row>
    <row r="407" spans="1:209">
      <c r="A407" s="638"/>
      <c r="B407" s="95"/>
      <c r="C407" s="95"/>
      <c r="D407" s="95"/>
      <c r="E407" s="650"/>
      <c r="F407" s="95"/>
      <c r="G407" s="98"/>
      <c r="H407" s="99"/>
      <c r="I407" s="95"/>
      <c r="J407" s="95"/>
      <c r="K407" s="95"/>
      <c r="L407" s="95"/>
      <c r="M407" s="95"/>
      <c r="N407" s="95"/>
      <c r="O407" s="95"/>
      <c r="P407" s="95"/>
      <c r="Q407" s="95"/>
      <c r="R407" s="98"/>
      <c r="S407" s="101"/>
      <c r="T407" s="644"/>
      <c r="U407" s="101"/>
      <c r="V407" s="647"/>
      <c r="W407" s="643"/>
      <c r="X407" s="644"/>
      <c r="Y407" s="101"/>
      <c r="Z407" s="644"/>
      <c r="AA407" s="101"/>
      <c r="AB407" s="644"/>
      <c r="AC407" s="101"/>
      <c r="AD407" s="646"/>
      <c r="AE407" s="271"/>
      <c r="AF407" s="646"/>
      <c r="AG407" s="646"/>
      <c r="AH407" s="646"/>
      <c r="AI407" s="646"/>
      <c r="AJ407" s="646"/>
      <c r="AK407" s="646"/>
      <c r="AL407" s="646"/>
      <c r="AM407" s="271"/>
      <c r="AN407" s="646"/>
      <c r="AO407" s="646"/>
      <c r="AP407" s="646"/>
      <c r="AQ407" s="271"/>
      <c r="AR407" s="646"/>
      <c r="AS407" s="270"/>
      <c r="AT407" s="646"/>
      <c r="AU407" s="646"/>
      <c r="AV407" s="646"/>
      <c r="AW407" s="270"/>
      <c r="AX407" s="646"/>
      <c r="AY407" s="270"/>
      <c r="AZ407" s="646"/>
      <c r="BA407" s="646"/>
      <c r="BB407" s="644"/>
      <c r="BC407" s="644"/>
      <c r="BD407" s="644"/>
      <c r="BE407" s="644"/>
      <c r="BF407" s="644"/>
      <c r="BG407" s="644"/>
      <c r="BH407" s="644"/>
      <c r="BI407" s="644"/>
      <c r="BJ407" s="644"/>
      <c r="BK407" s="644"/>
      <c r="BL407" s="644"/>
      <c r="BM407" s="95"/>
      <c r="BN407" s="644"/>
      <c r="BO407" s="95"/>
      <c r="BP407" s="644"/>
      <c r="BQ407" s="644"/>
      <c r="BR407" s="644"/>
      <c r="BS407" s="644"/>
      <c r="BT407" s="644"/>
      <c r="BU407" s="644"/>
      <c r="BV407" s="644"/>
      <c r="BW407" s="644"/>
      <c r="BX407" s="644"/>
      <c r="BY407" s="644"/>
      <c r="BZ407" s="644"/>
      <c r="CA407" s="644"/>
      <c r="CB407" s="644"/>
      <c r="CC407" s="644"/>
      <c r="CD407" s="644"/>
      <c r="CE407" s="644"/>
      <c r="CF407" s="644"/>
      <c r="CG407" s="644"/>
      <c r="CH407" s="644"/>
      <c r="CI407" s="644"/>
      <c r="CJ407" s="644"/>
      <c r="CK407" s="644"/>
      <c r="CL407" s="644"/>
      <c r="CM407" s="95"/>
      <c r="CN407" s="644"/>
      <c r="CO407" s="644"/>
      <c r="CP407" s="95"/>
      <c r="CQ407" s="98"/>
      <c r="CR407" s="95"/>
      <c r="CS407" s="95"/>
      <c r="CT407" s="95"/>
      <c r="CU407" s="108"/>
      <c r="CV407" s="109"/>
      <c r="CW407" s="644"/>
      <c r="CX407" s="496"/>
      <c r="CY407" s="637"/>
      <c r="CZ407" s="644"/>
      <c r="DA407" s="644"/>
      <c r="DB407" s="644"/>
      <c r="DC407" s="496"/>
      <c r="DD407" s="644"/>
      <c r="DE407" s="101"/>
      <c r="DF407" s="644"/>
      <c r="DG407" s="101"/>
      <c r="DH407" s="644"/>
      <c r="DI407" s="644"/>
      <c r="DJ407" s="644"/>
      <c r="DK407" s="644"/>
      <c r="DL407" s="644"/>
      <c r="DM407" s="101"/>
      <c r="DN407" s="644"/>
      <c r="DO407" s="644"/>
      <c r="DP407" s="644"/>
      <c r="DQ407" s="644"/>
      <c r="DR407" s="644"/>
      <c r="DS407" s="644"/>
      <c r="DT407" s="644"/>
      <c r="DU407" s="644"/>
      <c r="DV407" s="644"/>
      <c r="DW407" s="101"/>
      <c r="DX407" s="646"/>
      <c r="DY407" s="646"/>
      <c r="DZ407" s="646"/>
      <c r="EA407" s="646"/>
      <c r="EB407" s="646"/>
      <c r="EC407" s="646"/>
      <c r="ED407" s="646"/>
      <c r="EE407" s="646"/>
      <c r="EF407" s="646"/>
      <c r="EG407" s="646"/>
      <c r="EH407" s="646"/>
      <c r="EI407" s="646"/>
      <c r="EJ407" s="646"/>
      <c r="EK407" s="271"/>
      <c r="EL407" s="644"/>
      <c r="EM407" s="634"/>
      <c r="EN407" s="647"/>
      <c r="EO407" s="648"/>
      <c r="EP407" s="647"/>
      <c r="EQ407" s="647"/>
      <c r="ER407" s="647"/>
      <c r="ES407" s="139"/>
      <c r="EV407" s="647"/>
      <c r="EW407" s="647"/>
      <c r="EX407" s="647"/>
      <c r="EY407" s="647"/>
      <c r="EZ407" s="647"/>
      <c r="FA407" s="646"/>
      <c r="FB407" s="646"/>
      <c r="FC407" s="646"/>
      <c r="FD407" s="646"/>
      <c r="FE407" s="646"/>
      <c r="FF407" s="646"/>
      <c r="FG407" s="647"/>
      <c r="FH407" s="647"/>
      <c r="FI407" s="647"/>
      <c r="FJ407" s="647"/>
      <c r="FK407" s="647"/>
      <c r="FL407" s="647"/>
      <c r="FM407" s="647"/>
      <c r="FN407" s="647"/>
      <c r="FO407" s="647"/>
      <c r="FP407" s="647"/>
      <c r="FQ407" s="647"/>
      <c r="FR407" s="647"/>
      <c r="FS407" s="101"/>
      <c r="FT407" s="95"/>
      <c r="FU407" s="651"/>
      <c r="FV407" s="101"/>
      <c r="FW407" s="101"/>
      <c r="FX407" s="634"/>
      <c r="FY407" s="634"/>
      <c r="FZ407" s="634"/>
      <c r="GA407" s="634"/>
      <c r="GB407" s="634"/>
      <c r="GC407" s="634"/>
      <c r="GD407" s="634"/>
      <c r="GE407" s="634"/>
      <c r="GF407" s="634"/>
      <c r="GG407" s="634"/>
      <c r="GH407" s="634"/>
      <c r="GI407" s="634"/>
      <c r="GJ407" s="634"/>
      <c r="GK407" s="634"/>
      <c r="GL407" s="101"/>
      <c r="GM407" s="101"/>
      <c r="GN407" s="101"/>
      <c r="GO407" s="643"/>
      <c r="GP407" s="644"/>
      <c r="GQ407" s="643"/>
      <c r="GR407" s="644"/>
      <c r="GS407" s="643"/>
      <c r="GT407" s="644"/>
      <c r="GU407" s="644"/>
      <c r="GV407" s="644"/>
      <c r="GW407" s="644"/>
      <c r="GX407" s="644"/>
      <c r="GY407" s="644"/>
      <c r="GZ407" s="644"/>
      <c r="HA407" s="644"/>
    </row>
    <row r="408" spans="1:209">
      <c r="A408" s="638"/>
      <c r="B408" s="95"/>
      <c r="C408" s="95"/>
      <c r="D408" s="95"/>
      <c r="E408" s="650"/>
      <c r="F408" s="95"/>
      <c r="G408" s="98"/>
      <c r="H408" s="99"/>
      <c r="I408" s="95"/>
      <c r="J408" s="95"/>
      <c r="K408" s="95"/>
      <c r="L408" s="95"/>
      <c r="M408" s="95"/>
      <c r="N408" s="95"/>
      <c r="O408" s="95"/>
      <c r="P408" s="95"/>
      <c r="Q408" s="95"/>
      <c r="R408" s="98"/>
      <c r="S408" s="101"/>
      <c r="T408" s="644"/>
      <c r="U408" s="101"/>
      <c r="V408" s="647"/>
      <c r="W408" s="643"/>
      <c r="X408" s="644"/>
      <c r="Y408" s="101"/>
      <c r="Z408" s="644"/>
      <c r="AA408" s="101"/>
      <c r="AB408" s="644"/>
      <c r="AC408" s="101"/>
      <c r="AD408" s="646"/>
      <c r="AE408" s="271"/>
      <c r="AF408" s="646"/>
      <c r="AG408" s="646"/>
      <c r="AH408" s="646"/>
      <c r="AI408" s="646"/>
      <c r="AJ408" s="646"/>
      <c r="AK408" s="646"/>
      <c r="AL408" s="646"/>
      <c r="AM408" s="271"/>
      <c r="AN408" s="646"/>
      <c r="AO408" s="646"/>
      <c r="AP408" s="646"/>
      <c r="AQ408" s="271"/>
      <c r="AR408" s="646"/>
      <c r="AS408" s="270"/>
      <c r="AT408" s="646"/>
      <c r="AU408" s="646"/>
      <c r="AV408" s="646"/>
      <c r="AW408" s="270"/>
      <c r="AX408" s="646"/>
      <c r="AY408" s="270"/>
      <c r="AZ408" s="646"/>
      <c r="BA408" s="646"/>
      <c r="BB408" s="644"/>
      <c r="BC408" s="644"/>
      <c r="BD408" s="644"/>
      <c r="BE408" s="644"/>
      <c r="BF408" s="644"/>
      <c r="BG408" s="644"/>
      <c r="BH408" s="644"/>
      <c r="BI408" s="644"/>
      <c r="BJ408" s="644"/>
      <c r="BK408" s="644"/>
      <c r="BL408" s="644"/>
      <c r="BM408" s="95"/>
      <c r="BN408" s="644"/>
      <c r="BO408" s="95"/>
      <c r="BP408" s="644"/>
      <c r="BQ408" s="644"/>
      <c r="BR408" s="644"/>
      <c r="BS408" s="644"/>
      <c r="BT408" s="644"/>
      <c r="BU408" s="644"/>
      <c r="BV408" s="644"/>
      <c r="BW408" s="644"/>
      <c r="BX408" s="644"/>
      <c r="BY408" s="644"/>
      <c r="BZ408" s="644"/>
      <c r="CA408" s="644"/>
      <c r="CB408" s="644"/>
      <c r="CC408" s="644"/>
      <c r="CD408" s="644"/>
      <c r="CE408" s="644"/>
      <c r="CF408" s="644"/>
      <c r="CG408" s="644"/>
      <c r="CH408" s="644"/>
      <c r="CI408" s="644"/>
      <c r="CJ408" s="644"/>
      <c r="CK408" s="644"/>
      <c r="CL408" s="644"/>
      <c r="CM408" s="95"/>
      <c r="CN408" s="644"/>
      <c r="CO408" s="644"/>
      <c r="CP408" s="95"/>
      <c r="CQ408" s="98"/>
      <c r="CR408" s="95"/>
      <c r="CS408" s="95"/>
      <c r="CT408" s="95"/>
      <c r="CU408" s="108"/>
      <c r="CV408" s="109"/>
      <c r="CW408" s="644"/>
      <c r="CX408" s="496"/>
      <c r="CY408" s="637"/>
      <c r="CZ408" s="644"/>
      <c r="DA408" s="644"/>
      <c r="DB408" s="644"/>
      <c r="DC408" s="496"/>
      <c r="DD408" s="644"/>
      <c r="DE408" s="101"/>
      <c r="DF408" s="644"/>
      <c r="DG408" s="101"/>
      <c r="DH408" s="644"/>
      <c r="DI408" s="644"/>
      <c r="DJ408" s="644"/>
      <c r="DK408" s="644"/>
      <c r="DL408" s="644"/>
      <c r="DM408" s="101"/>
      <c r="DN408" s="644"/>
      <c r="DO408" s="644"/>
      <c r="DP408" s="644"/>
      <c r="DQ408" s="644"/>
      <c r="DR408" s="644"/>
      <c r="DS408" s="644"/>
      <c r="DT408" s="644"/>
      <c r="DU408" s="644"/>
      <c r="DV408" s="644"/>
      <c r="DW408" s="101"/>
      <c r="DX408" s="646"/>
      <c r="DY408" s="646"/>
      <c r="DZ408" s="646"/>
      <c r="EA408" s="646"/>
      <c r="EB408" s="646"/>
      <c r="EC408" s="646"/>
      <c r="ED408" s="646"/>
      <c r="EE408" s="646"/>
      <c r="EF408" s="646"/>
      <c r="EG408" s="646"/>
      <c r="EH408" s="646"/>
      <c r="EI408" s="646"/>
      <c r="EJ408" s="646"/>
      <c r="EK408" s="271"/>
      <c r="EL408" s="644"/>
      <c r="EM408" s="634"/>
      <c r="EN408" s="647"/>
      <c r="EO408" s="648"/>
      <c r="EP408" s="647"/>
      <c r="EQ408" s="647"/>
      <c r="ER408" s="647"/>
      <c r="ES408" s="139"/>
      <c r="EV408" s="647"/>
      <c r="EW408" s="647"/>
      <c r="EX408" s="647"/>
      <c r="EY408" s="647"/>
      <c r="EZ408" s="647"/>
      <c r="FA408" s="646"/>
      <c r="FB408" s="646"/>
      <c r="FC408" s="646"/>
      <c r="FD408" s="646"/>
      <c r="FE408" s="646"/>
      <c r="FF408" s="646"/>
      <c r="FG408" s="647"/>
      <c r="FH408" s="647"/>
      <c r="FI408" s="647"/>
      <c r="FJ408" s="647"/>
      <c r="FK408" s="647"/>
      <c r="FL408" s="647"/>
      <c r="FM408" s="647"/>
      <c r="FN408" s="647"/>
      <c r="FO408" s="647"/>
      <c r="FP408" s="647"/>
      <c r="FQ408" s="647"/>
      <c r="FR408" s="647"/>
      <c r="FS408" s="101"/>
      <c r="FT408" s="95"/>
      <c r="FU408" s="651"/>
      <c r="FV408" s="101"/>
      <c r="FW408" s="101"/>
      <c r="FX408" s="634"/>
      <c r="FY408" s="634"/>
      <c r="FZ408" s="634"/>
      <c r="GA408" s="634"/>
      <c r="GB408" s="634"/>
      <c r="GC408" s="634"/>
      <c r="GD408" s="634"/>
      <c r="GE408" s="634"/>
      <c r="GF408" s="634"/>
      <c r="GG408" s="634"/>
      <c r="GH408" s="634"/>
      <c r="GI408" s="634"/>
      <c r="GJ408" s="634"/>
      <c r="GK408" s="634"/>
      <c r="GL408" s="101"/>
      <c r="GM408" s="101"/>
      <c r="GN408" s="101"/>
      <c r="GO408" s="643"/>
      <c r="GP408" s="644"/>
      <c r="GQ408" s="643"/>
      <c r="GR408" s="644"/>
      <c r="GS408" s="643"/>
      <c r="GT408" s="644"/>
      <c r="GU408" s="644"/>
      <c r="GV408" s="644"/>
      <c r="GW408" s="644"/>
      <c r="GX408" s="644"/>
      <c r="GY408" s="644"/>
      <c r="GZ408" s="644"/>
      <c r="HA408" s="644"/>
    </row>
    <row r="409" spans="1:209">
      <c r="A409" s="638"/>
      <c r="B409" s="95"/>
      <c r="C409" s="95"/>
      <c r="D409" s="95"/>
      <c r="E409" s="650"/>
      <c r="F409" s="95"/>
      <c r="G409" s="98"/>
      <c r="H409" s="99"/>
      <c r="I409" s="95"/>
      <c r="J409" s="95"/>
      <c r="K409" s="95"/>
      <c r="L409" s="95"/>
      <c r="M409" s="95"/>
      <c r="N409" s="95"/>
      <c r="O409" s="95"/>
      <c r="P409" s="95"/>
      <c r="Q409" s="95"/>
      <c r="R409" s="98"/>
      <c r="S409" s="101"/>
      <c r="T409" s="644"/>
      <c r="U409" s="101"/>
      <c r="V409" s="647"/>
      <c r="W409" s="643"/>
      <c r="X409" s="644"/>
      <c r="Y409" s="101"/>
      <c r="Z409" s="644"/>
      <c r="AA409" s="101"/>
      <c r="AB409" s="644"/>
      <c r="AC409" s="101"/>
      <c r="AD409" s="646"/>
      <c r="AE409" s="271"/>
      <c r="AF409" s="646"/>
      <c r="AG409" s="646"/>
      <c r="AH409" s="646"/>
      <c r="AI409" s="646"/>
      <c r="AJ409" s="646"/>
      <c r="AK409" s="646"/>
      <c r="AL409" s="646"/>
      <c r="AM409" s="271"/>
      <c r="AN409" s="646"/>
      <c r="AO409" s="646"/>
      <c r="AP409" s="646"/>
      <c r="AQ409" s="271"/>
      <c r="AR409" s="646"/>
      <c r="AS409" s="270"/>
      <c r="AT409" s="646"/>
      <c r="AU409" s="646"/>
      <c r="AV409" s="646"/>
      <c r="AW409" s="270"/>
      <c r="AX409" s="646"/>
      <c r="AY409" s="270"/>
      <c r="AZ409" s="646"/>
      <c r="BA409" s="646"/>
      <c r="BB409" s="644"/>
      <c r="BC409" s="644"/>
      <c r="BD409" s="644"/>
      <c r="BE409" s="644"/>
      <c r="BF409" s="644"/>
      <c r="BG409" s="644"/>
      <c r="BH409" s="644"/>
      <c r="BI409" s="644"/>
      <c r="BJ409" s="644"/>
      <c r="BK409" s="644"/>
      <c r="BL409" s="644"/>
      <c r="BM409" s="95"/>
      <c r="BN409" s="644"/>
      <c r="BO409" s="95"/>
      <c r="BP409" s="644"/>
      <c r="BQ409" s="644"/>
      <c r="BR409" s="644"/>
      <c r="BS409" s="644"/>
      <c r="BT409" s="644"/>
      <c r="BU409" s="644"/>
      <c r="BV409" s="644"/>
      <c r="BW409" s="644"/>
      <c r="BX409" s="644"/>
      <c r="BY409" s="644"/>
      <c r="BZ409" s="644"/>
      <c r="CA409" s="644"/>
      <c r="CB409" s="644"/>
      <c r="CC409" s="644"/>
      <c r="CD409" s="644"/>
      <c r="CE409" s="644"/>
      <c r="CF409" s="644"/>
      <c r="CG409" s="644"/>
      <c r="CH409" s="644"/>
      <c r="CI409" s="644"/>
      <c r="CJ409" s="644"/>
      <c r="CK409" s="644"/>
      <c r="CL409" s="644"/>
      <c r="CM409" s="95"/>
      <c r="CN409" s="644"/>
      <c r="CO409" s="644"/>
      <c r="CP409" s="95"/>
      <c r="CQ409" s="98"/>
      <c r="CR409" s="95"/>
      <c r="CS409" s="95"/>
      <c r="CT409" s="95"/>
      <c r="CU409" s="108"/>
      <c r="CV409" s="109"/>
      <c r="CW409" s="644"/>
      <c r="CX409" s="496"/>
      <c r="CY409" s="637"/>
      <c r="CZ409" s="644"/>
      <c r="DA409" s="644"/>
      <c r="DB409" s="644"/>
      <c r="DC409" s="496"/>
      <c r="DD409" s="644"/>
      <c r="DE409" s="101"/>
      <c r="DF409" s="644"/>
      <c r="DG409" s="101"/>
      <c r="DH409" s="644"/>
      <c r="DI409" s="644"/>
      <c r="DJ409" s="644"/>
      <c r="DK409" s="644"/>
      <c r="DL409" s="644"/>
      <c r="DM409" s="101"/>
      <c r="DN409" s="644"/>
      <c r="DO409" s="644"/>
      <c r="DP409" s="644"/>
      <c r="DQ409" s="644"/>
      <c r="DR409" s="644"/>
      <c r="DS409" s="644"/>
      <c r="DT409" s="644"/>
      <c r="DU409" s="644"/>
      <c r="DV409" s="644"/>
      <c r="DW409" s="101"/>
      <c r="DX409" s="646"/>
      <c r="DY409" s="646"/>
      <c r="DZ409" s="646"/>
      <c r="EA409" s="646"/>
      <c r="EB409" s="646"/>
      <c r="EC409" s="646"/>
      <c r="ED409" s="646"/>
      <c r="EE409" s="646"/>
      <c r="EF409" s="646"/>
      <c r="EG409" s="646"/>
      <c r="EH409" s="646"/>
      <c r="EI409" s="646"/>
      <c r="EJ409" s="646"/>
      <c r="EK409" s="271"/>
      <c r="EL409" s="644"/>
      <c r="EM409" s="634"/>
      <c r="EN409" s="647"/>
      <c r="EO409" s="648"/>
      <c r="EP409" s="647"/>
      <c r="EQ409" s="647"/>
      <c r="ER409" s="647"/>
      <c r="ES409" s="139"/>
      <c r="EV409" s="647"/>
      <c r="EW409" s="647"/>
      <c r="EX409" s="647"/>
      <c r="EY409" s="647"/>
      <c r="EZ409" s="647"/>
      <c r="FA409" s="646"/>
      <c r="FB409" s="646"/>
      <c r="FC409" s="646"/>
      <c r="FD409" s="646"/>
      <c r="FE409" s="646"/>
      <c r="FF409" s="646"/>
      <c r="FG409" s="647"/>
      <c r="FH409" s="647"/>
      <c r="FI409" s="647"/>
      <c r="FJ409" s="647"/>
      <c r="FK409" s="647"/>
      <c r="FL409" s="647"/>
      <c r="FM409" s="647"/>
      <c r="FN409" s="647"/>
      <c r="FO409" s="647"/>
      <c r="FP409" s="647"/>
      <c r="FQ409" s="647"/>
      <c r="FR409" s="647"/>
      <c r="FS409" s="101"/>
      <c r="FT409" s="95"/>
      <c r="FU409" s="651"/>
      <c r="FV409" s="101"/>
      <c r="FW409" s="101"/>
      <c r="FX409" s="634"/>
      <c r="FY409" s="634"/>
      <c r="FZ409" s="634"/>
      <c r="GA409" s="634"/>
      <c r="GB409" s="634"/>
      <c r="GC409" s="634"/>
      <c r="GD409" s="634"/>
      <c r="GE409" s="634"/>
      <c r="GF409" s="634"/>
      <c r="GG409" s="634"/>
      <c r="GH409" s="634"/>
      <c r="GI409" s="634"/>
      <c r="GJ409" s="634"/>
      <c r="GK409" s="634"/>
      <c r="GL409" s="101"/>
      <c r="GM409" s="101"/>
      <c r="GN409" s="101"/>
      <c r="GO409" s="643"/>
      <c r="GP409" s="644"/>
      <c r="GQ409" s="643"/>
      <c r="GR409" s="644"/>
      <c r="GS409" s="643"/>
      <c r="GT409" s="644"/>
      <c r="GU409" s="644"/>
      <c r="GV409" s="644"/>
      <c r="GW409" s="644"/>
      <c r="GX409" s="644"/>
      <c r="GY409" s="644"/>
      <c r="GZ409" s="644"/>
      <c r="HA409" s="644"/>
    </row>
    <row r="410" spans="1:209">
      <c r="A410" s="638"/>
      <c r="B410" s="95"/>
      <c r="C410" s="95"/>
      <c r="D410" s="95"/>
      <c r="E410" s="650"/>
      <c r="F410" s="95"/>
      <c r="G410" s="98"/>
      <c r="H410" s="99"/>
      <c r="I410" s="95"/>
      <c r="J410" s="95"/>
      <c r="K410" s="95"/>
      <c r="L410" s="95"/>
      <c r="M410" s="95"/>
      <c r="N410" s="95"/>
      <c r="O410" s="95"/>
      <c r="P410" s="95"/>
      <c r="Q410" s="95"/>
      <c r="R410" s="98"/>
      <c r="S410" s="101"/>
      <c r="T410" s="644"/>
      <c r="U410" s="101"/>
      <c r="V410" s="647"/>
      <c r="W410" s="643"/>
      <c r="X410" s="644"/>
      <c r="Y410" s="101"/>
      <c r="Z410" s="644"/>
      <c r="AA410" s="101"/>
      <c r="AB410" s="644"/>
      <c r="AC410" s="101"/>
      <c r="AD410" s="646"/>
      <c r="AE410" s="271"/>
      <c r="AF410" s="646"/>
      <c r="AG410" s="646"/>
      <c r="AH410" s="646"/>
      <c r="AI410" s="646"/>
      <c r="AJ410" s="646"/>
      <c r="AK410" s="646"/>
      <c r="AL410" s="646"/>
      <c r="AM410" s="271"/>
      <c r="AN410" s="646"/>
      <c r="AO410" s="646"/>
      <c r="AP410" s="646"/>
      <c r="AQ410" s="271"/>
      <c r="AR410" s="646"/>
      <c r="AS410" s="270"/>
      <c r="AT410" s="646"/>
      <c r="AU410" s="646"/>
      <c r="AV410" s="646"/>
      <c r="AW410" s="270"/>
      <c r="AX410" s="646"/>
      <c r="AY410" s="270"/>
      <c r="AZ410" s="646"/>
      <c r="BA410" s="646"/>
      <c r="BB410" s="644"/>
      <c r="BC410" s="644"/>
      <c r="BD410" s="644"/>
      <c r="BE410" s="644"/>
      <c r="BF410" s="644"/>
      <c r="BG410" s="644"/>
      <c r="BH410" s="644"/>
      <c r="BI410" s="644"/>
      <c r="BJ410" s="644"/>
      <c r="BK410" s="644"/>
      <c r="BL410" s="644"/>
      <c r="BM410" s="95"/>
      <c r="BN410" s="644"/>
      <c r="BO410" s="95"/>
      <c r="BP410" s="644"/>
      <c r="BQ410" s="644"/>
      <c r="BR410" s="644"/>
      <c r="BS410" s="644"/>
      <c r="BT410" s="644"/>
      <c r="BU410" s="644"/>
      <c r="BV410" s="644"/>
      <c r="BW410" s="644"/>
      <c r="BX410" s="644"/>
      <c r="BY410" s="644"/>
      <c r="BZ410" s="644"/>
      <c r="CA410" s="644"/>
      <c r="CB410" s="644"/>
      <c r="CC410" s="644"/>
      <c r="CD410" s="644"/>
      <c r="CE410" s="644"/>
      <c r="CF410" s="644"/>
      <c r="CG410" s="644"/>
      <c r="CH410" s="644"/>
      <c r="CI410" s="644"/>
      <c r="CJ410" s="644"/>
      <c r="CK410" s="644"/>
      <c r="CL410" s="644"/>
      <c r="CM410" s="95"/>
      <c r="CN410" s="644"/>
      <c r="CO410" s="644"/>
      <c r="CP410" s="95"/>
      <c r="CQ410" s="98"/>
      <c r="CR410" s="95"/>
      <c r="CS410" s="95"/>
      <c r="CT410" s="95"/>
      <c r="CU410" s="108"/>
      <c r="CV410" s="109"/>
      <c r="CW410" s="644"/>
      <c r="CX410" s="496"/>
      <c r="CY410" s="637"/>
      <c r="CZ410" s="644"/>
      <c r="DA410" s="644"/>
      <c r="DB410" s="644"/>
      <c r="DC410" s="496"/>
      <c r="DD410" s="644"/>
      <c r="DE410" s="101"/>
      <c r="DF410" s="644"/>
      <c r="DG410" s="101"/>
      <c r="DH410" s="644"/>
      <c r="DI410" s="644"/>
      <c r="DJ410" s="644"/>
      <c r="DK410" s="644"/>
      <c r="DL410" s="644"/>
      <c r="DM410" s="101"/>
      <c r="DN410" s="644"/>
      <c r="DO410" s="644"/>
      <c r="DP410" s="644"/>
      <c r="DQ410" s="644"/>
      <c r="DR410" s="644"/>
      <c r="DS410" s="644"/>
      <c r="DT410" s="644"/>
      <c r="DU410" s="644"/>
      <c r="DV410" s="644"/>
      <c r="DW410" s="101"/>
      <c r="DX410" s="646"/>
      <c r="DY410" s="646"/>
      <c r="DZ410" s="646"/>
      <c r="EA410" s="646"/>
      <c r="EB410" s="646"/>
      <c r="EC410" s="646"/>
      <c r="ED410" s="646"/>
      <c r="EE410" s="646"/>
      <c r="EF410" s="646"/>
      <c r="EG410" s="646"/>
      <c r="EH410" s="646"/>
      <c r="EI410" s="646"/>
      <c r="EJ410" s="646"/>
      <c r="EK410" s="271"/>
      <c r="EL410" s="644"/>
      <c r="EM410" s="634"/>
      <c r="EN410" s="647"/>
      <c r="EO410" s="648"/>
      <c r="EP410" s="647"/>
      <c r="EQ410" s="647"/>
      <c r="ER410" s="647"/>
      <c r="ES410" s="139"/>
      <c r="EV410" s="647"/>
      <c r="EW410" s="647"/>
      <c r="EX410" s="647"/>
      <c r="EY410" s="647"/>
      <c r="EZ410" s="647"/>
      <c r="FA410" s="646"/>
      <c r="FB410" s="646"/>
      <c r="FC410" s="646"/>
      <c r="FD410" s="646"/>
      <c r="FE410" s="646"/>
      <c r="FF410" s="646"/>
      <c r="FG410" s="647"/>
      <c r="FH410" s="647"/>
      <c r="FI410" s="647"/>
      <c r="FJ410" s="647"/>
      <c r="FK410" s="647"/>
      <c r="FL410" s="647"/>
      <c r="FM410" s="647"/>
      <c r="FN410" s="647"/>
      <c r="FO410" s="647"/>
      <c r="FP410" s="647"/>
      <c r="FQ410" s="647"/>
      <c r="FR410" s="647"/>
      <c r="FS410" s="101"/>
      <c r="FT410" s="95"/>
      <c r="FU410" s="651"/>
      <c r="FV410" s="101"/>
      <c r="FW410" s="101"/>
      <c r="FX410" s="634"/>
      <c r="FY410" s="634"/>
      <c r="FZ410" s="634"/>
      <c r="GA410" s="634"/>
      <c r="GB410" s="634"/>
      <c r="GC410" s="634"/>
      <c r="GD410" s="634"/>
      <c r="GE410" s="634"/>
      <c r="GF410" s="634"/>
      <c r="GG410" s="634"/>
      <c r="GH410" s="634"/>
      <c r="GI410" s="634"/>
      <c r="GJ410" s="634"/>
      <c r="GK410" s="634"/>
      <c r="GL410" s="101"/>
      <c r="GM410" s="101"/>
      <c r="GN410" s="101"/>
      <c r="GO410" s="643"/>
      <c r="GP410" s="644"/>
      <c r="GQ410" s="643"/>
      <c r="GR410" s="644"/>
      <c r="GS410" s="643"/>
      <c r="GT410" s="644"/>
      <c r="GU410" s="644"/>
      <c r="GV410" s="644"/>
      <c r="GW410" s="644"/>
      <c r="GX410" s="644"/>
      <c r="GY410" s="644"/>
      <c r="GZ410" s="644"/>
      <c r="HA410" s="644"/>
    </row>
    <row r="411" spans="1:209">
      <c r="A411" s="638"/>
      <c r="B411" s="95"/>
      <c r="C411" s="95"/>
      <c r="D411" s="95"/>
      <c r="E411" s="650"/>
      <c r="F411" s="95"/>
      <c r="G411" s="98"/>
      <c r="H411" s="99"/>
      <c r="I411" s="95"/>
      <c r="J411" s="95"/>
      <c r="K411" s="95"/>
      <c r="L411" s="95"/>
      <c r="M411" s="95"/>
      <c r="N411" s="95"/>
      <c r="O411" s="95"/>
      <c r="P411" s="95"/>
      <c r="Q411" s="95"/>
      <c r="R411" s="98"/>
      <c r="S411" s="101"/>
      <c r="T411" s="644"/>
      <c r="U411" s="101"/>
      <c r="V411" s="647"/>
      <c r="W411" s="643"/>
      <c r="X411" s="644"/>
      <c r="Y411" s="101"/>
      <c r="Z411" s="644"/>
      <c r="AA411" s="101"/>
      <c r="AB411" s="644"/>
      <c r="AC411" s="101"/>
      <c r="AD411" s="646"/>
      <c r="AE411" s="271"/>
      <c r="AF411" s="646"/>
      <c r="AG411" s="646"/>
      <c r="AH411" s="646"/>
      <c r="AI411" s="646"/>
      <c r="AJ411" s="646"/>
      <c r="AK411" s="646"/>
      <c r="AL411" s="646"/>
      <c r="AM411" s="271"/>
      <c r="AN411" s="646"/>
      <c r="AO411" s="646"/>
      <c r="AP411" s="646"/>
      <c r="AQ411" s="271"/>
      <c r="AR411" s="646"/>
      <c r="AS411" s="270"/>
      <c r="AT411" s="646"/>
      <c r="AU411" s="646"/>
      <c r="AV411" s="646"/>
      <c r="AW411" s="270"/>
      <c r="AX411" s="646"/>
      <c r="AY411" s="270"/>
      <c r="AZ411" s="646"/>
      <c r="BA411" s="646"/>
      <c r="BB411" s="644"/>
      <c r="BC411" s="644"/>
      <c r="BD411" s="644"/>
      <c r="BE411" s="644"/>
      <c r="BF411" s="644"/>
      <c r="BG411" s="644"/>
      <c r="BH411" s="644"/>
      <c r="BI411" s="644"/>
      <c r="BJ411" s="644"/>
      <c r="BK411" s="644"/>
      <c r="BL411" s="644"/>
      <c r="BM411" s="95"/>
      <c r="BN411" s="644"/>
      <c r="BO411" s="95"/>
      <c r="BP411" s="644"/>
      <c r="BQ411" s="644"/>
      <c r="BR411" s="644"/>
      <c r="BS411" s="644"/>
      <c r="BT411" s="644"/>
      <c r="BU411" s="644"/>
      <c r="BV411" s="644"/>
      <c r="BW411" s="644"/>
      <c r="BX411" s="644"/>
      <c r="BY411" s="644"/>
      <c r="BZ411" s="644"/>
      <c r="CA411" s="644"/>
      <c r="CB411" s="644"/>
      <c r="CC411" s="644"/>
      <c r="CD411" s="644"/>
      <c r="CE411" s="644"/>
      <c r="CF411" s="644"/>
      <c r="CG411" s="644"/>
      <c r="CH411" s="644"/>
      <c r="CI411" s="644"/>
      <c r="CJ411" s="644"/>
      <c r="CK411" s="644"/>
      <c r="CL411" s="644"/>
      <c r="CM411" s="95"/>
      <c r="CN411" s="644"/>
      <c r="CO411" s="644"/>
      <c r="CP411" s="95"/>
      <c r="CQ411" s="98"/>
      <c r="CR411" s="95"/>
      <c r="CS411" s="95"/>
      <c r="CT411" s="95"/>
      <c r="CU411" s="108"/>
      <c r="CV411" s="109"/>
      <c r="CW411" s="644"/>
      <c r="CX411" s="496"/>
      <c r="CY411" s="637"/>
      <c r="CZ411" s="644"/>
      <c r="DA411" s="644"/>
      <c r="DB411" s="644"/>
      <c r="DC411" s="496"/>
      <c r="DD411" s="644"/>
      <c r="DE411" s="101"/>
      <c r="DF411" s="644"/>
      <c r="DG411" s="101"/>
      <c r="DH411" s="644"/>
      <c r="DI411" s="644"/>
      <c r="DJ411" s="644"/>
      <c r="DK411" s="644"/>
      <c r="DL411" s="644"/>
      <c r="DM411" s="101"/>
      <c r="DN411" s="644"/>
      <c r="DO411" s="644"/>
      <c r="DP411" s="644"/>
      <c r="DQ411" s="644"/>
      <c r="DR411" s="644"/>
      <c r="DS411" s="644"/>
      <c r="DT411" s="644"/>
      <c r="DU411" s="644"/>
      <c r="DV411" s="644"/>
      <c r="DW411" s="101"/>
      <c r="DX411" s="646"/>
      <c r="DY411" s="646"/>
      <c r="DZ411" s="646"/>
      <c r="EA411" s="646"/>
      <c r="EB411" s="646"/>
      <c r="EC411" s="646"/>
      <c r="ED411" s="646"/>
      <c r="EE411" s="646"/>
      <c r="EF411" s="646"/>
      <c r="EG411" s="646"/>
      <c r="EH411" s="646"/>
      <c r="EI411" s="646"/>
      <c r="EJ411" s="646"/>
      <c r="EK411" s="271"/>
      <c r="EL411" s="644"/>
      <c r="EM411" s="634"/>
      <c r="EN411" s="647"/>
      <c r="EO411" s="648"/>
      <c r="EP411" s="647"/>
      <c r="EQ411" s="647"/>
      <c r="ER411" s="647"/>
      <c r="ES411" s="139"/>
      <c r="EV411" s="647"/>
      <c r="EW411" s="647"/>
      <c r="EX411" s="647"/>
      <c r="EY411" s="647"/>
      <c r="EZ411" s="647"/>
      <c r="FA411" s="646"/>
      <c r="FB411" s="646"/>
      <c r="FC411" s="646"/>
      <c r="FD411" s="646"/>
      <c r="FE411" s="646"/>
      <c r="FF411" s="646"/>
      <c r="FG411" s="647"/>
      <c r="FH411" s="647"/>
      <c r="FI411" s="647"/>
      <c r="FJ411" s="647"/>
      <c r="FK411" s="647"/>
      <c r="FL411" s="647"/>
      <c r="FM411" s="647"/>
      <c r="FN411" s="647"/>
      <c r="FO411" s="647"/>
      <c r="FP411" s="647"/>
      <c r="FQ411" s="647"/>
      <c r="FR411" s="647"/>
      <c r="FS411" s="101"/>
      <c r="FT411" s="95"/>
      <c r="FU411" s="651"/>
      <c r="FV411" s="101"/>
      <c r="FW411" s="101"/>
      <c r="FX411" s="634"/>
      <c r="FY411" s="634"/>
      <c r="FZ411" s="634"/>
      <c r="GA411" s="634"/>
      <c r="GB411" s="634"/>
      <c r="GC411" s="634"/>
      <c r="GD411" s="634"/>
      <c r="GE411" s="634"/>
      <c r="GF411" s="634"/>
      <c r="GG411" s="634"/>
      <c r="GH411" s="634"/>
      <c r="GI411" s="634"/>
      <c r="GJ411" s="634"/>
      <c r="GK411" s="634"/>
      <c r="GL411" s="101"/>
      <c r="GM411" s="101"/>
      <c r="GN411" s="101"/>
      <c r="GO411" s="643"/>
      <c r="GP411" s="644"/>
      <c r="GQ411" s="643"/>
      <c r="GR411" s="644"/>
      <c r="GS411" s="643"/>
      <c r="GT411" s="644"/>
      <c r="GU411" s="644"/>
      <c r="GV411" s="644"/>
      <c r="GW411" s="644"/>
      <c r="GX411" s="644"/>
      <c r="GY411" s="644"/>
      <c r="GZ411" s="644"/>
      <c r="HA411" s="644"/>
    </row>
    <row r="412" spans="1:209">
      <c r="A412" s="638"/>
      <c r="B412" s="95"/>
      <c r="C412" s="95"/>
      <c r="D412" s="95"/>
      <c r="E412" s="650"/>
      <c r="F412" s="95"/>
      <c r="G412" s="98"/>
      <c r="H412" s="99"/>
      <c r="I412" s="95"/>
      <c r="J412" s="95"/>
      <c r="K412" s="95"/>
      <c r="L412" s="95"/>
      <c r="M412" s="95"/>
      <c r="N412" s="95"/>
      <c r="O412" s="95"/>
      <c r="P412" s="95"/>
      <c r="Q412" s="95"/>
      <c r="R412" s="98"/>
      <c r="S412" s="101"/>
      <c r="T412" s="644"/>
      <c r="U412" s="101"/>
      <c r="V412" s="647"/>
      <c r="W412" s="643"/>
      <c r="X412" s="644"/>
      <c r="Y412" s="101"/>
      <c r="Z412" s="644"/>
      <c r="AA412" s="101"/>
      <c r="AB412" s="644"/>
      <c r="AC412" s="101"/>
      <c r="AD412" s="646"/>
      <c r="AE412" s="271"/>
      <c r="AF412" s="646"/>
      <c r="AG412" s="646"/>
      <c r="AH412" s="646"/>
      <c r="AI412" s="646"/>
      <c r="AJ412" s="646"/>
      <c r="AK412" s="646"/>
      <c r="AL412" s="646"/>
      <c r="AM412" s="271"/>
      <c r="AN412" s="646"/>
      <c r="AO412" s="646"/>
      <c r="AP412" s="646"/>
      <c r="AQ412" s="271"/>
      <c r="AR412" s="646"/>
      <c r="AS412" s="270"/>
      <c r="AT412" s="646"/>
      <c r="AU412" s="646"/>
      <c r="AV412" s="646"/>
      <c r="AW412" s="270"/>
      <c r="AX412" s="646"/>
      <c r="AY412" s="270"/>
      <c r="AZ412" s="646"/>
      <c r="BA412" s="646"/>
      <c r="BB412" s="644"/>
      <c r="BC412" s="644"/>
      <c r="BD412" s="644"/>
      <c r="BE412" s="644"/>
      <c r="BF412" s="644"/>
      <c r="BG412" s="644"/>
      <c r="BH412" s="644"/>
      <c r="BI412" s="644"/>
      <c r="BJ412" s="644"/>
      <c r="BK412" s="644"/>
      <c r="BL412" s="644"/>
      <c r="BM412" s="95"/>
      <c r="BN412" s="644"/>
      <c r="BO412" s="95"/>
      <c r="BP412" s="644"/>
      <c r="BQ412" s="644"/>
      <c r="BR412" s="644"/>
      <c r="BS412" s="644"/>
      <c r="BT412" s="644"/>
      <c r="BU412" s="644"/>
      <c r="BV412" s="644"/>
      <c r="BW412" s="644"/>
      <c r="BX412" s="644"/>
      <c r="BY412" s="644"/>
      <c r="BZ412" s="644"/>
      <c r="CA412" s="644"/>
      <c r="CB412" s="644"/>
      <c r="CC412" s="644"/>
      <c r="CD412" s="644"/>
      <c r="CE412" s="644"/>
      <c r="CF412" s="644"/>
      <c r="CG412" s="644"/>
      <c r="CH412" s="644"/>
      <c r="CI412" s="644"/>
      <c r="CJ412" s="644"/>
      <c r="CK412" s="644"/>
      <c r="CL412" s="644"/>
      <c r="CM412" s="95"/>
      <c r="CN412" s="644"/>
      <c r="CO412" s="644"/>
      <c r="CP412" s="95"/>
      <c r="CQ412" s="98"/>
      <c r="CR412" s="95"/>
      <c r="CS412" s="95"/>
      <c r="CT412" s="95"/>
      <c r="CU412" s="108"/>
      <c r="CV412" s="109"/>
      <c r="CW412" s="644"/>
      <c r="CX412" s="496"/>
      <c r="CY412" s="637"/>
      <c r="CZ412" s="644"/>
      <c r="DA412" s="644"/>
      <c r="DB412" s="644"/>
      <c r="DC412" s="496"/>
      <c r="DD412" s="644"/>
      <c r="DE412" s="101"/>
      <c r="DF412" s="644"/>
      <c r="DG412" s="101"/>
      <c r="DH412" s="644"/>
      <c r="DI412" s="644"/>
      <c r="DJ412" s="644"/>
      <c r="DK412" s="644"/>
      <c r="DL412" s="644"/>
      <c r="DM412" s="101"/>
      <c r="DN412" s="644"/>
      <c r="DO412" s="644"/>
      <c r="DP412" s="644"/>
      <c r="DQ412" s="644"/>
      <c r="DR412" s="644"/>
      <c r="DS412" s="644"/>
      <c r="DT412" s="644"/>
      <c r="DU412" s="644"/>
      <c r="DV412" s="644"/>
      <c r="DW412" s="101"/>
      <c r="DX412" s="646"/>
      <c r="DY412" s="646"/>
      <c r="DZ412" s="646"/>
      <c r="EA412" s="646"/>
      <c r="EB412" s="646"/>
      <c r="EC412" s="646"/>
      <c r="ED412" s="646"/>
      <c r="EE412" s="646"/>
      <c r="EF412" s="646"/>
      <c r="EG412" s="646"/>
      <c r="EH412" s="646"/>
      <c r="EI412" s="646"/>
      <c r="EJ412" s="646"/>
      <c r="EK412" s="271"/>
      <c r="EL412" s="644"/>
      <c r="EM412" s="634"/>
      <c r="EN412" s="647"/>
      <c r="EO412" s="648"/>
      <c r="EP412" s="647"/>
      <c r="EQ412" s="647"/>
      <c r="ER412" s="647"/>
      <c r="ES412" s="139"/>
      <c r="EV412" s="647"/>
      <c r="EW412" s="647"/>
      <c r="EX412" s="647"/>
      <c r="EY412" s="647"/>
      <c r="EZ412" s="647"/>
      <c r="FA412" s="646"/>
      <c r="FB412" s="646"/>
      <c r="FC412" s="646"/>
      <c r="FD412" s="646"/>
      <c r="FE412" s="646"/>
      <c r="FF412" s="646"/>
      <c r="FG412" s="647"/>
      <c r="FH412" s="647"/>
      <c r="FI412" s="647"/>
      <c r="FJ412" s="647"/>
      <c r="FK412" s="647"/>
      <c r="FL412" s="647"/>
      <c r="FM412" s="647"/>
      <c r="FN412" s="647"/>
      <c r="FO412" s="647"/>
      <c r="FP412" s="647"/>
      <c r="FQ412" s="647"/>
      <c r="FR412" s="647"/>
      <c r="FS412" s="101"/>
      <c r="FT412" s="95"/>
      <c r="FU412" s="651"/>
      <c r="FV412" s="101"/>
      <c r="FW412" s="101"/>
      <c r="FX412" s="634"/>
      <c r="FY412" s="634"/>
      <c r="FZ412" s="634"/>
      <c r="GA412" s="634"/>
      <c r="GB412" s="634"/>
      <c r="GC412" s="634"/>
      <c r="GD412" s="634"/>
      <c r="GE412" s="634"/>
      <c r="GF412" s="634"/>
      <c r="GG412" s="634"/>
      <c r="GH412" s="634"/>
      <c r="GI412" s="634"/>
      <c r="GJ412" s="634"/>
      <c r="GK412" s="634"/>
      <c r="GL412" s="101"/>
      <c r="GM412" s="101"/>
      <c r="GN412" s="101"/>
      <c r="GO412" s="643"/>
      <c r="GP412" s="644"/>
      <c r="GQ412" s="643"/>
      <c r="GR412" s="644"/>
      <c r="GS412" s="643"/>
      <c r="GT412" s="644"/>
      <c r="GU412" s="644"/>
      <c r="GV412" s="644"/>
      <c r="GW412" s="644"/>
      <c r="GX412" s="644"/>
      <c r="GY412" s="644"/>
      <c r="GZ412" s="644"/>
      <c r="HA412" s="644"/>
    </row>
    <row r="413" spans="1:209">
      <c r="A413" s="638"/>
      <c r="B413" s="95"/>
      <c r="C413" s="95"/>
      <c r="D413" s="95"/>
      <c r="E413" s="650"/>
      <c r="F413" s="95"/>
      <c r="G413" s="98"/>
      <c r="H413" s="99"/>
      <c r="I413" s="95"/>
      <c r="J413" s="95"/>
      <c r="K413" s="95"/>
      <c r="L413" s="95"/>
      <c r="M413" s="95"/>
      <c r="N413" s="95"/>
      <c r="O413" s="95"/>
      <c r="P413" s="95"/>
      <c r="Q413" s="95"/>
      <c r="R413" s="98"/>
      <c r="S413" s="101"/>
      <c r="T413" s="644"/>
      <c r="U413" s="101"/>
      <c r="V413" s="647"/>
      <c r="W413" s="643"/>
      <c r="X413" s="644"/>
      <c r="Y413" s="101"/>
      <c r="Z413" s="644"/>
      <c r="AA413" s="101"/>
      <c r="AB413" s="644"/>
      <c r="AC413" s="101"/>
      <c r="AD413" s="646"/>
      <c r="AE413" s="271"/>
      <c r="AF413" s="646"/>
      <c r="AG413" s="646"/>
      <c r="AH413" s="646"/>
      <c r="AI413" s="646"/>
      <c r="AJ413" s="646"/>
      <c r="AK413" s="646"/>
      <c r="AL413" s="646"/>
      <c r="AM413" s="271"/>
      <c r="AN413" s="646"/>
      <c r="AO413" s="646"/>
      <c r="AP413" s="646"/>
      <c r="AQ413" s="271"/>
      <c r="AR413" s="646"/>
      <c r="AS413" s="270"/>
      <c r="AT413" s="646"/>
      <c r="AU413" s="646"/>
      <c r="AV413" s="646"/>
      <c r="AW413" s="270"/>
      <c r="AX413" s="646"/>
      <c r="AY413" s="270"/>
      <c r="AZ413" s="646"/>
      <c r="BA413" s="646"/>
      <c r="BB413" s="644"/>
      <c r="BC413" s="644"/>
      <c r="BD413" s="644"/>
      <c r="BE413" s="644"/>
      <c r="BF413" s="644"/>
      <c r="BG413" s="644"/>
      <c r="BH413" s="644"/>
      <c r="BI413" s="644"/>
      <c r="BJ413" s="644"/>
      <c r="BK413" s="644"/>
      <c r="BL413" s="644"/>
      <c r="BM413" s="95"/>
      <c r="BN413" s="644"/>
      <c r="BO413" s="95"/>
      <c r="BP413" s="644"/>
      <c r="BQ413" s="644"/>
      <c r="BR413" s="644"/>
      <c r="BS413" s="644"/>
      <c r="BT413" s="644"/>
      <c r="BU413" s="644"/>
      <c r="BV413" s="644"/>
      <c r="BW413" s="644"/>
      <c r="BX413" s="644"/>
      <c r="BY413" s="644"/>
      <c r="BZ413" s="644"/>
      <c r="CA413" s="644"/>
      <c r="CB413" s="644"/>
      <c r="CC413" s="644"/>
      <c r="CD413" s="644"/>
      <c r="CE413" s="644"/>
      <c r="CF413" s="644"/>
      <c r="CG413" s="644"/>
      <c r="CH413" s="644"/>
      <c r="CI413" s="644"/>
      <c r="CJ413" s="644"/>
      <c r="CK413" s="644"/>
      <c r="CL413" s="644"/>
      <c r="CM413" s="95"/>
      <c r="CN413" s="644"/>
      <c r="CO413" s="644"/>
      <c r="CP413" s="95"/>
      <c r="CQ413" s="98"/>
      <c r="CR413" s="95"/>
      <c r="CS413" s="95"/>
      <c r="CT413" s="95"/>
      <c r="CU413" s="108"/>
      <c r="CV413" s="109"/>
      <c r="CW413" s="644"/>
      <c r="CX413" s="496"/>
      <c r="CY413" s="637"/>
      <c r="CZ413" s="644"/>
      <c r="DA413" s="644"/>
      <c r="DB413" s="644"/>
      <c r="DC413" s="496"/>
      <c r="DD413" s="644"/>
      <c r="DE413" s="101"/>
      <c r="DF413" s="644"/>
      <c r="DG413" s="101"/>
      <c r="DH413" s="644"/>
      <c r="DI413" s="644"/>
      <c r="DJ413" s="644"/>
      <c r="DK413" s="644"/>
      <c r="DL413" s="644"/>
      <c r="DM413" s="101"/>
      <c r="DN413" s="644"/>
      <c r="DO413" s="644"/>
      <c r="DP413" s="644"/>
      <c r="DQ413" s="644"/>
      <c r="DR413" s="644"/>
      <c r="DS413" s="644"/>
      <c r="DT413" s="644"/>
      <c r="DU413" s="644"/>
      <c r="DV413" s="644"/>
      <c r="DW413" s="101"/>
      <c r="DX413" s="646"/>
      <c r="DY413" s="646"/>
      <c r="DZ413" s="646"/>
      <c r="EA413" s="646"/>
      <c r="EB413" s="646"/>
      <c r="EC413" s="646"/>
      <c r="ED413" s="646"/>
      <c r="EE413" s="646"/>
      <c r="EF413" s="646"/>
      <c r="EG413" s="646"/>
      <c r="EH413" s="646"/>
      <c r="EI413" s="646"/>
      <c r="EJ413" s="646"/>
      <c r="EK413" s="271"/>
      <c r="EL413" s="644"/>
      <c r="EM413" s="634"/>
      <c r="EN413" s="647"/>
      <c r="EO413" s="648"/>
      <c r="EP413" s="647"/>
      <c r="EQ413" s="647"/>
      <c r="ER413" s="647"/>
      <c r="ES413" s="139"/>
      <c r="EV413" s="647"/>
      <c r="EW413" s="647"/>
      <c r="EX413" s="647"/>
      <c r="EY413" s="647"/>
      <c r="EZ413" s="647"/>
      <c r="FA413" s="646"/>
      <c r="FB413" s="646"/>
      <c r="FC413" s="646"/>
      <c r="FD413" s="646"/>
      <c r="FE413" s="646"/>
      <c r="FF413" s="646"/>
      <c r="FG413" s="647"/>
      <c r="FH413" s="647"/>
      <c r="FI413" s="647"/>
      <c r="FJ413" s="647"/>
      <c r="FK413" s="647"/>
      <c r="FL413" s="647"/>
      <c r="FM413" s="647"/>
      <c r="FN413" s="647"/>
      <c r="FO413" s="647"/>
      <c r="FP413" s="647"/>
      <c r="FQ413" s="647"/>
      <c r="FR413" s="647"/>
      <c r="FS413" s="101"/>
      <c r="FT413" s="95"/>
      <c r="FU413" s="651"/>
      <c r="FV413" s="101"/>
      <c r="FW413" s="101"/>
      <c r="FX413" s="634"/>
      <c r="FY413" s="634"/>
      <c r="FZ413" s="634"/>
      <c r="GA413" s="634"/>
      <c r="GB413" s="634"/>
      <c r="GC413" s="634"/>
      <c r="GD413" s="634"/>
      <c r="GE413" s="634"/>
      <c r="GF413" s="634"/>
      <c r="GG413" s="634"/>
      <c r="GH413" s="634"/>
      <c r="GI413" s="634"/>
      <c r="GJ413" s="634"/>
      <c r="GK413" s="634"/>
      <c r="GL413" s="101"/>
      <c r="GM413" s="101"/>
      <c r="GN413" s="101"/>
      <c r="GO413" s="643"/>
      <c r="GP413" s="644"/>
      <c r="GQ413" s="643"/>
      <c r="GR413" s="644"/>
      <c r="GS413" s="643"/>
      <c r="GT413" s="644"/>
      <c r="GU413" s="644"/>
      <c r="GV413" s="644"/>
      <c r="GW413" s="644"/>
      <c r="GX413" s="644"/>
      <c r="GY413" s="644"/>
      <c r="GZ413" s="644"/>
      <c r="HA413" s="644"/>
    </row>
    <row r="414" spans="1:209">
      <c r="A414" s="638"/>
      <c r="B414" s="95"/>
      <c r="C414" s="95"/>
      <c r="D414" s="95"/>
      <c r="E414" s="650"/>
      <c r="F414" s="95"/>
      <c r="G414" s="98"/>
      <c r="H414" s="99"/>
      <c r="I414" s="95"/>
      <c r="J414" s="95"/>
      <c r="K414" s="95"/>
      <c r="L414" s="95"/>
      <c r="M414" s="95"/>
      <c r="N414" s="95"/>
      <c r="O414" s="95"/>
      <c r="P414" s="95"/>
      <c r="Q414" s="95"/>
      <c r="R414" s="98"/>
      <c r="S414" s="101"/>
      <c r="T414" s="644"/>
      <c r="U414" s="101"/>
      <c r="V414" s="647"/>
      <c r="W414" s="643"/>
      <c r="X414" s="644"/>
      <c r="Y414" s="101"/>
      <c r="Z414" s="644"/>
      <c r="AA414" s="101"/>
      <c r="AB414" s="644"/>
      <c r="AC414" s="101"/>
      <c r="AD414" s="646"/>
      <c r="AE414" s="271"/>
      <c r="AF414" s="646"/>
      <c r="AG414" s="646"/>
      <c r="AH414" s="646"/>
      <c r="AI414" s="646"/>
      <c r="AJ414" s="646"/>
      <c r="AK414" s="646"/>
      <c r="AL414" s="646"/>
      <c r="AM414" s="271"/>
      <c r="AN414" s="646"/>
      <c r="AO414" s="646"/>
      <c r="AP414" s="646"/>
      <c r="AQ414" s="271"/>
      <c r="AR414" s="646"/>
      <c r="AS414" s="270"/>
      <c r="AT414" s="646"/>
      <c r="AU414" s="646"/>
      <c r="AV414" s="646"/>
      <c r="AW414" s="270"/>
      <c r="AX414" s="646"/>
      <c r="AY414" s="270"/>
      <c r="AZ414" s="646"/>
      <c r="BA414" s="646"/>
      <c r="BB414" s="644"/>
      <c r="BC414" s="644"/>
      <c r="BD414" s="644"/>
      <c r="BE414" s="644"/>
      <c r="BF414" s="644"/>
      <c r="BG414" s="644"/>
      <c r="BH414" s="644"/>
      <c r="BI414" s="644"/>
      <c r="BJ414" s="644"/>
      <c r="BK414" s="644"/>
      <c r="BL414" s="644"/>
      <c r="BM414" s="95"/>
      <c r="BN414" s="644"/>
      <c r="BO414" s="95"/>
      <c r="BP414" s="644"/>
      <c r="BQ414" s="644"/>
      <c r="BR414" s="644"/>
      <c r="BS414" s="644"/>
      <c r="BT414" s="644"/>
      <c r="BU414" s="644"/>
      <c r="BV414" s="644"/>
      <c r="BW414" s="644"/>
      <c r="BX414" s="644"/>
      <c r="BY414" s="644"/>
      <c r="BZ414" s="644"/>
      <c r="CA414" s="644"/>
      <c r="CB414" s="644"/>
      <c r="CC414" s="644"/>
      <c r="CD414" s="644"/>
      <c r="CE414" s="644"/>
      <c r="CF414" s="644"/>
      <c r="CG414" s="644"/>
      <c r="CH414" s="644"/>
      <c r="CI414" s="644"/>
      <c r="CJ414" s="644"/>
      <c r="CK414" s="644"/>
      <c r="CL414" s="644"/>
      <c r="CM414" s="95"/>
      <c r="CN414" s="644"/>
      <c r="CO414" s="644"/>
      <c r="CP414" s="95"/>
      <c r="CQ414" s="98"/>
      <c r="CR414" s="95"/>
      <c r="CS414" s="95"/>
      <c r="CT414" s="95"/>
      <c r="CU414" s="108"/>
      <c r="CV414" s="109"/>
      <c r="CW414" s="644"/>
      <c r="CX414" s="496"/>
      <c r="CY414" s="637"/>
      <c r="CZ414" s="644"/>
      <c r="DA414" s="644"/>
      <c r="DB414" s="644"/>
      <c r="DC414" s="496"/>
      <c r="DD414" s="644"/>
      <c r="DE414" s="101"/>
      <c r="DF414" s="644"/>
      <c r="DG414" s="101"/>
      <c r="DH414" s="644"/>
      <c r="DI414" s="644"/>
      <c r="DJ414" s="644"/>
      <c r="DK414" s="644"/>
      <c r="DL414" s="644"/>
      <c r="DM414" s="101"/>
      <c r="DN414" s="644"/>
      <c r="DO414" s="644"/>
      <c r="DP414" s="644"/>
      <c r="DQ414" s="644"/>
      <c r="DR414" s="644"/>
      <c r="DS414" s="644"/>
      <c r="DT414" s="644"/>
      <c r="DU414" s="644"/>
      <c r="DV414" s="644"/>
      <c r="DW414" s="101"/>
      <c r="DX414" s="646"/>
      <c r="DY414" s="646"/>
      <c r="DZ414" s="646"/>
      <c r="EA414" s="646"/>
      <c r="EB414" s="646"/>
      <c r="EC414" s="646"/>
      <c r="ED414" s="646"/>
      <c r="EE414" s="646"/>
      <c r="EF414" s="646"/>
      <c r="EG414" s="646"/>
      <c r="EH414" s="646"/>
      <c r="EI414" s="646"/>
      <c r="EJ414" s="646"/>
      <c r="EK414" s="271"/>
      <c r="EL414" s="644"/>
      <c r="EM414" s="634"/>
      <c r="EN414" s="647"/>
      <c r="EO414" s="648"/>
      <c r="EP414" s="647"/>
      <c r="EQ414" s="647"/>
      <c r="ER414" s="647"/>
      <c r="ES414" s="139"/>
      <c r="EV414" s="647"/>
      <c r="EW414" s="647"/>
      <c r="EX414" s="647"/>
      <c r="EY414" s="647"/>
      <c r="EZ414" s="647"/>
      <c r="FA414" s="646"/>
      <c r="FB414" s="646"/>
      <c r="FC414" s="646"/>
      <c r="FD414" s="646"/>
      <c r="FE414" s="646"/>
      <c r="FF414" s="646"/>
      <c r="FG414" s="647"/>
      <c r="FH414" s="647"/>
      <c r="FI414" s="647"/>
      <c r="FJ414" s="647"/>
      <c r="FK414" s="647"/>
      <c r="FL414" s="647"/>
      <c r="FM414" s="647"/>
      <c r="FN414" s="647"/>
      <c r="FO414" s="647"/>
      <c r="FP414" s="647"/>
      <c r="FQ414" s="647"/>
      <c r="FR414" s="647"/>
      <c r="FS414" s="101"/>
      <c r="FT414" s="95"/>
      <c r="FU414" s="651"/>
      <c r="FV414" s="101"/>
      <c r="FW414" s="101"/>
      <c r="FX414" s="634"/>
      <c r="FY414" s="634"/>
      <c r="FZ414" s="634"/>
      <c r="GA414" s="634"/>
      <c r="GB414" s="634"/>
      <c r="GC414" s="634"/>
      <c r="GD414" s="634"/>
      <c r="GE414" s="634"/>
      <c r="GF414" s="634"/>
      <c r="GG414" s="634"/>
      <c r="GH414" s="634"/>
      <c r="GI414" s="634"/>
      <c r="GJ414" s="634"/>
      <c r="GK414" s="634"/>
      <c r="GL414" s="101"/>
      <c r="GM414" s="101"/>
      <c r="GN414" s="101"/>
      <c r="GO414" s="643"/>
      <c r="GP414" s="644"/>
      <c r="GQ414" s="643"/>
      <c r="GR414" s="644"/>
      <c r="GS414" s="643"/>
      <c r="GT414" s="644"/>
      <c r="GU414" s="644"/>
      <c r="GV414" s="644"/>
      <c r="GW414" s="644"/>
      <c r="GX414" s="644"/>
      <c r="GY414" s="644"/>
      <c r="GZ414" s="644"/>
      <c r="HA414" s="644"/>
    </row>
    <row r="415" spans="1:209">
      <c r="A415" s="638"/>
      <c r="B415" s="95"/>
      <c r="C415" s="95"/>
      <c r="D415" s="95"/>
      <c r="E415" s="650"/>
      <c r="F415" s="95"/>
      <c r="G415" s="98"/>
      <c r="H415" s="99"/>
      <c r="I415" s="95"/>
      <c r="J415" s="95"/>
      <c r="K415" s="95"/>
      <c r="L415" s="95"/>
      <c r="M415" s="95"/>
      <c r="N415" s="95"/>
      <c r="O415" s="95"/>
      <c r="P415" s="95"/>
      <c r="Q415" s="95"/>
      <c r="R415" s="98"/>
      <c r="S415" s="101"/>
      <c r="T415" s="644"/>
      <c r="U415" s="101"/>
      <c r="V415" s="647"/>
      <c r="W415" s="643"/>
      <c r="X415" s="644"/>
      <c r="Y415" s="101"/>
      <c r="Z415" s="644"/>
      <c r="AA415" s="101"/>
      <c r="AB415" s="644"/>
      <c r="AC415" s="101"/>
      <c r="AD415" s="646"/>
      <c r="AE415" s="271"/>
      <c r="AF415" s="646"/>
      <c r="AG415" s="646"/>
      <c r="AH415" s="646"/>
      <c r="AI415" s="646"/>
      <c r="AJ415" s="646"/>
      <c r="AK415" s="646"/>
      <c r="AL415" s="646"/>
      <c r="AM415" s="271"/>
      <c r="AN415" s="646"/>
      <c r="AO415" s="646"/>
      <c r="AP415" s="646"/>
      <c r="AQ415" s="271"/>
      <c r="AR415" s="646"/>
      <c r="AS415" s="270"/>
      <c r="AT415" s="646"/>
      <c r="AU415" s="646"/>
      <c r="AV415" s="646"/>
      <c r="AW415" s="270"/>
      <c r="AX415" s="646"/>
      <c r="AY415" s="270"/>
      <c r="AZ415" s="646"/>
      <c r="BA415" s="646"/>
      <c r="BB415" s="644"/>
      <c r="BC415" s="644"/>
      <c r="BD415" s="644"/>
      <c r="BE415" s="644"/>
      <c r="BF415" s="644"/>
      <c r="BG415" s="644"/>
      <c r="BH415" s="644"/>
      <c r="BI415" s="644"/>
      <c r="BJ415" s="644"/>
      <c r="BK415" s="644"/>
      <c r="BL415" s="644"/>
      <c r="BM415" s="95"/>
      <c r="BN415" s="644"/>
      <c r="BO415" s="95"/>
      <c r="BP415" s="644"/>
      <c r="BQ415" s="644"/>
      <c r="BR415" s="644"/>
      <c r="BS415" s="644"/>
      <c r="BT415" s="644"/>
      <c r="BU415" s="644"/>
      <c r="BV415" s="644"/>
      <c r="BW415" s="644"/>
      <c r="BX415" s="644"/>
      <c r="BY415" s="644"/>
      <c r="BZ415" s="644"/>
      <c r="CA415" s="644"/>
      <c r="CB415" s="644"/>
      <c r="CC415" s="644"/>
      <c r="CD415" s="644"/>
      <c r="CE415" s="644"/>
      <c r="CF415" s="644"/>
      <c r="CG415" s="644"/>
      <c r="CH415" s="644"/>
      <c r="CI415" s="644"/>
      <c r="CJ415" s="644"/>
      <c r="CK415" s="644"/>
      <c r="CL415" s="644"/>
      <c r="CM415" s="95"/>
      <c r="CN415" s="644"/>
      <c r="CO415" s="644"/>
      <c r="CP415" s="95"/>
      <c r="CQ415" s="98"/>
      <c r="CR415" s="95"/>
      <c r="CS415" s="95"/>
      <c r="CT415" s="95"/>
      <c r="CU415" s="108"/>
      <c r="CV415" s="109"/>
      <c r="CW415" s="644"/>
      <c r="CX415" s="496"/>
      <c r="CY415" s="637"/>
      <c r="CZ415" s="644"/>
      <c r="DA415" s="644"/>
      <c r="DB415" s="644"/>
      <c r="DC415" s="496"/>
      <c r="DD415" s="644"/>
      <c r="DE415" s="101"/>
      <c r="DF415" s="644"/>
      <c r="DG415" s="101"/>
      <c r="DH415" s="644"/>
      <c r="DI415" s="644"/>
      <c r="DJ415" s="644"/>
      <c r="DK415" s="644"/>
      <c r="DL415" s="644"/>
      <c r="DM415" s="101"/>
      <c r="DN415" s="644"/>
      <c r="DO415" s="644"/>
      <c r="DP415" s="644"/>
      <c r="DQ415" s="644"/>
      <c r="DR415" s="644"/>
      <c r="DS415" s="644"/>
      <c r="DT415" s="644"/>
      <c r="DU415" s="644"/>
      <c r="DV415" s="644"/>
      <c r="DW415" s="101"/>
      <c r="DX415" s="646"/>
      <c r="DY415" s="646"/>
      <c r="DZ415" s="646"/>
      <c r="EA415" s="646"/>
      <c r="EB415" s="646"/>
      <c r="EC415" s="646"/>
      <c r="ED415" s="646"/>
      <c r="EE415" s="646"/>
      <c r="EF415" s="646"/>
      <c r="EG415" s="646"/>
      <c r="EH415" s="646"/>
      <c r="EI415" s="646"/>
      <c r="EJ415" s="646"/>
      <c r="EK415" s="271"/>
      <c r="EL415" s="644"/>
      <c r="EM415" s="634"/>
      <c r="EN415" s="647"/>
      <c r="EO415" s="648"/>
      <c r="EP415" s="647"/>
      <c r="EQ415" s="647"/>
      <c r="ER415" s="647"/>
      <c r="ES415" s="139"/>
      <c r="EV415" s="647"/>
      <c r="EW415" s="647"/>
      <c r="EX415" s="647"/>
      <c r="EY415" s="647"/>
      <c r="EZ415" s="647"/>
      <c r="FA415" s="646"/>
      <c r="FB415" s="646"/>
      <c r="FC415" s="646"/>
      <c r="FD415" s="646"/>
      <c r="FE415" s="646"/>
      <c r="FF415" s="646"/>
      <c r="FG415" s="647"/>
      <c r="FH415" s="647"/>
      <c r="FI415" s="647"/>
      <c r="FJ415" s="647"/>
      <c r="FK415" s="647"/>
      <c r="FL415" s="647"/>
      <c r="FM415" s="647"/>
      <c r="FN415" s="647"/>
      <c r="FO415" s="647"/>
      <c r="FP415" s="647"/>
      <c r="FQ415" s="647"/>
      <c r="FR415" s="647"/>
      <c r="FS415" s="101"/>
      <c r="FT415" s="95"/>
      <c r="FU415" s="651"/>
      <c r="FV415" s="101"/>
      <c r="FW415" s="101"/>
      <c r="FX415" s="634"/>
      <c r="FY415" s="634"/>
      <c r="FZ415" s="634"/>
      <c r="GA415" s="634"/>
      <c r="GB415" s="634"/>
      <c r="GC415" s="634"/>
      <c r="GD415" s="634"/>
      <c r="GE415" s="634"/>
      <c r="GF415" s="634"/>
      <c r="GG415" s="634"/>
      <c r="GH415" s="634"/>
      <c r="GI415" s="634"/>
      <c r="GJ415" s="634"/>
      <c r="GK415" s="634"/>
      <c r="GL415" s="101"/>
      <c r="GM415" s="101"/>
      <c r="GN415" s="101"/>
      <c r="GO415" s="643"/>
      <c r="GP415" s="644"/>
      <c r="GQ415" s="643"/>
      <c r="GR415" s="644"/>
      <c r="GS415" s="643"/>
      <c r="GT415" s="644"/>
      <c r="GU415" s="644"/>
      <c r="GV415" s="644"/>
      <c r="GW415" s="644"/>
      <c r="GX415" s="644"/>
      <c r="GY415" s="644"/>
      <c r="GZ415" s="644"/>
      <c r="HA415" s="644"/>
    </row>
    <row r="416" spans="1:209">
      <c r="A416" s="638"/>
      <c r="B416" s="95"/>
      <c r="C416" s="95"/>
      <c r="D416" s="95"/>
      <c r="E416" s="650"/>
      <c r="F416" s="95"/>
      <c r="G416" s="98"/>
      <c r="H416" s="99"/>
      <c r="I416" s="95"/>
      <c r="J416" s="95"/>
      <c r="K416" s="95"/>
      <c r="L416" s="95"/>
      <c r="M416" s="95"/>
      <c r="N416" s="95"/>
      <c r="O416" s="95"/>
      <c r="P416" s="95"/>
      <c r="Q416" s="95"/>
      <c r="R416" s="98"/>
      <c r="S416" s="101"/>
      <c r="T416" s="644"/>
      <c r="U416" s="101"/>
      <c r="V416" s="647"/>
      <c r="W416" s="643"/>
      <c r="X416" s="644"/>
      <c r="Y416" s="101"/>
      <c r="Z416" s="644"/>
      <c r="AA416" s="101"/>
      <c r="AB416" s="644"/>
      <c r="AC416" s="101"/>
      <c r="AD416" s="646"/>
      <c r="AE416" s="271"/>
      <c r="AF416" s="646"/>
      <c r="AG416" s="646"/>
      <c r="AH416" s="646"/>
      <c r="AI416" s="646"/>
      <c r="AJ416" s="646"/>
      <c r="AK416" s="646"/>
      <c r="AL416" s="646"/>
      <c r="AM416" s="271"/>
      <c r="AN416" s="646"/>
      <c r="AO416" s="646"/>
      <c r="AP416" s="646"/>
      <c r="AQ416" s="271"/>
      <c r="AR416" s="646"/>
      <c r="AS416" s="270"/>
      <c r="AT416" s="646"/>
      <c r="AU416" s="646"/>
      <c r="AV416" s="646"/>
      <c r="AW416" s="270"/>
      <c r="AX416" s="646"/>
      <c r="AY416" s="270"/>
      <c r="AZ416" s="646"/>
      <c r="BA416" s="646"/>
      <c r="BB416" s="644"/>
      <c r="BC416" s="644"/>
      <c r="BD416" s="644"/>
      <c r="BE416" s="644"/>
      <c r="BF416" s="644"/>
      <c r="BG416" s="644"/>
      <c r="BH416" s="644"/>
      <c r="BI416" s="644"/>
      <c r="BJ416" s="644"/>
      <c r="BK416" s="644"/>
      <c r="BL416" s="644"/>
      <c r="BM416" s="95"/>
      <c r="BN416" s="644"/>
      <c r="BO416" s="95"/>
      <c r="BP416" s="644"/>
      <c r="BQ416" s="644"/>
      <c r="BR416" s="644"/>
      <c r="BS416" s="644"/>
      <c r="BT416" s="644"/>
      <c r="BU416" s="644"/>
      <c r="BV416" s="644"/>
      <c r="BW416" s="644"/>
      <c r="BX416" s="644"/>
      <c r="BY416" s="644"/>
      <c r="BZ416" s="644"/>
      <c r="CA416" s="644"/>
      <c r="CB416" s="644"/>
      <c r="CC416" s="644"/>
      <c r="CD416" s="644"/>
      <c r="CE416" s="644"/>
      <c r="CF416" s="644"/>
      <c r="CG416" s="644"/>
      <c r="CH416" s="644"/>
      <c r="CI416" s="644"/>
      <c r="CJ416" s="644"/>
      <c r="CK416" s="644"/>
      <c r="CL416" s="644"/>
      <c r="CM416" s="95"/>
      <c r="CN416" s="644"/>
      <c r="CO416" s="644"/>
      <c r="CP416" s="95"/>
      <c r="CQ416" s="98"/>
      <c r="CR416" s="95"/>
      <c r="CS416" s="95"/>
      <c r="CT416" s="95"/>
      <c r="CU416" s="108"/>
      <c r="CV416" s="109"/>
      <c r="CW416" s="644"/>
      <c r="CX416" s="496"/>
      <c r="CY416" s="637"/>
      <c r="CZ416" s="644"/>
      <c r="DA416" s="644"/>
      <c r="DB416" s="644"/>
      <c r="DC416" s="496"/>
      <c r="DD416" s="644"/>
      <c r="DE416" s="101"/>
      <c r="DF416" s="644"/>
      <c r="DG416" s="101"/>
      <c r="DH416" s="644"/>
      <c r="DI416" s="644"/>
      <c r="DJ416" s="644"/>
      <c r="DK416" s="644"/>
      <c r="DL416" s="644"/>
      <c r="DM416" s="101"/>
      <c r="DN416" s="644"/>
      <c r="DO416" s="644"/>
      <c r="DP416" s="644"/>
      <c r="DQ416" s="644"/>
      <c r="DR416" s="644"/>
      <c r="DS416" s="644"/>
      <c r="DT416" s="644"/>
      <c r="DU416" s="644"/>
      <c r="DV416" s="644"/>
      <c r="DW416" s="101"/>
      <c r="DX416" s="646"/>
      <c r="DY416" s="646"/>
      <c r="DZ416" s="646"/>
      <c r="EA416" s="646"/>
      <c r="EB416" s="646"/>
      <c r="EC416" s="646"/>
      <c r="ED416" s="646"/>
      <c r="EE416" s="646"/>
      <c r="EF416" s="646"/>
      <c r="EG416" s="646"/>
      <c r="EH416" s="646"/>
      <c r="EI416" s="646"/>
      <c r="EJ416" s="646"/>
      <c r="EK416" s="271"/>
      <c r="EL416" s="644"/>
      <c r="EM416" s="634"/>
      <c r="EN416" s="647"/>
      <c r="EO416" s="648"/>
      <c r="EP416" s="647"/>
      <c r="EQ416" s="647"/>
      <c r="ER416" s="647"/>
      <c r="ES416" s="139"/>
      <c r="EV416" s="647"/>
      <c r="EW416" s="647"/>
      <c r="EX416" s="647"/>
      <c r="EY416" s="647"/>
      <c r="EZ416" s="647"/>
      <c r="FA416" s="646"/>
      <c r="FB416" s="646"/>
      <c r="FC416" s="646"/>
      <c r="FD416" s="646"/>
      <c r="FE416" s="646"/>
      <c r="FF416" s="646"/>
      <c r="FG416" s="647"/>
      <c r="FH416" s="647"/>
      <c r="FI416" s="647"/>
      <c r="FJ416" s="647"/>
      <c r="FK416" s="647"/>
      <c r="FL416" s="647"/>
      <c r="FM416" s="647"/>
      <c r="FN416" s="647"/>
      <c r="FO416" s="647"/>
      <c r="FP416" s="647"/>
      <c r="FQ416" s="647"/>
      <c r="FR416" s="647"/>
      <c r="FS416" s="101"/>
      <c r="FT416" s="95"/>
      <c r="FU416" s="651"/>
      <c r="FV416" s="101"/>
      <c r="FW416" s="101"/>
      <c r="FX416" s="634"/>
      <c r="FY416" s="634"/>
      <c r="FZ416" s="634"/>
      <c r="GA416" s="634"/>
      <c r="GB416" s="634"/>
      <c r="GC416" s="634"/>
      <c r="GD416" s="634"/>
      <c r="GE416" s="634"/>
      <c r="GF416" s="634"/>
      <c r="GG416" s="634"/>
      <c r="GH416" s="634"/>
      <c r="GI416" s="634"/>
      <c r="GJ416" s="634"/>
      <c r="GK416" s="634"/>
      <c r="GL416" s="101"/>
      <c r="GM416" s="101"/>
      <c r="GN416" s="101"/>
      <c r="GO416" s="643"/>
      <c r="GP416" s="644"/>
      <c r="GQ416" s="643"/>
      <c r="GR416" s="644"/>
      <c r="GS416" s="643"/>
      <c r="GT416" s="644"/>
      <c r="GU416" s="644"/>
      <c r="GV416" s="644"/>
      <c r="GW416" s="644"/>
      <c r="GX416" s="644"/>
      <c r="GY416" s="644"/>
      <c r="GZ416" s="644"/>
      <c r="HA416" s="644"/>
    </row>
    <row r="417" spans="1:209">
      <c r="A417" s="638"/>
      <c r="B417" s="95"/>
      <c r="C417" s="95"/>
      <c r="D417" s="95"/>
      <c r="E417" s="650"/>
      <c r="F417" s="95"/>
      <c r="G417" s="98"/>
      <c r="H417" s="99"/>
      <c r="I417" s="95"/>
      <c r="J417" s="95"/>
      <c r="K417" s="95"/>
      <c r="L417" s="95"/>
      <c r="M417" s="95"/>
      <c r="N417" s="95"/>
      <c r="O417" s="95"/>
      <c r="P417" s="95"/>
      <c r="Q417" s="95"/>
      <c r="R417" s="98"/>
      <c r="S417" s="101"/>
      <c r="T417" s="644"/>
      <c r="U417" s="101"/>
      <c r="V417" s="647"/>
      <c r="W417" s="643"/>
      <c r="X417" s="644"/>
      <c r="Y417" s="101"/>
      <c r="Z417" s="644"/>
      <c r="AA417" s="101"/>
      <c r="AB417" s="644"/>
      <c r="AC417" s="101"/>
      <c r="AD417" s="646"/>
      <c r="AE417" s="271"/>
      <c r="AF417" s="646"/>
      <c r="AG417" s="646"/>
      <c r="AH417" s="646"/>
      <c r="AI417" s="646"/>
      <c r="AJ417" s="646"/>
      <c r="AK417" s="646"/>
      <c r="AL417" s="646"/>
      <c r="AM417" s="271"/>
      <c r="AN417" s="646"/>
      <c r="AO417" s="646"/>
      <c r="AP417" s="646"/>
      <c r="AQ417" s="271"/>
      <c r="AR417" s="646"/>
      <c r="AS417" s="270"/>
      <c r="AT417" s="646"/>
      <c r="AU417" s="646"/>
      <c r="AV417" s="646"/>
      <c r="AW417" s="270"/>
      <c r="AX417" s="646"/>
      <c r="AY417" s="270"/>
      <c r="AZ417" s="646"/>
      <c r="BA417" s="646"/>
      <c r="BB417" s="644"/>
      <c r="BC417" s="644"/>
      <c r="BD417" s="644"/>
      <c r="BE417" s="644"/>
      <c r="BF417" s="644"/>
      <c r="BG417" s="644"/>
      <c r="BH417" s="644"/>
      <c r="BI417" s="644"/>
      <c r="BJ417" s="644"/>
      <c r="BK417" s="644"/>
      <c r="BL417" s="644"/>
      <c r="BM417" s="95"/>
      <c r="BN417" s="644"/>
      <c r="BO417" s="95"/>
      <c r="BP417" s="644"/>
      <c r="BQ417" s="644"/>
      <c r="BR417" s="644"/>
      <c r="BS417" s="644"/>
      <c r="BT417" s="644"/>
      <c r="BU417" s="644"/>
      <c r="BV417" s="644"/>
      <c r="BW417" s="644"/>
      <c r="BX417" s="644"/>
      <c r="BY417" s="644"/>
      <c r="BZ417" s="644"/>
      <c r="CA417" s="644"/>
      <c r="CB417" s="644"/>
      <c r="CC417" s="644"/>
      <c r="CD417" s="644"/>
      <c r="CE417" s="644"/>
      <c r="CF417" s="644"/>
      <c r="CG417" s="644"/>
      <c r="CH417" s="644"/>
      <c r="CI417" s="644"/>
      <c r="CJ417" s="644"/>
      <c r="CK417" s="644"/>
      <c r="CL417" s="644"/>
      <c r="CM417" s="95"/>
      <c r="CN417" s="644"/>
      <c r="CO417" s="644"/>
      <c r="CP417" s="95"/>
      <c r="CQ417" s="98"/>
      <c r="CR417" s="95"/>
      <c r="CS417" s="95"/>
      <c r="CT417" s="95"/>
      <c r="CU417" s="108"/>
      <c r="CV417" s="109"/>
      <c r="CW417" s="644"/>
      <c r="CX417" s="496"/>
      <c r="CY417" s="637"/>
      <c r="CZ417" s="644"/>
      <c r="DA417" s="644"/>
      <c r="DB417" s="644"/>
      <c r="DC417" s="496"/>
      <c r="DD417" s="644"/>
      <c r="DE417" s="101"/>
      <c r="DF417" s="644"/>
      <c r="DG417" s="101"/>
      <c r="DH417" s="644"/>
      <c r="DI417" s="644"/>
      <c r="DJ417" s="644"/>
      <c r="DK417" s="644"/>
      <c r="DL417" s="644"/>
      <c r="DM417" s="101"/>
      <c r="DN417" s="644"/>
      <c r="DO417" s="644"/>
      <c r="DP417" s="644"/>
      <c r="DQ417" s="644"/>
      <c r="DR417" s="644"/>
      <c r="DS417" s="644"/>
      <c r="DT417" s="644"/>
      <c r="DU417" s="644"/>
      <c r="DV417" s="644"/>
      <c r="DW417" s="101"/>
      <c r="DX417" s="646"/>
      <c r="DY417" s="646"/>
      <c r="DZ417" s="646"/>
      <c r="EA417" s="646"/>
      <c r="EB417" s="646"/>
      <c r="EC417" s="646"/>
      <c r="ED417" s="646"/>
      <c r="EE417" s="646"/>
      <c r="EF417" s="646"/>
      <c r="EG417" s="646"/>
      <c r="EH417" s="646"/>
      <c r="EI417" s="646"/>
      <c r="EJ417" s="646"/>
      <c r="EK417" s="271"/>
      <c r="EL417" s="644"/>
      <c r="EM417" s="634"/>
      <c r="EN417" s="647"/>
      <c r="EO417" s="648"/>
      <c r="EP417" s="647"/>
      <c r="EQ417" s="647"/>
      <c r="ER417" s="647"/>
      <c r="ES417" s="139"/>
      <c r="EV417" s="647"/>
      <c r="EW417" s="647"/>
      <c r="EX417" s="647"/>
      <c r="EY417" s="647"/>
      <c r="EZ417" s="647"/>
      <c r="FA417" s="646"/>
      <c r="FB417" s="646"/>
      <c r="FC417" s="646"/>
      <c r="FD417" s="646"/>
      <c r="FE417" s="646"/>
      <c r="FF417" s="646"/>
      <c r="FG417" s="647"/>
      <c r="FH417" s="647"/>
      <c r="FI417" s="647"/>
      <c r="FJ417" s="647"/>
      <c r="FK417" s="647"/>
      <c r="FL417" s="647"/>
      <c r="FM417" s="647"/>
      <c r="FN417" s="647"/>
      <c r="FO417" s="647"/>
      <c r="FP417" s="647"/>
      <c r="FQ417" s="647"/>
      <c r="FR417" s="647"/>
      <c r="FS417" s="101"/>
      <c r="FT417" s="95"/>
      <c r="FU417" s="651"/>
      <c r="FV417" s="101"/>
      <c r="FW417" s="101"/>
      <c r="FX417" s="634"/>
      <c r="FY417" s="634"/>
      <c r="FZ417" s="634"/>
      <c r="GA417" s="634"/>
      <c r="GB417" s="634"/>
      <c r="GC417" s="634"/>
      <c r="GD417" s="634"/>
      <c r="GE417" s="634"/>
      <c r="GF417" s="634"/>
      <c r="GG417" s="634"/>
      <c r="GH417" s="634"/>
      <c r="GI417" s="634"/>
      <c r="GJ417" s="634"/>
      <c r="GK417" s="634"/>
      <c r="GL417" s="101"/>
      <c r="GM417" s="101"/>
      <c r="GN417" s="101"/>
      <c r="GO417" s="643"/>
      <c r="GP417" s="644"/>
      <c r="GQ417" s="643"/>
      <c r="GR417" s="644"/>
      <c r="GS417" s="643"/>
      <c r="GT417" s="644"/>
      <c r="GU417" s="644"/>
      <c r="GV417" s="644"/>
      <c r="GW417" s="644"/>
      <c r="GX417" s="644"/>
      <c r="GY417" s="644"/>
      <c r="GZ417" s="644"/>
      <c r="HA417" s="644"/>
    </row>
    <row r="418" spans="1:209">
      <c r="A418" s="638"/>
      <c r="B418" s="95"/>
      <c r="C418" s="95"/>
      <c r="D418" s="95"/>
      <c r="E418" s="650"/>
      <c r="F418" s="95"/>
      <c r="G418" s="98"/>
      <c r="H418" s="99"/>
      <c r="I418" s="95"/>
      <c r="J418" s="95"/>
      <c r="K418" s="95"/>
      <c r="L418" s="95"/>
      <c r="M418" s="95"/>
      <c r="N418" s="95"/>
      <c r="O418" s="95"/>
      <c r="P418" s="95"/>
      <c r="Q418" s="95"/>
      <c r="R418" s="98"/>
      <c r="S418" s="101"/>
      <c r="T418" s="644"/>
      <c r="U418" s="101"/>
      <c r="V418" s="647"/>
      <c r="W418" s="643"/>
      <c r="X418" s="644"/>
      <c r="Y418" s="101"/>
      <c r="Z418" s="644"/>
      <c r="AA418" s="101"/>
      <c r="AB418" s="644"/>
      <c r="AC418" s="101"/>
      <c r="AD418" s="646"/>
      <c r="AE418" s="271"/>
      <c r="AF418" s="646"/>
      <c r="AG418" s="646"/>
      <c r="AH418" s="646"/>
      <c r="AI418" s="646"/>
      <c r="AJ418" s="646"/>
      <c r="AK418" s="646"/>
      <c r="AL418" s="646"/>
      <c r="AM418" s="271"/>
      <c r="AN418" s="646"/>
      <c r="AO418" s="646"/>
      <c r="AP418" s="646"/>
      <c r="AQ418" s="271"/>
      <c r="AR418" s="646"/>
      <c r="AS418" s="270"/>
      <c r="AT418" s="646"/>
      <c r="AU418" s="646"/>
      <c r="AV418" s="646"/>
      <c r="AW418" s="270"/>
      <c r="AX418" s="646"/>
      <c r="AY418" s="270"/>
      <c r="AZ418" s="646"/>
      <c r="BA418" s="646"/>
      <c r="BB418" s="644"/>
      <c r="BC418" s="644"/>
      <c r="BD418" s="644"/>
      <c r="BE418" s="644"/>
      <c r="BF418" s="644"/>
      <c r="BG418" s="644"/>
      <c r="BH418" s="644"/>
      <c r="BI418" s="644"/>
      <c r="BJ418" s="644"/>
      <c r="BK418" s="644"/>
      <c r="BL418" s="644"/>
      <c r="BM418" s="95"/>
      <c r="BN418" s="644"/>
      <c r="BO418" s="95"/>
      <c r="BP418" s="644"/>
      <c r="BQ418" s="644"/>
      <c r="BR418" s="644"/>
      <c r="BS418" s="644"/>
      <c r="BT418" s="644"/>
      <c r="BU418" s="644"/>
      <c r="BV418" s="644"/>
      <c r="BW418" s="644"/>
      <c r="BX418" s="644"/>
      <c r="BY418" s="644"/>
      <c r="BZ418" s="644"/>
      <c r="CA418" s="644"/>
      <c r="CB418" s="644"/>
      <c r="CC418" s="644"/>
      <c r="CD418" s="644"/>
      <c r="CE418" s="644"/>
      <c r="CF418" s="644"/>
      <c r="CG418" s="644"/>
      <c r="CH418" s="644"/>
      <c r="CI418" s="644"/>
      <c r="CJ418" s="644"/>
      <c r="CK418" s="644"/>
      <c r="CL418" s="644"/>
      <c r="CM418" s="95"/>
      <c r="CN418" s="644"/>
      <c r="CO418" s="644"/>
      <c r="CP418" s="95"/>
      <c r="CQ418" s="98"/>
      <c r="CR418" s="95"/>
      <c r="CS418" s="95"/>
      <c r="CT418" s="95"/>
      <c r="CU418" s="108"/>
      <c r="CV418" s="109"/>
      <c r="CW418" s="644"/>
      <c r="CX418" s="496"/>
      <c r="CY418" s="637"/>
      <c r="CZ418" s="644"/>
      <c r="DA418" s="644"/>
      <c r="DB418" s="644"/>
      <c r="DC418" s="496"/>
      <c r="DD418" s="644"/>
      <c r="DE418" s="101"/>
      <c r="DF418" s="644"/>
      <c r="DG418" s="101"/>
      <c r="DH418" s="644"/>
      <c r="DI418" s="644"/>
      <c r="DJ418" s="644"/>
      <c r="DK418" s="644"/>
      <c r="DL418" s="644"/>
      <c r="DM418" s="101"/>
      <c r="DN418" s="644"/>
      <c r="DO418" s="644"/>
      <c r="DP418" s="644"/>
      <c r="DQ418" s="644"/>
      <c r="DR418" s="644"/>
      <c r="DS418" s="644"/>
      <c r="DT418" s="644"/>
      <c r="DU418" s="644"/>
      <c r="DV418" s="644"/>
      <c r="DW418" s="101"/>
      <c r="DX418" s="646"/>
      <c r="DY418" s="646"/>
      <c r="DZ418" s="646"/>
      <c r="EA418" s="646"/>
      <c r="EB418" s="646"/>
      <c r="EC418" s="646"/>
      <c r="ED418" s="646"/>
      <c r="EE418" s="646"/>
      <c r="EF418" s="646"/>
      <c r="EG418" s="646"/>
      <c r="EH418" s="646"/>
      <c r="EI418" s="646"/>
      <c r="EJ418" s="646"/>
      <c r="EK418" s="271"/>
      <c r="EL418" s="644"/>
      <c r="EM418" s="634"/>
      <c r="EN418" s="647"/>
      <c r="EO418" s="648"/>
      <c r="EP418" s="647"/>
      <c r="EQ418" s="647"/>
      <c r="ER418" s="647"/>
      <c r="ES418" s="139"/>
      <c r="EV418" s="647"/>
      <c r="EW418" s="647"/>
      <c r="EX418" s="647"/>
      <c r="EY418" s="647"/>
      <c r="EZ418" s="647"/>
      <c r="FA418" s="646"/>
      <c r="FB418" s="646"/>
      <c r="FC418" s="646"/>
      <c r="FD418" s="646"/>
      <c r="FE418" s="646"/>
      <c r="FF418" s="646"/>
      <c r="FG418" s="647"/>
      <c r="FH418" s="647"/>
      <c r="FI418" s="647"/>
      <c r="FJ418" s="647"/>
      <c r="FK418" s="647"/>
      <c r="FL418" s="647"/>
      <c r="FM418" s="647"/>
      <c r="FN418" s="647"/>
      <c r="FO418" s="647"/>
      <c r="FP418" s="647"/>
      <c r="FQ418" s="647"/>
      <c r="FR418" s="647"/>
      <c r="FS418" s="101"/>
      <c r="FT418" s="95"/>
      <c r="FU418" s="651"/>
      <c r="FV418" s="101"/>
      <c r="FW418" s="101"/>
      <c r="FX418" s="634"/>
      <c r="FY418" s="634"/>
      <c r="FZ418" s="634"/>
      <c r="GA418" s="634"/>
      <c r="GB418" s="634"/>
      <c r="GC418" s="634"/>
      <c r="GD418" s="634"/>
      <c r="GE418" s="634"/>
      <c r="GF418" s="634"/>
      <c r="GG418" s="634"/>
      <c r="GH418" s="634"/>
      <c r="GI418" s="634"/>
      <c r="GJ418" s="634"/>
      <c r="GK418" s="634"/>
      <c r="GL418" s="101"/>
      <c r="GM418" s="101"/>
      <c r="GN418" s="101"/>
      <c r="GO418" s="643"/>
      <c r="GP418" s="644"/>
      <c r="GQ418" s="643"/>
      <c r="GR418" s="644"/>
      <c r="GS418" s="643"/>
      <c r="GT418" s="644"/>
      <c r="GU418" s="644"/>
      <c r="GV418" s="644"/>
      <c r="GW418" s="644"/>
      <c r="GX418" s="644"/>
      <c r="GY418" s="644"/>
      <c r="GZ418" s="644"/>
      <c r="HA418" s="644"/>
    </row>
    <row r="419" spans="1:209">
      <c r="A419" s="638"/>
      <c r="B419" s="95"/>
      <c r="C419" s="95"/>
      <c r="D419" s="95"/>
      <c r="E419" s="650"/>
      <c r="F419" s="95"/>
      <c r="G419" s="98"/>
      <c r="H419" s="99"/>
      <c r="I419" s="95"/>
      <c r="J419" s="95"/>
      <c r="K419" s="95"/>
      <c r="L419" s="95"/>
      <c r="M419" s="95"/>
      <c r="N419" s="95"/>
      <c r="O419" s="95"/>
      <c r="P419" s="95"/>
      <c r="Q419" s="95"/>
      <c r="R419" s="98"/>
      <c r="S419" s="101"/>
      <c r="T419" s="644"/>
      <c r="U419" s="101"/>
      <c r="V419" s="647"/>
      <c r="W419" s="643"/>
      <c r="X419" s="644"/>
      <c r="Y419" s="101"/>
      <c r="Z419" s="644"/>
      <c r="AA419" s="101"/>
      <c r="AB419" s="644"/>
      <c r="AC419" s="101"/>
      <c r="AD419" s="646"/>
      <c r="AE419" s="271"/>
      <c r="AF419" s="646"/>
      <c r="AG419" s="646"/>
      <c r="AH419" s="646"/>
      <c r="AI419" s="646"/>
      <c r="AJ419" s="646"/>
      <c r="AK419" s="646"/>
      <c r="AL419" s="646"/>
      <c r="AM419" s="271"/>
      <c r="AN419" s="646"/>
      <c r="AO419" s="646"/>
      <c r="AP419" s="646"/>
      <c r="AQ419" s="271"/>
      <c r="AR419" s="646"/>
      <c r="AS419" s="270"/>
      <c r="AT419" s="646"/>
      <c r="AU419" s="646"/>
      <c r="AV419" s="646"/>
      <c r="AW419" s="270"/>
      <c r="AX419" s="646"/>
      <c r="AY419" s="270"/>
      <c r="AZ419" s="646"/>
      <c r="BA419" s="646"/>
      <c r="BB419" s="644"/>
      <c r="BC419" s="644"/>
      <c r="BD419" s="644"/>
      <c r="BE419" s="644"/>
      <c r="BF419" s="644"/>
      <c r="BG419" s="644"/>
      <c r="BH419" s="644"/>
      <c r="BI419" s="644"/>
      <c r="BJ419" s="644"/>
      <c r="BK419" s="644"/>
      <c r="BL419" s="644"/>
      <c r="BM419" s="95"/>
      <c r="BN419" s="644"/>
      <c r="BO419" s="95"/>
      <c r="BP419" s="644"/>
      <c r="BQ419" s="644"/>
      <c r="BR419" s="644"/>
      <c r="BS419" s="644"/>
      <c r="BT419" s="644"/>
      <c r="BU419" s="644"/>
      <c r="BV419" s="644"/>
      <c r="BW419" s="644"/>
      <c r="BX419" s="644"/>
      <c r="BY419" s="644"/>
      <c r="BZ419" s="644"/>
      <c r="CA419" s="644"/>
      <c r="CB419" s="644"/>
      <c r="CC419" s="644"/>
      <c r="CD419" s="644"/>
      <c r="CE419" s="644"/>
      <c r="CF419" s="644"/>
      <c r="CG419" s="644"/>
      <c r="CH419" s="644"/>
      <c r="CI419" s="644"/>
      <c r="CJ419" s="644"/>
      <c r="CK419" s="644"/>
      <c r="CL419" s="644"/>
      <c r="CM419" s="95"/>
      <c r="CN419" s="644"/>
      <c r="CO419" s="644"/>
      <c r="CP419" s="95"/>
      <c r="CQ419" s="98"/>
      <c r="CR419" s="95"/>
      <c r="CS419" s="95"/>
      <c r="CT419" s="95"/>
      <c r="CU419" s="108"/>
      <c r="CV419" s="109"/>
      <c r="CW419" s="644"/>
      <c r="CX419" s="496"/>
      <c r="CY419" s="637"/>
      <c r="CZ419" s="644"/>
      <c r="DA419" s="644"/>
      <c r="DB419" s="644"/>
      <c r="DC419" s="496"/>
      <c r="DD419" s="644"/>
      <c r="DE419" s="101"/>
      <c r="DF419" s="644"/>
      <c r="DG419" s="101"/>
      <c r="DH419" s="644"/>
      <c r="DI419" s="644"/>
      <c r="DJ419" s="644"/>
      <c r="DK419" s="644"/>
      <c r="DL419" s="644"/>
      <c r="DM419" s="101"/>
      <c r="DN419" s="644"/>
      <c r="DO419" s="644"/>
      <c r="DP419" s="644"/>
      <c r="DQ419" s="644"/>
      <c r="DR419" s="644"/>
      <c r="DS419" s="644"/>
      <c r="DT419" s="644"/>
      <c r="DU419" s="644"/>
      <c r="DV419" s="644"/>
      <c r="DW419" s="101"/>
      <c r="DX419" s="646"/>
      <c r="DY419" s="646"/>
      <c r="DZ419" s="646"/>
      <c r="EA419" s="646"/>
      <c r="EB419" s="646"/>
      <c r="EC419" s="646"/>
      <c r="ED419" s="646"/>
      <c r="EE419" s="646"/>
      <c r="EF419" s="646"/>
      <c r="EG419" s="646"/>
      <c r="EH419" s="646"/>
      <c r="EI419" s="646"/>
      <c r="EJ419" s="646"/>
      <c r="EK419" s="271"/>
      <c r="EL419" s="644"/>
      <c r="EM419" s="634"/>
      <c r="EN419" s="647"/>
      <c r="EO419" s="648"/>
      <c r="EP419" s="647"/>
      <c r="EQ419" s="647"/>
      <c r="ER419" s="647"/>
      <c r="ES419" s="139"/>
      <c r="EV419" s="647"/>
      <c r="EW419" s="647"/>
      <c r="EX419" s="647"/>
      <c r="EY419" s="647"/>
      <c r="EZ419" s="647"/>
      <c r="FA419" s="646"/>
      <c r="FB419" s="646"/>
      <c r="FC419" s="646"/>
      <c r="FD419" s="646"/>
      <c r="FE419" s="646"/>
      <c r="FF419" s="646"/>
      <c r="FG419" s="647"/>
      <c r="FH419" s="647"/>
      <c r="FI419" s="647"/>
      <c r="FJ419" s="647"/>
      <c r="FK419" s="647"/>
      <c r="FL419" s="647"/>
      <c r="FM419" s="647"/>
      <c r="FN419" s="647"/>
      <c r="FO419" s="647"/>
      <c r="FP419" s="647"/>
      <c r="FQ419" s="647"/>
      <c r="FR419" s="647"/>
      <c r="FS419" s="101"/>
      <c r="FT419" s="95"/>
      <c r="FU419" s="651"/>
      <c r="FV419" s="101"/>
      <c r="FW419" s="101"/>
      <c r="FX419" s="634"/>
      <c r="FY419" s="634"/>
      <c r="FZ419" s="634"/>
      <c r="GA419" s="634"/>
      <c r="GB419" s="634"/>
      <c r="GC419" s="634"/>
      <c r="GD419" s="634"/>
      <c r="GE419" s="634"/>
      <c r="GF419" s="634"/>
      <c r="GG419" s="634"/>
      <c r="GH419" s="634"/>
      <c r="GI419" s="634"/>
      <c r="GJ419" s="634"/>
      <c r="GK419" s="634"/>
      <c r="GL419" s="101"/>
      <c r="GM419" s="101"/>
      <c r="GN419" s="101"/>
      <c r="GO419" s="643"/>
      <c r="GP419" s="644"/>
      <c r="GQ419" s="643"/>
      <c r="GR419" s="644"/>
      <c r="GS419" s="643"/>
      <c r="GT419" s="644"/>
      <c r="GU419" s="644"/>
      <c r="GV419" s="644"/>
      <c r="GW419" s="644"/>
      <c r="GX419" s="644"/>
      <c r="GY419" s="644"/>
      <c r="GZ419" s="644"/>
      <c r="HA419" s="644"/>
    </row>
    <row r="420" spans="1:209">
      <c r="A420" s="638"/>
      <c r="B420" s="95"/>
      <c r="C420" s="95"/>
      <c r="D420" s="95"/>
      <c r="E420" s="650"/>
      <c r="F420" s="95"/>
      <c r="G420" s="98"/>
      <c r="H420" s="99"/>
      <c r="I420" s="95"/>
      <c r="J420" s="95"/>
      <c r="K420" s="95"/>
      <c r="L420" s="95"/>
      <c r="M420" s="95"/>
      <c r="N420" s="95"/>
      <c r="O420" s="95"/>
      <c r="P420" s="95"/>
      <c r="Q420" s="95"/>
      <c r="R420" s="98"/>
      <c r="S420" s="101"/>
      <c r="T420" s="644"/>
      <c r="U420" s="101"/>
      <c r="V420" s="647"/>
      <c r="W420" s="643"/>
      <c r="X420" s="644"/>
      <c r="Y420" s="101"/>
      <c r="Z420" s="644"/>
      <c r="AA420" s="101"/>
      <c r="AB420" s="644"/>
      <c r="AC420" s="101"/>
      <c r="AD420" s="646"/>
      <c r="AE420" s="271"/>
      <c r="AF420" s="646"/>
      <c r="AG420" s="646"/>
      <c r="AH420" s="646"/>
      <c r="AI420" s="646"/>
      <c r="AJ420" s="646"/>
      <c r="AK420" s="646"/>
      <c r="AL420" s="646"/>
      <c r="AM420" s="271"/>
      <c r="AN420" s="646"/>
      <c r="AO420" s="646"/>
      <c r="AP420" s="646"/>
      <c r="AQ420" s="271"/>
      <c r="AR420" s="646"/>
      <c r="AS420" s="270"/>
      <c r="AT420" s="646"/>
      <c r="AU420" s="646"/>
      <c r="AV420" s="646"/>
      <c r="AW420" s="270"/>
      <c r="AX420" s="646"/>
      <c r="AY420" s="270"/>
      <c r="AZ420" s="646"/>
      <c r="BA420" s="646"/>
      <c r="BB420" s="644"/>
      <c r="BC420" s="644"/>
      <c r="BD420" s="644"/>
      <c r="BE420" s="644"/>
      <c r="BF420" s="644"/>
      <c r="BG420" s="644"/>
      <c r="BH420" s="644"/>
      <c r="BI420" s="644"/>
      <c r="BJ420" s="644"/>
      <c r="BK420" s="644"/>
      <c r="BL420" s="644"/>
      <c r="BM420" s="95"/>
      <c r="BN420" s="644"/>
      <c r="BO420" s="95"/>
      <c r="BP420" s="644"/>
      <c r="BQ420" s="644"/>
      <c r="BR420" s="644"/>
      <c r="BS420" s="644"/>
      <c r="BT420" s="644"/>
      <c r="BU420" s="644"/>
      <c r="BV420" s="644"/>
      <c r="BW420" s="644"/>
      <c r="BX420" s="644"/>
      <c r="BY420" s="644"/>
      <c r="BZ420" s="644"/>
      <c r="CA420" s="644"/>
      <c r="CB420" s="644"/>
      <c r="CC420" s="644"/>
      <c r="CD420" s="644"/>
      <c r="CE420" s="644"/>
      <c r="CF420" s="644"/>
      <c r="CG420" s="644"/>
      <c r="CH420" s="644"/>
      <c r="CI420" s="644"/>
      <c r="CJ420" s="644"/>
      <c r="CK420" s="644"/>
      <c r="CL420" s="644"/>
      <c r="CM420" s="95"/>
      <c r="CN420" s="644"/>
      <c r="CO420" s="644"/>
      <c r="CP420" s="95"/>
      <c r="CQ420" s="98"/>
      <c r="CR420" s="95"/>
      <c r="CS420" s="95"/>
      <c r="CT420" s="95"/>
      <c r="CU420" s="108"/>
      <c r="CV420" s="109"/>
      <c r="CW420" s="644"/>
      <c r="CX420" s="496"/>
      <c r="CY420" s="637"/>
      <c r="CZ420" s="644"/>
      <c r="DA420" s="644"/>
      <c r="DB420" s="644"/>
      <c r="DC420" s="496"/>
      <c r="DD420" s="644"/>
      <c r="DE420" s="101"/>
      <c r="DF420" s="644"/>
      <c r="DG420" s="101"/>
      <c r="DH420" s="644"/>
      <c r="DI420" s="644"/>
      <c r="DJ420" s="644"/>
      <c r="DK420" s="644"/>
      <c r="DL420" s="644"/>
      <c r="DM420" s="101"/>
      <c r="DN420" s="644"/>
      <c r="DO420" s="644"/>
      <c r="DP420" s="644"/>
      <c r="DQ420" s="644"/>
      <c r="DR420" s="644"/>
      <c r="DS420" s="644"/>
      <c r="DT420" s="644"/>
      <c r="DU420" s="644"/>
      <c r="DV420" s="644"/>
      <c r="DW420" s="101"/>
      <c r="DX420" s="646"/>
      <c r="DY420" s="646"/>
      <c r="DZ420" s="646"/>
      <c r="EA420" s="646"/>
      <c r="EB420" s="646"/>
      <c r="EC420" s="646"/>
      <c r="ED420" s="646"/>
      <c r="EE420" s="646"/>
      <c r="EF420" s="646"/>
      <c r="EG420" s="646"/>
      <c r="EH420" s="646"/>
      <c r="EI420" s="646"/>
      <c r="EJ420" s="646"/>
      <c r="EK420" s="271"/>
      <c r="EL420" s="644"/>
      <c r="EM420" s="634"/>
      <c r="EN420" s="647"/>
      <c r="EO420" s="648"/>
      <c r="EP420" s="647"/>
      <c r="EQ420" s="647"/>
      <c r="ER420" s="647"/>
      <c r="ES420" s="139"/>
      <c r="EV420" s="647"/>
      <c r="EW420" s="647"/>
      <c r="EX420" s="647"/>
      <c r="EY420" s="647"/>
      <c r="EZ420" s="647"/>
      <c r="FA420" s="646"/>
      <c r="FB420" s="646"/>
      <c r="FC420" s="646"/>
      <c r="FD420" s="646"/>
      <c r="FE420" s="646"/>
      <c r="FF420" s="646"/>
      <c r="FG420" s="647"/>
      <c r="FH420" s="647"/>
      <c r="FI420" s="647"/>
      <c r="FJ420" s="647"/>
      <c r="FK420" s="647"/>
      <c r="FL420" s="647"/>
      <c r="FM420" s="647"/>
      <c r="FN420" s="647"/>
      <c r="FO420" s="647"/>
      <c r="FP420" s="647"/>
      <c r="FQ420" s="647"/>
      <c r="FR420" s="647"/>
      <c r="FS420" s="101"/>
      <c r="FT420" s="95"/>
      <c r="FU420" s="651"/>
      <c r="FV420" s="101"/>
      <c r="FW420" s="101"/>
      <c r="FX420" s="634"/>
      <c r="FY420" s="634"/>
      <c r="FZ420" s="634"/>
      <c r="GA420" s="634"/>
      <c r="GB420" s="634"/>
      <c r="GC420" s="634"/>
      <c r="GD420" s="634"/>
      <c r="GE420" s="634"/>
      <c r="GF420" s="634"/>
      <c r="GG420" s="634"/>
      <c r="GH420" s="634"/>
      <c r="GI420" s="634"/>
      <c r="GJ420" s="634"/>
      <c r="GK420" s="634"/>
      <c r="GL420" s="101"/>
      <c r="GM420" s="101"/>
      <c r="GN420" s="101"/>
      <c r="GO420" s="643"/>
      <c r="GP420" s="644"/>
      <c r="GQ420" s="643"/>
      <c r="GR420" s="644"/>
      <c r="GS420" s="643"/>
      <c r="GT420" s="644"/>
      <c r="GU420" s="644"/>
      <c r="GV420" s="644"/>
      <c r="GW420" s="644"/>
      <c r="GX420" s="644"/>
      <c r="GY420" s="644"/>
      <c r="GZ420" s="644"/>
      <c r="HA420" s="644"/>
    </row>
    <row r="421" spans="1:209">
      <c r="A421" s="638"/>
      <c r="B421" s="95"/>
      <c r="C421" s="95"/>
      <c r="D421" s="95"/>
      <c r="E421" s="650"/>
      <c r="F421" s="95"/>
      <c r="G421" s="98"/>
      <c r="H421" s="99"/>
      <c r="I421" s="95"/>
      <c r="J421" s="95"/>
      <c r="K421" s="95"/>
      <c r="L421" s="95"/>
      <c r="M421" s="95"/>
      <c r="N421" s="95"/>
      <c r="O421" s="95"/>
      <c r="P421" s="95"/>
      <c r="Q421" s="95"/>
      <c r="R421" s="98"/>
      <c r="S421" s="101"/>
      <c r="T421" s="644"/>
      <c r="U421" s="101"/>
      <c r="V421" s="647"/>
      <c r="W421" s="643"/>
      <c r="X421" s="644"/>
      <c r="Y421" s="101"/>
      <c r="Z421" s="644"/>
      <c r="AA421" s="101"/>
      <c r="AB421" s="644"/>
      <c r="AC421" s="101"/>
      <c r="AD421" s="646"/>
      <c r="AE421" s="271"/>
      <c r="AF421" s="646"/>
      <c r="AG421" s="646"/>
      <c r="AH421" s="646"/>
      <c r="AI421" s="646"/>
      <c r="AJ421" s="646"/>
      <c r="AK421" s="646"/>
      <c r="AL421" s="646"/>
      <c r="AM421" s="271"/>
      <c r="AN421" s="646"/>
      <c r="AO421" s="646"/>
      <c r="AP421" s="646"/>
      <c r="AQ421" s="271"/>
      <c r="AR421" s="646"/>
      <c r="AS421" s="270"/>
      <c r="AT421" s="646"/>
      <c r="AU421" s="646"/>
      <c r="AV421" s="646"/>
      <c r="AW421" s="270"/>
      <c r="AX421" s="646"/>
      <c r="AY421" s="270"/>
      <c r="AZ421" s="646"/>
      <c r="BA421" s="646"/>
      <c r="BB421" s="644"/>
      <c r="BC421" s="644"/>
      <c r="BD421" s="644"/>
      <c r="BE421" s="644"/>
      <c r="BF421" s="644"/>
      <c r="BG421" s="644"/>
      <c r="BH421" s="644"/>
      <c r="BI421" s="644"/>
      <c r="BJ421" s="644"/>
      <c r="BK421" s="644"/>
      <c r="BL421" s="644"/>
      <c r="BM421" s="95"/>
      <c r="BN421" s="644"/>
      <c r="BO421" s="95"/>
      <c r="BP421" s="644"/>
      <c r="BQ421" s="644"/>
      <c r="BR421" s="644"/>
      <c r="BS421" s="644"/>
      <c r="BT421" s="644"/>
      <c r="BU421" s="644"/>
      <c r="BV421" s="644"/>
      <c r="BW421" s="644"/>
      <c r="BX421" s="644"/>
      <c r="BY421" s="644"/>
      <c r="BZ421" s="644"/>
      <c r="CA421" s="644"/>
      <c r="CB421" s="644"/>
      <c r="CC421" s="644"/>
      <c r="CD421" s="644"/>
      <c r="CE421" s="644"/>
      <c r="CF421" s="644"/>
      <c r="CG421" s="644"/>
      <c r="CH421" s="644"/>
      <c r="CI421" s="644"/>
      <c r="CJ421" s="644"/>
      <c r="CK421" s="644"/>
      <c r="CL421" s="644"/>
      <c r="CM421" s="95"/>
      <c r="CN421" s="644"/>
      <c r="CO421" s="644"/>
      <c r="CP421" s="95"/>
      <c r="CQ421" s="98"/>
      <c r="CR421" s="95"/>
      <c r="CS421" s="95"/>
      <c r="CT421" s="95"/>
      <c r="CU421" s="108"/>
      <c r="CV421" s="109"/>
      <c r="CW421" s="644"/>
      <c r="CX421" s="496"/>
      <c r="CY421" s="637"/>
      <c r="CZ421" s="644"/>
      <c r="DA421" s="644"/>
      <c r="DB421" s="644"/>
      <c r="DC421" s="496"/>
      <c r="DD421" s="644"/>
      <c r="DE421" s="101"/>
      <c r="DF421" s="644"/>
      <c r="DG421" s="101"/>
      <c r="DH421" s="644"/>
      <c r="DI421" s="644"/>
      <c r="DJ421" s="644"/>
      <c r="DK421" s="644"/>
      <c r="DL421" s="644"/>
      <c r="DM421" s="101"/>
      <c r="DN421" s="644"/>
      <c r="DO421" s="644"/>
      <c r="DP421" s="644"/>
      <c r="DQ421" s="644"/>
      <c r="DR421" s="644"/>
      <c r="DS421" s="644"/>
      <c r="DT421" s="644"/>
      <c r="DU421" s="644"/>
      <c r="DV421" s="644"/>
      <c r="DW421" s="101"/>
      <c r="DX421" s="646"/>
      <c r="DY421" s="646"/>
      <c r="DZ421" s="646"/>
      <c r="EA421" s="646"/>
      <c r="EB421" s="646"/>
      <c r="EC421" s="646"/>
      <c r="ED421" s="646"/>
      <c r="EE421" s="646"/>
      <c r="EF421" s="646"/>
      <c r="EG421" s="646"/>
      <c r="EH421" s="646"/>
      <c r="EI421" s="646"/>
      <c r="EJ421" s="646"/>
      <c r="EK421" s="271"/>
      <c r="EL421" s="644"/>
      <c r="EM421" s="634"/>
      <c r="EN421" s="647"/>
      <c r="EO421" s="648"/>
      <c r="EP421" s="647"/>
      <c r="EQ421" s="647"/>
      <c r="ER421" s="647"/>
      <c r="ES421" s="139"/>
      <c r="EV421" s="647"/>
      <c r="EW421" s="647"/>
      <c r="EX421" s="647"/>
      <c r="EY421" s="647"/>
      <c r="EZ421" s="647"/>
      <c r="FA421" s="646"/>
      <c r="FB421" s="646"/>
      <c r="FC421" s="646"/>
      <c r="FD421" s="646"/>
      <c r="FE421" s="646"/>
      <c r="FF421" s="646"/>
      <c r="FG421" s="647"/>
      <c r="FH421" s="647"/>
      <c r="FI421" s="647"/>
      <c r="FJ421" s="647"/>
      <c r="FK421" s="647"/>
      <c r="FL421" s="647"/>
      <c r="FM421" s="647"/>
      <c r="FN421" s="647"/>
      <c r="FO421" s="647"/>
      <c r="FP421" s="647"/>
      <c r="FQ421" s="647"/>
      <c r="FR421" s="647"/>
      <c r="FS421" s="101"/>
      <c r="FT421" s="95"/>
      <c r="FU421" s="651"/>
      <c r="FV421" s="101"/>
      <c r="FW421" s="101"/>
      <c r="FX421" s="634"/>
      <c r="FY421" s="634"/>
      <c r="FZ421" s="634"/>
      <c r="GA421" s="634"/>
      <c r="GB421" s="634"/>
      <c r="GC421" s="634"/>
      <c r="GD421" s="634"/>
      <c r="GE421" s="634"/>
      <c r="GF421" s="634"/>
      <c r="GG421" s="634"/>
      <c r="GH421" s="634"/>
      <c r="GI421" s="634"/>
      <c r="GJ421" s="634"/>
      <c r="GK421" s="634"/>
      <c r="GL421" s="101"/>
      <c r="GM421" s="101"/>
      <c r="GN421" s="101"/>
      <c r="GO421" s="643"/>
      <c r="GP421" s="644"/>
      <c r="GQ421" s="643"/>
      <c r="GR421" s="644"/>
      <c r="GS421" s="643"/>
      <c r="GT421" s="644"/>
      <c r="GU421" s="644"/>
      <c r="GV421" s="644"/>
      <c r="GW421" s="644"/>
      <c r="GX421" s="644"/>
      <c r="GY421" s="644"/>
      <c r="GZ421" s="644"/>
      <c r="HA421" s="644"/>
    </row>
    <row r="422" spans="1:209">
      <c r="A422" s="638"/>
      <c r="B422" s="95"/>
      <c r="C422" s="95"/>
      <c r="D422" s="95"/>
      <c r="E422" s="650"/>
      <c r="F422" s="95"/>
      <c r="G422" s="98"/>
      <c r="H422" s="99"/>
      <c r="I422" s="95"/>
      <c r="J422" s="95"/>
      <c r="K422" s="95"/>
      <c r="L422" s="95"/>
      <c r="M422" s="95"/>
      <c r="N422" s="95"/>
      <c r="O422" s="95"/>
      <c r="P422" s="95"/>
      <c r="Q422" s="95"/>
      <c r="R422" s="98"/>
      <c r="S422" s="101"/>
      <c r="T422" s="644"/>
      <c r="U422" s="101"/>
      <c r="V422" s="647"/>
      <c r="W422" s="643"/>
      <c r="X422" s="644"/>
      <c r="Y422" s="101"/>
      <c r="Z422" s="644"/>
      <c r="AA422" s="101"/>
      <c r="AB422" s="644"/>
      <c r="AC422" s="101"/>
      <c r="AD422" s="646"/>
      <c r="AE422" s="271"/>
      <c r="AF422" s="646"/>
      <c r="AG422" s="646"/>
      <c r="AH422" s="646"/>
      <c r="AI422" s="646"/>
      <c r="AJ422" s="646"/>
      <c r="AK422" s="646"/>
      <c r="AL422" s="646"/>
      <c r="AM422" s="271"/>
      <c r="AN422" s="646"/>
      <c r="AO422" s="646"/>
      <c r="AP422" s="646"/>
      <c r="AQ422" s="271"/>
      <c r="AR422" s="646"/>
      <c r="AS422" s="270"/>
      <c r="AT422" s="646"/>
      <c r="AU422" s="646"/>
      <c r="AV422" s="646"/>
      <c r="AW422" s="270"/>
      <c r="AX422" s="646"/>
      <c r="AY422" s="270"/>
      <c r="AZ422" s="646"/>
      <c r="BA422" s="646"/>
      <c r="BB422" s="644"/>
      <c r="BC422" s="644"/>
      <c r="BD422" s="644"/>
      <c r="BE422" s="644"/>
      <c r="BF422" s="644"/>
      <c r="BG422" s="644"/>
      <c r="BH422" s="644"/>
      <c r="BI422" s="644"/>
      <c r="BJ422" s="644"/>
      <c r="BK422" s="644"/>
      <c r="BL422" s="644"/>
      <c r="BM422" s="95"/>
      <c r="BN422" s="644"/>
      <c r="BO422" s="95"/>
      <c r="BP422" s="644"/>
      <c r="BQ422" s="644"/>
      <c r="BR422" s="644"/>
      <c r="BS422" s="644"/>
      <c r="BT422" s="644"/>
      <c r="BU422" s="644"/>
      <c r="BV422" s="644"/>
      <c r="BW422" s="644"/>
      <c r="BX422" s="644"/>
      <c r="BY422" s="644"/>
      <c r="BZ422" s="644"/>
      <c r="CA422" s="644"/>
      <c r="CB422" s="644"/>
      <c r="CC422" s="644"/>
      <c r="CD422" s="644"/>
      <c r="CE422" s="644"/>
      <c r="CF422" s="644"/>
      <c r="CG422" s="644"/>
      <c r="CH422" s="644"/>
      <c r="CI422" s="644"/>
      <c r="CJ422" s="644"/>
      <c r="CK422" s="644"/>
      <c r="CL422" s="644"/>
      <c r="CM422" s="95"/>
      <c r="CN422" s="644"/>
      <c r="CO422" s="644"/>
      <c r="CP422" s="95"/>
      <c r="CQ422" s="98"/>
      <c r="CR422" s="95"/>
      <c r="CS422" s="95"/>
      <c r="CT422" s="95"/>
      <c r="CU422" s="108"/>
      <c r="CV422" s="109"/>
      <c r="CW422" s="644"/>
      <c r="CX422" s="496"/>
      <c r="CY422" s="637"/>
      <c r="CZ422" s="644"/>
      <c r="DA422" s="644"/>
      <c r="DB422" s="644"/>
      <c r="DC422" s="496"/>
      <c r="DD422" s="644"/>
      <c r="DE422" s="101"/>
      <c r="DF422" s="644"/>
      <c r="DG422" s="101"/>
      <c r="DH422" s="644"/>
      <c r="DI422" s="644"/>
      <c r="DJ422" s="644"/>
      <c r="DK422" s="644"/>
      <c r="DL422" s="644"/>
      <c r="DM422" s="101"/>
      <c r="DN422" s="644"/>
      <c r="DO422" s="644"/>
      <c r="DP422" s="644"/>
      <c r="DQ422" s="644"/>
      <c r="DR422" s="644"/>
      <c r="DS422" s="644"/>
      <c r="DT422" s="644"/>
      <c r="DU422" s="644"/>
      <c r="DV422" s="644"/>
      <c r="DW422" s="101"/>
      <c r="DX422" s="646"/>
      <c r="DY422" s="646"/>
      <c r="DZ422" s="646"/>
      <c r="EA422" s="646"/>
      <c r="EB422" s="646"/>
      <c r="EC422" s="646"/>
      <c r="ED422" s="646"/>
      <c r="EE422" s="646"/>
      <c r="EF422" s="646"/>
      <c r="EG422" s="646"/>
      <c r="EH422" s="646"/>
      <c r="EI422" s="646"/>
      <c r="EJ422" s="646"/>
      <c r="EK422" s="271"/>
      <c r="EL422" s="644"/>
      <c r="EM422" s="634"/>
      <c r="EN422" s="647"/>
      <c r="EO422" s="648"/>
      <c r="EP422" s="647"/>
      <c r="EQ422" s="647"/>
      <c r="ER422" s="647"/>
      <c r="ES422" s="139"/>
      <c r="EV422" s="647"/>
      <c r="EW422" s="647"/>
      <c r="EX422" s="647"/>
      <c r="EY422" s="647"/>
      <c r="EZ422" s="647"/>
      <c r="FA422" s="646"/>
      <c r="FB422" s="646"/>
      <c r="FC422" s="646"/>
      <c r="FD422" s="646"/>
      <c r="FE422" s="646"/>
      <c r="FF422" s="646"/>
      <c r="FG422" s="647"/>
      <c r="FH422" s="647"/>
      <c r="FI422" s="647"/>
      <c r="FJ422" s="647"/>
      <c r="FK422" s="647"/>
      <c r="FL422" s="647"/>
      <c r="FM422" s="647"/>
      <c r="FN422" s="647"/>
      <c r="FO422" s="647"/>
      <c r="FP422" s="647"/>
      <c r="FQ422" s="647"/>
      <c r="FR422" s="647"/>
      <c r="FS422" s="101"/>
      <c r="FT422" s="95"/>
      <c r="FU422" s="651"/>
      <c r="FV422" s="101"/>
      <c r="FW422" s="101"/>
      <c r="FX422" s="634"/>
      <c r="FY422" s="634"/>
      <c r="FZ422" s="634"/>
      <c r="GA422" s="634"/>
      <c r="GB422" s="634"/>
      <c r="GC422" s="634"/>
      <c r="GD422" s="634"/>
      <c r="GE422" s="634"/>
      <c r="GF422" s="634"/>
      <c r="GG422" s="634"/>
      <c r="GH422" s="634"/>
      <c r="GI422" s="634"/>
      <c r="GJ422" s="634"/>
      <c r="GK422" s="634"/>
      <c r="GL422" s="101"/>
      <c r="GM422" s="101"/>
      <c r="GN422" s="101"/>
      <c r="GO422" s="643"/>
      <c r="GP422" s="644"/>
      <c r="GQ422" s="643"/>
      <c r="GR422" s="644"/>
      <c r="GS422" s="643"/>
      <c r="GT422" s="644"/>
      <c r="GU422" s="644"/>
      <c r="GV422" s="644"/>
      <c r="GW422" s="644"/>
      <c r="GX422" s="644"/>
      <c r="GY422" s="644"/>
      <c r="GZ422" s="644"/>
      <c r="HA422" s="644"/>
    </row>
    <row r="423" spans="1:209">
      <c r="A423" s="638"/>
      <c r="B423" s="95"/>
      <c r="C423" s="95"/>
      <c r="D423" s="95"/>
      <c r="E423" s="650"/>
      <c r="F423" s="95"/>
      <c r="G423" s="98"/>
      <c r="H423" s="99"/>
      <c r="I423" s="95"/>
      <c r="J423" s="95"/>
      <c r="K423" s="95"/>
      <c r="L423" s="95"/>
      <c r="M423" s="95"/>
      <c r="N423" s="95"/>
      <c r="O423" s="95"/>
      <c r="P423" s="95"/>
      <c r="Q423" s="95"/>
      <c r="R423" s="98"/>
      <c r="S423" s="101"/>
      <c r="T423" s="644"/>
      <c r="U423" s="101"/>
      <c r="V423" s="647"/>
      <c r="W423" s="643"/>
      <c r="X423" s="644"/>
      <c r="Y423" s="101"/>
      <c r="Z423" s="644"/>
      <c r="AA423" s="101"/>
      <c r="AB423" s="644"/>
      <c r="AC423" s="101"/>
      <c r="AD423" s="646"/>
      <c r="AE423" s="271"/>
      <c r="AF423" s="646"/>
      <c r="AG423" s="646"/>
      <c r="AH423" s="646"/>
      <c r="AI423" s="646"/>
      <c r="AJ423" s="646"/>
      <c r="AK423" s="646"/>
      <c r="AL423" s="646"/>
      <c r="AM423" s="271"/>
      <c r="AN423" s="646"/>
      <c r="AO423" s="646"/>
      <c r="AP423" s="646"/>
      <c r="AQ423" s="271"/>
      <c r="AR423" s="646"/>
      <c r="AS423" s="270"/>
      <c r="AT423" s="646"/>
      <c r="AU423" s="646"/>
      <c r="AV423" s="646"/>
      <c r="AW423" s="270"/>
      <c r="AX423" s="646"/>
      <c r="AY423" s="270"/>
      <c r="AZ423" s="646"/>
      <c r="BA423" s="646"/>
      <c r="BB423" s="644"/>
      <c r="BC423" s="644"/>
      <c r="BD423" s="644"/>
      <c r="BE423" s="644"/>
      <c r="BF423" s="644"/>
      <c r="BG423" s="644"/>
      <c r="BH423" s="644"/>
      <c r="BI423" s="644"/>
      <c r="BJ423" s="644"/>
      <c r="BK423" s="644"/>
      <c r="BL423" s="644"/>
      <c r="BM423" s="95"/>
      <c r="BN423" s="644"/>
      <c r="BO423" s="95"/>
      <c r="BP423" s="644"/>
      <c r="BQ423" s="644"/>
      <c r="BR423" s="644"/>
      <c r="BS423" s="644"/>
      <c r="BT423" s="644"/>
      <c r="BU423" s="644"/>
      <c r="BV423" s="644"/>
      <c r="BW423" s="644"/>
      <c r="BX423" s="644"/>
      <c r="BY423" s="644"/>
      <c r="BZ423" s="644"/>
      <c r="CA423" s="644"/>
      <c r="CB423" s="644"/>
      <c r="CC423" s="644"/>
      <c r="CD423" s="644"/>
      <c r="CE423" s="644"/>
      <c r="CF423" s="644"/>
      <c r="CG423" s="644"/>
      <c r="CH423" s="644"/>
      <c r="CI423" s="644"/>
      <c r="CJ423" s="644"/>
      <c r="CK423" s="644"/>
      <c r="CL423" s="644"/>
      <c r="CM423" s="95"/>
      <c r="CN423" s="644"/>
      <c r="CO423" s="644"/>
      <c r="CP423" s="95"/>
      <c r="CQ423" s="98"/>
      <c r="CR423" s="95"/>
      <c r="CS423" s="95"/>
      <c r="CT423" s="95"/>
      <c r="CU423" s="108"/>
      <c r="CV423" s="109"/>
      <c r="CW423" s="644"/>
      <c r="CX423" s="496"/>
      <c r="CY423" s="637"/>
      <c r="CZ423" s="644"/>
      <c r="DA423" s="644"/>
      <c r="DB423" s="644"/>
      <c r="DC423" s="496"/>
      <c r="DD423" s="644"/>
      <c r="DE423" s="101"/>
      <c r="DF423" s="644"/>
      <c r="DG423" s="101"/>
      <c r="DH423" s="644"/>
      <c r="DI423" s="644"/>
      <c r="DJ423" s="644"/>
      <c r="DK423" s="644"/>
      <c r="DL423" s="644"/>
      <c r="DM423" s="101"/>
      <c r="DN423" s="644"/>
      <c r="DO423" s="644"/>
      <c r="DP423" s="644"/>
      <c r="DQ423" s="644"/>
      <c r="DR423" s="644"/>
      <c r="DS423" s="644"/>
      <c r="DT423" s="644"/>
      <c r="DU423" s="644"/>
      <c r="DV423" s="644"/>
      <c r="DW423" s="101"/>
      <c r="DX423" s="646"/>
      <c r="DY423" s="646"/>
      <c r="DZ423" s="646"/>
      <c r="EA423" s="646"/>
      <c r="EB423" s="646"/>
      <c r="EC423" s="646"/>
      <c r="ED423" s="646"/>
      <c r="EE423" s="646"/>
      <c r="EF423" s="646"/>
      <c r="EG423" s="646"/>
      <c r="EH423" s="646"/>
      <c r="EI423" s="646"/>
      <c r="EJ423" s="646"/>
      <c r="EK423" s="271"/>
      <c r="EL423" s="644"/>
      <c r="EM423" s="634"/>
      <c r="EN423" s="647"/>
      <c r="EO423" s="648"/>
      <c r="EP423" s="647"/>
      <c r="EQ423" s="647"/>
      <c r="ER423" s="647"/>
      <c r="ES423" s="139"/>
      <c r="EV423" s="647"/>
      <c r="EW423" s="647"/>
      <c r="EX423" s="647"/>
      <c r="EY423" s="647"/>
      <c r="EZ423" s="647"/>
      <c r="FA423" s="646"/>
      <c r="FB423" s="646"/>
      <c r="FC423" s="646"/>
      <c r="FD423" s="646"/>
      <c r="FE423" s="646"/>
      <c r="FF423" s="646"/>
      <c r="FG423" s="647"/>
      <c r="FH423" s="647"/>
      <c r="FI423" s="647"/>
      <c r="FJ423" s="647"/>
      <c r="FK423" s="647"/>
      <c r="FL423" s="647"/>
      <c r="FM423" s="647"/>
      <c r="FN423" s="647"/>
      <c r="FO423" s="647"/>
      <c r="FP423" s="647"/>
      <c r="FQ423" s="647"/>
      <c r="FR423" s="647"/>
      <c r="FS423" s="101"/>
      <c r="FT423" s="95"/>
      <c r="FU423" s="651"/>
      <c r="FV423" s="101"/>
      <c r="FW423" s="101"/>
      <c r="FX423" s="634"/>
      <c r="FY423" s="634"/>
      <c r="FZ423" s="634"/>
      <c r="GA423" s="634"/>
      <c r="GB423" s="634"/>
      <c r="GC423" s="634"/>
      <c r="GD423" s="634"/>
      <c r="GE423" s="634"/>
      <c r="GF423" s="634"/>
      <c r="GG423" s="634"/>
      <c r="GH423" s="634"/>
      <c r="GI423" s="634"/>
      <c r="GJ423" s="634"/>
      <c r="GK423" s="634"/>
      <c r="GL423" s="101"/>
      <c r="GM423" s="101"/>
      <c r="GN423" s="101"/>
      <c r="GO423" s="643"/>
      <c r="GP423" s="644"/>
      <c r="GQ423" s="643"/>
      <c r="GR423" s="644"/>
      <c r="GS423" s="643"/>
      <c r="GT423" s="644"/>
      <c r="GU423" s="644"/>
      <c r="GV423" s="644"/>
      <c r="GW423" s="644"/>
      <c r="GX423" s="644"/>
      <c r="GY423" s="644"/>
      <c r="GZ423" s="644"/>
      <c r="HA423" s="644"/>
    </row>
    <row r="424" spans="1:209">
      <c r="A424" s="638"/>
      <c r="B424" s="95"/>
      <c r="C424" s="95"/>
      <c r="D424" s="95"/>
      <c r="E424" s="650"/>
      <c r="F424" s="95"/>
      <c r="G424" s="98"/>
      <c r="H424" s="99"/>
      <c r="I424" s="95"/>
      <c r="J424" s="95"/>
      <c r="K424" s="95"/>
      <c r="L424" s="95"/>
      <c r="M424" s="95"/>
      <c r="N424" s="95"/>
      <c r="O424" s="95"/>
      <c r="P424" s="95"/>
      <c r="Q424" s="95"/>
      <c r="R424" s="98"/>
      <c r="S424" s="101"/>
      <c r="T424" s="644"/>
      <c r="U424" s="101"/>
      <c r="V424" s="647"/>
      <c r="W424" s="643"/>
      <c r="X424" s="644"/>
      <c r="Y424" s="101"/>
      <c r="Z424" s="644"/>
      <c r="AA424" s="101"/>
      <c r="AB424" s="644"/>
      <c r="AC424" s="101"/>
      <c r="AD424" s="646"/>
      <c r="AE424" s="271"/>
      <c r="AF424" s="646"/>
      <c r="AG424" s="646"/>
      <c r="AH424" s="646"/>
      <c r="AI424" s="646"/>
      <c r="AJ424" s="646"/>
      <c r="AK424" s="646"/>
      <c r="AL424" s="646"/>
      <c r="AM424" s="271"/>
      <c r="AN424" s="646"/>
      <c r="AO424" s="646"/>
      <c r="AP424" s="646"/>
      <c r="AQ424" s="271"/>
      <c r="AR424" s="646"/>
      <c r="AS424" s="270"/>
      <c r="AT424" s="646"/>
      <c r="AU424" s="646"/>
      <c r="AV424" s="646"/>
      <c r="AW424" s="270"/>
      <c r="AX424" s="646"/>
      <c r="AY424" s="270"/>
      <c r="AZ424" s="646"/>
      <c r="BA424" s="646"/>
      <c r="BB424" s="644"/>
      <c r="BC424" s="644"/>
      <c r="BD424" s="644"/>
      <c r="BE424" s="644"/>
      <c r="BF424" s="644"/>
      <c r="BG424" s="644"/>
      <c r="BH424" s="644"/>
      <c r="BI424" s="644"/>
      <c r="BJ424" s="644"/>
      <c r="BK424" s="644"/>
      <c r="BL424" s="644"/>
      <c r="BM424" s="95"/>
      <c r="BN424" s="644"/>
      <c r="BO424" s="95"/>
      <c r="BP424" s="644"/>
      <c r="BQ424" s="644"/>
      <c r="BR424" s="644"/>
      <c r="BS424" s="644"/>
      <c r="BT424" s="644"/>
      <c r="BU424" s="644"/>
      <c r="BV424" s="644"/>
      <c r="BW424" s="644"/>
      <c r="BX424" s="644"/>
      <c r="BY424" s="644"/>
      <c r="BZ424" s="644"/>
      <c r="CA424" s="644"/>
      <c r="CB424" s="644"/>
      <c r="CC424" s="644"/>
      <c r="CD424" s="644"/>
      <c r="CE424" s="644"/>
      <c r="CF424" s="644"/>
      <c r="CG424" s="644"/>
      <c r="CH424" s="644"/>
      <c r="CI424" s="644"/>
      <c r="CJ424" s="644"/>
      <c r="CK424" s="644"/>
      <c r="CL424" s="644"/>
      <c r="CM424" s="95"/>
      <c r="CN424" s="644"/>
      <c r="CO424" s="644"/>
      <c r="CP424" s="95"/>
      <c r="CQ424" s="98"/>
      <c r="CR424" s="95"/>
      <c r="CS424" s="95"/>
      <c r="CT424" s="95"/>
      <c r="CU424" s="108"/>
      <c r="CV424" s="109"/>
      <c r="CW424" s="644"/>
      <c r="CX424" s="496"/>
      <c r="CY424" s="637"/>
      <c r="CZ424" s="644"/>
      <c r="DA424" s="644"/>
      <c r="DB424" s="644"/>
      <c r="DC424" s="496"/>
      <c r="DD424" s="644"/>
      <c r="DE424" s="101"/>
      <c r="DF424" s="644"/>
      <c r="DG424" s="101"/>
      <c r="DH424" s="644"/>
      <c r="DI424" s="644"/>
      <c r="DJ424" s="644"/>
      <c r="DK424" s="644"/>
      <c r="DL424" s="644"/>
      <c r="DM424" s="101"/>
      <c r="DN424" s="644"/>
      <c r="DO424" s="644"/>
      <c r="DP424" s="644"/>
      <c r="DQ424" s="644"/>
      <c r="DR424" s="644"/>
      <c r="DS424" s="644"/>
      <c r="DT424" s="644"/>
      <c r="DU424" s="644"/>
      <c r="DV424" s="644"/>
      <c r="DW424" s="101"/>
      <c r="DX424" s="646"/>
      <c r="DY424" s="646"/>
      <c r="DZ424" s="646"/>
      <c r="EA424" s="646"/>
      <c r="EB424" s="646"/>
      <c r="EC424" s="646"/>
      <c r="ED424" s="646"/>
      <c r="EE424" s="646"/>
      <c r="EF424" s="646"/>
      <c r="EG424" s="646"/>
      <c r="EH424" s="646"/>
      <c r="EI424" s="646"/>
      <c r="EJ424" s="646"/>
      <c r="EK424" s="271"/>
      <c r="EL424" s="644"/>
      <c r="EM424" s="634"/>
      <c r="EN424" s="647"/>
      <c r="EO424" s="648"/>
      <c r="EP424" s="647"/>
      <c r="EQ424" s="647"/>
      <c r="ER424" s="647"/>
      <c r="ES424" s="139"/>
      <c r="EV424" s="647"/>
      <c r="EW424" s="647"/>
      <c r="EX424" s="647"/>
      <c r="EY424" s="647"/>
      <c r="EZ424" s="647"/>
      <c r="FA424" s="646"/>
      <c r="FB424" s="646"/>
      <c r="FC424" s="646"/>
      <c r="FD424" s="646"/>
      <c r="FE424" s="646"/>
      <c r="FF424" s="646"/>
      <c r="FG424" s="647"/>
      <c r="FH424" s="647"/>
      <c r="FI424" s="647"/>
      <c r="FJ424" s="647"/>
      <c r="FK424" s="647"/>
      <c r="FL424" s="647"/>
      <c r="FM424" s="647"/>
      <c r="FN424" s="647"/>
      <c r="FO424" s="647"/>
      <c r="FP424" s="647"/>
      <c r="FQ424" s="647"/>
      <c r="FR424" s="647"/>
      <c r="FS424" s="101"/>
      <c r="FT424" s="95"/>
      <c r="FU424" s="651"/>
      <c r="FV424" s="101"/>
      <c r="FW424" s="101"/>
      <c r="FX424" s="634"/>
      <c r="FY424" s="634"/>
      <c r="FZ424" s="634"/>
      <c r="GA424" s="634"/>
      <c r="GB424" s="634"/>
      <c r="GC424" s="634"/>
      <c r="GD424" s="634"/>
      <c r="GE424" s="634"/>
      <c r="GF424" s="634"/>
      <c r="GG424" s="634"/>
      <c r="GH424" s="634"/>
      <c r="GI424" s="634"/>
      <c r="GJ424" s="634"/>
      <c r="GK424" s="634"/>
      <c r="GL424" s="101"/>
      <c r="GM424" s="101"/>
      <c r="GN424" s="101"/>
      <c r="GO424" s="643"/>
      <c r="GP424" s="644"/>
      <c r="GQ424" s="643"/>
      <c r="GR424" s="644"/>
      <c r="GS424" s="643"/>
      <c r="GT424" s="644"/>
      <c r="GU424" s="644"/>
      <c r="GV424" s="644"/>
      <c r="GW424" s="644"/>
      <c r="GX424" s="644"/>
      <c r="GY424" s="644"/>
      <c r="GZ424" s="644"/>
      <c r="HA424" s="644"/>
    </row>
    <row r="425" spans="1:209">
      <c r="A425" s="638"/>
      <c r="B425" s="95"/>
      <c r="C425" s="95"/>
      <c r="D425" s="95"/>
      <c r="E425" s="650"/>
      <c r="F425" s="95"/>
      <c r="G425" s="98"/>
      <c r="H425" s="99"/>
      <c r="I425" s="95"/>
      <c r="J425" s="95"/>
      <c r="K425" s="95"/>
      <c r="L425" s="95"/>
      <c r="M425" s="95"/>
      <c r="N425" s="95"/>
      <c r="O425" s="95"/>
      <c r="P425" s="95"/>
      <c r="Q425" s="95"/>
      <c r="R425" s="98"/>
      <c r="S425" s="101"/>
      <c r="T425" s="644"/>
      <c r="U425" s="101"/>
      <c r="V425" s="647"/>
      <c r="W425" s="643"/>
      <c r="X425" s="644"/>
      <c r="Y425" s="101"/>
      <c r="Z425" s="644"/>
      <c r="AA425" s="101"/>
      <c r="AB425" s="644"/>
      <c r="AC425" s="101"/>
      <c r="AD425" s="646"/>
      <c r="AE425" s="271"/>
      <c r="AF425" s="646"/>
      <c r="AG425" s="646"/>
      <c r="AH425" s="646"/>
      <c r="AI425" s="646"/>
      <c r="AJ425" s="646"/>
      <c r="AK425" s="646"/>
      <c r="AL425" s="646"/>
      <c r="AM425" s="271"/>
      <c r="AN425" s="646"/>
      <c r="AO425" s="646"/>
      <c r="AP425" s="646"/>
      <c r="AQ425" s="271"/>
      <c r="AR425" s="646"/>
      <c r="AS425" s="270"/>
      <c r="AT425" s="646"/>
      <c r="AU425" s="646"/>
      <c r="AV425" s="646"/>
      <c r="AW425" s="270"/>
      <c r="AX425" s="646"/>
      <c r="AY425" s="270"/>
      <c r="AZ425" s="646"/>
      <c r="BA425" s="646"/>
      <c r="BB425" s="644"/>
      <c r="BC425" s="644"/>
      <c r="BD425" s="644"/>
      <c r="BE425" s="644"/>
      <c r="BF425" s="644"/>
      <c r="BG425" s="644"/>
      <c r="BH425" s="644"/>
      <c r="BI425" s="644"/>
      <c r="BJ425" s="644"/>
      <c r="BK425" s="644"/>
      <c r="BL425" s="644"/>
      <c r="BM425" s="95"/>
      <c r="BN425" s="644"/>
      <c r="BO425" s="95"/>
      <c r="BP425" s="644"/>
      <c r="BQ425" s="644"/>
      <c r="BR425" s="644"/>
      <c r="BS425" s="644"/>
      <c r="BT425" s="644"/>
      <c r="BU425" s="644"/>
      <c r="BV425" s="644"/>
      <c r="BW425" s="644"/>
      <c r="BX425" s="644"/>
      <c r="BY425" s="644"/>
      <c r="BZ425" s="644"/>
      <c r="CA425" s="644"/>
      <c r="CB425" s="644"/>
      <c r="CC425" s="644"/>
      <c r="CD425" s="644"/>
      <c r="CE425" s="644"/>
      <c r="CF425" s="644"/>
      <c r="CG425" s="644"/>
      <c r="CH425" s="644"/>
      <c r="CI425" s="644"/>
      <c r="CJ425" s="644"/>
      <c r="CK425" s="644"/>
      <c r="CL425" s="644"/>
      <c r="CM425" s="95"/>
      <c r="CN425" s="644"/>
      <c r="CO425" s="644"/>
      <c r="CP425" s="95"/>
      <c r="CQ425" s="98"/>
      <c r="CR425" s="95"/>
      <c r="CS425" s="95"/>
      <c r="CT425" s="95"/>
      <c r="CU425" s="108"/>
      <c r="CV425" s="109"/>
      <c r="CW425" s="644"/>
      <c r="CX425" s="496"/>
      <c r="CY425" s="637"/>
      <c r="CZ425" s="644"/>
      <c r="DA425" s="644"/>
      <c r="DB425" s="644"/>
      <c r="DC425" s="496"/>
      <c r="DD425" s="644"/>
      <c r="DE425" s="101"/>
      <c r="DF425" s="644"/>
      <c r="DG425" s="101"/>
      <c r="DH425" s="644"/>
      <c r="DI425" s="644"/>
      <c r="DJ425" s="644"/>
      <c r="DK425" s="644"/>
      <c r="DL425" s="644"/>
      <c r="DM425" s="101"/>
      <c r="DN425" s="644"/>
      <c r="DO425" s="644"/>
      <c r="DP425" s="644"/>
      <c r="DQ425" s="644"/>
      <c r="DR425" s="644"/>
      <c r="DS425" s="644"/>
      <c r="DT425" s="644"/>
      <c r="DU425" s="644"/>
      <c r="DV425" s="644"/>
      <c r="DW425" s="101"/>
      <c r="DX425" s="646"/>
      <c r="DY425" s="646"/>
      <c r="DZ425" s="646"/>
      <c r="EA425" s="646"/>
      <c r="EB425" s="646"/>
      <c r="EC425" s="646"/>
      <c r="ED425" s="646"/>
      <c r="EE425" s="646"/>
      <c r="EF425" s="646"/>
      <c r="EG425" s="646"/>
      <c r="EH425" s="646"/>
      <c r="EI425" s="646"/>
      <c r="EJ425" s="646"/>
      <c r="EK425" s="271"/>
      <c r="EL425" s="644"/>
      <c r="EM425" s="634"/>
      <c r="EN425" s="647"/>
      <c r="EO425" s="648"/>
      <c r="EP425" s="647"/>
      <c r="EQ425" s="647"/>
      <c r="ER425" s="647"/>
      <c r="ES425" s="139"/>
      <c r="EV425" s="647"/>
      <c r="EW425" s="647"/>
      <c r="EX425" s="647"/>
      <c r="EY425" s="647"/>
      <c r="EZ425" s="647"/>
      <c r="FA425" s="646"/>
      <c r="FB425" s="646"/>
      <c r="FC425" s="646"/>
      <c r="FD425" s="646"/>
      <c r="FE425" s="646"/>
      <c r="FF425" s="646"/>
      <c r="FG425" s="647"/>
      <c r="FH425" s="647"/>
      <c r="FI425" s="647"/>
      <c r="FJ425" s="647"/>
      <c r="FK425" s="647"/>
      <c r="FL425" s="647"/>
      <c r="FM425" s="647"/>
      <c r="FN425" s="647"/>
      <c r="FO425" s="647"/>
      <c r="FP425" s="647"/>
      <c r="FQ425" s="647"/>
      <c r="FR425" s="647"/>
      <c r="FS425" s="101"/>
      <c r="FT425" s="95"/>
      <c r="FU425" s="651"/>
      <c r="FV425" s="101"/>
      <c r="FW425" s="101"/>
      <c r="FX425" s="634"/>
      <c r="FY425" s="634"/>
      <c r="FZ425" s="634"/>
      <c r="GA425" s="634"/>
      <c r="GB425" s="634"/>
      <c r="GC425" s="634"/>
      <c r="GD425" s="634"/>
      <c r="GE425" s="634"/>
      <c r="GF425" s="634"/>
      <c r="GG425" s="634"/>
      <c r="GH425" s="634"/>
      <c r="GI425" s="634"/>
      <c r="GJ425" s="634"/>
      <c r="GK425" s="634"/>
      <c r="GL425" s="101"/>
      <c r="GM425" s="101"/>
      <c r="GN425" s="101"/>
      <c r="GO425" s="643"/>
      <c r="GP425" s="644"/>
      <c r="GQ425" s="643"/>
      <c r="GR425" s="644"/>
      <c r="GS425" s="643"/>
      <c r="GT425" s="644"/>
      <c r="GU425" s="644"/>
      <c r="GV425" s="644"/>
      <c r="GW425" s="644"/>
      <c r="GX425" s="644"/>
      <c r="GY425" s="644"/>
      <c r="GZ425" s="644"/>
      <c r="HA425" s="644"/>
    </row>
    <row r="426" spans="1:209">
      <c r="A426" s="638"/>
      <c r="B426" s="95"/>
      <c r="C426" s="95"/>
      <c r="D426" s="95"/>
      <c r="E426" s="650"/>
      <c r="F426" s="95"/>
      <c r="G426" s="98"/>
      <c r="H426" s="99"/>
      <c r="I426" s="95"/>
      <c r="J426" s="95"/>
      <c r="K426" s="95"/>
      <c r="L426" s="95"/>
      <c r="M426" s="95"/>
      <c r="N426" s="95"/>
      <c r="O426" s="95"/>
      <c r="P426" s="95"/>
      <c r="Q426" s="95"/>
      <c r="R426" s="98"/>
      <c r="S426" s="101"/>
      <c r="T426" s="644"/>
      <c r="U426" s="101"/>
      <c r="V426" s="647"/>
      <c r="W426" s="643"/>
      <c r="X426" s="644"/>
      <c r="Y426" s="101"/>
      <c r="Z426" s="644"/>
      <c r="AA426" s="101"/>
      <c r="AB426" s="644"/>
      <c r="AC426" s="101"/>
      <c r="AD426" s="646"/>
      <c r="AE426" s="271"/>
      <c r="AF426" s="646"/>
      <c r="AG426" s="646"/>
      <c r="AH426" s="646"/>
      <c r="AI426" s="646"/>
      <c r="AJ426" s="646"/>
      <c r="AK426" s="646"/>
      <c r="AL426" s="646"/>
      <c r="AM426" s="271"/>
      <c r="AN426" s="646"/>
      <c r="AO426" s="646"/>
      <c r="AP426" s="646"/>
      <c r="AQ426" s="271"/>
      <c r="AR426" s="646"/>
      <c r="AS426" s="270"/>
      <c r="AT426" s="646"/>
      <c r="AU426" s="646"/>
      <c r="AV426" s="646"/>
      <c r="AW426" s="270"/>
      <c r="AX426" s="646"/>
      <c r="AY426" s="270"/>
      <c r="AZ426" s="646"/>
      <c r="BA426" s="646"/>
      <c r="BB426" s="644"/>
      <c r="BC426" s="644"/>
      <c r="BD426" s="644"/>
      <c r="BE426" s="644"/>
      <c r="BF426" s="644"/>
      <c r="BG426" s="644"/>
      <c r="BH426" s="644"/>
      <c r="BI426" s="644"/>
      <c r="BJ426" s="644"/>
      <c r="BK426" s="644"/>
      <c r="BL426" s="644"/>
      <c r="BM426" s="95"/>
      <c r="BN426" s="644"/>
      <c r="BO426" s="95"/>
      <c r="BP426" s="644"/>
      <c r="BQ426" s="644"/>
      <c r="BR426" s="644"/>
      <c r="BS426" s="644"/>
      <c r="BT426" s="644"/>
      <c r="BU426" s="644"/>
      <c r="BV426" s="644"/>
      <c r="BW426" s="644"/>
      <c r="BX426" s="644"/>
      <c r="BY426" s="644"/>
      <c r="BZ426" s="644"/>
      <c r="CA426" s="644"/>
      <c r="CB426" s="644"/>
      <c r="CC426" s="644"/>
      <c r="CD426" s="644"/>
      <c r="CE426" s="644"/>
      <c r="CF426" s="644"/>
      <c r="CG426" s="644"/>
      <c r="CH426" s="644"/>
      <c r="CI426" s="644"/>
      <c r="CJ426" s="644"/>
      <c r="CK426" s="644"/>
      <c r="CL426" s="644"/>
      <c r="CM426" s="95"/>
      <c r="CN426" s="644"/>
      <c r="CO426" s="644"/>
      <c r="CP426" s="95"/>
      <c r="CQ426" s="98"/>
      <c r="CR426" s="95"/>
      <c r="CS426" s="95"/>
      <c r="CT426" s="95"/>
      <c r="CU426" s="108"/>
      <c r="CV426" s="109"/>
      <c r="CW426" s="644"/>
      <c r="CX426" s="496"/>
      <c r="CY426" s="637"/>
      <c r="CZ426" s="644"/>
      <c r="DA426" s="644"/>
      <c r="DB426" s="644"/>
      <c r="DC426" s="496"/>
      <c r="DD426" s="644"/>
      <c r="DE426" s="101"/>
      <c r="DF426" s="644"/>
      <c r="DG426" s="101"/>
      <c r="DH426" s="644"/>
      <c r="DI426" s="644"/>
      <c r="DJ426" s="644"/>
      <c r="DK426" s="644"/>
      <c r="DL426" s="644"/>
      <c r="DM426" s="101"/>
      <c r="DN426" s="644"/>
      <c r="DO426" s="644"/>
      <c r="DP426" s="644"/>
      <c r="DQ426" s="644"/>
      <c r="DR426" s="644"/>
      <c r="DS426" s="644"/>
      <c r="DT426" s="644"/>
      <c r="DU426" s="644"/>
      <c r="DV426" s="644"/>
      <c r="DW426" s="101"/>
      <c r="DX426" s="646"/>
      <c r="DY426" s="646"/>
      <c r="DZ426" s="646"/>
      <c r="EA426" s="646"/>
      <c r="EB426" s="646"/>
      <c r="EC426" s="646"/>
      <c r="ED426" s="646"/>
      <c r="EE426" s="646"/>
      <c r="EF426" s="646"/>
      <c r="EG426" s="646"/>
      <c r="EH426" s="646"/>
      <c r="EI426" s="646"/>
      <c r="EJ426" s="646"/>
      <c r="EK426" s="271"/>
      <c r="EL426" s="644"/>
      <c r="EM426" s="634"/>
      <c r="EN426" s="647"/>
      <c r="EO426" s="648"/>
      <c r="EP426" s="647"/>
      <c r="EQ426" s="647"/>
      <c r="ER426" s="647"/>
      <c r="ES426" s="139"/>
      <c r="EV426" s="647"/>
      <c r="EW426" s="647"/>
      <c r="EX426" s="647"/>
      <c r="EY426" s="647"/>
      <c r="EZ426" s="647"/>
      <c r="FA426" s="646"/>
      <c r="FB426" s="646"/>
      <c r="FC426" s="646"/>
      <c r="FD426" s="646"/>
      <c r="FE426" s="646"/>
      <c r="FF426" s="646"/>
      <c r="FG426" s="647"/>
      <c r="FH426" s="647"/>
      <c r="FI426" s="647"/>
      <c r="FJ426" s="647"/>
      <c r="FK426" s="647"/>
      <c r="FL426" s="647"/>
      <c r="FM426" s="647"/>
      <c r="FN426" s="647"/>
      <c r="FO426" s="647"/>
      <c r="FP426" s="647"/>
      <c r="FQ426" s="647"/>
      <c r="FR426" s="647"/>
      <c r="FS426" s="101"/>
      <c r="FT426" s="95"/>
      <c r="FU426" s="651"/>
      <c r="FV426" s="101"/>
      <c r="FW426" s="101"/>
      <c r="FX426" s="634"/>
      <c r="FY426" s="634"/>
      <c r="FZ426" s="634"/>
      <c r="GA426" s="634"/>
      <c r="GB426" s="634"/>
      <c r="GC426" s="634"/>
      <c r="GD426" s="634"/>
      <c r="GE426" s="634"/>
      <c r="GF426" s="634"/>
      <c r="GG426" s="634"/>
      <c r="GH426" s="634"/>
      <c r="GI426" s="634"/>
      <c r="GJ426" s="634"/>
      <c r="GK426" s="634"/>
      <c r="GL426" s="101"/>
      <c r="GM426" s="101"/>
      <c r="GN426" s="101"/>
      <c r="GO426" s="643"/>
      <c r="GP426" s="644"/>
      <c r="GQ426" s="643"/>
      <c r="GR426" s="644"/>
      <c r="GS426" s="643"/>
      <c r="GT426" s="644"/>
      <c r="GU426" s="644"/>
      <c r="GV426" s="644"/>
      <c r="GW426" s="644"/>
      <c r="GX426" s="644"/>
      <c r="GY426" s="644"/>
      <c r="GZ426" s="644"/>
      <c r="HA426" s="644"/>
    </row>
    <row r="427" spans="1:209">
      <c r="A427" s="638"/>
      <c r="B427" s="95"/>
      <c r="C427" s="95"/>
      <c r="D427" s="95"/>
      <c r="E427" s="650"/>
      <c r="F427" s="95"/>
      <c r="G427" s="98"/>
      <c r="H427" s="99"/>
      <c r="I427" s="95"/>
      <c r="J427" s="95"/>
      <c r="K427" s="95"/>
      <c r="L427" s="95"/>
      <c r="M427" s="95"/>
      <c r="N427" s="95"/>
      <c r="O427" s="95"/>
      <c r="P427" s="95"/>
      <c r="Q427" s="95"/>
      <c r="R427" s="98"/>
      <c r="S427" s="101"/>
      <c r="T427" s="644"/>
      <c r="U427" s="101"/>
      <c r="V427" s="647"/>
      <c r="W427" s="643"/>
      <c r="X427" s="644"/>
      <c r="Y427" s="101"/>
      <c r="Z427" s="644"/>
      <c r="AA427" s="101"/>
      <c r="AB427" s="644"/>
      <c r="AC427" s="101"/>
      <c r="AD427" s="646"/>
      <c r="AE427" s="271"/>
      <c r="AF427" s="646"/>
      <c r="AG427" s="646"/>
      <c r="AH427" s="646"/>
      <c r="AI427" s="646"/>
      <c r="AJ427" s="646"/>
      <c r="AK427" s="646"/>
      <c r="AL427" s="646"/>
      <c r="AM427" s="271"/>
      <c r="AN427" s="646"/>
      <c r="AO427" s="646"/>
      <c r="AP427" s="646"/>
      <c r="AQ427" s="271"/>
      <c r="AR427" s="646"/>
      <c r="AS427" s="270"/>
      <c r="AT427" s="646"/>
      <c r="AU427" s="646"/>
      <c r="AV427" s="646"/>
      <c r="AW427" s="270"/>
      <c r="AX427" s="646"/>
      <c r="AY427" s="270"/>
      <c r="AZ427" s="646"/>
      <c r="BA427" s="646"/>
      <c r="BB427" s="644"/>
      <c r="BC427" s="644"/>
      <c r="BD427" s="644"/>
      <c r="BE427" s="644"/>
      <c r="BF427" s="644"/>
      <c r="BG427" s="644"/>
      <c r="BH427" s="644"/>
      <c r="BI427" s="644"/>
      <c r="BJ427" s="644"/>
      <c r="BK427" s="644"/>
      <c r="BL427" s="644"/>
      <c r="BM427" s="95"/>
      <c r="BN427" s="644"/>
      <c r="BO427" s="95"/>
      <c r="BP427" s="644"/>
      <c r="BQ427" s="644"/>
      <c r="BR427" s="644"/>
      <c r="BS427" s="644"/>
      <c r="BT427" s="644"/>
      <c r="BU427" s="644"/>
      <c r="BV427" s="644"/>
      <c r="BW427" s="644"/>
      <c r="BX427" s="644"/>
      <c r="BY427" s="644"/>
      <c r="BZ427" s="644"/>
      <c r="CA427" s="644"/>
      <c r="CB427" s="644"/>
      <c r="CC427" s="644"/>
      <c r="CD427" s="644"/>
      <c r="CE427" s="644"/>
      <c r="CF427" s="644"/>
      <c r="CG427" s="644"/>
      <c r="CH427" s="644"/>
      <c r="CI427" s="644"/>
      <c r="CJ427" s="644"/>
      <c r="CK427" s="644"/>
      <c r="CL427" s="644"/>
      <c r="CM427" s="95"/>
      <c r="CN427" s="644"/>
      <c r="CO427" s="644"/>
      <c r="CP427" s="95"/>
      <c r="CQ427" s="98"/>
      <c r="CR427" s="95"/>
      <c r="CS427" s="95"/>
      <c r="CT427" s="95"/>
      <c r="CU427" s="108"/>
      <c r="CV427" s="109"/>
      <c r="CW427" s="644"/>
      <c r="CX427" s="496"/>
      <c r="CY427" s="637"/>
      <c r="CZ427" s="644"/>
      <c r="DA427" s="644"/>
      <c r="DB427" s="644"/>
      <c r="DC427" s="496"/>
      <c r="DD427" s="644"/>
      <c r="DE427" s="101"/>
      <c r="DF427" s="644"/>
      <c r="DG427" s="101"/>
      <c r="DH427" s="644"/>
      <c r="DI427" s="644"/>
      <c r="DJ427" s="644"/>
      <c r="DK427" s="644"/>
      <c r="DL427" s="644"/>
      <c r="DM427" s="101"/>
      <c r="DN427" s="644"/>
      <c r="DO427" s="644"/>
      <c r="DP427" s="644"/>
      <c r="DQ427" s="644"/>
      <c r="DR427" s="644"/>
      <c r="DS427" s="644"/>
      <c r="DT427" s="644"/>
      <c r="DU427" s="644"/>
      <c r="DV427" s="644"/>
      <c r="DW427" s="101"/>
      <c r="DX427" s="646"/>
      <c r="DY427" s="646"/>
      <c r="DZ427" s="646"/>
      <c r="EA427" s="646"/>
      <c r="EB427" s="646"/>
      <c r="EC427" s="646"/>
      <c r="ED427" s="646"/>
      <c r="EE427" s="646"/>
      <c r="EF427" s="646"/>
      <c r="EG427" s="646"/>
      <c r="EH427" s="646"/>
      <c r="EI427" s="646"/>
      <c r="EJ427" s="646"/>
      <c r="EK427" s="271"/>
      <c r="EL427" s="644"/>
      <c r="EM427" s="634"/>
      <c r="EN427" s="647"/>
      <c r="EO427" s="648"/>
      <c r="EP427" s="647"/>
      <c r="EQ427" s="647"/>
      <c r="ER427" s="647"/>
      <c r="ES427" s="139"/>
      <c r="EV427" s="647"/>
      <c r="EW427" s="647"/>
      <c r="EX427" s="647"/>
      <c r="EY427" s="647"/>
      <c r="EZ427" s="647"/>
      <c r="FA427" s="646"/>
      <c r="FB427" s="646"/>
      <c r="FC427" s="646"/>
      <c r="FD427" s="646"/>
      <c r="FE427" s="646"/>
      <c r="FF427" s="646"/>
      <c r="FG427" s="647"/>
      <c r="FH427" s="647"/>
      <c r="FI427" s="647"/>
      <c r="FJ427" s="647"/>
      <c r="FK427" s="647"/>
      <c r="FL427" s="647"/>
      <c r="FM427" s="647"/>
      <c r="FN427" s="647"/>
      <c r="FO427" s="647"/>
      <c r="FP427" s="647"/>
      <c r="FQ427" s="647"/>
      <c r="FR427" s="647"/>
      <c r="FS427" s="101"/>
      <c r="FT427" s="95"/>
      <c r="FU427" s="651"/>
      <c r="FV427" s="101"/>
      <c r="FW427" s="101"/>
      <c r="FX427" s="634"/>
      <c r="FY427" s="634"/>
      <c r="FZ427" s="634"/>
      <c r="GA427" s="634"/>
      <c r="GB427" s="634"/>
      <c r="GC427" s="634"/>
      <c r="GD427" s="634"/>
      <c r="GE427" s="634"/>
      <c r="GF427" s="634"/>
      <c r="GG427" s="634"/>
      <c r="GH427" s="634"/>
      <c r="GI427" s="634"/>
      <c r="GJ427" s="634"/>
      <c r="GK427" s="634"/>
      <c r="GL427" s="101"/>
      <c r="GM427" s="101"/>
      <c r="GN427" s="101"/>
      <c r="GO427" s="643"/>
      <c r="GP427" s="644"/>
      <c r="GQ427" s="643"/>
      <c r="GR427" s="644"/>
      <c r="GS427" s="643"/>
      <c r="GT427" s="644"/>
      <c r="GU427" s="644"/>
      <c r="GV427" s="644"/>
      <c r="GW427" s="644"/>
      <c r="GX427" s="644"/>
      <c r="GY427" s="644"/>
      <c r="GZ427" s="644"/>
      <c r="HA427" s="644"/>
    </row>
    <row r="428" spans="1:209">
      <c r="A428" s="638"/>
      <c r="B428" s="95"/>
      <c r="C428" s="95"/>
      <c r="D428" s="95"/>
      <c r="E428" s="650"/>
      <c r="F428" s="95"/>
      <c r="G428" s="98"/>
      <c r="H428" s="99"/>
      <c r="I428" s="95"/>
      <c r="J428" s="95"/>
      <c r="K428" s="95"/>
      <c r="L428" s="95"/>
      <c r="M428" s="95"/>
      <c r="N428" s="95"/>
      <c r="O428" s="95"/>
      <c r="P428" s="95"/>
      <c r="Q428" s="95"/>
      <c r="R428" s="98"/>
      <c r="S428" s="101"/>
      <c r="T428" s="644"/>
      <c r="U428" s="101"/>
      <c r="V428" s="647"/>
      <c r="W428" s="643"/>
      <c r="X428" s="644"/>
      <c r="Y428" s="101"/>
      <c r="Z428" s="644"/>
      <c r="AA428" s="101"/>
      <c r="AB428" s="644"/>
      <c r="AC428" s="101"/>
      <c r="AD428" s="646"/>
      <c r="AE428" s="271"/>
      <c r="AF428" s="646"/>
      <c r="AG428" s="646"/>
      <c r="AH428" s="646"/>
      <c r="AI428" s="646"/>
      <c r="AJ428" s="646"/>
      <c r="AK428" s="646"/>
      <c r="AL428" s="646"/>
      <c r="AM428" s="271"/>
      <c r="AN428" s="646"/>
      <c r="AO428" s="646"/>
      <c r="AP428" s="646"/>
      <c r="AQ428" s="271"/>
      <c r="AR428" s="646"/>
      <c r="AS428" s="270"/>
      <c r="AT428" s="646"/>
      <c r="AU428" s="646"/>
      <c r="AV428" s="646"/>
      <c r="AW428" s="270"/>
      <c r="AX428" s="646"/>
      <c r="AY428" s="270"/>
      <c r="AZ428" s="646"/>
      <c r="BA428" s="646"/>
      <c r="BB428" s="644"/>
      <c r="BC428" s="644"/>
      <c r="BD428" s="644"/>
      <c r="BE428" s="644"/>
      <c r="BF428" s="644"/>
      <c r="BG428" s="644"/>
      <c r="BH428" s="644"/>
      <c r="BI428" s="644"/>
      <c r="BJ428" s="644"/>
      <c r="BK428" s="644"/>
      <c r="BL428" s="644"/>
      <c r="BM428" s="95"/>
      <c r="BN428" s="644"/>
      <c r="BO428" s="95"/>
      <c r="BP428" s="644"/>
      <c r="BQ428" s="644"/>
      <c r="BR428" s="644"/>
      <c r="BS428" s="644"/>
      <c r="BT428" s="644"/>
      <c r="BU428" s="644"/>
      <c r="BV428" s="644"/>
      <c r="BW428" s="644"/>
      <c r="BX428" s="644"/>
      <c r="BY428" s="644"/>
      <c r="BZ428" s="644"/>
      <c r="CA428" s="644"/>
      <c r="CB428" s="644"/>
      <c r="CC428" s="644"/>
      <c r="CD428" s="644"/>
      <c r="CE428" s="644"/>
      <c r="CF428" s="644"/>
      <c r="CG428" s="644"/>
      <c r="CH428" s="644"/>
      <c r="CI428" s="644"/>
      <c r="CJ428" s="644"/>
      <c r="CK428" s="644"/>
      <c r="CL428" s="644"/>
      <c r="CM428" s="95"/>
      <c r="CN428" s="644"/>
      <c r="CO428" s="644"/>
      <c r="CP428" s="95"/>
      <c r="CQ428" s="98"/>
      <c r="CR428" s="95"/>
      <c r="CS428" s="95"/>
      <c r="CT428" s="95"/>
      <c r="CU428" s="108"/>
      <c r="CV428" s="109"/>
      <c r="CW428" s="644"/>
      <c r="CX428" s="496"/>
      <c r="CY428" s="637"/>
      <c r="CZ428" s="644"/>
      <c r="DA428" s="644"/>
      <c r="DB428" s="644"/>
      <c r="DC428" s="496"/>
      <c r="DD428" s="644"/>
      <c r="DE428" s="101"/>
      <c r="DF428" s="644"/>
      <c r="DG428" s="101"/>
      <c r="DH428" s="644"/>
      <c r="DI428" s="644"/>
      <c r="DJ428" s="644"/>
      <c r="DK428" s="644"/>
      <c r="DL428" s="644"/>
      <c r="DM428" s="101"/>
      <c r="DN428" s="644"/>
      <c r="DO428" s="644"/>
      <c r="DP428" s="644"/>
      <c r="DQ428" s="644"/>
      <c r="DR428" s="644"/>
      <c r="DS428" s="644"/>
      <c r="DT428" s="644"/>
      <c r="DU428" s="644"/>
      <c r="DV428" s="644"/>
      <c r="DW428" s="101"/>
      <c r="DX428" s="646"/>
      <c r="DY428" s="646"/>
      <c r="DZ428" s="646"/>
      <c r="EA428" s="646"/>
      <c r="EB428" s="646"/>
      <c r="EC428" s="646"/>
      <c r="ED428" s="646"/>
      <c r="EE428" s="646"/>
      <c r="EF428" s="646"/>
      <c r="EG428" s="646"/>
      <c r="EH428" s="646"/>
      <c r="EI428" s="646"/>
      <c r="EJ428" s="646"/>
      <c r="EK428" s="271"/>
      <c r="EL428" s="644"/>
      <c r="EM428" s="634"/>
      <c r="EN428" s="647"/>
      <c r="EO428" s="648"/>
      <c r="EP428" s="647"/>
      <c r="EQ428" s="647"/>
      <c r="ER428" s="647"/>
      <c r="ES428" s="139"/>
      <c r="EV428" s="647"/>
      <c r="EW428" s="647"/>
      <c r="EX428" s="647"/>
      <c r="EY428" s="647"/>
      <c r="EZ428" s="647"/>
      <c r="FA428" s="646"/>
      <c r="FB428" s="646"/>
      <c r="FC428" s="646"/>
      <c r="FD428" s="646"/>
      <c r="FE428" s="646"/>
      <c r="FF428" s="646"/>
      <c r="FG428" s="647"/>
      <c r="FH428" s="647"/>
      <c r="FI428" s="647"/>
      <c r="FJ428" s="647"/>
      <c r="FK428" s="647"/>
      <c r="FL428" s="647"/>
      <c r="FM428" s="647"/>
      <c r="FN428" s="647"/>
      <c r="FO428" s="647"/>
      <c r="FP428" s="647"/>
      <c r="FQ428" s="647"/>
      <c r="FR428" s="647"/>
      <c r="FS428" s="101"/>
      <c r="FT428" s="95"/>
      <c r="FU428" s="651"/>
      <c r="FV428" s="101"/>
      <c r="FW428" s="101"/>
      <c r="FX428" s="634"/>
      <c r="FY428" s="634"/>
      <c r="FZ428" s="634"/>
      <c r="GA428" s="634"/>
      <c r="GB428" s="634"/>
      <c r="GC428" s="634"/>
      <c r="GD428" s="634"/>
      <c r="GE428" s="634"/>
      <c r="GF428" s="634"/>
      <c r="GG428" s="634"/>
      <c r="GH428" s="634"/>
      <c r="GI428" s="634"/>
      <c r="GJ428" s="634"/>
      <c r="GK428" s="634"/>
      <c r="GL428" s="101"/>
      <c r="GM428" s="101"/>
      <c r="GN428" s="101"/>
      <c r="GO428" s="643"/>
      <c r="GP428" s="644"/>
      <c r="GQ428" s="643"/>
      <c r="GR428" s="644"/>
      <c r="GS428" s="643"/>
      <c r="GT428" s="644"/>
      <c r="GU428" s="644"/>
      <c r="GV428" s="644"/>
      <c r="GW428" s="644"/>
      <c r="GX428" s="644"/>
      <c r="GY428" s="644"/>
      <c r="GZ428" s="644"/>
      <c r="HA428" s="644"/>
    </row>
    <row r="429" spans="1:209">
      <c r="A429" s="638"/>
      <c r="B429" s="95"/>
      <c r="C429" s="95"/>
      <c r="D429" s="95"/>
      <c r="E429" s="650"/>
      <c r="F429" s="95"/>
      <c r="G429" s="98"/>
      <c r="H429" s="99"/>
      <c r="I429" s="95"/>
      <c r="J429" s="95"/>
      <c r="K429" s="95"/>
      <c r="L429" s="95"/>
      <c r="M429" s="95"/>
      <c r="N429" s="95"/>
      <c r="O429" s="95"/>
      <c r="P429" s="95"/>
      <c r="Q429" s="95"/>
      <c r="R429" s="98"/>
      <c r="S429" s="101"/>
      <c r="T429" s="644"/>
      <c r="U429" s="101"/>
      <c r="V429" s="647"/>
      <c r="W429" s="643"/>
      <c r="X429" s="644"/>
      <c r="Y429" s="101"/>
      <c r="Z429" s="644"/>
      <c r="AA429" s="101"/>
      <c r="AB429" s="644"/>
      <c r="AC429" s="101"/>
      <c r="AD429" s="646"/>
      <c r="AE429" s="271"/>
      <c r="AF429" s="646"/>
      <c r="AG429" s="646"/>
      <c r="AH429" s="646"/>
      <c r="AI429" s="646"/>
      <c r="AJ429" s="646"/>
      <c r="AK429" s="646"/>
      <c r="AL429" s="646"/>
      <c r="AM429" s="271"/>
      <c r="AN429" s="646"/>
      <c r="AO429" s="646"/>
      <c r="AP429" s="646"/>
      <c r="AQ429" s="271"/>
      <c r="AR429" s="646"/>
      <c r="AS429" s="270"/>
      <c r="AT429" s="646"/>
      <c r="AU429" s="646"/>
      <c r="AV429" s="646"/>
      <c r="AW429" s="270"/>
      <c r="AX429" s="646"/>
      <c r="AY429" s="270"/>
      <c r="AZ429" s="646"/>
      <c r="BA429" s="646"/>
      <c r="BB429" s="644"/>
      <c r="BC429" s="644"/>
      <c r="BD429" s="644"/>
      <c r="BE429" s="644"/>
      <c r="BF429" s="644"/>
      <c r="BG429" s="644"/>
      <c r="BH429" s="644"/>
      <c r="BI429" s="644"/>
      <c r="BJ429" s="644"/>
      <c r="BK429" s="644"/>
      <c r="BL429" s="644"/>
      <c r="BM429" s="95"/>
      <c r="BN429" s="644"/>
      <c r="BO429" s="95"/>
      <c r="BP429" s="644"/>
      <c r="BQ429" s="644"/>
      <c r="BR429" s="644"/>
      <c r="BS429" s="644"/>
      <c r="BT429" s="644"/>
      <c r="BU429" s="644"/>
      <c r="BV429" s="644"/>
      <c r="BW429" s="644"/>
      <c r="BX429" s="644"/>
      <c r="BY429" s="644"/>
      <c r="BZ429" s="644"/>
      <c r="CA429" s="644"/>
      <c r="CB429" s="644"/>
      <c r="CC429" s="644"/>
      <c r="CD429" s="644"/>
      <c r="CE429" s="644"/>
      <c r="CF429" s="644"/>
      <c r="CG429" s="644"/>
      <c r="CH429" s="644"/>
      <c r="CI429" s="644"/>
      <c r="CJ429" s="644"/>
      <c r="CK429" s="644"/>
      <c r="CL429" s="644"/>
      <c r="CM429" s="95"/>
      <c r="CN429" s="644"/>
      <c r="CO429" s="644"/>
      <c r="CP429" s="95"/>
      <c r="CQ429" s="98"/>
      <c r="CR429" s="95"/>
      <c r="CS429" s="95"/>
      <c r="CT429" s="95"/>
      <c r="CU429" s="108"/>
      <c r="CV429" s="109"/>
      <c r="CW429" s="644"/>
      <c r="CX429" s="496"/>
      <c r="CY429" s="637"/>
      <c r="CZ429" s="644"/>
      <c r="DA429" s="644"/>
      <c r="DB429" s="644"/>
      <c r="DC429" s="496"/>
      <c r="DD429" s="644"/>
      <c r="DE429" s="101"/>
      <c r="DF429" s="644"/>
      <c r="DG429" s="101"/>
      <c r="DH429" s="644"/>
      <c r="DI429" s="644"/>
      <c r="DJ429" s="644"/>
      <c r="DK429" s="644"/>
      <c r="DL429" s="644"/>
      <c r="DM429" s="101"/>
      <c r="DN429" s="644"/>
      <c r="DO429" s="644"/>
      <c r="DP429" s="644"/>
      <c r="DQ429" s="644"/>
      <c r="DR429" s="644"/>
      <c r="DS429" s="644"/>
      <c r="DT429" s="644"/>
      <c r="DU429" s="644"/>
      <c r="DV429" s="644"/>
      <c r="DW429" s="101"/>
      <c r="DX429" s="646"/>
      <c r="DY429" s="646"/>
      <c r="DZ429" s="646"/>
      <c r="EA429" s="646"/>
      <c r="EB429" s="646"/>
      <c r="EC429" s="646"/>
      <c r="ED429" s="646"/>
      <c r="EE429" s="646"/>
      <c r="EF429" s="646"/>
      <c r="EG429" s="646"/>
      <c r="EH429" s="646"/>
      <c r="EI429" s="646"/>
      <c r="EJ429" s="646"/>
      <c r="EK429" s="271"/>
      <c r="EL429" s="644"/>
      <c r="EM429" s="634"/>
      <c r="EN429" s="647"/>
      <c r="EO429" s="648"/>
      <c r="EP429" s="647"/>
      <c r="EQ429" s="647"/>
      <c r="ER429" s="647"/>
      <c r="ES429" s="139"/>
      <c r="EV429" s="647"/>
      <c r="EW429" s="647"/>
      <c r="EX429" s="647"/>
      <c r="EY429" s="647"/>
      <c r="EZ429" s="647"/>
      <c r="FA429" s="646"/>
      <c r="FB429" s="646"/>
      <c r="FC429" s="646"/>
      <c r="FD429" s="646"/>
      <c r="FE429" s="646"/>
      <c r="FF429" s="646"/>
      <c r="FG429" s="647"/>
      <c r="FH429" s="647"/>
      <c r="FI429" s="647"/>
      <c r="FJ429" s="647"/>
      <c r="FK429" s="647"/>
      <c r="FL429" s="647"/>
      <c r="FM429" s="647"/>
      <c r="FN429" s="647"/>
      <c r="FO429" s="647"/>
      <c r="FP429" s="647"/>
      <c r="FQ429" s="647"/>
      <c r="FR429" s="647"/>
      <c r="FS429" s="101"/>
      <c r="FT429" s="95"/>
      <c r="FU429" s="651"/>
      <c r="FV429" s="101"/>
      <c r="FW429" s="101"/>
      <c r="FX429" s="634"/>
      <c r="FY429" s="634"/>
      <c r="FZ429" s="634"/>
      <c r="GA429" s="634"/>
      <c r="GB429" s="634"/>
      <c r="GC429" s="634"/>
      <c r="GD429" s="634"/>
      <c r="GE429" s="634"/>
      <c r="GF429" s="634"/>
      <c r="GG429" s="634"/>
      <c r="GH429" s="634"/>
      <c r="GI429" s="634"/>
      <c r="GJ429" s="634"/>
      <c r="GK429" s="634"/>
      <c r="GL429" s="101"/>
      <c r="GM429" s="101"/>
      <c r="GN429" s="101"/>
      <c r="GO429" s="643"/>
      <c r="GP429" s="644"/>
      <c r="GQ429" s="643"/>
      <c r="GR429" s="644"/>
      <c r="GS429" s="643"/>
      <c r="GT429" s="644"/>
      <c r="GU429" s="644"/>
      <c r="GV429" s="644"/>
      <c r="GW429" s="644"/>
      <c r="GX429" s="644"/>
      <c r="GY429" s="644"/>
      <c r="GZ429" s="644"/>
      <c r="HA429" s="644"/>
    </row>
    <row r="430" spans="1:209">
      <c r="A430" s="638"/>
      <c r="B430" s="95"/>
      <c r="C430" s="95"/>
      <c r="D430" s="95"/>
      <c r="E430" s="650"/>
      <c r="F430" s="95"/>
      <c r="G430" s="98"/>
      <c r="H430" s="99"/>
      <c r="I430" s="95"/>
      <c r="J430" s="95"/>
      <c r="K430" s="95"/>
      <c r="L430" s="95"/>
      <c r="M430" s="95"/>
      <c r="N430" s="95"/>
      <c r="O430" s="95"/>
      <c r="P430" s="95"/>
      <c r="Q430" s="95"/>
      <c r="R430" s="98"/>
      <c r="S430" s="101"/>
      <c r="T430" s="644"/>
      <c r="U430" s="101"/>
      <c r="V430" s="647"/>
      <c r="W430" s="643"/>
      <c r="X430" s="644"/>
      <c r="Y430" s="101"/>
      <c r="Z430" s="644"/>
      <c r="AA430" s="101"/>
      <c r="AB430" s="644"/>
      <c r="AC430" s="101"/>
      <c r="AD430" s="646"/>
      <c r="AE430" s="271"/>
      <c r="AF430" s="646"/>
      <c r="AG430" s="646"/>
      <c r="AH430" s="646"/>
      <c r="AI430" s="646"/>
      <c r="AJ430" s="646"/>
      <c r="AK430" s="646"/>
      <c r="AL430" s="646"/>
      <c r="AM430" s="271"/>
      <c r="AN430" s="646"/>
      <c r="AO430" s="646"/>
      <c r="AP430" s="646"/>
      <c r="AQ430" s="271"/>
      <c r="AR430" s="646"/>
      <c r="AS430" s="270"/>
      <c r="AT430" s="646"/>
      <c r="AU430" s="646"/>
      <c r="AV430" s="646"/>
      <c r="AW430" s="270"/>
      <c r="AX430" s="646"/>
      <c r="AY430" s="270"/>
      <c r="AZ430" s="646"/>
      <c r="BA430" s="646"/>
      <c r="BB430" s="644"/>
      <c r="BC430" s="644"/>
      <c r="BD430" s="644"/>
      <c r="BE430" s="644"/>
      <c r="BF430" s="644"/>
      <c r="BG430" s="644"/>
      <c r="BH430" s="644"/>
      <c r="BI430" s="644"/>
      <c r="BJ430" s="644"/>
      <c r="BK430" s="644"/>
      <c r="BL430" s="644"/>
      <c r="BM430" s="95"/>
      <c r="BN430" s="644"/>
      <c r="BO430" s="95"/>
      <c r="BP430" s="644"/>
      <c r="BQ430" s="644"/>
      <c r="BR430" s="644"/>
      <c r="BS430" s="644"/>
      <c r="BT430" s="644"/>
      <c r="BU430" s="644"/>
      <c r="BV430" s="644"/>
      <c r="BW430" s="644"/>
      <c r="BX430" s="644"/>
      <c r="BY430" s="644"/>
      <c r="BZ430" s="644"/>
      <c r="CA430" s="644"/>
      <c r="CB430" s="644"/>
      <c r="CC430" s="644"/>
      <c r="CD430" s="644"/>
      <c r="CE430" s="644"/>
      <c r="CF430" s="644"/>
      <c r="CG430" s="644"/>
      <c r="CH430" s="644"/>
      <c r="CI430" s="644"/>
      <c r="CJ430" s="644"/>
      <c r="CK430" s="644"/>
      <c r="CL430" s="644"/>
      <c r="CM430" s="95"/>
      <c r="CN430" s="644"/>
      <c r="CO430" s="644"/>
      <c r="CP430" s="95"/>
      <c r="CQ430" s="98"/>
      <c r="CR430" s="95"/>
      <c r="CS430" s="95"/>
      <c r="CT430" s="95"/>
      <c r="CU430" s="108"/>
      <c r="CV430" s="109"/>
      <c r="CW430" s="644"/>
      <c r="CX430" s="496"/>
      <c r="CY430" s="637"/>
      <c r="CZ430" s="644"/>
      <c r="DA430" s="644"/>
      <c r="DB430" s="644"/>
      <c r="DC430" s="496"/>
      <c r="DD430" s="644"/>
      <c r="DE430" s="101"/>
      <c r="DF430" s="644"/>
      <c r="DG430" s="101"/>
      <c r="DH430" s="644"/>
      <c r="DI430" s="644"/>
      <c r="DJ430" s="644"/>
      <c r="DK430" s="644"/>
      <c r="DL430" s="644"/>
      <c r="DM430" s="101"/>
      <c r="DN430" s="644"/>
      <c r="DO430" s="644"/>
      <c r="DP430" s="644"/>
      <c r="DQ430" s="644"/>
      <c r="DR430" s="644"/>
      <c r="DS430" s="644"/>
      <c r="DT430" s="644"/>
      <c r="DU430" s="644"/>
      <c r="DV430" s="644"/>
      <c r="DW430" s="101"/>
      <c r="DX430" s="646"/>
      <c r="DY430" s="646"/>
      <c r="DZ430" s="646"/>
      <c r="EA430" s="646"/>
      <c r="EB430" s="646"/>
      <c r="EC430" s="646"/>
      <c r="ED430" s="646"/>
      <c r="EE430" s="646"/>
      <c r="EF430" s="646"/>
      <c r="EG430" s="646"/>
      <c r="EH430" s="646"/>
      <c r="EI430" s="646"/>
      <c r="EJ430" s="646"/>
      <c r="EK430" s="271"/>
      <c r="EL430" s="644"/>
      <c r="EM430" s="634"/>
      <c r="EN430" s="647"/>
      <c r="EO430" s="648"/>
      <c r="EP430" s="647"/>
      <c r="EQ430" s="647"/>
      <c r="ER430" s="647"/>
      <c r="ES430" s="139"/>
      <c r="EV430" s="647"/>
      <c r="EW430" s="647"/>
      <c r="EX430" s="647"/>
      <c r="EY430" s="647"/>
      <c r="EZ430" s="647"/>
      <c r="FA430" s="646"/>
      <c r="FB430" s="646"/>
      <c r="FC430" s="646"/>
      <c r="FD430" s="646"/>
      <c r="FE430" s="646"/>
      <c r="FF430" s="646"/>
      <c r="FG430" s="647"/>
      <c r="FH430" s="647"/>
      <c r="FI430" s="647"/>
      <c r="FJ430" s="647"/>
      <c r="FK430" s="647"/>
      <c r="FL430" s="647"/>
      <c r="FM430" s="647"/>
      <c r="FN430" s="647"/>
      <c r="FO430" s="647"/>
      <c r="FP430" s="647"/>
      <c r="FQ430" s="647"/>
      <c r="FR430" s="647"/>
      <c r="FS430" s="101"/>
      <c r="FT430" s="95"/>
      <c r="FU430" s="651"/>
      <c r="FV430" s="101"/>
      <c r="FW430" s="101"/>
      <c r="FX430" s="634"/>
      <c r="FY430" s="634"/>
      <c r="FZ430" s="634"/>
      <c r="GA430" s="634"/>
      <c r="GB430" s="634"/>
      <c r="GC430" s="634"/>
      <c r="GD430" s="634"/>
      <c r="GE430" s="634"/>
      <c r="GF430" s="634"/>
      <c r="GG430" s="634"/>
      <c r="GH430" s="634"/>
      <c r="GI430" s="634"/>
      <c r="GJ430" s="634"/>
      <c r="GK430" s="634"/>
      <c r="GL430" s="101"/>
      <c r="GM430" s="101"/>
      <c r="GN430" s="101"/>
      <c r="GO430" s="643"/>
      <c r="GP430" s="644"/>
      <c r="GQ430" s="643"/>
      <c r="GR430" s="644"/>
      <c r="GS430" s="643"/>
      <c r="GT430" s="644"/>
      <c r="GU430" s="644"/>
      <c r="GV430" s="644"/>
      <c r="GW430" s="644"/>
      <c r="GX430" s="644"/>
      <c r="GY430" s="644"/>
      <c r="GZ430" s="644"/>
      <c r="HA430" s="644"/>
    </row>
    <row r="431" spans="1:209">
      <c r="A431" s="638"/>
      <c r="B431" s="95"/>
      <c r="C431" s="95"/>
      <c r="D431" s="95"/>
      <c r="E431" s="650"/>
      <c r="F431" s="95"/>
      <c r="G431" s="98"/>
      <c r="H431" s="99"/>
      <c r="I431" s="95"/>
      <c r="J431" s="95"/>
      <c r="K431" s="95"/>
      <c r="L431" s="95"/>
      <c r="M431" s="95"/>
      <c r="N431" s="95"/>
      <c r="O431" s="95"/>
      <c r="P431" s="95"/>
      <c r="Q431" s="95"/>
      <c r="R431" s="98"/>
      <c r="S431" s="101"/>
      <c r="T431" s="644"/>
      <c r="U431" s="101"/>
      <c r="V431" s="647"/>
      <c r="W431" s="643"/>
      <c r="X431" s="644"/>
      <c r="Y431" s="101"/>
      <c r="Z431" s="644"/>
      <c r="AA431" s="101"/>
      <c r="AB431" s="644"/>
      <c r="AC431" s="101"/>
      <c r="AD431" s="646"/>
      <c r="AE431" s="271"/>
      <c r="AF431" s="646"/>
      <c r="AG431" s="646"/>
      <c r="AH431" s="646"/>
      <c r="AI431" s="646"/>
      <c r="AJ431" s="646"/>
      <c r="AK431" s="646"/>
      <c r="AL431" s="646"/>
      <c r="AM431" s="271"/>
      <c r="AN431" s="646"/>
      <c r="AO431" s="646"/>
      <c r="AP431" s="646"/>
      <c r="AQ431" s="271"/>
      <c r="AR431" s="646"/>
      <c r="AS431" s="270"/>
      <c r="AT431" s="646"/>
      <c r="AU431" s="646"/>
      <c r="AV431" s="646"/>
      <c r="AW431" s="270"/>
      <c r="AX431" s="646"/>
      <c r="AY431" s="270"/>
      <c r="AZ431" s="646"/>
      <c r="BA431" s="646"/>
      <c r="BB431" s="644"/>
      <c r="BC431" s="644"/>
      <c r="BD431" s="644"/>
      <c r="BE431" s="644"/>
      <c r="BF431" s="644"/>
      <c r="BG431" s="644"/>
      <c r="BH431" s="644"/>
      <c r="BI431" s="644"/>
      <c r="BJ431" s="644"/>
      <c r="BK431" s="644"/>
      <c r="BL431" s="644"/>
      <c r="BM431" s="95"/>
      <c r="BN431" s="644"/>
      <c r="BO431" s="95"/>
      <c r="BP431" s="644"/>
      <c r="BQ431" s="644"/>
      <c r="BR431" s="644"/>
      <c r="BS431" s="644"/>
      <c r="BT431" s="644"/>
      <c r="BU431" s="644"/>
      <c r="BV431" s="644"/>
      <c r="BW431" s="644"/>
      <c r="BX431" s="644"/>
      <c r="BY431" s="644"/>
      <c r="BZ431" s="644"/>
      <c r="CA431" s="644"/>
      <c r="CB431" s="644"/>
      <c r="CC431" s="644"/>
      <c r="CD431" s="644"/>
      <c r="CE431" s="644"/>
      <c r="CF431" s="644"/>
      <c r="CG431" s="644"/>
      <c r="CH431" s="644"/>
      <c r="CI431" s="644"/>
      <c r="CJ431" s="644"/>
      <c r="CK431" s="644"/>
      <c r="CL431" s="644"/>
      <c r="CM431" s="95"/>
      <c r="CN431" s="644"/>
      <c r="CO431" s="644"/>
      <c r="CP431" s="95"/>
      <c r="CQ431" s="98"/>
      <c r="CR431" s="95"/>
      <c r="CS431" s="95"/>
      <c r="CT431" s="95"/>
      <c r="CU431" s="108"/>
      <c r="CV431" s="109"/>
      <c r="CW431" s="644"/>
      <c r="CX431" s="496"/>
      <c r="CY431" s="637"/>
      <c r="CZ431" s="644"/>
      <c r="DA431" s="644"/>
      <c r="DB431" s="644"/>
      <c r="DC431" s="496"/>
      <c r="DD431" s="644"/>
      <c r="DE431" s="101"/>
      <c r="DF431" s="644"/>
      <c r="DG431" s="101"/>
      <c r="DH431" s="644"/>
      <c r="DI431" s="644"/>
      <c r="DJ431" s="644"/>
      <c r="DK431" s="644"/>
      <c r="DL431" s="644"/>
      <c r="DM431" s="101"/>
      <c r="DN431" s="644"/>
      <c r="DO431" s="644"/>
      <c r="DP431" s="644"/>
      <c r="DQ431" s="644"/>
      <c r="DR431" s="644"/>
      <c r="DS431" s="644"/>
      <c r="DT431" s="644"/>
      <c r="DU431" s="644"/>
      <c r="DV431" s="644"/>
      <c r="DW431" s="101"/>
      <c r="DX431" s="646"/>
      <c r="DY431" s="646"/>
      <c r="DZ431" s="646"/>
      <c r="EA431" s="646"/>
      <c r="EB431" s="646"/>
      <c r="EC431" s="646"/>
      <c r="ED431" s="646"/>
      <c r="EE431" s="646"/>
      <c r="EF431" s="646"/>
      <c r="EG431" s="646"/>
      <c r="EH431" s="646"/>
      <c r="EI431" s="646"/>
      <c r="EJ431" s="646"/>
      <c r="EK431" s="271"/>
      <c r="EL431" s="644"/>
      <c r="EM431" s="634"/>
      <c r="EN431" s="647"/>
      <c r="EO431" s="648"/>
      <c r="EP431" s="647"/>
      <c r="EQ431" s="647"/>
      <c r="ER431" s="647"/>
      <c r="ES431" s="139"/>
      <c r="EV431" s="647"/>
      <c r="EW431" s="647"/>
      <c r="EX431" s="647"/>
      <c r="EY431" s="647"/>
      <c r="EZ431" s="647"/>
      <c r="FA431" s="646"/>
      <c r="FB431" s="646"/>
      <c r="FC431" s="646"/>
      <c r="FD431" s="646"/>
      <c r="FE431" s="646"/>
      <c r="FF431" s="646"/>
      <c r="FG431" s="647"/>
      <c r="FH431" s="647"/>
      <c r="FI431" s="647"/>
      <c r="FJ431" s="647"/>
      <c r="FK431" s="647"/>
      <c r="FL431" s="647"/>
      <c r="FM431" s="647"/>
      <c r="FN431" s="647"/>
      <c r="FO431" s="647"/>
      <c r="FP431" s="647"/>
      <c r="FQ431" s="647"/>
      <c r="FR431" s="647"/>
      <c r="FS431" s="101"/>
      <c r="FT431" s="95"/>
      <c r="FU431" s="651"/>
      <c r="FV431" s="101"/>
      <c r="FW431" s="101"/>
      <c r="FX431" s="634"/>
      <c r="FY431" s="634"/>
      <c r="FZ431" s="634"/>
      <c r="GA431" s="634"/>
      <c r="GB431" s="634"/>
      <c r="GC431" s="634"/>
      <c r="GD431" s="634"/>
      <c r="GE431" s="634"/>
      <c r="GF431" s="634"/>
      <c r="GG431" s="634"/>
      <c r="GH431" s="634"/>
      <c r="GI431" s="634"/>
      <c r="GJ431" s="634"/>
      <c r="GK431" s="634"/>
      <c r="GL431" s="101"/>
      <c r="GM431" s="101"/>
      <c r="GN431" s="101"/>
      <c r="GO431" s="643"/>
      <c r="GP431" s="644"/>
      <c r="GQ431" s="643"/>
      <c r="GR431" s="644"/>
      <c r="GS431" s="643"/>
      <c r="GT431" s="644"/>
      <c r="GU431" s="644"/>
      <c r="GV431" s="644"/>
      <c r="GW431" s="644"/>
      <c r="GX431" s="644"/>
      <c r="GY431" s="644"/>
      <c r="GZ431" s="644"/>
      <c r="HA431" s="644"/>
    </row>
    <row r="432" spans="1:209">
      <c r="A432" s="638"/>
      <c r="B432" s="95"/>
      <c r="C432" s="95"/>
      <c r="D432" s="95"/>
      <c r="E432" s="650"/>
      <c r="F432" s="95"/>
      <c r="G432" s="98"/>
      <c r="H432" s="99"/>
      <c r="I432" s="95"/>
      <c r="J432" s="95"/>
      <c r="K432" s="95"/>
      <c r="L432" s="95"/>
      <c r="M432" s="95"/>
      <c r="N432" s="95"/>
      <c r="O432" s="95"/>
      <c r="P432" s="95"/>
      <c r="Q432" s="95"/>
      <c r="R432" s="98"/>
      <c r="S432" s="101"/>
      <c r="T432" s="644"/>
      <c r="U432" s="101"/>
      <c r="V432" s="647"/>
      <c r="W432" s="643"/>
      <c r="X432" s="644"/>
      <c r="Y432" s="101"/>
      <c r="Z432" s="644"/>
      <c r="AA432" s="101"/>
      <c r="AB432" s="644"/>
      <c r="AC432" s="101"/>
      <c r="AD432" s="646"/>
      <c r="AE432" s="271"/>
      <c r="AF432" s="646"/>
      <c r="AG432" s="646"/>
      <c r="AH432" s="646"/>
      <c r="AI432" s="646"/>
      <c r="AJ432" s="646"/>
      <c r="AK432" s="646"/>
      <c r="AL432" s="646"/>
      <c r="AM432" s="271"/>
      <c r="AN432" s="646"/>
      <c r="AO432" s="646"/>
      <c r="AP432" s="646"/>
      <c r="AQ432" s="271"/>
      <c r="AR432" s="646"/>
      <c r="AS432" s="270"/>
      <c r="AT432" s="646"/>
      <c r="AU432" s="646"/>
      <c r="AV432" s="646"/>
      <c r="AW432" s="270"/>
      <c r="AX432" s="646"/>
      <c r="AY432" s="270"/>
      <c r="AZ432" s="646"/>
      <c r="BA432" s="646"/>
      <c r="BB432" s="644"/>
      <c r="BC432" s="644"/>
      <c r="BD432" s="644"/>
      <c r="BE432" s="644"/>
      <c r="BF432" s="644"/>
      <c r="BG432" s="644"/>
      <c r="BH432" s="644"/>
      <c r="BI432" s="644"/>
      <c r="BJ432" s="644"/>
      <c r="BK432" s="644"/>
      <c r="BL432" s="644"/>
      <c r="BM432" s="95"/>
      <c r="BN432" s="644"/>
      <c r="BO432" s="95"/>
      <c r="BP432" s="644"/>
      <c r="BQ432" s="644"/>
      <c r="BR432" s="644"/>
      <c r="BS432" s="644"/>
      <c r="BT432" s="644"/>
      <c r="BU432" s="644"/>
      <c r="BV432" s="644"/>
      <c r="BW432" s="644"/>
      <c r="BX432" s="644"/>
      <c r="BY432" s="644"/>
      <c r="BZ432" s="644"/>
      <c r="CA432" s="644"/>
      <c r="CB432" s="644"/>
      <c r="CC432" s="644"/>
      <c r="CD432" s="644"/>
      <c r="CE432" s="644"/>
      <c r="CF432" s="644"/>
      <c r="CG432" s="644"/>
      <c r="CH432" s="644"/>
      <c r="CI432" s="644"/>
      <c r="CJ432" s="644"/>
      <c r="CK432" s="644"/>
      <c r="CL432" s="644"/>
      <c r="CM432" s="95"/>
      <c r="CN432" s="644"/>
      <c r="CO432" s="644"/>
      <c r="CP432" s="95"/>
      <c r="CQ432" s="98"/>
      <c r="CR432" s="95"/>
      <c r="CS432" s="95"/>
      <c r="CT432" s="95"/>
      <c r="CU432" s="108"/>
      <c r="CV432" s="109"/>
      <c r="CW432" s="644"/>
      <c r="CX432" s="496"/>
      <c r="CY432" s="637"/>
      <c r="CZ432" s="644"/>
      <c r="DA432" s="644"/>
      <c r="DB432" s="644"/>
      <c r="DC432" s="496"/>
      <c r="DD432" s="644"/>
      <c r="DE432" s="101"/>
      <c r="DF432" s="644"/>
      <c r="DG432" s="101"/>
      <c r="DH432" s="644"/>
      <c r="DI432" s="644"/>
      <c r="DJ432" s="644"/>
      <c r="DK432" s="644"/>
      <c r="DL432" s="644"/>
      <c r="DM432" s="101"/>
      <c r="DN432" s="644"/>
      <c r="DO432" s="644"/>
      <c r="DP432" s="644"/>
      <c r="DQ432" s="644"/>
      <c r="DR432" s="644"/>
      <c r="DS432" s="644"/>
      <c r="DT432" s="644"/>
      <c r="DU432" s="644"/>
      <c r="DV432" s="644"/>
      <c r="DW432" s="101"/>
      <c r="DX432" s="646"/>
      <c r="DY432" s="646"/>
      <c r="DZ432" s="646"/>
      <c r="EA432" s="646"/>
      <c r="EB432" s="646"/>
      <c r="EC432" s="646"/>
      <c r="ED432" s="646"/>
      <c r="EE432" s="646"/>
      <c r="EF432" s="646"/>
      <c r="EG432" s="646"/>
      <c r="EH432" s="646"/>
      <c r="EI432" s="646"/>
      <c r="EJ432" s="646"/>
      <c r="EK432" s="271"/>
      <c r="EL432" s="644"/>
      <c r="EM432" s="634"/>
      <c r="EN432" s="647"/>
      <c r="EO432" s="648"/>
      <c r="EP432" s="647"/>
      <c r="EQ432" s="647"/>
      <c r="ER432" s="647"/>
      <c r="ES432" s="139"/>
      <c r="EV432" s="647"/>
      <c r="EW432" s="647"/>
      <c r="EX432" s="647"/>
      <c r="EY432" s="647"/>
      <c r="EZ432" s="647"/>
      <c r="FA432" s="646"/>
      <c r="FB432" s="646"/>
      <c r="FC432" s="646"/>
      <c r="FD432" s="646"/>
      <c r="FE432" s="646"/>
      <c r="FF432" s="646"/>
      <c r="FG432" s="647"/>
      <c r="FH432" s="647"/>
      <c r="FI432" s="647"/>
      <c r="FJ432" s="647"/>
      <c r="FK432" s="647"/>
      <c r="FL432" s="647"/>
      <c r="FM432" s="647"/>
      <c r="FN432" s="647"/>
      <c r="FO432" s="647"/>
      <c r="FP432" s="647"/>
      <c r="FQ432" s="647"/>
      <c r="FR432" s="647"/>
      <c r="FS432" s="101"/>
      <c r="FT432" s="95"/>
      <c r="FU432" s="651"/>
      <c r="FV432" s="101"/>
      <c r="FW432" s="101"/>
      <c r="FX432" s="634"/>
      <c r="FY432" s="634"/>
      <c r="FZ432" s="634"/>
      <c r="GA432" s="634"/>
      <c r="GB432" s="634"/>
      <c r="GC432" s="634"/>
      <c r="GD432" s="634"/>
      <c r="GE432" s="634"/>
      <c r="GF432" s="634"/>
      <c r="GG432" s="634"/>
      <c r="GH432" s="634"/>
      <c r="GI432" s="634"/>
      <c r="GJ432" s="634"/>
      <c r="GK432" s="634"/>
      <c r="GL432" s="101"/>
      <c r="GM432" s="101"/>
      <c r="GN432" s="101"/>
      <c r="GO432" s="643"/>
      <c r="GP432" s="644"/>
      <c r="GQ432" s="643"/>
      <c r="GR432" s="644"/>
      <c r="GS432" s="643"/>
      <c r="GT432" s="644"/>
      <c r="GU432" s="644"/>
      <c r="GV432" s="644"/>
      <c r="GW432" s="644"/>
      <c r="GX432" s="644"/>
      <c r="GY432" s="644"/>
      <c r="GZ432" s="644"/>
      <c r="HA432" s="644"/>
    </row>
    <row r="433" spans="1:209">
      <c r="A433" s="638"/>
      <c r="B433" s="95"/>
      <c r="C433" s="95"/>
      <c r="D433" s="95"/>
      <c r="E433" s="650"/>
      <c r="F433" s="95"/>
      <c r="G433" s="98"/>
      <c r="H433" s="99"/>
      <c r="I433" s="95"/>
      <c r="J433" s="95"/>
      <c r="K433" s="95"/>
      <c r="L433" s="95"/>
      <c r="M433" s="95"/>
      <c r="N433" s="95"/>
      <c r="O433" s="95"/>
      <c r="P433" s="95"/>
      <c r="Q433" s="95"/>
      <c r="R433" s="98"/>
      <c r="S433" s="101"/>
      <c r="T433" s="644"/>
      <c r="U433" s="101"/>
      <c r="V433" s="647"/>
      <c r="W433" s="643"/>
      <c r="X433" s="644"/>
      <c r="Y433" s="101"/>
      <c r="Z433" s="644"/>
      <c r="AA433" s="101"/>
      <c r="AB433" s="644"/>
      <c r="AC433" s="101"/>
      <c r="AD433" s="646"/>
      <c r="AE433" s="271"/>
      <c r="AF433" s="646"/>
      <c r="AG433" s="646"/>
      <c r="AH433" s="646"/>
      <c r="AI433" s="646"/>
      <c r="AJ433" s="646"/>
      <c r="AK433" s="646"/>
      <c r="AL433" s="646"/>
      <c r="AM433" s="271"/>
      <c r="AN433" s="646"/>
      <c r="AO433" s="646"/>
      <c r="AP433" s="646"/>
      <c r="AQ433" s="271"/>
      <c r="AR433" s="646"/>
      <c r="AS433" s="270"/>
      <c r="AT433" s="646"/>
      <c r="AU433" s="646"/>
      <c r="AV433" s="646"/>
      <c r="AW433" s="270"/>
      <c r="AX433" s="646"/>
      <c r="AY433" s="270"/>
      <c r="AZ433" s="646"/>
      <c r="BA433" s="646"/>
      <c r="BB433" s="644"/>
      <c r="BC433" s="644"/>
      <c r="BD433" s="644"/>
      <c r="BE433" s="644"/>
      <c r="BF433" s="644"/>
      <c r="BG433" s="644"/>
      <c r="BH433" s="644"/>
      <c r="BI433" s="644"/>
      <c r="BJ433" s="644"/>
      <c r="BK433" s="644"/>
      <c r="BL433" s="644"/>
      <c r="BM433" s="95"/>
      <c r="BN433" s="644"/>
      <c r="BO433" s="95"/>
      <c r="BP433" s="644"/>
      <c r="BQ433" s="644"/>
      <c r="BR433" s="644"/>
      <c r="BS433" s="644"/>
      <c r="BT433" s="644"/>
      <c r="BU433" s="644"/>
      <c r="BV433" s="644"/>
      <c r="BW433" s="644"/>
      <c r="BX433" s="644"/>
      <c r="BY433" s="644"/>
      <c r="BZ433" s="644"/>
      <c r="CA433" s="644"/>
      <c r="CB433" s="644"/>
      <c r="CC433" s="644"/>
      <c r="CD433" s="644"/>
      <c r="CE433" s="644"/>
      <c r="CF433" s="644"/>
      <c r="CG433" s="644"/>
      <c r="CH433" s="644"/>
      <c r="CI433" s="644"/>
      <c r="CJ433" s="644"/>
      <c r="CK433" s="644"/>
      <c r="CL433" s="644"/>
      <c r="CM433" s="95"/>
      <c r="CN433" s="644"/>
      <c r="CO433" s="644"/>
      <c r="CP433" s="95"/>
      <c r="CQ433" s="98"/>
      <c r="CR433" s="95"/>
      <c r="CS433" s="95"/>
      <c r="CT433" s="95"/>
      <c r="CU433" s="108"/>
      <c r="CV433" s="109"/>
      <c r="CW433" s="644"/>
      <c r="CX433" s="496"/>
      <c r="CY433" s="637"/>
      <c r="CZ433" s="644"/>
      <c r="DA433" s="644"/>
      <c r="DB433" s="644"/>
      <c r="DC433" s="496"/>
      <c r="DD433" s="644"/>
      <c r="DE433" s="101"/>
      <c r="DF433" s="644"/>
      <c r="DG433" s="101"/>
      <c r="DH433" s="644"/>
      <c r="DI433" s="644"/>
      <c r="DJ433" s="644"/>
      <c r="DK433" s="644"/>
      <c r="DL433" s="644"/>
      <c r="DM433" s="101"/>
      <c r="DN433" s="644"/>
      <c r="DO433" s="644"/>
      <c r="DP433" s="644"/>
      <c r="DQ433" s="644"/>
      <c r="DR433" s="644"/>
      <c r="DS433" s="644"/>
      <c r="DT433" s="644"/>
      <c r="DU433" s="644"/>
      <c r="DV433" s="644"/>
      <c r="DW433" s="101"/>
      <c r="DX433" s="646"/>
      <c r="DY433" s="646"/>
      <c r="DZ433" s="646"/>
      <c r="EA433" s="646"/>
      <c r="EB433" s="646"/>
      <c r="EC433" s="646"/>
      <c r="ED433" s="646"/>
      <c r="EE433" s="646"/>
      <c r="EF433" s="646"/>
      <c r="EG433" s="646"/>
      <c r="EH433" s="646"/>
      <c r="EI433" s="646"/>
      <c r="EJ433" s="646"/>
      <c r="EK433" s="271"/>
      <c r="EL433" s="644"/>
      <c r="EM433" s="634"/>
      <c r="EN433" s="647"/>
      <c r="EO433" s="648"/>
      <c r="EP433" s="647"/>
      <c r="EQ433" s="647"/>
      <c r="ER433" s="647"/>
      <c r="ES433" s="139"/>
      <c r="EV433" s="647"/>
      <c r="EW433" s="647"/>
      <c r="EX433" s="647"/>
      <c r="EY433" s="647"/>
      <c r="EZ433" s="647"/>
      <c r="FA433" s="646"/>
      <c r="FB433" s="646"/>
      <c r="FC433" s="646"/>
      <c r="FD433" s="646"/>
      <c r="FE433" s="646"/>
      <c r="FF433" s="646"/>
      <c r="FG433" s="647"/>
      <c r="FH433" s="647"/>
      <c r="FI433" s="647"/>
      <c r="FJ433" s="647"/>
      <c r="FK433" s="647"/>
      <c r="FL433" s="647"/>
      <c r="FM433" s="647"/>
      <c r="FN433" s="647"/>
      <c r="FO433" s="647"/>
      <c r="FP433" s="647"/>
      <c r="FQ433" s="647"/>
      <c r="FR433" s="647"/>
      <c r="FS433" s="101"/>
      <c r="FT433" s="95"/>
      <c r="FU433" s="651"/>
      <c r="FV433" s="101"/>
      <c r="FW433" s="101"/>
      <c r="FX433" s="634"/>
      <c r="FY433" s="634"/>
      <c r="FZ433" s="634"/>
      <c r="GA433" s="634"/>
      <c r="GB433" s="634"/>
      <c r="GC433" s="634"/>
      <c r="GD433" s="634"/>
      <c r="GE433" s="634"/>
      <c r="GF433" s="634"/>
      <c r="GG433" s="634"/>
      <c r="GH433" s="634"/>
      <c r="GI433" s="634"/>
      <c r="GJ433" s="634"/>
      <c r="GK433" s="634"/>
      <c r="GL433" s="101"/>
      <c r="GM433" s="101"/>
      <c r="GN433" s="101"/>
      <c r="GO433" s="643"/>
      <c r="GP433" s="644"/>
      <c r="GQ433" s="643"/>
      <c r="GR433" s="644"/>
      <c r="GS433" s="643"/>
      <c r="GT433" s="644"/>
      <c r="GU433" s="644"/>
      <c r="GV433" s="644"/>
      <c r="GW433" s="644"/>
      <c r="GX433" s="644"/>
      <c r="GY433" s="644"/>
      <c r="GZ433" s="644"/>
      <c r="HA433" s="644"/>
    </row>
    <row r="434" spans="1:209">
      <c r="A434" s="638"/>
      <c r="B434" s="95"/>
      <c r="C434" s="95"/>
      <c r="D434" s="95"/>
      <c r="E434" s="650"/>
      <c r="F434" s="95"/>
      <c r="G434" s="98"/>
      <c r="H434" s="99"/>
      <c r="I434" s="95"/>
      <c r="J434" s="95"/>
      <c r="K434" s="95"/>
      <c r="L434" s="95"/>
      <c r="M434" s="95"/>
      <c r="N434" s="95"/>
      <c r="O434" s="95"/>
      <c r="P434" s="95"/>
      <c r="Q434" s="95"/>
      <c r="R434" s="98"/>
      <c r="S434" s="101"/>
      <c r="T434" s="644"/>
      <c r="U434" s="101"/>
      <c r="V434" s="647"/>
      <c r="W434" s="643"/>
      <c r="X434" s="644"/>
      <c r="Y434" s="101"/>
      <c r="Z434" s="644"/>
      <c r="AA434" s="101"/>
      <c r="AB434" s="644"/>
      <c r="AC434" s="101"/>
      <c r="AD434" s="646"/>
      <c r="AE434" s="271"/>
      <c r="AF434" s="646"/>
      <c r="AG434" s="646"/>
      <c r="AH434" s="646"/>
      <c r="AI434" s="646"/>
      <c r="AJ434" s="646"/>
      <c r="AK434" s="646"/>
      <c r="AL434" s="646"/>
      <c r="AM434" s="271"/>
      <c r="AN434" s="646"/>
      <c r="AO434" s="646"/>
      <c r="AP434" s="646"/>
      <c r="AQ434" s="271"/>
      <c r="AR434" s="646"/>
      <c r="AS434" s="270"/>
      <c r="AT434" s="646"/>
      <c r="AU434" s="646"/>
      <c r="AV434" s="646"/>
      <c r="AW434" s="270"/>
      <c r="AX434" s="646"/>
      <c r="AY434" s="270"/>
      <c r="AZ434" s="646"/>
      <c r="BA434" s="646"/>
      <c r="BB434" s="644"/>
      <c r="BC434" s="644"/>
      <c r="BD434" s="644"/>
      <c r="BE434" s="644"/>
      <c r="BF434" s="644"/>
      <c r="BG434" s="644"/>
      <c r="BH434" s="644"/>
      <c r="BI434" s="644"/>
      <c r="BJ434" s="644"/>
      <c r="BK434" s="644"/>
      <c r="BL434" s="644"/>
      <c r="BM434" s="95"/>
      <c r="BN434" s="644"/>
      <c r="BO434" s="95"/>
      <c r="BP434" s="644"/>
      <c r="BQ434" s="644"/>
      <c r="BR434" s="644"/>
      <c r="BS434" s="644"/>
      <c r="BT434" s="644"/>
      <c r="BU434" s="644"/>
      <c r="BV434" s="644"/>
      <c r="BW434" s="644"/>
      <c r="BX434" s="644"/>
      <c r="BY434" s="644"/>
      <c r="BZ434" s="644"/>
      <c r="CA434" s="644"/>
      <c r="CB434" s="644"/>
      <c r="CC434" s="644"/>
      <c r="CD434" s="644"/>
      <c r="CE434" s="644"/>
      <c r="CF434" s="644"/>
      <c r="CG434" s="644"/>
      <c r="CH434" s="644"/>
      <c r="CI434" s="644"/>
      <c r="CJ434" s="644"/>
      <c r="CK434" s="644"/>
      <c r="CL434" s="644"/>
      <c r="CM434" s="95"/>
      <c r="CN434" s="644"/>
      <c r="CO434" s="644"/>
      <c r="CP434" s="95"/>
      <c r="CQ434" s="98"/>
      <c r="CR434" s="95"/>
      <c r="CS434" s="95"/>
      <c r="CT434" s="95"/>
      <c r="CU434" s="108"/>
      <c r="CV434" s="109"/>
      <c r="CW434" s="644"/>
      <c r="CX434" s="496"/>
      <c r="CY434" s="637"/>
      <c r="CZ434" s="644"/>
      <c r="DA434" s="644"/>
      <c r="DB434" s="644"/>
      <c r="DC434" s="496"/>
      <c r="DD434" s="644"/>
      <c r="DE434" s="101"/>
      <c r="DF434" s="644"/>
      <c r="DG434" s="101"/>
      <c r="DH434" s="644"/>
      <c r="DI434" s="644"/>
      <c r="DJ434" s="644"/>
      <c r="DK434" s="644"/>
      <c r="DL434" s="644"/>
      <c r="DM434" s="101"/>
      <c r="DN434" s="644"/>
      <c r="DO434" s="644"/>
      <c r="DP434" s="644"/>
      <c r="DQ434" s="644"/>
      <c r="DR434" s="644"/>
      <c r="DS434" s="644"/>
      <c r="DT434" s="644"/>
      <c r="DU434" s="644"/>
      <c r="DV434" s="644"/>
      <c r="DW434" s="101"/>
      <c r="DX434" s="646"/>
      <c r="DY434" s="646"/>
      <c r="DZ434" s="646"/>
      <c r="EA434" s="646"/>
      <c r="EB434" s="646"/>
      <c r="EC434" s="646"/>
      <c r="ED434" s="646"/>
      <c r="EE434" s="646"/>
      <c r="EF434" s="646"/>
      <c r="EG434" s="646"/>
      <c r="EH434" s="646"/>
      <c r="EI434" s="646"/>
      <c r="EJ434" s="646"/>
      <c r="EK434" s="271"/>
      <c r="EL434" s="644"/>
      <c r="EM434" s="634"/>
      <c r="EN434" s="647"/>
      <c r="EO434" s="648"/>
      <c r="EP434" s="647"/>
      <c r="EQ434" s="647"/>
      <c r="ER434" s="647"/>
      <c r="ES434" s="139"/>
      <c r="EV434" s="647"/>
      <c r="EW434" s="647"/>
      <c r="EX434" s="647"/>
      <c r="EY434" s="647"/>
      <c r="EZ434" s="647"/>
      <c r="FA434" s="646"/>
      <c r="FB434" s="646"/>
      <c r="FC434" s="646"/>
      <c r="FD434" s="646"/>
      <c r="FE434" s="646"/>
      <c r="FF434" s="646"/>
      <c r="FG434" s="647"/>
      <c r="FH434" s="647"/>
      <c r="FI434" s="647"/>
      <c r="FJ434" s="647"/>
      <c r="FK434" s="647"/>
      <c r="FL434" s="647"/>
      <c r="FM434" s="647"/>
      <c r="FN434" s="647"/>
      <c r="FO434" s="647"/>
      <c r="FP434" s="647"/>
      <c r="FQ434" s="647"/>
      <c r="FR434" s="647"/>
      <c r="FS434" s="101"/>
      <c r="FT434" s="95"/>
      <c r="FU434" s="651"/>
      <c r="FV434" s="101"/>
      <c r="FW434" s="101"/>
      <c r="FX434" s="634"/>
      <c r="FY434" s="634"/>
      <c r="FZ434" s="634"/>
      <c r="GA434" s="634"/>
      <c r="GB434" s="634"/>
      <c r="GC434" s="634"/>
      <c r="GD434" s="634"/>
      <c r="GE434" s="634"/>
      <c r="GF434" s="634"/>
      <c r="GG434" s="634"/>
      <c r="GH434" s="634"/>
      <c r="GI434" s="634"/>
      <c r="GJ434" s="634"/>
      <c r="GK434" s="634"/>
      <c r="GL434" s="101"/>
      <c r="GM434" s="101"/>
      <c r="GN434" s="101"/>
      <c r="GO434" s="643"/>
      <c r="GP434" s="644"/>
      <c r="GQ434" s="643"/>
      <c r="GR434" s="644"/>
      <c r="GS434" s="643"/>
      <c r="GT434" s="644"/>
      <c r="GU434" s="644"/>
      <c r="GV434" s="644"/>
      <c r="GW434" s="644"/>
      <c r="GX434" s="644"/>
      <c r="GY434" s="644"/>
      <c r="GZ434" s="644"/>
      <c r="HA434" s="644"/>
    </row>
    <row r="435" spans="1:209">
      <c r="A435" s="638"/>
      <c r="B435" s="95"/>
      <c r="C435" s="95"/>
      <c r="D435" s="95"/>
      <c r="E435" s="650"/>
      <c r="F435" s="95"/>
      <c r="G435" s="98"/>
      <c r="H435" s="99"/>
      <c r="I435" s="95"/>
      <c r="J435" s="95"/>
      <c r="K435" s="95"/>
      <c r="L435" s="95"/>
      <c r="M435" s="95"/>
      <c r="N435" s="95"/>
      <c r="O435" s="95"/>
      <c r="P435" s="95"/>
      <c r="Q435" s="95"/>
      <c r="R435" s="98"/>
      <c r="S435" s="101"/>
      <c r="T435" s="644"/>
      <c r="U435" s="101"/>
      <c r="V435" s="647"/>
      <c r="W435" s="643"/>
      <c r="X435" s="644"/>
      <c r="Y435" s="101"/>
      <c r="Z435" s="644"/>
      <c r="AA435" s="101"/>
      <c r="AB435" s="644"/>
      <c r="AC435" s="101"/>
      <c r="AD435" s="646"/>
      <c r="AE435" s="271"/>
      <c r="AF435" s="646"/>
      <c r="AG435" s="646"/>
      <c r="AH435" s="646"/>
      <c r="AI435" s="646"/>
      <c r="AJ435" s="646"/>
      <c r="AK435" s="646"/>
      <c r="AL435" s="646"/>
      <c r="AM435" s="271"/>
      <c r="AN435" s="646"/>
      <c r="AO435" s="646"/>
      <c r="AP435" s="646"/>
      <c r="AQ435" s="271"/>
      <c r="AR435" s="646"/>
      <c r="AS435" s="270"/>
      <c r="AT435" s="646"/>
      <c r="AU435" s="646"/>
      <c r="AV435" s="646"/>
      <c r="AW435" s="270"/>
      <c r="AX435" s="646"/>
      <c r="AY435" s="270"/>
      <c r="AZ435" s="646"/>
      <c r="BA435" s="646"/>
      <c r="BB435" s="644"/>
      <c r="BC435" s="644"/>
      <c r="BD435" s="644"/>
      <c r="BE435" s="644"/>
      <c r="BF435" s="644"/>
      <c r="BG435" s="644"/>
      <c r="BH435" s="644"/>
      <c r="BI435" s="644"/>
      <c r="BJ435" s="644"/>
      <c r="BK435" s="644"/>
      <c r="BL435" s="644"/>
      <c r="BM435" s="95"/>
      <c r="BN435" s="644"/>
      <c r="BO435" s="95"/>
      <c r="BP435" s="644"/>
      <c r="BQ435" s="644"/>
      <c r="BR435" s="644"/>
      <c r="BS435" s="644"/>
      <c r="BT435" s="644"/>
      <c r="BU435" s="644"/>
      <c r="BV435" s="644"/>
      <c r="BW435" s="644"/>
      <c r="BX435" s="644"/>
      <c r="BY435" s="644"/>
      <c r="BZ435" s="644"/>
      <c r="CA435" s="644"/>
      <c r="CB435" s="644"/>
      <c r="CC435" s="644"/>
      <c r="CD435" s="644"/>
      <c r="CE435" s="644"/>
      <c r="CF435" s="644"/>
      <c r="CG435" s="644"/>
      <c r="CH435" s="644"/>
      <c r="CI435" s="644"/>
      <c r="CJ435" s="644"/>
      <c r="CK435" s="644"/>
      <c r="CL435" s="644"/>
      <c r="CM435" s="95"/>
      <c r="CN435" s="644"/>
      <c r="CO435" s="644"/>
      <c r="CP435" s="95"/>
      <c r="CQ435" s="98"/>
      <c r="CR435" s="95"/>
      <c r="CS435" s="95"/>
      <c r="CT435" s="95"/>
      <c r="CU435" s="108"/>
      <c r="CV435" s="109"/>
      <c r="CW435" s="644"/>
      <c r="CX435" s="496"/>
      <c r="CY435" s="637"/>
      <c r="CZ435" s="644"/>
      <c r="DA435" s="644"/>
      <c r="DB435" s="644"/>
      <c r="DC435" s="496"/>
      <c r="DD435" s="644"/>
      <c r="DE435" s="101"/>
      <c r="DF435" s="644"/>
      <c r="DG435" s="101"/>
      <c r="DH435" s="644"/>
      <c r="DI435" s="644"/>
      <c r="DJ435" s="644"/>
      <c r="DK435" s="644"/>
      <c r="DL435" s="644"/>
      <c r="DM435" s="101"/>
      <c r="DN435" s="644"/>
      <c r="DO435" s="644"/>
      <c r="DP435" s="644"/>
      <c r="DQ435" s="644"/>
      <c r="DR435" s="644"/>
      <c r="DS435" s="644"/>
      <c r="DT435" s="644"/>
      <c r="DU435" s="644"/>
      <c r="DV435" s="644"/>
      <c r="DW435" s="101"/>
      <c r="DX435" s="646"/>
      <c r="DY435" s="646"/>
      <c r="DZ435" s="646"/>
      <c r="EA435" s="646"/>
      <c r="EB435" s="646"/>
      <c r="EC435" s="646"/>
      <c r="ED435" s="646"/>
      <c r="EE435" s="646"/>
      <c r="EF435" s="646"/>
      <c r="EG435" s="646"/>
      <c r="EH435" s="646"/>
      <c r="EI435" s="646"/>
      <c r="EJ435" s="646"/>
      <c r="EK435" s="271"/>
      <c r="EL435" s="644"/>
      <c r="EM435" s="634"/>
      <c r="EN435" s="647"/>
      <c r="EO435" s="648"/>
      <c r="EP435" s="647"/>
      <c r="EQ435" s="647"/>
      <c r="ER435" s="647"/>
      <c r="ES435" s="139"/>
      <c r="EV435" s="647"/>
      <c r="EW435" s="647"/>
      <c r="EX435" s="647"/>
      <c r="EY435" s="647"/>
      <c r="EZ435" s="647"/>
      <c r="FA435" s="646"/>
      <c r="FB435" s="646"/>
      <c r="FC435" s="646"/>
      <c r="FD435" s="646"/>
      <c r="FE435" s="646"/>
      <c r="FF435" s="646"/>
      <c r="FG435" s="647"/>
      <c r="FH435" s="647"/>
      <c r="FI435" s="647"/>
      <c r="FJ435" s="647"/>
      <c r="FK435" s="647"/>
      <c r="FL435" s="647"/>
      <c r="FM435" s="647"/>
      <c r="FN435" s="647"/>
      <c r="FO435" s="647"/>
      <c r="FP435" s="647"/>
      <c r="FQ435" s="647"/>
      <c r="FR435" s="647"/>
      <c r="FS435" s="101"/>
      <c r="FT435" s="95"/>
      <c r="FU435" s="651"/>
      <c r="FV435" s="101"/>
      <c r="FW435" s="101"/>
      <c r="FX435" s="634"/>
      <c r="FY435" s="634"/>
      <c r="FZ435" s="634"/>
      <c r="GA435" s="634"/>
      <c r="GB435" s="634"/>
      <c r="GC435" s="634"/>
      <c r="GD435" s="634"/>
      <c r="GE435" s="634"/>
      <c r="GF435" s="634"/>
      <c r="GG435" s="634"/>
      <c r="GH435" s="634"/>
      <c r="GI435" s="634"/>
      <c r="GJ435" s="634"/>
      <c r="GK435" s="634"/>
      <c r="GL435" s="101"/>
      <c r="GM435" s="101"/>
      <c r="GN435" s="101"/>
      <c r="GO435" s="643"/>
      <c r="GP435" s="644"/>
      <c r="GQ435" s="643"/>
      <c r="GR435" s="644"/>
      <c r="GS435" s="643"/>
      <c r="GT435" s="644"/>
      <c r="GU435" s="644"/>
      <c r="GV435" s="644"/>
      <c r="GW435" s="644"/>
      <c r="GX435" s="644"/>
      <c r="GY435" s="644"/>
      <c r="GZ435" s="644"/>
      <c r="HA435" s="644"/>
    </row>
    <row r="436" spans="1:209">
      <c r="A436" s="638"/>
      <c r="B436" s="95"/>
      <c r="C436" s="95"/>
      <c r="D436" s="95"/>
      <c r="E436" s="650"/>
      <c r="F436" s="95"/>
      <c r="G436" s="98"/>
      <c r="H436" s="99"/>
      <c r="I436" s="95"/>
      <c r="J436" s="95"/>
      <c r="K436" s="95"/>
      <c r="L436" s="95"/>
      <c r="M436" s="95"/>
      <c r="N436" s="95"/>
      <c r="O436" s="95"/>
      <c r="P436" s="95"/>
      <c r="Q436" s="95"/>
      <c r="R436" s="98"/>
      <c r="S436" s="101"/>
      <c r="T436" s="644"/>
      <c r="U436" s="101"/>
      <c r="V436" s="647"/>
      <c r="W436" s="643"/>
      <c r="X436" s="644"/>
      <c r="Y436" s="101"/>
      <c r="Z436" s="644"/>
      <c r="AA436" s="101"/>
      <c r="AB436" s="644"/>
      <c r="AC436" s="101"/>
      <c r="AD436" s="646"/>
      <c r="AE436" s="271"/>
      <c r="AF436" s="646"/>
      <c r="AG436" s="646"/>
      <c r="AH436" s="646"/>
      <c r="AI436" s="646"/>
      <c r="AJ436" s="646"/>
      <c r="AK436" s="646"/>
      <c r="AL436" s="646"/>
      <c r="AM436" s="271"/>
      <c r="AN436" s="646"/>
      <c r="AO436" s="646"/>
      <c r="AP436" s="646"/>
      <c r="AQ436" s="271"/>
      <c r="AR436" s="646"/>
      <c r="AS436" s="270"/>
      <c r="AT436" s="646"/>
      <c r="AU436" s="646"/>
      <c r="AV436" s="646"/>
      <c r="AW436" s="270"/>
      <c r="AX436" s="646"/>
      <c r="AY436" s="270"/>
      <c r="AZ436" s="646"/>
      <c r="BA436" s="646"/>
      <c r="BB436" s="644"/>
      <c r="BC436" s="644"/>
      <c r="BD436" s="644"/>
      <c r="BE436" s="644"/>
      <c r="BF436" s="644"/>
      <c r="BG436" s="644"/>
      <c r="BH436" s="644"/>
      <c r="BI436" s="644"/>
      <c r="BJ436" s="644"/>
      <c r="BK436" s="644"/>
      <c r="BL436" s="644"/>
      <c r="BM436" s="95"/>
      <c r="BN436" s="644"/>
      <c r="BO436" s="95"/>
      <c r="BP436" s="644"/>
      <c r="BQ436" s="644"/>
      <c r="BR436" s="644"/>
      <c r="BS436" s="644"/>
      <c r="BT436" s="644"/>
      <c r="BU436" s="644"/>
      <c r="BV436" s="644"/>
      <c r="BW436" s="644"/>
      <c r="BX436" s="644"/>
      <c r="BY436" s="644"/>
      <c r="BZ436" s="644"/>
      <c r="CA436" s="644"/>
      <c r="CB436" s="644"/>
      <c r="CC436" s="644"/>
      <c r="CD436" s="644"/>
      <c r="CE436" s="644"/>
      <c r="CF436" s="644"/>
      <c r="CG436" s="644"/>
      <c r="CH436" s="644"/>
      <c r="CI436" s="644"/>
      <c r="CJ436" s="644"/>
      <c r="CK436" s="644"/>
      <c r="CL436" s="644"/>
      <c r="CM436" s="95"/>
      <c r="CN436" s="644"/>
      <c r="CO436" s="644"/>
      <c r="CP436" s="95"/>
      <c r="CQ436" s="98"/>
      <c r="CR436" s="95"/>
      <c r="CS436" s="95"/>
      <c r="CT436" s="95"/>
      <c r="CU436" s="108"/>
      <c r="CV436" s="109"/>
      <c r="CW436" s="644"/>
      <c r="CX436" s="496"/>
      <c r="CY436" s="637"/>
      <c r="CZ436" s="644"/>
      <c r="DA436" s="644"/>
      <c r="DB436" s="644"/>
      <c r="DC436" s="496"/>
      <c r="DD436" s="644"/>
      <c r="DE436" s="101"/>
      <c r="DF436" s="644"/>
      <c r="DG436" s="101"/>
      <c r="DH436" s="644"/>
      <c r="DI436" s="644"/>
      <c r="DJ436" s="644"/>
      <c r="DK436" s="644"/>
      <c r="DL436" s="644"/>
      <c r="DM436" s="101"/>
      <c r="DN436" s="644"/>
      <c r="DO436" s="644"/>
      <c r="DP436" s="644"/>
      <c r="DQ436" s="644"/>
      <c r="DR436" s="644"/>
      <c r="DS436" s="644"/>
      <c r="DT436" s="644"/>
      <c r="DU436" s="644"/>
      <c r="DV436" s="644"/>
      <c r="DW436" s="101"/>
      <c r="DX436" s="646"/>
      <c r="DY436" s="646"/>
      <c r="DZ436" s="646"/>
      <c r="EA436" s="646"/>
      <c r="EB436" s="646"/>
      <c r="EC436" s="646"/>
      <c r="ED436" s="646"/>
      <c r="EE436" s="646"/>
      <c r="EF436" s="646"/>
      <c r="EG436" s="646"/>
      <c r="EH436" s="646"/>
      <c r="EI436" s="646"/>
      <c r="EJ436" s="646"/>
      <c r="EK436" s="271"/>
      <c r="EL436" s="644"/>
      <c r="EM436" s="634"/>
      <c r="EN436" s="647"/>
      <c r="EO436" s="648"/>
      <c r="EP436" s="647"/>
      <c r="EQ436" s="647"/>
      <c r="ER436" s="647"/>
      <c r="ES436" s="139"/>
      <c r="EV436" s="647"/>
      <c r="EW436" s="647"/>
      <c r="EX436" s="647"/>
      <c r="EY436" s="647"/>
      <c r="EZ436" s="647"/>
      <c r="FA436" s="646"/>
      <c r="FB436" s="646"/>
      <c r="FC436" s="646"/>
      <c r="FD436" s="646"/>
      <c r="FE436" s="646"/>
      <c r="FF436" s="646"/>
      <c r="FG436" s="647"/>
      <c r="FH436" s="647"/>
      <c r="FI436" s="647"/>
      <c r="FJ436" s="647"/>
      <c r="FK436" s="647"/>
      <c r="FL436" s="647"/>
      <c r="FM436" s="647"/>
      <c r="FN436" s="647"/>
      <c r="FO436" s="647"/>
      <c r="FP436" s="647"/>
      <c r="FQ436" s="647"/>
      <c r="FR436" s="647"/>
      <c r="FS436" s="101"/>
      <c r="FT436" s="95"/>
      <c r="FU436" s="651"/>
      <c r="FV436" s="101"/>
      <c r="FW436" s="101"/>
      <c r="FX436" s="634"/>
      <c r="FY436" s="634"/>
      <c r="FZ436" s="634"/>
      <c r="GA436" s="634"/>
      <c r="GB436" s="634"/>
      <c r="GC436" s="634"/>
      <c r="GD436" s="634"/>
      <c r="GE436" s="634"/>
      <c r="GF436" s="634"/>
      <c r="GG436" s="634"/>
      <c r="GH436" s="634"/>
      <c r="GI436" s="634"/>
      <c r="GJ436" s="634"/>
      <c r="GK436" s="634"/>
      <c r="GL436" s="101"/>
      <c r="GM436" s="101"/>
      <c r="GN436" s="101"/>
      <c r="GO436" s="643"/>
      <c r="GP436" s="644"/>
      <c r="GQ436" s="643"/>
      <c r="GR436" s="644"/>
      <c r="GS436" s="643"/>
      <c r="GT436" s="644"/>
      <c r="GU436" s="644"/>
      <c r="GV436" s="644"/>
      <c r="GW436" s="644"/>
      <c r="GX436" s="644"/>
      <c r="GY436" s="644"/>
      <c r="GZ436" s="644"/>
      <c r="HA436" s="644"/>
    </row>
    <row r="437" spans="1:209">
      <c r="A437" s="638"/>
      <c r="B437" s="95"/>
      <c r="C437" s="95"/>
      <c r="D437" s="95"/>
      <c r="E437" s="650"/>
      <c r="F437" s="95"/>
      <c r="G437" s="98"/>
      <c r="H437" s="99"/>
      <c r="I437" s="95"/>
      <c r="J437" s="95"/>
      <c r="K437" s="95"/>
      <c r="L437" s="95"/>
      <c r="M437" s="95"/>
      <c r="N437" s="95"/>
      <c r="O437" s="95"/>
      <c r="P437" s="95"/>
      <c r="Q437" s="95"/>
      <c r="R437" s="98"/>
      <c r="S437" s="101"/>
      <c r="T437" s="644"/>
      <c r="U437" s="101"/>
      <c r="V437" s="647"/>
      <c r="W437" s="643"/>
      <c r="X437" s="644"/>
      <c r="Y437" s="101"/>
      <c r="Z437" s="644"/>
      <c r="AA437" s="101"/>
      <c r="AB437" s="644"/>
      <c r="AC437" s="101"/>
      <c r="AD437" s="646"/>
      <c r="AE437" s="271"/>
      <c r="AF437" s="646"/>
      <c r="AG437" s="646"/>
      <c r="AH437" s="646"/>
      <c r="AI437" s="646"/>
      <c r="AJ437" s="646"/>
      <c r="AK437" s="646"/>
      <c r="AL437" s="646"/>
      <c r="AM437" s="271"/>
      <c r="AN437" s="646"/>
      <c r="AO437" s="646"/>
      <c r="AP437" s="646"/>
      <c r="AQ437" s="271"/>
      <c r="AR437" s="646"/>
      <c r="AS437" s="270"/>
      <c r="AT437" s="646"/>
      <c r="AU437" s="646"/>
      <c r="AV437" s="646"/>
      <c r="AW437" s="270"/>
      <c r="AX437" s="646"/>
      <c r="AY437" s="270"/>
      <c r="AZ437" s="646"/>
      <c r="BA437" s="646"/>
      <c r="BB437" s="644"/>
      <c r="BC437" s="644"/>
      <c r="BD437" s="644"/>
      <c r="BE437" s="644"/>
      <c r="BF437" s="644"/>
      <c r="BG437" s="644"/>
      <c r="BH437" s="644"/>
      <c r="BI437" s="644"/>
      <c r="BJ437" s="644"/>
      <c r="BK437" s="644"/>
      <c r="BL437" s="644"/>
      <c r="BM437" s="95"/>
      <c r="BN437" s="644"/>
      <c r="BO437" s="95"/>
      <c r="BP437" s="644"/>
      <c r="BQ437" s="644"/>
      <c r="BR437" s="644"/>
      <c r="BS437" s="644"/>
      <c r="BT437" s="644"/>
      <c r="BU437" s="644"/>
      <c r="BV437" s="644"/>
      <c r="BW437" s="644"/>
      <c r="BX437" s="644"/>
      <c r="BY437" s="644"/>
      <c r="BZ437" s="644"/>
      <c r="CA437" s="644"/>
      <c r="CB437" s="644"/>
      <c r="CC437" s="644"/>
      <c r="CD437" s="644"/>
      <c r="CE437" s="644"/>
      <c r="CF437" s="644"/>
      <c r="CG437" s="644"/>
      <c r="CH437" s="644"/>
      <c r="CI437" s="644"/>
      <c r="CJ437" s="644"/>
      <c r="CK437" s="644"/>
      <c r="CL437" s="644"/>
      <c r="CM437" s="95"/>
      <c r="CN437" s="644"/>
      <c r="CO437" s="644"/>
      <c r="CP437" s="95"/>
      <c r="CQ437" s="98"/>
      <c r="CR437" s="95"/>
      <c r="CS437" s="95"/>
      <c r="CT437" s="95"/>
      <c r="CU437" s="108"/>
      <c r="CV437" s="109"/>
      <c r="CW437" s="644"/>
      <c r="CX437" s="496"/>
      <c r="CY437" s="637"/>
      <c r="CZ437" s="644"/>
      <c r="DA437" s="644"/>
      <c r="DB437" s="644"/>
      <c r="DC437" s="496"/>
      <c r="DD437" s="644"/>
      <c r="DE437" s="101"/>
      <c r="DF437" s="644"/>
      <c r="DG437" s="101"/>
      <c r="DH437" s="644"/>
      <c r="DI437" s="644"/>
      <c r="DJ437" s="644"/>
      <c r="DK437" s="644"/>
      <c r="DL437" s="644"/>
      <c r="DM437" s="101"/>
      <c r="DN437" s="644"/>
      <c r="DO437" s="644"/>
      <c r="DP437" s="644"/>
      <c r="DQ437" s="644"/>
      <c r="DR437" s="644"/>
      <c r="DS437" s="644"/>
      <c r="DT437" s="644"/>
      <c r="DU437" s="644"/>
      <c r="DV437" s="644"/>
      <c r="DW437" s="101"/>
      <c r="DX437" s="646"/>
      <c r="DY437" s="646"/>
      <c r="DZ437" s="646"/>
      <c r="EA437" s="646"/>
      <c r="EB437" s="646"/>
      <c r="EC437" s="646"/>
      <c r="ED437" s="646"/>
      <c r="EE437" s="646"/>
      <c r="EF437" s="646"/>
      <c r="EG437" s="646"/>
      <c r="EH437" s="646"/>
      <c r="EI437" s="646"/>
      <c r="EJ437" s="646"/>
      <c r="EK437" s="271"/>
      <c r="EL437" s="644"/>
      <c r="EM437" s="634"/>
      <c r="EN437" s="647"/>
      <c r="EO437" s="648"/>
      <c r="EP437" s="647"/>
      <c r="EQ437" s="647"/>
      <c r="ER437" s="647"/>
      <c r="ES437" s="139"/>
      <c r="EV437" s="647"/>
      <c r="EW437" s="647"/>
      <c r="EX437" s="647"/>
      <c r="EY437" s="647"/>
      <c r="EZ437" s="647"/>
      <c r="FA437" s="646"/>
      <c r="FB437" s="646"/>
      <c r="FC437" s="646"/>
      <c r="FD437" s="646"/>
      <c r="FE437" s="646"/>
      <c r="FF437" s="646"/>
      <c r="FG437" s="647"/>
      <c r="FH437" s="647"/>
      <c r="FI437" s="647"/>
      <c r="FJ437" s="647"/>
      <c r="FK437" s="647"/>
      <c r="FL437" s="647"/>
      <c r="FM437" s="647"/>
      <c r="FN437" s="647"/>
      <c r="FO437" s="647"/>
      <c r="FP437" s="647"/>
      <c r="FQ437" s="647"/>
      <c r="FR437" s="647"/>
      <c r="FS437" s="101"/>
      <c r="FT437" s="95"/>
      <c r="FU437" s="651"/>
      <c r="FV437" s="101"/>
      <c r="FW437" s="101"/>
      <c r="FX437" s="634"/>
      <c r="FY437" s="634"/>
      <c r="FZ437" s="634"/>
      <c r="GA437" s="634"/>
      <c r="GB437" s="634"/>
      <c r="GC437" s="634"/>
      <c r="GD437" s="634"/>
      <c r="GE437" s="634"/>
      <c r="GF437" s="634"/>
      <c r="GG437" s="634"/>
      <c r="GH437" s="634"/>
      <c r="GI437" s="634"/>
      <c r="GJ437" s="634"/>
      <c r="GK437" s="634"/>
      <c r="GL437" s="101"/>
      <c r="GM437" s="101"/>
      <c r="GN437" s="101"/>
      <c r="GO437" s="643"/>
      <c r="GP437" s="644"/>
      <c r="GQ437" s="643"/>
      <c r="GR437" s="644"/>
      <c r="GS437" s="643"/>
      <c r="GT437" s="644"/>
      <c r="GU437" s="644"/>
      <c r="GV437" s="644"/>
      <c r="GW437" s="644"/>
      <c r="GX437" s="644"/>
      <c r="GY437" s="644"/>
      <c r="GZ437" s="644"/>
      <c r="HA437" s="644"/>
    </row>
    <row r="438" spans="1:209">
      <c r="A438" s="638"/>
      <c r="B438" s="95"/>
      <c r="C438" s="95"/>
      <c r="D438" s="95"/>
      <c r="E438" s="650"/>
      <c r="F438" s="95"/>
      <c r="G438" s="98"/>
      <c r="H438" s="99"/>
      <c r="I438" s="95"/>
      <c r="J438" s="95"/>
      <c r="K438" s="95"/>
      <c r="L438" s="95"/>
      <c r="M438" s="95"/>
      <c r="N438" s="95"/>
      <c r="O438" s="95"/>
      <c r="P438" s="95"/>
      <c r="Q438" s="95"/>
      <c r="R438" s="98"/>
      <c r="S438" s="101"/>
      <c r="T438" s="644"/>
      <c r="U438" s="101"/>
      <c r="V438" s="647"/>
      <c r="W438" s="643"/>
      <c r="X438" s="644"/>
      <c r="Y438" s="101"/>
      <c r="Z438" s="644"/>
      <c r="AA438" s="101"/>
      <c r="AB438" s="644"/>
      <c r="AC438" s="101"/>
      <c r="AD438" s="646"/>
      <c r="AE438" s="271"/>
      <c r="AF438" s="646"/>
      <c r="AG438" s="646"/>
      <c r="AH438" s="646"/>
      <c r="AI438" s="646"/>
      <c r="AJ438" s="646"/>
      <c r="AK438" s="646"/>
      <c r="AL438" s="646"/>
      <c r="AM438" s="271"/>
      <c r="AN438" s="646"/>
      <c r="AO438" s="646"/>
      <c r="AP438" s="646"/>
      <c r="AQ438" s="271"/>
      <c r="AR438" s="646"/>
      <c r="AS438" s="270"/>
      <c r="AT438" s="646"/>
      <c r="AU438" s="646"/>
      <c r="AV438" s="646"/>
      <c r="AW438" s="270"/>
      <c r="AX438" s="646"/>
      <c r="AY438" s="270"/>
      <c r="AZ438" s="646"/>
      <c r="BA438" s="646"/>
      <c r="BB438" s="644"/>
      <c r="BC438" s="644"/>
      <c r="BD438" s="644"/>
      <c r="BE438" s="644"/>
      <c r="BF438" s="644"/>
      <c r="BG438" s="644"/>
      <c r="BH438" s="644"/>
      <c r="BI438" s="644"/>
      <c r="BJ438" s="644"/>
      <c r="BK438" s="644"/>
      <c r="BL438" s="644"/>
      <c r="BM438" s="95"/>
      <c r="BN438" s="644"/>
      <c r="BO438" s="95"/>
      <c r="BP438" s="644"/>
      <c r="BQ438" s="644"/>
      <c r="BR438" s="644"/>
      <c r="BS438" s="644"/>
      <c r="BT438" s="644"/>
      <c r="BU438" s="644"/>
      <c r="BV438" s="644"/>
      <c r="BW438" s="644"/>
      <c r="BX438" s="644"/>
      <c r="BY438" s="644"/>
      <c r="BZ438" s="644"/>
      <c r="CA438" s="644"/>
      <c r="CB438" s="644"/>
      <c r="CC438" s="644"/>
      <c r="CD438" s="644"/>
      <c r="CE438" s="644"/>
      <c r="CF438" s="644"/>
      <c r="CG438" s="644"/>
      <c r="CH438" s="644"/>
      <c r="CI438" s="644"/>
      <c r="CJ438" s="644"/>
      <c r="CK438" s="644"/>
      <c r="CL438" s="644"/>
      <c r="CM438" s="95"/>
      <c r="CN438" s="644"/>
      <c r="CO438" s="644"/>
      <c r="CP438" s="95"/>
      <c r="CQ438" s="98"/>
      <c r="CR438" s="95"/>
      <c r="CS438" s="95"/>
      <c r="CT438" s="95"/>
      <c r="CU438" s="108"/>
      <c r="CV438" s="109"/>
      <c r="CW438" s="644"/>
      <c r="CX438" s="496"/>
      <c r="CY438" s="637"/>
      <c r="CZ438" s="644"/>
      <c r="DA438" s="644"/>
      <c r="DB438" s="644"/>
      <c r="DC438" s="496"/>
      <c r="DD438" s="644"/>
      <c r="DE438" s="101"/>
      <c r="DF438" s="644"/>
      <c r="DG438" s="101"/>
      <c r="DH438" s="644"/>
      <c r="DI438" s="644"/>
      <c r="DJ438" s="644"/>
      <c r="DK438" s="644"/>
      <c r="DL438" s="644"/>
      <c r="DM438" s="101"/>
      <c r="DN438" s="644"/>
      <c r="DO438" s="644"/>
      <c r="DP438" s="644"/>
      <c r="DQ438" s="644"/>
      <c r="DR438" s="644"/>
      <c r="DS438" s="644"/>
      <c r="DT438" s="644"/>
      <c r="DU438" s="644"/>
      <c r="DV438" s="644"/>
      <c r="DW438" s="101"/>
      <c r="DX438" s="646"/>
      <c r="DY438" s="646"/>
      <c r="DZ438" s="646"/>
      <c r="EA438" s="646"/>
      <c r="EB438" s="646"/>
      <c r="EC438" s="646"/>
      <c r="ED438" s="646"/>
      <c r="EE438" s="646"/>
      <c r="EF438" s="646"/>
      <c r="EG438" s="646"/>
      <c r="EH438" s="646"/>
      <c r="EI438" s="646"/>
      <c r="EJ438" s="646"/>
      <c r="EK438" s="271"/>
      <c r="EL438" s="644"/>
      <c r="EM438" s="634"/>
      <c r="EN438" s="647"/>
      <c r="EO438" s="648"/>
      <c r="EP438" s="647"/>
      <c r="EQ438" s="647"/>
      <c r="ER438" s="647"/>
      <c r="ES438" s="139"/>
      <c r="EV438" s="647"/>
      <c r="EW438" s="647"/>
      <c r="EX438" s="647"/>
      <c r="EY438" s="647"/>
      <c r="EZ438" s="647"/>
      <c r="FA438" s="646"/>
      <c r="FB438" s="646"/>
      <c r="FC438" s="646"/>
      <c r="FD438" s="646"/>
      <c r="FE438" s="646"/>
      <c r="FF438" s="646"/>
      <c r="FG438" s="647"/>
      <c r="FH438" s="647"/>
      <c r="FI438" s="647"/>
      <c r="FJ438" s="647"/>
      <c r="FK438" s="647"/>
      <c r="FL438" s="647"/>
      <c r="FM438" s="647"/>
      <c r="FN438" s="647"/>
      <c r="FO438" s="647"/>
      <c r="FP438" s="647"/>
      <c r="FQ438" s="647"/>
      <c r="FR438" s="647"/>
      <c r="FS438" s="101"/>
      <c r="FT438" s="95"/>
      <c r="FU438" s="651"/>
      <c r="FV438" s="101"/>
      <c r="FW438" s="101"/>
      <c r="FX438" s="634"/>
      <c r="FY438" s="634"/>
      <c r="FZ438" s="634"/>
      <c r="GA438" s="634"/>
      <c r="GB438" s="634"/>
      <c r="GC438" s="634"/>
      <c r="GD438" s="634"/>
      <c r="GE438" s="634"/>
      <c r="GF438" s="634"/>
      <c r="GG438" s="634"/>
      <c r="GH438" s="634"/>
      <c r="GI438" s="634"/>
      <c r="GJ438" s="634"/>
      <c r="GK438" s="634"/>
      <c r="GL438" s="101"/>
      <c r="GM438" s="101"/>
      <c r="GN438" s="101"/>
      <c r="GO438" s="643"/>
      <c r="GP438" s="644"/>
      <c r="GQ438" s="643"/>
      <c r="GR438" s="644"/>
      <c r="GS438" s="643"/>
      <c r="GT438" s="644"/>
      <c r="GU438" s="644"/>
      <c r="GV438" s="644"/>
      <c r="GW438" s="644"/>
      <c r="GX438" s="644"/>
      <c r="GY438" s="644"/>
      <c r="GZ438" s="644"/>
      <c r="HA438" s="644"/>
    </row>
    <row r="439" spans="1:209">
      <c r="A439" s="638"/>
      <c r="B439" s="95"/>
      <c r="C439" s="95"/>
      <c r="D439" s="95"/>
      <c r="E439" s="650"/>
      <c r="F439" s="95"/>
      <c r="G439" s="98"/>
      <c r="H439" s="99"/>
      <c r="I439" s="95"/>
      <c r="J439" s="95"/>
      <c r="K439" s="95"/>
      <c r="L439" s="95"/>
      <c r="M439" s="95"/>
      <c r="N439" s="95"/>
      <c r="O439" s="95"/>
      <c r="P439" s="95"/>
      <c r="Q439" s="95"/>
      <c r="R439" s="98"/>
      <c r="S439" s="101"/>
      <c r="T439" s="644"/>
      <c r="U439" s="101"/>
      <c r="V439" s="647"/>
      <c r="W439" s="643"/>
      <c r="X439" s="644"/>
      <c r="Y439" s="101"/>
      <c r="Z439" s="644"/>
      <c r="AA439" s="101"/>
      <c r="AB439" s="644"/>
      <c r="AC439" s="101"/>
      <c r="AD439" s="646"/>
      <c r="AE439" s="271"/>
      <c r="AF439" s="646"/>
      <c r="AG439" s="646"/>
      <c r="AH439" s="646"/>
      <c r="AI439" s="646"/>
      <c r="AJ439" s="646"/>
      <c r="AK439" s="646"/>
      <c r="AL439" s="646"/>
      <c r="AM439" s="271"/>
      <c r="AN439" s="646"/>
      <c r="AO439" s="646"/>
      <c r="AP439" s="646"/>
      <c r="AQ439" s="271"/>
      <c r="AR439" s="646"/>
      <c r="AS439" s="270"/>
      <c r="AT439" s="646"/>
      <c r="AU439" s="646"/>
      <c r="AV439" s="646"/>
      <c r="AW439" s="270"/>
      <c r="AX439" s="646"/>
      <c r="AY439" s="270"/>
      <c r="AZ439" s="646"/>
      <c r="BA439" s="646"/>
      <c r="BB439" s="644"/>
      <c r="BC439" s="644"/>
      <c r="BD439" s="644"/>
      <c r="BE439" s="644"/>
      <c r="BF439" s="644"/>
      <c r="BG439" s="644"/>
      <c r="BH439" s="644"/>
      <c r="BI439" s="644"/>
      <c r="BJ439" s="644"/>
      <c r="BK439" s="644"/>
      <c r="BL439" s="644"/>
      <c r="BM439" s="95"/>
      <c r="BN439" s="644"/>
      <c r="BO439" s="95"/>
      <c r="BP439" s="644"/>
      <c r="BQ439" s="644"/>
      <c r="BR439" s="644"/>
      <c r="BS439" s="644"/>
      <c r="BT439" s="644"/>
      <c r="BU439" s="644"/>
      <c r="BV439" s="644"/>
      <c r="BW439" s="644"/>
      <c r="BX439" s="644"/>
      <c r="BY439" s="644"/>
      <c r="BZ439" s="644"/>
      <c r="CA439" s="644"/>
      <c r="CB439" s="644"/>
      <c r="CC439" s="644"/>
      <c r="CD439" s="644"/>
      <c r="CE439" s="644"/>
      <c r="CF439" s="644"/>
      <c r="CG439" s="644"/>
      <c r="CH439" s="644"/>
      <c r="CI439" s="644"/>
      <c r="CJ439" s="644"/>
      <c r="CK439" s="644"/>
      <c r="CL439" s="644"/>
      <c r="CM439" s="95"/>
      <c r="CN439" s="644"/>
      <c r="CO439" s="644"/>
      <c r="CP439" s="95"/>
      <c r="CQ439" s="98"/>
      <c r="CR439" s="95"/>
      <c r="CS439" s="95"/>
      <c r="CT439" s="95"/>
      <c r="CU439" s="108"/>
      <c r="CV439" s="109"/>
      <c r="CW439" s="644"/>
      <c r="CX439" s="496"/>
      <c r="CY439" s="637"/>
      <c r="CZ439" s="644"/>
      <c r="DA439" s="644"/>
      <c r="DB439" s="644"/>
      <c r="DC439" s="496"/>
      <c r="DD439" s="644"/>
      <c r="DE439" s="101"/>
      <c r="DF439" s="644"/>
      <c r="DG439" s="101"/>
      <c r="DH439" s="644"/>
      <c r="DI439" s="644"/>
      <c r="DJ439" s="644"/>
      <c r="DK439" s="644"/>
      <c r="DL439" s="644"/>
      <c r="DM439" s="101"/>
      <c r="DN439" s="644"/>
      <c r="DO439" s="644"/>
      <c r="DP439" s="644"/>
      <c r="DQ439" s="644"/>
      <c r="DR439" s="644"/>
      <c r="DS439" s="644"/>
      <c r="DT439" s="644"/>
      <c r="DU439" s="644"/>
      <c r="DV439" s="644"/>
      <c r="DW439" s="101"/>
      <c r="DX439" s="646"/>
      <c r="DY439" s="646"/>
      <c r="DZ439" s="646"/>
      <c r="EA439" s="646"/>
      <c r="EB439" s="646"/>
      <c r="EC439" s="646"/>
      <c r="ED439" s="646"/>
      <c r="EE439" s="646"/>
      <c r="EF439" s="646"/>
      <c r="EG439" s="646"/>
      <c r="EH439" s="646"/>
      <c r="EI439" s="646"/>
      <c r="EJ439" s="646"/>
      <c r="EK439" s="271"/>
      <c r="EL439" s="644"/>
      <c r="EM439" s="634"/>
      <c r="EN439" s="647"/>
      <c r="EO439" s="648"/>
      <c r="EP439" s="647"/>
      <c r="EQ439" s="647"/>
      <c r="ER439" s="647"/>
      <c r="ES439" s="139"/>
      <c r="EV439" s="647"/>
      <c r="EW439" s="647"/>
      <c r="EX439" s="647"/>
      <c r="EY439" s="647"/>
      <c r="EZ439" s="647"/>
      <c r="FA439" s="646"/>
      <c r="FB439" s="646"/>
      <c r="FC439" s="646"/>
      <c r="FD439" s="646"/>
      <c r="FE439" s="646"/>
      <c r="FF439" s="646"/>
      <c r="FG439" s="647"/>
      <c r="FH439" s="647"/>
      <c r="FI439" s="647"/>
      <c r="FJ439" s="647"/>
      <c r="FK439" s="647"/>
      <c r="FL439" s="647"/>
      <c r="FM439" s="647"/>
      <c r="FN439" s="647"/>
      <c r="FO439" s="647"/>
      <c r="FP439" s="647"/>
      <c r="FQ439" s="647"/>
      <c r="FR439" s="647"/>
      <c r="FS439" s="101"/>
      <c r="FT439" s="95"/>
      <c r="FU439" s="651"/>
      <c r="FV439" s="101"/>
      <c r="FW439" s="101"/>
      <c r="FX439" s="634"/>
      <c r="FY439" s="634"/>
      <c r="FZ439" s="634"/>
      <c r="GA439" s="634"/>
      <c r="GB439" s="634"/>
      <c r="GC439" s="634"/>
      <c r="GD439" s="634"/>
      <c r="GE439" s="634"/>
      <c r="GF439" s="634"/>
      <c r="GG439" s="634"/>
      <c r="GH439" s="634"/>
      <c r="GI439" s="634"/>
      <c r="GJ439" s="634"/>
      <c r="GK439" s="634"/>
      <c r="GL439" s="101"/>
      <c r="GM439" s="101"/>
      <c r="GN439" s="101"/>
      <c r="GO439" s="643"/>
      <c r="GP439" s="644"/>
      <c r="GQ439" s="643"/>
      <c r="GR439" s="644"/>
      <c r="GS439" s="643"/>
      <c r="GT439" s="644"/>
      <c r="GU439" s="644"/>
      <c r="GV439" s="644"/>
      <c r="GW439" s="644"/>
      <c r="GX439" s="644"/>
      <c r="GY439" s="644"/>
      <c r="GZ439" s="644"/>
      <c r="HA439" s="644"/>
    </row>
    <row r="440" spans="1:209">
      <c r="A440" s="638"/>
      <c r="B440" s="95"/>
      <c r="C440" s="95"/>
      <c r="D440" s="95"/>
      <c r="E440" s="650"/>
      <c r="F440" s="95"/>
      <c r="G440" s="98"/>
      <c r="H440" s="99"/>
      <c r="I440" s="95"/>
      <c r="J440" s="95"/>
      <c r="K440" s="95"/>
      <c r="L440" s="95"/>
      <c r="M440" s="95"/>
      <c r="N440" s="95"/>
      <c r="O440" s="95"/>
      <c r="P440" s="95"/>
      <c r="Q440" s="95"/>
      <c r="R440" s="98"/>
      <c r="S440" s="101"/>
      <c r="T440" s="644"/>
      <c r="U440" s="101"/>
      <c r="V440" s="647"/>
      <c r="W440" s="643"/>
      <c r="X440" s="644"/>
      <c r="Y440" s="101"/>
      <c r="Z440" s="644"/>
      <c r="AA440" s="101"/>
      <c r="AB440" s="644"/>
      <c r="AC440" s="101"/>
      <c r="AD440" s="646"/>
      <c r="AE440" s="271"/>
      <c r="AF440" s="646"/>
      <c r="AG440" s="646"/>
      <c r="AH440" s="646"/>
      <c r="AI440" s="646"/>
      <c r="AJ440" s="646"/>
      <c r="AK440" s="646"/>
      <c r="AL440" s="646"/>
      <c r="AM440" s="271"/>
      <c r="AN440" s="646"/>
      <c r="AO440" s="646"/>
      <c r="AP440" s="646"/>
      <c r="AQ440" s="271"/>
      <c r="AR440" s="646"/>
      <c r="AS440" s="270"/>
      <c r="AT440" s="646"/>
      <c r="AU440" s="646"/>
      <c r="AV440" s="646"/>
      <c r="AW440" s="270"/>
      <c r="AX440" s="646"/>
      <c r="AY440" s="270"/>
      <c r="AZ440" s="646"/>
      <c r="BA440" s="646"/>
      <c r="BB440" s="644"/>
      <c r="BC440" s="644"/>
      <c r="BD440" s="644"/>
      <c r="BE440" s="644"/>
      <c r="BF440" s="644"/>
      <c r="BG440" s="644"/>
      <c r="BH440" s="644"/>
      <c r="BI440" s="644"/>
      <c r="BJ440" s="644"/>
      <c r="BK440" s="644"/>
      <c r="BL440" s="644"/>
      <c r="BM440" s="95"/>
      <c r="BN440" s="644"/>
      <c r="BO440" s="95"/>
      <c r="BP440" s="644"/>
      <c r="BQ440" s="644"/>
      <c r="BR440" s="644"/>
      <c r="BS440" s="644"/>
      <c r="BT440" s="644"/>
      <c r="BU440" s="644"/>
      <c r="BV440" s="644"/>
      <c r="BW440" s="644"/>
      <c r="BX440" s="644"/>
      <c r="BY440" s="644"/>
      <c r="BZ440" s="644"/>
      <c r="CA440" s="644"/>
      <c r="CB440" s="644"/>
      <c r="CC440" s="644"/>
      <c r="CD440" s="644"/>
      <c r="CE440" s="644"/>
      <c r="CF440" s="644"/>
      <c r="CG440" s="644"/>
      <c r="CH440" s="644"/>
      <c r="CI440" s="644"/>
      <c r="CJ440" s="644"/>
      <c r="CK440" s="644"/>
      <c r="CL440" s="644"/>
      <c r="CM440" s="95"/>
      <c r="CN440" s="644"/>
      <c r="CO440" s="644"/>
      <c r="CP440" s="95"/>
      <c r="CQ440" s="98"/>
      <c r="CR440" s="95"/>
      <c r="CS440" s="95"/>
      <c r="CT440" s="95"/>
      <c r="CU440" s="108"/>
      <c r="CV440" s="109"/>
      <c r="CW440" s="644"/>
      <c r="CX440" s="496"/>
      <c r="CY440" s="637"/>
      <c r="CZ440" s="644"/>
      <c r="DA440" s="644"/>
      <c r="DB440" s="644"/>
      <c r="DC440" s="496"/>
      <c r="DD440" s="644"/>
      <c r="DE440" s="101"/>
      <c r="DF440" s="644"/>
      <c r="DG440" s="101"/>
      <c r="DH440" s="644"/>
      <c r="DI440" s="644"/>
      <c r="DJ440" s="644"/>
      <c r="DK440" s="644"/>
      <c r="DL440" s="644"/>
      <c r="DM440" s="101"/>
      <c r="DN440" s="644"/>
      <c r="DO440" s="644"/>
      <c r="DP440" s="644"/>
      <c r="DQ440" s="644"/>
      <c r="DR440" s="644"/>
      <c r="DS440" s="644"/>
      <c r="DT440" s="644"/>
      <c r="DU440" s="644"/>
      <c r="DV440" s="644"/>
      <c r="DW440" s="101"/>
      <c r="DX440" s="646"/>
      <c r="DY440" s="646"/>
      <c r="DZ440" s="646"/>
      <c r="EA440" s="646"/>
      <c r="EB440" s="646"/>
      <c r="EC440" s="646"/>
      <c r="ED440" s="646"/>
      <c r="EE440" s="646"/>
      <c r="EF440" s="646"/>
      <c r="EG440" s="646"/>
      <c r="EH440" s="646"/>
      <c r="EI440" s="646"/>
      <c r="EJ440" s="646"/>
      <c r="EK440" s="271"/>
      <c r="EL440" s="644"/>
      <c r="EM440" s="634"/>
      <c r="EN440" s="647"/>
      <c r="EO440" s="648"/>
      <c r="EP440" s="647"/>
      <c r="EQ440" s="647"/>
      <c r="ER440" s="647"/>
      <c r="ES440" s="139"/>
      <c r="EV440" s="647"/>
      <c r="EW440" s="647"/>
      <c r="EX440" s="647"/>
      <c r="EY440" s="647"/>
      <c r="EZ440" s="647"/>
      <c r="FA440" s="646"/>
      <c r="FB440" s="646"/>
      <c r="FC440" s="646"/>
      <c r="FD440" s="646"/>
      <c r="FE440" s="646"/>
      <c r="FF440" s="646"/>
      <c r="FG440" s="647"/>
      <c r="FH440" s="647"/>
      <c r="FI440" s="647"/>
      <c r="FJ440" s="647"/>
      <c r="FK440" s="647"/>
      <c r="FL440" s="647"/>
      <c r="FM440" s="647"/>
      <c r="FN440" s="647"/>
      <c r="FO440" s="647"/>
      <c r="FP440" s="647"/>
      <c r="FQ440" s="647"/>
      <c r="FR440" s="647"/>
      <c r="FS440" s="101"/>
      <c r="FT440" s="95"/>
      <c r="FU440" s="651"/>
      <c r="FV440" s="101"/>
      <c r="FW440" s="101"/>
      <c r="FX440" s="634"/>
      <c r="FY440" s="634"/>
      <c r="FZ440" s="634"/>
      <c r="GA440" s="634"/>
      <c r="GB440" s="634"/>
      <c r="GC440" s="634"/>
      <c r="GD440" s="634"/>
      <c r="GE440" s="634"/>
      <c r="GF440" s="634"/>
      <c r="GG440" s="634"/>
      <c r="GH440" s="634"/>
      <c r="GI440" s="634"/>
      <c r="GJ440" s="634"/>
      <c r="GK440" s="634"/>
      <c r="GL440" s="101"/>
      <c r="GM440" s="101"/>
      <c r="GN440" s="101"/>
      <c r="GO440" s="643"/>
      <c r="GP440" s="644"/>
      <c r="GQ440" s="643"/>
      <c r="GR440" s="644"/>
      <c r="GS440" s="643"/>
      <c r="GT440" s="644"/>
      <c r="GU440" s="644"/>
      <c r="GV440" s="644"/>
      <c r="GW440" s="644"/>
      <c r="GX440" s="644"/>
      <c r="GY440" s="644"/>
      <c r="GZ440" s="644"/>
      <c r="HA440" s="644"/>
    </row>
    <row r="441" spans="1:209">
      <c r="A441" s="638"/>
      <c r="B441" s="95"/>
      <c r="C441" s="95"/>
      <c r="D441" s="95"/>
      <c r="E441" s="650"/>
      <c r="F441" s="95"/>
      <c r="G441" s="98"/>
      <c r="H441" s="99"/>
      <c r="I441" s="95"/>
      <c r="J441" s="95"/>
      <c r="K441" s="95"/>
      <c r="L441" s="95"/>
      <c r="M441" s="95"/>
      <c r="N441" s="95"/>
      <c r="O441" s="95"/>
      <c r="P441" s="95"/>
      <c r="Q441" s="95"/>
      <c r="R441" s="98"/>
      <c r="S441" s="101"/>
      <c r="T441" s="644"/>
      <c r="U441" s="101"/>
      <c r="V441" s="647"/>
      <c r="W441" s="643"/>
      <c r="X441" s="644"/>
      <c r="Y441" s="101"/>
      <c r="Z441" s="644"/>
      <c r="AA441" s="101"/>
      <c r="AB441" s="644"/>
      <c r="AC441" s="101"/>
      <c r="AD441" s="646"/>
      <c r="AE441" s="271"/>
      <c r="AF441" s="646"/>
      <c r="AG441" s="646"/>
      <c r="AH441" s="646"/>
      <c r="AI441" s="646"/>
      <c r="AJ441" s="646"/>
      <c r="AK441" s="646"/>
      <c r="AL441" s="646"/>
      <c r="AM441" s="271"/>
      <c r="AN441" s="646"/>
      <c r="AO441" s="646"/>
      <c r="AP441" s="646"/>
      <c r="AQ441" s="271"/>
      <c r="AR441" s="646"/>
      <c r="AS441" s="270"/>
      <c r="AT441" s="646"/>
      <c r="AU441" s="646"/>
      <c r="AV441" s="646"/>
      <c r="AW441" s="270"/>
      <c r="AX441" s="646"/>
      <c r="AY441" s="270"/>
      <c r="AZ441" s="646"/>
      <c r="BA441" s="646"/>
      <c r="BB441" s="644"/>
      <c r="BC441" s="644"/>
      <c r="BD441" s="644"/>
      <c r="BE441" s="644"/>
      <c r="BF441" s="644"/>
      <c r="BG441" s="644"/>
      <c r="BH441" s="644"/>
      <c r="BI441" s="644"/>
      <c r="BJ441" s="644"/>
      <c r="BK441" s="644"/>
      <c r="BL441" s="644"/>
      <c r="BM441" s="95"/>
      <c r="BN441" s="644"/>
      <c r="BO441" s="95"/>
      <c r="BP441" s="644"/>
      <c r="BQ441" s="644"/>
      <c r="BR441" s="644"/>
      <c r="BS441" s="644"/>
      <c r="BT441" s="644"/>
      <c r="BU441" s="644"/>
      <c r="BV441" s="644"/>
      <c r="BW441" s="644"/>
      <c r="BX441" s="644"/>
      <c r="BY441" s="644"/>
      <c r="BZ441" s="644"/>
      <c r="CA441" s="644"/>
      <c r="CB441" s="644"/>
      <c r="CC441" s="644"/>
      <c r="CD441" s="644"/>
      <c r="CE441" s="644"/>
      <c r="CF441" s="644"/>
      <c r="CG441" s="644"/>
      <c r="CH441" s="644"/>
      <c r="CI441" s="644"/>
      <c r="CJ441" s="644"/>
      <c r="CK441" s="644"/>
      <c r="CL441" s="644"/>
      <c r="CM441" s="95"/>
      <c r="CN441" s="644"/>
      <c r="CO441" s="644"/>
      <c r="CP441" s="95"/>
      <c r="CQ441" s="98"/>
      <c r="CR441" s="95"/>
      <c r="CS441" s="95"/>
      <c r="CT441" s="95"/>
      <c r="CU441" s="108"/>
      <c r="CV441" s="109"/>
      <c r="CW441" s="644"/>
      <c r="CX441" s="496"/>
      <c r="CY441" s="637"/>
      <c r="CZ441" s="644"/>
      <c r="DA441" s="644"/>
      <c r="DB441" s="644"/>
      <c r="DC441" s="496"/>
      <c r="DD441" s="644"/>
      <c r="DE441" s="101"/>
      <c r="DF441" s="644"/>
      <c r="DG441" s="101"/>
      <c r="DH441" s="644"/>
      <c r="DI441" s="644"/>
      <c r="DJ441" s="644"/>
      <c r="DK441" s="644"/>
      <c r="DL441" s="644"/>
      <c r="DM441" s="101"/>
      <c r="DN441" s="644"/>
      <c r="DO441" s="644"/>
      <c r="DP441" s="644"/>
      <c r="DQ441" s="644"/>
      <c r="DR441" s="644"/>
      <c r="DS441" s="644"/>
      <c r="DT441" s="644"/>
      <c r="DU441" s="644"/>
      <c r="DV441" s="644"/>
      <c r="DW441" s="101"/>
      <c r="DX441" s="646"/>
      <c r="DY441" s="646"/>
      <c r="DZ441" s="646"/>
      <c r="EA441" s="646"/>
      <c r="EB441" s="646"/>
      <c r="EC441" s="646"/>
      <c r="ED441" s="646"/>
      <c r="EE441" s="646"/>
      <c r="EF441" s="646"/>
      <c r="EG441" s="646"/>
      <c r="EH441" s="646"/>
      <c r="EI441" s="646"/>
      <c r="EJ441" s="646"/>
      <c r="EK441" s="271"/>
      <c r="EL441" s="644"/>
      <c r="EM441" s="634"/>
      <c r="EN441" s="647"/>
      <c r="EO441" s="648"/>
      <c r="EP441" s="647"/>
      <c r="EQ441" s="647"/>
      <c r="ER441" s="647"/>
      <c r="ES441" s="139"/>
      <c r="EV441" s="647"/>
      <c r="EW441" s="647"/>
      <c r="EX441" s="647"/>
      <c r="EY441" s="647"/>
      <c r="EZ441" s="647"/>
      <c r="FA441" s="646"/>
      <c r="FB441" s="646"/>
      <c r="FC441" s="646"/>
      <c r="FD441" s="646"/>
      <c r="FE441" s="646"/>
      <c r="FF441" s="646"/>
      <c r="FG441" s="647"/>
      <c r="FH441" s="647"/>
      <c r="FI441" s="647"/>
      <c r="FJ441" s="647"/>
      <c r="FK441" s="647"/>
      <c r="FL441" s="647"/>
      <c r="FM441" s="647"/>
      <c r="FN441" s="647"/>
      <c r="FO441" s="647"/>
      <c r="FP441" s="647"/>
      <c r="FQ441" s="647"/>
      <c r="FR441" s="647"/>
      <c r="FS441" s="101"/>
      <c r="FT441" s="95"/>
      <c r="FU441" s="651"/>
      <c r="FV441" s="101"/>
      <c r="FW441" s="101"/>
      <c r="FX441" s="634"/>
      <c r="FY441" s="634"/>
      <c r="FZ441" s="634"/>
      <c r="GA441" s="634"/>
      <c r="GB441" s="634"/>
      <c r="GC441" s="634"/>
      <c r="GD441" s="634"/>
      <c r="GE441" s="634"/>
      <c r="GF441" s="634"/>
      <c r="GG441" s="634"/>
      <c r="GH441" s="634"/>
      <c r="GI441" s="634"/>
      <c r="GJ441" s="634"/>
      <c r="GK441" s="634"/>
      <c r="GL441" s="101"/>
      <c r="GM441" s="101"/>
      <c r="GN441" s="101"/>
      <c r="GO441" s="643"/>
      <c r="GP441" s="644"/>
      <c r="GQ441" s="643"/>
      <c r="GR441" s="644"/>
      <c r="GS441" s="643"/>
      <c r="GT441" s="644"/>
      <c r="GU441" s="644"/>
      <c r="GV441" s="644"/>
      <c r="GW441" s="644"/>
      <c r="GX441" s="644"/>
      <c r="GY441" s="644"/>
      <c r="GZ441" s="644"/>
      <c r="HA441" s="644"/>
    </row>
    <row r="442" spans="1:209">
      <c r="A442" s="638"/>
      <c r="B442" s="95"/>
      <c r="C442" s="95"/>
      <c r="D442" s="95"/>
      <c r="E442" s="650"/>
      <c r="F442" s="95"/>
      <c r="G442" s="98"/>
      <c r="H442" s="99"/>
      <c r="I442" s="95"/>
      <c r="J442" s="95"/>
      <c r="K442" s="95"/>
      <c r="L442" s="95"/>
      <c r="M442" s="95"/>
      <c r="N442" s="95"/>
      <c r="O442" s="95"/>
      <c r="P442" s="95"/>
      <c r="Q442" s="95"/>
      <c r="R442" s="98"/>
      <c r="S442" s="101"/>
      <c r="T442" s="644"/>
      <c r="U442" s="101"/>
      <c r="V442" s="647"/>
      <c r="W442" s="643"/>
      <c r="X442" s="644"/>
      <c r="Y442" s="101"/>
      <c r="Z442" s="644"/>
      <c r="AA442" s="101"/>
      <c r="AB442" s="644"/>
      <c r="AC442" s="101"/>
      <c r="AD442" s="646"/>
      <c r="AE442" s="271"/>
      <c r="AF442" s="646"/>
      <c r="AG442" s="646"/>
      <c r="AH442" s="646"/>
      <c r="AI442" s="646"/>
      <c r="AJ442" s="646"/>
      <c r="AK442" s="646"/>
      <c r="AL442" s="646"/>
      <c r="AM442" s="271"/>
      <c r="AN442" s="646"/>
      <c r="AO442" s="646"/>
      <c r="AP442" s="646"/>
      <c r="AQ442" s="271"/>
      <c r="AR442" s="646"/>
      <c r="AS442" s="270"/>
      <c r="AT442" s="646"/>
      <c r="AU442" s="646"/>
      <c r="AV442" s="646"/>
      <c r="AW442" s="270"/>
      <c r="AX442" s="646"/>
      <c r="AY442" s="270"/>
      <c r="AZ442" s="646"/>
      <c r="BA442" s="646"/>
      <c r="BB442" s="644"/>
      <c r="BC442" s="644"/>
      <c r="BD442" s="644"/>
      <c r="BE442" s="644"/>
      <c r="BF442" s="644"/>
      <c r="BG442" s="644"/>
      <c r="BH442" s="644"/>
      <c r="BI442" s="644"/>
      <c r="BJ442" s="644"/>
      <c r="BK442" s="644"/>
      <c r="BL442" s="644"/>
      <c r="BM442" s="95"/>
      <c r="BN442" s="644"/>
      <c r="BO442" s="95"/>
      <c r="BP442" s="644"/>
      <c r="BQ442" s="644"/>
      <c r="BR442" s="644"/>
      <c r="BS442" s="644"/>
      <c r="BT442" s="644"/>
      <c r="BU442" s="644"/>
      <c r="BV442" s="644"/>
      <c r="BW442" s="644"/>
      <c r="BX442" s="644"/>
      <c r="BY442" s="644"/>
      <c r="BZ442" s="644"/>
      <c r="CA442" s="644"/>
      <c r="CB442" s="644"/>
      <c r="CC442" s="644"/>
      <c r="CD442" s="644"/>
      <c r="CE442" s="644"/>
      <c r="CF442" s="644"/>
      <c r="CG442" s="644"/>
      <c r="CH442" s="644"/>
      <c r="CI442" s="644"/>
      <c r="CJ442" s="644"/>
      <c r="CK442" s="644"/>
      <c r="CL442" s="644"/>
      <c r="CM442" s="95"/>
      <c r="CN442" s="644"/>
      <c r="CO442" s="644"/>
      <c r="CP442" s="95"/>
      <c r="CQ442" s="98"/>
      <c r="CR442" s="95"/>
      <c r="CS442" s="95"/>
      <c r="CT442" s="95"/>
      <c r="CU442" s="108"/>
      <c r="CV442" s="109"/>
      <c r="CW442" s="644"/>
      <c r="CX442" s="496"/>
      <c r="CY442" s="637"/>
      <c r="CZ442" s="644"/>
      <c r="DA442" s="644"/>
      <c r="DB442" s="644"/>
      <c r="DC442" s="496"/>
      <c r="DD442" s="644"/>
      <c r="DE442" s="101"/>
      <c r="DF442" s="644"/>
      <c r="DG442" s="101"/>
      <c r="DH442" s="644"/>
      <c r="DI442" s="644"/>
      <c r="DJ442" s="644"/>
      <c r="DK442" s="644"/>
      <c r="DL442" s="644"/>
      <c r="DM442" s="101"/>
      <c r="DN442" s="644"/>
      <c r="DO442" s="644"/>
      <c r="DP442" s="644"/>
      <c r="DQ442" s="644"/>
      <c r="DR442" s="644"/>
      <c r="DS442" s="644"/>
      <c r="DT442" s="644"/>
      <c r="DU442" s="644"/>
      <c r="DV442" s="644"/>
      <c r="DW442" s="101"/>
      <c r="DX442" s="646"/>
      <c r="DY442" s="646"/>
      <c r="DZ442" s="646"/>
      <c r="EA442" s="646"/>
      <c r="EB442" s="646"/>
      <c r="EC442" s="646"/>
      <c r="ED442" s="646"/>
      <c r="EE442" s="646"/>
      <c r="EF442" s="646"/>
      <c r="EG442" s="646"/>
      <c r="EH442" s="646"/>
      <c r="EI442" s="646"/>
      <c r="EJ442" s="646"/>
      <c r="EK442" s="271"/>
      <c r="EL442" s="644"/>
      <c r="EM442" s="634"/>
      <c r="EN442" s="647"/>
      <c r="EO442" s="648"/>
      <c r="EP442" s="647"/>
      <c r="EQ442" s="647"/>
      <c r="ER442" s="647"/>
      <c r="ES442" s="139"/>
      <c r="EV442" s="647"/>
      <c r="EW442" s="647"/>
      <c r="EX442" s="647"/>
      <c r="EY442" s="647"/>
      <c r="EZ442" s="647"/>
      <c r="FA442" s="646"/>
      <c r="FB442" s="646"/>
      <c r="FC442" s="646"/>
      <c r="FD442" s="646"/>
      <c r="FE442" s="646"/>
      <c r="FF442" s="646"/>
      <c r="FG442" s="647"/>
      <c r="FH442" s="647"/>
      <c r="FI442" s="647"/>
      <c r="FJ442" s="647"/>
      <c r="FK442" s="647"/>
      <c r="FL442" s="647"/>
      <c r="FM442" s="647"/>
      <c r="FN442" s="647"/>
      <c r="FO442" s="647"/>
      <c r="FP442" s="647"/>
      <c r="FQ442" s="647"/>
      <c r="FR442" s="647"/>
      <c r="FS442" s="101"/>
      <c r="FT442" s="95"/>
      <c r="FU442" s="651"/>
      <c r="FV442" s="101"/>
      <c r="FW442" s="101"/>
      <c r="FX442" s="634"/>
      <c r="FY442" s="634"/>
      <c r="FZ442" s="634"/>
      <c r="GA442" s="634"/>
      <c r="GB442" s="634"/>
      <c r="GC442" s="634"/>
      <c r="GD442" s="634"/>
      <c r="GE442" s="634"/>
      <c r="GF442" s="634"/>
      <c r="GG442" s="634"/>
      <c r="GH442" s="634"/>
      <c r="GI442" s="634"/>
      <c r="GJ442" s="634"/>
      <c r="GK442" s="634"/>
      <c r="GL442" s="101"/>
      <c r="GM442" s="101"/>
      <c r="GN442" s="101"/>
      <c r="GO442" s="643"/>
      <c r="GP442" s="644"/>
      <c r="GQ442" s="643"/>
      <c r="GR442" s="644"/>
      <c r="GS442" s="643"/>
      <c r="GT442" s="644"/>
      <c r="GU442" s="644"/>
      <c r="GV442" s="644"/>
      <c r="GW442" s="644"/>
      <c r="GX442" s="644"/>
      <c r="GY442" s="644"/>
      <c r="GZ442" s="644"/>
      <c r="HA442" s="644"/>
    </row>
    <row r="443" spans="1:209">
      <c r="A443" s="638"/>
      <c r="B443" s="95"/>
      <c r="C443" s="95"/>
      <c r="D443" s="95"/>
      <c r="E443" s="650"/>
      <c r="F443" s="95"/>
      <c r="G443" s="98"/>
      <c r="H443" s="99"/>
      <c r="I443" s="95"/>
      <c r="J443" s="95"/>
      <c r="K443" s="95"/>
      <c r="L443" s="95"/>
      <c r="M443" s="95"/>
      <c r="N443" s="95"/>
      <c r="O443" s="95"/>
      <c r="P443" s="95"/>
      <c r="Q443" s="95"/>
      <c r="R443" s="98"/>
      <c r="S443" s="101"/>
      <c r="T443" s="644"/>
      <c r="U443" s="101"/>
      <c r="V443" s="647"/>
      <c r="W443" s="643"/>
      <c r="X443" s="644"/>
      <c r="Y443" s="101"/>
      <c r="Z443" s="644"/>
      <c r="AA443" s="101"/>
      <c r="AB443" s="644"/>
      <c r="AC443" s="101"/>
      <c r="AD443" s="646"/>
      <c r="AE443" s="271"/>
      <c r="AF443" s="646"/>
      <c r="AG443" s="646"/>
      <c r="AH443" s="646"/>
      <c r="AI443" s="646"/>
      <c r="AJ443" s="646"/>
      <c r="AK443" s="646"/>
      <c r="AL443" s="646"/>
      <c r="AM443" s="271"/>
      <c r="AN443" s="646"/>
      <c r="AO443" s="646"/>
      <c r="AP443" s="646"/>
      <c r="AQ443" s="271"/>
      <c r="AR443" s="646"/>
      <c r="AS443" s="270"/>
      <c r="AT443" s="646"/>
      <c r="AU443" s="646"/>
      <c r="AV443" s="646"/>
      <c r="AW443" s="270"/>
      <c r="AX443" s="646"/>
      <c r="AY443" s="270"/>
      <c r="AZ443" s="646"/>
      <c r="BA443" s="646"/>
      <c r="BB443" s="644"/>
      <c r="BC443" s="644"/>
      <c r="BD443" s="644"/>
      <c r="BE443" s="644"/>
      <c r="BF443" s="644"/>
      <c r="BG443" s="644"/>
      <c r="BH443" s="644"/>
      <c r="BI443" s="644"/>
      <c r="BJ443" s="644"/>
      <c r="BK443" s="644"/>
      <c r="BL443" s="644"/>
      <c r="BM443" s="95"/>
      <c r="BN443" s="644"/>
      <c r="BO443" s="95"/>
      <c r="BP443" s="644"/>
      <c r="BQ443" s="644"/>
      <c r="BR443" s="644"/>
      <c r="BS443" s="644"/>
      <c r="BT443" s="644"/>
      <c r="BU443" s="644"/>
      <c r="BV443" s="644"/>
      <c r="BW443" s="644"/>
      <c r="BX443" s="644"/>
      <c r="BY443" s="644"/>
      <c r="BZ443" s="644"/>
      <c r="CA443" s="644"/>
      <c r="CB443" s="644"/>
      <c r="CC443" s="644"/>
      <c r="CD443" s="644"/>
      <c r="CE443" s="644"/>
      <c r="CF443" s="644"/>
      <c r="CG443" s="644"/>
      <c r="CH443" s="644"/>
      <c r="CI443" s="644"/>
      <c r="CJ443" s="644"/>
      <c r="CK443" s="644"/>
      <c r="CL443" s="644"/>
      <c r="CM443" s="95"/>
      <c r="CN443" s="644"/>
      <c r="CO443" s="644"/>
      <c r="CP443" s="95"/>
      <c r="CQ443" s="98"/>
      <c r="CR443" s="95"/>
      <c r="CS443" s="95"/>
      <c r="CT443" s="95"/>
      <c r="CU443" s="108"/>
      <c r="CV443" s="109"/>
      <c r="CW443" s="644"/>
      <c r="CX443" s="496"/>
      <c r="CY443" s="637"/>
      <c r="CZ443" s="644"/>
      <c r="DA443" s="644"/>
      <c r="DB443" s="644"/>
      <c r="DC443" s="496"/>
      <c r="DD443" s="644"/>
      <c r="DE443" s="101"/>
      <c r="DF443" s="644"/>
      <c r="DG443" s="101"/>
      <c r="DH443" s="644"/>
      <c r="DI443" s="644"/>
      <c r="DJ443" s="644"/>
      <c r="DK443" s="644"/>
      <c r="DL443" s="644"/>
      <c r="DM443" s="101"/>
      <c r="DN443" s="644"/>
      <c r="DO443" s="644"/>
      <c r="DP443" s="644"/>
      <c r="DQ443" s="644"/>
      <c r="DR443" s="644"/>
      <c r="DS443" s="644"/>
      <c r="DT443" s="644"/>
      <c r="DU443" s="644"/>
      <c r="DV443" s="644"/>
      <c r="DW443" s="101"/>
      <c r="DX443" s="646"/>
      <c r="DY443" s="646"/>
      <c r="DZ443" s="646"/>
      <c r="EA443" s="646"/>
      <c r="EB443" s="646"/>
      <c r="EC443" s="646"/>
      <c r="ED443" s="646"/>
      <c r="EE443" s="646"/>
      <c r="EF443" s="646"/>
      <c r="EG443" s="646"/>
      <c r="EH443" s="646"/>
      <c r="EI443" s="646"/>
      <c r="EJ443" s="646"/>
      <c r="EK443" s="271"/>
      <c r="EL443" s="644"/>
      <c r="EM443" s="634"/>
      <c r="EN443" s="647"/>
      <c r="EO443" s="648"/>
      <c r="EP443" s="647"/>
      <c r="EQ443" s="647"/>
      <c r="ER443" s="647"/>
      <c r="ES443" s="139"/>
      <c r="EV443" s="647"/>
      <c r="EW443" s="647"/>
      <c r="EX443" s="647"/>
      <c r="EY443" s="647"/>
      <c r="EZ443" s="647"/>
      <c r="FA443" s="646"/>
      <c r="FB443" s="646"/>
      <c r="FC443" s="646"/>
      <c r="FD443" s="646"/>
      <c r="FE443" s="646"/>
      <c r="FF443" s="646"/>
      <c r="FG443" s="647"/>
      <c r="FH443" s="647"/>
      <c r="FI443" s="647"/>
      <c r="FJ443" s="647"/>
      <c r="FK443" s="647"/>
      <c r="FL443" s="647"/>
      <c r="FM443" s="647"/>
      <c r="FN443" s="647"/>
      <c r="FO443" s="647"/>
      <c r="FP443" s="647"/>
      <c r="FQ443" s="647"/>
      <c r="FR443" s="647"/>
      <c r="FS443" s="101"/>
      <c r="FT443" s="95"/>
      <c r="FU443" s="651"/>
      <c r="FV443" s="101"/>
      <c r="FW443" s="101"/>
      <c r="FX443" s="634"/>
      <c r="FY443" s="634"/>
      <c r="FZ443" s="634"/>
      <c r="GA443" s="634"/>
      <c r="GB443" s="634"/>
      <c r="GC443" s="634"/>
      <c r="GD443" s="634"/>
      <c r="GE443" s="634"/>
      <c r="GF443" s="634"/>
      <c r="GG443" s="634"/>
      <c r="GH443" s="634"/>
      <c r="GI443" s="634"/>
      <c r="GJ443" s="634"/>
      <c r="GK443" s="634"/>
      <c r="GL443" s="101"/>
      <c r="GM443" s="101"/>
      <c r="GN443" s="101"/>
      <c r="GO443" s="643"/>
      <c r="GP443" s="644"/>
      <c r="GQ443" s="643"/>
      <c r="GR443" s="644"/>
      <c r="GS443" s="643"/>
      <c r="GT443" s="644"/>
      <c r="GU443" s="644"/>
      <c r="GV443" s="644"/>
      <c r="GW443" s="644"/>
      <c r="GX443" s="644"/>
      <c r="GY443" s="644"/>
      <c r="GZ443" s="644"/>
      <c r="HA443" s="644"/>
    </row>
    <row r="444" spans="1:209">
      <c r="A444" s="638"/>
      <c r="B444" s="95"/>
      <c r="C444" s="95"/>
      <c r="D444" s="95"/>
      <c r="E444" s="650"/>
      <c r="F444" s="95"/>
      <c r="G444" s="98"/>
      <c r="H444" s="99"/>
      <c r="I444" s="95"/>
      <c r="J444" s="95"/>
      <c r="K444" s="95"/>
      <c r="L444" s="95"/>
      <c r="M444" s="95"/>
      <c r="N444" s="95"/>
      <c r="O444" s="95"/>
      <c r="P444" s="95"/>
      <c r="Q444" s="95"/>
      <c r="R444" s="98"/>
      <c r="S444" s="101"/>
      <c r="T444" s="644"/>
      <c r="U444" s="101"/>
      <c r="V444" s="647"/>
      <c r="W444" s="643"/>
      <c r="X444" s="644"/>
      <c r="Y444" s="101"/>
      <c r="Z444" s="644"/>
      <c r="AA444" s="101"/>
      <c r="AB444" s="644"/>
      <c r="AC444" s="101"/>
      <c r="AD444" s="646"/>
      <c r="AE444" s="271"/>
      <c r="AF444" s="646"/>
      <c r="AG444" s="646"/>
      <c r="AH444" s="646"/>
      <c r="AI444" s="646"/>
      <c r="AJ444" s="646"/>
      <c r="AK444" s="646"/>
      <c r="AL444" s="646"/>
      <c r="AM444" s="271"/>
      <c r="AN444" s="646"/>
      <c r="AO444" s="646"/>
      <c r="AP444" s="646"/>
      <c r="AQ444" s="271"/>
      <c r="AR444" s="646"/>
      <c r="AS444" s="270"/>
      <c r="AT444" s="646"/>
      <c r="AU444" s="646"/>
      <c r="AV444" s="646"/>
      <c r="AW444" s="270"/>
      <c r="AX444" s="646"/>
      <c r="AY444" s="270"/>
      <c r="AZ444" s="646"/>
      <c r="BA444" s="646"/>
      <c r="BB444" s="644"/>
      <c r="BC444" s="644"/>
      <c r="BD444" s="644"/>
      <c r="BE444" s="644"/>
      <c r="BF444" s="644"/>
      <c r="BG444" s="644"/>
      <c r="BH444" s="644"/>
      <c r="BI444" s="644"/>
      <c r="BJ444" s="644"/>
      <c r="BK444" s="644"/>
      <c r="BL444" s="644"/>
      <c r="BM444" s="95"/>
      <c r="BN444" s="644"/>
      <c r="BO444" s="95"/>
      <c r="BP444" s="644"/>
      <c r="BQ444" s="644"/>
      <c r="BR444" s="644"/>
      <c r="BS444" s="644"/>
      <c r="BT444" s="644"/>
      <c r="BU444" s="644"/>
      <c r="BV444" s="644"/>
      <c r="BW444" s="644"/>
      <c r="BX444" s="644"/>
      <c r="BY444" s="644"/>
      <c r="BZ444" s="644"/>
      <c r="CA444" s="644"/>
      <c r="CB444" s="644"/>
      <c r="CC444" s="644"/>
      <c r="CD444" s="644"/>
      <c r="CE444" s="644"/>
      <c r="CF444" s="644"/>
      <c r="CG444" s="644"/>
      <c r="CH444" s="644"/>
      <c r="CI444" s="644"/>
      <c r="CJ444" s="644"/>
      <c r="CK444" s="644"/>
      <c r="CL444" s="644"/>
      <c r="CM444" s="95"/>
      <c r="CN444" s="644"/>
      <c r="CO444" s="644"/>
      <c r="CP444" s="95"/>
      <c r="CQ444" s="98"/>
      <c r="CR444" s="95"/>
      <c r="CS444" s="95"/>
      <c r="CT444" s="95"/>
      <c r="CU444" s="108"/>
      <c r="CV444" s="109"/>
      <c r="CW444" s="644"/>
      <c r="CX444" s="496"/>
      <c r="CY444" s="637"/>
      <c r="CZ444" s="644"/>
      <c r="DA444" s="644"/>
      <c r="DB444" s="644"/>
      <c r="DC444" s="496"/>
      <c r="DD444" s="644"/>
      <c r="DE444" s="101"/>
      <c r="DF444" s="644"/>
      <c r="DG444" s="101"/>
      <c r="DH444" s="644"/>
      <c r="DI444" s="644"/>
      <c r="DJ444" s="644"/>
      <c r="DK444" s="644"/>
      <c r="DL444" s="644"/>
      <c r="DM444" s="101"/>
      <c r="DN444" s="644"/>
      <c r="DO444" s="644"/>
      <c r="DP444" s="644"/>
      <c r="DQ444" s="644"/>
      <c r="DR444" s="644"/>
      <c r="DS444" s="644"/>
      <c r="DT444" s="644"/>
      <c r="DU444" s="644"/>
      <c r="DV444" s="644"/>
      <c r="DW444" s="101"/>
      <c r="DX444" s="646"/>
      <c r="DY444" s="646"/>
      <c r="DZ444" s="646"/>
      <c r="EA444" s="646"/>
      <c r="EB444" s="646"/>
      <c r="EC444" s="646"/>
      <c r="ED444" s="646"/>
      <c r="EE444" s="646"/>
      <c r="EF444" s="646"/>
      <c r="EG444" s="646"/>
      <c r="EH444" s="646"/>
      <c r="EI444" s="646"/>
      <c r="EJ444" s="646"/>
      <c r="EK444" s="271"/>
      <c r="EL444" s="644"/>
      <c r="EM444" s="634"/>
      <c r="EN444" s="647"/>
      <c r="EO444" s="648"/>
      <c r="EP444" s="647"/>
      <c r="EQ444" s="647"/>
      <c r="ER444" s="647"/>
      <c r="ES444" s="139"/>
      <c r="EV444" s="647"/>
      <c r="EW444" s="647"/>
      <c r="EX444" s="647"/>
      <c r="EY444" s="647"/>
      <c r="EZ444" s="647"/>
      <c r="FA444" s="646"/>
      <c r="FB444" s="646"/>
      <c r="FC444" s="646"/>
      <c r="FD444" s="646"/>
      <c r="FE444" s="646"/>
      <c r="FF444" s="646"/>
      <c r="FG444" s="647"/>
      <c r="FH444" s="647"/>
      <c r="FI444" s="647"/>
      <c r="FJ444" s="647"/>
      <c r="FK444" s="647"/>
      <c r="FL444" s="647"/>
      <c r="FM444" s="647"/>
      <c r="FN444" s="647"/>
      <c r="FO444" s="647"/>
      <c r="FP444" s="647"/>
      <c r="FQ444" s="647"/>
      <c r="FR444" s="647"/>
      <c r="FS444" s="101"/>
      <c r="FT444" s="95"/>
      <c r="FU444" s="651"/>
      <c r="FV444" s="101"/>
      <c r="FW444" s="101"/>
      <c r="FX444" s="634"/>
      <c r="FY444" s="634"/>
      <c r="FZ444" s="634"/>
      <c r="GA444" s="634"/>
      <c r="GB444" s="634"/>
      <c r="GC444" s="634"/>
      <c r="GD444" s="634"/>
      <c r="GE444" s="634"/>
      <c r="GF444" s="634"/>
      <c r="GG444" s="634"/>
      <c r="GH444" s="634"/>
      <c r="GI444" s="634"/>
      <c r="GJ444" s="634"/>
      <c r="GK444" s="634"/>
      <c r="GL444" s="101"/>
      <c r="GM444" s="101"/>
      <c r="GN444" s="101"/>
      <c r="GO444" s="643"/>
      <c r="GP444" s="644"/>
      <c r="GQ444" s="643"/>
      <c r="GR444" s="644"/>
      <c r="GS444" s="643"/>
      <c r="GT444" s="644"/>
      <c r="GU444" s="644"/>
      <c r="GV444" s="644"/>
      <c r="GW444" s="644"/>
      <c r="GX444" s="644"/>
      <c r="GY444" s="644"/>
      <c r="GZ444" s="644"/>
      <c r="HA444" s="644"/>
    </row>
    <row r="445" spans="1:209">
      <c r="A445" s="638"/>
      <c r="B445" s="95"/>
      <c r="C445" s="95"/>
      <c r="D445" s="95"/>
      <c r="E445" s="650"/>
      <c r="F445" s="95"/>
      <c r="G445" s="98"/>
      <c r="H445" s="99"/>
      <c r="I445" s="95"/>
      <c r="J445" s="95"/>
      <c r="K445" s="95"/>
      <c r="L445" s="95"/>
      <c r="M445" s="95"/>
      <c r="N445" s="95"/>
      <c r="O445" s="95"/>
      <c r="P445" s="95"/>
      <c r="Q445" s="95"/>
      <c r="R445" s="98"/>
      <c r="S445" s="101"/>
      <c r="T445" s="644"/>
      <c r="U445" s="101"/>
      <c r="V445" s="647"/>
      <c r="W445" s="643"/>
      <c r="X445" s="644"/>
      <c r="Y445" s="101"/>
      <c r="Z445" s="644"/>
      <c r="AA445" s="101"/>
      <c r="AB445" s="644"/>
      <c r="AC445" s="101"/>
      <c r="AD445" s="646"/>
      <c r="AE445" s="271"/>
      <c r="AF445" s="646"/>
      <c r="AG445" s="646"/>
      <c r="AH445" s="646"/>
      <c r="AI445" s="646"/>
      <c r="AJ445" s="646"/>
      <c r="AK445" s="646"/>
      <c r="AL445" s="646"/>
      <c r="AM445" s="271"/>
      <c r="AN445" s="646"/>
      <c r="AO445" s="646"/>
      <c r="AP445" s="646"/>
      <c r="AQ445" s="271"/>
      <c r="AR445" s="646"/>
      <c r="AS445" s="270"/>
      <c r="AT445" s="646"/>
      <c r="AU445" s="646"/>
      <c r="AV445" s="646"/>
      <c r="AW445" s="270"/>
      <c r="AX445" s="646"/>
      <c r="AY445" s="270"/>
      <c r="AZ445" s="646"/>
      <c r="BA445" s="646"/>
      <c r="BB445" s="644"/>
      <c r="BC445" s="644"/>
      <c r="BD445" s="644"/>
      <c r="BE445" s="644"/>
      <c r="BF445" s="644"/>
      <c r="BG445" s="644"/>
      <c r="BH445" s="644"/>
      <c r="BI445" s="644"/>
      <c r="BJ445" s="644"/>
      <c r="BK445" s="644"/>
      <c r="BL445" s="644"/>
      <c r="BM445" s="95"/>
      <c r="BN445" s="644"/>
      <c r="BO445" s="95"/>
      <c r="BP445" s="644"/>
      <c r="BQ445" s="644"/>
      <c r="BR445" s="644"/>
      <c r="BS445" s="644"/>
      <c r="BT445" s="644"/>
      <c r="BU445" s="644"/>
      <c r="BV445" s="644"/>
      <c r="BW445" s="644"/>
      <c r="BX445" s="644"/>
      <c r="BY445" s="644"/>
      <c r="BZ445" s="644"/>
      <c r="CA445" s="644"/>
      <c r="CB445" s="644"/>
      <c r="CC445" s="644"/>
      <c r="CD445" s="644"/>
      <c r="CE445" s="644"/>
      <c r="CF445" s="644"/>
      <c r="CG445" s="644"/>
      <c r="CH445" s="644"/>
      <c r="CI445" s="644"/>
      <c r="CJ445" s="644"/>
      <c r="CK445" s="644"/>
      <c r="CL445" s="644"/>
      <c r="CM445" s="95"/>
      <c r="CN445" s="644"/>
      <c r="CO445" s="644"/>
      <c r="CP445" s="95"/>
      <c r="CQ445" s="98"/>
      <c r="CR445" s="95"/>
      <c r="CS445" s="95"/>
      <c r="CT445" s="95"/>
      <c r="CU445" s="108"/>
      <c r="CV445" s="109"/>
      <c r="CW445" s="644"/>
      <c r="CX445" s="496"/>
      <c r="CY445" s="637"/>
      <c r="CZ445" s="644"/>
      <c r="DA445" s="644"/>
      <c r="DB445" s="644"/>
      <c r="DC445" s="496"/>
      <c r="DD445" s="644"/>
      <c r="DE445" s="101"/>
      <c r="DF445" s="644"/>
      <c r="DG445" s="101"/>
      <c r="DH445" s="644"/>
      <c r="DI445" s="644"/>
      <c r="DJ445" s="644"/>
      <c r="DK445" s="644"/>
      <c r="DL445" s="644"/>
      <c r="DM445" s="101"/>
      <c r="DN445" s="644"/>
      <c r="DO445" s="644"/>
      <c r="DP445" s="644"/>
      <c r="DQ445" s="644"/>
      <c r="DR445" s="644"/>
      <c r="DS445" s="644"/>
      <c r="DT445" s="644"/>
      <c r="DU445" s="644"/>
      <c r="DV445" s="644"/>
      <c r="DW445" s="101"/>
      <c r="DX445" s="646"/>
      <c r="DY445" s="646"/>
      <c r="DZ445" s="646"/>
      <c r="EA445" s="646"/>
      <c r="EB445" s="646"/>
      <c r="EC445" s="646"/>
      <c r="ED445" s="646"/>
      <c r="EE445" s="646"/>
      <c r="EF445" s="646"/>
      <c r="EG445" s="646"/>
      <c r="EH445" s="646"/>
      <c r="EI445" s="646"/>
      <c r="EJ445" s="646"/>
      <c r="EK445" s="271"/>
      <c r="EL445" s="644"/>
      <c r="EM445" s="634"/>
      <c r="EN445" s="647"/>
      <c r="EO445" s="648"/>
      <c r="EP445" s="647"/>
      <c r="EQ445" s="647"/>
      <c r="ER445" s="647"/>
      <c r="ES445" s="139"/>
      <c r="EV445" s="647"/>
      <c r="EW445" s="647"/>
      <c r="EX445" s="647"/>
      <c r="EY445" s="647"/>
      <c r="EZ445" s="647"/>
      <c r="FA445" s="646"/>
      <c r="FB445" s="646"/>
      <c r="FC445" s="646"/>
      <c r="FD445" s="646"/>
      <c r="FE445" s="646"/>
      <c r="FF445" s="646"/>
      <c r="FG445" s="647"/>
      <c r="FH445" s="647"/>
      <c r="FI445" s="647"/>
      <c r="FJ445" s="647"/>
      <c r="FK445" s="647"/>
      <c r="FL445" s="647"/>
      <c r="FM445" s="647"/>
      <c r="FN445" s="647"/>
      <c r="FO445" s="647"/>
      <c r="FP445" s="647"/>
      <c r="FQ445" s="647"/>
      <c r="FR445" s="647"/>
      <c r="FS445" s="101"/>
      <c r="FT445" s="95"/>
      <c r="FU445" s="651"/>
      <c r="FV445" s="101"/>
      <c r="FW445" s="101"/>
      <c r="FX445" s="634"/>
      <c r="FY445" s="634"/>
      <c r="FZ445" s="634"/>
      <c r="GA445" s="634"/>
      <c r="GB445" s="634"/>
      <c r="GC445" s="634"/>
      <c r="GD445" s="634"/>
      <c r="GE445" s="634"/>
      <c r="GF445" s="634"/>
      <c r="GG445" s="634"/>
      <c r="GH445" s="634"/>
      <c r="GI445" s="634"/>
      <c r="GJ445" s="634"/>
      <c r="GK445" s="634"/>
      <c r="GL445" s="101"/>
      <c r="GM445" s="101"/>
      <c r="GN445" s="101"/>
      <c r="GO445" s="643"/>
      <c r="GP445" s="644"/>
      <c r="GQ445" s="643"/>
      <c r="GR445" s="644"/>
      <c r="GS445" s="643"/>
      <c r="GT445" s="644"/>
      <c r="GU445" s="644"/>
      <c r="GV445" s="644"/>
      <c r="GW445" s="644"/>
      <c r="GX445" s="644"/>
      <c r="GY445" s="644"/>
      <c r="GZ445" s="644"/>
      <c r="HA445" s="644"/>
    </row>
    <row r="446" spans="1:209">
      <c r="A446" s="638"/>
      <c r="B446" s="95"/>
      <c r="C446" s="95"/>
      <c r="D446" s="95"/>
      <c r="E446" s="650"/>
      <c r="F446" s="95"/>
      <c r="G446" s="98"/>
      <c r="H446" s="99"/>
      <c r="I446" s="95"/>
      <c r="J446" s="95"/>
      <c r="K446" s="95"/>
      <c r="L446" s="95"/>
      <c r="M446" s="95"/>
      <c r="N446" s="95"/>
      <c r="O446" s="95"/>
      <c r="P446" s="95"/>
      <c r="Q446" s="95"/>
      <c r="R446" s="98"/>
      <c r="S446" s="101"/>
      <c r="T446" s="644"/>
      <c r="U446" s="101"/>
      <c r="V446" s="647"/>
      <c r="W446" s="643"/>
      <c r="X446" s="644"/>
      <c r="Y446" s="101"/>
      <c r="Z446" s="644"/>
      <c r="AA446" s="101"/>
      <c r="AB446" s="644"/>
      <c r="AC446" s="101"/>
      <c r="AD446" s="646"/>
      <c r="AE446" s="271"/>
      <c r="AF446" s="646"/>
      <c r="AG446" s="646"/>
      <c r="AH446" s="646"/>
      <c r="AI446" s="646"/>
      <c r="AJ446" s="646"/>
      <c r="AK446" s="646"/>
      <c r="AL446" s="646"/>
      <c r="AM446" s="271"/>
      <c r="AN446" s="646"/>
      <c r="AO446" s="646"/>
      <c r="AP446" s="646"/>
      <c r="AQ446" s="271"/>
      <c r="AR446" s="646"/>
      <c r="AS446" s="270"/>
      <c r="AT446" s="646"/>
      <c r="AU446" s="646"/>
      <c r="AV446" s="646"/>
      <c r="AW446" s="270"/>
      <c r="AX446" s="646"/>
      <c r="AY446" s="270"/>
      <c r="AZ446" s="646"/>
      <c r="BA446" s="646"/>
      <c r="BB446" s="644"/>
      <c r="BC446" s="644"/>
      <c r="BD446" s="644"/>
      <c r="BE446" s="644"/>
      <c r="BF446" s="644"/>
      <c r="BG446" s="644"/>
      <c r="BH446" s="644"/>
      <c r="BI446" s="644"/>
      <c r="BJ446" s="644"/>
      <c r="BK446" s="644"/>
      <c r="BL446" s="644"/>
      <c r="BM446" s="95"/>
      <c r="BN446" s="644"/>
      <c r="BO446" s="95"/>
      <c r="BP446" s="644"/>
      <c r="BQ446" s="644"/>
      <c r="BR446" s="644"/>
      <c r="BS446" s="644"/>
      <c r="BT446" s="644"/>
      <c r="BU446" s="644"/>
      <c r="BV446" s="644"/>
      <c r="BW446" s="644"/>
      <c r="BX446" s="644"/>
      <c r="BY446" s="644"/>
      <c r="BZ446" s="644"/>
      <c r="CA446" s="644"/>
      <c r="CB446" s="644"/>
      <c r="CC446" s="644"/>
      <c r="CD446" s="644"/>
      <c r="CE446" s="644"/>
      <c r="CF446" s="644"/>
      <c r="CG446" s="644"/>
      <c r="CH446" s="644"/>
      <c r="CI446" s="644"/>
      <c r="CJ446" s="644"/>
      <c r="CK446" s="644"/>
      <c r="CL446" s="644"/>
      <c r="CM446" s="95"/>
      <c r="CN446" s="644"/>
      <c r="CO446" s="644"/>
      <c r="CP446" s="95"/>
      <c r="CQ446" s="98"/>
      <c r="CR446" s="95"/>
      <c r="CS446" s="95"/>
      <c r="CT446" s="95"/>
      <c r="CU446" s="108"/>
      <c r="CV446" s="109"/>
      <c r="CW446" s="644"/>
      <c r="CX446" s="496"/>
      <c r="CY446" s="637"/>
      <c r="CZ446" s="644"/>
      <c r="DA446" s="644"/>
      <c r="DB446" s="644"/>
      <c r="DC446" s="496"/>
      <c r="DD446" s="644"/>
      <c r="DE446" s="101"/>
      <c r="DF446" s="644"/>
      <c r="DG446" s="101"/>
      <c r="DH446" s="644"/>
      <c r="DI446" s="644"/>
      <c r="DJ446" s="644"/>
      <c r="DK446" s="644"/>
      <c r="DL446" s="644"/>
      <c r="DM446" s="101"/>
      <c r="DN446" s="644"/>
      <c r="DO446" s="644"/>
      <c r="DP446" s="644"/>
      <c r="DQ446" s="644"/>
      <c r="DR446" s="644"/>
      <c r="DS446" s="644"/>
      <c r="DT446" s="644"/>
      <c r="DU446" s="644"/>
      <c r="DV446" s="644"/>
      <c r="DW446" s="101"/>
      <c r="DX446" s="646"/>
      <c r="DY446" s="646"/>
      <c r="DZ446" s="646"/>
      <c r="EA446" s="646"/>
      <c r="EB446" s="646"/>
      <c r="EC446" s="646"/>
      <c r="ED446" s="646"/>
      <c r="EE446" s="646"/>
      <c r="EF446" s="646"/>
      <c r="EG446" s="646"/>
      <c r="EH446" s="646"/>
      <c r="EI446" s="646"/>
      <c r="EJ446" s="646"/>
      <c r="EK446" s="271"/>
      <c r="EL446" s="644"/>
      <c r="EM446" s="634"/>
      <c r="EN446" s="647"/>
      <c r="EO446" s="648"/>
      <c r="EP446" s="647"/>
      <c r="EQ446" s="647"/>
      <c r="ER446" s="647"/>
      <c r="ES446" s="139"/>
      <c r="EV446" s="647"/>
      <c r="EW446" s="647"/>
      <c r="EX446" s="647"/>
      <c r="EY446" s="647"/>
      <c r="EZ446" s="647"/>
      <c r="FA446" s="646"/>
      <c r="FB446" s="646"/>
      <c r="FC446" s="646"/>
      <c r="FD446" s="646"/>
      <c r="FE446" s="646"/>
      <c r="FF446" s="646"/>
      <c r="FG446" s="647"/>
      <c r="FH446" s="647"/>
      <c r="FI446" s="647"/>
      <c r="FJ446" s="647"/>
      <c r="FK446" s="647"/>
      <c r="FL446" s="647"/>
      <c r="FM446" s="647"/>
      <c r="FN446" s="647"/>
      <c r="FO446" s="647"/>
      <c r="FP446" s="647"/>
      <c r="FQ446" s="647"/>
      <c r="FR446" s="647"/>
      <c r="FS446" s="101"/>
      <c r="FT446" s="95"/>
      <c r="FU446" s="651"/>
      <c r="FV446" s="101"/>
      <c r="FW446" s="101"/>
      <c r="FX446" s="634"/>
      <c r="FY446" s="634"/>
      <c r="FZ446" s="634"/>
      <c r="GA446" s="634"/>
      <c r="GB446" s="634"/>
      <c r="GC446" s="634"/>
      <c r="GD446" s="634"/>
      <c r="GE446" s="634"/>
      <c r="GF446" s="634"/>
      <c r="GG446" s="634"/>
      <c r="GH446" s="634"/>
      <c r="GI446" s="634"/>
      <c r="GJ446" s="634"/>
      <c r="GK446" s="634"/>
      <c r="GL446" s="101"/>
      <c r="GM446" s="101"/>
      <c r="GN446" s="101"/>
      <c r="GO446" s="643"/>
      <c r="GP446" s="644"/>
      <c r="GQ446" s="643"/>
      <c r="GR446" s="644"/>
      <c r="GS446" s="643"/>
      <c r="GT446" s="644"/>
      <c r="GU446" s="644"/>
      <c r="GV446" s="644"/>
      <c r="GW446" s="644"/>
      <c r="GX446" s="644"/>
      <c r="GY446" s="644"/>
      <c r="GZ446" s="644"/>
      <c r="HA446" s="644"/>
    </row>
    <row r="447" spans="1:209">
      <c r="A447" s="638"/>
      <c r="B447" s="95"/>
      <c r="C447" s="95"/>
      <c r="D447" s="95"/>
      <c r="E447" s="650"/>
      <c r="F447" s="95"/>
      <c r="G447" s="98"/>
      <c r="H447" s="99"/>
      <c r="I447" s="95"/>
      <c r="J447" s="95"/>
      <c r="K447" s="95"/>
      <c r="L447" s="95"/>
      <c r="M447" s="95"/>
      <c r="N447" s="95"/>
      <c r="O447" s="95"/>
      <c r="P447" s="95"/>
      <c r="Q447" s="95"/>
      <c r="R447" s="98"/>
      <c r="S447" s="101"/>
      <c r="T447" s="644"/>
      <c r="U447" s="101"/>
      <c r="V447" s="647"/>
      <c r="W447" s="643"/>
      <c r="X447" s="644"/>
      <c r="Y447" s="101"/>
      <c r="Z447" s="644"/>
      <c r="AA447" s="101"/>
      <c r="AB447" s="644"/>
      <c r="AC447" s="101"/>
      <c r="AD447" s="646"/>
      <c r="AE447" s="271"/>
      <c r="AF447" s="646"/>
      <c r="AG447" s="646"/>
      <c r="AH447" s="646"/>
      <c r="AI447" s="646"/>
      <c r="AJ447" s="646"/>
      <c r="AK447" s="646"/>
      <c r="AL447" s="646"/>
      <c r="AM447" s="271"/>
      <c r="AN447" s="646"/>
      <c r="AO447" s="646"/>
      <c r="AP447" s="646"/>
      <c r="AQ447" s="271"/>
      <c r="AR447" s="646"/>
      <c r="AS447" s="270"/>
      <c r="AT447" s="646"/>
      <c r="AU447" s="646"/>
      <c r="AV447" s="646"/>
      <c r="AW447" s="270"/>
      <c r="AX447" s="646"/>
      <c r="AY447" s="270"/>
      <c r="AZ447" s="646"/>
      <c r="BA447" s="646"/>
      <c r="BB447" s="644"/>
      <c r="BC447" s="644"/>
      <c r="BD447" s="644"/>
      <c r="BE447" s="644"/>
      <c r="BF447" s="644"/>
      <c r="BG447" s="644"/>
      <c r="BH447" s="644"/>
      <c r="BI447" s="644"/>
      <c r="BJ447" s="644"/>
      <c r="BK447" s="644"/>
      <c r="BL447" s="644"/>
      <c r="BM447" s="95"/>
      <c r="BN447" s="644"/>
      <c r="BO447" s="95"/>
      <c r="BP447" s="644"/>
      <c r="BQ447" s="644"/>
      <c r="BR447" s="644"/>
      <c r="BS447" s="644"/>
      <c r="BT447" s="644"/>
      <c r="BU447" s="644"/>
      <c r="BV447" s="644"/>
      <c r="BW447" s="644"/>
      <c r="BX447" s="644"/>
      <c r="BY447" s="644"/>
      <c r="BZ447" s="644"/>
      <c r="CA447" s="644"/>
      <c r="CB447" s="644"/>
      <c r="CC447" s="644"/>
      <c r="CD447" s="644"/>
      <c r="CE447" s="644"/>
      <c r="CF447" s="644"/>
      <c r="CG447" s="644"/>
      <c r="CH447" s="644"/>
      <c r="CI447" s="644"/>
      <c r="CJ447" s="644"/>
      <c r="CK447" s="644"/>
      <c r="CL447" s="644"/>
      <c r="CM447" s="95"/>
      <c r="CN447" s="644"/>
      <c r="CO447" s="644"/>
      <c r="CP447" s="95"/>
      <c r="CQ447" s="98"/>
      <c r="CR447" s="95"/>
      <c r="CS447" s="95"/>
      <c r="CT447" s="95"/>
      <c r="CU447" s="108"/>
      <c r="CV447" s="109"/>
      <c r="CW447" s="644"/>
      <c r="CX447" s="496"/>
      <c r="CY447" s="637"/>
      <c r="CZ447" s="644"/>
      <c r="DA447" s="644"/>
      <c r="DB447" s="644"/>
      <c r="DC447" s="496"/>
      <c r="DD447" s="644"/>
      <c r="DE447" s="101"/>
      <c r="DF447" s="644"/>
      <c r="DG447" s="101"/>
      <c r="DH447" s="644"/>
      <c r="DI447" s="644"/>
      <c r="DJ447" s="644"/>
      <c r="DK447" s="644"/>
      <c r="DL447" s="644"/>
      <c r="DM447" s="101"/>
      <c r="DN447" s="644"/>
      <c r="DO447" s="644"/>
      <c r="DP447" s="644"/>
      <c r="DQ447" s="644"/>
      <c r="DR447" s="644"/>
      <c r="DS447" s="644"/>
      <c r="DT447" s="644"/>
      <c r="DU447" s="644"/>
      <c r="DV447" s="644"/>
      <c r="DW447" s="101"/>
      <c r="DX447" s="646"/>
      <c r="DY447" s="646"/>
      <c r="DZ447" s="646"/>
      <c r="EA447" s="646"/>
      <c r="EB447" s="646"/>
      <c r="EC447" s="646"/>
      <c r="ED447" s="646"/>
      <c r="EE447" s="646"/>
      <c r="EF447" s="646"/>
      <c r="EG447" s="646"/>
      <c r="EH447" s="646"/>
      <c r="EI447" s="646"/>
      <c r="EJ447" s="646"/>
      <c r="EK447" s="271"/>
      <c r="EL447" s="644"/>
      <c r="EM447" s="634"/>
      <c r="EN447" s="647"/>
      <c r="EO447" s="648"/>
      <c r="EP447" s="647"/>
      <c r="EQ447" s="647"/>
      <c r="ER447" s="647"/>
      <c r="ES447" s="139"/>
      <c r="EV447" s="647"/>
      <c r="EW447" s="647"/>
      <c r="EX447" s="647"/>
      <c r="EY447" s="647"/>
      <c r="EZ447" s="647"/>
      <c r="FA447" s="646"/>
      <c r="FB447" s="646"/>
      <c r="FC447" s="646"/>
      <c r="FD447" s="646"/>
      <c r="FE447" s="646"/>
      <c r="FF447" s="646"/>
      <c r="FG447" s="647"/>
      <c r="FH447" s="647"/>
      <c r="FI447" s="647"/>
      <c r="FJ447" s="647"/>
      <c r="FK447" s="647"/>
      <c r="FL447" s="647"/>
      <c r="FM447" s="647"/>
      <c r="FN447" s="647"/>
      <c r="FO447" s="647"/>
      <c r="FP447" s="647"/>
      <c r="FQ447" s="647"/>
      <c r="FR447" s="647"/>
      <c r="FS447" s="101"/>
      <c r="FT447" s="95"/>
      <c r="FU447" s="651"/>
      <c r="FV447" s="101"/>
      <c r="FW447" s="101"/>
      <c r="FX447" s="634"/>
      <c r="FY447" s="634"/>
      <c r="FZ447" s="634"/>
      <c r="GA447" s="634"/>
      <c r="GB447" s="634"/>
      <c r="GC447" s="634"/>
      <c r="GD447" s="634"/>
      <c r="GE447" s="634"/>
      <c r="GF447" s="634"/>
      <c r="GG447" s="634"/>
      <c r="GH447" s="634"/>
      <c r="GI447" s="634"/>
      <c r="GJ447" s="634"/>
      <c r="GK447" s="634"/>
      <c r="GL447" s="101"/>
      <c r="GM447" s="101"/>
      <c r="GN447" s="101"/>
      <c r="GO447" s="643"/>
      <c r="GP447" s="644"/>
      <c r="GQ447" s="643"/>
      <c r="GR447" s="644"/>
      <c r="GS447" s="643"/>
      <c r="GT447" s="644"/>
      <c r="GU447" s="644"/>
      <c r="GV447" s="644"/>
      <c r="GW447" s="644"/>
      <c r="GX447" s="644"/>
      <c r="GY447" s="644"/>
      <c r="GZ447" s="644"/>
      <c r="HA447" s="644"/>
    </row>
    <row r="448" spans="1:209">
      <c r="A448" s="638"/>
      <c r="B448" s="95"/>
      <c r="C448" s="95"/>
      <c r="D448" s="95"/>
      <c r="E448" s="650"/>
      <c r="F448" s="95"/>
      <c r="G448" s="98"/>
      <c r="H448" s="99"/>
      <c r="I448" s="95"/>
      <c r="J448" s="95"/>
      <c r="K448" s="95"/>
      <c r="L448" s="95"/>
      <c r="M448" s="95"/>
      <c r="N448" s="95"/>
      <c r="O448" s="95"/>
      <c r="P448" s="95"/>
      <c r="Q448" s="95"/>
      <c r="R448" s="98"/>
      <c r="S448" s="101"/>
      <c r="T448" s="644"/>
      <c r="U448" s="101"/>
      <c r="V448" s="647"/>
      <c r="W448" s="643"/>
      <c r="X448" s="644"/>
      <c r="Y448" s="101"/>
      <c r="Z448" s="644"/>
      <c r="AA448" s="101"/>
      <c r="AB448" s="644"/>
      <c r="AC448" s="101"/>
      <c r="AD448" s="646"/>
      <c r="AE448" s="271"/>
      <c r="AF448" s="646"/>
      <c r="AG448" s="646"/>
      <c r="AH448" s="646"/>
      <c r="AI448" s="646"/>
      <c r="AJ448" s="646"/>
      <c r="AK448" s="646"/>
      <c r="AL448" s="646"/>
      <c r="AM448" s="271"/>
      <c r="AN448" s="646"/>
      <c r="AO448" s="646"/>
      <c r="AP448" s="646"/>
      <c r="AQ448" s="271"/>
      <c r="AR448" s="646"/>
      <c r="AS448" s="270"/>
      <c r="AT448" s="646"/>
      <c r="AU448" s="646"/>
      <c r="AV448" s="646"/>
      <c r="AW448" s="270"/>
      <c r="AX448" s="646"/>
      <c r="AY448" s="270"/>
      <c r="AZ448" s="646"/>
      <c r="BA448" s="646"/>
      <c r="BB448" s="644"/>
      <c r="BC448" s="644"/>
      <c r="BD448" s="644"/>
      <c r="BE448" s="644"/>
      <c r="BF448" s="644"/>
      <c r="BG448" s="644"/>
      <c r="BH448" s="644"/>
      <c r="BI448" s="644"/>
      <c r="BJ448" s="644"/>
      <c r="BK448" s="644"/>
      <c r="BL448" s="644"/>
      <c r="BM448" s="95"/>
      <c r="BN448" s="644"/>
      <c r="BO448" s="95"/>
      <c r="BP448" s="644"/>
      <c r="BQ448" s="644"/>
      <c r="BR448" s="644"/>
      <c r="BS448" s="644"/>
      <c r="BT448" s="644"/>
      <c r="BU448" s="644"/>
      <c r="BV448" s="644"/>
      <c r="BW448" s="644"/>
      <c r="BX448" s="644"/>
      <c r="BY448" s="644"/>
      <c r="BZ448" s="644"/>
      <c r="CA448" s="644"/>
      <c r="CB448" s="644"/>
      <c r="CC448" s="644"/>
      <c r="CD448" s="644"/>
      <c r="CE448" s="644"/>
      <c r="CF448" s="644"/>
      <c r="CG448" s="644"/>
      <c r="CH448" s="644"/>
      <c r="CI448" s="644"/>
      <c r="CJ448" s="644"/>
      <c r="CK448" s="644"/>
      <c r="CL448" s="644"/>
      <c r="CM448" s="95"/>
      <c r="CN448" s="644"/>
      <c r="CO448" s="644"/>
      <c r="CP448" s="95"/>
      <c r="CQ448" s="98"/>
      <c r="CR448" s="95"/>
      <c r="CS448" s="95"/>
      <c r="CT448" s="95"/>
      <c r="CU448" s="108"/>
      <c r="CV448" s="109"/>
      <c r="CW448" s="644"/>
      <c r="CX448" s="496"/>
      <c r="CY448" s="637"/>
      <c r="CZ448" s="644"/>
      <c r="DA448" s="644"/>
      <c r="DB448" s="644"/>
      <c r="DC448" s="496"/>
      <c r="DD448" s="644"/>
      <c r="DE448" s="101"/>
      <c r="DF448" s="644"/>
      <c r="DG448" s="101"/>
      <c r="DH448" s="644"/>
      <c r="DI448" s="644"/>
      <c r="DJ448" s="644"/>
      <c r="DK448" s="644"/>
      <c r="DL448" s="644"/>
      <c r="DM448" s="101"/>
      <c r="DN448" s="644"/>
      <c r="DO448" s="644"/>
      <c r="DP448" s="644"/>
      <c r="DQ448" s="644"/>
      <c r="DR448" s="644"/>
      <c r="DS448" s="644"/>
      <c r="DT448" s="644"/>
      <c r="DU448" s="644"/>
      <c r="DV448" s="644"/>
      <c r="DW448" s="101"/>
      <c r="DX448" s="646"/>
      <c r="DY448" s="646"/>
      <c r="DZ448" s="646"/>
      <c r="EA448" s="646"/>
      <c r="EB448" s="646"/>
      <c r="EC448" s="646"/>
      <c r="ED448" s="646"/>
      <c r="EE448" s="646"/>
      <c r="EF448" s="646"/>
      <c r="EG448" s="646"/>
      <c r="EH448" s="646"/>
      <c r="EI448" s="646"/>
      <c r="EJ448" s="646"/>
      <c r="EK448" s="271"/>
      <c r="EL448" s="644"/>
      <c r="EM448" s="634"/>
      <c r="EN448" s="647"/>
      <c r="EO448" s="648"/>
      <c r="EP448" s="647"/>
      <c r="EQ448" s="647"/>
      <c r="ER448" s="647"/>
      <c r="ES448" s="139"/>
      <c r="EV448" s="647"/>
      <c r="EW448" s="647"/>
      <c r="EX448" s="647"/>
      <c r="EY448" s="647"/>
      <c r="EZ448" s="647"/>
      <c r="FA448" s="646"/>
      <c r="FB448" s="646"/>
      <c r="FC448" s="646"/>
      <c r="FD448" s="646"/>
      <c r="FE448" s="646"/>
      <c r="FF448" s="646"/>
      <c r="FG448" s="647"/>
      <c r="FH448" s="647"/>
      <c r="FI448" s="647"/>
      <c r="FJ448" s="647"/>
      <c r="FK448" s="647"/>
      <c r="FL448" s="647"/>
      <c r="FM448" s="647"/>
      <c r="FN448" s="647"/>
      <c r="FO448" s="647"/>
      <c r="FP448" s="647"/>
      <c r="FQ448" s="647"/>
      <c r="FR448" s="647"/>
      <c r="FS448" s="101"/>
      <c r="FT448" s="95"/>
      <c r="FU448" s="651"/>
      <c r="FV448" s="101"/>
      <c r="FW448" s="101"/>
      <c r="FX448" s="634"/>
      <c r="FY448" s="634"/>
      <c r="FZ448" s="634"/>
      <c r="GA448" s="634"/>
      <c r="GB448" s="634"/>
      <c r="GC448" s="634"/>
      <c r="GD448" s="634"/>
      <c r="GE448" s="634"/>
      <c r="GF448" s="634"/>
      <c r="GG448" s="634"/>
      <c r="GH448" s="634"/>
      <c r="GI448" s="634"/>
      <c r="GJ448" s="634"/>
      <c r="GK448" s="634"/>
      <c r="GL448" s="101"/>
      <c r="GM448" s="101"/>
      <c r="GN448" s="101"/>
      <c r="GO448" s="643"/>
      <c r="GP448" s="644"/>
      <c r="GQ448" s="643"/>
      <c r="GR448" s="644"/>
      <c r="GS448" s="643"/>
      <c r="GT448" s="644"/>
      <c r="GU448" s="644"/>
      <c r="GV448" s="644"/>
      <c r="GW448" s="644"/>
      <c r="GX448" s="644"/>
      <c r="GY448" s="644"/>
      <c r="GZ448" s="644"/>
      <c r="HA448" s="644"/>
    </row>
    <row r="449" spans="1:209">
      <c r="A449" s="638"/>
      <c r="B449" s="95"/>
      <c r="C449" s="95"/>
      <c r="D449" s="95"/>
      <c r="E449" s="650"/>
      <c r="F449" s="95"/>
      <c r="G449" s="98"/>
      <c r="H449" s="99"/>
      <c r="I449" s="95"/>
      <c r="J449" s="95"/>
      <c r="K449" s="95"/>
      <c r="L449" s="95"/>
      <c r="M449" s="95"/>
      <c r="N449" s="95"/>
      <c r="O449" s="95"/>
      <c r="P449" s="95"/>
      <c r="Q449" s="95"/>
      <c r="R449" s="98"/>
      <c r="S449" s="101"/>
      <c r="T449" s="644"/>
      <c r="U449" s="101"/>
      <c r="V449" s="647"/>
      <c r="W449" s="643"/>
      <c r="X449" s="644"/>
      <c r="Y449" s="101"/>
      <c r="Z449" s="644"/>
      <c r="AA449" s="101"/>
      <c r="AB449" s="644"/>
      <c r="AC449" s="101"/>
      <c r="AD449" s="646"/>
      <c r="AE449" s="271"/>
      <c r="AF449" s="646"/>
      <c r="AG449" s="646"/>
      <c r="AH449" s="646"/>
      <c r="AI449" s="646"/>
      <c r="AJ449" s="646"/>
      <c r="AK449" s="646"/>
      <c r="AL449" s="646"/>
      <c r="AM449" s="271"/>
      <c r="AN449" s="646"/>
      <c r="AO449" s="646"/>
      <c r="AP449" s="646"/>
      <c r="AQ449" s="271"/>
      <c r="AR449" s="646"/>
      <c r="AS449" s="270"/>
      <c r="AT449" s="646"/>
      <c r="AU449" s="646"/>
      <c r="AV449" s="646"/>
      <c r="AW449" s="270"/>
      <c r="AX449" s="646"/>
      <c r="AY449" s="270"/>
      <c r="AZ449" s="646"/>
      <c r="BA449" s="646"/>
      <c r="BB449" s="644"/>
      <c r="BC449" s="644"/>
      <c r="BD449" s="644"/>
      <c r="BE449" s="644"/>
      <c r="BF449" s="644"/>
      <c r="BG449" s="644"/>
      <c r="BH449" s="644"/>
      <c r="BI449" s="644"/>
      <c r="BJ449" s="644"/>
      <c r="BK449" s="644"/>
      <c r="BL449" s="644"/>
      <c r="BM449" s="95"/>
      <c r="BN449" s="644"/>
      <c r="BO449" s="95"/>
      <c r="BP449" s="644"/>
      <c r="BQ449" s="644"/>
      <c r="BR449" s="644"/>
      <c r="BS449" s="644"/>
      <c r="BT449" s="644"/>
      <c r="BU449" s="644"/>
      <c r="BV449" s="644"/>
      <c r="BW449" s="644"/>
      <c r="BX449" s="644"/>
      <c r="BY449" s="644"/>
      <c r="BZ449" s="644"/>
      <c r="CA449" s="644"/>
      <c r="CB449" s="644"/>
      <c r="CC449" s="644"/>
      <c r="CD449" s="644"/>
      <c r="CE449" s="644"/>
      <c r="CF449" s="644"/>
      <c r="CG449" s="644"/>
      <c r="CH449" s="644"/>
      <c r="CI449" s="644"/>
      <c r="CJ449" s="644"/>
      <c r="CK449" s="644"/>
      <c r="CL449" s="644"/>
      <c r="CM449" s="95"/>
      <c r="CN449" s="644"/>
      <c r="CO449" s="644"/>
      <c r="CP449" s="95"/>
      <c r="CQ449" s="98"/>
      <c r="CR449" s="95"/>
      <c r="CS449" s="95"/>
      <c r="CT449" s="95"/>
      <c r="CU449" s="108"/>
      <c r="CV449" s="109"/>
      <c r="CW449" s="644"/>
      <c r="CX449" s="496"/>
      <c r="CY449" s="637"/>
      <c r="CZ449" s="644"/>
      <c r="DA449" s="644"/>
      <c r="DB449" s="644"/>
      <c r="DC449" s="496"/>
      <c r="DD449" s="644"/>
      <c r="DE449" s="101"/>
      <c r="DF449" s="644"/>
      <c r="DG449" s="101"/>
      <c r="DH449" s="644"/>
      <c r="DI449" s="644"/>
      <c r="DJ449" s="644"/>
      <c r="DK449" s="644"/>
      <c r="DL449" s="644"/>
      <c r="DM449" s="101"/>
      <c r="DN449" s="644"/>
      <c r="DO449" s="644"/>
      <c r="DP449" s="644"/>
      <c r="DQ449" s="644"/>
      <c r="DR449" s="644"/>
      <c r="DS449" s="644"/>
      <c r="DT449" s="644"/>
      <c r="DU449" s="644"/>
      <c r="DV449" s="644"/>
      <c r="DW449" s="101"/>
      <c r="DX449" s="646"/>
      <c r="DY449" s="646"/>
      <c r="DZ449" s="646"/>
      <c r="EA449" s="646"/>
      <c r="EB449" s="646"/>
      <c r="EC449" s="646"/>
      <c r="ED449" s="646"/>
      <c r="EE449" s="646"/>
      <c r="EF449" s="646"/>
      <c r="EG449" s="646"/>
      <c r="EH449" s="646"/>
      <c r="EI449" s="646"/>
      <c r="EJ449" s="646"/>
      <c r="EK449" s="271"/>
      <c r="EL449" s="644"/>
      <c r="EM449" s="634"/>
      <c r="EN449" s="647"/>
      <c r="EO449" s="648"/>
      <c r="EP449" s="647"/>
      <c r="EQ449" s="647"/>
      <c r="ER449" s="647"/>
      <c r="ES449" s="139"/>
      <c r="EV449" s="647"/>
      <c r="EW449" s="647"/>
      <c r="EX449" s="647"/>
      <c r="EY449" s="647"/>
      <c r="EZ449" s="647"/>
      <c r="FA449" s="646"/>
      <c r="FB449" s="646"/>
      <c r="FC449" s="646"/>
      <c r="FD449" s="646"/>
      <c r="FE449" s="646"/>
      <c r="FF449" s="646"/>
      <c r="FG449" s="647"/>
      <c r="FH449" s="647"/>
      <c r="FI449" s="647"/>
      <c r="FJ449" s="647"/>
      <c r="FK449" s="647"/>
      <c r="FL449" s="647"/>
      <c r="FM449" s="647"/>
      <c r="FN449" s="647"/>
      <c r="FO449" s="647"/>
      <c r="FP449" s="647"/>
      <c r="FQ449" s="647"/>
      <c r="FR449" s="647"/>
      <c r="FS449" s="101"/>
      <c r="FT449" s="95"/>
      <c r="FU449" s="651"/>
      <c r="FV449" s="101"/>
      <c r="FW449" s="101"/>
      <c r="FX449" s="634"/>
      <c r="FY449" s="634"/>
      <c r="FZ449" s="634"/>
      <c r="GA449" s="634"/>
      <c r="GB449" s="634"/>
      <c r="GC449" s="634"/>
      <c r="GD449" s="634"/>
      <c r="GE449" s="634"/>
      <c r="GF449" s="634"/>
      <c r="GG449" s="634"/>
      <c r="GH449" s="634"/>
      <c r="GI449" s="634"/>
      <c r="GJ449" s="634"/>
      <c r="GK449" s="634"/>
      <c r="GL449" s="101"/>
      <c r="GM449" s="101"/>
      <c r="GN449" s="101"/>
      <c r="GO449" s="643"/>
      <c r="GP449" s="644"/>
      <c r="GQ449" s="643"/>
      <c r="GR449" s="644"/>
      <c r="GS449" s="643"/>
      <c r="GT449" s="644"/>
      <c r="GU449" s="644"/>
      <c r="GV449" s="644"/>
      <c r="GW449" s="644"/>
      <c r="GX449" s="644"/>
      <c r="GY449" s="644"/>
      <c r="GZ449" s="644"/>
      <c r="HA449" s="644"/>
    </row>
    <row r="450" spans="1:209">
      <c r="A450" s="638"/>
      <c r="B450" s="95"/>
      <c r="C450" s="95"/>
      <c r="D450" s="95"/>
      <c r="E450" s="650"/>
      <c r="F450" s="95"/>
      <c r="G450" s="98"/>
      <c r="H450" s="99"/>
      <c r="I450" s="95"/>
      <c r="J450" s="95"/>
      <c r="K450" s="95"/>
      <c r="L450" s="95"/>
      <c r="M450" s="95"/>
      <c r="N450" s="95"/>
      <c r="O450" s="95"/>
      <c r="P450" s="95"/>
      <c r="Q450" s="95"/>
      <c r="R450" s="98"/>
      <c r="S450" s="101"/>
      <c r="T450" s="644"/>
      <c r="U450" s="101"/>
      <c r="V450" s="647"/>
      <c r="W450" s="643"/>
      <c r="X450" s="644"/>
      <c r="Y450" s="101"/>
      <c r="Z450" s="644"/>
      <c r="AA450" s="101"/>
      <c r="AB450" s="644"/>
      <c r="AC450" s="101"/>
      <c r="AD450" s="646"/>
      <c r="AE450" s="271"/>
      <c r="AF450" s="646"/>
      <c r="AG450" s="646"/>
      <c r="AH450" s="646"/>
      <c r="AI450" s="646"/>
      <c r="AJ450" s="646"/>
      <c r="AK450" s="646"/>
      <c r="AL450" s="646"/>
      <c r="AM450" s="271"/>
      <c r="AN450" s="646"/>
      <c r="AO450" s="646"/>
      <c r="AP450" s="646"/>
      <c r="AQ450" s="271"/>
      <c r="AR450" s="646"/>
      <c r="AS450" s="270"/>
      <c r="AT450" s="646"/>
      <c r="AU450" s="646"/>
      <c r="AV450" s="646"/>
      <c r="AW450" s="270"/>
      <c r="AX450" s="646"/>
      <c r="AY450" s="270"/>
      <c r="AZ450" s="646"/>
      <c r="BA450" s="646"/>
      <c r="BB450" s="644"/>
      <c r="BC450" s="644"/>
      <c r="BD450" s="644"/>
      <c r="BE450" s="644"/>
      <c r="BF450" s="644"/>
      <c r="BG450" s="644"/>
      <c r="BH450" s="644"/>
      <c r="BI450" s="644"/>
      <c r="BJ450" s="644"/>
      <c r="BK450" s="644"/>
      <c r="BL450" s="644"/>
      <c r="BM450" s="95"/>
      <c r="BN450" s="644"/>
      <c r="BO450" s="95"/>
      <c r="BP450" s="644"/>
      <c r="BQ450" s="644"/>
      <c r="BR450" s="644"/>
      <c r="BS450" s="644"/>
      <c r="BT450" s="644"/>
      <c r="BU450" s="644"/>
      <c r="BV450" s="644"/>
      <c r="BW450" s="644"/>
      <c r="BX450" s="644"/>
      <c r="BY450" s="644"/>
      <c r="BZ450" s="644"/>
      <c r="CA450" s="644"/>
      <c r="CB450" s="644"/>
      <c r="CC450" s="644"/>
      <c r="CD450" s="644"/>
      <c r="CE450" s="644"/>
      <c r="CF450" s="644"/>
      <c r="CG450" s="644"/>
      <c r="CH450" s="644"/>
      <c r="CI450" s="644"/>
      <c r="CJ450" s="644"/>
      <c r="CK450" s="644"/>
      <c r="CL450" s="644"/>
      <c r="CM450" s="95"/>
      <c r="CN450" s="644"/>
      <c r="CO450" s="644"/>
      <c r="CP450" s="95"/>
      <c r="CQ450" s="98"/>
      <c r="CR450" s="95"/>
      <c r="CS450" s="95"/>
      <c r="CT450" s="95"/>
      <c r="CU450" s="108"/>
      <c r="CV450" s="109"/>
      <c r="CW450" s="644"/>
      <c r="CX450" s="496"/>
      <c r="CY450" s="637"/>
      <c r="CZ450" s="644"/>
      <c r="DA450" s="644"/>
      <c r="DB450" s="644"/>
      <c r="DC450" s="496"/>
      <c r="DD450" s="644"/>
      <c r="DE450" s="101"/>
      <c r="DF450" s="644"/>
      <c r="DG450" s="101"/>
      <c r="DH450" s="644"/>
      <c r="DI450" s="644"/>
      <c r="DJ450" s="644"/>
      <c r="DK450" s="644"/>
      <c r="DL450" s="644"/>
      <c r="DM450" s="101"/>
      <c r="DN450" s="644"/>
      <c r="DO450" s="644"/>
      <c r="DP450" s="644"/>
      <c r="DQ450" s="644"/>
      <c r="DR450" s="644"/>
      <c r="DS450" s="644"/>
      <c r="DT450" s="644"/>
      <c r="DU450" s="644"/>
      <c r="DV450" s="644"/>
      <c r="DW450" s="101"/>
      <c r="DX450" s="646"/>
      <c r="DY450" s="646"/>
      <c r="DZ450" s="646"/>
      <c r="EA450" s="646"/>
      <c r="EB450" s="646"/>
      <c r="EC450" s="646"/>
      <c r="ED450" s="646"/>
      <c r="EE450" s="646"/>
      <c r="EF450" s="646"/>
      <c r="EG450" s="646"/>
      <c r="EH450" s="646"/>
      <c r="EI450" s="646"/>
      <c r="EJ450" s="646"/>
      <c r="EK450" s="271"/>
      <c r="EL450" s="644"/>
      <c r="EM450" s="634"/>
      <c r="EN450" s="647"/>
      <c r="EO450" s="648"/>
      <c r="EP450" s="647"/>
      <c r="EQ450" s="647"/>
      <c r="ER450" s="647"/>
      <c r="ES450" s="139"/>
      <c r="EV450" s="647"/>
      <c r="EW450" s="647"/>
      <c r="EX450" s="647"/>
      <c r="EY450" s="647"/>
      <c r="EZ450" s="647"/>
      <c r="FA450" s="646"/>
      <c r="FB450" s="646"/>
      <c r="FC450" s="646"/>
      <c r="FD450" s="646"/>
      <c r="FE450" s="646"/>
      <c r="FF450" s="646"/>
      <c r="FG450" s="647"/>
      <c r="FH450" s="647"/>
      <c r="FI450" s="647"/>
      <c r="FJ450" s="647"/>
      <c r="FK450" s="647"/>
      <c r="FL450" s="647"/>
      <c r="FM450" s="647"/>
      <c r="FN450" s="647"/>
      <c r="FO450" s="647"/>
      <c r="FP450" s="647"/>
      <c r="FQ450" s="647"/>
      <c r="FR450" s="647"/>
      <c r="FS450" s="101"/>
      <c r="FT450" s="95"/>
      <c r="FU450" s="651"/>
      <c r="FV450" s="101"/>
      <c r="FW450" s="101"/>
      <c r="FX450" s="634"/>
      <c r="FY450" s="634"/>
      <c r="FZ450" s="634"/>
      <c r="GA450" s="634"/>
      <c r="GB450" s="634"/>
      <c r="GC450" s="634"/>
      <c r="GD450" s="634"/>
      <c r="GE450" s="634"/>
      <c r="GF450" s="634"/>
      <c r="GG450" s="634"/>
      <c r="GH450" s="634"/>
      <c r="GI450" s="634"/>
      <c r="GJ450" s="634"/>
      <c r="GK450" s="634"/>
      <c r="GL450" s="101"/>
      <c r="GM450" s="101"/>
      <c r="GN450" s="101"/>
      <c r="GO450" s="643"/>
      <c r="GP450" s="644"/>
      <c r="GQ450" s="643"/>
      <c r="GR450" s="644"/>
      <c r="GS450" s="643"/>
      <c r="GT450" s="644"/>
      <c r="GU450" s="644"/>
      <c r="GV450" s="644"/>
      <c r="GW450" s="644"/>
      <c r="GX450" s="644"/>
      <c r="GY450" s="644"/>
      <c r="GZ450" s="644"/>
      <c r="HA450" s="644"/>
    </row>
    <row r="451" spans="1:209">
      <c r="A451" s="638"/>
      <c r="B451" s="95"/>
      <c r="C451" s="95"/>
      <c r="D451" s="95"/>
      <c r="E451" s="650"/>
      <c r="F451" s="95"/>
      <c r="G451" s="98"/>
      <c r="H451" s="99"/>
      <c r="I451" s="95"/>
      <c r="J451" s="95"/>
      <c r="K451" s="95"/>
      <c r="L451" s="95"/>
      <c r="M451" s="95"/>
      <c r="N451" s="95"/>
      <c r="O451" s="95"/>
      <c r="P451" s="95"/>
      <c r="Q451" s="95"/>
      <c r="R451" s="98"/>
      <c r="S451" s="101"/>
      <c r="T451" s="644"/>
      <c r="U451" s="101"/>
      <c r="V451" s="647"/>
      <c r="W451" s="643"/>
      <c r="X451" s="644"/>
      <c r="Y451" s="101"/>
      <c r="Z451" s="644"/>
      <c r="AA451" s="101"/>
      <c r="AB451" s="644"/>
      <c r="AC451" s="101"/>
      <c r="AD451" s="646"/>
      <c r="AE451" s="271"/>
      <c r="AF451" s="646"/>
      <c r="AG451" s="646"/>
      <c r="AH451" s="646"/>
      <c r="AI451" s="646"/>
      <c r="AJ451" s="646"/>
      <c r="AK451" s="646"/>
      <c r="AL451" s="646"/>
      <c r="AM451" s="271"/>
      <c r="AN451" s="646"/>
      <c r="AO451" s="646"/>
      <c r="AP451" s="646"/>
      <c r="AQ451" s="271"/>
      <c r="AR451" s="646"/>
      <c r="AS451" s="270"/>
      <c r="AT451" s="646"/>
      <c r="AU451" s="646"/>
      <c r="AV451" s="646"/>
      <c r="AW451" s="270"/>
      <c r="AX451" s="646"/>
      <c r="AY451" s="270"/>
      <c r="AZ451" s="646"/>
      <c r="BA451" s="646"/>
      <c r="BB451" s="644"/>
      <c r="BC451" s="644"/>
      <c r="BD451" s="644"/>
      <c r="BE451" s="644"/>
      <c r="BF451" s="644"/>
      <c r="BG451" s="644"/>
      <c r="BH451" s="644"/>
      <c r="BI451" s="644"/>
      <c r="BJ451" s="644"/>
      <c r="BK451" s="644"/>
      <c r="BL451" s="644"/>
      <c r="BM451" s="95"/>
      <c r="BN451" s="644"/>
      <c r="BO451" s="95"/>
      <c r="BP451" s="644"/>
      <c r="BQ451" s="644"/>
      <c r="BR451" s="644"/>
      <c r="BS451" s="644"/>
      <c r="BT451" s="644"/>
      <c r="BU451" s="644"/>
      <c r="BV451" s="644"/>
      <c r="BW451" s="644"/>
      <c r="BX451" s="644"/>
      <c r="BY451" s="644"/>
      <c r="BZ451" s="644"/>
      <c r="CA451" s="644"/>
      <c r="CB451" s="644"/>
      <c r="CC451" s="644"/>
      <c r="CD451" s="644"/>
      <c r="CE451" s="644"/>
      <c r="CF451" s="644"/>
      <c r="CG451" s="644"/>
      <c r="CH451" s="644"/>
      <c r="CI451" s="644"/>
      <c r="CJ451" s="644"/>
      <c r="CK451" s="644"/>
      <c r="CL451" s="644"/>
      <c r="CM451" s="95"/>
      <c r="CN451" s="644"/>
      <c r="CO451" s="644"/>
      <c r="CP451" s="95"/>
      <c r="CQ451" s="98"/>
      <c r="CR451" s="95"/>
      <c r="CS451" s="95"/>
      <c r="CT451" s="95"/>
      <c r="CU451" s="108"/>
      <c r="CV451" s="109"/>
      <c r="CW451" s="644"/>
      <c r="CX451" s="496"/>
      <c r="CY451" s="637"/>
      <c r="CZ451" s="644"/>
      <c r="DA451" s="644"/>
      <c r="DB451" s="644"/>
      <c r="DC451" s="496"/>
      <c r="DD451" s="644"/>
      <c r="DE451" s="101"/>
      <c r="DF451" s="644"/>
      <c r="DG451" s="101"/>
      <c r="DH451" s="644"/>
      <c r="DI451" s="644"/>
      <c r="DJ451" s="644"/>
      <c r="DK451" s="644"/>
      <c r="DL451" s="644"/>
      <c r="DM451" s="101"/>
      <c r="DN451" s="644"/>
      <c r="DO451" s="644"/>
      <c r="DP451" s="644"/>
      <c r="DQ451" s="644"/>
      <c r="DR451" s="644"/>
      <c r="DS451" s="644"/>
      <c r="DT451" s="644"/>
      <c r="DU451" s="644"/>
      <c r="DV451" s="644"/>
      <c r="DW451" s="101"/>
      <c r="DX451" s="646"/>
      <c r="DY451" s="646"/>
      <c r="DZ451" s="646"/>
      <c r="EA451" s="646"/>
      <c r="EB451" s="646"/>
      <c r="EC451" s="646"/>
      <c r="ED451" s="646"/>
      <c r="EE451" s="646"/>
      <c r="EF451" s="646"/>
      <c r="EG451" s="646"/>
      <c r="EH451" s="646"/>
      <c r="EI451" s="646"/>
      <c r="EJ451" s="646"/>
      <c r="EK451" s="271"/>
      <c r="EL451" s="644"/>
      <c r="EM451" s="634"/>
      <c r="EN451" s="647"/>
      <c r="EO451" s="648"/>
      <c r="EP451" s="647"/>
      <c r="EQ451" s="647"/>
      <c r="ER451" s="647"/>
      <c r="ES451" s="139"/>
      <c r="EV451" s="647"/>
      <c r="EW451" s="647"/>
      <c r="EX451" s="647"/>
      <c r="EY451" s="647"/>
      <c r="EZ451" s="647"/>
      <c r="FA451" s="646"/>
      <c r="FB451" s="646"/>
      <c r="FC451" s="646"/>
      <c r="FD451" s="646"/>
      <c r="FE451" s="646"/>
      <c r="FF451" s="646"/>
      <c r="FG451" s="647"/>
      <c r="FH451" s="647"/>
      <c r="FI451" s="647"/>
      <c r="FJ451" s="647"/>
      <c r="FK451" s="647"/>
      <c r="FL451" s="647"/>
      <c r="FM451" s="647"/>
      <c r="FN451" s="647"/>
      <c r="FO451" s="647"/>
      <c r="FP451" s="647"/>
      <c r="FQ451" s="647"/>
      <c r="FR451" s="647"/>
      <c r="FS451" s="101"/>
      <c r="FT451" s="95"/>
      <c r="FU451" s="651"/>
      <c r="FV451" s="101"/>
      <c r="FW451" s="101"/>
      <c r="FX451" s="634"/>
      <c r="FY451" s="634"/>
      <c r="FZ451" s="634"/>
      <c r="GA451" s="634"/>
      <c r="GB451" s="634"/>
      <c r="GC451" s="634"/>
      <c r="GD451" s="634"/>
      <c r="GE451" s="634"/>
      <c r="GF451" s="634"/>
      <c r="GG451" s="634"/>
      <c r="GH451" s="634"/>
      <c r="GI451" s="634"/>
      <c r="GJ451" s="634"/>
      <c r="GK451" s="634"/>
      <c r="GL451" s="101"/>
      <c r="GM451" s="101"/>
      <c r="GN451" s="101"/>
      <c r="GO451" s="643"/>
      <c r="GP451" s="644"/>
      <c r="GQ451" s="643"/>
      <c r="GR451" s="644"/>
      <c r="GS451" s="643"/>
      <c r="GT451" s="644"/>
      <c r="GU451" s="644"/>
      <c r="GV451" s="644"/>
      <c r="GW451" s="644"/>
      <c r="GX451" s="644"/>
      <c r="GY451" s="644"/>
      <c r="GZ451" s="644"/>
      <c r="HA451" s="644"/>
    </row>
    <row r="452" spans="1:209">
      <c r="A452" s="638"/>
      <c r="B452" s="95"/>
      <c r="C452" s="95"/>
      <c r="D452" s="95"/>
      <c r="E452" s="650"/>
      <c r="F452" s="95"/>
      <c r="G452" s="98"/>
      <c r="H452" s="99"/>
      <c r="I452" s="95"/>
      <c r="J452" s="95"/>
      <c r="K452" s="95"/>
      <c r="L452" s="95"/>
      <c r="M452" s="95"/>
      <c r="N452" s="95"/>
      <c r="O452" s="95"/>
      <c r="P452" s="95"/>
      <c r="Q452" s="95"/>
      <c r="R452" s="98"/>
      <c r="S452" s="101"/>
      <c r="T452" s="644"/>
      <c r="U452" s="101"/>
      <c r="V452" s="647"/>
      <c r="W452" s="643"/>
      <c r="X452" s="644"/>
      <c r="Y452" s="101"/>
      <c r="Z452" s="644"/>
      <c r="AA452" s="101"/>
      <c r="AB452" s="644"/>
      <c r="AC452" s="101"/>
      <c r="AD452" s="646"/>
      <c r="AE452" s="271"/>
      <c r="AF452" s="646"/>
      <c r="AG452" s="646"/>
      <c r="AH452" s="646"/>
      <c r="AI452" s="646"/>
      <c r="AJ452" s="646"/>
      <c r="AK452" s="646"/>
      <c r="AL452" s="646"/>
      <c r="AM452" s="271"/>
      <c r="AN452" s="646"/>
      <c r="AO452" s="646"/>
      <c r="AP452" s="646"/>
      <c r="AQ452" s="271"/>
      <c r="AR452" s="646"/>
      <c r="AS452" s="270"/>
      <c r="AT452" s="646"/>
      <c r="AU452" s="646"/>
      <c r="AV452" s="646"/>
      <c r="AW452" s="270"/>
      <c r="AX452" s="646"/>
      <c r="AY452" s="270"/>
      <c r="AZ452" s="646"/>
      <c r="BA452" s="646"/>
      <c r="BB452" s="644"/>
      <c r="BC452" s="644"/>
      <c r="BD452" s="644"/>
      <c r="BE452" s="644"/>
      <c r="BF452" s="644"/>
      <c r="BG452" s="644"/>
      <c r="BH452" s="644"/>
      <c r="BI452" s="644"/>
      <c r="BJ452" s="644"/>
      <c r="BK452" s="644"/>
      <c r="BL452" s="644"/>
      <c r="BM452" s="95"/>
      <c r="BN452" s="644"/>
      <c r="BO452" s="95"/>
      <c r="BP452" s="644"/>
      <c r="BQ452" s="644"/>
      <c r="BR452" s="644"/>
      <c r="BS452" s="644"/>
      <c r="BT452" s="644"/>
      <c r="BU452" s="644"/>
      <c r="BV452" s="644"/>
      <c r="BW452" s="644"/>
      <c r="BX452" s="644"/>
      <c r="BY452" s="644"/>
      <c r="BZ452" s="644"/>
      <c r="CA452" s="644"/>
      <c r="CB452" s="644"/>
      <c r="CC452" s="644"/>
      <c r="CD452" s="644"/>
      <c r="CE452" s="644"/>
      <c r="CF452" s="644"/>
      <c r="CG452" s="644"/>
      <c r="CH452" s="644"/>
      <c r="CI452" s="644"/>
      <c r="CJ452" s="644"/>
      <c r="CK452" s="644"/>
      <c r="CL452" s="644"/>
      <c r="CM452" s="95"/>
      <c r="CN452" s="644"/>
      <c r="CO452" s="644"/>
      <c r="CP452" s="95"/>
      <c r="CQ452" s="98"/>
      <c r="CR452" s="95"/>
      <c r="CS452" s="95"/>
      <c r="CT452" s="95"/>
      <c r="CU452" s="108"/>
      <c r="CV452" s="109"/>
      <c r="CW452" s="644"/>
      <c r="CX452" s="496"/>
      <c r="CY452" s="637"/>
      <c r="CZ452" s="644"/>
      <c r="DA452" s="644"/>
      <c r="DB452" s="644"/>
      <c r="DC452" s="496"/>
      <c r="DD452" s="644"/>
      <c r="DE452" s="101"/>
      <c r="DF452" s="644"/>
      <c r="DG452" s="101"/>
      <c r="DH452" s="644"/>
      <c r="DI452" s="644"/>
      <c r="DJ452" s="644"/>
      <c r="DK452" s="644"/>
      <c r="DL452" s="644"/>
      <c r="DM452" s="101"/>
      <c r="DN452" s="644"/>
      <c r="DO452" s="644"/>
      <c r="DP452" s="644"/>
      <c r="DQ452" s="644"/>
      <c r="DR452" s="644"/>
      <c r="DS452" s="644"/>
      <c r="DT452" s="644"/>
      <c r="DU452" s="644"/>
      <c r="DV452" s="644"/>
      <c r="DW452" s="101"/>
      <c r="DX452" s="646"/>
      <c r="DY452" s="646"/>
      <c r="DZ452" s="646"/>
      <c r="EA452" s="646"/>
      <c r="EB452" s="646"/>
      <c r="EC452" s="646"/>
      <c r="ED452" s="646"/>
      <c r="EE452" s="646"/>
      <c r="EF452" s="646"/>
      <c r="EG452" s="646"/>
      <c r="EH452" s="646"/>
      <c r="EI452" s="646"/>
      <c r="EJ452" s="646"/>
      <c r="EK452" s="271"/>
      <c r="EL452" s="644"/>
      <c r="EM452" s="634"/>
      <c r="EN452" s="647"/>
      <c r="EO452" s="648"/>
      <c r="EP452" s="647"/>
      <c r="EQ452" s="647"/>
      <c r="ER452" s="647"/>
      <c r="ES452" s="139"/>
      <c r="EV452" s="647"/>
      <c r="EW452" s="647"/>
      <c r="EX452" s="647"/>
      <c r="EY452" s="647"/>
      <c r="EZ452" s="647"/>
      <c r="FA452" s="646"/>
      <c r="FB452" s="646"/>
      <c r="FC452" s="646"/>
      <c r="FD452" s="646"/>
      <c r="FE452" s="646"/>
      <c r="FF452" s="646"/>
      <c r="FG452" s="647"/>
      <c r="FH452" s="647"/>
      <c r="FI452" s="647"/>
      <c r="FJ452" s="647"/>
      <c r="FK452" s="647"/>
      <c r="FL452" s="647"/>
      <c r="FM452" s="647"/>
      <c r="FN452" s="647"/>
      <c r="FO452" s="647"/>
      <c r="FP452" s="647"/>
      <c r="FQ452" s="647"/>
      <c r="FR452" s="647"/>
      <c r="FS452" s="101"/>
      <c r="FT452" s="95"/>
      <c r="FU452" s="651"/>
      <c r="FV452" s="101"/>
      <c r="FW452" s="101"/>
      <c r="FX452" s="634"/>
      <c r="FY452" s="634"/>
      <c r="FZ452" s="634"/>
      <c r="GA452" s="634"/>
      <c r="GB452" s="634"/>
      <c r="GC452" s="634"/>
      <c r="GD452" s="634"/>
      <c r="GE452" s="634"/>
      <c r="GF452" s="634"/>
      <c r="GG452" s="634"/>
      <c r="GH452" s="634"/>
      <c r="GI452" s="634"/>
      <c r="GJ452" s="634"/>
      <c r="GK452" s="634"/>
      <c r="GL452" s="101"/>
      <c r="GM452" s="101"/>
      <c r="GN452" s="101"/>
      <c r="GO452" s="643"/>
      <c r="GP452" s="644"/>
      <c r="GQ452" s="643"/>
      <c r="GR452" s="644"/>
      <c r="GS452" s="643"/>
      <c r="GT452" s="644"/>
      <c r="GU452" s="644"/>
      <c r="GV452" s="644"/>
      <c r="GW452" s="644"/>
      <c r="GX452" s="644"/>
      <c r="GY452" s="644"/>
      <c r="GZ452" s="644"/>
      <c r="HA452" s="644"/>
    </row>
    <row r="453" spans="1:209">
      <c r="A453" s="638"/>
      <c r="B453" s="95"/>
      <c r="C453" s="95"/>
      <c r="D453" s="95"/>
      <c r="E453" s="650"/>
      <c r="F453" s="95"/>
      <c r="G453" s="98"/>
      <c r="H453" s="99"/>
      <c r="I453" s="95"/>
      <c r="J453" s="95"/>
      <c r="K453" s="95"/>
      <c r="L453" s="95"/>
      <c r="M453" s="95"/>
      <c r="N453" s="95"/>
      <c r="O453" s="95"/>
      <c r="P453" s="95"/>
      <c r="Q453" s="95"/>
      <c r="R453" s="98"/>
      <c r="S453" s="101"/>
      <c r="T453" s="644"/>
      <c r="U453" s="101"/>
      <c r="V453" s="647"/>
      <c r="W453" s="643"/>
      <c r="X453" s="644"/>
      <c r="Y453" s="101"/>
      <c r="Z453" s="644"/>
      <c r="AA453" s="101"/>
      <c r="AB453" s="644"/>
      <c r="AC453" s="101"/>
      <c r="AD453" s="646"/>
      <c r="AE453" s="271"/>
      <c r="AF453" s="646"/>
      <c r="AG453" s="646"/>
      <c r="AH453" s="646"/>
      <c r="AI453" s="646"/>
      <c r="AJ453" s="646"/>
      <c r="AK453" s="646"/>
      <c r="AL453" s="646"/>
      <c r="AM453" s="271"/>
      <c r="AN453" s="646"/>
      <c r="AO453" s="646"/>
      <c r="AP453" s="646"/>
      <c r="AQ453" s="271"/>
      <c r="AR453" s="646"/>
      <c r="AS453" s="270"/>
      <c r="AT453" s="646"/>
      <c r="AU453" s="646"/>
      <c r="AV453" s="646"/>
      <c r="AW453" s="270"/>
      <c r="AX453" s="646"/>
      <c r="AY453" s="270"/>
      <c r="AZ453" s="646"/>
      <c r="BA453" s="646"/>
      <c r="BB453" s="644"/>
      <c r="BC453" s="644"/>
      <c r="BD453" s="644"/>
      <c r="BE453" s="644"/>
      <c r="BF453" s="644"/>
      <c r="BG453" s="644"/>
      <c r="BH453" s="644"/>
      <c r="BI453" s="644"/>
      <c r="BJ453" s="644"/>
      <c r="BK453" s="644"/>
      <c r="BL453" s="644"/>
      <c r="BM453" s="95"/>
      <c r="BN453" s="644"/>
      <c r="BO453" s="95"/>
      <c r="BP453" s="644"/>
      <c r="BQ453" s="644"/>
      <c r="BR453" s="644"/>
      <c r="BS453" s="644"/>
      <c r="BT453" s="644"/>
      <c r="BU453" s="644"/>
      <c r="BV453" s="644"/>
      <c r="BW453" s="644"/>
      <c r="BX453" s="644"/>
      <c r="BY453" s="644"/>
      <c r="BZ453" s="644"/>
      <c r="CA453" s="644"/>
      <c r="CB453" s="644"/>
      <c r="CC453" s="644"/>
      <c r="CD453" s="644"/>
      <c r="CE453" s="644"/>
      <c r="CF453" s="644"/>
      <c r="CG453" s="644"/>
      <c r="CH453" s="644"/>
      <c r="CI453" s="644"/>
      <c r="CJ453" s="644"/>
      <c r="CK453" s="644"/>
      <c r="CL453" s="644"/>
      <c r="CM453" s="95"/>
      <c r="CN453" s="644"/>
      <c r="CO453" s="644"/>
      <c r="CP453" s="95"/>
      <c r="CQ453" s="98"/>
      <c r="CR453" s="95"/>
      <c r="CS453" s="95"/>
      <c r="CT453" s="95"/>
      <c r="CU453" s="108"/>
      <c r="CV453" s="109"/>
      <c r="CW453" s="644"/>
      <c r="CX453" s="496"/>
      <c r="CY453" s="637"/>
      <c r="CZ453" s="644"/>
      <c r="DA453" s="644"/>
      <c r="DB453" s="644"/>
      <c r="DC453" s="496"/>
      <c r="DD453" s="644"/>
      <c r="DE453" s="101"/>
      <c r="DF453" s="644"/>
      <c r="DG453" s="101"/>
      <c r="DH453" s="644"/>
      <c r="DI453" s="644"/>
      <c r="DJ453" s="644"/>
      <c r="DK453" s="644"/>
      <c r="DL453" s="644"/>
      <c r="DM453" s="101"/>
      <c r="DN453" s="644"/>
      <c r="DO453" s="644"/>
      <c r="DP453" s="644"/>
      <c r="DQ453" s="644"/>
      <c r="DR453" s="644"/>
      <c r="DS453" s="644"/>
      <c r="DT453" s="644"/>
      <c r="DU453" s="644"/>
      <c r="DV453" s="644"/>
      <c r="DW453" s="101"/>
      <c r="DX453" s="646"/>
      <c r="DY453" s="646"/>
      <c r="DZ453" s="646"/>
      <c r="EA453" s="646"/>
      <c r="EB453" s="646"/>
      <c r="EC453" s="646"/>
      <c r="ED453" s="646"/>
      <c r="EE453" s="646"/>
      <c r="EF453" s="646"/>
      <c r="EG453" s="646"/>
      <c r="EH453" s="646"/>
      <c r="EI453" s="646"/>
      <c r="EJ453" s="646"/>
      <c r="EK453" s="271"/>
      <c r="EL453" s="644"/>
      <c r="EM453" s="634"/>
      <c r="EN453" s="647"/>
      <c r="EO453" s="648"/>
      <c r="EP453" s="647"/>
      <c r="EQ453" s="647"/>
      <c r="ER453" s="647"/>
      <c r="ES453" s="139"/>
      <c r="EV453" s="647"/>
      <c r="EW453" s="647"/>
      <c r="EX453" s="647"/>
      <c r="EY453" s="647"/>
      <c r="EZ453" s="647"/>
      <c r="FA453" s="646"/>
      <c r="FB453" s="646"/>
      <c r="FC453" s="646"/>
      <c r="FD453" s="646"/>
      <c r="FE453" s="646"/>
      <c r="FF453" s="646"/>
      <c r="FG453" s="647"/>
      <c r="FH453" s="647"/>
      <c r="FI453" s="647"/>
      <c r="FJ453" s="647"/>
      <c r="FK453" s="647"/>
      <c r="FL453" s="647"/>
      <c r="FM453" s="647"/>
      <c r="FN453" s="647"/>
      <c r="FO453" s="647"/>
      <c r="FP453" s="647"/>
      <c r="FQ453" s="647"/>
      <c r="FR453" s="647"/>
      <c r="FS453" s="101"/>
      <c r="FT453" s="95"/>
      <c r="FU453" s="651"/>
      <c r="FV453" s="101"/>
      <c r="FW453" s="101"/>
      <c r="FX453" s="634"/>
      <c r="FY453" s="634"/>
      <c r="FZ453" s="634"/>
      <c r="GA453" s="634"/>
      <c r="GB453" s="634"/>
      <c r="GC453" s="634"/>
      <c r="GD453" s="634"/>
      <c r="GE453" s="634"/>
      <c r="GF453" s="634"/>
      <c r="GG453" s="634"/>
      <c r="GH453" s="634"/>
      <c r="GI453" s="634"/>
      <c r="GJ453" s="634"/>
      <c r="GK453" s="634"/>
      <c r="GL453" s="101"/>
      <c r="GM453" s="101"/>
      <c r="GN453" s="101"/>
      <c r="GO453" s="643"/>
      <c r="GP453" s="644"/>
      <c r="GQ453" s="643"/>
      <c r="GR453" s="644"/>
      <c r="GS453" s="643"/>
      <c r="GT453" s="644"/>
      <c r="GU453" s="644"/>
      <c r="GV453" s="644"/>
      <c r="GW453" s="644"/>
      <c r="GX453" s="644"/>
      <c r="GY453" s="644"/>
      <c r="GZ453" s="644"/>
      <c r="HA453" s="644"/>
    </row>
    <row r="454" spans="1:209">
      <c r="A454" s="638"/>
      <c r="B454" s="95"/>
      <c r="C454" s="95"/>
      <c r="D454" s="95"/>
      <c r="E454" s="650"/>
      <c r="F454" s="95"/>
      <c r="G454" s="98"/>
      <c r="H454" s="99"/>
      <c r="I454" s="95"/>
      <c r="J454" s="95"/>
      <c r="K454" s="95"/>
      <c r="L454" s="95"/>
      <c r="M454" s="95"/>
      <c r="N454" s="95"/>
      <c r="O454" s="95"/>
      <c r="P454" s="95"/>
      <c r="Q454" s="95"/>
      <c r="R454" s="98"/>
      <c r="S454" s="101"/>
      <c r="T454" s="644"/>
      <c r="U454" s="101"/>
      <c r="V454" s="647"/>
      <c r="W454" s="643"/>
      <c r="X454" s="644"/>
      <c r="Y454" s="101"/>
      <c r="Z454" s="644"/>
      <c r="AA454" s="101"/>
      <c r="AB454" s="644"/>
      <c r="AC454" s="101"/>
      <c r="AD454" s="646"/>
      <c r="AE454" s="271"/>
      <c r="AF454" s="646"/>
      <c r="AG454" s="646"/>
      <c r="AH454" s="646"/>
      <c r="AI454" s="646"/>
      <c r="AJ454" s="646"/>
      <c r="AK454" s="646"/>
      <c r="AL454" s="646"/>
      <c r="AM454" s="271"/>
      <c r="AN454" s="646"/>
      <c r="AO454" s="646"/>
      <c r="AP454" s="646"/>
      <c r="AQ454" s="271"/>
      <c r="AR454" s="646"/>
      <c r="AS454" s="270"/>
      <c r="AT454" s="646"/>
      <c r="AU454" s="646"/>
      <c r="AV454" s="646"/>
      <c r="AW454" s="270"/>
      <c r="AX454" s="646"/>
      <c r="AY454" s="270"/>
      <c r="AZ454" s="646"/>
      <c r="BA454" s="646"/>
      <c r="BB454" s="644"/>
      <c r="BC454" s="644"/>
      <c r="BD454" s="644"/>
      <c r="BE454" s="644"/>
      <c r="BF454" s="644"/>
      <c r="BG454" s="644"/>
      <c r="BH454" s="644"/>
      <c r="BI454" s="644"/>
      <c r="BJ454" s="644"/>
      <c r="BK454" s="644"/>
      <c r="BL454" s="644"/>
      <c r="BM454" s="95"/>
      <c r="BN454" s="644"/>
      <c r="BO454" s="95"/>
      <c r="BP454" s="644"/>
      <c r="BQ454" s="644"/>
      <c r="BR454" s="644"/>
      <c r="BS454" s="644"/>
      <c r="BT454" s="644"/>
      <c r="BU454" s="644"/>
      <c r="BV454" s="644"/>
      <c r="BW454" s="644"/>
      <c r="BX454" s="644"/>
      <c r="BY454" s="644"/>
      <c r="BZ454" s="644"/>
      <c r="CA454" s="644"/>
      <c r="CB454" s="644"/>
      <c r="CC454" s="644"/>
      <c r="CD454" s="644"/>
      <c r="CE454" s="644"/>
      <c r="CF454" s="644"/>
      <c r="CG454" s="644"/>
      <c r="CH454" s="644"/>
      <c r="CI454" s="644"/>
      <c r="CJ454" s="644"/>
      <c r="CK454" s="644"/>
      <c r="CL454" s="644"/>
      <c r="CM454" s="95"/>
      <c r="CN454" s="644"/>
      <c r="CO454" s="644"/>
      <c r="CP454" s="95"/>
      <c r="CQ454" s="98"/>
      <c r="CR454" s="95"/>
      <c r="CS454" s="95"/>
      <c r="CT454" s="95"/>
      <c r="CU454" s="108"/>
      <c r="CV454" s="109"/>
      <c r="CW454" s="644"/>
      <c r="CX454" s="496"/>
      <c r="CY454" s="637"/>
      <c r="CZ454" s="644"/>
      <c r="DA454" s="644"/>
      <c r="DB454" s="644"/>
      <c r="DC454" s="496"/>
      <c r="DD454" s="644"/>
      <c r="DE454" s="101"/>
      <c r="DF454" s="644"/>
      <c r="DG454" s="101"/>
      <c r="DH454" s="644"/>
      <c r="DI454" s="644"/>
      <c r="DJ454" s="644"/>
      <c r="DK454" s="644"/>
      <c r="DL454" s="644"/>
      <c r="DM454" s="101"/>
      <c r="DN454" s="644"/>
      <c r="DO454" s="644"/>
      <c r="DP454" s="644"/>
      <c r="DQ454" s="644"/>
      <c r="DR454" s="644"/>
      <c r="DS454" s="644"/>
      <c r="DT454" s="644"/>
      <c r="DU454" s="644"/>
      <c r="DV454" s="644"/>
      <c r="DW454" s="101"/>
      <c r="DX454" s="646"/>
      <c r="DY454" s="646"/>
      <c r="DZ454" s="646"/>
      <c r="EA454" s="646"/>
      <c r="EB454" s="646"/>
      <c r="EC454" s="646"/>
      <c r="ED454" s="646"/>
      <c r="EE454" s="646"/>
      <c r="EF454" s="646"/>
      <c r="EG454" s="646"/>
      <c r="EH454" s="646"/>
      <c r="EI454" s="646"/>
      <c r="EJ454" s="646"/>
      <c r="EK454" s="271"/>
      <c r="EL454" s="644"/>
      <c r="EM454" s="634"/>
      <c r="EN454" s="647"/>
      <c r="EO454" s="648"/>
      <c r="EP454" s="647"/>
      <c r="EQ454" s="647"/>
      <c r="ER454" s="647"/>
      <c r="ES454" s="139"/>
      <c r="EV454" s="647"/>
      <c r="EW454" s="647"/>
      <c r="EX454" s="647"/>
      <c r="EY454" s="647"/>
      <c r="EZ454" s="647"/>
      <c r="FA454" s="646"/>
      <c r="FB454" s="646"/>
      <c r="FC454" s="646"/>
      <c r="FD454" s="646"/>
      <c r="FE454" s="646"/>
      <c r="FF454" s="646"/>
      <c r="FG454" s="647"/>
      <c r="FH454" s="647"/>
      <c r="FI454" s="647"/>
      <c r="FJ454" s="647"/>
      <c r="FK454" s="647"/>
      <c r="FL454" s="647"/>
      <c r="FM454" s="647"/>
      <c r="FN454" s="647"/>
      <c r="FO454" s="647"/>
      <c r="FP454" s="647"/>
      <c r="FQ454" s="647"/>
      <c r="FR454" s="647"/>
      <c r="FS454" s="101"/>
      <c r="FT454" s="95"/>
      <c r="FU454" s="651"/>
      <c r="FV454" s="101"/>
      <c r="FW454" s="101"/>
      <c r="FX454" s="634"/>
      <c r="FY454" s="634"/>
      <c r="FZ454" s="634"/>
      <c r="GA454" s="634"/>
      <c r="GB454" s="634"/>
      <c r="GC454" s="634"/>
      <c r="GD454" s="634"/>
      <c r="GE454" s="634"/>
      <c r="GF454" s="634"/>
      <c r="GG454" s="634"/>
      <c r="GH454" s="634"/>
      <c r="GI454" s="634"/>
      <c r="GJ454" s="634"/>
      <c r="GK454" s="634"/>
      <c r="GL454" s="101"/>
      <c r="GM454" s="101"/>
      <c r="GN454" s="101"/>
      <c r="GO454" s="643"/>
      <c r="GP454" s="644"/>
      <c r="GQ454" s="643"/>
      <c r="GR454" s="644"/>
      <c r="GS454" s="643"/>
      <c r="GT454" s="644"/>
      <c r="GU454" s="644"/>
      <c r="GV454" s="644"/>
      <c r="GW454" s="644"/>
      <c r="GX454" s="644"/>
      <c r="GY454" s="644"/>
      <c r="GZ454" s="644"/>
      <c r="HA454" s="644"/>
    </row>
    <row r="455" spans="1:209">
      <c r="A455" s="638"/>
      <c r="B455" s="95"/>
      <c r="C455" s="95"/>
      <c r="D455" s="95"/>
      <c r="E455" s="650"/>
      <c r="F455" s="95"/>
      <c r="G455" s="98"/>
      <c r="H455" s="99"/>
      <c r="I455" s="95"/>
      <c r="J455" s="95"/>
      <c r="K455" s="95"/>
      <c r="L455" s="95"/>
      <c r="M455" s="95"/>
      <c r="N455" s="95"/>
      <c r="O455" s="95"/>
      <c r="P455" s="95"/>
      <c r="Q455" s="95"/>
      <c r="R455" s="98"/>
      <c r="S455" s="101"/>
      <c r="T455" s="644"/>
      <c r="U455" s="101"/>
      <c r="V455" s="647"/>
      <c r="W455" s="643"/>
      <c r="X455" s="644"/>
      <c r="Y455" s="101"/>
      <c r="Z455" s="644"/>
      <c r="AA455" s="101"/>
      <c r="AB455" s="644"/>
      <c r="AC455" s="101"/>
      <c r="AD455" s="646"/>
      <c r="AE455" s="271"/>
      <c r="AF455" s="646"/>
      <c r="AG455" s="646"/>
      <c r="AH455" s="646"/>
      <c r="AI455" s="646"/>
      <c r="AJ455" s="646"/>
      <c r="AK455" s="646"/>
      <c r="AL455" s="646"/>
      <c r="AM455" s="271"/>
      <c r="AN455" s="646"/>
      <c r="AO455" s="646"/>
      <c r="AP455" s="646"/>
      <c r="AQ455" s="271"/>
      <c r="AR455" s="646"/>
      <c r="AS455" s="270"/>
      <c r="AT455" s="646"/>
      <c r="AU455" s="646"/>
      <c r="AV455" s="646"/>
      <c r="AW455" s="270"/>
      <c r="AX455" s="646"/>
      <c r="AY455" s="270"/>
      <c r="AZ455" s="646"/>
      <c r="BA455" s="646"/>
      <c r="BB455" s="644"/>
      <c r="BC455" s="644"/>
      <c r="BD455" s="644"/>
      <c r="BE455" s="644"/>
      <c r="BF455" s="644"/>
      <c r="BG455" s="644"/>
      <c r="BH455" s="644"/>
      <c r="BI455" s="644"/>
      <c r="BJ455" s="644"/>
      <c r="BK455" s="644"/>
      <c r="BL455" s="644"/>
      <c r="BM455" s="95"/>
      <c r="BN455" s="644"/>
      <c r="BO455" s="95"/>
      <c r="BP455" s="644"/>
      <c r="BQ455" s="644"/>
      <c r="BR455" s="644"/>
      <c r="BS455" s="644"/>
      <c r="BT455" s="644"/>
      <c r="BU455" s="644"/>
      <c r="BV455" s="644"/>
      <c r="BW455" s="644"/>
      <c r="BX455" s="644"/>
      <c r="BY455" s="644"/>
      <c r="BZ455" s="644"/>
      <c r="CA455" s="644"/>
      <c r="CB455" s="644"/>
      <c r="CC455" s="644"/>
      <c r="CD455" s="644"/>
      <c r="CE455" s="644"/>
      <c r="CF455" s="644"/>
      <c r="CG455" s="644"/>
      <c r="CH455" s="644"/>
      <c r="CI455" s="644"/>
      <c r="CJ455" s="644"/>
      <c r="CK455" s="644"/>
      <c r="CL455" s="644"/>
      <c r="CM455" s="95"/>
      <c r="CN455" s="644"/>
      <c r="CO455" s="644"/>
      <c r="CP455" s="95"/>
      <c r="CQ455" s="98"/>
      <c r="CR455" s="95"/>
      <c r="CS455" s="95"/>
      <c r="CT455" s="95"/>
      <c r="CU455" s="108"/>
      <c r="CV455" s="109"/>
      <c r="CW455" s="644"/>
      <c r="CX455" s="496"/>
      <c r="CY455" s="637"/>
      <c r="CZ455" s="644"/>
      <c r="DA455" s="644"/>
      <c r="DB455" s="644"/>
      <c r="DC455" s="496"/>
      <c r="DD455" s="644"/>
      <c r="DE455" s="101"/>
      <c r="DF455" s="644"/>
      <c r="DG455" s="101"/>
      <c r="DH455" s="644"/>
      <c r="DI455" s="644"/>
      <c r="DJ455" s="644"/>
      <c r="DK455" s="644"/>
      <c r="DL455" s="644"/>
      <c r="DM455" s="101"/>
      <c r="DN455" s="644"/>
      <c r="DO455" s="644"/>
      <c r="DP455" s="644"/>
      <c r="DQ455" s="644"/>
      <c r="DR455" s="644"/>
      <c r="DS455" s="644"/>
      <c r="DT455" s="644"/>
      <c r="DU455" s="644"/>
      <c r="DV455" s="644"/>
      <c r="DW455" s="101"/>
      <c r="DX455" s="646"/>
      <c r="DY455" s="646"/>
      <c r="DZ455" s="646"/>
      <c r="EA455" s="646"/>
      <c r="EB455" s="646"/>
      <c r="EC455" s="646"/>
      <c r="ED455" s="646"/>
      <c r="EE455" s="646"/>
      <c r="EF455" s="646"/>
      <c r="EG455" s="646"/>
      <c r="EH455" s="646"/>
      <c r="EI455" s="646"/>
      <c r="EJ455" s="646"/>
      <c r="EK455" s="271"/>
      <c r="EL455" s="644"/>
      <c r="EM455" s="634"/>
      <c r="EN455" s="647"/>
      <c r="EO455" s="648"/>
      <c r="EP455" s="647"/>
      <c r="EQ455" s="647"/>
      <c r="ER455" s="647"/>
      <c r="ES455" s="139"/>
      <c r="EV455" s="647"/>
      <c r="EW455" s="647"/>
      <c r="EX455" s="647"/>
      <c r="EY455" s="647"/>
      <c r="EZ455" s="647"/>
      <c r="FA455" s="646"/>
      <c r="FB455" s="646"/>
      <c r="FC455" s="646"/>
      <c r="FD455" s="646"/>
      <c r="FE455" s="646"/>
      <c r="FF455" s="646"/>
      <c r="FG455" s="647"/>
      <c r="FH455" s="647"/>
      <c r="FI455" s="647"/>
      <c r="FJ455" s="647"/>
      <c r="FK455" s="647"/>
      <c r="FL455" s="647"/>
      <c r="FM455" s="647"/>
      <c r="FN455" s="647"/>
      <c r="FO455" s="647"/>
      <c r="FP455" s="647"/>
      <c r="FQ455" s="647"/>
      <c r="FR455" s="647"/>
      <c r="FS455" s="101"/>
      <c r="FT455" s="95"/>
      <c r="FU455" s="651"/>
      <c r="FV455" s="101"/>
      <c r="FW455" s="101"/>
      <c r="FX455" s="634"/>
      <c r="FY455" s="634"/>
      <c r="FZ455" s="634"/>
      <c r="GA455" s="634"/>
      <c r="GB455" s="634"/>
      <c r="GC455" s="634"/>
      <c r="GD455" s="634"/>
      <c r="GE455" s="634"/>
      <c r="GF455" s="634"/>
      <c r="GG455" s="634"/>
      <c r="GH455" s="634"/>
      <c r="GI455" s="634"/>
      <c r="GJ455" s="634"/>
      <c r="GK455" s="634"/>
      <c r="GL455" s="101"/>
      <c r="GM455" s="101"/>
      <c r="GN455" s="101"/>
      <c r="GO455" s="643"/>
      <c r="GP455" s="644"/>
      <c r="GQ455" s="643"/>
      <c r="GR455" s="644"/>
      <c r="GS455" s="643"/>
      <c r="GT455" s="644"/>
      <c r="GU455" s="644"/>
      <c r="GV455" s="644"/>
      <c r="GW455" s="644"/>
      <c r="GX455" s="644"/>
      <c r="GY455" s="644"/>
      <c r="GZ455" s="644"/>
      <c r="HA455" s="644"/>
    </row>
    <row r="456" spans="1:209">
      <c r="A456" s="638"/>
      <c r="B456" s="95"/>
      <c r="C456" s="95"/>
      <c r="D456" s="95"/>
      <c r="E456" s="650"/>
      <c r="F456" s="95"/>
      <c r="G456" s="98"/>
      <c r="H456" s="99"/>
      <c r="I456" s="95"/>
      <c r="J456" s="95"/>
      <c r="K456" s="95"/>
      <c r="L456" s="95"/>
      <c r="M456" s="95"/>
      <c r="N456" s="95"/>
      <c r="O456" s="95"/>
      <c r="P456" s="95"/>
      <c r="Q456" s="95"/>
      <c r="R456" s="98"/>
      <c r="S456" s="101"/>
      <c r="T456" s="644"/>
      <c r="U456" s="101"/>
      <c r="V456" s="647"/>
      <c r="W456" s="643"/>
      <c r="X456" s="644"/>
      <c r="Y456" s="101"/>
      <c r="Z456" s="644"/>
      <c r="AA456" s="101"/>
      <c r="AB456" s="644"/>
      <c r="AC456" s="101"/>
      <c r="AD456" s="646"/>
      <c r="AE456" s="271"/>
      <c r="AF456" s="646"/>
      <c r="AG456" s="646"/>
      <c r="AH456" s="646"/>
      <c r="AI456" s="646"/>
      <c r="AJ456" s="646"/>
      <c r="AK456" s="646"/>
      <c r="AL456" s="646"/>
      <c r="AM456" s="271"/>
      <c r="AN456" s="646"/>
      <c r="AO456" s="646"/>
      <c r="AP456" s="646"/>
      <c r="AQ456" s="271"/>
      <c r="AR456" s="646"/>
      <c r="AS456" s="270"/>
      <c r="AT456" s="646"/>
      <c r="AU456" s="646"/>
      <c r="AV456" s="646"/>
      <c r="AW456" s="270"/>
      <c r="AX456" s="646"/>
      <c r="AY456" s="270"/>
      <c r="AZ456" s="646"/>
      <c r="BA456" s="646"/>
      <c r="BB456" s="644"/>
      <c r="BC456" s="644"/>
      <c r="BD456" s="644"/>
      <c r="BE456" s="644"/>
      <c r="BF456" s="644"/>
      <c r="BG456" s="644"/>
      <c r="BH456" s="644"/>
      <c r="BI456" s="644"/>
      <c r="BJ456" s="644"/>
      <c r="BK456" s="644"/>
      <c r="BL456" s="644"/>
      <c r="BM456" s="95"/>
      <c r="BN456" s="644"/>
      <c r="BO456" s="95"/>
      <c r="BP456" s="644"/>
      <c r="BQ456" s="644"/>
      <c r="BR456" s="644"/>
      <c r="BS456" s="644"/>
      <c r="BT456" s="644"/>
      <c r="BU456" s="644"/>
      <c r="BV456" s="644"/>
      <c r="BW456" s="644"/>
      <c r="BX456" s="644"/>
      <c r="BY456" s="644"/>
      <c r="BZ456" s="644"/>
      <c r="CA456" s="644"/>
      <c r="CB456" s="644"/>
      <c r="CC456" s="644"/>
      <c r="CD456" s="644"/>
      <c r="CE456" s="644"/>
      <c r="CF456" s="644"/>
      <c r="CG456" s="644"/>
      <c r="CH456" s="644"/>
      <c r="CI456" s="644"/>
      <c r="CJ456" s="644"/>
      <c r="CK456" s="644"/>
      <c r="CL456" s="644"/>
      <c r="CM456" s="95"/>
      <c r="CN456" s="644"/>
      <c r="CO456" s="644"/>
      <c r="CP456" s="95"/>
      <c r="CQ456" s="98"/>
      <c r="CR456" s="95"/>
      <c r="CS456" s="95"/>
      <c r="CT456" s="95"/>
      <c r="CU456" s="108"/>
      <c r="CV456" s="109"/>
      <c r="CW456" s="644"/>
      <c r="CX456" s="496"/>
      <c r="CY456" s="637"/>
      <c r="CZ456" s="644"/>
      <c r="DA456" s="644"/>
      <c r="DB456" s="644"/>
      <c r="DC456" s="496"/>
      <c r="DD456" s="644"/>
      <c r="DE456" s="101"/>
      <c r="DF456" s="644"/>
      <c r="DG456" s="101"/>
      <c r="DH456" s="644"/>
      <c r="DI456" s="644"/>
      <c r="DJ456" s="644"/>
      <c r="DK456" s="644"/>
      <c r="DL456" s="644"/>
      <c r="DM456" s="101"/>
      <c r="DN456" s="644"/>
      <c r="DO456" s="644"/>
      <c r="DP456" s="644"/>
      <c r="DQ456" s="644"/>
      <c r="DR456" s="644"/>
      <c r="DS456" s="644"/>
      <c r="DT456" s="644"/>
      <c r="DU456" s="644"/>
      <c r="DV456" s="644"/>
      <c r="DW456" s="101"/>
      <c r="DX456" s="646"/>
      <c r="DY456" s="646"/>
      <c r="DZ456" s="646"/>
      <c r="EA456" s="646"/>
      <c r="EB456" s="646"/>
      <c r="EC456" s="646"/>
      <c r="ED456" s="646"/>
      <c r="EE456" s="646"/>
      <c r="EF456" s="646"/>
      <c r="EG456" s="646"/>
      <c r="EH456" s="646"/>
      <c r="EI456" s="646"/>
      <c r="EJ456" s="646"/>
      <c r="EK456" s="271"/>
      <c r="EL456" s="644"/>
      <c r="EM456" s="634"/>
      <c r="EN456" s="647"/>
      <c r="EO456" s="648"/>
      <c r="EP456" s="647"/>
      <c r="EQ456" s="647"/>
      <c r="ER456" s="647"/>
      <c r="ES456" s="139"/>
      <c r="EV456" s="647"/>
      <c r="EW456" s="647"/>
      <c r="EX456" s="647"/>
      <c r="EY456" s="647"/>
      <c r="EZ456" s="647"/>
      <c r="FA456" s="646"/>
      <c r="FB456" s="646"/>
      <c r="FC456" s="646"/>
      <c r="FD456" s="646"/>
      <c r="FE456" s="646"/>
      <c r="FF456" s="646"/>
      <c r="FG456" s="647"/>
      <c r="FH456" s="647"/>
      <c r="FI456" s="647"/>
      <c r="FJ456" s="647"/>
      <c r="FK456" s="647"/>
      <c r="FL456" s="647"/>
      <c r="FM456" s="647"/>
      <c r="FN456" s="647"/>
      <c r="FO456" s="647"/>
      <c r="FP456" s="647"/>
      <c r="FQ456" s="647"/>
      <c r="FR456" s="647"/>
      <c r="FS456" s="101"/>
      <c r="FT456" s="95"/>
      <c r="FU456" s="651"/>
      <c r="FV456" s="101"/>
      <c r="FW456" s="101"/>
      <c r="FX456" s="634"/>
      <c r="FY456" s="634"/>
      <c r="FZ456" s="634"/>
      <c r="GA456" s="634"/>
      <c r="GB456" s="634"/>
      <c r="GC456" s="634"/>
      <c r="GD456" s="634"/>
      <c r="GE456" s="634"/>
      <c r="GF456" s="634"/>
      <c r="GG456" s="634"/>
      <c r="GH456" s="634"/>
      <c r="GI456" s="634"/>
      <c r="GJ456" s="634"/>
      <c r="GK456" s="634"/>
      <c r="GL456" s="101"/>
      <c r="GM456" s="101"/>
      <c r="GN456" s="101"/>
      <c r="GO456" s="643"/>
      <c r="GP456" s="644"/>
      <c r="GQ456" s="643"/>
      <c r="GR456" s="644"/>
      <c r="GS456" s="643"/>
      <c r="GT456" s="644"/>
      <c r="GU456" s="644"/>
      <c r="GV456" s="644"/>
      <c r="GW456" s="644"/>
      <c r="GX456" s="644"/>
      <c r="GY456" s="644"/>
      <c r="GZ456" s="644"/>
      <c r="HA456" s="644"/>
    </row>
    <row r="457" spans="1:209">
      <c r="A457" s="638"/>
      <c r="B457" s="95"/>
      <c r="C457" s="95"/>
      <c r="D457" s="95"/>
      <c r="E457" s="650"/>
      <c r="F457" s="95"/>
      <c r="G457" s="98"/>
      <c r="H457" s="99"/>
      <c r="I457" s="95"/>
      <c r="J457" s="95"/>
      <c r="K457" s="95"/>
      <c r="L457" s="95"/>
      <c r="M457" s="95"/>
      <c r="N457" s="95"/>
      <c r="O457" s="95"/>
      <c r="P457" s="95"/>
      <c r="Q457" s="95"/>
      <c r="R457" s="98"/>
      <c r="S457" s="101"/>
      <c r="T457" s="644"/>
      <c r="U457" s="101"/>
      <c r="V457" s="647"/>
      <c r="W457" s="643"/>
      <c r="X457" s="644"/>
      <c r="Y457" s="101"/>
      <c r="Z457" s="644"/>
      <c r="AA457" s="101"/>
      <c r="AB457" s="644"/>
      <c r="AC457" s="101"/>
      <c r="AD457" s="646"/>
      <c r="AE457" s="271"/>
      <c r="AF457" s="646"/>
      <c r="AG457" s="646"/>
      <c r="AH457" s="646"/>
      <c r="AI457" s="646"/>
      <c r="AJ457" s="646"/>
      <c r="AK457" s="646"/>
      <c r="AL457" s="646"/>
      <c r="AM457" s="271"/>
      <c r="AN457" s="646"/>
      <c r="AO457" s="646"/>
      <c r="AP457" s="646"/>
      <c r="AQ457" s="271"/>
      <c r="AR457" s="646"/>
      <c r="AS457" s="270"/>
      <c r="AT457" s="646"/>
      <c r="AU457" s="646"/>
      <c r="AV457" s="646"/>
      <c r="AW457" s="270"/>
      <c r="AX457" s="646"/>
      <c r="AY457" s="270"/>
      <c r="AZ457" s="646"/>
      <c r="BA457" s="646"/>
      <c r="BB457" s="644"/>
      <c r="BC457" s="644"/>
      <c r="BD457" s="644"/>
      <c r="BE457" s="644"/>
      <c r="BF457" s="644"/>
      <c r="BG457" s="644"/>
      <c r="BH457" s="644"/>
      <c r="BI457" s="644"/>
      <c r="BJ457" s="644"/>
      <c r="BK457" s="644"/>
      <c r="BL457" s="644"/>
      <c r="BM457" s="95"/>
      <c r="BN457" s="644"/>
      <c r="BO457" s="95"/>
      <c r="BP457" s="644"/>
      <c r="BQ457" s="644"/>
      <c r="BR457" s="644"/>
      <c r="BS457" s="644"/>
      <c r="BT457" s="644"/>
      <c r="BU457" s="644"/>
      <c r="BV457" s="644"/>
      <c r="BW457" s="644"/>
      <c r="BX457" s="644"/>
      <c r="BY457" s="644"/>
      <c r="BZ457" s="644"/>
      <c r="CA457" s="644"/>
      <c r="CB457" s="644"/>
      <c r="CC457" s="644"/>
      <c r="CD457" s="644"/>
      <c r="CE457" s="644"/>
      <c r="CF457" s="644"/>
      <c r="CG457" s="644"/>
      <c r="CH457" s="644"/>
      <c r="CI457" s="644"/>
      <c r="CJ457" s="644"/>
      <c r="CK457" s="644"/>
      <c r="CL457" s="644"/>
      <c r="CM457" s="95"/>
      <c r="CN457" s="644"/>
      <c r="CO457" s="644"/>
      <c r="CP457" s="95"/>
      <c r="CQ457" s="98"/>
      <c r="CR457" s="95"/>
      <c r="CS457" s="95"/>
      <c r="CT457" s="95"/>
      <c r="CU457" s="108"/>
      <c r="CV457" s="109"/>
      <c r="CW457" s="644"/>
      <c r="CX457" s="496"/>
      <c r="CY457" s="637"/>
      <c r="CZ457" s="644"/>
      <c r="DA457" s="644"/>
      <c r="DB457" s="644"/>
      <c r="DC457" s="496"/>
      <c r="DD457" s="644"/>
      <c r="DE457" s="101"/>
      <c r="DF457" s="644"/>
      <c r="DG457" s="101"/>
      <c r="DH457" s="644"/>
      <c r="DI457" s="644"/>
      <c r="DJ457" s="644"/>
      <c r="DK457" s="644"/>
      <c r="DL457" s="644"/>
      <c r="DM457" s="101"/>
      <c r="DN457" s="644"/>
      <c r="DO457" s="644"/>
      <c r="DP457" s="644"/>
      <c r="DQ457" s="644"/>
      <c r="DR457" s="644"/>
      <c r="DS457" s="644"/>
      <c r="DT457" s="644"/>
      <c r="DU457" s="644"/>
      <c r="DV457" s="644"/>
      <c r="DW457" s="101"/>
      <c r="DX457" s="646"/>
      <c r="DY457" s="646"/>
      <c r="DZ457" s="646"/>
      <c r="EA457" s="646"/>
      <c r="EB457" s="646"/>
      <c r="EC457" s="646"/>
      <c r="ED457" s="646"/>
      <c r="EE457" s="646"/>
      <c r="EF457" s="646"/>
      <c r="EG457" s="646"/>
      <c r="EH457" s="646"/>
      <c r="EI457" s="646"/>
      <c r="EJ457" s="646"/>
      <c r="EK457" s="271"/>
      <c r="EL457" s="644"/>
      <c r="EM457" s="634"/>
      <c r="EN457" s="647"/>
      <c r="EO457" s="648"/>
      <c r="EP457" s="647"/>
      <c r="EQ457" s="647"/>
      <c r="ER457" s="647"/>
      <c r="ES457" s="139"/>
      <c r="EV457" s="647"/>
      <c r="EW457" s="647"/>
      <c r="EX457" s="647"/>
      <c r="EY457" s="647"/>
      <c r="EZ457" s="647"/>
      <c r="FA457" s="646"/>
      <c r="FB457" s="646"/>
      <c r="FC457" s="646"/>
      <c r="FD457" s="646"/>
      <c r="FE457" s="646"/>
      <c r="FF457" s="646"/>
      <c r="FG457" s="647"/>
      <c r="FH457" s="647"/>
      <c r="FI457" s="647"/>
      <c r="FJ457" s="647"/>
      <c r="FK457" s="647"/>
      <c r="FL457" s="647"/>
      <c r="FM457" s="647"/>
      <c r="FN457" s="647"/>
      <c r="FO457" s="647"/>
      <c r="FP457" s="647"/>
      <c r="FQ457" s="647"/>
      <c r="FR457" s="647"/>
      <c r="FS457" s="101"/>
      <c r="FT457" s="95"/>
      <c r="FU457" s="651"/>
      <c r="FV457" s="101"/>
      <c r="FW457" s="101"/>
      <c r="FX457" s="634"/>
      <c r="FY457" s="634"/>
      <c r="FZ457" s="634"/>
      <c r="GA457" s="634"/>
      <c r="GB457" s="634"/>
      <c r="GC457" s="634"/>
      <c r="GD457" s="634"/>
      <c r="GE457" s="634"/>
      <c r="GF457" s="634"/>
      <c r="GG457" s="634"/>
      <c r="GH457" s="634"/>
      <c r="GI457" s="634"/>
      <c r="GJ457" s="634"/>
      <c r="GK457" s="634"/>
      <c r="GL457" s="101"/>
      <c r="GM457" s="101"/>
      <c r="GN457" s="101"/>
      <c r="GO457" s="643"/>
      <c r="GP457" s="644"/>
      <c r="GQ457" s="643"/>
      <c r="GR457" s="644"/>
      <c r="GS457" s="643"/>
      <c r="GT457" s="644"/>
      <c r="GU457" s="644"/>
      <c r="GV457" s="644"/>
      <c r="GW457" s="644"/>
      <c r="GX457" s="644"/>
      <c r="GY457" s="644"/>
      <c r="GZ457" s="644"/>
      <c r="HA457" s="644"/>
    </row>
    <row r="458" spans="1:209">
      <c r="A458" s="638"/>
      <c r="B458" s="95"/>
      <c r="C458" s="95"/>
      <c r="D458" s="95"/>
      <c r="E458" s="650"/>
      <c r="F458" s="95"/>
      <c r="G458" s="98"/>
      <c r="H458" s="99"/>
      <c r="I458" s="95"/>
      <c r="J458" s="95"/>
      <c r="K458" s="95"/>
      <c r="L458" s="95"/>
      <c r="M458" s="95"/>
      <c r="N458" s="95"/>
      <c r="O458" s="95"/>
      <c r="P458" s="95"/>
      <c r="Q458" s="95"/>
      <c r="R458" s="98"/>
      <c r="S458" s="101"/>
      <c r="T458" s="644"/>
      <c r="U458" s="101"/>
      <c r="V458" s="647"/>
      <c r="W458" s="643"/>
      <c r="X458" s="644"/>
      <c r="Y458" s="101"/>
      <c r="Z458" s="644"/>
      <c r="AA458" s="101"/>
      <c r="AB458" s="644"/>
      <c r="AC458" s="101"/>
      <c r="AD458" s="646"/>
      <c r="AE458" s="271"/>
      <c r="AF458" s="646"/>
      <c r="AG458" s="646"/>
      <c r="AH458" s="646"/>
      <c r="AI458" s="646"/>
      <c r="AJ458" s="646"/>
      <c r="AK458" s="646"/>
      <c r="AL458" s="646"/>
      <c r="AM458" s="271"/>
      <c r="AN458" s="646"/>
      <c r="AO458" s="646"/>
      <c r="AP458" s="646"/>
      <c r="AQ458" s="271"/>
      <c r="AR458" s="646"/>
      <c r="AS458" s="270"/>
      <c r="AT458" s="646"/>
      <c r="AU458" s="646"/>
      <c r="AV458" s="646"/>
      <c r="AW458" s="270"/>
      <c r="AX458" s="646"/>
      <c r="AY458" s="270"/>
      <c r="AZ458" s="646"/>
      <c r="BA458" s="646"/>
      <c r="BB458" s="644"/>
      <c r="BC458" s="644"/>
      <c r="BD458" s="644"/>
      <c r="BE458" s="644"/>
      <c r="BF458" s="644"/>
      <c r="BG458" s="644"/>
      <c r="BH458" s="644"/>
      <c r="BI458" s="644"/>
      <c r="BJ458" s="644"/>
      <c r="BK458" s="644"/>
      <c r="BL458" s="644"/>
      <c r="BM458" s="95"/>
      <c r="BN458" s="644"/>
      <c r="BO458" s="95"/>
      <c r="BP458" s="644"/>
      <c r="BQ458" s="644"/>
      <c r="BR458" s="644"/>
      <c r="BS458" s="644"/>
      <c r="BT458" s="644"/>
      <c r="BU458" s="644"/>
      <c r="BV458" s="644"/>
      <c r="BW458" s="644"/>
      <c r="BX458" s="644"/>
      <c r="BY458" s="644"/>
      <c r="BZ458" s="644"/>
      <c r="CA458" s="644"/>
      <c r="CB458" s="644"/>
      <c r="CC458" s="644"/>
      <c r="CD458" s="644"/>
      <c r="CE458" s="644"/>
      <c r="CF458" s="644"/>
      <c r="CG458" s="644"/>
      <c r="CH458" s="644"/>
      <c r="CI458" s="644"/>
      <c r="CJ458" s="644"/>
      <c r="CK458" s="644"/>
      <c r="CL458" s="644"/>
      <c r="CM458" s="95"/>
      <c r="CN458" s="644"/>
      <c r="CO458" s="644"/>
      <c r="CP458" s="95"/>
      <c r="CQ458" s="98"/>
      <c r="CR458" s="95"/>
      <c r="CS458" s="95"/>
      <c r="CT458" s="95"/>
      <c r="CU458" s="108"/>
      <c r="CV458" s="109"/>
      <c r="CW458" s="644"/>
      <c r="CX458" s="496"/>
      <c r="CY458" s="637"/>
      <c r="CZ458" s="644"/>
      <c r="DA458" s="644"/>
      <c r="DB458" s="644"/>
      <c r="DC458" s="496"/>
      <c r="DD458" s="644"/>
      <c r="DE458" s="101"/>
      <c r="DF458" s="644"/>
      <c r="DG458" s="101"/>
      <c r="DH458" s="644"/>
      <c r="DI458" s="644"/>
      <c r="DJ458" s="644"/>
      <c r="DK458" s="644"/>
      <c r="DL458" s="644"/>
      <c r="DM458" s="101"/>
      <c r="DN458" s="644"/>
      <c r="DO458" s="644"/>
      <c r="DP458" s="644"/>
      <c r="DQ458" s="644"/>
      <c r="DR458" s="644"/>
      <c r="DS458" s="644"/>
      <c r="DT458" s="644"/>
      <c r="DU458" s="644"/>
      <c r="DV458" s="644"/>
      <c r="DW458" s="101"/>
      <c r="DX458" s="646"/>
      <c r="DY458" s="646"/>
      <c r="DZ458" s="646"/>
      <c r="EA458" s="646"/>
      <c r="EB458" s="646"/>
      <c r="EC458" s="646"/>
      <c r="ED458" s="646"/>
      <c r="EE458" s="646"/>
      <c r="EF458" s="646"/>
      <c r="EG458" s="646"/>
      <c r="EH458" s="646"/>
      <c r="EI458" s="646"/>
      <c r="EJ458" s="646"/>
      <c r="EK458" s="271"/>
      <c r="EL458" s="644"/>
      <c r="EM458" s="634"/>
      <c r="EN458" s="647"/>
      <c r="EO458" s="648"/>
      <c r="EP458" s="647"/>
      <c r="EQ458" s="647"/>
      <c r="ER458" s="647"/>
      <c r="ES458" s="139"/>
      <c r="EV458" s="647"/>
      <c r="EW458" s="647"/>
      <c r="EX458" s="647"/>
      <c r="EY458" s="647"/>
      <c r="EZ458" s="647"/>
      <c r="FA458" s="646"/>
      <c r="FB458" s="646"/>
      <c r="FC458" s="646"/>
      <c r="FD458" s="646"/>
      <c r="FE458" s="646"/>
      <c r="FF458" s="646"/>
      <c r="FG458" s="647"/>
      <c r="FH458" s="647"/>
      <c r="FI458" s="647"/>
      <c r="FJ458" s="647"/>
      <c r="FK458" s="647"/>
      <c r="FL458" s="647"/>
      <c r="FM458" s="647"/>
      <c r="FN458" s="647"/>
      <c r="FO458" s="647"/>
      <c r="FP458" s="647"/>
      <c r="FQ458" s="647"/>
      <c r="FR458" s="647"/>
      <c r="FS458" s="101"/>
      <c r="FT458" s="95"/>
      <c r="FU458" s="651"/>
      <c r="FV458" s="101"/>
      <c r="FW458" s="101"/>
      <c r="FX458" s="634"/>
      <c r="FY458" s="634"/>
      <c r="FZ458" s="634"/>
      <c r="GA458" s="634"/>
      <c r="GB458" s="634"/>
      <c r="GC458" s="634"/>
      <c r="GD458" s="634"/>
      <c r="GE458" s="634"/>
      <c r="GF458" s="634"/>
      <c r="GG458" s="634"/>
      <c r="GH458" s="634"/>
      <c r="GI458" s="634"/>
      <c r="GJ458" s="634"/>
      <c r="GK458" s="634"/>
      <c r="GL458" s="101"/>
      <c r="GM458" s="101"/>
      <c r="GN458" s="101"/>
      <c r="GO458" s="643"/>
      <c r="GP458" s="644"/>
      <c r="GQ458" s="643"/>
      <c r="GR458" s="644"/>
      <c r="GS458" s="643"/>
      <c r="GT458" s="644"/>
      <c r="GU458" s="644"/>
      <c r="GV458" s="644"/>
      <c r="GW458" s="644"/>
      <c r="GX458" s="644"/>
      <c r="GY458" s="644"/>
      <c r="GZ458" s="644"/>
      <c r="HA458" s="644"/>
    </row>
    <row r="459" spans="1:209">
      <c r="A459" s="638"/>
      <c r="B459" s="95"/>
      <c r="C459" s="95"/>
      <c r="D459" s="95"/>
      <c r="E459" s="650"/>
      <c r="F459" s="95"/>
      <c r="G459" s="98"/>
      <c r="H459" s="99"/>
      <c r="I459" s="95"/>
      <c r="J459" s="95"/>
      <c r="K459" s="95"/>
      <c r="L459" s="95"/>
      <c r="M459" s="95"/>
      <c r="N459" s="95"/>
      <c r="O459" s="95"/>
      <c r="P459" s="95"/>
      <c r="Q459" s="95"/>
      <c r="R459" s="98"/>
      <c r="S459" s="101"/>
      <c r="T459" s="644"/>
      <c r="U459" s="101"/>
      <c r="V459" s="647"/>
      <c r="W459" s="643"/>
      <c r="X459" s="644"/>
      <c r="Y459" s="101"/>
      <c r="Z459" s="644"/>
      <c r="AA459" s="101"/>
      <c r="AB459" s="644"/>
      <c r="AC459" s="101"/>
      <c r="AD459" s="646"/>
      <c r="AE459" s="271"/>
      <c r="AF459" s="646"/>
      <c r="AG459" s="646"/>
      <c r="AH459" s="646"/>
      <c r="AI459" s="646"/>
      <c r="AJ459" s="646"/>
      <c r="AK459" s="646"/>
      <c r="AL459" s="646"/>
      <c r="AM459" s="271"/>
      <c r="AN459" s="646"/>
      <c r="AO459" s="646"/>
      <c r="AP459" s="646"/>
      <c r="AQ459" s="271"/>
      <c r="AR459" s="646"/>
      <c r="AS459" s="270"/>
      <c r="AT459" s="646"/>
      <c r="AU459" s="646"/>
      <c r="AV459" s="646"/>
      <c r="AW459" s="270"/>
      <c r="AX459" s="646"/>
      <c r="AY459" s="270"/>
      <c r="AZ459" s="646"/>
      <c r="BA459" s="646"/>
      <c r="BB459" s="644"/>
      <c r="BC459" s="644"/>
      <c r="BD459" s="644"/>
      <c r="BE459" s="644"/>
      <c r="BF459" s="644"/>
      <c r="BG459" s="644"/>
      <c r="BH459" s="644"/>
      <c r="BI459" s="644"/>
      <c r="BJ459" s="644"/>
      <c r="BK459" s="644"/>
      <c r="BL459" s="644"/>
      <c r="BM459" s="95"/>
      <c r="BN459" s="644"/>
      <c r="BO459" s="95"/>
      <c r="BP459" s="644"/>
      <c r="BQ459" s="644"/>
      <c r="BR459" s="644"/>
      <c r="BS459" s="644"/>
      <c r="BT459" s="644"/>
      <c r="BU459" s="644"/>
      <c r="BV459" s="644"/>
      <c r="BW459" s="644"/>
      <c r="BX459" s="644"/>
      <c r="BY459" s="644"/>
      <c r="BZ459" s="644"/>
      <c r="CA459" s="644"/>
      <c r="CB459" s="644"/>
      <c r="CC459" s="644"/>
      <c r="CD459" s="644"/>
      <c r="CE459" s="644"/>
      <c r="CF459" s="644"/>
      <c r="CG459" s="644"/>
      <c r="CH459" s="644"/>
      <c r="CI459" s="644"/>
      <c r="CJ459" s="644"/>
      <c r="CK459" s="644"/>
      <c r="CL459" s="644"/>
      <c r="CM459" s="95"/>
      <c r="CN459" s="644"/>
      <c r="CO459" s="644"/>
      <c r="CP459" s="95"/>
      <c r="CQ459" s="98"/>
      <c r="CR459" s="95"/>
      <c r="CS459" s="95"/>
      <c r="CT459" s="95"/>
      <c r="CU459" s="108"/>
      <c r="CV459" s="109"/>
      <c r="CW459" s="644"/>
      <c r="CX459" s="496"/>
      <c r="CY459" s="637"/>
      <c r="CZ459" s="644"/>
      <c r="DA459" s="644"/>
      <c r="DB459" s="644"/>
      <c r="DC459" s="496"/>
      <c r="DD459" s="644"/>
      <c r="DE459" s="101"/>
      <c r="DF459" s="644"/>
      <c r="DG459" s="101"/>
      <c r="DH459" s="644"/>
      <c r="DI459" s="644"/>
      <c r="DJ459" s="644"/>
      <c r="DK459" s="644"/>
      <c r="DL459" s="644"/>
      <c r="DM459" s="101"/>
      <c r="DN459" s="644"/>
      <c r="DO459" s="644"/>
      <c r="DP459" s="644"/>
      <c r="DQ459" s="644"/>
      <c r="DR459" s="644"/>
      <c r="DS459" s="644"/>
      <c r="DT459" s="644"/>
      <c r="DU459" s="644"/>
      <c r="DV459" s="644"/>
      <c r="DW459" s="101"/>
      <c r="DX459" s="646"/>
      <c r="DY459" s="646"/>
      <c r="DZ459" s="646"/>
      <c r="EA459" s="646"/>
      <c r="EB459" s="646"/>
      <c r="EC459" s="646"/>
      <c r="ED459" s="646"/>
      <c r="EE459" s="646"/>
      <c r="EF459" s="646"/>
      <c r="EG459" s="646"/>
      <c r="EH459" s="646"/>
      <c r="EI459" s="646"/>
      <c r="EJ459" s="646"/>
      <c r="EK459" s="271"/>
      <c r="EL459" s="644"/>
      <c r="EM459" s="634"/>
      <c r="EN459" s="647"/>
      <c r="EO459" s="648"/>
      <c r="EP459" s="647"/>
      <c r="EQ459" s="647"/>
      <c r="ER459" s="647"/>
      <c r="ES459" s="139"/>
      <c r="EV459" s="647"/>
      <c r="EW459" s="647"/>
      <c r="EX459" s="647"/>
      <c r="EY459" s="647"/>
      <c r="EZ459" s="647"/>
      <c r="FA459" s="646"/>
      <c r="FB459" s="646"/>
      <c r="FC459" s="646"/>
      <c r="FD459" s="646"/>
      <c r="FE459" s="646"/>
      <c r="FF459" s="646"/>
      <c r="FG459" s="647"/>
      <c r="FH459" s="647"/>
      <c r="FI459" s="647"/>
      <c r="FJ459" s="647"/>
      <c r="FK459" s="647"/>
      <c r="FL459" s="647"/>
      <c r="FM459" s="647"/>
      <c r="FN459" s="647"/>
      <c r="FO459" s="647"/>
      <c r="FP459" s="647"/>
      <c r="FQ459" s="647"/>
      <c r="FR459" s="647"/>
      <c r="FS459" s="101"/>
      <c r="FT459" s="95"/>
      <c r="FU459" s="651"/>
      <c r="FV459" s="101"/>
      <c r="FW459" s="101"/>
      <c r="FX459" s="634"/>
      <c r="FY459" s="634"/>
      <c r="FZ459" s="634"/>
      <c r="GA459" s="634"/>
      <c r="GB459" s="634"/>
      <c r="GC459" s="634"/>
      <c r="GD459" s="634"/>
      <c r="GE459" s="634"/>
      <c r="GF459" s="634"/>
      <c r="GG459" s="634"/>
      <c r="GH459" s="634"/>
      <c r="GI459" s="634"/>
      <c r="GJ459" s="634"/>
      <c r="GK459" s="634"/>
      <c r="GL459" s="101"/>
      <c r="GM459" s="101"/>
      <c r="GN459" s="101"/>
      <c r="GO459" s="643"/>
      <c r="GP459" s="644"/>
      <c r="GQ459" s="643"/>
      <c r="GR459" s="644"/>
      <c r="GS459" s="643"/>
      <c r="GT459" s="644"/>
      <c r="GU459" s="644"/>
      <c r="GV459" s="644"/>
      <c r="GW459" s="644"/>
      <c r="GX459" s="644"/>
      <c r="GY459" s="644"/>
      <c r="GZ459" s="644"/>
      <c r="HA459" s="644"/>
    </row>
    <row r="460" spans="1:209">
      <c r="A460" s="638"/>
      <c r="B460" s="95"/>
      <c r="C460" s="95"/>
      <c r="D460" s="95"/>
      <c r="E460" s="650"/>
      <c r="F460" s="95"/>
      <c r="G460" s="98"/>
      <c r="H460" s="99"/>
      <c r="I460" s="95"/>
      <c r="J460" s="95"/>
      <c r="K460" s="95"/>
      <c r="L460" s="95"/>
      <c r="M460" s="95"/>
      <c r="N460" s="95"/>
      <c r="O460" s="95"/>
      <c r="P460" s="95"/>
      <c r="Q460" s="95"/>
      <c r="R460" s="98"/>
      <c r="S460" s="101"/>
      <c r="T460" s="644"/>
      <c r="U460" s="101"/>
      <c r="V460" s="647"/>
      <c r="W460" s="643"/>
      <c r="X460" s="644"/>
      <c r="Y460" s="101"/>
      <c r="Z460" s="644"/>
      <c r="AA460" s="101"/>
      <c r="AB460" s="644"/>
      <c r="AC460" s="101"/>
      <c r="AD460" s="646"/>
      <c r="AE460" s="271"/>
      <c r="AF460" s="646"/>
      <c r="AG460" s="646"/>
      <c r="AH460" s="646"/>
      <c r="AI460" s="646"/>
      <c r="AJ460" s="646"/>
      <c r="AK460" s="646"/>
      <c r="AL460" s="646"/>
      <c r="AM460" s="271"/>
      <c r="AN460" s="646"/>
      <c r="AO460" s="646"/>
      <c r="AP460" s="646"/>
      <c r="AQ460" s="271"/>
      <c r="AR460" s="646"/>
      <c r="AS460" s="270"/>
      <c r="AT460" s="646"/>
      <c r="AU460" s="646"/>
      <c r="AV460" s="646"/>
      <c r="AW460" s="270"/>
      <c r="AX460" s="646"/>
      <c r="AY460" s="270"/>
      <c r="AZ460" s="646"/>
      <c r="BA460" s="646"/>
      <c r="BB460" s="644"/>
      <c r="BC460" s="644"/>
      <c r="BD460" s="644"/>
      <c r="BE460" s="644"/>
      <c r="BF460" s="644"/>
      <c r="BG460" s="644"/>
      <c r="BH460" s="644"/>
      <c r="BI460" s="644"/>
      <c r="BJ460" s="644"/>
      <c r="BK460" s="644"/>
      <c r="BL460" s="644"/>
      <c r="BM460" s="95"/>
      <c r="BN460" s="644"/>
      <c r="BO460" s="95"/>
      <c r="BP460" s="644"/>
      <c r="BQ460" s="644"/>
      <c r="BR460" s="644"/>
      <c r="BS460" s="644"/>
      <c r="BT460" s="644"/>
      <c r="BU460" s="644"/>
      <c r="BV460" s="644"/>
      <c r="BW460" s="644"/>
      <c r="BX460" s="644"/>
      <c r="BY460" s="644"/>
      <c r="BZ460" s="644"/>
      <c r="CA460" s="644"/>
      <c r="CB460" s="644"/>
      <c r="CC460" s="644"/>
      <c r="CD460" s="644"/>
      <c r="CE460" s="644"/>
      <c r="CF460" s="644"/>
      <c r="CG460" s="644"/>
      <c r="CH460" s="644"/>
      <c r="CI460" s="644"/>
      <c r="CJ460" s="644"/>
      <c r="CK460" s="644"/>
      <c r="CL460" s="644"/>
      <c r="CM460" s="95"/>
      <c r="CN460" s="644"/>
      <c r="CO460" s="644"/>
      <c r="CP460" s="95"/>
      <c r="CQ460" s="98"/>
      <c r="CR460" s="95"/>
      <c r="CS460" s="95"/>
      <c r="CT460" s="95"/>
      <c r="CU460" s="108"/>
      <c r="CV460" s="109"/>
      <c r="CW460" s="644"/>
      <c r="CX460" s="496"/>
      <c r="CY460" s="637"/>
      <c r="CZ460" s="644"/>
      <c r="DA460" s="644"/>
      <c r="DB460" s="644"/>
      <c r="DC460" s="496"/>
      <c r="DD460" s="644"/>
      <c r="DE460" s="101"/>
      <c r="DF460" s="644"/>
      <c r="DG460" s="101"/>
      <c r="DH460" s="644"/>
      <c r="DI460" s="644"/>
      <c r="DJ460" s="644"/>
      <c r="DK460" s="644"/>
      <c r="DL460" s="644"/>
      <c r="DM460" s="101"/>
      <c r="DN460" s="644"/>
      <c r="DO460" s="644"/>
      <c r="DP460" s="644"/>
      <c r="DQ460" s="644"/>
      <c r="DR460" s="644"/>
      <c r="DS460" s="644"/>
      <c r="DT460" s="644"/>
      <c r="DU460" s="644"/>
      <c r="DV460" s="644"/>
      <c r="DW460" s="101"/>
      <c r="DX460" s="646"/>
      <c r="DY460" s="646"/>
      <c r="DZ460" s="646"/>
      <c r="EA460" s="646"/>
      <c r="EB460" s="646"/>
      <c r="EC460" s="646"/>
      <c r="ED460" s="646"/>
      <c r="EE460" s="646"/>
      <c r="EF460" s="646"/>
      <c r="EG460" s="646"/>
      <c r="EH460" s="646"/>
      <c r="EI460" s="646"/>
      <c r="EJ460" s="646"/>
      <c r="EK460" s="271"/>
      <c r="EL460" s="644"/>
      <c r="EM460" s="634"/>
      <c r="EN460" s="647"/>
      <c r="EO460" s="648"/>
      <c r="EP460" s="647"/>
      <c r="EQ460" s="647"/>
      <c r="ER460" s="647"/>
      <c r="ES460" s="139"/>
      <c r="EV460" s="647"/>
      <c r="EW460" s="647"/>
      <c r="EX460" s="647"/>
      <c r="EY460" s="647"/>
      <c r="EZ460" s="647"/>
      <c r="FA460" s="646"/>
      <c r="FB460" s="646"/>
      <c r="FC460" s="646"/>
      <c r="FD460" s="646"/>
      <c r="FE460" s="646"/>
      <c r="FF460" s="646"/>
      <c r="FG460" s="647"/>
      <c r="FH460" s="647"/>
      <c r="FI460" s="647"/>
      <c r="FJ460" s="647"/>
      <c r="FK460" s="647"/>
      <c r="FL460" s="647"/>
      <c r="FM460" s="647"/>
      <c r="FN460" s="647"/>
      <c r="FO460" s="647"/>
      <c r="FP460" s="647"/>
      <c r="FQ460" s="647"/>
      <c r="FR460" s="647"/>
      <c r="FS460" s="101"/>
      <c r="FT460" s="95"/>
      <c r="FU460" s="651"/>
      <c r="FV460" s="101"/>
      <c r="FW460" s="101"/>
      <c r="FX460" s="634"/>
      <c r="FY460" s="634"/>
      <c r="FZ460" s="634"/>
      <c r="GA460" s="634"/>
      <c r="GB460" s="634"/>
      <c r="GC460" s="634"/>
      <c r="GD460" s="634"/>
      <c r="GE460" s="634"/>
      <c r="GF460" s="634"/>
      <c r="GG460" s="634"/>
      <c r="GH460" s="634"/>
      <c r="GI460" s="634"/>
      <c r="GJ460" s="634"/>
      <c r="GK460" s="634"/>
      <c r="GL460" s="101"/>
      <c r="GM460" s="101"/>
      <c r="GN460" s="101"/>
      <c r="GO460" s="643"/>
      <c r="GP460" s="644"/>
      <c r="GQ460" s="643"/>
      <c r="GR460" s="644"/>
      <c r="GS460" s="643"/>
      <c r="GT460" s="644"/>
      <c r="GU460" s="644"/>
      <c r="GV460" s="644"/>
      <c r="GW460" s="644"/>
      <c r="GX460" s="644"/>
      <c r="GY460" s="644"/>
      <c r="GZ460" s="644"/>
      <c r="HA460" s="644"/>
    </row>
    <row r="461" spans="1:209">
      <c r="A461" s="638"/>
      <c r="B461" s="95"/>
      <c r="C461" s="95"/>
      <c r="D461" s="95"/>
      <c r="E461" s="650"/>
      <c r="F461" s="95"/>
      <c r="G461" s="98"/>
      <c r="H461" s="99"/>
      <c r="I461" s="95"/>
      <c r="J461" s="95"/>
      <c r="K461" s="95"/>
      <c r="L461" s="95"/>
      <c r="M461" s="95"/>
      <c r="N461" s="95"/>
      <c r="O461" s="95"/>
      <c r="P461" s="95"/>
      <c r="Q461" s="95"/>
      <c r="R461" s="98"/>
      <c r="S461" s="101"/>
      <c r="T461" s="644"/>
      <c r="U461" s="101"/>
      <c r="V461" s="647"/>
      <c r="W461" s="643"/>
      <c r="X461" s="644"/>
      <c r="Y461" s="101"/>
      <c r="Z461" s="644"/>
      <c r="AA461" s="101"/>
      <c r="AB461" s="644"/>
      <c r="AC461" s="101"/>
      <c r="AD461" s="646"/>
      <c r="AE461" s="271"/>
      <c r="AF461" s="646"/>
      <c r="AG461" s="646"/>
      <c r="AH461" s="646"/>
      <c r="AI461" s="646"/>
      <c r="AJ461" s="646"/>
      <c r="AK461" s="646"/>
      <c r="AL461" s="646"/>
      <c r="AM461" s="271"/>
      <c r="AN461" s="646"/>
      <c r="AO461" s="646"/>
      <c r="AP461" s="646"/>
      <c r="AQ461" s="271"/>
      <c r="AR461" s="646"/>
      <c r="AS461" s="270"/>
      <c r="AT461" s="646"/>
      <c r="AU461" s="646"/>
      <c r="AV461" s="646"/>
      <c r="AW461" s="270"/>
      <c r="AX461" s="646"/>
      <c r="AY461" s="270"/>
      <c r="AZ461" s="646"/>
      <c r="BA461" s="646"/>
      <c r="BB461" s="644"/>
      <c r="BC461" s="644"/>
      <c r="BD461" s="644"/>
      <c r="BE461" s="644"/>
      <c r="BF461" s="644"/>
      <c r="BG461" s="644"/>
      <c r="BH461" s="644"/>
      <c r="BI461" s="644"/>
      <c r="BJ461" s="644"/>
      <c r="BK461" s="644"/>
      <c r="BL461" s="644"/>
      <c r="BM461" s="95"/>
      <c r="BN461" s="644"/>
      <c r="BO461" s="95"/>
      <c r="BP461" s="644"/>
      <c r="BQ461" s="644"/>
      <c r="BR461" s="644"/>
      <c r="BS461" s="644"/>
      <c r="BT461" s="644"/>
      <c r="BU461" s="644"/>
      <c r="BV461" s="644"/>
      <c r="BW461" s="644"/>
      <c r="BX461" s="644"/>
      <c r="BY461" s="644"/>
      <c r="BZ461" s="644"/>
      <c r="CA461" s="644"/>
      <c r="CB461" s="644"/>
      <c r="CC461" s="644"/>
      <c r="CD461" s="644"/>
      <c r="CE461" s="644"/>
      <c r="CF461" s="644"/>
      <c r="CG461" s="644"/>
      <c r="CH461" s="644"/>
      <c r="CI461" s="644"/>
      <c r="CJ461" s="644"/>
      <c r="CK461" s="644"/>
      <c r="CL461" s="644"/>
      <c r="CM461" s="95"/>
      <c r="CN461" s="644"/>
      <c r="CO461" s="644"/>
      <c r="CP461" s="95"/>
      <c r="CQ461" s="98"/>
      <c r="CR461" s="95"/>
      <c r="CS461" s="95"/>
      <c r="CT461" s="95"/>
      <c r="CU461" s="108"/>
      <c r="CV461" s="109"/>
      <c r="CW461" s="644"/>
      <c r="CX461" s="496"/>
      <c r="CY461" s="637"/>
      <c r="CZ461" s="644"/>
      <c r="DA461" s="644"/>
      <c r="DB461" s="644"/>
      <c r="DC461" s="496"/>
      <c r="DD461" s="644"/>
      <c r="DE461" s="101"/>
      <c r="DF461" s="644"/>
      <c r="DG461" s="101"/>
      <c r="DH461" s="644"/>
      <c r="DI461" s="644"/>
      <c r="DJ461" s="644"/>
      <c r="DK461" s="644"/>
      <c r="DL461" s="644"/>
      <c r="DM461" s="101"/>
      <c r="DN461" s="644"/>
      <c r="DO461" s="644"/>
      <c r="DP461" s="644"/>
      <c r="DQ461" s="644"/>
      <c r="DR461" s="644"/>
      <c r="DS461" s="644"/>
      <c r="DT461" s="644"/>
      <c r="DU461" s="644"/>
      <c r="DV461" s="644"/>
      <c r="DW461" s="101"/>
      <c r="DX461" s="646"/>
      <c r="DY461" s="646"/>
      <c r="DZ461" s="646"/>
      <c r="EA461" s="646"/>
      <c r="EB461" s="646"/>
      <c r="EC461" s="646"/>
      <c r="ED461" s="646"/>
      <c r="EE461" s="646"/>
      <c r="EF461" s="646"/>
      <c r="EG461" s="646"/>
      <c r="EH461" s="646"/>
      <c r="EI461" s="646"/>
      <c r="EJ461" s="646"/>
      <c r="EK461" s="271"/>
      <c r="EL461" s="644"/>
      <c r="EM461" s="634"/>
      <c r="EN461" s="647"/>
      <c r="EO461" s="648"/>
      <c r="EP461" s="647"/>
      <c r="EQ461" s="647"/>
      <c r="ER461" s="647"/>
      <c r="ES461" s="139"/>
      <c r="EV461" s="647"/>
      <c r="EW461" s="647"/>
      <c r="EX461" s="647"/>
      <c r="EY461" s="647"/>
      <c r="EZ461" s="647"/>
      <c r="FA461" s="646"/>
      <c r="FB461" s="646"/>
      <c r="FC461" s="646"/>
      <c r="FD461" s="646"/>
      <c r="FE461" s="646"/>
      <c r="FF461" s="646"/>
      <c r="FG461" s="647"/>
      <c r="FH461" s="647"/>
      <c r="FI461" s="647"/>
      <c r="FJ461" s="647"/>
      <c r="FK461" s="647"/>
      <c r="FL461" s="647"/>
      <c r="FM461" s="647"/>
      <c r="FN461" s="647"/>
      <c r="FO461" s="647"/>
      <c r="FP461" s="647"/>
      <c r="FQ461" s="647"/>
      <c r="FR461" s="647"/>
      <c r="FS461" s="101"/>
      <c r="FT461" s="95"/>
      <c r="FU461" s="651"/>
      <c r="FV461" s="101"/>
      <c r="FW461" s="101"/>
      <c r="FX461" s="634"/>
      <c r="FY461" s="634"/>
      <c r="FZ461" s="634"/>
      <c r="GA461" s="634"/>
      <c r="GB461" s="634"/>
      <c r="GC461" s="634"/>
      <c r="GD461" s="634"/>
      <c r="GE461" s="634"/>
      <c r="GF461" s="634"/>
      <c r="GG461" s="634"/>
      <c r="GH461" s="634"/>
      <c r="GI461" s="634"/>
      <c r="GJ461" s="634"/>
      <c r="GK461" s="634"/>
      <c r="GL461" s="101"/>
      <c r="GM461" s="101"/>
      <c r="GN461" s="101"/>
      <c r="GO461" s="643"/>
      <c r="GP461" s="644"/>
      <c r="GQ461" s="643"/>
      <c r="GR461" s="644"/>
      <c r="GS461" s="643"/>
      <c r="GT461" s="644"/>
      <c r="GU461" s="644"/>
      <c r="GV461" s="644"/>
      <c r="GW461" s="644"/>
      <c r="GX461" s="644"/>
      <c r="GY461" s="644"/>
      <c r="GZ461" s="644"/>
      <c r="HA461" s="644"/>
    </row>
    <row r="462" spans="1:209">
      <c r="A462" s="638"/>
      <c r="B462" s="95"/>
      <c r="C462" s="95"/>
      <c r="D462" s="95"/>
      <c r="E462" s="650"/>
      <c r="F462" s="95"/>
      <c r="G462" s="98"/>
      <c r="H462" s="99"/>
      <c r="I462" s="95"/>
      <c r="J462" s="95"/>
      <c r="K462" s="95"/>
      <c r="L462" s="95"/>
      <c r="M462" s="95"/>
      <c r="N462" s="95"/>
      <c r="O462" s="95"/>
      <c r="P462" s="95"/>
      <c r="Q462" s="95"/>
      <c r="R462" s="98"/>
      <c r="S462" s="101"/>
      <c r="T462" s="644"/>
      <c r="U462" s="101"/>
      <c r="V462" s="647"/>
      <c r="W462" s="643"/>
      <c r="X462" s="644"/>
      <c r="Y462" s="101"/>
      <c r="Z462" s="644"/>
      <c r="AA462" s="101"/>
      <c r="AB462" s="644"/>
      <c r="AC462" s="101"/>
      <c r="AD462" s="646"/>
      <c r="AE462" s="271"/>
      <c r="AF462" s="646"/>
      <c r="AG462" s="646"/>
      <c r="AH462" s="646"/>
      <c r="AI462" s="646"/>
      <c r="AJ462" s="646"/>
      <c r="AK462" s="646"/>
      <c r="AL462" s="646"/>
      <c r="AM462" s="271"/>
      <c r="AN462" s="646"/>
      <c r="AO462" s="646"/>
      <c r="AP462" s="646"/>
      <c r="AQ462" s="271"/>
      <c r="AR462" s="646"/>
      <c r="AS462" s="270"/>
      <c r="AT462" s="646"/>
      <c r="AU462" s="646"/>
      <c r="AV462" s="646"/>
      <c r="AW462" s="270"/>
      <c r="AX462" s="646"/>
      <c r="AY462" s="270"/>
      <c r="AZ462" s="646"/>
      <c r="BA462" s="646"/>
      <c r="BB462" s="644"/>
      <c r="BC462" s="644"/>
      <c r="BD462" s="644"/>
      <c r="BE462" s="644"/>
      <c r="BF462" s="644"/>
      <c r="BG462" s="644"/>
      <c r="BH462" s="644"/>
      <c r="BI462" s="644"/>
      <c r="BJ462" s="644"/>
      <c r="BK462" s="644"/>
      <c r="BL462" s="644"/>
      <c r="BM462" s="95"/>
      <c r="BN462" s="644"/>
      <c r="BO462" s="95"/>
      <c r="BP462" s="644"/>
      <c r="BQ462" s="644"/>
      <c r="BR462" s="644"/>
      <c r="BS462" s="644"/>
      <c r="BT462" s="644"/>
      <c r="BU462" s="644"/>
      <c r="BV462" s="644"/>
      <c r="BW462" s="644"/>
      <c r="BX462" s="644"/>
      <c r="BY462" s="644"/>
      <c r="BZ462" s="644"/>
      <c r="CA462" s="644"/>
      <c r="CB462" s="644"/>
      <c r="CC462" s="644"/>
      <c r="CD462" s="644"/>
      <c r="CE462" s="644"/>
      <c r="CF462" s="644"/>
      <c r="CG462" s="644"/>
      <c r="CH462" s="644"/>
      <c r="CI462" s="644"/>
      <c r="CJ462" s="644"/>
      <c r="CK462" s="644"/>
      <c r="CL462" s="644"/>
      <c r="CM462" s="95"/>
      <c r="CN462" s="644"/>
      <c r="CO462" s="644"/>
      <c r="CP462" s="95"/>
      <c r="CQ462" s="98"/>
      <c r="CR462" s="95"/>
      <c r="CS462" s="95"/>
      <c r="CT462" s="95"/>
      <c r="CU462" s="108"/>
      <c r="CV462" s="109"/>
      <c r="CW462" s="644"/>
      <c r="CX462" s="496"/>
      <c r="CY462" s="637"/>
      <c r="CZ462" s="644"/>
      <c r="DA462" s="644"/>
      <c r="DB462" s="644"/>
      <c r="DC462" s="496"/>
      <c r="DD462" s="644"/>
      <c r="DE462" s="101"/>
      <c r="DF462" s="644"/>
      <c r="DG462" s="101"/>
      <c r="DH462" s="644"/>
      <c r="DI462" s="644"/>
      <c r="DJ462" s="644"/>
      <c r="DK462" s="644"/>
      <c r="DL462" s="644"/>
      <c r="DM462" s="101"/>
      <c r="DN462" s="644"/>
      <c r="DO462" s="644"/>
      <c r="DP462" s="644"/>
      <c r="DQ462" s="644"/>
      <c r="DR462" s="644"/>
      <c r="DS462" s="644"/>
      <c r="DT462" s="644"/>
      <c r="DU462" s="644"/>
      <c r="DV462" s="644"/>
      <c r="DW462" s="101"/>
      <c r="DX462" s="646"/>
      <c r="DY462" s="646"/>
      <c r="DZ462" s="646"/>
      <c r="EA462" s="646"/>
      <c r="EB462" s="646"/>
      <c r="EC462" s="646"/>
      <c r="ED462" s="646"/>
      <c r="EE462" s="646"/>
      <c r="EF462" s="646"/>
      <c r="EG462" s="646"/>
      <c r="EH462" s="646"/>
      <c r="EI462" s="646"/>
      <c r="EJ462" s="646"/>
      <c r="EK462" s="271"/>
      <c r="EL462" s="644"/>
      <c r="EM462" s="634"/>
      <c r="EN462" s="647"/>
      <c r="EO462" s="648"/>
      <c r="EP462" s="647"/>
      <c r="EQ462" s="647"/>
      <c r="ER462" s="647"/>
      <c r="ES462" s="139"/>
      <c r="EV462" s="647"/>
      <c r="EW462" s="647"/>
      <c r="EX462" s="647"/>
      <c r="EY462" s="647"/>
      <c r="EZ462" s="647"/>
      <c r="FA462" s="646"/>
      <c r="FB462" s="646"/>
      <c r="FC462" s="646"/>
      <c r="FD462" s="646"/>
      <c r="FE462" s="646"/>
      <c r="FF462" s="646"/>
      <c r="FG462" s="647"/>
      <c r="FH462" s="647"/>
      <c r="FI462" s="647"/>
      <c r="FJ462" s="647"/>
      <c r="FK462" s="647"/>
      <c r="FL462" s="647"/>
      <c r="FM462" s="647"/>
      <c r="FN462" s="647"/>
      <c r="FO462" s="647"/>
      <c r="FP462" s="647"/>
      <c r="FQ462" s="647"/>
      <c r="FR462" s="647"/>
      <c r="FS462" s="101"/>
      <c r="FT462" s="95"/>
      <c r="FU462" s="651"/>
      <c r="FV462" s="101"/>
      <c r="FW462" s="101"/>
      <c r="FX462" s="634"/>
      <c r="FY462" s="634"/>
      <c r="FZ462" s="634"/>
      <c r="GA462" s="634"/>
      <c r="GB462" s="634"/>
      <c r="GC462" s="634"/>
      <c r="GD462" s="634"/>
      <c r="GE462" s="634"/>
      <c r="GF462" s="634"/>
      <c r="GG462" s="634"/>
      <c r="GH462" s="634"/>
      <c r="GI462" s="634"/>
      <c r="GJ462" s="634"/>
      <c r="GK462" s="634"/>
      <c r="GL462" s="101"/>
      <c r="GM462" s="101"/>
      <c r="GN462" s="101"/>
      <c r="GO462" s="643"/>
      <c r="GP462" s="644"/>
      <c r="GQ462" s="643"/>
      <c r="GR462" s="644"/>
      <c r="GS462" s="643"/>
      <c r="GT462" s="644"/>
      <c r="GU462" s="644"/>
      <c r="GV462" s="644"/>
      <c r="GW462" s="644"/>
      <c r="GX462" s="644"/>
      <c r="GY462" s="644"/>
      <c r="GZ462" s="644"/>
      <c r="HA462" s="644"/>
    </row>
    <row r="463" spans="1:209">
      <c r="A463" s="638"/>
      <c r="B463" s="95"/>
      <c r="C463" s="95"/>
      <c r="D463" s="95"/>
      <c r="E463" s="650"/>
      <c r="F463" s="95"/>
      <c r="G463" s="98"/>
      <c r="H463" s="99"/>
      <c r="I463" s="95"/>
      <c r="J463" s="95"/>
      <c r="K463" s="95"/>
      <c r="L463" s="95"/>
      <c r="M463" s="95"/>
      <c r="N463" s="95"/>
      <c r="O463" s="95"/>
      <c r="P463" s="95"/>
      <c r="Q463" s="95"/>
      <c r="R463" s="98"/>
      <c r="S463" s="101"/>
      <c r="T463" s="644"/>
      <c r="U463" s="101"/>
      <c r="V463" s="647"/>
      <c r="W463" s="643"/>
      <c r="X463" s="644"/>
      <c r="Y463" s="101"/>
      <c r="Z463" s="644"/>
      <c r="AA463" s="101"/>
      <c r="AB463" s="644"/>
      <c r="AC463" s="101"/>
      <c r="AD463" s="646"/>
      <c r="AE463" s="271"/>
      <c r="AF463" s="646"/>
      <c r="AG463" s="646"/>
      <c r="AH463" s="646"/>
      <c r="AI463" s="646"/>
      <c r="AJ463" s="646"/>
      <c r="AK463" s="646"/>
      <c r="AL463" s="646"/>
      <c r="AM463" s="271"/>
      <c r="AN463" s="646"/>
      <c r="AO463" s="646"/>
      <c r="AP463" s="646"/>
      <c r="AQ463" s="271"/>
      <c r="AR463" s="646"/>
      <c r="AS463" s="270"/>
      <c r="AT463" s="646"/>
      <c r="AU463" s="646"/>
      <c r="AV463" s="646"/>
      <c r="AW463" s="270"/>
      <c r="AX463" s="646"/>
      <c r="AY463" s="270"/>
      <c r="AZ463" s="646"/>
      <c r="BA463" s="646"/>
      <c r="BB463" s="644"/>
      <c r="BC463" s="644"/>
      <c r="BD463" s="644"/>
      <c r="BE463" s="644"/>
      <c r="BF463" s="644"/>
      <c r="BG463" s="644"/>
      <c r="BH463" s="644"/>
      <c r="BI463" s="644"/>
      <c r="BJ463" s="644"/>
      <c r="BK463" s="644"/>
      <c r="BL463" s="644"/>
      <c r="BM463" s="95"/>
      <c r="BN463" s="644"/>
      <c r="BO463" s="95"/>
      <c r="BP463" s="644"/>
      <c r="BQ463" s="644"/>
      <c r="BR463" s="644"/>
      <c r="BS463" s="644"/>
      <c r="BT463" s="644"/>
      <c r="BU463" s="644"/>
      <c r="BV463" s="644"/>
      <c r="BW463" s="644"/>
      <c r="BX463" s="644"/>
      <c r="BY463" s="644"/>
      <c r="BZ463" s="644"/>
      <c r="CA463" s="644"/>
      <c r="CB463" s="644"/>
      <c r="CC463" s="644"/>
      <c r="CD463" s="644"/>
      <c r="CE463" s="644"/>
      <c r="CF463" s="644"/>
      <c r="CG463" s="644"/>
      <c r="CH463" s="644"/>
      <c r="CI463" s="644"/>
      <c r="CJ463" s="644"/>
      <c r="CK463" s="644"/>
      <c r="CL463" s="644"/>
      <c r="CM463" s="95"/>
      <c r="CN463" s="644"/>
      <c r="CO463" s="644"/>
      <c r="CP463" s="95"/>
      <c r="CQ463" s="98"/>
      <c r="CR463" s="95"/>
      <c r="CS463" s="95"/>
      <c r="CT463" s="95"/>
      <c r="CU463" s="108"/>
      <c r="CV463" s="109"/>
      <c r="CW463" s="644"/>
      <c r="CX463" s="496"/>
      <c r="CY463" s="637"/>
      <c r="CZ463" s="644"/>
      <c r="DA463" s="644"/>
      <c r="DB463" s="644"/>
      <c r="DC463" s="496"/>
      <c r="DD463" s="644"/>
      <c r="DE463" s="101"/>
      <c r="DF463" s="644"/>
      <c r="DG463" s="101"/>
      <c r="DH463" s="644"/>
      <c r="DI463" s="644"/>
      <c r="DJ463" s="644"/>
      <c r="DK463" s="644"/>
      <c r="DL463" s="644"/>
      <c r="DM463" s="101"/>
      <c r="DN463" s="644"/>
      <c r="DO463" s="644"/>
      <c r="DP463" s="644"/>
      <c r="DQ463" s="644"/>
      <c r="DR463" s="644"/>
      <c r="DS463" s="644"/>
      <c r="DT463" s="644"/>
      <c r="DU463" s="644"/>
      <c r="DV463" s="644"/>
      <c r="DW463" s="101"/>
      <c r="DX463" s="646"/>
      <c r="DY463" s="646"/>
      <c r="DZ463" s="646"/>
      <c r="EA463" s="646"/>
      <c r="EB463" s="646"/>
      <c r="EC463" s="646"/>
      <c r="ED463" s="646"/>
      <c r="EE463" s="646"/>
      <c r="EF463" s="646"/>
      <c r="EG463" s="646"/>
      <c r="EH463" s="646"/>
      <c r="EI463" s="646"/>
      <c r="EJ463" s="646"/>
      <c r="EK463" s="271"/>
      <c r="EL463" s="644"/>
      <c r="EM463" s="634"/>
      <c r="EN463" s="647"/>
      <c r="EO463" s="648"/>
      <c r="EP463" s="647"/>
      <c r="EQ463" s="647"/>
      <c r="ER463" s="647"/>
      <c r="ES463" s="139"/>
      <c r="EV463" s="647"/>
      <c r="EW463" s="647"/>
      <c r="EX463" s="647"/>
      <c r="EY463" s="647"/>
      <c r="EZ463" s="647"/>
      <c r="FA463" s="646"/>
      <c r="FB463" s="646"/>
      <c r="FC463" s="646"/>
      <c r="FD463" s="646"/>
      <c r="FE463" s="646"/>
      <c r="FF463" s="646"/>
      <c r="FG463" s="647"/>
      <c r="FH463" s="647"/>
      <c r="FI463" s="647"/>
      <c r="FJ463" s="647"/>
      <c r="FK463" s="647"/>
      <c r="FL463" s="647"/>
      <c r="FM463" s="647"/>
      <c r="FN463" s="647"/>
      <c r="FO463" s="647"/>
      <c r="FP463" s="647"/>
      <c r="FQ463" s="647"/>
      <c r="FR463" s="647"/>
      <c r="FS463" s="101"/>
      <c r="FT463" s="95"/>
      <c r="FU463" s="651"/>
      <c r="FV463" s="101"/>
      <c r="FW463" s="101"/>
      <c r="FX463" s="634"/>
      <c r="FY463" s="634"/>
      <c r="FZ463" s="634"/>
      <c r="GA463" s="634"/>
      <c r="GB463" s="634"/>
      <c r="GC463" s="634"/>
      <c r="GD463" s="634"/>
      <c r="GE463" s="634"/>
      <c r="GF463" s="634"/>
      <c r="GG463" s="634"/>
      <c r="GH463" s="634"/>
      <c r="GI463" s="634"/>
      <c r="GJ463" s="634"/>
      <c r="GK463" s="634"/>
      <c r="GL463" s="101"/>
      <c r="GM463" s="101"/>
      <c r="GN463" s="101"/>
      <c r="GO463" s="643"/>
      <c r="GP463" s="644"/>
      <c r="GQ463" s="643"/>
      <c r="GR463" s="644"/>
      <c r="GS463" s="643"/>
      <c r="GT463" s="644"/>
      <c r="GU463" s="644"/>
      <c r="GV463" s="644"/>
      <c r="GW463" s="644"/>
      <c r="GX463" s="644"/>
      <c r="GY463" s="644"/>
      <c r="GZ463" s="644"/>
      <c r="HA463" s="644"/>
    </row>
    <row r="464" spans="1:209">
      <c r="A464" s="638"/>
      <c r="B464" s="95"/>
      <c r="C464" s="95"/>
      <c r="D464" s="95"/>
      <c r="E464" s="650"/>
      <c r="F464" s="95"/>
      <c r="G464" s="98"/>
      <c r="H464" s="99"/>
      <c r="I464" s="95"/>
      <c r="J464" s="95"/>
      <c r="K464" s="95"/>
      <c r="L464" s="95"/>
      <c r="M464" s="95"/>
      <c r="N464" s="95"/>
      <c r="O464" s="95"/>
      <c r="P464" s="95"/>
      <c r="Q464" s="95"/>
      <c r="R464" s="98"/>
      <c r="S464" s="101"/>
      <c r="T464" s="644"/>
      <c r="U464" s="101"/>
      <c r="V464" s="647"/>
      <c r="W464" s="643"/>
      <c r="X464" s="644"/>
      <c r="Y464" s="101"/>
      <c r="Z464" s="644"/>
      <c r="AA464" s="101"/>
      <c r="AB464" s="644"/>
      <c r="AC464" s="101"/>
      <c r="AD464" s="646"/>
      <c r="AE464" s="271"/>
      <c r="AF464" s="646"/>
      <c r="AG464" s="646"/>
      <c r="AH464" s="646"/>
      <c r="AI464" s="646"/>
      <c r="AJ464" s="646"/>
      <c r="AK464" s="646"/>
      <c r="AL464" s="646"/>
      <c r="AM464" s="271"/>
      <c r="AN464" s="646"/>
      <c r="AO464" s="646"/>
      <c r="AP464" s="646"/>
      <c r="AQ464" s="271"/>
      <c r="AR464" s="646"/>
      <c r="AS464" s="270"/>
      <c r="AT464" s="646"/>
      <c r="AU464" s="646"/>
      <c r="AV464" s="646"/>
      <c r="AW464" s="270"/>
      <c r="AX464" s="646"/>
      <c r="AY464" s="270"/>
      <c r="AZ464" s="646"/>
      <c r="BA464" s="646"/>
      <c r="BB464" s="644"/>
      <c r="BC464" s="644"/>
      <c r="BD464" s="644"/>
      <c r="BE464" s="644"/>
      <c r="BF464" s="644"/>
      <c r="BG464" s="644"/>
      <c r="BH464" s="644"/>
      <c r="BI464" s="644"/>
      <c r="BJ464" s="644"/>
      <c r="BK464" s="644"/>
      <c r="BL464" s="644"/>
      <c r="BM464" s="95"/>
      <c r="BN464" s="644"/>
      <c r="BO464" s="95"/>
      <c r="BP464" s="644"/>
      <c r="BQ464" s="644"/>
      <c r="BR464" s="644"/>
      <c r="BS464" s="644"/>
      <c r="BT464" s="644"/>
      <c r="BU464" s="644"/>
      <c r="BV464" s="644"/>
      <c r="BW464" s="644"/>
      <c r="BX464" s="644"/>
      <c r="BY464" s="644"/>
      <c r="BZ464" s="644"/>
      <c r="CA464" s="644"/>
      <c r="CB464" s="644"/>
      <c r="CC464" s="644"/>
      <c r="CD464" s="644"/>
      <c r="CE464" s="644"/>
      <c r="CF464" s="644"/>
      <c r="CG464" s="644"/>
      <c r="CH464" s="644"/>
      <c r="CI464" s="644"/>
      <c r="CJ464" s="644"/>
      <c r="CK464" s="644"/>
      <c r="CL464" s="644"/>
      <c r="CM464" s="95"/>
      <c r="CN464" s="644"/>
      <c r="CO464" s="644"/>
      <c r="CP464" s="95"/>
      <c r="CQ464" s="98"/>
      <c r="CR464" s="95"/>
      <c r="CS464" s="95"/>
      <c r="CT464" s="95"/>
      <c r="CU464" s="108"/>
      <c r="CV464" s="109"/>
      <c r="CW464" s="644"/>
      <c r="CX464" s="496"/>
      <c r="CY464" s="637"/>
      <c r="CZ464" s="644"/>
      <c r="DA464" s="644"/>
      <c r="DB464" s="644"/>
      <c r="DC464" s="496"/>
      <c r="DD464" s="644"/>
      <c r="DE464" s="101"/>
      <c r="DF464" s="644"/>
      <c r="DG464" s="101"/>
      <c r="DH464" s="644"/>
      <c r="DI464" s="644"/>
      <c r="DJ464" s="644"/>
      <c r="DK464" s="644"/>
      <c r="DL464" s="644"/>
      <c r="DM464" s="101"/>
      <c r="DN464" s="644"/>
      <c r="DO464" s="644"/>
      <c r="DP464" s="644"/>
      <c r="DQ464" s="644"/>
      <c r="DR464" s="644"/>
      <c r="DS464" s="644"/>
      <c r="DT464" s="644"/>
      <c r="DU464" s="644"/>
      <c r="DV464" s="644"/>
      <c r="DW464" s="101"/>
      <c r="DX464" s="646"/>
      <c r="DY464" s="646"/>
      <c r="DZ464" s="646"/>
      <c r="EA464" s="646"/>
      <c r="EB464" s="646"/>
      <c r="EC464" s="646"/>
      <c r="ED464" s="646"/>
      <c r="EE464" s="646"/>
      <c r="EF464" s="646"/>
      <c r="EG464" s="646"/>
      <c r="EH464" s="646"/>
      <c r="EI464" s="646"/>
      <c r="EJ464" s="646"/>
      <c r="EK464" s="271"/>
      <c r="EL464" s="644"/>
      <c r="EM464" s="634"/>
      <c r="EN464" s="647"/>
      <c r="EO464" s="648"/>
      <c r="EP464" s="647"/>
      <c r="EQ464" s="647"/>
      <c r="ER464" s="647"/>
      <c r="ES464" s="139"/>
      <c r="EV464" s="647"/>
      <c r="EW464" s="647"/>
      <c r="EX464" s="647"/>
      <c r="EY464" s="647"/>
      <c r="EZ464" s="647"/>
      <c r="FA464" s="646"/>
      <c r="FB464" s="646"/>
      <c r="FC464" s="646"/>
      <c r="FD464" s="646"/>
      <c r="FE464" s="646"/>
      <c r="FF464" s="646"/>
      <c r="FG464" s="647"/>
      <c r="FH464" s="647"/>
      <c r="FI464" s="647"/>
      <c r="FJ464" s="647"/>
      <c r="FK464" s="647"/>
      <c r="FL464" s="647"/>
      <c r="FM464" s="647"/>
      <c r="FN464" s="647"/>
      <c r="FO464" s="647"/>
      <c r="FP464" s="647"/>
      <c r="FQ464" s="647"/>
      <c r="FR464" s="647"/>
      <c r="FS464" s="101"/>
      <c r="FT464" s="95"/>
      <c r="FU464" s="651"/>
      <c r="FV464" s="101"/>
      <c r="FW464" s="101"/>
      <c r="FX464" s="634"/>
      <c r="FY464" s="634"/>
      <c r="FZ464" s="634"/>
      <c r="GA464" s="634"/>
      <c r="GB464" s="634"/>
      <c r="GC464" s="634"/>
      <c r="GD464" s="634"/>
      <c r="GE464" s="634"/>
      <c r="GF464" s="634"/>
      <c r="GG464" s="634"/>
      <c r="GH464" s="634"/>
      <c r="GI464" s="634"/>
      <c r="GJ464" s="634"/>
      <c r="GK464" s="634"/>
      <c r="GL464" s="101"/>
      <c r="GM464" s="101"/>
      <c r="GN464" s="101"/>
      <c r="GO464" s="643"/>
      <c r="GP464" s="644"/>
      <c r="GQ464" s="643"/>
      <c r="GR464" s="644"/>
      <c r="GS464" s="643"/>
      <c r="GT464" s="644"/>
      <c r="GU464" s="644"/>
      <c r="GV464" s="644"/>
      <c r="GW464" s="644"/>
      <c r="GX464" s="644"/>
      <c r="GY464" s="644"/>
      <c r="GZ464" s="644"/>
      <c r="HA464" s="644"/>
    </row>
    <row r="465" spans="1:209">
      <c r="A465" s="638"/>
      <c r="B465" s="95"/>
      <c r="C465" s="95"/>
      <c r="D465" s="95"/>
      <c r="E465" s="650"/>
      <c r="F465" s="95"/>
      <c r="G465" s="98"/>
      <c r="H465" s="99"/>
      <c r="I465" s="95"/>
      <c r="J465" s="95"/>
      <c r="K465" s="95"/>
      <c r="L465" s="95"/>
      <c r="M465" s="95"/>
      <c r="N465" s="95"/>
      <c r="O465" s="95"/>
      <c r="P465" s="95"/>
      <c r="Q465" s="95"/>
      <c r="R465" s="98"/>
      <c r="S465" s="101"/>
      <c r="T465" s="644"/>
      <c r="U465" s="101"/>
      <c r="V465" s="647"/>
      <c r="W465" s="643"/>
      <c r="X465" s="644"/>
      <c r="Y465" s="101"/>
      <c r="Z465" s="644"/>
      <c r="AA465" s="101"/>
      <c r="AB465" s="644"/>
      <c r="AC465" s="101"/>
      <c r="AD465" s="646"/>
      <c r="AE465" s="271"/>
      <c r="AF465" s="646"/>
      <c r="AG465" s="646"/>
      <c r="AH465" s="646"/>
      <c r="AI465" s="646"/>
      <c r="AJ465" s="646"/>
      <c r="AK465" s="646"/>
      <c r="AL465" s="646"/>
      <c r="AM465" s="271"/>
      <c r="AN465" s="646"/>
      <c r="AO465" s="646"/>
      <c r="AP465" s="646"/>
      <c r="AQ465" s="271"/>
      <c r="AR465" s="646"/>
      <c r="AS465" s="270"/>
      <c r="AT465" s="646"/>
      <c r="AU465" s="646"/>
      <c r="AV465" s="646"/>
      <c r="AW465" s="270"/>
      <c r="AX465" s="646"/>
      <c r="AY465" s="270"/>
      <c r="AZ465" s="646"/>
      <c r="BA465" s="646"/>
      <c r="BB465" s="644"/>
      <c r="BC465" s="644"/>
      <c r="BD465" s="644"/>
      <c r="BE465" s="644"/>
      <c r="BF465" s="644"/>
      <c r="BG465" s="644"/>
      <c r="BH465" s="644"/>
      <c r="BI465" s="644"/>
      <c r="BJ465" s="644"/>
      <c r="BK465" s="644"/>
      <c r="BL465" s="644"/>
      <c r="BM465" s="95"/>
      <c r="BN465" s="644"/>
      <c r="BO465" s="95"/>
      <c r="BP465" s="644"/>
      <c r="BQ465" s="644"/>
      <c r="BR465" s="644"/>
      <c r="BS465" s="644"/>
      <c r="BT465" s="644"/>
      <c r="BU465" s="644"/>
      <c r="BV465" s="644"/>
      <c r="BW465" s="644"/>
      <c r="BX465" s="644"/>
      <c r="BY465" s="644"/>
      <c r="BZ465" s="644"/>
      <c r="CA465" s="644"/>
      <c r="CB465" s="644"/>
      <c r="CC465" s="644"/>
      <c r="CD465" s="644"/>
      <c r="CE465" s="644"/>
      <c r="CF465" s="644"/>
      <c r="CG465" s="644"/>
      <c r="CH465" s="644"/>
      <c r="CI465" s="644"/>
      <c r="CJ465" s="644"/>
      <c r="CK465" s="644"/>
      <c r="CL465" s="644"/>
      <c r="CM465" s="95"/>
      <c r="CN465" s="644"/>
      <c r="CO465" s="644"/>
      <c r="CP465" s="95"/>
      <c r="CQ465" s="98"/>
      <c r="CR465" s="95"/>
      <c r="CS465" s="95"/>
      <c r="CT465" s="95"/>
      <c r="CU465" s="108"/>
      <c r="CV465" s="109"/>
      <c r="CW465" s="644"/>
      <c r="CX465" s="496"/>
      <c r="CY465" s="637"/>
      <c r="CZ465" s="644"/>
      <c r="DA465" s="644"/>
      <c r="DB465" s="644"/>
      <c r="DC465" s="496"/>
      <c r="DD465" s="644"/>
      <c r="DE465" s="101"/>
      <c r="DF465" s="644"/>
      <c r="DG465" s="101"/>
      <c r="DH465" s="644"/>
      <c r="DI465" s="644"/>
      <c r="DJ465" s="644"/>
      <c r="DK465" s="644"/>
      <c r="DL465" s="644"/>
      <c r="DM465" s="101"/>
      <c r="DN465" s="644"/>
      <c r="DO465" s="644"/>
      <c r="DP465" s="644"/>
      <c r="DQ465" s="644"/>
      <c r="DR465" s="644"/>
      <c r="DS465" s="644"/>
      <c r="DT465" s="644"/>
      <c r="DU465" s="644"/>
      <c r="DV465" s="644"/>
      <c r="DW465" s="101"/>
      <c r="DX465" s="646"/>
      <c r="DY465" s="646"/>
      <c r="DZ465" s="646"/>
      <c r="EA465" s="646"/>
      <c r="EB465" s="646"/>
      <c r="EC465" s="646"/>
      <c r="ED465" s="646"/>
      <c r="EE465" s="646"/>
      <c r="EF465" s="646"/>
      <c r="EG465" s="646"/>
      <c r="EH465" s="646"/>
      <c r="EI465" s="646"/>
      <c r="EJ465" s="646"/>
      <c r="EK465" s="271"/>
      <c r="EL465" s="644"/>
      <c r="EM465" s="634"/>
      <c r="EN465" s="647"/>
      <c r="EO465" s="648"/>
      <c r="EP465" s="647"/>
      <c r="EQ465" s="647"/>
      <c r="ER465" s="647"/>
      <c r="ES465" s="139"/>
      <c r="EV465" s="647"/>
      <c r="EW465" s="647"/>
      <c r="EX465" s="647"/>
      <c r="EY465" s="647"/>
      <c r="EZ465" s="647"/>
      <c r="FA465" s="646"/>
      <c r="FB465" s="646"/>
      <c r="FC465" s="646"/>
      <c r="FD465" s="646"/>
      <c r="FE465" s="646"/>
      <c r="FF465" s="646"/>
      <c r="FG465" s="647"/>
      <c r="FH465" s="647"/>
      <c r="FI465" s="647"/>
      <c r="FJ465" s="647"/>
      <c r="FK465" s="647"/>
      <c r="FL465" s="647"/>
      <c r="FM465" s="647"/>
      <c r="FN465" s="647"/>
      <c r="FO465" s="647"/>
      <c r="FP465" s="647"/>
      <c r="FQ465" s="647"/>
      <c r="FR465" s="647"/>
      <c r="FS465" s="101"/>
      <c r="FT465" s="95"/>
      <c r="FU465" s="651"/>
      <c r="FV465" s="101"/>
      <c r="FW465" s="101"/>
      <c r="FX465" s="634"/>
      <c r="FY465" s="634"/>
      <c r="FZ465" s="634"/>
      <c r="GA465" s="634"/>
      <c r="GB465" s="634"/>
      <c r="GC465" s="634"/>
      <c r="GD465" s="634"/>
      <c r="GE465" s="634"/>
      <c r="GF465" s="634"/>
      <c r="GG465" s="634"/>
      <c r="GH465" s="634"/>
      <c r="GI465" s="634"/>
      <c r="GJ465" s="634"/>
      <c r="GK465" s="634"/>
      <c r="GL465" s="101"/>
      <c r="GM465" s="101"/>
      <c r="GN465" s="101"/>
      <c r="GO465" s="643"/>
      <c r="GP465" s="644"/>
      <c r="GQ465" s="643"/>
      <c r="GR465" s="644"/>
      <c r="GS465" s="643"/>
      <c r="GT465" s="644"/>
      <c r="GU465" s="644"/>
      <c r="GV465" s="644"/>
      <c r="GW465" s="644"/>
      <c r="GX465" s="644"/>
      <c r="GY465" s="644"/>
      <c r="GZ465" s="644"/>
      <c r="HA465" s="644"/>
    </row>
    <row r="466" spans="1:209">
      <c r="A466" s="638"/>
      <c r="B466" s="95"/>
      <c r="C466" s="95"/>
      <c r="D466" s="95"/>
      <c r="E466" s="650"/>
      <c r="F466" s="95"/>
      <c r="G466" s="98"/>
      <c r="H466" s="99"/>
      <c r="I466" s="95"/>
      <c r="J466" s="95"/>
      <c r="K466" s="95"/>
      <c r="L466" s="95"/>
      <c r="M466" s="95"/>
      <c r="N466" s="95"/>
      <c r="O466" s="95"/>
      <c r="P466" s="95"/>
      <c r="Q466" s="95"/>
      <c r="R466" s="98"/>
      <c r="S466" s="101"/>
      <c r="T466" s="644"/>
      <c r="U466" s="101"/>
      <c r="V466" s="647"/>
      <c r="W466" s="643"/>
      <c r="X466" s="644"/>
      <c r="Y466" s="101"/>
      <c r="Z466" s="644"/>
      <c r="AA466" s="101"/>
      <c r="AB466" s="644"/>
      <c r="AC466" s="101"/>
      <c r="AD466" s="646"/>
      <c r="AE466" s="271"/>
      <c r="AF466" s="646"/>
      <c r="AG466" s="646"/>
      <c r="AH466" s="646"/>
      <c r="AI466" s="646"/>
      <c r="AJ466" s="646"/>
      <c r="AK466" s="646"/>
      <c r="AL466" s="646"/>
      <c r="AM466" s="271"/>
      <c r="AN466" s="646"/>
      <c r="AO466" s="646"/>
      <c r="AP466" s="646"/>
      <c r="AQ466" s="271"/>
      <c r="AR466" s="646"/>
      <c r="AS466" s="270"/>
      <c r="AT466" s="646"/>
      <c r="AU466" s="646"/>
      <c r="AV466" s="646"/>
      <c r="AW466" s="270"/>
      <c r="AX466" s="646"/>
      <c r="AY466" s="270"/>
      <c r="AZ466" s="646"/>
      <c r="BA466" s="646"/>
      <c r="BB466" s="644"/>
      <c r="BC466" s="644"/>
      <c r="BD466" s="644"/>
      <c r="BE466" s="644"/>
      <c r="BF466" s="644"/>
      <c r="BG466" s="644"/>
      <c r="BH466" s="644"/>
      <c r="BI466" s="644"/>
      <c r="BJ466" s="644"/>
      <c r="BK466" s="644"/>
      <c r="BL466" s="644"/>
      <c r="BM466" s="95"/>
      <c r="BN466" s="644"/>
      <c r="BO466" s="95"/>
      <c r="BP466" s="644"/>
      <c r="BQ466" s="644"/>
      <c r="BR466" s="644"/>
      <c r="BS466" s="644"/>
      <c r="BT466" s="644"/>
      <c r="BU466" s="644"/>
      <c r="BV466" s="644"/>
      <c r="BW466" s="644"/>
      <c r="BX466" s="644"/>
      <c r="BY466" s="644"/>
      <c r="BZ466" s="644"/>
      <c r="CA466" s="644"/>
      <c r="CB466" s="644"/>
      <c r="CC466" s="644"/>
      <c r="CD466" s="644"/>
      <c r="CE466" s="644"/>
      <c r="CF466" s="644"/>
      <c r="CG466" s="644"/>
      <c r="CH466" s="644"/>
      <c r="CI466" s="644"/>
      <c r="CJ466" s="644"/>
      <c r="CK466" s="644"/>
      <c r="CL466" s="644"/>
      <c r="CM466" s="95"/>
      <c r="CN466" s="644"/>
      <c r="CO466" s="644"/>
      <c r="CP466" s="95"/>
      <c r="CQ466" s="98"/>
      <c r="CR466" s="95"/>
      <c r="CS466" s="95"/>
      <c r="CT466" s="95"/>
      <c r="CU466" s="108"/>
      <c r="CV466" s="109"/>
      <c r="CW466" s="644"/>
      <c r="CX466" s="496"/>
      <c r="CY466" s="637"/>
      <c r="CZ466" s="644"/>
      <c r="DA466" s="644"/>
      <c r="DB466" s="644"/>
      <c r="DC466" s="496"/>
      <c r="DD466" s="644"/>
      <c r="DE466" s="101"/>
      <c r="DF466" s="644"/>
      <c r="DG466" s="101"/>
      <c r="DH466" s="644"/>
      <c r="DI466" s="644"/>
      <c r="DJ466" s="644"/>
      <c r="DK466" s="644"/>
      <c r="DL466" s="644"/>
      <c r="DM466" s="101"/>
      <c r="DN466" s="644"/>
      <c r="DO466" s="644"/>
      <c r="DP466" s="644"/>
      <c r="DQ466" s="644"/>
      <c r="DR466" s="644"/>
      <c r="DS466" s="644"/>
      <c r="DT466" s="644"/>
      <c r="DU466" s="644"/>
      <c r="DV466" s="644"/>
      <c r="DW466" s="101"/>
      <c r="DX466" s="646"/>
      <c r="DY466" s="646"/>
      <c r="DZ466" s="646"/>
      <c r="EA466" s="646"/>
      <c r="EB466" s="646"/>
      <c r="EC466" s="646"/>
      <c r="ED466" s="646"/>
      <c r="EE466" s="646"/>
      <c r="EF466" s="646"/>
      <c r="EG466" s="646"/>
      <c r="EH466" s="646"/>
      <c r="EI466" s="646"/>
      <c r="EJ466" s="646"/>
      <c r="EK466" s="271"/>
      <c r="EL466" s="644"/>
      <c r="EM466" s="634"/>
      <c r="EN466" s="647"/>
      <c r="EO466" s="648"/>
      <c r="EP466" s="647"/>
      <c r="EQ466" s="647"/>
      <c r="ER466" s="647"/>
      <c r="ES466" s="139"/>
      <c r="EV466" s="647"/>
      <c r="EW466" s="647"/>
      <c r="EX466" s="647"/>
      <c r="EY466" s="647"/>
      <c r="EZ466" s="647"/>
      <c r="FA466" s="646"/>
      <c r="FB466" s="646"/>
      <c r="FC466" s="646"/>
      <c r="FD466" s="646"/>
      <c r="FE466" s="646"/>
      <c r="FF466" s="646"/>
      <c r="FG466" s="647"/>
      <c r="FH466" s="647"/>
      <c r="FI466" s="647"/>
      <c r="FJ466" s="647"/>
      <c r="FK466" s="647"/>
      <c r="FL466" s="647"/>
      <c r="FM466" s="647"/>
      <c r="FN466" s="647"/>
      <c r="FO466" s="647"/>
      <c r="FP466" s="647"/>
      <c r="FQ466" s="647"/>
      <c r="FR466" s="647"/>
      <c r="FS466" s="101"/>
      <c r="FT466" s="95"/>
      <c r="FU466" s="651"/>
      <c r="FV466" s="101"/>
      <c r="FW466" s="101"/>
      <c r="FX466" s="634"/>
      <c r="FY466" s="634"/>
      <c r="FZ466" s="634"/>
      <c r="GA466" s="634"/>
      <c r="GB466" s="634"/>
      <c r="GC466" s="634"/>
      <c r="GD466" s="634"/>
      <c r="GE466" s="634"/>
      <c r="GF466" s="634"/>
      <c r="GG466" s="634"/>
      <c r="GH466" s="634"/>
      <c r="GI466" s="634"/>
      <c r="GJ466" s="634"/>
      <c r="GK466" s="634"/>
      <c r="GL466" s="101"/>
      <c r="GM466" s="101"/>
      <c r="GN466" s="101"/>
      <c r="GO466" s="643"/>
      <c r="GP466" s="644"/>
      <c r="GQ466" s="643"/>
      <c r="GR466" s="644"/>
      <c r="GS466" s="643"/>
      <c r="GT466" s="644"/>
      <c r="GU466" s="644"/>
      <c r="GV466" s="644"/>
      <c r="GW466" s="644"/>
      <c r="GX466" s="644"/>
      <c r="GY466" s="644"/>
      <c r="GZ466" s="644"/>
      <c r="HA466" s="644"/>
    </row>
    <row r="467" spans="1:209">
      <c r="A467" s="638"/>
      <c r="B467" s="95"/>
      <c r="C467" s="95"/>
      <c r="D467" s="95"/>
      <c r="E467" s="650"/>
      <c r="F467" s="95"/>
      <c r="G467" s="98"/>
      <c r="H467" s="99"/>
      <c r="I467" s="95"/>
      <c r="J467" s="95"/>
      <c r="K467" s="95"/>
      <c r="L467" s="95"/>
      <c r="M467" s="95"/>
      <c r="N467" s="95"/>
      <c r="O467" s="95"/>
      <c r="P467" s="95"/>
      <c r="Q467" s="95"/>
      <c r="R467" s="98"/>
      <c r="S467" s="101"/>
      <c r="T467" s="644"/>
      <c r="U467" s="101"/>
      <c r="V467" s="647"/>
      <c r="W467" s="643"/>
      <c r="X467" s="644"/>
      <c r="Y467" s="101"/>
      <c r="Z467" s="644"/>
      <c r="AA467" s="101"/>
      <c r="AB467" s="644"/>
      <c r="AC467" s="101"/>
      <c r="AD467" s="646"/>
      <c r="AE467" s="271"/>
      <c r="AF467" s="646"/>
      <c r="AG467" s="646"/>
      <c r="AH467" s="646"/>
      <c r="AI467" s="646"/>
      <c r="AJ467" s="646"/>
      <c r="AK467" s="646"/>
      <c r="AL467" s="646"/>
      <c r="AM467" s="271"/>
      <c r="AN467" s="646"/>
      <c r="AO467" s="646"/>
      <c r="AP467" s="646"/>
      <c r="AQ467" s="271"/>
      <c r="AR467" s="646"/>
      <c r="AS467" s="270"/>
      <c r="AT467" s="646"/>
      <c r="AU467" s="646"/>
      <c r="AV467" s="646"/>
      <c r="AW467" s="270"/>
      <c r="AX467" s="646"/>
      <c r="AY467" s="270"/>
      <c r="AZ467" s="646"/>
      <c r="BA467" s="646"/>
      <c r="BB467" s="644"/>
      <c r="BC467" s="644"/>
      <c r="BD467" s="644"/>
      <c r="BE467" s="644"/>
      <c r="BF467" s="644"/>
      <c r="BG467" s="644"/>
      <c r="BH467" s="644"/>
      <c r="BI467" s="644"/>
      <c r="BJ467" s="644"/>
      <c r="BK467" s="644"/>
      <c r="BL467" s="644"/>
      <c r="BM467" s="95"/>
      <c r="BN467" s="644"/>
      <c r="BO467" s="95"/>
      <c r="BP467" s="644"/>
      <c r="BQ467" s="644"/>
      <c r="BR467" s="644"/>
      <c r="BS467" s="644"/>
      <c r="BT467" s="644"/>
      <c r="BU467" s="644"/>
      <c r="BV467" s="644"/>
      <c r="BW467" s="644"/>
      <c r="BX467" s="644"/>
      <c r="BY467" s="644"/>
      <c r="BZ467" s="644"/>
      <c r="CA467" s="644"/>
      <c r="CB467" s="644"/>
      <c r="CC467" s="644"/>
      <c r="CD467" s="644"/>
      <c r="CE467" s="644"/>
      <c r="CF467" s="644"/>
      <c r="CG467" s="644"/>
      <c r="CH467" s="644"/>
      <c r="CI467" s="644"/>
      <c r="CJ467" s="644"/>
      <c r="CK467" s="644"/>
      <c r="CL467" s="644"/>
      <c r="CM467" s="95"/>
      <c r="CN467" s="644"/>
      <c r="CO467" s="644"/>
      <c r="CP467" s="95"/>
      <c r="CQ467" s="98"/>
      <c r="CR467" s="95"/>
      <c r="CS467" s="95"/>
      <c r="CT467" s="95"/>
      <c r="CU467" s="108"/>
      <c r="CV467" s="109"/>
      <c r="CW467" s="644"/>
      <c r="CX467" s="496"/>
      <c r="CY467" s="637"/>
      <c r="CZ467" s="644"/>
      <c r="DA467" s="644"/>
      <c r="DB467" s="644"/>
      <c r="DC467" s="496"/>
      <c r="DD467" s="644"/>
      <c r="DE467" s="101"/>
      <c r="DF467" s="644"/>
      <c r="DG467" s="101"/>
      <c r="DH467" s="644"/>
      <c r="DI467" s="644"/>
      <c r="DJ467" s="644"/>
      <c r="DK467" s="644"/>
      <c r="DL467" s="644"/>
      <c r="DM467" s="101"/>
      <c r="DN467" s="644"/>
      <c r="DO467" s="644"/>
      <c r="DP467" s="644"/>
      <c r="DQ467" s="644"/>
      <c r="DR467" s="644"/>
      <c r="DS467" s="644"/>
      <c r="DT467" s="644"/>
      <c r="DU467" s="644"/>
      <c r="DV467" s="644"/>
      <c r="DW467" s="101"/>
      <c r="DX467" s="646"/>
      <c r="DY467" s="646"/>
      <c r="DZ467" s="646"/>
      <c r="EA467" s="646"/>
      <c r="EB467" s="646"/>
      <c r="EC467" s="646"/>
      <c r="ED467" s="646"/>
      <c r="EE467" s="646"/>
      <c r="EF467" s="646"/>
      <c r="EG467" s="646"/>
      <c r="EH467" s="646"/>
      <c r="EI467" s="646"/>
      <c r="EJ467" s="646"/>
      <c r="EK467" s="271"/>
      <c r="EL467" s="644"/>
      <c r="EM467" s="634"/>
      <c r="EN467" s="647"/>
      <c r="EO467" s="648"/>
      <c r="EP467" s="647"/>
      <c r="EQ467" s="647"/>
      <c r="ER467" s="647"/>
      <c r="ES467" s="139"/>
      <c r="EV467" s="647"/>
      <c r="EW467" s="647"/>
      <c r="EX467" s="647"/>
      <c r="EY467" s="647"/>
      <c r="EZ467" s="647"/>
      <c r="FA467" s="646"/>
      <c r="FB467" s="646"/>
      <c r="FC467" s="646"/>
      <c r="FD467" s="646"/>
      <c r="FE467" s="646"/>
      <c r="FF467" s="646"/>
      <c r="FG467" s="647"/>
      <c r="FH467" s="647"/>
      <c r="FI467" s="647"/>
      <c r="FJ467" s="647"/>
      <c r="FK467" s="647"/>
      <c r="FL467" s="647"/>
      <c r="FM467" s="647"/>
      <c r="FN467" s="647"/>
      <c r="FO467" s="647"/>
      <c r="FP467" s="647"/>
      <c r="FQ467" s="647"/>
      <c r="FR467" s="647"/>
      <c r="FS467" s="101"/>
      <c r="FT467" s="95"/>
      <c r="FU467" s="651"/>
      <c r="FV467" s="101"/>
      <c r="FW467" s="101"/>
      <c r="FX467" s="634"/>
      <c r="FY467" s="634"/>
      <c r="FZ467" s="634"/>
      <c r="GA467" s="634"/>
      <c r="GB467" s="634"/>
      <c r="GC467" s="634"/>
      <c r="GD467" s="634"/>
      <c r="GE467" s="634"/>
      <c r="GF467" s="634"/>
      <c r="GG467" s="634"/>
      <c r="GH467" s="634"/>
      <c r="GI467" s="634"/>
      <c r="GJ467" s="634"/>
      <c r="GK467" s="634"/>
      <c r="GL467" s="101"/>
      <c r="GM467" s="101"/>
      <c r="GN467" s="101"/>
      <c r="GO467" s="643"/>
      <c r="GP467" s="644"/>
      <c r="GQ467" s="643"/>
      <c r="GR467" s="644"/>
      <c r="GS467" s="643"/>
      <c r="GT467" s="644"/>
      <c r="GU467" s="644"/>
      <c r="GV467" s="644"/>
      <c r="GW467" s="644"/>
      <c r="GX467" s="644"/>
      <c r="GY467" s="644"/>
      <c r="GZ467" s="644"/>
      <c r="HA467" s="644"/>
    </row>
    <row r="468" spans="1:209">
      <c r="A468" s="638"/>
      <c r="B468" s="95"/>
      <c r="C468" s="95"/>
      <c r="D468" s="95"/>
      <c r="E468" s="650"/>
      <c r="F468" s="95"/>
      <c r="G468" s="98"/>
      <c r="H468" s="99"/>
      <c r="I468" s="95"/>
      <c r="J468" s="95"/>
      <c r="K468" s="95"/>
      <c r="L468" s="95"/>
      <c r="M468" s="95"/>
      <c r="N468" s="95"/>
      <c r="O468" s="95"/>
      <c r="P468" s="95"/>
      <c r="Q468" s="95"/>
      <c r="R468" s="98"/>
      <c r="S468" s="101"/>
      <c r="T468" s="644"/>
      <c r="U468" s="101"/>
      <c r="V468" s="647"/>
      <c r="W468" s="643"/>
      <c r="X468" s="644"/>
      <c r="Y468" s="101"/>
      <c r="Z468" s="644"/>
      <c r="AA468" s="101"/>
      <c r="AB468" s="644"/>
      <c r="AC468" s="101"/>
      <c r="AD468" s="646"/>
      <c r="AE468" s="271"/>
      <c r="AF468" s="646"/>
      <c r="AG468" s="646"/>
      <c r="AH468" s="646"/>
      <c r="AI468" s="646"/>
      <c r="AJ468" s="646"/>
      <c r="AK468" s="646"/>
      <c r="AL468" s="646"/>
      <c r="AM468" s="271"/>
      <c r="AN468" s="646"/>
      <c r="AO468" s="646"/>
      <c r="AP468" s="646"/>
      <c r="AQ468" s="271"/>
      <c r="AR468" s="646"/>
      <c r="AS468" s="270"/>
      <c r="AT468" s="646"/>
      <c r="AU468" s="646"/>
      <c r="AV468" s="646"/>
      <c r="AW468" s="270"/>
      <c r="AX468" s="646"/>
      <c r="AY468" s="270"/>
      <c r="AZ468" s="646"/>
      <c r="BA468" s="646"/>
      <c r="BB468" s="644"/>
      <c r="BC468" s="644"/>
      <c r="BD468" s="644"/>
      <c r="BE468" s="644"/>
      <c r="BF468" s="644"/>
      <c r="BG468" s="644"/>
      <c r="BH468" s="644"/>
      <c r="BI468" s="644"/>
      <c r="BJ468" s="644"/>
      <c r="BK468" s="644"/>
      <c r="BL468" s="644"/>
      <c r="BM468" s="95"/>
      <c r="BN468" s="644"/>
      <c r="BO468" s="95"/>
      <c r="BP468" s="644"/>
      <c r="BQ468" s="644"/>
      <c r="BR468" s="644"/>
      <c r="BS468" s="644"/>
      <c r="BT468" s="644"/>
      <c r="BU468" s="644"/>
      <c r="BV468" s="644"/>
      <c r="BW468" s="644"/>
      <c r="BX468" s="644"/>
      <c r="BY468" s="644"/>
      <c r="BZ468" s="644"/>
      <c r="CA468" s="644"/>
      <c r="CB468" s="644"/>
      <c r="CC468" s="644"/>
      <c r="CD468" s="644"/>
      <c r="CE468" s="644"/>
      <c r="CF468" s="644"/>
      <c r="CG468" s="644"/>
      <c r="CH468" s="644"/>
      <c r="CI468" s="644"/>
      <c r="CJ468" s="644"/>
      <c r="CK468" s="644"/>
      <c r="CL468" s="644"/>
      <c r="CM468" s="95"/>
      <c r="CN468" s="644"/>
      <c r="CO468" s="644"/>
      <c r="CP468" s="95"/>
      <c r="CQ468" s="98"/>
      <c r="CR468" s="95"/>
      <c r="CS468" s="95"/>
      <c r="CT468" s="95"/>
      <c r="CU468" s="108"/>
      <c r="CV468" s="109"/>
      <c r="CW468" s="644"/>
      <c r="CX468" s="496"/>
      <c r="CY468" s="637"/>
      <c r="CZ468" s="644"/>
      <c r="DA468" s="644"/>
      <c r="DB468" s="644"/>
      <c r="DC468" s="496"/>
      <c r="DD468" s="644"/>
      <c r="DE468" s="101"/>
      <c r="DF468" s="644"/>
      <c r="DG468" s="101"/>
      <c r="DH468" s="644"/>
      <c r="DI468" s="644"/>
      <c r="DJ468" s="644"/>
      <c r="DK468" s="644"/>
      <c r="DL468" s="644"/>
      <c r="DM468" s="101"/>
      <c r="DN468" s="644"/>
      <c r="DO468" s="644"/>
      <c r="DP468" s="644"/>
      <c r="DQ468" s="644"/>
      <c r="DR468" s="644"/>
      <c r="DS468" s="644"/>
      <c r="DT468" s="644"/>
      <c r="DU468" s="644"/>
      <c r="DV468" s="644"/>
      <c r="DW468" s="101"/>
      <c r="DX468" s="646"/>
      <c r="DY468" s="646"/>
      <c r="DZ468" s="646"/>
      <c r="EA468" s="646"/>
      <c r="EB468" s="646"/>
      <c r="EC468" s="646"/>
      <c r="ED468" s="646"/>
      <c r="EE468" s="646"/>
      <c r="EF468" s="646"/>
      <c r="EG468" s="646"/>
      <c r="EH468" s="646"/>
      <c r="EI468" s="646"/>
      <c r="EJ468" s="646"/>
      <c r="EK468" s="271"/>
      <c r="EL468" s="644"/>
      <c r="EM468" s="634"/>
      <c r="EN468" s="647"/>
      <c r="EO468" s="648"/>
      <c r="EP468" s="647"/>
      <c r="EQ468" s="647"/>
      <c r="ER468" s="647"/>
      <c r="ES468" s="139"/>
      <c r="EV468" s="647"/>
      <c r="EW468" s="647"/>
      <c r="EX468" s="647"/>
      <c r="EY468" s="647"/>
      <c r="EZ468" s="647"/>
      <c r="FA468" s="646"/>
      <c r="FB468" s="646"/>
      <c r="FC468" s="646"/>
      <c r="FD468" s="646"/>
      <c r="FE468" s="646"/>
      <c r="FF468" s="646"/>
      <c r="FG468" s="647"/>
      <c r="FH468" s="647"/>
      <c r="FI468" s="647"/>
      <c r="FJ468" s="647"/>
      <c r="FK468" s="647"/>
      <c r="FL468" s="647"/>
      <c r="FM468" s="647"/>
      <c r="FN468" s="647"/>
      <c r="FO468" s="647"/>
      <c r="FP468" s="647"/>
      <c r="FQ468" s="647"/>
      <c r="FR468" s="647"/>
      <c r="FS468" s="101"/>
      <c r="FT468" s="95"/>
      <c r="FU468" s="651"/>
      <c r="FV468" s="101"/>
      <c r="FW468" s="101"/>
      <c r="FX468" s="634"/>
      <c r="FY468" s="634"/>
      <c r="FZ468" s="634"/>
      <c r="GA468" s="634"/>
      <c r="GB468" s="634"/>
      <c r="GC468" s="634"/>
      <c r="GD468" s="634"/>
      <c r="GE468" s="634"/>
      <c r="GF468" s="634"/>
      <c r="GG468" s="634"/>
      <c r="GH468" s="634"/>
      <c r="GI468" s="634"/>
      <c r="GJ468" s="634"/>
      <c r="GK468" s="634"/>
      <c r="GL468" s="101"/>
      <c r="GM468" s="101"/>
      <c r="GN468" s="101"/>
      <c r="GO468" s="643"/>
      <c r="GP468" s="644"/>
      <c r="GQ468" s="643"/>
      <c r="GR468" s="644"/>
      <c r="GS468" s="643"/>
      <c r="GT468" s="644"/>
      <c r="GU468" s="644"/>
      <c r="GV468" s="644"/>
      <c r="GW468" s="644"/>
      <c r="GX468" s="644"/>
      <c r="GY468" s="644"/>
      <c r="GZ468" s="644"/>
      <c r="HA468" s="644"/>
    </row>
    <row r="469" spans="1:209">
      <c r="A469" s="638"/>
      <c r="B469" s="95"/>
      <c r="C469" s="95"/>
      <c r="D469" s="95"/>
      <c r="E469" s="650"/>
      <c r="F469" s="95"/>
      <c r="G469" s="98"/>
      <c r="H469" s="99"/>
      <c r="I469" s="95"/>
      <c r="J469" s="95"/>
      <c r="K469" s="95"/>
      <c r="L469" s="95"/>
      <c r="M469" s="95"/>
      <c r="N469" s="95"/>
      <c r="O469" s="95"/>
      <c r="P469" s="95"/>
      <c r="Q469" s="95"/>
      <c r="R469" s="98"/>
      <c r="S469" s="101"/>
      <c r="T469" s="644"/>
      <c r="U469" s="101"/>
      <c r="V469" s="647"/>
      <c r="W469" s="643"/>
      <c r="X469" s="644"/>
      <c r="Y469" s="101"/>
      <c r="Z469" s="644"/>
      <c r="AA469" s="101"/>
      <c r="AB469" s="644"/>
      <c r="AC469" s="101"/>
      <c r="AD469" s="646"/>
      <c r="AE469" s="271"/>
      <c r="AF469" s="646"/>
      <c r="AG469" s="646"/>
      <c r="AH469" s="646"/>
      <c r="AI469" s="646"/>
      <c r="AJ469" s="646"/>
      <c r="AK469" s="646"/>
      <c r="AL469" s="646"/>
      <c r="AM469" s="271"/>
      <c r="AN469" s="646"/>
      <c r="AO469" s="646"/>
      <c r="AP469" s="646"/>
      <c r="AQ469" s="271"/>
      <c r="AR469" s="646"/>
      <c r="AS469" s="270"/>
      <c r="AT469" s="646"/>
      <c r="AU469" s="646"/>
      <c r="AV469" s="646"/>
      <c r="AW469" s="270"/>
      <c r="AX469" s="646"/>
      <c r="AY469" s="270"/>
      <c r="AZ469" s="646"/>
      <c r="BA469" s="646"/>
      <c r="BB469" s="644"/>
      <c r="BC469" s="644"/>
      <c r="BD469" s="644"/>
      <c r="BE469" s="644"/>
      <c r="BF469" s="644"/>
      <c r="BG469" s="644"/>
      <c r="BH469" s="644"/>
      <c r="BI469" s="644"/>
      <c r="BJ469" s="644"/>
      <c r="BK469" s="644"/>
      <c r="BL469" s="644"/>
      <c r="BM469" s="95"/>
      <c r="BN469" s="644"/>
      <c r="BO469" s="95"/>
      <c r="BP469" s="644"/>
      <c r="BQ469" s="644"/>
      <c r="BR469" s="644"/>
      <c r="BS469" s="644"/>
      <c r="BT469" s="644"/>
      <c r="BU469" s="644"/>
      <c r="BV469" s="644"/>
      <c r="BW469" s="644"/>
      <c r="BX469" s="644"/>
      <c r="BY469" s="644"/>
      <c r="BZ469" s="644"/>
      <c r="CA469" s="644"/>
      <c r="CB469" s="644"/>
      <c r="CC469" s="644"/>
      <c r="CD469" s="644"/>
      <c r="CE469" s="644"/>
      <c r="CF469" s="644"/>
      <c r="CG469" s="644"/>
      <c r="CH469" s="644"/>
      <c r="CI469" s="644"/>
      <c r="CJ469" s="644"/>
      <c r="CK469" s="644"/>
      <c r="CL469" s="644"/>
      <c r="CM469" s="95"/>
      <c r="CN469" s="644"/>
      <c r="CO469" s="644"/>
      <c r="CP469" s="95"/>
      <c r="CQ469" s="98"/>
      <c r="CR469" s="95"/>
      <c r="CS469" s="95"/>
      <c r="CT469" s="95"/>
      <c r="CU469" s="108"/>
      <c r="CV469" s="109"/>
      <c r="CW469" s="644"/>
      <c r="CX469" s="496"/>
      <c r="CY469" s="637"/>
      <c r="CZ469" s="644"/>
      <c r="DA469" s="644"/>
      <c r="DB469" s="644"/>
      <c r="DC469" s="496"/>
      <c r="DD469" s="644"/>
      <c r="DE469" s="101"/>
      <c r="DF469" s="644"/>
      <c r="DG469" s="101"/>
      <c r="DH469" s="644"/>
      <c r="DI469" s="644"/>
      <c r="DJ469" s="644"/>
      <c r="DK469" s="644"/>
      <c r="DL469" s="644"/>
      <c r="DM469" s="101"/>
      <c r="DN469" s="644"/>
      <c r="DO469" s="644"/>
      <c r="DP469" s="644"/>
      <c r="DQ469" s="644"/>
      <c r="DR469" s="644"/>
      <c r="DS469" s="644"/>
      <c r="DT469" s="644"/>
      <c r="DU469" s="644"/>
      <c r="DV469" s="644"/>
      <c r="DW469" s="101"/>
      <c r="DX469" s="646"/>
      <c r="DY469" s="646"/>
      <c r="DZ469" s="646"/>
      <c r="EA469" s="646"/>
      <c r="EB469" s="646"/>
      <c r="EC469" s="646"/>
      <c r="ED469" s="646"/>
      <c r="EE469" s="646"/>
      <c r="EF469" s="646"/>
      <c r="EG469" s="646"/>
      <c r="EH469" s="646"/>
      <c r="EI469" s="646"/>
      <c r="EJ469" s="646"/>
      <c r="EK469" s="271"/>
      <c r="EL469" s="644"/>
      <c r="EM469" s="634"/>
      <c r="EN469" s="647"/>
      <c r="EO469" s="648"/>
      <c r="EP469" s="647"/>
      <c r="EQ469" s="647"/>
      <c r="ER469" s="647"/>
      <c r="ES469" s="139"/>
      <c r="EV469" s="647"/>
      <c r="EW469" s="647"/>
      <c r="EX469" s="647"/>
      <c r="EY469" s="647"/>
      <c r="EZ469" s="647"/>
      <c r="FA469" s="646"/>
      <c r="FB469" s="646"/>
      <c r="FC469" s="646"/>
      <c r="FD469" s="646"/>
      <c r="FE469" s="646"/>
      <c r="FF469" s="646"/>
      <c r="FG469" s="647"/>
      <c r="FH469" s="647"/>
      <c r="FI469" s="647"/>
      <c r="FJ469" s="647"/>
      <c r="FK469" s="647"/>
      <c r="FL469" s="647"/>
      <c r="FM469" s="647"/>
      <c r="FN469" s="647"/>
      <c r="FO469" s="647"/>
      <c r="FP469" s="647"/>
      <c r="FQ469" s="647"/>
      <c r="FR469" s="647"/>
      <c r="FS469" s="101"/>
      <c r="FT469" s="95"/>
      <c r="FU469" s="651"/>
      <c r="FV469" s="101"/>
      <c r="FW469" s="101"/>
      <c r="FX469" s="634"/>
      <c r="FY469" s="634"/>
      <c r="FZ469" s="634"/>
      <c r="GA469" s="634"/>
      <c r="GB469" s="634"/>
      <c r="GC469" s="634"/>
      <c r="GD469" s="634"/>
      <c r="GE469" s="634"/>
      <c r="GF469" s="634"/>
      <c r="GG469" s="634"/>
      <c r="GH469" s="634"/>
      <c r="GI469" s="634"/>
      <c r="GJ469" s="634"/>
      <c r="GK469" s="634"/>
      <c r="GL469" s="101"/>
      <c r="GM469" s="101"/>
      <c r="GN469" s="101"/>
      <c r="GO469" s="643"/>
      <c r="GP469" s="644"/>
      <c r="GQ469" s="643"/>
      <c r="GR469" s="644"/>
      <c r="GS469" s="643"/>
      <c r="GT469" s="644"/>
      <c r="GU469" s="644"/>
      <c r="GV469" s="644"/>
      <c r="GW469" s="644"/>
      <c r="GX469" s="644"/>
      <c r="GY469" s="644"/>
      <c r="GZ469" s="644"/>
      <c r="HA469" s="644"/>
    </row>
    <row r="470" spans="1:209">
      <c r="A470" s="638"/>
      <c r="B470" s="95"/>
      <c r="C470" s="95"/>
      <c r="D470" s="95"/>
      <c r="E470" s="650"/>
      <c r="F470" s="95"/>
      <c r="G470" s="98"/>
      <c r="H470" s="99"/>
      <c r="I470" s="95"/>
      <c r="J470" s="95"/>
      <c r="K470" s="95"/>
      <c r="L470" s="95"/>
      <c r="M470" s="95"/>
      <c r="N470" s="95"/>
      <c r="O470" s="95"/>
      <c r="P470" s="95"/>
      <c r="Q470" s="95"/>
      <c r="R470" s="98"/>
      <c r="S470" s="101"/>
      <c r="T470" s="644"/>
      <c r="U470" s="101"/>
      <c r="V470" s="647"/>
      <c r="W470" s="643"/>
      <c r="X470" s="644"/>
      <c r="Y470" s="101"/>
      <c r="Z470" s="644"/>
      <c r="AA470" s="101"/>
      <c r="AB470" s="644"/>
      <c r="AC470" s="101"/>
      <c r="AD470" s="646"/>
      <c r="AE470" s="271"/>
      <c r="AF470" s="646"/>
      <c r="AG470" s="646"/>
      <c r="AH470" s="646"/>
      <c r="AI470" s="646"/>
      <c r="AJ470" s="646"/>
      <c r="AK470" s="646"/>
      <c r="AL470" s="646"/>
      <c r="AM470" s="271"/>
      <c r="AN470" s="646"/>
      <c r="AO470" s="646"/>
      <c r="AP470" s="646"/>
      <c r="AQ470" s="271"/>
      <c r="AR470" s="646"/>
      <c r="AS470" s="270"/>
      <c r="AT470" s="646"/>
      <c r="AU470" s="646"/>
      <c r="AV470" s="646"/>
      <c r="AW470" s="270"/>
      <c r="AX470" s="646"/>
      <c r="AY470" s="270"/>
      <c r="AZ470" s="646"/>
      <c r="BA470" s="646"/>
      <c r="BB470" s="644"/>
      <c r="BC470" s="644"/>
      <c r="BD470" s="644"/>
      <c r="BE470" s="644"/>
      <c r="BF470" s="644"/>
      <c r="BG470" s="644"/>
      <c r="BH470" s="644"/>
      <c r="BI470" s="644"/>
      <c r="BJ470" s="644"/>
      <c r="BK470" s="644"/>
      <c r="BL470" s="644"/>
      <c r="BM470" s="95"/>
      <c r="BN470" s="644"/>
      <c r="BO470" s="95"/>
      <c r="BP470" s="644"/>
      <c r="BQ470" s="644"/>
      <c r="BR470" s="644"/>
      <c r="BS470" s="644"/>
      <c r="BT470" s="644"/>
      <c r="BU470" s="644"/>
      <c r="BV470" s="644"/>
      <c r="BW470" s="644"/>
      <c r="BX470" s="644"/>
      <c r="BY470" s="644"/>
      <c r="BZ470" s="644"/>
      <c r="CA470" s="644"/>
      <c r="CB470" s="644"/>
      <c r="CC470" s="644"/>
      <c r="CD470" s="644"/>
      <c r="CE470" s="644"/>
      <c r="CF470" s="644"/>
      <c r="CG470" s="644"/>
      <c r="CH470" s="644"/>
      <c r="CI470" s="644"/>
      <c r="CJ470" s="644"/>
      <c r="CK470" s="644"/>
      <c r="CL470" s="644"/>
      <c r="CM470" s="95"/>
      <c r="CN470" s="644"/>
      <c r="CO470" s="644"/>
      <c r="CP470" s="95"/>
      <c r="CQ470" s="98"/>
      <c r="CR470" s="95"/>
      <c r="CS470" s="95"/>
      <c r="CT470" s="95"/>
      <c r="CU470" s="108"/>
      <c r="CV470" s="109"/>
      <c r="CW470" s="644"/>
      <c r="CX470" s="496"/>
      <c r="CY470" s="637"/>
      <c r="CZ470" s="644"/>
      <c r="DA470" s="644"/>
      <c r="DB470" s="644"/>
      <c r="DC470" s="496"/>
      <c r="DD470" s="644"/>
      <c r="DE470" s="101"/>
      <c r="DF470" s="644"/>
      <c r="DG470" s="101"/>
      <c r="DH470" s="644"/>
      <c r="DI470" s="644"/>
      <c r="DJ470" s="644"/>
      <c r="DK470" s="644"/>
      <c r="DL470" s="644"/>
      <c r="DM470" s="101"/>
      <c r="DN470" s="644"/>
      <c r="DO470" s="644"/>
      <c r="DP470" s="644"/>
      <c r="DQ470" s="644"/>
      <c r="DR470" s="644"/>
      <c r="DS470" s="644"/>
      <c r="DT470" s="644"/>
      <c r="DU470" s="644"/>
      <c r="DV470" s="644"/>
      <c r="DW470" s="101"/>
      <c r="DX470" s="646"/>
      <c r="DY470" s="646"/>
      <c r="DZ470" s="646"/>
      <c r="EA470" s="646"/>
      <c r="EB470" s="646"/>
      <c r="EC470" s="646"/>
      <c r="ED470" s="646"/>
      <c r="EE470" s="646"/>
      <c r="EF470" s="646"/>
      <c r="EG470" s="646"/>
      <c r="EH470" s="646"/>
      <c r="EI470" s="646"/>
      <c r="EJ470" s="646"/>
      <c r="EK470" s="271"/>
      <c r="EL470" s="644"/>
      <c r="EM470" s="634"/>
      <c r="EN470" s="647"/>
      <c r="EO470" s="648"/>
      <c r="EP470" s="647"/>
      <c r="EQ470" s="647"/>
      <c r="ER470" s="647"/>
      <c r="ES470" s="139"/>
      <c r="EV470" s="647"/>
      <c r="EW470" s="647"/>
      <c r="EX470" s="647"/>
      <c r="EY470" s="647"/>
      <c r="EZ470" s="647"/>
      <c r="FA470" s="646"/>
      <c r="FB470" s="646"/>
      <c r="FC470" s="646"/>
      <c r="FD470" s="646"/>
      <c r="FE470" s="646"/>
      <c r="FF470" s="646"/>
      <c r="FG470" s="647"/>
      <c r="FH470" s="647"/>
      <c r="FI470" s="647"/>
      <c r="FJ470" s="647"/>
      <c r="FK470" s="647"/>
      <c r="FL470" s="647"/>
      <c r="FM470" s="647"/>
      <c r="FN470" s="647"/>
      <c r="FO470" s="647"/>
      <c r="FP470" s="647"/>
      <c r="FQ470" s="647"/>
      <c r="FR470" s="647"/>
      <c r="FS470" s="101"/>
      <c r="FT470" s="95"/>
      <c r="FU470" s="651"/>
      <c r="FV470" s="101"/>
      <c r="FW470" s="101"/>
      <c r="FX470" s="634"/>
      <c r="FY470" s="634"/>
      <c r="FZ470" s="634"/>
      <c r="GA470" s="634"/>
      <c r="GB470" s="634"/>
      <c r="GC470" s="634"/>
      <c r="GD470" s="634"/>
      <c r="GE470" s="634"/>
      <c r="GF470" s="634"/>
      <c r="GG470" s="634"/>
      <c r="GH470" s="634"/>
      <c r="GI470" s="634"/>
      <c r="GJ470" s="634"/>
      <c r="GK470" s="634"/>
      <c r="GL470" s="101"/>
      <c r="GM470" s="101"/>
      <c r="GN470" s="101"/>
      <c r="GO470" s="643"/>
      <c r="GP470" s="644"/>
      <c r="GQ470" s="643"/>
      <c r="GR470" s="644"/>
      <c r="GS470" s="643"/>
      <c r="GT470" s="644"/>
      <c r="GU470" s="644"/>
      <c r="GV470" s="644"/>
      <c r="GW470" s="644"/>
      <c r="GX470" s="644"/>
      <c r="GY470" s="644"/>
      <c r="GZ470" s="644"/>
      <c r="HA470" s="644"/>
    </row>
    <row r="471" spans="1:209">
      <c r="A471" s="638"/>
      <c r="B471" s="95"/>
      <c r="C471" s="95"/>
      <c r="D471" s="95"/>
      <c r="E471" s="650"/>
      <c r="F471" s="95"/>
      <c r="G471" s="98"/>
      <c r="H471" s="99"/>
      <c r="I471" s="95"/>
      <c r="J471" s="95"/>
      <c r="K471" s="95"/>
      <c r="L471" s="95"/>
      <c r="M471" s="95"/>
      <c r="N471" s="95"/>
      <c r="O471" s="95"/>
      <c r="P471" s="95"/>
      <c r="Q471" s="95"/>
      <c r="R471" s="98"/>
      <c r="S471" s="101"/>
      <c r="T471" s="644"/>
      <c r="U471" s="101"/>
      <c r="V471" s="647"/>
      <c r="W471" s="643"/>
      <c r="X471" s="644"/>
      <c r="Y471" s="101"/>
      <c r="Z471" s="644"/>
      <c r="AA471" s="101"/>
      <c r="AB471" s="644"/>
      <c r="AC471" s="101"/>
      <c r="AD471" s="646"/>
      <c r="AE471" s="271"/>
      <c r="AF471" s="646"/>
      <c r="AG471" s="646"/>
      <c r="AH471" s="646"/>
      <c r="AI471" s="646"/>
      <c r="AJ471" s="646"/>
      <c r="AK471" s="646"/>
      <c r="AL471" s="646"/>
      <c r="AM471" s="271"/>
      <c r="AN471" s="646"/>
      <c r="AO471" s="646"/>
      <c r="AP471" s="646"/>
      <c r="AQ471" s="271"/>
      <c r="AR471" s="646"/>
      <c r="AS471" s="270"/>
      <c r="AT471" s="646"/>
      <c r="AU471" s="646"/>
      <c r="AV471" s="646"/>
      <c r="AW471" s="270"/>
      <c r="AX471" s="646"/>
      <c r="AY471" s="270"/>
      <c r="AZ471" s="646"/>
      <c r="BA471" s="646"/>
      <c r="BB471" s="644"/>
      <c r="BC471" s="644"/>
      <c r="BD471" s="644"/>
      <c r="BE471" s="644"/>
      <c r="BF471" s="644"/>
      <c r="BG471" s="644"/>
      <c r="BH471" s="644"/>
      <c r="BI471" s="644"/>
      <c r="BJ471" s="644"/>
      <c r="BK471" s="644"/>
      <c r="BL471" s="644"/>
      <c r="BM471" s="95"/>
      <c r="BN471" s="644"/>
      <c r="BO471" s="95"/>
      <c r="BP471" s="644"/>
      <c r="BQ471" s="644"/>
      <c r="BR471" s="644"/>
      <c r="BS471" s="644"/>
      <c r="BT471" s="644"/>
      <c r="BU471" s="644"/>
      <c r="BV471" s="644"/>
      <c r="BW471" s="644"/>
      <c r="BX471" s="644"/>
      <c r="BY471" s="644"/>
      <c r="BZ471" s="644"/>
      <c r="CA471" s="644"/>
      <c r="CB471" s="644"/>
      <c r="CC471" s="644"/>
      <c r="CD471" s="644"/>
      <c r="CE471" s="644"/>
      <c r="CF471" s="644"/>
      <c r="CG471" s="644"/>
      <c r="CH471" s="644"/>
      <c r="CI471" s="644"/>
      <c r="CJ471" s="644"/>
      <c r="CK471" s="644"/>
      <c r="CL471" s="644"/>
      <c r="CM471" s="95"/>
      <c r="CN471" s="644"/>
      <c r="CO471" s="644"/>
      <c r="CP471" s="95"/>
      <c r="CQ471" s="98"/>
      <c r="CR471" s="95"/>
      <c r="CS471" s="95"/>
      <c r="CT471" s="95"/>
      <c r="CU471" s="108"/>
      <c r="CV471" s="109"/>
      <c r="CW471" s="644"/>
      <c r="CX471" s="496"/>
      <c r="CY471" s="637"/>
      <c r="CZ471" s="644"/>
      <c r="DA471" s="644"/>
      <c r="DB471" s="644"/>
      <c r="DC471" s="496"/>
      <c r="DD471" s="644"/>
      <c r="DE471" s="101"/>
      <c r="DF471" s="644"/>
      <c r="DG471" s="101"/>
      <c r="DH471" s="644"/>
      <c r="DI471" s="644"/>
      <c r="DJ471" s="644"/>
      <c r="DK471" s="644"/>
      <c r="DL471" s="644"/>
      <c r="DM471" s="101"/>
      <c r="DN471" s="644"/>
      <c r="DO471" s="644"/>
      <c r="DP471" s="644"/>
      <c r="DQ471" s="644"/>
      <c r="DR471" s="644"/>
      <c r="DS471" s="644"/>
      <c r="DT471" s="644"/>
      <c r="DU471" s="644"/>
      <c r="DV471" s="644"/>
      <c r="DW471" s="101"/>
      <c r="DX471" s="646"/>
      <c r="DY471" s="646"/>
      <c r="DZ471" s="646"/>
      <c r="EA471" s="646"/>
      <c r="EB471" s="646"/>
      <c r="EC471" s="646"/>
      <c r="ED471" s="646"/>
      <c r="EE471" s="646"/>
      <c r="EF471" s="646"/>
      <c r="EG471" s="646"/>
      <c r="EH471" s="646"/>
      <c r="EI471" s="646"/>
      <c r="EJ471" s="646"/>
      <c r="EK471" s="271"/>
      <c r="EL471" s="644"/>
      <c r="EM471" s="634"/>
      <c r="EN471" s="647"/>
      <c r="EO471" s="648"/>
      <c r="EP471" s="647"/>
      <c r="EQ471" s="647"/>
      <c r="ER471" s="647"/>
      <c r="ES471" s="139"/>
      <c r="EV471" s="647"/>
      <c r="EW471" s="647"/>
      <c r="EX471" s="647"/>
      <c r="EY471" s="647"/>
      <c r="EZ471" s="647"/>
      <c r="FA471" s="646"/>
      <c r="FB471" s="646"/>
      <c r="FC471" s="646"/>
      <c r="FD471" s="646"/>
      <c r="FE471" s="646"/>
      <c r="FF471" s="646"/>
      <c r="FG471" s="647"/>
      <c r="FH471" s="647"/>
      <c r="FI471" s="647"/>
      <c r="FJ471" s="647"/>
      <c r="FK471" s="647"/>
      <c r="FL471" s="647"/>
      <c r="FM471" s="647"/>
      <c r="FN471" s="647"/>
      <c r="FO471" s="647"/>
      <c r="FP471" s="647"/>
      <c r="FQ471" s="647"/>
      <c r="FR471" s="647"/>
      <c r="FS471" s="101"/>
      <c r="FT471" s="95"/>
      <c r="FU471" s="651"/>
      <c r="FV471" s="101"/>
      <c r="FW471" s="101"/>
      <c r="FX471" s="634"/>
      <c r="FY471" s="634"/>
      <c r="FZ471" s="634"/>
      <c r="GA471" s="634"/>
      <c r="GB471" s="634"/>
      <c r="GC471" s="634"/>
      <c r="GD471" s="634"/>
      <c r="GE471" s="634"/>
      <c r="GF471" s="634"/>
      <c r="GG471" s="634"/>
      <c r="GH471" s="634"/>
      <c r="GI471" s="634"/>
      <c r="GJ471" s="634"/>
      <c r="GK471" s="634"/>
      <c r="GL471" s="101"/>
      <c r="GM471" s="101"/>
      <c r="GN471" s="101"/>
      <c r="GO471" s="643"/>
      <c r="GP471" s="644"/>
      <c r="GQ471" s="643"/>
      <c r="GR471" s="644"/>
      <c r="GS471" s="643"/>
      <c r="GT471" s="644"/>
      <c r="GU471" s="644"/>
      <c r="GV471" s="644"/>
      <c r="GW471" s="644"/>
      <c r="GX471" s="644"/>
      <c r="GY471" s="644"/>
      <c r="GZ471" s="644"/>
      <c r="HA471" s="644"/>
    </row>
    <row r="472" spans="1:209">
      <c r="A472" s="638"/>
      <c r="B472" s="95"/>
      <c r="C472" s="95"/>
      <c r="D472" s="95"/>
      <c r="E472" s="650"/>
      <c r="F472" s="95"/>
      <c r="G472" s="98"/>
      <c r="H472" s="99"/>
      <c r="I472" s="95"/>
      <c r="J472" s="95"/>
      <c r="K472" s="95"/>
      <c r="L472" s="95"/>
      <c r="M472" s="95"/>
      <c r="N472" s="95"/>
      <c r="O472" s="95"/>
      <c r="P472" s="95"/>
      <c r="Q472" s="95"/>
      <c r="R472" s="98"/>
      <c r="S472" s="101"/>
      <c r="T472" s="644"/>
      <c r="U472" s="101"/>
      <c r="V472" s="647"/>
      <c r="W472" s="643"/>
      <c r="X472" s="644"/>
      <c r="Y472" s="101"/>
      <c r="Z472" s="644"/>
      <c r="AA472" s="101"/>
      <c r="AB472" s="644"/>
      <c r="AC472" s="101"/>
      <c r="AD472" s="646"/>
      <c r="AE472" s="271"/>
      <c r="AF472" s="646"/>
      <c r="AG472" s="646"/>
      <c r="AH472" s="646"/>
      <c r="AI472" s="646"/>
      <c r="AJ472" s="646"/>
      <c r="AK472" s="646"/>
      <c r="AL472" s="646"/>
      <c r="AM472" s="271"/>
      <c r="AN472" s="646"/>
      <c r="AO472" s="646"/>
      <c r="AP472" s="646"/>
      <c r="AQ472" s="271"/>
      <c r="AR472" s="646"/>
      <c r="AS472" s="270"/>
      <c r="AT472" s="646"/>
      <c r="AU472" s="646"/>
      <c r="AV472" s="646"/>
      <c r="AW472" s="270"/>
      <c r="AX472" s="646"/>
      <c r="AY472" s="270"/>
      <c r="AZ472" s="646"/>
      <c r="BA472" s="646"/>
      <c r="BB472" s="644"/>
      <c r="BC472" s="644"/>
      <c r="BD472" s="644"/>
      <c r="BE472" s="644"/>
      <c r="BF472" s="644"/>
      <c r="BG472" s="644"/>
      <c r="BH472" s="644"/>
      <c r="BI472" s="644"/>
      <c r="BJ472" s="644"/>
      <c r="BK472" s="644"/>
      <c r="BL472" s="644"/>
      <c r="BM472" s="95"/>
      <c r="BN472" s="644"/>
      <c r="BO472" s="95"/>
      <c r="BP472" s="644"/>
      <c r="BQ472" s="644"/>
      <c r="BR472" s="644"/>
      <c r="BS472" s="644"/>
      <c r="BT472" s="644"/>
      <c r="BU472" s="644"/>
      <c r="BV472" s="644"/>
      <c r="BW472" s="644"/>
      <c r="BX472" s="644"/>
      <c r="BY472" s="644"/>
      <c r="BZ472" s="644"/>
      <c r="CA472" s="644"/>
      <c r="CB472" s="644"/>
      <c r="CC472" s="644"/>
      <c r="CD472" s="644"/>
      <c r="CE472" s="644"/>
      <c r="CF472" s="644"/>
      <c r="CG472" s="644"/>
      <c r="CH472" s="644"/>
      <c r="CI472" s="644"/>
      <c r="CJ472" s="644"/>
      <c r="CK472" s="644"/>
      <c r="CL472" s="644"/>
      <c r="CM472" s="95"/>
      <c r="CN472" s="644"/>
      <c r="CO472" s="644"/>
      <c r="CP472" s="95"/>
      <c r="CQ472" s="98"/>
      <c r="CR472" s="95"/>
      <c r="CS472" s="95"/>
      <c r="CT472" s="95"/>
      <c r="CU472" s="108"/>
      <c r="CV472" s="109"/>
      <c r="CW472" s="644"/>
      <c r="CX472" s="496"/>
      <c r="CY472" s="637"/>
      <c r="CZ472" s="644"/>
      <c r="DA472" s="644"/>
      <c r="DB472" s="644"/>
      <c r="DC472" s="496"/>
      <c r="DD472" s="644"/>
      <c r="DE472" s="101"/>
      <c r="DF472" s="644"/>
      <c r="DG472" s="101"/>
      <c r="DH472" s="644"/>
      <c r="DI472" s="644"/>
      <c r="DJ472" s="644"/>
      <c r="DK472" s="644"/>
      <c r="DL472" s="644"/>
      <c r="DM472" s="101"/>
      <c r="DN472" s="644"/>
      <c r="DO472" s="644"/>
      <c r="DP472" s="644"/>
      <c r="DQ472" s="644"/>
      <c r="DR472" s="644"/>
      <c r="DS472" s="644"/>
      <c r="DT472" s="644"/>
      <c r="DU472" s="644"/>
      <c r="DV472" s="644"/>
      <c r="DW472" s="101"/>
      <c r="DX472" s="646"/>
      <c r="DY472" s="646"/>
      <c r="DZ472" s="646"/>
      <c r="EA472" s="646"/>
      <c r="EB472" s="646"/>
      <c r="EC472" s="646"/>
      <c r="ED472" s="646"/>
      <c r="EE472" s="646"/>
      <c r="EF472" s="646"/>
      <c r="EG472" s="646"/>
      <c r="EH472" s="646"/>
      <c r="EI472" s="646"/>
      <c r="EJ472" s="646"/>
      <c r="EK472" s="271"/>
      <c r="EL472" s="644"/>
      <c r="EM472" s="634"/>
      <c r="EN472" s="647"/>
      <c r="EO472" s="648"/>
      <c r="EP472" s="647"/>
      <c r="EQ472" s="647"/>
      <c r="ER472" s="647"/>
      <c r="ES472" s="139"/>
      <c r="EV472" s="647"/>
      <c r="EW472" s="647"/>
      <c r="EX472" s="647"/>
      <c r="EY472" s="647"/>
      <c r="EZ472" s="647"/>
      <c r="FA472" s="646"/>
      <c r="FB472" s="646"/>
      <c r="FC472" s="646"/>
      <c r="FD472" s="646"/>
      <c r="FE472" s="646"/>
      <c r="FF472" s="646"/>
      <c r="FG472" s="647"/>
      <c r="FH472" s="647"/>
      <c r="FI472" s="647"/>
      <c r="FJ472" s="647"/>
      <c r="FK472" s="647"/>
      <c r="FL472" s="647"/>
      <c r="FM472" s="647"/>
      <c r="FN472" s="647"/>
      <c r="FO472" s="647"/>
      <c r="FP472" s="647"/>
      <c r="FQ472" s="647"/>
      <c r="FR472" s="647"/>
      <c r="FS472" s="101"/>
      <c r="FT472" s="95"/>
      <c r="FU472" s="651"/>
      <c r="FV472" s="101"/>
      <c r="FW472" s="101"/>
      <c r="FX472" s="634"/>
      <c r="FY472" s="634"/>
      <c r="FZ472" s="634"/>
      <c r="GA472" s="634"/>
      <c r="GB472" s="634"/>
      <c r="GC472" s="634"/>
      <c r="GD472" s="634"/>
      <c r="GE472" s="634"/>
      <c r="GF472" s="634"/>
      <c r="GG472" s="634"/>
      <c r="GH472" s="634"/>
      <c r="GI472" s="634"/>
      <c r="GJ472" s="634"/>
      <c r="GK472" s="634"/>
      <c r="GL472" s="101"/>
      <c r="GM472" s="101"/>
      <c r="GN472" s="101"/>
      <c r="GO472" s="643"/>
      <c r="GP472" s="644"/>
      <c r="GQ472" s="643"/>
      <c r="GR472" s="644"/>
      <c r="GS472" s="643"/>
      <c r="GT472" s="644"/>
      <c r="GU472" s="644"/>
      <c r="GV472" s="644"/>
      <c r="GW472" s="644"/>
      <c r="GX472" s="644"/>
      <c r="GY472" s="644"/>
      <c r="GZ472" s="644"/>
      <c r="HA472" s="644"/>
    </row>
    <row r="473" spans="1:209">
      <c r="A473" s="638"/>
      <c r="B473" s="95"/>
      <c r="C473" s="95"/>
      <c r="D473" s="95"/>
      <c r="E473" s="650"/>
      <c r="F473" s="95"/>
      <c r="G473" s="98"/>
      <c r="H473" s="99"/>
      <c r="I473" s="95"/>
      <c r="J473" s="95"/>
      <c r="K473" s="95"/>
      <c r="L473" s="95"/>
      <c r="M473" s="95"/>
      <c r="N473" s="95"/>
      <c r="O473" s="95"/>
      <c r="P473" s="95"/>
      <c r="Q473" s="95"/>
      <c r="R473" s="98"/>
      <c r="S473" s="101"/>
      <c r="T473" s="644"/>
      <c r="U473" s="101"/>
      <c r="V473" s="647"/>
      <c r="W473" s="643"/>
      <c r="X473" s="644"/>
      <c r="Y473" s="101"/>
      <c r="Z473" s="644"/>
      <c r="AA473" s="101"/>
      <c r="AB473" s="644"/>
      <c r="AC473" s="101"/>
      <c r="AD473" s="646"/>
      <c r="AE473" s="271"/>
      <c r="AF473" s="646"/>
      <c r="AG473" s="646"/>
      <c r="AH473" s="646"/>
      <c r="AI473" s="646"/>
      <c r="AJ473" s="646"/>
      <c r="AK473" s="646"/>
      <c r="AL473" s="646"/>
      <c r="AM473" s="271"/>
      <c r="AN473" s="646"/>
      <c r="AO473" s="646"/>
      <c r="AP473" s="646"/>
      <c r="AQ473" s="271"/>
      <c r="AR473" s="646"/>
      <c r="AS473" s="270"/>
      <c r="AT473" s="646"/>
      <c r="AU473" s="646"/>
      <c r="AV473" s="646"/>
      <c r="AW473" s="270"/>
      <c r="AX473" s="646"/>
      <c r="AY473" s="270"/>
      <c r="AZ473" s="646"/>
      <c r="BA473" s="646"/>
      <c r="BB473" s="644"/>
      <c r="BC473" s="644"/>
      <c r="BD473" s="644"/>
      <c r="BE473" s="644"/>
      <c r="BF473" s="644"/>
      <c r="BG473" s="644"/>
      <c r="BH473" s="644"/>
      <c r="BI473" s="644"/>
      <c r="BJ473" s="644"/>
      <c r="BK473" s="644"/>
      <c r="BL473" s="644"/>
      <c r="BM473" s="95"/>
      <c r="BN473" s="644"/>
      <c r="BO473" s="95"/>
      <c r="BP473" s="644"/>
      <c r="BQ473" s="644"/>
      <c r="BR473" s="644"/>
      <c r="BS473" s="644"/>
      <c r="BT473" s="644"/>
      <c r="BU473" s="644"/>
      <c r="BV473" s="644"/>
      <c r="BW473" s="644"/>
      <c r="BX473" s="644"/>
      <c r="BY473" s="644"/>
      <c r="BZ473" s="644"/>
      <c r="CA473" s="644"/>
      <c r="CB473" s="644"/>
      <c r="CC473" s="644"/>
      <c r="CD473" s="644"/>
      <c r="CE473" s="644"/>
      <c r="CF473" s="644"/>
      <c r="CG473" s="644"/>
      <c r="CH473" s="644"/>
      <c r="CI473" s="644"/>
      <c r="CJ473" s="644"/>
      <c r="CK473" s="644"/>
      <c r="CL473" s="644"/>
      <c r="CM473" s="95"/>
      <c r="CN473" s="644"/>
      <c r="CO473" s="644"/>
      <c r="CP473" s="95"/>
      <c r="CQ473" s="98"/>
      <c r="CR473" s="95"/>
      <c r="CS473" s="95"/>
      <c r="CT473" s="95"/>
      <c r="CU473" s="108"/>
      <c r="CV473" s="109"/>
      <c r="CW473" s="644"/>
      <c r="CX473" s="496"/>
      <c r="CY473" s="637"/>
      <c r="CZ473" s="644"/>
      <c r="DA473" s="644"/>
      <c r="DB473" s="644"/>
      <c r="DC473" s="496"/>
      <c r="DD473" s="644"/>
      <c r="DE473" s="101"/>
      <c r="DF473" s="644"/>
      <c r="DG473" s="101"/>
      <c r="DH473" s="644"/>
      <c r="DI473" s="644"/>
      <c r="DJ473" s="644"/>
      <c r="DK473" s="644"/>
      <c r="DL473" s="644"/>
      <c r="DM473" s="101"/>
      <c r="DN473" s="644"/>
      <c r="DO473" s="644"/>
      <c r="DP473" s="644"/>
      <c r="DQ473" s="644"/>
      <c r="DR473" s="644"/>
      <c r="DS473" s="644"/>
      <c r="DT473" s="644"/>
      <c r="DU473" s="644"/>
      <c r="DV473" s="644"/>
      <c r="DW473" s="101"/>
      <c r="DX473" s="646"/>
      <c r="DY473" s="646"/>
      <c r="DZ473" s="646"/>
      <c r="EA473" s="646"/>
      <c r="EB473" s="646"/>
      <c r="EC473" s="646"/>
      <c r="ED473" s="646"/>
      <c r="EE473" s="646"/>
      <c r="EF473" s="646"/>
      <c r="EG473" s="646"/>
      <c r="EH473" s="646"/>
      <c r="EI473" s="646"/>
      <c r="EJ473" s="646"/>
      <c r="EK473" s="271"/>
      <c r="EL473" s="644"/>
      <c r="EM473" s="634"/>
      <c r="EN473" s="647"/>
      <c r="EO473" s="648"/>
      <c r="EP473" s="647"/>
      <c r="EQ473" s="647"/>
      <c r="ER473" s="647"/>
      <c r="ES473" s="139"/>
      <c r="EV473" s="647"/>
      <c r="EW473" s="647"/>
      <c r="EX473" s="647"/>
      <c r="EY473" s="647"/>
      <c r="EZ473" s="647"/>
      <c r="FA473" s="646"/>
      <c r="FB473" s="646"/>
      <c r="FC473" s="646"/>
      <c r="FD473" s="646"/>
      <c r="FE473" s="646"/>
      <c r="FF473" s="646"/>
      <c r="FG473" s="647"/>
      <c r="FH473" s="647"/>
      <c r="FI473" s="647"/>
      <c r="FJ473" s="647"/>
      <c r="FK473" s="647"/>
      <c r="FL473" s="647"/>
      <c r="FM473" s="647"/>
      <c r="FN473" s="647"/>
      <c r="FO473" s="647"/>
      <c r="FP473" s="647"/>
      <c r="FQ473" s="647"/>
      <c r="FR473" s="647"/>
      <c r="FS473" s="101"/>
      <c r="FT473" s="95"/>
      <c r="FU473" s="651"/>
      <c r="FV473" s="101"/>
      <c r="FW473" s="101"/>
      <c r="FX473" s="634"/>
      <c r="FY473" s="634"/>
      <c r="FZ473" s="634"/>
      <c r="GA473" s="634"/>
      <c r="GB473" s="634"/>
      <c r="GC473" s="634"/>
      <c r="GD473" s="634"/>
      <c r="GE473" s="634"/>
      <c r="GF473" s="634"/>
      <c r="GG473" s="634"/>
      <c r="GH473" s="634"/>
      <c r="GI473" s="634"/>
      <c r="GJ473" s="634"/>
      <c r="GK473" s="634"/>
      <c r="GL473" s="101"/>
      <c r="GM473" s="101"/>
      <c r="GN473" s="101"/>
      <c r="GO473" s="643"/>
      <c r="GP473" s="644"/>
      <c r="GQ473" s="643"/>
      <c r="GR473" s="644"/>
      <c r="GS473" s="643"/>
      <c r="GT473" s="644"/>
      <c r="GU473" s="644"/>
      <c r="GV473" s="644"/>
      <c r="GW473" s="644"/>
      <c r="GX473" s="644"/>
      <c r="GY473" s="644"/>
      <c r="GZ473" s="644"/>
      <c r="HA473" s="644"/>
    </row>
    <row r="474" spans="1:209">
      <c r="A474" s="638"/>
      <c r="B474" s="95"/>
      <c r="C474" s="95"/>
      <c r="D474" s="95"/>
      <c r="E474" s="650"/>
      <c r="F474" s="95"/>
      <c r="G474" s="98"/>
      <c r="H474" s="99"/>
      <c r="I474" s="95"/>
      <c r="J474" s="95"/>
      <c r="K474" s="95"/>
      <c r="L474" s="95"/>
      <c r="M474" s="95"/>
      <c r="N474" s="95"/>
      <c r="O474" s="95"/>
      <c r="P474" s="95"/>
      <c r="Q474" s="95"/>
      <c r="R474" s="98"/>
      <c r="S474" s="101"/>
      <c r="T474" s="644"/>
      <c r="U474" s="101"/>
      <c r="V474" s="647"/>
      <c r="W474" s="643"/>
      <c r="X474" s="644"/>
      <c r="Y474" s="101"/>
      <c r="Z474" s="644"/>
      <c r="AA474" s="101"/>
      <c r="AB474" s="644"/>
      <c r="AC474" s="101"/>
      <c r="AD474" s="646"/>
      <c r="AE474" s="271"/>
      <c r="AF474" s="646"/>
      <c r="AG474" s="646"/>
      <c r="AH474" s="646"/>
      <c r="AI474" s="646"/>
      <c r="AJ474" s="646"/>
      <c r="AK474" s="646"/>
      <c r="AL474" s="646"/>
      <c r="AM474" s="271"/>
      <c r="AN474" s="646"/>
      <c r="AO474" s="646"/>
      <c r="AP474" s="646"/>
      <c r="AQ474" s="271"/>
      <c r="AR474" s="646"/>
      <c r="AS474" s="270"/>
      <c r="AT474" s="646"/>
      <c r="AU474" s="646"/>
      <c r="AV474" s="646"/>
      <c r="AW474" s="270"/>
      <c r="AX474" s="646"/>
      <c r="AY474" s="270"/>
      <c r="AZ474" s="646"/>
      <c r="BA474" s="646"/>
      <c r="BB474" s="644"/>
      <c r="BC474" s="644"/>
      <c r="BD474" s="644"/>
      <c r="BE474" s="644"/>
      <c r="BF474" s="644"/>
      <c r="BG474" s="644"/>
      <c r="BH474" s="644"/>
      <c r="BI474" s="644"/>
      <c r="BJ474" s="644"/>
      <c r="BK474" s="644"/>
      <c r="BL474" s="644"/>
      <c r="BM474" s="95"/>
      <c r="BN474" s="644"/>
      <c r="BO474" s="95"/>
      <c r="BP474" s="644"/>
      <c r="BQ474" s="644"/>
      <c r="BR474" s="644"/>
      <c r="BS474" s="644"/>
      <c r="BT474" s="644"/>
      <c r="BU474" s="644"/>
      <c r="BV474" s="644"/>
      <c r="BW474" s="644"/>
      <c r="BX474" s="644"/>
      <c r="BY474" s="644"/>
      <c r="BZ474" s="644"/>
      <c r="CA474" s="644"/>
      <c r="CB474" s="644"/>
      <c r="CC474" s="644"/>
      <c r="CD474" s="644"/>
      <c r="CE474" s="644"/>
      <c r="CF474" s="644"/>
      <c r="CG474" s="644"/>
      <c r="CH474" s="644"/>
      <c r="CI474" s="644"/>
      <c r="CJ474" s="644"/>
      <c r="CK474" s="644"/>
      <c r="CL474" s="644"/>
      <c r="CM474" s="95"/>
      <c r="CN474" s="644"/>
      <c r="CO474" s="644"/>
      <c r="CP474" s="95"/>
      <c r="CQ474" s="98"/>
      <c r="CR474" s="95"/>
      <c r="CS474" s="95"/>
      <c r="CT474" s="95"/>
      <c r="CU474" s="108"/>
      <c r="CV474" s="109"/>
      <c r="CW474" s="644"/>
      <c r="CX474" s="496"/>
      <c r="CY474" s="637"/>
      <c r="CZ474" s="644"/>
      <c r="DA474" s="644"/>
      <c r="DB474" s="644"/>
      <c r="DC474" s="496"/>
      <c r="DD474" s="644"/>
      <c r="DE474" s="101"/>
      <c r="DF474" s="644"/>
      <c r="DG474" s="101"/>
      <c r="DH474" s="644"/>
      <c r="DI474" s="644"/>
      <c r="DJ474" s="644"/>
      <c r="DK474" s="644"/>
      <c r="DL474" s="644"/>
      <c r="DM474" s="101"/>
      <c r="DN474" s="644"/>
      <c r="DO474" s="644"/>
      <c r="DP474" s="644"/>
      <c r="DQ474" s="644"/>
      <c r="DR474" s="644"/>
      <c r="DS474" s="644"/>
      <c r="DT474" s="644"/>
      <c r="DU474" s="644"/>
      <c r="DV474" s="644"/>
      <c r="DW474" s="101"/>
      <c r="DX474" s="646"/>
      <c r="DY474" s="646"/>
      <c r="DZ474" s="646"/>
      <c r="EA474" s="646"/>
      <c r="EB474" s="646"/>
      <c r="EC474" s="646"/>
      <c r="ED474" s="646"/>
      <c r="EE474" s="646"/>
      <c r="EF474" s="646"/>
      <c r="EG474" s="646"/>
      <c r="EH474" s="646"/>
      <c r="EI474" s="646"/>
      <c r="EJ474" s="646"/>
      <c r="EK474" s="271"/>
      <c r="EL474" s="644"/>
      <c r="EM474" s="634"/>
      <c r="EN474" s="647"/>
      <c r="EO474" s="648"/>
      <c r="EP474" s="647"/>
      <c r="EQ474" s="647"/>
      <c r="ER474" s="647"/>
      <c r="ES474" s="139"/>
      <c r="EV474" s="647"/>
      <c r="EW474" s="647"/>
      <c r="EX474" s="647"/>
      <c r="EY474" s="647"/>
      <c r="EZ474" s="647"/>
      <c r="FA474" s="646"/>
      <c r="FB474" s="646"/>
      <c r="FC474" s="646"/>
      <c r="FD474" s="646"/>
      <c r="FE474" s="646"/>
      <c r="FF474" s="646"/>
      <c r="FG474" s="647"/>
      <c r="FH474" s="647"/>
      <c r="FI474" s="647"/>
      <c r="FJ474" s="647"/>
      <c r="FK474" s="647"/>
      <c r="FL474" s="647"/>
      <c r="FM474" s="647"/>
      <c r="FN474" s="647"/>
      <c r="FO474" s="647"/>
      <c r="FP474" s="647"/>
      <c r="FQ474" s="647"/>
      <c r="FR474" s="647"/>
      <c r="FS474" s="101"/>
      <c r="FT474" s="95"/>
      <c r="FU474" s="651"/>
      <c r="FV474" s="101"/>
      <c r="FW474" s="101"/>
      <c r="FX474" s="634"/>
      <c r="FY474" s="634"/>
      <c r="FZ474" s="634"/>
      <c r="GA474" s="634"/>
      <c r="GB474" s="634"/>
      <c r="GC474" s="634"/>
      <c r="GD474" s="634"/>
      <c r="GE474" s="634"/>
      <c r="GF474" s="634"/>
      <c r="GG474" s="634"/>
      <c r="GH474" s="634"/>
      <c r="GI474" s="634"/>
      <c r="GJ474" s="634"/>
      <c r="GK474" s="634"/>
      <c r="GL474" s="101"/>
      <c r="GM474" s="101"/>
      <c r="GN474" s="101"/>
      <c r="GO474" s="643"/>
      <c r="GP474" s="644"/>
      <c r="GQ474" s="643"/>
      <c r="GR474" s="644"/>
      <c r="GS474" s="643"/>
      <c r="GT474" s="644"/>
      <c r="GU474" s="644"/>
      <c r="GV474" s="644"/>
      <c r="GW474" s="644"/>
      <c r="GX474" s="644"/>
      <c r="GY474" s="644"/>
      <c r="GZ474" s="644"/>
      <c r="HA474" s="644"/>
    </row>
    <row r="475" spans="1:209">
      <c r="A475" s="638"/>
      <c r="B475" s="95"/>
      <c r="C475" s="95"/>
      <c r="D475" s="95"/>
      <c r="E475" s="650"/>
      <c r="F475" s="95"/>
      <c r="G475" s="98"/>
      <c r="H475" s="99"/>
      <c r="I475" s="95"/>
      <c r="J475" s="95"/>
      <c r="K475" s="95"/>
      <c r="L475" s="95"/>
      <c r="M475" s="95"/>
      <c r="N475" s="95"/>
      <c r="O475" s="95"/>
      <c r="P475" s="95"/>
      <c r="Q475" s="95"/>
      <c r="R475" s="98"/>
      <c r="S475" s="101"/>
      <c r="T475" s="644"/>
      <c r="U475" s="101"/>
      <c r="V475" s="647"/>
      <c r="W475" s="643"/>
      <c r="X475" s="644"/>
      <c r="Y475" s="101"/>
      <c r="Z475" s="644"/>
      <c r="AA475" s="101"/>
      <c r="AB475" s="644"/>
      <c r="AC475" s="101"/>
      <c r="AD475" s="646"/>
      <c r="AE475" s="271"/>
      <c r="AF475" s="646"/>
      <c r="AG475" s="646"/>
      <c r="AH475" s="646"/>
      <c r="AI475" s="646"/>
      <c r="AJ475" s="646"/>
      <c r="AK475" s="646"/>
      <c r="AL475" s="646"/>
      <c r="AM475" s="271"/>
      <c r="AN475" s="646"/>
      <c r="AO475" s="646"/>
      <c r="AP475" s="646"/>
      <c r="AQ475" s="271"/>
      <c r="AR475" s="646"/>
      <c r="AS475" s="270"/>
      <c r="AT475" s="646"/>
      <c r="AU475" s="646"/>
      <c r="AV475" s="646"/>
      <c r="AW475" s="270"/>
      <c r="AX475" s="646"/>
      <c r="AY475" s="270"/>
      <c r="AZ475" s="646"/>
      <c r="BA475" s="646"/>
      <c r="BB475" s="644"/>
      <c r="BC475" s="644"/>
      <c r="BD475" s="644"/>
      <c r="BE475" s="644"/>
      <c r="BF475" s="644"/>
      <c r="BG475" s="644"/>
      <c r="BH475" s="644"/>
      <c r="BI475" s="644"/>
      <c r="BJ475" s="644"/>
      <c r="BK475" s="644"/>
      <c r="BL475" s="644"/>
      <c r="BM475" s="95"/>
      <c r="BN475" s="644"/>
      <c r="BO475" s="95"/>
      <c r="BP475" s="644"/>
      <c r="BQ475" s="644"/>
      <c r="BR475" s="644"/>
      <c r="BS475" s="644"/>
      <c r="BT475" s="644"/>
      <c r="BU475" s="644"/>
      <c r="BV475" s="644"/>
      <c r="BW475" s="644"/>
      <c r="BX475" s="644"/>
      <c r="BY475" s="644"/>
      <c r="BZ475" s="644"/>
      <c r="CA475" s="644"/>
      <c r="CB475" s="644"/>
      <c r="CC475" s="644"/>
      <c r="CD475" s="644"/>
      <c r="CE475" s="644"/>
      <c r="CF475" s="644"/>
      <c r="CG475" s="644"/>
      <c r="CH475" s="644"/>
      <c r="CI475" s="644"/>
      <c r="CJ475" s="644"/>
      <c r="CK475" s="644"/>
      <c r="CL475" s="644"/>
      <c r="CM475" s="95"/>
      <c r="CN475" s="644"/>
      <c r="CO475" s="644"/>
      <c r="CP475" s="95"/>
      <c r="CQ475" s="98"/>
      <c r="CR475" s="95"/>
      <c r="CS475" s="95"/>
      <c r="CT475" s="95"/>
      <c r="CU475" s="108"/>
      <c r="CV475" s="109"/>
      <c r="CW475" s="644"/>
      <c r="CX475" s="496"/>
      <c r="CY475" s="637"/>
      <c r="CZ475" s="644"/>
      <c r="DA475" s="644"/>
      <c r="DB475" s="644"/>
      <c r="DC475" s="496"/>
      <c r="DD475" s="644"/>
      <c r="DE475" s="101"/>
      <c r="DF475" s="644"/>
      <c r="DG475" s="101"/>
      <c r="DH475" s="644"/>
      <c r="DI475" s="644"/>
      <c r="DJ475" s="644"/>
      <c r="DK475" s="644"/>
      <c r="DL475" s="644"/>
      <c r="DM475" s="101"/>
      <c r="DN475" s="644"/>
      <c r="DO475" s="644"/>
      <c r="DP475" s="644"/>
      <c r="DQ475" s="644"/>
      <c r="DR475" s="644"/>
      <c r="DS475" s="644"/>
      <c r="DT475" s="644"/>
      <c r="DU475" s="644"/>
      <c r="DV475" s="644"/>
      <c r="DW475" s="101"/>
      <c r="DX475" s="646"/>
      <c r="DY475" s="646"/>
      <c r="DZ475" s="646"/>
      <c r="EA475" s="646"/>
      <c r="EB475" s="646"/>
      <c r="EC475" s="646"/>
      <c r="ED475" s="646"/>
      <c r="EE475" s="646"/>
      <c r="EF475" s="646"/>
      <c r="EG475" s="646"/>
      <c r="EH475" s="646"/>
      <c r="EI475" s="646"/>
      <c r="EJ475" s="646"/>
      <c r="EK475" s="271"/>
      <c r="EL475" s="644"/>
      <c r="EM475" s="634"/>
      <c r="EN475" s="647"/>
      <c r="EO475" s="648"/>
      <c r="EP475" s="647"/>
      <c r="EQ475" s="647"/>
      <c r="ER475" s="647"/>
      <c r="ES475" s="139"/>
      <c r="EV475" s="647"/>
      <c r="EW475" s="647"/>
      <c r="EX475" s="647"/>
      <c r="EY475" s="647"/>
      <c r="EZ475" s="647"/>
      <c r="FA475" s="646"/>
      <c r="FB475" s="646"/>
      <c r="FC475" s="646"/>
      <c r="FD475" s="646"/>
      <c r="FE475" s="646"/>
      <c r="FF475" s="646"/>
      <c r="FG475" s="647"/>
      <c r="FH475" s="647"/>
      <c r="FI475" s="647"/>
      <c r="FJ475" s="647"/>
      <c r="FK475" s="647"/>
      <c r="FL475" s="647"/>
      <c r="FM475" s="647"/>
      <c r="FN475" s="647"/>
      <c r="FO475" s="647"/>
      <c r="FP475" s="647"/>
      <c r="FQ475" s="647"/>
      <c r="FR475" s="647"/>
      <c r="FS475" s="101"/>
      <c r="FT475" s="95"/>
      <c r="FU475" s="651"/>
      <c r="FV475" s="101"/>
      <c r="FW475" s="101"/>
      <c r="FX475" s="634"/>
      <c r="FY475" s="634"/>
      <c r="FZ475" s="634"/>
      <c r="GA475" s="634"/>
      <c r="GB475" s="634"/>
      <c r="GC475" s="634"/>
      <c r="GD475" s="634"/>
      <c r="GE475" s="634"/>
      <c r="GF475" s="634"/>
      <c r="GG475" s="634"/>
      <c r="GH475" s="634"/>
      <c r="GI475" s="634"/>
      <c r="GJ475" s="634"/>
      <c r="GK475" s="634"/>
      <c r="GL475" s="101"/>
      <c r="GM475" s="101"/>
      <c r="GN475" s="101"/>
      <c r="GO475" s="643"/>
      <c r="GP475" s="644"/>
      <c r="GQ475" s="643"/>
      <c r="GR475" s="644"/>
      <c r="GS475" s="643"/>
      <c r="GT475" s="644"/>
      <c r="GU475" s="644"/>
      <c r="GV475" s="644"/>
      <c r="GW475" s="644"/>
      <c r="GX475" s="644"/>
      <c r="GY475" s="644"/>
      <c r="GZ475" s="644"/>
      <c r="HA475" s="644"/>
    </row>
    <row r="476" spans="1:209">
      <c r="A476" s="638"/>
      <c r="B476" s="95"/>
      <c r="C476" s="95"/>
      <c r="D476" s="95"/>
      <c r="E476" s="650"/>
      <c r="F476" s="95"/>
      <c r="G476" s="98"/>
      <c r="H476" s="99"/>
      <c r="I476" s="95"/>
      <c r="J476" s="95"/>
      <c r="K476" s="95"/>
      <c r="L476" s="95"/>
      <c r="M476" s="95"/>
      <c r="N476" s="95"/>
      <c r="O476" s="95"/>
      <c r="P476" s="95"/>
      <c r="Q476" s="95"/>
      <c r="R476" s="98"/>
      <c r="S476" s="101"/>
      <c r="T476" s="644"/>
      <c r="U476" s="101"/>
      <c r="V476" s="647"/>
      <c r="W476" s="643"/>
      <c r="X476" s="644"/>
      <c r="Y476" s="101"/>
      <c r="Z476" s="644"/>
      <c r="AA476" s="101"/>
      <c r="AB476" s="644"/>
      <c r="AC476" s="101"/>
      <c r="AD476" s="646"/>
      <c r="AE476" s="271"/>
      <c r="AF476" s="646"/>
      <c r="AG476" s="646"/>
      <c r="AH476" s="646"/>
      <c r="AI476" s="646"/>
      <c r="AJ476" s="646"/>
      <c r="AK476" s="646"/>
      <c r="AL476" s="646"/>
      <c r="AM476" s="271"/>
      <c r="AN476" s="646"/>
      <c r="AO476" s="646"/>
      <c r="AP476" s="646"/>
      <c r="AQ476" s="271"/>
      <c r="AR476" s="646"/>
      <c r="AS476" s="270"/>
      <c r="AT476" s="646"/>
      <c r="AU476" s="646"/>
      <c r="AV476" s="646"/>
      <c r="AW476" s="270"/>
      <c r="AX476" s="646"/>
      <c r="AY476" s="270"/>
      <c r="AZ476" s="646"/>
      <c r="BA476" s="646"/>
      <c r="BB476" s="644"/>
      <c r="BC476" s="644"/>
      <c r="BD476" s="644"/>
      <c r="BE476" s="644"/>
      <c r="BF476" s="644"/>
      <c r="BG476" s="644"/>
      <c r="BH476" s="644"/>
      <c r="BI476" s="644"/>
      <c r="BJ476" s="644"/>
      <c r="BK476" s="644"/>
      <c r="BL476" s="644"/>
      <c r="BM476" s="95"/>
      <c r="BN476" s="644"/>
      <c r="BO476" s="95"/>
      <c r="BP476" s="644"/>
      <c r="BQ476" s="644"/>
      <c r="BR476" s="644"/>
      <c r="BS476" s="644"/>
      <c r="BT476" s="644"/>
      <c r="BU476" s="644"/>
      <c r="BV476" s="644"/>
      <c r="BW476" s="644"/>
      <c r="BX476" s="644"/>
      <c r="BY476" s="644"/>
      <c r="BZ476" s="644"/>
      <c r="CA476" s="644"/>
      <c r="CB476" s="644"/>
      <c r="CC476" s="644"/>
      <c r="CD476" s="644"/>
      <c r="CE476" s="644"/>
      <c r="CF476" s="644"/>
      <c r="CG476" s="644"/>
      <c r="CH476" s="644"/>
      <c r="CI476" s="644"/>
      <c r="CJ476" s="644"/>
      <c r="CK476" s="644"/>
      <c r="CL476" s="644"/>
      <c r="CM476" s="95"/>
      <c r="CN476" s="644"/>
      <c r="CO476" s="644"/>
      <c r="CP476" s="95"/>
      <c r="CQ476" s="98"/>
      <c r="CR476" s="95"/>
      <c r="CS476" s="95"/>
      <c r="CT476" s="95"/>
      <c r="CU476" s="108"/>
      <c r="CV476" s="109"/>
      <c r="CW476" s="644"/>
      <c r="CX476" s="496"/>
      <c r="CY476" s="637"/>
      <c r="CZ476" s="644"/>
      <c r="DA476" s="644"/>
      <c r="DB476" s="644"/>
      <c r="DC476" s="496"/>
      <c r="DD476" s="644"/>
      <c r="DE476" s="101"/>
      <c r="DF476" s="644"/>
      <c r="DG476" s="101"/>
      <c r="DH476" s="644"/>
      <c r="DI476" s="644"/>
      <c r="DJ476" s="644"/>
      <c r="DK476" s="644"/>
      <c r="DL476" s="644"/>
      <c r="DM476" s="101"/>
      <c r="DN476" s="644"/>
      <c r="DO476" s="644"/>
      <c r="DP476" s="644"/>
      <c r="DQ476" s="644"/>
      <c r="DR476" s="644"/>
      <c r="DS476" s="644"/>
      <c r="DT476" s="644"/>
      <c r="DU476" s="644"/>
      <c r="DV476" s="644"/>
      <c r="DW476" s="101"/>
      <c r="DX476" s="646"/>
      <c r="DY476" s="646"/>
      <c r="DZ476" s="646"/>
      <c r="EA476" s="646"/>
      <c r="EB476" s="646"/>
      <c r="EC476" s="646"/>
      <c r="ED476" s="646"/>
      <c r="EE476" s="646"/>
      <c r="EF476" s="646"/>
      <c r="EG476" s="646"/>
      <c r="EH476" s="646"/>
      <c r="EI476" s="646"/>
      <c r="EJ476" s="646"/>
      <c r="EK476" s="271"/>
      <c r="EL476" s="644"/>
      <c r="EM476" s="634"/>
      <c r="EN476" s="647"/>
      <c r="EO476" s="648"/>
      <c r="EP476" s="647"/>
      <c r="EQ476" s="647"/>
      <c r="ER476" s="647"/>
      <c r="ES476" s="139"/>
      <c r="EV476" s="647"/>
      <c r="EW476" s="647"/>
      <c r="EX476" s="647"/>
      <c r="EY476" s="647"/>
      <c r="EZ476" s="647"/>
      <c r="FA476" s="646"/>
      <c r="FB476" s="646"/>
      <c r="FC476" s="646"/>
      <c r="FD476" s="646"/>
      <c r="FE476" s="646"/>
      <c r="FF476" s="646"/>
      <c r="FG476" s="647"/>
      <c r="FH476" s="647"/>
      <c r="FI476" s="647"/>
      <c r="FJ476" s="647"/>
      <c r="FK476" s="647"/>
      <c r="FL476" s="647"/>
      <c r="FM476" s="647"/>
      <c r="FN476" s="647"/>
      <c r="FO476" s="647"/>
      <c r="FP476" s="647"/>
      <c r="FQ476" s="647"/>
      <c r="FR476" s="647"/>
      <c r="FS476" s="101"/>
      <c r="FT476" s="95"/>
      <c r="FU476" s="651"/>
      <c r="FV476" s="101"/>
      <c r="FW476" s="101"/>
      <c r="FX476" s="634"/>
      <c r="FY476" s="634"/>
      <c r="FZ476" s="634"/>
      <c r="GA476" s="634"/>
      <c r="GB476" s="634"/>
      <c r="GC476" s="634"/>
      <c r="GD476" s="634"/>
      <c r="GE476" s="634"/>
      <c r="GF476" s="634"/>
      <c r="GG476" s="634"/>
      <c r="GH476" s="634"/>
      <c r="GI476" s="634"/>
      <c r="GJ476" s="634"/>
      <c r="GK476" s="634"/>
      <c r="GL476" s="101"/>
      <c r="GM476" s="101"/>
      <c r="GN476" s="101"/>
      <c r="GO476" s="643"/>
      <c r="GP476" s="644"/>
      <c r="GQ476" s="643"/>
      <c r="GR476" s="644"/>
      <c r="GS476" s="643"/>
      <c r="GT476" s="644"/>
      <c r="GU476" s="644"/>
      <c r="GV476" s="644"/>
      <c r="GW476" s="644"/>
      <c r="GX476" s="644"/>
      <c r="GY476" s="644"/>
      <c r="GZ476" s="644"/>
      <c r="HA476" s="644"/>
    </row>
    <row r="477" spans="1:209">
      <c r="A477" s="638"/>
      <c r="B477" s="95"/>
      <c r="C477" s="95"/>
      <c r="D477" s="95"/>
      <c r="E477" s="650"/>
      <c r="F477" s="95"/>
      <c r="G477" s="98"/>
      <c r="H477" s="99"/>
      <c r="I477" s="95"/>
      <c r="J477" s="95"/>
      <c r="K477" s="95"/>
      <c r="L477" s="95"/>
      <c r="M477" s="95"/>
      <c r="N477" s="95"/>
      <c r="O477" s="95"/>
      <c r="P477" s="95"/>
      <c r="Q477" s="95"/>
      <c r="R477" s="98"/>
      <c r="S477" s="101"/>
      <c r="T477" s="644"/>
      <c r="U477" s="101"/>
      <c r="V477" s="647"/>
      <c r="W477" s="643"/>
      <c r="X477" s="644"/>
      <c r="Y477" s="101"/>
      <c r="Z477" s="644"/>
      <c r="AA477" s="101"/>
      <c r="AB477" s="644"/>
      <c r="AC477" s="101"/>
      <c r="AD477" s="646"/>
      <c r="AE477" s="271"/>
      <c r="AF477" s="646"/>
      <c r="AG477" s="646"/>
      <c r="AH477" s="646"/>
      <c r="AI477" s="646"/>
      <c r="AJ477" s="646"/>
      <c r="AK477" s="646"/>
      <c r="AL477" s="646"/>
      <c r="AM477" s="271"/>
      <c r="AN477" s="646"/>
      <c r="AO477" s="646"/>
      <c r="AP477" s="646"/>
      <c r="AQ477" s="271"/>
      <c r="AR477" s="646"/>
      <c r="AS477" s="270"/>
      <c r="AT477" s="646"/>
      <c r="AU477" s="646"/>
      <c r="AV477" s="646"/>
      <c r="AW477" s="270"/>
      <c r="AX477" s="646"/>
      <c r="AY477" s="270"/>
      <c r="AZ477" s="646"/>
      <c r="BA477" s="646"/>
      <c r="BB477" s="644"/>
      <c r="BC477" s="644"/>
      <c r="BD477" s="644"/>
      <c r="BE477" s="644"/>
      <c r="BF477" s="644"/>
      <c r="BG477" s="644"/>
      <c r="BH477" s="644"/>
      <c r="BI477" s="644"/>
      <c r="BJ477" s="644"/>
      <c r="BK477" s="644"/>
      <c r="BL477" s="644"/>
      <c r="BM477" s="95"/>
      <c r="BN477" s="644"/>
      <c r="BO477" s="95"/>
      <c r="BP477" s="644"/>
      <c r="BQ477" s="644"/>
      <c r="BR477" s="644"/>
      <c r="BS477" s="644"/>
      <c r="BT477" s="644"/>
      <c r="BU477" s="644"/>
      <c r="BV477" s="644"/>
      <c r="BW477" s="644"/>
      <c r="BX477" s="644"/>
      <c r="BY477" s="644"/>
      <c r="BZ477" s="644"/>
      <c r="CA477" s="644"/>
      <c r="CB477" s="644"/>
      <c r="CC477" s="644"/>
      <c r="CD477" s="644"/>
      <c r="CE477" s="644"/>
      <c r="CF477" s="644"/>
      <c r="CG477" s="644"/>
      <c r="CH477" s="644"/>
      <c r="CI477" s="644"/>
      <c r="CJ477" s="644"/>
      <c r="CK477" s="644"/>
      <c r="CL477" s="644"/>
      <c r="CM477" s="95"/>
      <c r="CN477" s="644"/>
      <c r="CO477" s="644"/>
      <c r="CP477" s="95"/>
      <c r="CQ477" s="98"/>
      <c r="CR477" s="95"/>
      <c r="CS477" s="95"/>
      <c r="CT477" s="95"/>
      <c r="CU477" s="108"/>
      <c r="CV477" s="109"/>
      <c r="CW477" s="644"/>
      <c r="CX477" s="496"/>
      <c r="CY477" s="637"/>
      <c r="CZ477" s="644"/>
      <c r="DA477" s="644"/>
      <c r="DB477" s="644"/>
      <c r="DC477" s="496"/>
      <c r="DD477" s="644"/>
      <c r="DE477" s="101"/>
      <c r="DF477" s="644"/>
      <c r="DG477" s="101"/>
      <c r="DH477" s="644"/>
      <c r="DI477" s="644"/>
      <c r="DJ477" s="644"/>
      <c r="DK477" s="644"/>
      <c r="DL477" s="644"/>
      <c r="DM477" s="101"/>
      <c r="DN477" s="644"/>
      <c r="DO477" s="644"/>
      <c r="DP477" s="644"/>
      <c r="DQ477" s="644"/>
      <c r="DR477" s="644"/>
      <c r="DS477" s="644"/>
      <c r="DT477" s="644"/>
      <c r="DU477" s="644"/>
      <c r="DV477" s="644"/>
      <c r="DW477" s="101"/>
      <c r="DX477" s="646"/>
      <c r="DY477" s="646"/>
      <c r="DZ477" s="646"/>
      <c r="EA477" s="646"/>
      <c r="EB477" s="646"/>
      <c r="EC477" s="646"/>
      <c r="ED477" s="646"/>
      <c r="EE477" s="646"/>
      <c r="EF477" s="646"/>
      <c r="EG477" s="646"/>
      <c r="EH477" s="646"/>
      <c r="EI477" s="646"/>
      <c r="EJ477" s="646"/>
      <c r="EK477" s="271"/>
      <c r="EL477" s="644"/>
      <c r="EM477" s="634"/>
      <c r="EN477" s="647"/>
      <c r="EO477" s="648"/>
      <c r="EP477" s="647"/>
      <c r="EQ477" s="647"/>
      <c r="ER477" s="647"/>
      <c r="ES477" s="139"/>
      <c r="EV477" s="647"/>
      <c r="EW477" s="647"/>
      <c r="EX477" s="647"/>
      <c r="EY477" s="647"/>
      <c r="EZ477" s="647"/>
      <c r="FA477" s="646"/>
      <c r="FB477" s="646"/>
      <c r="FC477" s="646"/>
      <c r="FD477" s="646"/>
      <c r="FE477" s="646"/>
      <c r="FF477" s="646"/>
      <c r="FG477" s="647"/>
      <c r="FH477" s="647"/>
      <c r="FI477" s="647"/>
      <c r="FJ477" s="647"/>
      <c r="FK477" s="647"/>
      <c r="FL477" s="647"/>
      <c r="FM477" s="647"/>
      <c r="FN477" s="647"/>
      <c r="FO477" s="647"/>
      <c r="FP477" s="647"/>
      <c r="FQ477" s="647"/>
      <c r="FR477" s="647"/>
      <c r="FS477" s="101"/>
      <c r="FT477" s="95"/>
      <c r="FU477" s="651"/>
      <c r="FV477" s="101"/>
      <c r="FW477" s="101"/>
      <c r="FX477" s="634"/>
      <c r="FY477" s="634"/>
      <c r="FZ477" s="634"/>
      <c r="GA477" s="634"/>
      <c r="GB477" s="634"/>
      <c r="GC477" s="634"/>
      <c r="GD477" s="634"/>
      <c r="GE477" s="634"/>
      <c r="GF477" s="634"/>
      <c r="GG477" s="634"/>
      <c r="GH477" s="634"/>
      <c r="GI477" s="634"/>
      <c r="GJ477" s="634"/>
      <c r="GK477" s="634"/>
      <c r="GL477" s="101"/>
      <c r="GM477" s="101"/>
      <c r="GN477" s="101"/>
      <c r="GO477" s="643"/>
      <c r="GP477" s="644"/>
      <c r="GQ477" s="643"/>
      <c r="GR477" s="644"/>
      <c r="GS477" s="643"/>
      <c r="GT477" s="644"/>
      <c r="GU477" s="644"/>
      <c r="GV477" s="644"/>
      <c r="GW477" s="644"/>
      <c r="GX477" s="644"/>
      <c r="GY477" s="644"/>
      <c r="GZ477" s="644"/>
      <c r="HA477" s="644"/>
    </row>
    <row r="478" spans="1:209">
      <c r="A478" s="638"/>
      <c r="B478" s="95"/>
      <c r="C478" s="95"/>
      <c r="D478" s="95"/>
      <c r="E478" s="650"/>
      <c r="F478" s="95"/>
      <c r="G478" s="98"/>
      <c r="H478" s="99"/>
      <c r="I478" s="95"/>
      <c r="J478" s="95"/>
      <c r="K478" s="95"/>
      <c r="L478" s="95"/>
      <c r="M478" s="95"/>
      <c r="N478" s="95"/>
      <c r="O478" s="95"/>
      <c r="P478" s="95"/>
      <c r="Q478" s="95"/>
      <c r="R478" s="98"/>
      <c r="S478" s="101"/>
      <c r="T478" s="644"/>
      <c r="U478" s="101"/>
      <c r="V478" s="647"/>
      <c r="W478" s="643"/>
      <c r="X478" s="644"/>
      <c r="Y478" s="101"/>
      <c r="Z478" s="644"/>
      <c r="AA478" s="101"/>
      <c r="AB478" s="644"/>
      <c r="AC478" s="101"/>
      <c r="AD478" s="646"/>
      <c r="AE478" s="271"/>
      <c r="AF478" s="646"/>
      <c r="AG478" s="646"/>
      <c r="AH478" s="646"/>
      <c r="AI478" s="646"/>
      <c r="AJ478" s="646"/>
      <c r="AK478" s="646"/>
      <c r="AL478" s="646"/>
      <c r="AM478" s="271"/>
      <c r="AN478" s="646"/>
      <c r="AO478" s="646"/>
      <c r="AP478" s="646"/>
      <c r="AQ478" s="271"/>
      <c r="AR478" s="646"/>
      <c r="AS478" s="270"/>
      <c r="AT478" s="646"/>
      <c r="AU478" s="646"/>
      <c r="AV478" s="646"/>
      <c r="AW478" s="270"/>
      <c r="AX478" s="646"/>
      <c r="AY478" s="270"/>
      <c r="AZ478" s="646"/>
      <c r="BA478" s="646"/>
      <c r="BB478" s="644"/>
      <c r="BC478" s="644"/>
      <c r="BD478" s="644"/>
      <c r="BE478" s="644"/>
      <c r="BF478" s="644"/>
      <c r="BG478" s="644"/>
      <c r="BH478" s="644"/>
      <c r="BI478" s="644"/>
      <c r="BJ478" s="644"/>
      <c r="BK478" s="644"/>
      <c r="BL478" s="644"/>
      <c r="BM478" s="95"/>
      <c r="BN478" s="644"/>
      <c r="BO478" s="95"/>
      <c r="BP478" s="644"/>
      <c r="BQ478" s="644"/>
      <c r="BR478" s="644"/>
      <c r="BS478" s="644"/>
      <c r="BT478" s="644"/>
      <c r="BU478" s="644"/>
      <c r="BV478" s="644"/>
      <c r="BW478" s="644"/>
      <c r="BX478" s="644"/>
      <c r="BY478" s="644"/>
      <c r="BZ478" s="644"/>
      <c r="CA478" s="644"/>
      <c r="CB478" s="644"/>
      <c r="CC478" s="644"/>
      <c r="CD478" s="644"/>
      <c r="CE478" s="644"/>
      <c r="CF478" s="644"/>
      <c r="CG478" s="644"/>
      <c r="CH478" s="644"/>
      <c r="CI478" s="644"/>
      <c r="CJ478" s="644"/>
      <c r="CK478" s="644"/>
      <c r="CL478" s="644"/>
      <c r="CM478" s="95"/>
      <c r="CN478" s="644"/>
      <c r="CO478" s="644"/>
      <c r="CP478" s="95"/>
      <c r="CQ478" s="98"/>
      <c r="CR478" s="95"/>
      <c r="CS478" s="95"/>
      <c r="CT478" s="95"/>
      <c r="CU478" s="108"/>
      <c r="CV478" s="109"/>
      <c r="CW478" s="644"/>
      <c r="CX478" s="496"/>
      <c r="CY478" s="637"/>
      <c r="CZ478" s="644"/>
      <c r="DA478" s="644"/>
      <c r="DB478" s="644"/>
      <c r="DC478" s="496"/>
      <c r="DD478" s="644"/>
      <c r="DE478" s="101"/>
      <c r="DF478" s="644"/>
      <c r="DG478" s="101"/>
      <c r="DH478" s="644"/>
      <c r="DI478" s="644"/>
      <c r="DJ478" s="644"/>
      <c r="DK478" s="644"/>
      <c r="DL478" s="644"/>
      <c r="DM478" s="101"/>
      <c r="DN478" s="644"/>
      <c r="DO478" s="644"/>
      <c r="DP478" s="644"/>
      <c r="DQ478" s="644"/>
      <c r="DR478" s="644"/>
      <c r="DS478" s="644"/>
      <c r="DT478" s="644"/>
      <c r="DU478" s="644"/>
      <c r="DV478" s="644"/>
      <c r="DW478" s="101"/>
      <c r="DX478" s="646"/>
      <c r="DY478" s="646"/>
      <c r="DZ478" s="646"/>
      <c r="EA478" s="646"/>
      <c r="EB478" s="646"/>
      <c r="EC478" s="646"/>
      <c r="ED478" s="646"/>
      <c r="EE478" s="646"/>
      <c r="EF478" s="646"/>
      <c r="EG478" s="646"/>
      <c r="EH478" s="646"/>
      <c r="EI478" s="646"/>
      <c r="EJ478" s="646"/>
      <c r="EK478" s="271"/>
      <c r="EL478" s="644"/>
      <c r="EM478" s="634"/>
      <c r="EN478" s="647"/>
      <c r="EO478" s="648"/>
      <c r="EP478" s="647"/>
      <c r="EQ478" s="647"/>
      <c r="ER478" s="647"/>
      <c r="ES478" s="139"/>
      <c r="EV478" s="647"/>
      <c r="EW478" s="647"/>
      <c r="EX478" s="647"/>
      <c r="EY478" s="647"/>
      <c r="EZ478" s="647"/>
      <c r="FA478" s="646"/>
      <c r="FB478" s="646"/>
      <c r="FC478" s="646"/>
      <c r="FD478" s="646"/>
      <c r="FE478" s="646"/>
      <c r="FF478" s="646"/>
      <c r="FG478" s="647"/>
      <c r="FH478" s="647"/>
      <c r="FI478" s="647"/>
      <c r="FJ478" s="647"/>
      <c r="FK478" s="647"/>
      <c r="FL478" s="647"/>
      <c r="FM478" s="647"/>
      <c r="FN478" s="647"/>
      <c r="FO478" s="647"/>
      <c r="FP478" s="647"/>
      <c r="FQ478" s="647"/>
      <c r="FR478" s="647"/>
      <c r="FS478" s="101"/>
      <c r="FT478" s="95"/>
      <c r="FU478" s="651"/>
      <c r="FV478" s="101"/>
      <c r="FW478" s="101"/>
      <c r="FX478" s="634"/>
      <c r="FY478" s="634"/>
      <c r="FZ478" s="634"/>
      <c r="GA478" s="634"/>
      <c r="GB478" s="634"/>
      <c r="GC478" s="634"/>
      <c r="GD478" s="634"/>
      <c r="GE478" s="634"/>
      <c r="GF478" s="634"/>
      <c r="GG478" s="634"/>
      <c r="GH478" s="634"/>
      <c r="GI478" s="634"/>
      <c r="GJ478" s="634"/>
      <c r="GK478" s="634"/>
      <c r="GL478" s="101"/>
      <c r="GM478" s="101"/>
      <c r="GN478" s="101"/>
      <c r="GO478" s="643"/>
      <c r="GP478" s="644"/>
      <c r="GQ478" s="643"/>
      <c r="GR478" s="644"/>
      <c r="GS478" s="643"/>
      <c r="GT478" s="644"/>
      <c r="GU478" s="644"/>
      <c r="GV478" s="644"/>
      <c r="GW478" s="644"/>
      <c r="GX478" s="644"/>
      <c r="GY478" s="644"/>
      <c r="GZ478" s="644"/>
      <c r="HA478" s="644"/>
    </row>
    <row r="479" spans="1:209">
      <c r="A479" s="638"/>
      <c r="B479" s="95"/>
      <c r="C479" s="95"/>
      <c r="D479" s="95"/>
      <c r="E479" s="650"/>
      <c r="F479" s="95"/>
      <c r="G479" s="98"/>
      <c r="H479" s="99"/>
      <c r="I479" s="95"/>
      <c r="J479" s="95"/>
      <c r="K479" s="95"/>
      <c r="L479" s="95"/>
      <c r="M479" s="95"/>
      <c r="N479" s="95"/>
      <c r="O479" s="95"/>
      <c r="P479" s="95"/>
      <c r="Q479" s="95"/>
      <c r="R479" s="98"/>
      <c r="S479" s="101"/>
      <c r="T479" s="644"/>
      <c r="U479" s="101"/>
      <c r="V479" s="647"/>
      <c r="W479" s="643"/>
      <c r="X479" s="644"/>
      <c r="Y479" s="101"/>
      <c r="Z479" s="644"/>
      <c r="AA479" s="101"/>
      <c r="AB479" s="644"/>
      <c r="AC479" s="101"/>
      <c r="AD479" s="646"/>
      <c r="AE479" s="271"/>
      <c r="AF479" s="646"/>
      <c r="AG479" s="646"/>
      <c r="AH479" s="646"/>
      <c r="AI479" s="646"/>
      <c r="AJ479" s="646"/>
      <c r="AK479" s="646"/>
      <c r="AL479" s="646"/>
      <c r="AM479" s="271"/>
      <c r="AN479" s="646"/>
      <c r="AO479" s="646"/>
      <c r="AP479" s="646"/>
      <c r="AQ479" s="271"/>
      <c r="AR479" s="646"/>
      <c r="AS479" s="270"/>
      <c r="AT479" s="646"/>
      <c r="AU479" s="646"/>
      <c r="AV479" s="646"/>
      <c r="AW479" s="270"/>
      <c r="AX479" s="646"/>
      <c r="AY479" s="270"/>
      <c r="AZ479" s="646"/>
      <c r="BA479" s="646"/>
      <c r="BB479" s="644"/>
      <c r="BC479" s="644"/>
      <c r="BD479" s="644"/>
      <c r="BE479" s="644"/>
      <c r="BF479" s="644"/>
      <c r="BG479" s="644"/>
      <c r="BH479" s="644"/>
      <c r="BI479" s="644"/>
      <c r="BJ479" s="644"/>
      <c r="BK479" s="644"/>
      <c r="BL479" s="644"/>
      <c r="BM479" s="95"/>
      <c r="BN479" s="644"/>
      <c r="BO479" s="95"/>
      <c r="BP479" s="644"/>
      <c r="BQ479" s="644"/>
      <c r="BR479" s="644"/>
      <c r="BS479" s="644"/>
      <c r="BT479" s="644"/>
      <c r="BU479" s="644"/>
      <c r="BV479" s="644"/>
      <c r="BW479" s="644"/>
      <c r="BX479" s="644"/>
      <c r="BY479" s="644"/>
      <c r="BZ479" s="644"/>
      <c r="CA479" s="644"/>
      <c r="CB479" s="644"/>
      <c r="CC479" s="644"/>
      <c r="CD479" s="644"/>
      <c r="CE479" s="644"/>
      <c r="CF479" s="644"/>
      <c r="CG479" s="644"/>
      <c r="CH479" s="644"/>
      <c r="CI479" s="644"/>
      <c r="CJ479" s="644"/>
      <c r="CK479" s="644"/>
      <c r="CL479" s="644"/>
      <c r="CM479" s="95"/>
      <c r="CN479" s="644"/>
      <c r="CO479" s="644"/>
      <c r="CP479" s="95"/>
      <c r="CQ479" s="98"/>
      <c r="CR479" s="95"/>
      <c r="CS479" s="95"/>
      <c r="CT479" s="95"/>
      <c r="CU479" s="108"/>
      <c r="CV479" s="109"/>
      <c r="CW479" s="644"/>
      <c r="CX479" s="496"/>
      <c r="CY479" s="637"/>
      <c r="CZ479" s="644"/>
      <c r="DA479" s="644"/>
      <c r="DB479" s="644"/>
      <c r="DC479" s="496"/>
      <c r="DD479" s="644"/>
      <c r="DE479" s="101"/>
      <c r="DF479" s="644"/>
      <c r="DG479" s="101"/>
      <c r="DH479" s="644"/>
      <c r="DI479" s="644"/>
      <c r="DJ479" s="644"/>
      <c r="DK479" s="644"/>
      <c r="DL479" s="644"/>
      <c r="DM479" s="101"/>
      <c r="DN479" s="644"/>
      <c r="DO479" s="644"/>
      <c r="DP479" s="644"/>
      <c r="DQ479" s="644"/>
      <c r="DR479" s="644"/>
      <c r="DS479" s="644"/>
      <c r="DT479" s="644"/>
      <c r="DU479" s="644"/>
      <c r="DV479" s="644"/>
      <c r="DW479" s="101"/>
      <c r="DX479" s="646"/>
      <c r="DY479" s="646"/>
      <c r="DZ479" s="646"/>
      <c r="EA479" s="646"/>
      <c r="EB479" s="646"/>
      <c r="EC479" s="646"/>
      <c r="ED479" s="646"/>
      <c r="EE479" s="646"/>
      <c r="EF479" s="646"/>
      <c r="EG479" s="646"/>
      <c r="EH479" s="646"/>
      <c r="EI479" s="646"/>
      <c r="EJ479" s="646"/>
      <c r="EK479" s="271"/>
      <c r="EL479" s="644"/>
      <c r="EM479" s="634"/>
      <c r="EN479" s="647"/>
      <c r="EO479" s="648"/>
      <c r="EP479" s="647"/>
      <c r="EQ479" s="647"/>
      <c r="ER479" s="647"/>
      <c r="ES479" s="139"/>
      <c r="EV479" s="647"/>
      <c r="EW479" s="647"/>
      <c r="EX479" s="647"/>
      <c r="EY479" s="647"/>
      <c r="EZ479" s="647"/>
      <c r="FA479" s="646"/>
      <c r="FB479" s="646"/>
      <c r="FC479" s="646"/>
      <c r="FD479" s="646"/>
      <c r="FE479" s="646"/>
      <c r="FF479" s="646"/>
      <c r="FG479" s="647"/>
      <c r="FH479" s="647"/>
      <c r="FI479" s="647"/>
      <c r="FJ479" s="647"/>
      <c r="FK479" s="647"/>
      <c r="FL479" s="647"/>
      <c r="FM479" s="647"/>
      <c r="FN479" s="647"/>
      <c r="FO479" s="647"/>
      <c r="FP479" s="647"/>
      <c r="FQ479" s="647"/>
      <c r="FR479" s="647"/>
      <c r="FS479" s="101"/>
      <c r="FT479" s="95"/>
      <c r="FU479" s="651"/>
      <c r="FV479" s="101"/>
      <c r="FW479" s="101"/>
      <c r="FX479" s="634"/>
      <c r="FY479" s="634"/>
      <c r="FZ479" s="634"/>
      <c r="GA479" s="634"/>
      <c r="GB479" s="634"/>
      <c r="GC479" s="634"/>
      <c r="GD479" s="634"/>
      <c r="GE479" s="634"/>
      <c r="GF479" s="634"/>
      <c r="GG479" s="634"/>
      <c r="GH479" s="634"/>
      <c r="GI479" s="634"/>
      <c r="GJ479" s="634"/>
      <c r="GK479" s="634"/>
      <c r="GL479" s="101"/>
      <c r="GM479" s="101"/>
      <c r="GN479" s="101"/>
      <c r="GO479" s="643"/>
      <c r="GP479" s="644"/>
      <c r="GQ479" s="643"/>
      <c r="GR479" s="644"/>
      <c r="GS479" s="643"/>
      <c r="GT479" s="644"/>
      <c r="GU479" s="644"/>
      <c r="GV479" s="644"/>
      <c r="GW479" s="644"/>
      <c r="GX479" s="644"/>
      <c r="GY479" s="644"/>
      <c r="GZ479" s="644"/>
      <c r="HA479" s="644"/>
    </row>
    <row r="480" spans="1:209">
      <c r="A480" s="638"/>
      <c r="B480" s="95"/>
      <c r="C480" s="95"/>
      <c r="D480" s="95"/>
      <c r="E480" s="650"/>
      <c r="F480" s="95"/>
      <c r="G480" s="98"/>
      <c r="H480" s="99"/>
      <c r="I480" s="95"/>
      <c r="J480" s="95"/>
      <c r="K480" s="95"/>
      <c r="L480" s="95"/>
      <c r="M480" s="95"/>
      <c r="N480" s="95"/>
      <c r="O480" s="95"/>
      <c r="P480" s="95"/>
      <c r="Q480" s="95"/>
      <c r="R480" s="98"/>
      <c r="S480" s="101"/>
      <c r="T480" s="644"/>
      <c r="U480" s="101"/>
      <c r="V480" s="647"/>
      <c r="W480" s="643"/>
      <c r="X480" s="644"/>
      <c r="Y480" s="101"/>
      <c r="Z480" s="644"/>
      <c r="AA480" s="101"/>
      <c r="AB480" s="644"/>
      <c r="AC480" s="101"/>
      <c r="AD480" s="646"/>
      <c r="AE480" s="271"/>
      <c r="AF480" s="646"/>
      <c r="AG480" s="646"/>
      <c r="AH480" s="646"/>
      <c r="AI480" s="646"/>
      <c r="AJ480" s="646"/>
      <c r="AK480" s="646"/>
      <c r="AL480" s="646"/>
      <c r="AM480" s="271"/>
      <c r="AN480" s="646"/>
      <c r="AO480" s="646"/>
      <c r="AP480" s="646"/>
      <c r="AQ480" s="271"/>
      <c r="AR480" s="646"/>
      <c r="AS480" s="270"/>
      <c r="AT480" s="646"/>
      <c r="AU480" s="646"/>
      <c r="AV480" s="646"/>
      <c r="AW480" s="270"/>
      <c r="AX480" s="646"/>
      <c r="AY480" s="270"/>
      <c r="AZ480" s="646"/>
      <c r="BA480" s="646"/>
      <c r="BB480" s="644"/>
      <c r="BC480" s="644"/>
      <c r="BD480" s="644"/>
      <c r="BE480" s="644"/>
      <c r="BF480" s="644"/>
      <c r="BG480" s="644"/>
      <c r="BH480" s="644"/>
      <c r="BI480" s="644"/>
      <c r="BJ480" s="644"/>
      <c r="BK480" s="644"/>
      <c r="BL480" s="644"/>
      <c r="BM480" s="95"/>
      <c r="BN480" s="644"/>
      <c r="BO480" s="95"/>
      <c r="BP480" s="644"/>
      <c r="BQ480" s="644"/>
      <c r="BR480" s="644"/>
      <c r="BS480" s="644"/>
      <c r="BT480" s="644"/>
      <c r="BU480" s="644"/>
      <c r="BV480" s="644"/>
      <c r="BW480" s="644"/>
      <c r="BX480" s="644"/>
      <c r="BY480" s="644"/>
      <c r="BZ480" s="644"/>
      <c r="CA480" s="644"/>
      <c r="CB480" s="644"/>
      <c r="CC480" s="644"/>
      <c r="CD480" s="644"/>
      <c r="CE480" s="644"/>
      <c r="CF480" s="644"/>
      <c r="CG480" s="644"/>
      <c r="CH480" s="644"/>
      <c r="CI480" s="644"/>
      <c r="CJ480" s="644"/>
      <c r="CK480" s="644"/>
      <c r="CL480" s="644"/>
      <c r="CM480" s="95"/>
      <c r="CN480" s="644"/>
      <c r="CO480" s="644"/>
      <c r="CP480" s="95"/>
      <c r="CQ480" s="98"/>
      <c r="CR480" s="95"/>
      <c r="CS480" s="95"/>
      <c r="CT480" s="95"/>
      <c r="CU480" s="108"/>
      <c r="CV480" s="109"/>
      <c r="CW480" s="644"/>
      <c r="CX480" s="496"/>
      <c r="CY480" s="637"/>
      <c r="CZ480" s="644"/>
      <c r="DA480" s="644"/>
      <c r="DB480" s="644"/>
      <c r="DC480" s="496"/>
      <c r="DD480" s="644"/>
      <c r="DE480" s="101"/>
      <c r="DF480" s="644"/>
      <c r="DG480" s="101"/>
      <c r="DH480" s="644"/>
      <c r="DI480" s="644"/>
      <c r="DJ480" s="644"/>
      <c r="DK480" s="644"/>
      <c r="DL480" s="644"/>
      <c r="DM480" s="101"/>
      <c r="DN480" s="644"/>
      <c r="DO480" s="644"/>
      <c r="DP480" s="644"/>
      <c r="DQ480" s="644"/>
      <c r="DR480" s="644"/>
      <c r="DS480" s="644"/>
      <c r="DT480" s="644"/>
      <c r="DU480" s="644"/>
      <c r="DV480" s="644"/>
      <c r="DW480" s="101"/>
      <c r="DX480" s="646"/>
      <c r="DY480" s="646"/>
      <c r="DZ480" s="646"/>
      <c r="EA480" s="646"/>
      <c r="EB480" s="646"/>
      <c r="EC480" s="646"/>
      <c r="ED480" s="646"/>
      <c r="EE480" s="646"/>
      <c r="EF480" s="646"/>
      <c r="EG480" s="646"/>
      <c r="EH480" s="646"/>
      <c r="EI480" s="646"/>
      <c r="EJ480" s="646"/>
      <c r="EK480" s="271"/>
      <c r="EL480" s="644"/>
      <c r="EM480" s="634"/>
      <c r="EN480" s="647"/>
      <c r="EO480" s="648"/>
      <c r="EP480" s="647"/>
      <c r="EQ480" s="647"/>
      <c r="ER480" s="647"/>
      <c r="ES480" s="139"/>
      <c r="EV480" s="647"/>
      <c r="EW480" s="647"/>
      <c r="EX480" s="647"/>
      <c r="EY480" s="647"/>
      <c r="EZ480" s="647"/>
      <c r="FA480" s="646"/>
      <c r="FB480" s="646"/>
      <c r="FC480" s="646"/>
      <c r="FD480" s="646"/>
      <c r="FE480" s="646"/>
      <c r="FF480" s="646"/>
      <c r="FG480" s="647"/>
      <c r="FH480" s="647"/>
      <c r="FI480" s="647"/>
      <c r="FJ480" s="647"/>
      <c r="FK480" s="647"/>
      <c r="FL480" s="647"/>
      <c r="FM480" s="647"/>
      <c r="FN480" s="647"/>
      <c r="FO480" s="647"/>
      <c r="FP480" s="647"/>
      <c r="FQ480" s="647"/>
      <c r="FR480" s="647"/>
      <c r="FS480" s="101"/>
      <c r="FT480" s="95"/>
      <c r="FU480" s="651"/>
      <c r="FV480" s="101"/>
      <c r="FW480" s="101"/>
      <c r="FX480" s="634"/>
      <c r="FY480" s="634"/>
      <c r="FZ480" s="634"/>
      <c r="GA480" s="634"/>
      <c r="GB480" s="634"/>
      <c r="GC480" s="634"/>
      <c r="GD480" s="634"/>
      <c r="GE480" s="634"/>
      <c r="GF480" s="634"/>
      <c r="GG480" s="634"/>
      <c r="GH480" s="634"/>
      <c r="GI480" s="634"/>
      <c r="GJ480" s="634"/>
      <c r="GK480" s="634"/>
      <c r="GL480" s="101"/>
      <c r="GM480" s="101"/>
      <c r="GN480" s="101"/>
      <c r="GO480" s="643"/>
      <c r="GP480" s="644"/>
      <c r="GQ480" s="643"/>
      <c r="GR480" s="644"/>
      <c r="GS480" s="643"/>
      <c r="GT480" s="644"/>
      <c r="GU480" s="644"/>
      <c r="GV480" s="644"/>
      <c r="GW480" s="644"/>
      <c r="GX480" s="644"/>
      <c r="GY480" s="644"/>
      <c r="GZ480" s="644"/>
      <c r="HA480" s="644"/>
    </row>
    <row r="481" spans="1:209">
      <c r="A481" s="638"/>
      <c r="B481" s="95"/>
      <c r="C481" s="95"/>
      <c r="D481" s="95"/>
      <c r="E481" s="650"/>
      <c r="F481" s="95"/>
      <c r="G481" s="98"/>
      <c r="H481" s="99"/>
      <c r="I481" s="95"/>
      <c r="J481" s="95"/>
      <c r="K481" s="95"/>
      <c r="L481" s="95"/>
      <c r="M481" s="95"/>
      <c r="N481" s="95"/>
      <c r="O481" s="95"/>
      <c r="P481" s="95"/>
      <c r="Q481" s="95"/>
      <c r="R481" s="98"/>
      <c r="S481" s="101"/>
      <c r="T481" s="644"/>
      <c r="U481" s="101"/>
      <c r="V481" s="647"/>
      <c r="W481" s="643"/>
      <c r="X481" s="644"/>
      <c r="Y481" s="101"/>
      <c r="Z481" s="644"/>
      <c r="AA481" s="101"/>
      <c r="AB481" s="644"/>
      <c r="AC481" s="101"/>
      <c r="AD481" s="646"/>
      <c r="AE481" s="271"/>
      <c r="AF481" s="646"/>
      <c r="AG481" s="646"/>
      <c r="AH481" s="646"/>
      <c r="AI481" s="646"/>
      <c r="AJ481" s="646"/>
      <c r="AK481" s="646"/>
      <c r="AL481" s="646"/>
      <c r="AM481" s="271"/>
      <c r="AN481" s="646"/>
      <c r="AO481" s="646"/>
      <c r="AP481" s="646"/>
      <c r="AQ481" s="271"/>
      <c r="AR481" s="646"/>
      <c r="AS481" s="270"/>
      <c r="AT481" s="646"/>
      <c r="AU481" s="646"/>
      <c r="AV481" s="646"/>
      <c r="AW481" s="270"/>
      <c r="AX481" s="646"/>
      <c r="AY481" s="270"/>
      <c r="AZ481" s="646"/>
      <c r="BA481" s="646"/>
      <c r="BB481" s="644"/>
      <c r="BC481" s="644"/>
      <c r="BD481" s="644"/>
      <c r="BE481" s="644"/>
      <c r="BF481" s="644"/>
      <c r="BG481" s="644"/>
      <c r="BH481" s="644"/>
      <c r="BI481" s="644"/>
      <c r="BJ481" s="644"/>
      <c r="BK481" s="644"/>
      <c r="BL481" s="644"/>
      <c r="BM481" s="95"/>
      <c r="BN481" s="644"/>
      <c r="BO481" s="95"/>
      <c r="BP481" s="644"/>
      <c r="BQ481" s="644"/>
      <c r="BR481" s="644"/>
      <c r="BS481" s="644"/>
      <c r="BT481" s="644"/>
      <c r="BU481" s="644"/>
      <c r="BV481" s="644"/>
      <c r="BW481" s="644"/>
      <c r="BX481" s="644"/>
      <c r="BY481" s="644"/>
      <c r="BZ481" s="644"/>
      <c r="CA481" s="644"/>
      <c r="CB481" s="644"/>
      <c r="CC481" s="644"/>
      <c r="CD481" s="644"/>
      <c r="CE481" s="644"/>
      <c r="CF481" s="644"/>
      <c r="CG481" s="644"/>
      <c r="CH481" s="644"/>
      <c r="CI481" s="644"/>
      <c r="CJ481" s="644"/>
      <c r="CK481" s="644"/>
      <c r="CL481" s="644"/>
      <c r="CM481" s="95"/>
      <c r="CN481" s="644"/>
      <c r="CO481" s="644"/>
      <c r="CP481" s="95"/>
      <c r="CQ481" s="98"/>
      <c r="CR481" s="95"/>
      <c r="CS481" s="95"/>
      <c r="CT481" s="95"/>
      <c r="CU481" s="108"/>
      <c r="CV481" s="109"/>
      <c r="CW481" s="644"/>
      <c r="CX481" s="496"/>
      <c r="CY481" s="637"/>
      <c r="CZ481" s="644"/>
      <c r="DA481" s="644"/>
      <c r="DB481" s="644"/>
      <c r="DC481" s="496"/>
      <c r="DD481" s="644"/>
      <c r="DE481" s="101"/>
      <c r="DF481" s="644"/>
      <c r="DG481" s="101"/>
      <c r="DH481" s="644"/>
      <c r="DI481" s="644"/>
      <c r="DJ481" s="644"/>
      <c r="DK481" s="644"/>
      <c r="DL481" s="644"/>
      <c r="DM481" s="101"/>
      <c r="DN481" s="644"/>
      <c r="DO481" s="644"/>
      <c r="DP481" s="644"/>
      <c r="DQ481" s="644"/>
      <c r="DR481" s="644"/>
      <c r="DS481" s="644"/>
      <c r="DT481" s="644"/>
      <c r="DU481" s="644"/>
      <c r="DV481" s="644"/>
      <c r="DW481" s="101"/>
      <c r="DX481" s="646"/>
      <c r="DY481" s="646"/>
      <c r="DZ481" s="646"/>
      <c r="EA481" s="646"/>
      <c r="EB481" s="646"/>
      <c r="EC481" s="646"/>
      <c r="ED481" s="646"/>
      <c r="EE481" s="646"/>
      <c r="EF481" s="646"/>
      <c r="EG481" s="646"/>
      <c r="EH481" s="646"/>
      <c r="EI481" s="646"/>
      <c r="EJ481" s="646"/>
      <c r="EK481" s="271"/>
      <c r="EL481" s="644"/>
      <c r="EM481" s="634"/>
      <c r="EN481" s="647"/>
      <c r="EO481" s="648"/>
      <c r="EP481" s="647"/>
      <c r="EQ481" s="647"/>
      <c r="ER481" s="647"/>
      <c r="ES481" s="139"/>
      <c r="EV481" s="647"/>
      <c r="EW481" s="647"/>
      <c r="EX481" s="647"/>
      <c r="EY481" s="647"/>
      <c r="EZ481" s="647"/>
      <c r="FA481" s="646"/>
      <c r="FB481" s="646"/>
      <c r="FC481" s="646"/>
      <c r="FD481" s="646"/>
      <c r="FE481" s="646"/>
      <c r="FF481" s="646"/>
      <c r="FG481" s="647"/>
      <c r="FH481" s="647"/>
      <c r="FI481" s="647"/>
      <c r="FJ481" s="647"/>
      <c r="FK481" s="647"/>
      <c r="FL481" s="647"/>
      <c r="FM481" s="647"/>
      <c r="FN481" s="647"/>
      <c r="FO481" s="647"/>
      <c r="FP481" s="647"/>
      <c r="FQ481" s="647"/>
      <c r="FR481" s="647"/>
      <c r="FS481" s="101"/>
      <c r="FT481" s="95"/>
      <c r="FU481" s="651"/>
      <c r="FV481" s="101"/>
      <c r="FW481" s="101"/>
      <c r="FX481" s="634"/>
      <c r="FY481" s="634"/>
      <c r="FZ481" s="634"/>
      <c r="GA481" s="634"/>
      <c r="GB481" s="634"/>
      <c r="GC481" s="634"/>
      <c r="GD481" s="634"/>
      <c r="GE481" s="634"/>
      <c r="GF481" s="634"/>
      <c r="GG481" s="634"/>
      <c r="GH481" s="634"/>
      <c r="GI481" s="634"/>
      <c r="GJ481" s="634"/>
      <c r="GK481" s="634"/>
      <c r="GL481" s="101"/>
      <c r="GM481" s="101"/>
      <c r="GN481" s="101"/>
      <c r="GO481" s="643"/>
      <c r="GP481" s="644"/>
      <c r="GQ481" s="643"/>
      <c r="GR481" s="644"/>
      <c r="GS481" s="643"/>
      <c r="GT481" s="644"/>
      <c r="GU481" s="644"/>
      <c r="GV481" s="644"/>
      <c r="GW481" s="644"/>
      <c r="GX481" s="644"/>
      <c r="GY481" s="644"/>
      <c r="GZ481" s="644"/>
      <c r="HA481" s="644"/>
    </row>
    <row r="482" spans="1:209">
      <c r="A482" s="638"/>
      <c r="B482" s="95"/>
      <c r="C482" s="95"/>
      <c r="D482" s="95"/>
      <c r="E482" s="650"/>
      <c r="F482" s="95"/>
      <c r="G482" s="98"/>
      <c r="H482" s="99"/>
      <c r="I482" s="95"/>
      <c r="J482" s="95"/>
      <c r="K482" s="95"/>
      <c r="L482" s="95"/>
      <c r="M482" s="95"/>
      <c r="N482" s="95"/>
      <c r="O482" s="95"/>
      <c r="P482" s="95"/>
      <c r="Q482" s="95"/>
      <c r="R482" s="98"/>
      <c r="S482" s="101"/>
      <c r="T482" s="644"/>
      <c r="U482" s="101"/>
      <c r="V482" s="647"/>
      <c r="W482" s="643"/>
      <c r="X482" s="644"/>
      <c r="Y482" s="101"/>
      <c r="Z482" s="644"/>
      <c r="AA482" s="101"/>
      <c r="AB482" s="644"/>
      <c r="AC482" s="101"/>
      <c r="AD482" s="646"/>
      <c r="AE482" s="271"/>
      <c r="AF482" s="646"/>
      <c r="AG482" s="646"/>
      <c r="AH482" s="646"/>
      <c r="AI482" s="646"/>
      <c r="AJ482" s="646"/>
      <c r="AK482" s="646"/>
      <c r="AL482" s="646"/>
      <c r="AM482" s="271"/>
      <c r="AN482" s="646"/>
      <c r="AO482" s="646"/>
      <c r="AP482" s="646"/>
      <c r="AQ482" s="271"/>
      <c r="AR482" s="646"/>
      <c r="AS482" s="270"/>
      <c r="AT482" s="646"/>
      <c r="AU482" s="646"/>
      <c r="AV482" s="646"/>
      <c r="AW482" s="270"/>
      <c r="AX482" s="646"/>
      <c r="AY482" s="270"/>
      <c r="AZ482" s="646"/>
      <c r="BA482" s="646"/>
      <c r="BB482" s="644"/>
      <c r="BC482" s="644"/>
      <c r="BD482" s="644"/>
      <c r="BE482" s="644"/>
      <c r="BF482" s="644"/>
      <c r="BG482" s="644"/>
      <c r="BH482" s="644"/>
      <c r="BI482" s="644"/>
      <c r="BJ482" s="644"/>
      <c r="BK482" s="644"/>
      <c r="BL482" s="644"/>
      <c r="BM482" s="95"/>
      <c r="BN482" s="644"/>
      <c r="BO482" s="95"/>
      <c r="BP482" s="644"/>
      <c r="BQ482" s="644"/>
      <c r="BR482" s="644"/>
      <c r="BS482" s="644"/>
      <c r="BT482" s="644"/>
      <c r="BU482" s="644"/>
      <c r="BV482" s="644"/>
      <c r="BW482" s="644"/>
      <c r="BX482" s="644"/>
      <c r="BY482" s="644"/>
      <c r="BZ482" s="644"/>
      <c r="CA482" s="644"/>
      <c r="CB482" s="644"/>
      <c r="CC482" s="644"/>
      <c r="CD482" s="644"/>
      <c r="CE482" s="644"/>
      <c r="CF482" s="644"/>
      <c r="CG482" s="644"/>
      <c r="CH482" s="644"/>
      <c r="CI482" s="644"/>
      <c r="CJ482" s="644"/>
      <c r="CK482" s="644"/>
      <c r="CL482" s="644"/>
      <c r="CM482" s="95"/>
      <c r="CN482" s="644"/>
      <c r="CO482" s="644"/>
      <c r="CP482" s="95"/>
      <c r="CQ482" s="98"/>
      <c r="CR482" s="95"/>
      <c r="CS482" s="95"/>
      <c r="CT482" s="95"/>
      <c r="CU482" s="108"/>
      <c r="CV482" s="109"/>
      <c r="CW482" s="644"/>
      <c r="CX482" s="496"/>
      <c r="CY482" s="637"/>
      <c r="CZ482" s="644"/>
      <c r="DA482" s="644"/>
      <c r="DB482" s="644"/>
      <c r="DC482" s="496"/>
      <c r="DD482" s="644"/>
      <c r="DE482" s="101"/>
      <c r="DF482" s="644"/>
      <c r="DG482" s="101"/>
      <c r="DH482" s="644"/>
      <c r="DI482" s="644"/>
      <c r="DJ482" s="644"/>
      <c r="DK482" s="644"/>
      <c r="DL482" s="644"/>
      <c r="DM482" s="101"/>
      <c r="DN482" s="644"/>
      <c r="DO482" s="644"/>
      <c r="DP482" s="644"/>
      <c r="DQ482" s="644"/>
      <c r="DR482" s="644"/>
      <c r="DS482" s="644"/>
      <c r="DT482" s="644"/>
      <c r="DU482" s="644"/>
      <c r="DV482" s="644"/>
      <c r="DW482" s="101"/>
      <c r="DX482" s="646"/>
      <c r="DY482" s="646"/>
      <c r="DZ482" s="646"/>
      <c r="EA482" s="646"/>
      <c r="EB482" s="646"/>
      <c r="EC482" s="646"/>
      <c r="ED482" s="646"/>
      <c r="EE482" s="646"/>
      <c r="EF482" s="646"/>
      <c r="EG482" s="646"/>
      <c r="EH482" s="646"/>
      <c r="EI482" s="646"/>
      <c r="EJ482" s="646"/>
      <c r="EK482" s="271"/>
      <c r="EL482" s="644"/>
      <c r="EM482" s="634"/>
      <c r="EN482" s="647"/>
      <c r="EO482" s="648"/>
      <c r="EP482" s="647"/>
      <c r="EQ482" s="647"/>
      <c r="ER482" s="647"/>
      <c r="ES482" s="139"/>
      <c r="EV482" s="647"/>
      <c r="EW482" s="647"/>
      <c r="EX482" s="647"/>
      <c r="EY482" s="647"/>
      <c r="EZ482" s="647"/>
      <c r="FA482" s="646"/>
      <c r="FB482" s="646"/>
      <c r="FC482" s="646"/>
      <c r="FD482" s="646"/>
      <c r="FE482" s="646"/>
      <c r="FF482" s="646"/>
      <c r="FG482" s="647"/>
      <c r="FH482" s="647"/>
      <c r="FI482" s="647"/>
      <c r="FJ482" s="647"/>
      <c r="FK482" s="647"/>
      <c r="FL482" s="647"/>
      <c r="FM482" s="647"/>
      <c r="FN482" s="647"/>
      <c r="FO482" s="647"/>
      <c r="FP482" s="647"/>
      <c r="FQ482" s="647"/>
      <c r="FR482" s="647"/>
      <c r="FS482" s="101"/>
      <c r="FT482" s="95"/>
      <c r="FU482" s="651"/>
      <c r="FV482" s="101"/>
      <c r="FW482" s="101"/>
      <c r="FX482" s="634"/>
      <c r="FY482" s="634"/>
      <c r="FZ482" s="634"/>
      <c r="GA482" s="634"/>
      <c r="GB482" s="634"/>
      <c r="GC482" s="634"/>
      <c r="GD482" s="634"/>
      <c r="GE482" s="634"/>
      <c r="GF482" s="634"/>
      <c r="GG482" s="634"/>
      <c r="GH482" s="634"/>
      <c r="GI482" s="634"/>
      <c r="GJ482" s="634"/>
      <c r="GK482" s="634"/>
      <c r="GL482" s="101"/>
      <c r="GM482" s="101"/>
      <c r="GN482" s="101"/>
      <c r="GO482" s="643"/>
      <c r="GP482" s="644"/>
      <c r="GQ482" s="643"/>
      <c r="GR482" s="644"/>
      <c r="GS482" s="643"/>
      <c r="GT482" s="644"/>
      <c r="GU482" s="644"/>
      <c r="GV482" s="644"/>
      <c r="GW482" s="644"/>
      <c r="GX482" s="644"/>
      <c r="GY482" s="644"/>
      <c r="GZ482" s="644"/>
      <c r="HA482" s="644"/>
    </row>
    <row r="483" spans="1:209">
      <c r="A483" s="638"/>
      <c r="B483" s="95"/>
      <c r="C483" s="95"/>
      <c r="D483" s="95"/>
      <c r="E483" s="650"/>
      <c r="F483" s="95"/>
      <c r="G483" s="98"/>
      <c r="H483" s="99"/>
      <c r="I483" s="95"/>
      <c r="J483" s="95"/>
      <c r="K483" s="95"/>
      <c r="L483" s="95"/>
      <c r="M483" s="95"/>
      <c r="N483" s="95"/>
      <c r="O483" s="95"/>
      <c r="P483" s="95"/>
      <c r="Q483" s="95"/>
      <c r="R483" s="98"/>
      <c r="S483" s="101"/>
      <c r="T483" s="644"/>
      <c r="U483" s="101"/>
      <c r="V483" s="647"/>
      <c r="W483" s="643"/>
      <c r="X483" s="644"/>
      <c r="Y483" s="101"/>
      <c r="Z483" s="644"/>
      <c r="AA483" s="101"/>
      <c r="AB483" s="644"/>
      <c r="AC483" s="101"/>
      <c r="AD483" s="646"/>
      <c r="AE483" s="271"/>
      <c r="AF483" s="646"/>
      <c r="AG483" s="646"/>
      <c r="AH483" s="646"/>
      <c r="AI483" s="646"/>
      <c r="AJ483" s="646"/>
      <c r="AK483" s="646"/>
      <c r="AL483" s="646"/>
      <c r="AM483" s="271"/>
      <c r="AN483" s="646"/>
      <c r="AO483" s="646"/>
      <c r="AP483" s="646"/>
      <c r="AQ483" s="271"/>
      <c r="AR483" s="646"/>
      <c r="AS483" s="270"/>
      <c r="AT483" s="646"/>
      <c r="AU483" s="646"/>
      <c r="AV483" s="646"/>
      <c r="AW483" s="270"/>
      <c r="AX483" s="646"/>
      <c r="AY483" s="270"/>
      <c r="AZ483" s="646"/>
      <c r="BA483" s="646"/>
      <c r="BB483" s="644"/>
      <c r="BC483" s="644"/>
      <c r="BD483" s="644"/>
      <c r="BE483" s="644"/>
      <c r="BF483" s="644"/>
      <c r="BG483" s="644"/>
      <c r="BH483" s="644"/>
      <c r="BI483" s="644"/>
      <c r="BJ483" s="644"/>
      <c r="BK483" s="644"/>
      <c r="BL483" s="644"/>
      <c r="BM483" s="95"/>
      <c r="BN483" s="644"/>
      <c r="BO483" s="95"/>
      <c r="BP483" s="644"/>
      <c r="BQ483" s="644"/>
      <c r="BR483" s="644"/>
      <c r="BS483" s="644"/>
      <c r="BT483" s="644"/>
      <c r="BU483" s="644"/>
      <c r="BV483" s="644"/>
      <c r="BW483" s="644"/>
      <c r="BX483" s="644"/>
      <c r="BY483" s="644"/>
      <c r="BZ483" s="644"/>
      <c r="CA483" s="644"/>
      <c r="CB483" s="644"/>
      <c r="CC483" s="644"/>
      <c r="CD483" s="644"/>
      <c r="CE483" s="644"/>
      <c r="CF483" s="644"/>
      <c r="CG483" s="644"/>
      <c r="CH483" s="644"/>
      <c r="CI483" s="644"/>
      <c r="CJ483" s="644"/>
      <c r="CK483" s="644"/>
      <c r="CL483" s="644"/>
      <c r="CM483" s="95"/>
      <c r="CN483" s="644"/>
      <c r="CO483" s="644"/>
      <c r="CP483" s="95"/>
      <c r="CQ483" s="98"/>
      <c r="CR483" s="95"/>
      <c r="CS483" s="95"/>
      <c r="CT483" s="95"/>
      <c r="CU483" s="108"/>
      <c r="CV483" s="109"/>
      <c r="CW483" s="644"/>
      <c r="CX483" s="496"/>
      <c r="CY483" s="637"/>
      <c r="CZ483" s="644"/>
      <c r="DA483" s="644"/>
      <c r="DB483" s="644"/>
      <c r="DC483" s="496"/>
      <c r="DD483" s="644"/>
      <c r="DE483" s="101"/>
      <c r="DF483" s="644"/>
      <c r="DG483" s="101"/>
      <c r="DH483" s="644"/>
      <c r="DI483" s="644"/>
      <c r="DJ483" s="644"/>
      <c r="DK483" s="644"/>
      <c r="DL483" s="644"/>
      <c r="DM483" s="101"/>
      <c r="DN483" s="644"/>
      <c r="DO483" s="644"/>
      <c r="DP483" s="644"/>
      <c r="DQ483" s="644"/>
      <c r="DR483" s="644"/>
      <c r="DS483" s="644"/>
      <c r="DT483" s="644"/>
      <c r="DU483" s="644"/>
      <c r="DV483" s="644"/>
      <c r="DW483" s="101"/>
      <c r="DX483" s="646"/>
      <c r="DY483" s="646"/>
      <c r="DZ483" s="646"/>
      <c r="EA483" s="646"/>
      <c r="EB483" s="646"/>
      <c r="EC483" s="646"/>
      <c r="ED483" s="646"/>
      <c r="EE483" s="646"/>
      <c r="EF483" s="646"/>
      <c r="EG483" s="646"/>
      <c r="EH483" s="646"/>
      <c r="EI483" s="646"/>
      <c r="EJ483" s="646"/>
      <c r="EK483" s="271"/>
      <c r="EL483" s="644"/>
      <c r="EM483" s="634"/>
      <c r="EN483" s="647"/>
      <c r="EO483" s="648"/>
      <c r="EP483" s="647"/>
      <c r="EQ483" s="647"/>
      <c r="ER483" s="647"/>
      <c r="ES483" s="139"/>
      <c r="EV483" s="647"/>
      <c r="EW483" s="647"/>
      <c r="EX483" s="647"/>
      <c r="EY483" s="647"/>
      <c r="EZ483" s="647"/>
      <c r="FA483" s="646"/>
      <c r="FB483" s="646"/>
      <c r="FC483" s="646"/>
      <c r="FD483" s="646"/>
      <c r="FE483" s="646"/>
      <c r="FF483" s="646"/>
      <c r="FG483" s="647"/>
      <c r="FH483" s="647"/>
      <c r="FI483" s="647"/>
      <c r="FJ483" s="647"/>
      <c r="FK483" s="647"/>
      <c r="FL483" s="647"/>
      <c r="FM483" s="647"/>
      <c r="FN483" s="647"/>
      <c r="FO483" s="647"/>
      <c r="FP483" s="647"/>
      <c r="FQ483" s="647"/>
      <c r="FR483" s="647"/>
      <c r="FS483" s="101"/>
      <c r="FT483" s="95"/>
      <c r="FU483" s="651"/>
      <c r="FV483" s="101"/>
      <c r="FW483" s="101"/>
      <c r="FX483" s="634"/>
      <c r="FY483" s="634"/>
      <c r="FZ483" s="634"/>
      <c r="GA483" s="634"/>
      <c r="GB483" s="634"/>
      <c r="GC483" s="634"/>
      <c r="GD483" s="634"/>
      <c r="GE483" s="634"/>
      <c r="GF483" s="634"/>
      <c r="GG483" s="634"/>
      <c r="GH483" s="634"/>
      <c r="GI483" s="634"/>
      <c r="GJ483" s="634"/>
      <c r="GK483" s="634"/>
      <c r="GL483" s="101"/>
      <c r="GM483" s="101"/>
      <c r="GN483" s="101"/>
      <c r="GO483" s="643"/>
      <c r="GP483" s="644"/>
      <c r="GQ483" s="643"/>
      <c r="GR483" s="644"/>
      <c r="GS483" s="643"/>
      <c r="GT483" s="644"/>
      <c r="GU483" s="644"/>
      <c r="GV483" s="644"/>
      <c r="GW483" s="644"/>
      <c r="GX483" s="644"/>
      <c r="GY483" s="644"/>
      <c r="GZ483" s="644"/>
      <c r="HA483" s="644"/>
    </row>
    <row r="484" spans="1:209">
      <c r="A484" s="638"/>
      <c r="B484" s="95"/>
      <c r="C484" s="95"/>
      <c r="D484" s="95"/>
      <c r="E484" s="650"/>
      <c r="F484" s="95"/>
      <c r="G484" s="98"/>
      <c r="H484" s="99"/>
      <c r="I484" s="95"/>
      <c r="J484" s="95"/>
      <c r="K484" s="95"/>
      <c r="L484" s="95"/>
      <c r="M484" s="95"/>
      <c r="N484" s="95"/>
      <c r="O484" s="95"/>
      <c r="P484" s="95"/>
      <c r="Q484" s="95"/>
      <c r="R484" s="98"/>
      <c r="S484" s="101"/>
      <c r="T484" s="644"/>
      <c r="U484" s="101"/>
      <c r="V484" s="647"/>
      <c r="W484" s="643"/>
      <c r="X484" s="644"/>
      <c r="Y484" s="101"/>
      <c r="Z484" s="644"/>
      <c r="AA484" s="101"/>
      <c r="AB484" s="644"/>
      <c r="AC484" s="101"/>
      <c r="AD484" s="646"/>
      <c r="AE484" s="271"/>
      <c r="AF484" s="646"/>
      <c r="AG484" s="646"/>
      <c r="AH484" s="646"/>
      <c r="AI484" s="646"/>
      <c r="AJ484" s="646"/>
      <c r="AK484" s="646"/>
      <c r="AL484" s="646"/>
      <c r="AM484" s="271"/>
      <c r="AN484" s="646"/>
      <c r="AO484" s="646"/>
      <c r="AP484" s="646"/>
      <c r="AQ484" s="271"/>
      <c r="AR484" s="646"/>
      <c r="AS484" s="270"/>
      <c r="AT484" s="646"/>
      <c r="AU484" s="646"/>
      <c r="AV484" s="646"/>
      <c r="AW484" s="270"/>
      <c r="AX484" s="646"/>
      <c r="AY484" s="270"/>
      <c r="AZ484" s="646"/>
      <c r="BA484" s="646"/>
      <c r="BB484" s="644"/>
      <c r="BC484" s="644"/>
      <c r="BD484" s="644"/>
      <c r="BE484" s="644"/>
      <c r="BF484" s="644"/>
      <c r="BG484" s="644"/>
      <c r="BH484" s="644"/>
      <c r="BI484" s="644"/>
      <c r="BJ484" s="644"/>
      <c r="BK484" s="644"/>
      <c r="BL484" s="644"/>
      <c r="BM484" s="95"/>
      <c r="BN484" s="644"/>
      <c r="BO484" s="95"/>
      <c r="BP484" s="644"/>
      <c r="BQ484" s="644"/>
      <c r="BR484" s="644"/>
      <c r="BS484" s="644"/>
      <c r="BT484" s="644"/>
      <c r="BU484" s="644"/>
      <c r="BV484" s="644"/>
      <c r="BW484" s="644"/>
      <c r="BX484" s="644"/>
      <c r="BY484" s="644"/>
      <c r="BZ484" s="644"/>
      <c r="CA484" s="644"/>
      <c r="CB484" s="644"/>
      <c r="CC484" s="644"/>
      <c r="CD484" s="644"/>
      <c r="CE484" s="644"/>
      <c r="CF484" s="644"/>
      <c r="CG484" s="644"/>
      <c r="CH484" s="644"/>
      <c r="CI484" s="644"/>
      <c r="CJ484" s="644"/>
      <c r="CK484" s="644"/>
      <c r="CL484" s="644"/>
      <c r="CM484" s="95"/>
      <c r="CN484" s="644"/>
      <c r="CO484" s="644"/>
      <c r="CP484" s="95"/>
      <c r="CQ484" s="98"/>
      <c r="CR484" s="95"/>
      <c r="CS484" s="95"/>
      <c r="CT484" s="95"/>
      <c r="CU484" s="108"/>
      <c r="CV484" s="109"/>
      <c r="CW484" s="644"/>
      <c r="CX484" s="496"/>
      <c r="CY484" s="637"/>
      <c r="CZ484" s="644"/>
      <c r="DA484" s="644"/>
      <c r="DB484" s="644"/>
      <c r="DC484" s="496"/>
      <c r="DD484" s="644"/>
      <c r="DE484" s="101"/>
      <c r="DF484" s="644"/>
      <c r="DG484" s="101"/>
      <c r="DH484" s="644"/>
      <c r="DI484" s="644"/>
      <c r="DJ484" s="644"/>
      <c r="DK484" s="644"/>
      <c r="DL484" s="644"/>
      <c r="DM484" s="101"/>
      <c r="DN484" s="644"/>
      <c r="DO484" s="644"/>
      <c r="DP484" s="644"/>
      <c r="DQ484" s="644"/>
      <c r="DR484" s="644"/>
      <c r="DS484" s="644"/>
      <c r="DT484" s="644"/>
      <c r="DU484" s="644"/>
      <c r="DV484" s="644"/>
      <c r="DW484" s="101"/>
      <c r="DX484" s="646"/>
      <c r="DY484" s="646"/>
      <c r="DZ484" s="646"/>
      <c r="EA484" s="646"/>
      <c r="EB484" s="646"/>
      <c r="EC484" s="646"/>
      <c r="ED484" s="646"/>
      <c r="EE484" s="646"/>
      <c r="EF484" s="646"/>
      <c r="EG484" s="646"/>
      <c r="EH484" s="646"/>
      <c r="EI484" s="646"/>
      <c r="EJ484" s="646"/>
      <c r="EK484" s="271"/>
      <c r="EL484" s="644"/>
      <c r="EM484" s="634"/>
      <c r="EN484" s="647"/>
      <c r="EO484" s="648"/>
      <c r="EP484" s="647"/>
      <c r="EQ484" s="647"/>
      <c r="ER484" s="647"/>
      <c r="ES484" s="139"/>
      <c r="EV484" s="647"/>
      <c r="EW484" s="647"/>
      <c r="EX484" s="647"/>
      <c r="EY484" s="647"/>
      <c r="EZ484" s="647"/>
      <c r="FA484" s="646"/>
      <c r="FB484" s="646"/>
      <c r="FC484" s="646"/>
      <c r="FD484" s="646"/>
      <c r="FE484" s="646"/>
      <c r="FF484" s="646"/>
      <c r="FG484" s="647"/>
      <c r="FH484" s="647"/>
      <c r="FI484" s="647"/>
      <c r="FJ484" s="647"/>
      <c r="FK484" s="647"/>
      <c r="FL484" s="647"/>
      <c r="FM484" s="647"/>
      <c r="FN484" s="647"/>
      <c r="FO484" s="647"/>
      <c r="FP484" s="647"/>
      <c r="FQ484" s="647"/>
      <c r="FR484" s="647"/>
      <c r="FS484" s="101"/>
      <c r="FT484" s="95"/>
      <c r="FU484" s="651"/>
      <c r="FV484" s="101"/>
      <c r="FW484" s="101"/>
      <c r="FX484" s="634"/>
      <c r="FY484" s="634"/>
      <c r="FZ484" s="634"/>
      <c r="GA484" s="634"/>
      <c r="GB484" s="634"/>
      <c r="GC484" s="634"/>
      <c r="GD484" s="634"/>
      <c r="GE484" s="634"/>
      <c r="GF484" s="634"/>
      <c r="GG484" s="634"/>
      <c r="GH484" s="634"/>
      <c r="GI484" s="634"/>
      <c r="GJ484" s="634"/>
      <c r="GK484" s="634"/>
      <c r="GL484" s="101"/>
      <c r="GM484" s="101"/>
      <c r="GN484" s="101"/>
      <c r="GO484" s="643"/>
      <c r="GP484" s="644"/>
      <c r="GQ484" s="643"/>
      <c r="GR484" s="644"/>
      <c r="GS484" s="643"/>
      <c r="GT484" s="644"/>
      <c r="GU484" s="644"/>
      <c r="GV484" s="644"/>
      <c r="GW484" s="644"/>
      <c r="GX484" s="644"/>
      <c r="GY484" s="644"/>
      <c r="GZ484" s="644"/>
      <c r="HA484" s="644"/>
    </row>
    <row r="485" spans="1:209">
      <c r="A485" s="638"/>
      <c r="B485" s="95"/>
      <c r="C485" s="95"/>
      <c r="D485" s="95"/>
      <c r="E485" s="650"/>
      <c r="F485" s="95"/>
      <c r="G485" s="98"/>
      <c r="H485" s="99"/>
      <c r="I485" s="95"/>
      <c r="J485" s="95"/>
      <c r="K485" s="95"/>
      <c r="L485" s="95"/>
      <c r="M485" s="95"/>
      <c r="N485" s="95"/>
      <c r="O485" s="95"/>
      <c r="P485" s="95"/>
      <c r="Q485" s="95"/>
      <c r="R485" s="98"/>
      <c r="S485" s="101"/>
      <c r="T485" s="644"/>
      <c r="U485" s="101"/>
      <c r="V485" s="647"/>
      <c r="W485" s="643"/>
      <c r="X485" s="644"/>
      <c r="Y485" s="101"/>
      <c r="Z485" s="644"/>
      <c r="AA485" s="101"/>
      <c r="AB485" s="644"/>
      <c r="AC485" s="101"/>
      <c r="AD485" s="646"/>
      <c r="AE485" s="271"/>
      <c r="AF485" s="646"/>
      <c r="AG485" s="646"/>
      <c r="AH485" s="646"/>
      <c r="AI485" s="646"/>
      <c r="AJ485" s="646"/>
      <c r="AK485" s="646"/>
      <c r="AL485" s="646"/>
      <c r="AM485" s="271"/>
      <c r="AN485" s="646"/>
      <c r="AO485" s="646"/>
      <c r="AP485" s="646"/>
      <c r="AQ485" s="271"/>
      <c r="AR485" s="646"/>
      <c r="AS485" s="270"/>
      <c r="AT485" s="646"/>
      <c r="AU485" s="646"/>
      <c r="AV485" s="646"/>
      <c r="AW485" s="270"/>
      <c r="AX485" s="646"/>
      <c r="AY485" s="270"/>
      <c r="AZ485" s="646"/>
      <c r="BA485" s="646"/>
      <c r="BB485" s="644"/>
      <c r="BC485" s="644"/>
      <c r="BD485" s="644"/>
      <c r="BE485" s="644"/>
      <c r="BF485" s="644"/>
      <c r="BG485" s="644"/>
      <c r="BH485" s="644"/>
      <c r="BI485" s="644"/>
      <c r="BJ485" s="644"/>
      <c r="BK485" s="644"/>
      <c r="BL485" s="644"/>
      <c r="BM485" s="95"/>
      <c r="BN485" s="644"/>
      <c r="BO485" s="95"/>
      <c r="BP485" s="644"/>
      <c r="BQ485" s="644"/>
      <c r="BR485" s="644"/>
      <c r="BS485" s="644"/>
      <c r="BT485" s="644"/>
      <c r="BU485" s="644"/>
      <c r="BV485" s="644"/>
      <c r="BW485" s="644"/>
      <c r="BX485" s="644"/>
      <c r="BY485" s="644"/>
      <c r="BZ485" s="644"/>
      <c r="CA485" s="644"/>
      <c r="CB485" s="644"/>
      <c r="CC485" s="644"/>
      <c r="CD485" s="644"/>
      <c r="CE485" s="644"/>
      <c r="CF485" s="644"/>
      <c r="CG485" s="644"/>
      <c r="CH485" s="644"/>
      <c r="CI485" s="644"/>
      <c r="CJ485" s="644"/>
      <c r="CK485" s="644"/>
      <c r="CL485" s="644"/>
      <c r="CM485" s="95"/>
      <c r="CN485" s="644"/>
      <c r="CO485" s="644"/>
      <c r="CP485" s="95"/>
      <c r="CQ485" s="98"/>
      <c r="CR485" s="95"/>
      <c r="CS485" s="95"/>
      <c r="CT485" s="95"/>
      <c r="CU485" s="108"/>
      <c r="CV485" s="109"/>
      <c r="CW485" s="644"/>
      <c r="CX485" s="496"/>
      <c r="CY485" s="637"/>
      <c r="CZ485" s="644"/>
      <c r="DA485" s="644"/>
      <c r="DB485" s="644"/>
      <c r="DC485" s="496"/>
      <c r="DD485" s="644"/>
      <c r="DE485" s="101"/>
      <c r="DF485" s="644"/>
      <c r="DG485" s="101"/>
      <c r="DH485" s="644"/>
      <c r="DI485" s="644"/>
      <c r="DJ485" s="644"/>
      <c r="DK485" s="644"/>
      <c r="DL485" s="644"/>
      <c r="DM485" s="101"/>
      <c r="DN485" s="644"/>
      <c r="DO485" s="644"/>
      <c r="DP485" s="644"/>
      <c r="DQ485" s="644"/>
      <c r="DR485" s="644"/>
      <c r="DS485" s="644"/>
      <c r="DT485" s="644"/>
      <c r="DU485" s="644"/>
      <c r="DV485" s="644"/>
      <c r="DW485" s="101"/>
      <c r="DX485" s="646"/>
      <c r="DY485" s="646"/>
      <c r="DZ485" s="646"/>
      <c r="EA485" s="646"/>
      <c r="EB485" s="646"/>
      <c r="EC485" s="646"/>
      <c r="ED485" s="646"/>
      <c r="EE485" s="646"/>
      <c r="EF485" s="646"/>
      <c r="EG485" s="646"/>
      <c r="EH485" s="646"/>
      <c r="EI485" s="646"/>
      <c r="EJ485" s="646"/>
      <c r="EK485" s="271"/>
      <c r="EL485" s="644"/>
      <c r="EM485" s="634"/>
      <c r="EN485" s="647"/>
      <c r="EO485" s="648"/>
      <c r="EP485" s="647"/>
      <c r="EQ485" s="647"/>
      <c r="ER485" s="647"/>
      <c r="ES485" s="139"/>
      <c r="EV485" s="647"/>
      <c r="EW485" s="647"/>
      <c r="EX485" s="647"/>
      <c r="EY485" s="647"/>
      <c r="EZ485" s="647"/>
      <c r="FA485" s="646"/>
      <c r="FB485" s="646"/>
      <c r="FC485" s="646"/>
      <c r="FD485" s="646"/>
      <c r="FE485" s="646"/>
      <c r="FF485" s="646"/>
      <c r="FG485" s="647"/>
      <c r="FH485" s="647"/>
      <c r="FI485" s="647"/>
      <c r="FJ485" s="647"/>
      <c r="FK485" s="647"/>
      <c r="FL485" s="647"/>
      <c r="FM485" s="647"/>
      <c r="FN485" s="647"/>
      <c r="FO485" s="647"/>
      <c r="FP485" s="647"/>
      <c r="FQ485" s="647"/>
      <c r="FR485" s="647"/>
      <c r="FS485" s="101"/>
      <c r="FT485" s="95"/>
      <c r="FU485" s="651"/>
      <c r="FV485" s="101"/>
      <c r="FW485" s="101"/>
      <c r="FX485" s="634"/>
      <c r="FY485" s="634"/>
      <c r="FZ485" s="634"/>
      <c r="GA485" s="634"/>
      <c r="GB485" s="634"/>
      <c r="GC485" s="634"/>
      <c r="GD485" s="634"/>
      <c r="GE485" s="634"/>
      <c r="GF485" s="634"/>
      <c r="GG485" s="634"/>
      <c r="GH485" s="634"/>
      <c r="GI485" s="634"/>
      <c r="GJ485" s="634"/>
      <c r="GK485" s="634"/>
      <c r="GL485" s="101"/>
      <c r="GM485" s="101"/>
      <c r="GN485" s="101"/>
      <c r="GO485" s="643"/>
      <c r="GP485" s="644"/>
      <c r="GQ485" s="643"/>
      <c r="GR485" s="644"/>
      <c r="GS485" s="643"/>
      <c r="GT485" s="644"/>
      <c r="GU485" s="644"/>
      <c r="GV485" s="644"/>
      <c r="GW485" s="644"/>
      <c r="GX485" s="644"/>
      <c r="GY485" s="644"/>
      <c r="GZ485" s="644"/>
      <c r="HA485" s="644"/>
    </row>
    <row r="486" spans="1:209">
      <c r="A486" s="638"/>
      <c r="B486" s="95"/>
      <c r="C486" s="95"/>
      <c r="D486" s="95"/>
      <c r="E486" s="650"/>
      <c r="F486" s="95"/>
      <c r="G486" s="98"/>
      <c r="H486" s="99"/>
      <c r="I486" s="95"/>
      <c r="J486" s="95"/>
      <c r="K486" s="95"/>
      <c r="L486" s="95"/>
      <c r="M486" s="95"/>
      <c r="N486" s="95"/>
      <c r="O486" s="95"/>
      <c r="P486" s="95"/>
      <c r="Q486" s="95"/>
      <c r="R486" s="98"/>
      <c r="S486" s="101"/>
      <c r="T486" s="644"/>
      <c r="U486" s="101"/>
      <c r="V486" s="647"/>
      <c r="W486" s="643"/>
      <c r="X486" s="644"/>
      <c r="Y486" s="101"/>
      <c r="Z486" s="644"/>
      <c r="AA486" s="101"/>
      <c r="AB486" s="644"/>
      <c r="AC486" s="101"/>
      <c r="AD486" s="646"/>
      <c r="AE486" s="271"/>
      <c r="AF486" s="646"/>
      <c r="AG486" s="646"/>
      <c r="AH486" s="646"/>
      <c r="AI486" s="646"/>
      <c r="AJ486" s="646"/>
      <c r="AK486" s="646"/>
      <c r="AL486" s="646"/>
      <c r="AM486" s="271"/>
      <c r="AN486" s="646"/>
      <c r="AO486" s="646"/>
      <c r="AP486" s="646"/>
      <c r="AQ486" s="271"/>
      <c r="AR486" s="646"/>
      <c r="AS486" s="270"/>
      <c r="AT486" s="646"/>
      <c r="AU486" s="646"/>
      <c r="AV486" s="646"/>
      <c r="AW486" s="270"/>
      <c r="AX486" s="646"/>
      <c r="AY486" s="270"/>
      <c r="AZ486" s="646"/>
      <c r="BA486" s="646"/>
      <c r="BB486" s="644"/>
      <c r="BC486" s="644"/>
      <c r="BD486" s="644"/>
      <c r="BE486" s="644"/>
      <c r="BF486" s="644"/>
      <c r="BG486" s="644"/>
      <c r="BH486" s="644"/>
      <c r="BI486" s="644"/>
      <c r="BJ486" s="644"/>
      <c r="BK486" s="644"/>
      <c r="BL486" s="644"/>
      <c r="BM486" s="95"/>
      <c r="BN486" s="644"/>
      <c r="BO486" s="95"/>
      <c r="BP486" s="644"/>
      <c r="BQ486" s="644"/>
      <c r="BR486" s="644"/>
      <c r="BS486" s="644"/>
      <c r="BT486" s="644"/>
      <c r="BU486" s="644"/>
      <c r="BV486" s="644"/>
      <c r="BW486" s="644"/>
      <c r="BX486" s="644"/>
      <c r="BY486" s="644"/>
      <c r="BZ486" s="644"/>
      <c r="CA486" s="644"/>
      <c r="CB486" s="644"/>
      <c r="CC486" s="644"/>
      <c r="CD486" s="644"/>
      <c r="CE486" s="644"/>
      <c r="CF486" s="644"/>
      <c r="CG486" s="644"/>
      <c r="CH486" s="644"/>
      <c r="CI486" s="644"/>
      <c r="CJ486" s="644"/>
      <c r="CK486" s="644"/>
      <c r="CL486" s="644"/>
      <c r="CM486" s="95"/>
      <c r="CN486" s="644"/>
      <c r="CO486" s="644"/>
      <c r="CP486" s="95"/>
      <c r="CQ486" s="98"/>
      <c r="CR486" s="95"/>
      <c r="CS486" s="95"/>
      <c r="CT486" s="95"/>
      <c r="CU486" s="108"/>
      <c r="CV486" s="109"/>
      <c r="CW486" s="644"/>
      <c r="CX486" s="496"/>
      <c r="CY486" s="637"/>
      <c r="CZ486" s="644"/>
      <c r="DA486" s="644"/>
      <c r="DB486" s="644"/>
      <c r="DC486" s="496"/>
      <c r="DD486" s="644"/>
      <c r="DE486" s="101"/>
      <c r="DF486" s="644"/>
      <c r="DG486" s="101"/>
      <c r="DH486" s="644"/>
      <c r="DI486" s="644"/>
      <c r="DJ486" s="644"/>
      <c r="DK486" s="644"/>
      <c r="DL486" s="644"/>
      <c r="DM486" s="101"/>
      <c r="DN486" s="644"/>
      <c r="DO486" s="644"/>
      <c r="DP486" s="644"/>
      <c r="DQ486" s="644"/>
      <c r="DR486" s="644"/>
      <c r="DS486" s="644"/>
      <c r="DT486" s="644"/>
      <c r="DU486" s="644"/>
      <c r="DV486" s="644"/>
      <c r="DW486" s="101"/>
      <c r="DX486" s="646"/>
      <c r="DY486" s="646"/>
      <c r="DZ486" s="646"/>
      <c r="EA486" s="646"/>
      <c r="EB486" s="646"/>
      <c r="EC486" s="646"/>
      <c r="ED486" s="646"/>
      <c r="EE486" s="646"/>
      <c r="EF486" s="646"/>
      <c r="EG486" s="646"/>
      <c r="EH486" s="646"/>
      <c r="EI486" s="646"/>
      <c r="EJ486" s="646"/>
      <c r="EK486" s="271"/>
      <c r="EL486" s="644"/>
      <c r="EM486" s="634"/>
      <c r="EN486" s="647"/>
      <c r="EO486" s="648"/>
      <c r="EP486" s="647"/>
      <c r="EQ486" s="647"/>
      <c r="ER486" s="647"/>
      <c r="ES486" s="139"/>
      <c r="EV486" s="647"/>
      <c r="EW486" s="647"/>
      <c r="EX486" s="647"/>
      <c r="EY486" s="647"/>
      <c r="EZ486" s="647"/>
      <c r="FA486" s="646"/>
      <c r="FB486" s="646"/>
      <c r="FC486" s="646"/>
      <c r="FD486" s="646"/>
      <c r="FE486" s="646"/>
      <c r="FF486" s="646"/>
      <c r="FG486" s="647"/>
      <c r="FH486" s="647"/>
      <c r="FI486" s="647"/>
      <c r="FJ486" s="647"/>
      <c r="FK486" s="647"/>
      <c r="FL486" s="647"/>
      <c r="FM486" s="647"/>
      <c r="FN486" s="647"/>
      <c r="FO486" s="647"/>
      <c r="FP486" s="647"/>
      <c r="FQ486" s="647"/>
      <c r="FR486" s="647"/>
      <c r="FS486" s="101"/>
      <c r="FT486" s="95"/>
      <c r="FU486" s="651"/>
      <c r="FV486" s="101"/>
      <c r="FW486" s="101"/>
      <c r="FX486" s="634"/>
      <c r="FY486" s="634"/>
      <c r="FZ486" s="634"/>
      <c r="GA486" s="634"/>
      <c r="GB486" s="634"/>
      <c r="GC486" s="634"/>
      <c r="GD486" s="634"/>
      <c r="GE486" s="634"/>
      <c r="GF486" s="634"/>
      <c r="GG486" s="634"/>
      <c r="GH486" s="634"/>
      <c r="GI486" s="634"/>
      <c r="GJ486" s="634"/>
      <c r="GK486" s="634"/>
      <c r="GL486" s="101"/>
      <c r="GM486" s="101"/>
      <c r="GN486" s="101"/>
      <c r="GO486" s="643"/>
      <c r="GP486" s="644"/>
      <c r="GQ486" s="643"/>
      <c r="GR486" s="644"/>
      <c r="GS486" s="643"/>
      <c r="GT486" s="644"/>
      <c r="GU486" s="644"/>
      <c r="GV486" s="644"/>
      <c r="GW486" s="644"/>
      <c r="GX486" s="644"/>
      <c r="GY486" s="644"/>
      <c r="GZ486" s="644"/>
      <c r="HA486" s="644"/>
    </row>
    <row r="487" spans="1:209">
      <c r="A487" s="638"/>
      <c r="B487" s="95"/>
      <c r="C487" s="95"/>
      <c r="D487" s="95"/>
      <c r="E487" s="650"/>
      <c r="F487" s="95"/>
      <c r="G487" s="98"/>
      <c r="H487" s="99"/>
      <c r="I487" s="95"/>
      <c r="J487" s="95"/>
      <c r="K487" s="95"/>
      <c r="L487" s="95"/>
      <c r="M487" s="95"/>
      <c r="N487" s="95"/>
      <c r="O487" s="95"/>
      <c r="P487" s="95"/>
      <c r="Q487" s="95"/>
      <c r="R487" s="98"/>
      <c r="S487" s="101"/>
      <c r="T487" s="644"/>
      <c r="U487" s="101"/>
      <c r="V487" s="647"/>
      <c r="W487" s="643"/>
      <c r="X487" s="644"/>
      <c r="Y487" s="101"/>
      <c r="Z487" s="644"/>
      <c r="AA487" s="101"/>
      <c r="AB487" s="644"/>
      <c r="AC487" s="101"/>
      <c r="AD487" s="646"/>
      <c r="AE487" s="271"/>
      <c r="AF487" s="646"/>
      <c r="AG487" s="646"/>
      <c r="AH487" s="646"/>
      <c r="AI487" s="646"/>
      <c r="AJ487" s="646"/>
      <c r="AK487" s="646"/>
      <c r="AL487" s="646"/>
      <c r="AM487" s="271"/>
      <c r="AN487" s="646"/>
      <c r="AO487" s="646"/>
      <c r="AP487" s="646"/>
      <c r="AQ487" s="271"/>
      <c r="AR487" s="646"/>
      <c r="AS487" s="270"/>
      <c r="AT487" s="646"/>
      <c r="AU487" s="646"/>
      <c r="AV487" s="646"/>
      <c r="AW487" s="270"/>
      <c r="AX487" s="646"/>
      <c r="AY487" s="270"/>
      <c r="AZ487" s="646"/>
      <c r="BA487" s="646"/>
      <c r="BB487" s="644"/>
      <c r="BC487" s="644"/>
      <c r="BD487" s="644"/>
      <c r="BE487" s="644"/>
      <c r="BF487" s="644"/>
      <c r="BG487" s="644"/>
      <c r="BH487" s="644"/>
      <c r="BI487" s="644"/>
      <c r="BJ487" s="644"/>
      <c r="BK487" s="644"/>
      <c r="BL487" s="644"/>
      <c r="BM487" s="95"/>
      <c r="BN487" s="644"/>
      <c r="BO487" s="95"/>
      <c r="BP487" s="644"/>
      <c r="BQ487" s="644"/>
      <c r="BR487" s="644"/>
      <c r="BS487" s="644"/>
      <c r="BT487" s="644"/>
      <c r="BU487" s="644"/>
      <c r="BV487" s="644"/>
      <c r="BW487" s="644"/>
      <c r="BX487" s="644"/>
      <c r="BY487" s="644"/>
      <c r="BZ487" s="644"/>
      <c r="CA487" s="644"/>
      <c r="CB487" s="644"/>
      <c r="CC487" s="644"/>
      <c r="CD487" s="644"/>
      <c r="CE487" s="644"/>
      <c r="CF487" s="644"/>
      <c r="CG487" s="644"/>
      <c r="CH487" s="644"/>
      <c r="CI487" s="644"/>
      <c r="CJ487" s="644"/>
      <c r="CK487" s="644"/>
      <c r="CL487" s="644"/>
      <c r="CM487" s="95"/>
      <c r="CN487" s="644"/>
      <c r="CO487" s="644"/>
      <c r="CP487" s="95"/>
      <c r="CQ487" s="98"/>
      <c r="CR487" s="95"/>
      <c r="CS487" s="95"/>
      <c r="CT487" s="95"/>
      <c r="CU487" s="108"/>
      <c r="CV487" s="109"/>
      <c r="CW487" s="644"/>
      <c r="CX487" s="496"/>
      <c r="CY487" s="637"/>
      <c r="CZ487" s="644"/>
      <c r="DA487" s="644"/>
      <c r="DB487" s="644"/>
      <c r="DC487" s="496"/>
      <c r="DD487" s="644"/>
      <c r="DE487" s="101"/>
      <c r="DF487" s="644"/>
      <c r="DG487" s="101"/>
      <c r="DH487" s="644"/>
      <c r="DI487" s="644"/>
      <c r="DJ487" s="644"/>
      <c r="DK487" s="644"/>
      <c r="DL487" s="644"/>
      <c r="DM487" s="101"/>
      <c r="DN487" s="644"/>
      <c r="DO487" s="644"/>
      <c r="DP487" s="644"/>
      <c r="DQ487" s="644"/>
      <c r="DR487" s="644"/>
      <c r="DS487" s="644"/>
      <c r="DT487" s="644"/>
      <c r="DU487" s="644"/>
      <c r="DV487" s="644"/>
      <c r="DW487" s="101"/>
      <c r="DX487" s="646"/>
      <c r="DY487" s="646"/>
      <c r="DZ487" s="646"/>
      <c r="EA487" s="646"/>
      <c r="EB487" s="646"/>
      <c r="EC487" s="646"/>
      <c r="ED487" s="646"/>
      <c r="EE487" s="646"/>
      <c r="EF487" s="646"/>
      <c r="EG487" s="646"/>
      <c r="EH487" s="646"/>
      <c r="EI487" s="646"/>
      <c r="EJ487" s="646"/>
      <c r="EK487" s="271"/>
      <c r="EL487" s="644"/>
      <c r="EM487" s="634"/>
      <c r="EN487" s="647"/>
      <c r="EO487" s="648"/>
      <c r="EP487" s="647"/>
      <c r="EQ487" s="647"/>
      <c r="ER487" s="647"/>
      <c r="ES487" s="139"/>
      <c r="EV487" s="647"/>
      <c r="EW487" s="647"/>
      <c r="EX487" s="647"/>
      <c r="EY487" s="647"/>
      <c r="EZ487" s="647"/>
      <c r="FA487" s="646"/>
      <c r="FB487" s="646"/>
      <c r="FC487" s="646"/>
      <c r="FD487" s="646"/>
      <c r="FE487" s="646"/>
      <c r="FF487" s="646"/>
      <c r="FG487" s="647"/>
      <c r="FH487" s="647"/>
      <c r="FI487" s="647"/>
      <c r="FJ487" s="647"/>
      <c r="FK487" s="647"/>
      <c r="FL487" s="647"/>
      <c r="FM487" s="647"/>
      <c r="FN487" s="647"/>
      <c r="FO487" s="647"/>
      <c r="FP487" s="647"/>
      <c r="FQ487" s="647"/>
      <c r="FR487" s="647"/>
      <c r="FS487" s="101"/>
      <c r="FT487" s="95"/>
      <c r="FU487" s="651"/>
      <c r="FV487" s="101"/>
      <c r="FW487" s="101"/>
      <c r="FX487" s="634"/>
      <c r="FY487" s="634"/>
      <c r="FZ487" s="634"/>
      <c r="GA487" s="634"/>
      <c r="GB487" s="634"/>
      <c r="GC487" s="634"/>
      <c r="GD487" s="634"/>
      <c r="GE487" s="634"/>
      <c r="GF487" s="634"/>
      <c r="GG487" s="634"/>
      <c r="GH487" s="634"/>
      <c r="GI487" s="634"/>
      <c r="GJ487" s="634"/>
      <c r="GK487" s="634"/>
      <c r="GL487" s="101"/>
      <c r="GM487" s="101"/>
      <c r="GN487" s="101"/>
      <c r="GO487" s="643"/>
      <c r="GP487" s="644"/>
      <c r="GQ487" s="643"/>
      <c r="GR487" s="644"/>
      <c r="GS487" s="643"/>
      <c r="GT487" s="644"/>
      <c r="GU487" s="644"/>
      <c r="GV487" s="644"/>
      <c r="GW487" s="644"/>
      <c r="GX487" s="644"/>
      <c r="GY487" s="644"/>
      <c r="GZ487" s="644"/>
      <c r="HA487" s="644"/>
    </row>
    <row r="488" spans="1:209">
      <c r="A488" s="638"/>
      <c r="B488" s="95"/>
      <c r="C488" s="95"/>
      <c r="D488" s="95"/>
      <c r="E488" s="650"/>
      <c r="F488" s="95"/>
      <c r="G488" s="98"/>
      <c r="H488" s="99"/>
      <c r="I488" s="95"/>
      <c r="J488" s="95"/>
      <c r="K488" s="95"/>
      <c r="L488" s="95"/>
      <c r="M488" s="95"/>
      <c r="N488" s="95"/>
      <c r="O488" s="95"/>
      <c r="P488" s="95"/>
      <c r="Q488" s="95"/>
      <c r="R488" s="98"/>
      <c r="S488" s="101"/>
      <c r="T488" s="644"/>
      <c r="U488" s="101"/>
      <c r="V488" s="647"/>
      <c r="W488" s="643"/>
      <c r="X488" s="644"/>
      <c r="Y488" s="101"/>
      <c r="Z488" s="644"/>
      <c r="AA488" s="101"/>
      <c r="AB488" s="644"/>
      <c r="AC488" s="101"/>
      <c r="AD488" s="646"/>
      <c r="AE488" s="271"/>
      <c r="AF488" s="646"/>
      <c r="AG488" s="646"/>
      <c r="AH488" s="646"/>
      <c r="AI488" s="646"/>
      <c r="AJ488" s="646"/>
      <c r="AK488" s="646"/>
      <c r="AL488" s="646"/>
      <c r="AM488" s="271"/>
      <c r="AN488" s="646"/>
      <c r="AO488" s="646"/>
      <c r="AP488" s="646"/>
      <c r="AQ488" s="271"/>
      <c r="AR488" s="646"/>
      <c r="AS488" s="270"/>
      <c r="AT488" s="646"/>
      <c r="AU488" s="646"/>
      <c r="AV488" s="646"/>
      <c r="AW488" s="270"/>
      <c r="AX488" s="646"/>
      <c r="AY488" s="270"/>
      <c r="AZ488" s="646"/>
      <c r="BA488" s="646"/>
      <c r="BB488" s="644"/>
      <c r="BC488" s="644"/>
      <c r="BD488" s="644"/>
      <c r="BE488" s="644"/>
      <c r="BF488" s="644"/>
      <c r="BG488" s="644"/>
      <c r="BH488" s="644"/>
      <c r="BI488" s="644"/>
      <c r="BJ488" s="644"/>
      <c r="BK488" s="644"/>
      <c r="BL488" s="644"/>
      <c r="BM488" s="95"/>
      <c r="BN488" s="644"/>
      <c r="BO488" s="95"/>
      <c r="BP488" s="644"/>
      <c r="BQ488" s="644"/>
      <c r="BR488" s="644"/>
      <c r="BS488" s="644"/>
      <c r="BT488" s="644"/>
      <c r="BU488" s="644"/>
      <c r="BV488" s="644"/>
      <c r="BW488" s="644"/>
      <c r="BX488" s="644"/>
      <c r="BY488" s="644"/>
      <c r="BZ488" s="644"/>
      <c r="CA488" s="644"/>
      <c r="CB488" s="644"/>
      <c r="CC488" s="644"/>
      <c r="CD488" s="644"/>
      <c r="CE488" s="644"/>
      <c r="CF488" s="644"/>
      <c r="CG488" s="644"/>
      <c r="CH488" s="644"/>
      <c r="CI488" s="644"/>
      <c r="CJ488" s="644"/>
      <c r="CK488" s="644"/>
      <c r="CL488" s="644"/>
      <c r="CM488" s="95"/>
      <c r="CN488" s="644"/>
      <c r="CO488" s="644"/>
      <c r="CP488" s="95"/>
      <c r="CQ488" s="98"/>
      <c r="CR488" s="95"/>
      <c r="CS488" s="95"/>
      <c r="CT488" s="95"/>
      <c r="CU488" s="108"/>
      <c r="CV488" s="109"/>
      <c r="CW488" s="644"/>
      <c r="CX488" s="496"/>
      <c r="CY488" s="637"/>
      <c r="CZ488" s="644"/>
      <c r="DA488" s="644"/>
      <c r="DB488" s="644"/>
      <c r="DC488" s="496"/>
      <c r="DD488" s="644"/>
      <c r="DE488" s="101"/>
      <c r="DF488" s="644"/>
      <c r="DG488" s="101"/>
      <c r="DH488" s="644"/>
      <c r="DI488" s="644"/>
      <c r="DJ488" s="644"/>
      <c r="DK488" s="644"/>
      <c r="DL488" s="644"/>
      <c r="DM488" s="101"/>
      <c r="DN488" s="644"/>
      <c r="DO488" s="644"/>
      <c r="DP488" s="644"/>
      <c r="DQ488" s="644"/>
      <c r="DR488" s="644"/>
      <c r="DS488" s="644"/>
      <c r="DT488" s="644"/>
      <c r="DU488" s="644"/>
      <c r="DV488" s="644"/>
      <c r="DW488" s="101"/>
      <c r="DX488" s="646"/>
      <c r="DY488" s="646"/>
      <c r="DZ488" s="646"/>
      <c r="EA488" s="646"/>
      <c r="EB488" s="646"/>
      <c r="EC488" s="646"/>
      <c r="ED488" s="646"/>
      <c r="EE488" s="646"/>
      <c r="EF488" s="646"/>
      <c r="EG488" s="646"/>
      <c r="EH488" s="646"/>
      <c r="EI488" s="646"/>
      <c r="EJ488" s="646"/>
      <c r="EK488" s="271"/>
      <c r="EL488" s="644"/>
      <c r="EM488" s="634"/>
      <c r="EN488" s="647"/>
      <c r="EO488" s="648"/>
      <c r="EP488" s="647"/>
      <c r="EQ488" s="647"/>
      <c r="ER488" s="647"/>
      <c r="ES488" s="139"/>
      <c r="EV488" s="647"/>
      <c r="EW488" s="647"/>
      <c r="EX488" s="647"/>
      <c r="EY488" s="647"/>
      <c r="EZ488" s="647"/>
      <c r="FA488" s="646"/>
      <c r="FB488" s="646"/>
      <c r="FC488" s="646"/>
      <c r="FD488" s="646"/>
      <c r="FE488" s="646"/>
      <c r="FF488" s="646"/>
      <c r="FG488" s="647"/>
      <c r="FH488" s="647"/>
      <c r="FI488" s="647"/>
      <c r="FJ488" s="647"/>
      <c r="FK488" s="647"/>
      <c r="FL488" s="647"/>
      <c r="FM488" s="647"/>
      <c r="FN488" s="647"/>
      <c r="FO488" s="647"/>
      <c r="FP488" s="647"/>
      <c r="FQ488" s="647"/>
      <c r="FR488" s="647"/>
      <c r="FS488" s="101"/>
      <c r="FT488" s="95"/>
      <c r="FU488" s="651"/>
      <c r="FV488" s="101"/>
      <c r="FW488" s="101"/>
      <c r="FX488" s="634"/>
      <c r="FY488" s="634"/>
      <c r="FZ488" s="634"/>
      <c r="GA488" s="634"/>
      <c r="GB488" s="634"/>
      <c r="GC488" s="634"/>
      <c r="GD488" s="634"/>
      <c r="GE488" s="634"/>
      <c r="GF488" s="634"/>
      <c r="GG488" s="634"/>
      <c r="GH488" s="634"/>
      <c r="GI488" s="634"/>
      <c r="GJ488" s="634"/>
      <c r="GK488" s="634"/>
      <c r="GL488" s="101"/>
      <c r="GM488" s="101"/>
      <c r="GN488" s="101"/>
      <c r="GO488" s="643"/>
      <c r="GP488" s="644"/>
      <c r="GQ488" s="643"/>
      <c r="GR488" s="644"/>
      <c r="GS488" s="643"/>
      <c r="GT488" s="644"/>
      <c r="GU488" s="644"/>
      <c r="GV488" s="644"/>
      <c r="GW488" s="644"/>
      <c r="GX488" s="644"/>
      <c r="GY488" s="644"/>
      <c r="GZ488" s="644"/>
      <c r="HA488" s="644"/>
    </row>
    <row r="489" spans="1:209">
      <c r="A489" s="638"/>
      <c r="B489" s="95"/>
      <c r="C489" s="95"/>
      <c r="D489" s="95"/>
      <c r="E489" s="650"/>
      <c r="F489" s="95"/>
      <c r="G489" s="98"/>
      <c r="H489" s="99"/>
      <c r="I489" s="95"/>
      <c r="J489" s="95"/>
      <c r="K489" s="95"/>
      <c r="L489" s="95"/>
      <c r="M489" s="95"/>
      <c r="N489" s="95"/>
      <c r="O489" s="95"/>
      <c r="P489" s="95"/>
      <c r="Q489" s="95"/>
      <c r="R489" s="98"/>
      <c r="S489" s="101"/>
      <c r="T489" s="644"/>
      <c r="U489" s="101"/>
      <c r="V489" s="647"/>
      <c r="W489" s="643"/>
      <c r="X489" s="644"/>
      <c r="Y489" s="101"/>
      <c r="Z489" s="644"/>
      <c r="AA489" s="101"/>
      <c r="AB489" s="644"/>
      <c r="AC489" s="101"/>
      <c r="AD489" s="646"/>
      <c r="AE489" s="271"/>
      <c r="AF489" s="646"/>
      <c r="AG489" s="646"/>
      <c r="AH489" s="646"/>
      <c r="AI489" s="646"/>
      <c r="AJ489" s="646"/>
      <c r="AK489" s="646"/>
      <c r="AL489" s="646"/>
      <c r="AM489" s="271"/>
      <c r="AN489" s="646"/>
      <c r="AO489" s="646"/>
      <c r="AP489" s="646"/>
      <c r="AQ489" s="271"/>
      <c r="AR489" s="646"/>
      <c r="AS489" s="270"/>
      <c r="AT489" s="646"/>
      <c r="AU489" s="646"/>
      <c r="AV489" s="646"/>
      <c r="AW489" s="270"/>
      <c r="AX489" s="646"/>
      <c r="AY489" s="270"/>
      <c r="AZ489" s="646"/>
      <c r="BA489" s="646"/>
      <c r="BB489" s="644"/>
      <c r="BC489" s="644"/>
      <c r="BD489" s="644"/>
      <c r="BE489" s="644"/>
      <c r="BF489" s="644"/>
      <c r="BG489" s="644"/>
      <c r="BH489" s="644"/>
      <c r="BI489" s="644"/>
      <c r="BJ489" s="644"/>
      <c r="BK489" s="644"/>
      <c r="BL489" s="644"/>
      <c r="BM489" s="95"/>
      <c r="BN489" s="644"/>
      <c r="BO489" s="95"/>
      <c r="BP489" s="644"/>
      <c r="BQ489" s="644"/>
      <c r="BR489" s="644"/>
      <c r="BS489" s="644"/>
      <c r="BT489" s="644"/>
      <c r="BU489" s="644"/>
      <c r="BV489" s="644"/>
      <c r="BW489" s="644"/>
      <c r="BX489" s="644"/>
      <c r="BY489" s="644"/>
      <c r="BZ489" s="644"/>
      <c r="CA489" s="644"/>
      <c r="CB489" s="644"/>
      <c r="CC489" s="644"/>
      <c r="CD489" s="644"/>
      <c r="CE489" s="644"/>
      <c r="CF489" s="644"/>
      <c r="CG489" s="644"/>
      <c r="CH489" s="644"/>
      <c r="CI489" s="644"/>
      <c r="CJ489" s="644"/>
      <c r="CK489" s="644"/>
      <c r="CL489" s="644"/>
      <c r="CM489" s="95"/>
      <c r="CN489" s="644"/>
      <c r="CO489" s="644"/>
      <c r="CP489" s="95"/>
      <c r="CQ489" s="98"/>
      <c r="CR489" s="95"/>
      <c r="CS489" s="95"/>
      <c r="CT489" s="95"/>
      <c r="CU489" s="108"/>
      <c r="CV489" s="109"/>
      <c r="CW489" s="644"/>
      <c r="CX489" s="496"/>
      <c r="CY489" s="637"/>
      <c r="CZ489" s="644"/>
      <c r="DA489" s="644"/>
      <c r="DB489" s="644"/>
      <c r="DC489" s="496"/>
      <c r="DD489" s="644"/>
      <c r="DE489" s="101"/>
      <c r="DF489" s="644"/>
      <c r="DG489" s="101"/>
      <c r="DH489" s="644"/>
      <c r="DI489" s="644"/>
      <c r="DJ489" s="644"/>
      <c r="DK489" s="644"/>
      <c r="DL489" s="644"/>
      <c r="DM489" s="101"/>
      <c r="DN489" s="644"/>
      <c r="DO489" s="644"/>
      <c r="DP489" s="644"/>
      <c r="DQ489" s="644"/>
      <c r="DR489" s="644"/>
      <c r="DS489" s="644"/>
      <c r="DT489" s="644"/>
      <c r="DU489" s="644"/>
      <c r="DV489" s="644"/>
      <c r="DW489" s="101"/>
      <c r="DX489" s="646"/>
      <c r="DY489" s="646"/>
      <c r="DZ489" s="646"/>
      <c r="EA489" s="646"/>
      <c r="EB489" s="646"/>
      <c r="EC489" s="646"/>
      <c r="ED489" s="646"/>
      <c r="EE489" s="646"/>
      <c r="EF489" s="646"/>
      <c r="EG489" s="646"/>
      <c r="EH489" s="646"/>
      <c r="EI489" s="646"/>
      <c r="EJ489" s="646"/>
      <c r="EK489" s="271"/>
      <c r="EL489" s="644"/>
      <c r="EM489" s="634"/>
      <c r="EN489" s="647"/>
      <c r="EO489" s="648"/>
      <c r="EP489" s="647"/>
      <c r="EQ489" s="647"/>
      <c r="ER489" s="647"/>
      <c r="ES489" s="139"/>
      <c r="EV489" s="647"/>
      <c r="EW489" s="647"/>
      <c r="EX489" s="647"/>
      <c r="EY489" s="647"/>
      <c r="EZ489" s="647"/>
      <c r="FA489" s="646"/>
      <c r="FB489" s="646"/>
      <c r="FC489" s="646"/>
      <c r="FD489" s="646"/>
      <c r="FE489" s="646"/>
      <c r="FF489" s="646"/>
      <c r="FG489" s="647"/>
      <c r="FH489" s="647"/>
      <c r="FI489" s="647"/>
      <c r="FJ489" s="647"/>
      <c r="FK489" s="647"/>
      <c r="FL489" s="647"/>
      <c r="FM489" s="647"/>
      <c r="FN489" s="647"/>
      <c r="FO489" s="647"/>
      <c r="FP489" s="647"/>
      <c r="FQ489" s="647"/>
      <c r="FR489" s="647"/>
      <c r="FS489" s="101"/>
      <c r="FT489" s="95"/>
      <c r="FU489" s="651"/>
      <c r="FV489" s="101"/>
      <c r="FW489" s="101"/>
      <c r="FX489" s="634"/>
      <c r="FY489" s="634"/>
      <c r="FZ489" s="634"/>
      <c r="GA489" s="634"/>
      <c r="GB489" s="634"/>
      <c r="GC489" s="634"/>
      <c r="GD489" s="634"/>
      <c r="GE489" s="634"/>
      <c r="GF489" s="634"/>
      <c r="GG489" s="634"/>
      <c r="GH489" s="634"/>
      <c r="GI489" s="634"/>
      <c r="GJ489" s="634"/>
      <c r="GK489" s="634"/>
      <c r="GL489" s="101"/>
      <c r="GM489" s="101"/>
      <c r="GN489" s="101"/>
      <c r="GO489" s="643"/>
      <c r="GP489" s="644"/>
      <c r="GQ489" s="643"/>
      <c r="GR489" s="644"/>
      <c r="GS489" s="643"/>
      <c r="GT489" s="644"/>
      <c r="GU489" s="644"/>
      <c r="GV489" s="644"/>
      <c r="GW489" s="644"/>
      <c r="GX489" s="644"/>
      <c r="GY489" s="644"/>
      <c r="GZ489" s="644"/>
      <c r="HA489" s="644"/>
    </row>
    <row r="490" spans="1:209">
      <c r="A490" s="638"/>
      <c r="B490" s="95"/>
      <c r="C490" s="95"/>
      <c r="D490" s="95"/>
      <c r="E490" s="650"/>
      <c r="F490" s="95"/>
      <c r="G490" s="98"/>
      <c r="H490" s="99"/>
      <c r="I490" s="95"/>
      <c r="J490" s="95"/>
      <c r="K490" s="95"/>
      <c r="L490" s="95"/>
      <c r="M490" s="95"/>
      <c r="N490" s="95"/>
      <c r="O490" s="95"/>
      <c r="P490" s="95"/>
      <c r="Q490" s="95"/>
      <c r="R490" s="98"/>
      <c r="S490" s="101"/>
      <c r="T490" s="644"/>
      <c r="U490" s="101"/>
      <c r="V490" s="647"/>
      <c r="W490" s="643"/>
      <c r="X490" s="644"/>
      <c r="Y490" s="101"/>
      <c r="Z490" s="644"/>
      <c r="AA490" s="101"/>
      <c r="AB490" s="644"/>
      <c r="AC490" s="101"/>
      <c r="AD490" s="646"/>
      <c r="AE490" s="271"/>
      <c r="AF490" s="646"/>
      <c r="AG490" s="646"/>
      <c r="AH490" s="646"/>
      <c r="AI490" s="646"/>
      <c r="AJ490" s="646"/>
      <c r="AK490" s="646"/>
      <c r="AL490" s="646"/>
      <c r="AM490" s="271"/>
      <c r="AN490" s="646"/>
      <c r="AO490" s="646"/>
      <c r="AP490" s="646"/>
      <c r="AQ490" s="271"/>
      <c r="AR490" s="646"/>
      <c r="AS490" s="270"/>
      <c r="AT490" s="646"/>
      <c r="AU490" s="646"/>
      <c r="AV490" s="646"/>
      <c r="AW490" s="270"/>
      <c r="AX490" s="646"/>
      <c r="AY490" s="270"/>
      <c r="AZ490" s="646"/>
      <c r="BA490" s="646"/>
      <c r="BB490" s="644"/>
      <c r="BC490" s="644"/>
      <c r="BD490" s="644"/>
      <c r="BE490" s="644"/>
      <c r="BF490" s="644"/>
      <c r="BG490" s="644"/>
      <c r="BH490" s="644"/>
      <c r="BI490" s="644"/>
      <c r="BJ490" s="644"/>
      <c r="BK490" s="644"/>
      <c r="BL490" s="644"/>
      <c r="BM490" s="95"/>
      <c r="BN490" s="644"/>
      <c r="BO490" s="95"/>
      <c r="BP490" s="644"/>
      <c r="BQ490" s="644"/>
      <c r="BR490" s="644"/>
      <c r="BS490" s="644"/>
      <c r="BT490" s="644"/>
      <c r="BU490" s="644"/>
      <c r="BV490" s="644"/>
      <c r="BW490" s="644"/>
      <c r="BX490" s="644"/>
      <c r="BY490" s="644"/>
      <c r="BZ490" s="644"/>
      <c r="CA490" s="644"/>
      <c r="CB490" s="644"/>
      <c r="CC490" s="644"/>
      <c r="CD490" s="644"/>
      <c r="CE490" s="644"/>
      <c r="CF490" s="644"/>
      <c r="CG490" s="644"/>
      <c r="CH490" s="644"/>
      <c r="CI490" s="644"/>
      <c r="CJ490" s="644"/>
      <c r="CK490" s="644"/>
      <c r="CL490" s="644"/>
      <c r="CM490" s="95"/>
      <c r="CN490" s="644"/>
      <c r="CO490" s="644"/>
      <c r="CP490" s="95"/>
      <c r="CQ490" s="98"/>
      <c r="CR490" s="95"/>
      <c r="CS490" s="95"/>
      <c r="CT490" s="95"/>
      <c r="CU490" s="108"/>
      <c r="CV490" s="109"/>
      <c r="CW490" s="644"/>
      <c r="CX490" s="496"/>
      <c r="CY490" s="637"/>
      <c r="CZ490" s="644"/>
      <c r="DA490" s="644"/>
      <c r="DB490" s="644"/>
      <c r="DC490" s="496"/>
      <c r="DD490" s="644"/>
      <c r="DE490" s="101"/>
      <c r="DF490" s="644"/>
      <c r="DG490" s="101"/>
      <c r="DH490" s="644"/>
      <c r="DI490" s="644"/>
      <c r="DJ490" s="644"/>
      <c r="DK490" s="644"/>
      <c r="DL490" s="644"/>
      <c r="DM490" s="101"/>
      <c r="DN490" s="644"/>
      <c r="DO490" s="644"/>
      <c r="DP490" s="644"/>
      <c r="DQ490" s="644"/>
      <c r="DR490" s="644"/>
      <c r="DS490" s="644"/>
      <c r="DT490" s="644"/>
      <c r="DU490" s="644"/>
      <c r="DV490" s="644"/>
      <c r="DW490" s="101"/>
      <c r="DX490" s="646"/>
      <c r="DY490" s="646"/>
      <c r="DZ490" s="646"/>
      <c r="EA490" s="646"/>
      <c r="EB490" s="646"/>
      <c r="EC490" s="646"/>
      <c r="ED490" s="646"/>
      <c r="EE490" s="646"/>
      <c r="EF490" s="646"/>
      <c r="EG490" s="646"/>
      <c r="EH490" s="646"/>
      <c r="EI490" s="646"/>
      <c r="EJ490" s="646"/>
      <c r="EK490" s="271"/>
      <c r="EL490" s="644"/>
      <c r="EM490" s="634"/>
      <c r="EN490" s="647"/>
      <c r="EO490" s="648"/>
      <c r="EP490" s="647"/>
      <c r="EQ490" s="647"/>
      <c r="ER490" s="647"/>
      <c r="ES490" s="139"/>
      <c r="EV490" s="647"/>
      <c r="EW490" s="647"/>
      <c r="EX490" s="647"/>
      <c r="EY490" s="647"/>
      <c r="EZ490" s="647"/>
      <c r="FA490" s="646"/>
      <c r="FB490" s="646"/>
      <c r="FC490" s="646"/>
      <c r="FD490" s="646"/>
      <c r="FE490" s="646"/>
      <c r="FF490" s="646"/>
      <c r="FG490" s="647"/>
      <c r="FH490" s="647"/>
      <c r="FI490" s="647"/>
      <c r="FJ490" s="647"/>
      <c r="FK490" s="647"/>
      <c r="FL490" s="647"/>
      <c r="FM490" s="647"/>
      <c r="FN490" s="647"/>
      <c r="FO490" s="647"/>
      <c r="FP490" s="647"/>
      <c r="FQ490" s="647"/>
      <c r="FR490" s="647"/>
      <c r="FS490" s="101"/>
      <c r="FT490" s="95"/>
      <c r="FU490" s="651"/>
      <c r="FV490" s="101"/>
      <c r="FW490" s="101"/>
      <c r="FX490" s="634"/>
      <c r="FY490" s="634"/>
      <c r="FZ490" s="634"/>
      <c r="GA490" s="634"/>
      <c r="GB490" s="634"/>
      <c r="GC490" s="634"/>
      <c r="GD490" s="634"/>
      <c r="GE490" s="634"/>
      <c r="GF490" s="634"/>
      <c r="GG490" s="634"/>
      <c r="GH490" s="634"/>
      <c r="GI490" s="634"/>
      <c r="GJ490" s="634"/>
      <c r="GK490" s="634"/>
      <c r="GL490" s="101"/>
      <c r="GM490" s="101"/>
      <c r="GN490" s="101"/>
      <c r="GO490" s="643"/>
      <c r="GP490" s="644"/>
      <c r="GQ490" s="643"/>
      <c r="GR490" s="644"/>
      <c r="GS490" s="643"/>
      <c r="GT490" s="644"/>
      <c r="GU490" s="644"/>
      <c r="GV490" s="644"/>
      <c r="GW490" s="644"/>
      <c r="GX490" s="644"/>
      <c r="GY490" s="644"/>
      <c r="GZ490" s="644"/>
      <c r="HA490" s="644"/>
    </row>
    <row r="491" spans="1:209">
      <c r="A491" s="638"/>
      <c r="B491" s="95"/>
      <c r="C491" s="95"/>
      <c r="D491" s="95"/>
      <c r="E491" s="650"/>
      <c r="F491" s="95"/>
      <c r="G491" s="98"/>
      <c r="H491" s="99"/>
      <c r="I491" s="95"/>
      <c r="J491" s="95"/>
      <c r="K491" s="95"/>
      <c r="L491" s="95"/>
      <c r="M491" s="95"/>
      <c r="N491" s="95"/>
      <c r="O491" s="95"/>
      <c r="P491" s="95"/>
      <c r="Q491" s="95"/>
      <c r="R491" s="98"/>
      <c r="S491" s="101"/>
      <c r="T491" s="644"/>
      <c r="U491" s="101"/>
      <c r="V491" s="647"/>
      <c r="W491" s="643"/>
      <c r="X491" s="644"/>
      <c r="Y491" s="101"/>
      <c r="Z491" s="644"/>
      <c r="AA491" s="101"/>
      <c r="AB491" s="644"/>
      <c r="AC491" s="101"/>
      <c r="AD491" s="646"/>
      <c r="AE491" s="271"/>
      <c r="AF491" s="646"/>
      <c r="AG491" s="646"/>
      <c r="AH491" s="646"/>
      <c r="AI491" s="646"/>
      <c r="AJ491" s="646"/>
      <c r="AK491" s="646"/>
      <c r="AL491" s="646"/>
      <c r="AM491" s="271"/>
      <c r="AN491" s="646"/>
      <c r="AO491" s="646"/>
      <c r="AP491" s="646"/>
      <c r="AQ491" s="271"/>
      <c r="AR491" s="646"/>
      <c r="AS491" s="270"/>
      <c r="AT491" s="646"/>
      <c r="AU491" s="646"/>
      <c r="AV491" s="646"/>
      <c r="AW491" s="270"/>
      <c r="AX491" s="646"/>
      <c r="AY491" s="270"/>
      <c r="AZ491" s="646"/>
      <c r="BA491" s="646"/>
      <c r="BB491" s="644"/>
      <c r="BC491" s="644"/>
      <c r="BD491" s="644"/>
      <c r="BE491" s="644"/>
      <c r="BF491" s="644"/>
      <c r="BG491" s="644"/>
      <c r="BH491" s="644"/>
      <c r="BI491" s="644"/>
      <c r="BJ491" s="644"/>
      <c r="BK491" s="644"/>
      <c r="BL491" s="644"/>
      <c r="BM491" s="95"/>
      <c r="BN491" s="644"/>
      <c r="BO491" s="95"/>
      <c r="BP491" s="644"/>
      <c r="BQ491" s="644"/>
      <c r="BR491" s="644"/>
      <c r="BS491" s="644"/>
      <c r="BT491" s="644"/>
      <c r="BU491" s="644"/>
      <c r="BV491" s="644"/>
      <c r="BW491" s="644"/>
      <c r="BX491" s="644"/>
      <c r="BY491" s="644"/>
      <c r="BZ491" s="644"/>
      <c r="CA491" s="644"/>
      <c r="CB491" s="644"/>
      <c r="CC491" s="644"/>
      <c r="CD491" s="644"/>
      <c r="CE491" s="644"/>
      <c r="CF491" s="644"/>
      <c r="CG491" s="644"/>
      <c r="CH491" s="644"/>
      <c r="CI491" s="644"/>
      <c r="CJ491" s="644"/>
      <c r="CK491" s="644"/>
      <c r="CL491" s="644"/>
      <c r="CM491" s="95"/>
      <c r="CN491" s="644"/>
      <c r="CO491" s="644"/>
      <c r="CP491" s="95"/>
      <c r="CQ491" s="98"/>
      <c r="CR491" s="95"/>
      <c r="CS491" s="95"/>
      <c r="CT491" s="95"/>
      <c r="CU491" s="108"/>
      <c r="CV491" s="109"/>
      <c r="CW491" s="644"/>
      <c r="CX491" s="496"/>
      <c r="CY491" s="637"/>
      <c r="CZ491" s="644"/>
      <c r="DA491" s="644"/>
      <c r="DB491" s="644"/>
      <c r="DC491" s="496"/>
      <c r="DD491" s="644"/>
      <c r="DE491" s="101"/>
      <c r="DF491" s="644"/>
      <c r="DG491" s="101"/>
      <c r="DH491" s="644"/>
      <c r="DI491" s="644"/>
      <c r="DJ491" s="644"/>
      <c r="DK491" s="644"/>
      <c r="DL491" s="644"/>
      <c r="DM491" s="101"/>
      <c r="DN491" s="644"/>
      <c r="DO491" s="644"/>
      <c r="DP491" s="644"/>
      <c r="DQ491" s="644"/>
      <c r="DR491" s="644"/>
      <c r="DS491" s="644"/>
      <c r="DT491" s="644"/>
      <c r="DU491" s="644"/>
      <c r="DV491" s="644"/>
      <c r="DW491" s="101"/>
      <c r="DX491" s="646"/>
      <c r="DY491" s="646"/>
      <c r="DZ491" s="646"/>
      <c r="EA491" s="646"/>
      <c r="EB491" s="646"/>
      <c r="EC491" s="646"/>
      <c r="ED491" s="646"/>
      <c r="EE491" s="646"/>
      <c r="EF491" s="646"/>
      <c r="EG491" s="646"/>
      <c r="EH491" s="646"/>
      <c r="EI491" s="646"/>
      <c r="EJ491" s="646"/>
      <c r="EK491" s="271"/>
      <c r="EL491" s="644"/>
      <c r="EM491" s="634"/>
      <c r="EN491" s="647"/>
      <c r="EO491" s="648"/>
      <c r="EP491" s="647"/>
      <c r="EQ491" s="647"/>
      <c r="ER491" s="647"/>
      <c r="ES491" s="139"/>
      <c r="EV491" s="647"/>
      <c r="EW491" s="647"/>
      <c r="EX491" s="647"/>
      <c r="EY491" s="647"/>
      <c r="EZ491" s="647"/>
      <c r="FA491" s="646"/>
      <c r="FB491" s="646"/>
      <c r="FC491" s="646"/>
      <c r="FD491" s="646"/>
      <c r="FE491" s="646"/>
      <c r="FF491" s="646"/>
      <c r="FG491" s="647"/>
      <c r="FH491" s="647"/>
      <c r="FI491" s="647"/>
      <c r="FJ491" s="647"/>
      <c r="FK491" s="647"/>
      <c r="FL491" s="647"/>
      <c r="FM491" s="647"/>
      <c r="FN491" s="647"/>
      <c r="FO491" s="647"/>
      <c r="FP491" s="647"/>
      <c r="FQ491" s="647"/>
      <c r="FR491" s="647"/>
      <c r="FS491" s="101"/>
      <c r="FT491" s="95"/>
      <c r="FU491" s="651"/>
      <c r="FV491" s="101"/>
      <c r="FW491" s="101"/>
      <c r="FX491" s="634"/>
      <c r="FY491" s="634"/>
      <c r="FZ491" s="634"/>
      <c r="GA491" s="634"/>
      <c r="GB491" s="634"/>
      <c r="GC491" s="634"/>
      <c r="GD491" s="634"/>
      <c r="GE491" s="634"/>
      <c r="GF491" s="634"/>
      <c r="GG491" s="634"/>
      <c r="GH491" s="634"/>
      <c r="GI491" s="634"/>
      <c r="GJ491" s="634"/>
      <c r="GK491" s="634"/>
      <c r="GL491" s="101"/>
      <c r="GM491" s="101"/>
      <c r="GN491" s="101"/>
      <c r="GO491" s="643"/>
      <c r="GP491" s="644"/>
      <c r="GQ491" s="643"/>
      <c r="GR491" s="644"/>
      <c r="GS491" s="643"/>
      <c r="GT491" s="644"/>
      <c r="GU491" s="644"/>
      <c r="GV491" s="644"/>
      <c r="GW491" s="644"/>
      <c r="GX491" s="644"/>
      <c r="GY491" s="644"/>
      <c r="GZ491" s="644"/>
      <c r="HA491" s="644"/>
    </row>
    <row r="492" spans="1:209">
      <c r="A492" s="638"/>
      <c r="B492" s="95"/>
      <c r="C492" s="95"/>
      <c r="D492" s="95"/>
      <c r="E492" s="650"/>
      <c r="F492" s="95"/>
      <c r="G492" s="98"/>
      <c r="H492" s="99"/>
      <c r="I492" s="95"/>
      <c r="J492" s="95"/>
      <c r="K492" s="95"/>
      <c r="L492" s="95"/>
      <c r="M492" s="95"/>
      <c r="N492" s="95"/>
      <c r="O492" s="95"/>
      <c r="P492" s="95"/>
      <c r="Q492" s="95"/>
      <c r="R492" s="98"/>
      <c r="S492" s="101"/>
      <c r="T492" s="644"/>
      <c r="U492" s="101"/>
      <c r="V492" s="647"/>
      <c r="W492" s="643"/>
      <c r="X492" s="644"/>
      <c r="Y492" s="101"/>
      <c r="Z492" s="644"/>
      <c r="AA492" s="101"/>
      <c r="AB492" s="644"/>
      <c r="AC492" s="101"/>
      <c r="AD492" s="646"/>
      <c r="AE492" s="271"/>
      <c r="AF492" s="646"/>
      <c r="AG492" s="646"/>
      <c r="AH492" s="646"/>
      <c r="AI492" s="646"/>
      <c r="AJ492" s="646"/>
      <c r="AK492" s="646"/>
      <c r="AL492" s="646"/>
      <c r="AM492" s="271"/>
      <c r="AN492" s="646"/>
      <c r="AO492" s="646"/>
      <c r="AP492" s="646"/>
      <c r="AQ492" s="271"/>
      <c r="AR492" s="646"/>
      <c r="AS492" s="270"/>
      <c r="AT492" s="646"/>
      <c r="AU492" s="646"/>
      <c r="AV492" s="646"/>
      <c r="AW492" s="270"/>
      <c r="AX492" s="646"/>
      <c r="AY492" s="270"/>
      <c r="AZ492" s="646"/>
      <c r="BA492" s="646"/>
      <c r="BB492" s="644"/>
      <c r="BC492" s="644"/>
      <c r="BD492" s="644"/>
      <c r="BE492" s="644"/>
      <c r="BF492" s="644"/>
      <c r="BG492" s="644"/>
      <c r="BH492" s="644"/>
      <c r="BI492" s="644"/>
      <c r="BJ492" s="644"/>
      <c r="BK492" s="644"/>
      <c r="BL492" s="644"/>
      <c r="BM492" s="95"/>
      <c r="BN492" s="644"/>
      <c r="BO492" s="95"/>
      <c r="BP492" s="644"/>
      <c r="BQ492" s="644"/>
      <c r="BR492" s="644"/>
      <c r="BS492" s="644"/>
      <c r="BT492" s="644"/>
      <c r="BU492" s="644"/>
      <c r="BV492" s="644"/>
      <c r="BW492" s="644"/>
      <c r="BX492" s="644"/>
      <c r="BY492" s="644"/>
      <c r="BZ492" s="644"/>
      <c r="CA492" s="644"/>
      <c r="CB492" s="644"/>
      <c r="CC492" s="644"/>
      <c r="CD492" s="644"/>
      <c r="CE492" s="644"/>
      <c r="CF492" s="644"/>
      <c r="CG492" s="644"/>
      <c r="CH492" s="644"/>
      <c r="CI492" s="644"/>
      <c r="CJ492" s="644"/>
      <c r="CK492" s="644"/>
      <c r="CL492" s="644"/>
      <c r="CM492" s="95"/>
      <c r="CN492" s="644"/>
      <c r="CO492" s="644"/>
      <c r="CP492" s="95"/>
      <c r="CQ492" s="98"/>
      <c r="CR492" s="95"/>
      <c r="CS492" s="95"/>
      <c r="CT492" s="95"/>
      <c r="CU492" s="108"/>
      <c r="CV492" s="109"/>
      <c r="CW492" s="644"/>
      <c r="CX492" s="496"/>
      <c r="CY492" s="637"/>
      <c r="CZ492" s="644"/>
      <c r="DA492" s="644"/>
      <c r="DB492" s="644"/>
      <c r="DC492" s="496"/>
      <c r="DD492" s="644"/>
      <c r="DE492" s="101"/>
      <c r="DF492" s="644"/>
      <c r="DG492" s="101"/>
      <c r="DH492" s="644"/>
      <c r="DI492" s="644"/>
      <c r="DJ492" s="644"/>
      <c r="DK492" s="644"/>
      <c r="DL492" s="644"/>
      <c r="DM492" s="101"/>
      <c r="DN492" s="644"/>
      <c r="DO492" s="644"/>
      <c r="DP492" s="644"/>
      <c r="DQ492" s="644"/>
      <c r="DR492" s="644"/>
      <c r="DS492" s="644"/>
      <c r="DT492" s="644"/>
      <c r="DU492" s="644"/>
      <c r="DV492" s="644"/>
      <c r="DW492" s="101"/>
      <c r="DX492" s="646"/>
      <c r="DY492" s="646"/>
      <c r="DZ492" s="646"/>
      <c r="EA492" s="646"/>
      <c r="EB492" s="646"/>
      <c r="EC492" s="646"/>
      <c r="ED492" s="646"/>
      <c r="EE492" s="646"/>
      <c r="EF492" s="646"/>
      <c r="EG492" s="646"/>
      <c r="EH492" s="646"/>
      <c r="EI492" s="646"/>
      <c r="EJ492" s="646"/>
      <c r="EK492" s="271"/>
      <c r="EL492" s="644"/>
      <c r="EM492" s="634"/>
      <c r="EN492" s="647"/>
      <c r="EO492" s="648"/>
      <c r="EP492" s="647"/>
      <c r="EQ492" s="647"/>
      <c r="ER492" s="647"/>
      <c r="ES492" s="139"/>
      <c r="EV492" s="647"/>
      <c r="EW492" s="647"/>
      <c r="EX492" s="647"/>
      <c r="EY492" s="647"/>
      <c r="EZ492" s="647"/>
      <c r="FA492" s="646"/>
      <c r="FB492" s="646"/>
      <c r="FC492" s="646"/>
      <c r="FD492" s="646"/>
      <c r="FE492" s="646"/>
      <c r="FF492" s="646"/>
      <c r="FG492" s="647"/>
      <c r="FH492" s="647"/>
      <c r="FI492" s="647"/>
      <c r="FJ492" s="647"/>
      <c r="FK492" s="647"/>
      <c r="FL492" s="647"/>
      <c r="FM492" s="647"/>
      <c r="FN492" s="647"/>
      <c r="FO492" s="647"/>
      <c r="FP492" s="647"/>
      <c r="FQ492" s="647"/>
      <c r="FR492" s="647"/>
      <c r="FS492" s="101"/>
      <c r="FT492" s="95"/>
      <c r="FU492" s="651"/>
      <c r="FV492" s="101"/>
      <c r="FW492" s="101"/>
      <c r="FX492" s="634"/>
      <c r="FY492" s="634"/>
      <c r="FZ492" s="634"/>
      <c r="GA492" s="634"/>
      <c r="GB492" s="634"/>
      <c r="GC492" s="634"/>
      <c r="GD492" s="634"/>
      <c r="GE492" s="634"/>
      <c r="GF492" s="634"/>
      <c r="GG492" s="634"/>
      <c r="GH492" s="634"/>
      <c r="GI492" s="634"/>
      <c r="GJ492" s="634"/>
      <c r="GK492" s="634"/>
      <c r="GL492" s="101"/>
      <c r="GM492" s="101"/>
      <c r="GN492" s="101"/>
      <c r="GO492" s="643"/>
      <c r="GP492" s="644"/>
      <c r="GQ492" s="643"/>
      <c r="GR492" s="644"/>
      <c r="GS492" s="643"/>
      <c r="GT492" s="644"/>
      <c r="GU492" s="644"/>
      <c r="GV492" s="644"/>
      <c r="GW492" s="644"/>
      <c r="GX492" s="644"/>
      <c r="GY492" s="644"/>
      <c r="GZ492" s="644"/>
      <c r="HA492" s="644"/>
    </row>
    <row r="493" spans="1:209">
      <c r="A493" s="638"/>
      <c r="B493" s="95"/>
      <c r="C493" s="95"/>
      <c r="D493" s="95"/>
      <c r="E493" s="650"/>
      <c r="F493" s="95"/>
      <c r="G493" s="98"/>
      <c r="H493" s="99"/>
      <c r="I493" s="95"/>
      <c r="J493" s="95"/>
      <c r="K493" s="95"/>
      <c r="L493" s="95"/>
      <c r="M493" s="95"/>
      <c r="N493" s="95"/>
      <c r="O493" s="95"/>
      <c r="P493" s="95"/>
      <c r="Q493" s="95"/>
      <c r="R493" s="98"/>
      <c r="S493" s="101"/>
      <c r="T493" s="644"/>
      <c r="U493" s="101"/>
      <c r="V493" s="647"/>
      <c r="W493" s="643"/>
      <c r="X493" s="644"/>
      <c r="Y493" s="101"/>
      <c r="Z493" s="644"/>
      <c r="AA493" s="101"/>
      <c r="AB493" s="644"/>
      <c r="AC493" s="101"/>
      <c r="AD493" s="646"/>
      <c r="AE493" s="271"/>
      <c r="AF493" s="646"/>
      <c r="AG493" s="646"/>
      <c r="AH493" s="646"/>
      <c r="AI493" s="646"/>
      <c r="AJ493" s="646"/>
      <c r="AK493" s="646"/>
      <c r="AL493" s="646"/>
      <c r="AM493" s="271"/>
      <c r="AN493" s="646"/>
      <c r="AO493" s="646"/>
      <c r="AP493" s="646"/>
      <c r="AQ493" s="271"/>
      <c r="AR493" s="646"/>
      <c r="AS493" s="270"/>
      <c r="AT493" s="646"/>
      <c r="AU493" s="646"/>
      <c r="AV493" s="646"/>
      <c r="AW493" s="270"/>
      <c r="AX493" s="646"/>
      <c r="AY493" s="270"/>
      <c r="AZ493" s="646"/>
      <c r="BA493" s="646"/>
      <c r="BB493" s="644"/>
      <c r="BC493" s="644"/>
      <c r="BD493" s="644"/>
      <c r="BE493" s="644"/>
      <c r="BF493" s="644"/>
      <c r="BG493" s="644"/>
      <c r="BH493" s="644"/>
      <c r="BI493" s="644"/>
      <c r="BJ493" s="644"/>
      <c r="BK493" s="644"/>
      <c r="BL493" s="644"/>
      <c r="BM493" s="95"/>
      <c r="BN493" s="644"/>
      <c r="BO493" s="95"/>
      <c r="BP493" s="644"/>
      <c r="BQ493" s="644"/>
      <c r="BR493" s="644"/>
      <c r="BS493" s="644"/>
      <c r="BT493" s="644"/>
      <c r="BU493" s="644"/>
      <c r="BV493" s="644"/>
      <c r="BW493" s="644"/>
      <c r="BX493" s="644"/>
      <c r="BY493" s="644"/>
      <c r="BZ493" s="644"/>
      <c r="CA493" s="644"/>
      <c r="CB493" s="644"/>
      <c r="CC493" s="644"/>
      <c r="CD493" s="644"/>
      <c r="CE493" s="644"/>
      <c r="CF493" s="644"/>
      <c r="CG493" s="644"/>
      <c r="CH493" s="644"/>
      <c r="CI493" s="644"/>
      <c r="CJ493" s="644"/>
      <c r="CK493" s="644"/>
      <c r="CL493" s="644"/>
      <c r="CM493" s="95"/>
      <c r="CN493" s="644"/>
      <c r="CO493" s="644"/>
      <c r="CP493" s="95"/>
      <c r="CQ493" s="98"/>
      <c r="CR493" s="95"/>
      <c r="CS493" s="95"/>
      <c r="CT493" s="95"/>
      <c r="CU493" s="108"/>
      <c r="CV493" s="109"/>
      <c r="CW493" s="644"/>
      <c r="CX493" s="496"/>
      <c r="CY493" s="637"/>
      <c r="CZ493" s="644"/>
      <c r="DA493" s="644"/>
      <c r="DB493" s="644"/>
      <c r="DC493" s="496"/>
      <c r="DD493" s="644"/>
      <c r="DE493" s="101"/>
      <c r="DF493" s="644"/>
      <c r="DG493" s="101"/>
      <c r="DH493" s="644"/>
      <c r="DI493" s="644"/>
      <c r="DJ493" s="644"/>
      <c r="DK493" s="644"/>
      <c r="DL493" s="644"/>
      <c r="DM493" s="101"/>
      <c r="DN493" s="644"/>
      <c r="DO493" s="644"/>
      <c r="DP493" s="644"/>
      <c r="DQ493" s="644"/>
      <c r="DR493" s="644"/>
      <c r="DS493" s="644"/>
      <c r="DT493" s="644"/>
      <c r="DU493" s="644"/>
      <c r="DV493" s="644"/>
      <c r="DW493" s="101"/>
      <c r="DX493" s="646"/>
      <c r="DY493" s="646"/>
      <c r="DZ493" s="646"/>
      <c r="EA493" s="646"/>
      <c r="EB493" s="646"/>
      <c r="EC493" s="646"/>
      <c r="ED493" s="646"/>
      <c r="EE493" s="646"/>
      <c r="EF493" s="646"/>
      <c r="EG493" s="646"/>
      <c r="EH493" s="646"/>
      <c r="EI493" s="646"/>
      <c r="EJ493" s="646"/>
      <c r="EK493" s="271"/>
      <c r="EL493" s="644"/>
      <c r="EM493" s="634"/>
      <c r="EN493" s="647"/>
      <c r="EO493" s="648"/>
      <c r="EP493" s="647"/>
      <c r="EQ493" s="647"/>
      <c r="ER493" s="647"/>
      <c r="ES493" s="139"/>
      <c r="EV493" s="647"/>
      <c r="EW493" s="647"/>
      <c r="EX493" s="647"/>
      <c r="EY493" s="647"/>
      <c r="EZ493" s="647"/>
      <c r="FA493" s="646"/>
      <c r="FB493" s="646"/>
      <c r="FC493" s="646"/>
      <c r="FD493" s="646"/>
      <c r="FE493" s="646"/>
      <c r="FF493" s="646"/>
      <c r="FG493" s="647"/>
      <c r="FH493" s="647"/>
      <c r="FI493" s="647"/>
      <c r="FJ493" s="647"/>
      <c r="FK493" s="647"/>
      <c r="FL493" s="647"/>
      <c r="FM493" s="647"/>
      <c r="FN493" s="647"/>
      <c r="FO493" s="647"/>
      <c r="FP493" s="647"/>
      <c r="FQ493" s="647"/>
      <c r="FR493" s="647"/>
      <c r="FS493" s="101"/>
      <c r="FT493" s="95"/>
      <c r="FU493" s="651"/>
      <c r="FV493" s="101"/>
      <c r="FW493" s="101"/>
      <c r="FX493" s="634"/>
      <c r="FY493" s="634"/>
      <c r="FZ493" s="634"/>
      <c r="GA493" s="634"/>
      <c r="GB493" s="634"/>
      <c r="GC493" s="634"/>
      <c r="GD493" s="634"/>
      <c r="GE493" s="634"/>
      <c r="GF493" s="634"/>
      <c r="GG493" s="634"/>
      <c r="GH493" s="634"/>
      <c r="GI493" s="634"/>
      <c r="GJ493" s="634"/>
      <c r="GK493" s="634"/>
      <c r="GL493" s="101"/>
      <c r="GM493" s="101"/>
      <c r="GN493" s="101"/>
      <c r="GO493" s="643"/>
      <c r="GP493" s="644"/>
      <c r="GQ493" s="643"/>
      <c r="GR493" s="644"/>
      <c r="GS493" s="643"/>
      <c r="GT493" s="644"/>
      <c r="GU493" s="644"/>
      <c r="GV493" s="644"/>
      <c r="GW493" s="644"/>
      <c r="GX493" s="644"/>
      <c r="GY493" s="644"/>
      <c r="GZ493" s="644"/>
      <c r="HA493" s="644"/>
    </row>
    <row r="494" spans="1:209">
      <c r="A494" s="638"/>
      <c r="B494" s="95"/>
      <c r="C494" s="95"/>
      <c r="D494" s="95"/>
      <c r="E494" s="650"/>
      <c r="F494" s="95"/>
      <c r="G494" s="98"/>
      <c r="H494" s="99"/>
      <c r="I494" s="95"/>
      <c r="J494" s="95"/>
      <c r="K494" s="95"/>
      <c r="L494" s="95"/>
      <c r="M494" s="95"/>
      <c r="N494" s="95"/>
      <c r="O494" s="95"/>
      <c r="P494" s="95"/>
      <c r="Q494" s="95"/>
      <c r="R494" s="98"/>
      <c r="S494" s="101"/>
      <c r="T494" s="644"/>
      <c r="U494" s="101"/>
      <c r="V494" s="647"/>
      <c r="W494" s="643"/>
      <c r="X494" s="644"/>
      <c r="Y494" s="101"/>
      <c r="Z494" s="644"/>
      <c r="AA494" s="101"/>
      <c r="AB494" s="644"/>
      <c r="AC494" s="101"/>
      <c r="AD494" s="646"/>
      <c r="AE494" s="271"/>
      <c r="AF494" s="646"/>
      <c r="AG494" s="646"/>
      <c r="AH494" s="646"/>
      <c r="AI494" s="646"/>
      <c r="AJ494" s="646"/>
      <c r="AK494" s="646"/>
      <c r="AL494" s="646"/>
      <c r="AM494" s="271"/>
      <c r="AN494" s="646"/>
      <c r="AO494" s="646"/>
      <c r="AP494" s="646"/>
      <c r="AQ494" s="271"/>
      <c r="AR494" s="646"/>
      <c r="AS494" s="270"/>
      <c r="AT494" s="646"/>
      <c r="AU494" s="646"/>
      <c r="AV494" s="646"/>
      <c r="AW494" s="270"/>
      <c r="AX494" s="646"/>
      <c r="AY494" s="270"/>
      <c r="AZ494" s="646"/>
      <c r="BA494" s="646"/>
      <c r="BB494" s="644"/>
      <c r="BC494" s="644"/>
      <c r="BD494" s="644"/>
      <c r="BE494" s="644"/>
      <c r="BF494" s="644"/>
      <c r="BG494" s="644"/>
      <c r="BH494" s="644"/>
      <c r="BI494" s="644"/>
      <c r="BJ494" s="644"/>
      <c r="BK494" s="644"/>
      <c r="BL494" s="644"/>
      <c r="BM494" s="95"/>
      <c r="BN494" s="644"/>
      <c r="BO494" s="95"/>
      <c r="BP494" s="644"/>
      <c r="BQ494" s="644"/>
      <c r="BR494" s="644"/>
      <c r="BS494" s="644"/>
      <c r="BT494" s="644"/>
      <c r="BU494" s="644"/>
      <c r="BV494" s="644"/>
      <c r="BW494" s="644"/>
      <c r="BX494" s="644"/>
      <c r="BY494" s="644"/>
      <c r="BZ494" s="644"/>
      <c r="CA494" s="644"/>
      <c r="CB494" s="644"/>
      <c r="CC494" s="644"/>
      <c r="CD494" s="644"/>
      <c r="CE494" s="644"/>
      <c r="CF494" s="644"/>
      <c r="CG494" s="644"/>
      <c r="CH494" s="644"/>
      <c r="CI494" s="644"/>
      <c r="CJ494" s="644"/>
      <c r="CK494" s="644"/>
      <c r="CL494" s="644"/>
      <c r="CM494" s="95"/>
      <c r="CN494" s="644"/>
      <c r="CO494" s="644"/>
      <c r="CP494" s="95"/>
      <c r="CQ494" s="98"/>
      <c r="CR494" s="95"/>
      <c r="CS494" s="95"/>
      <c r="CT494" s="95"/>
      <c r="CU494" s="108"/>
      <c r="CV494" s="109"/>
      <c r="CW494" s="644"/>
      <c r="CX494" s="496"/>
      <c r="CY494" s="637"/>
      <c r="CZ494" s="644"/>
      <c r="DA494" s="644"/>
      <c r="DB494" s="644"/>
      <c r="DC494" s="496"/>
      <c r="DD494" s="644"/>
      <c r="DE494" s="101"/>
      <c r="DF494" s="644"/>
      <c r="DG494" s="101"/>
      <c r="DH494" s="644"/>
      <c r="DI494" s="644"/>
      <c r="DJ494" s="644"/>
      <c r="DK494" s="644"/>
      <c r="DL494" s="644"/>
      <c r="DM494" s="101"/>
      <c r="DN494" s="644"/>
      <c r="DO494" s="644"/>
      <c r="DP494" s="644"/>
      <c r="DQ494" s="644"/>
      <c r="DR494" s="644"/>
      <c r="DS494" s="644"/>
      <c r="DT494" s="644"/>
      <c r="DU494" s="644"/>
      <c r="DV494" s="644"/>
      <c r="DW494" s="101"/>
      <c r="DX494" s="646"/>
      <c r="DY494" s="646"/>
      <c r="DZ494" s="646"/>
      <c r="EA494" s="646"/>
      <c r="EB494" s="646"/>
      <c r="EC494" s="646"/>
      <c r="ED494" s="646"/>
      <c r="EE494" s="646"/>
      <c r="EF494" s="646"/>
      <c r="EG494" s="646"/>
      <c r="EH494" s="646"/>
      <c r="EI494" s="646"/>
      <c r="EJ494" s="646"/>
      <c r="EK494" s="271"/>
      <c r="EL494" s="644"/>
      <c r="EM494" s="634"/>
      <c r="EN494" s="647"/>
      <c r="EO494" s="648"/>
      <c r="EP494" s="647"/>
      <c r="EQ494" s="647"/>
      <c r="ER494" s="647"/>
      <c r="ES494" s="139"/>
      <c r="EV494" s="647"/>
      <c r="EW494" s="647"/>
      <c r="EX494" s="647"/>
      <c r="EY494" s="647"/>
      <c r="EZ494" s="647"/>
      <c r="FA494" s="646"/>
      <c r="FB494" s="646"/>
      <c r="FC494" s="646"/>
      <c r="FD494" s="646"/>
      <c r="FE494" s="646"/>
      <c r="FF494" s="646"/>
      <c r="FG494" s="647"/>
      <c r="FH494" s="647"/>
      <c r="FI494" s="647"/>
      <c r="FJ494" s="647"/>
      <c r="FK494" s="647"/>
      <c r="FL494" s="647"/>
      <c r="FM494" s="647"/>
      <c r="FN494" s="647"/>
      <c r="FO494" s="647"/>
      <c r="FP494" s="647"/>
      <c r="FQ494" s="647"/>
      <c r="FR494" s="647"/>
      <c r="FS494" s="101"/>
      <c r="FT494" s="95"/>
      <c r="FU494" s="651"/>
      <c r="FV494" s="101"/>
      <c r="FW494" s="101"/>
      <c r="FX494" s="634"/>
      <c r="FY494" s="634"/>
      <c r="FZ494" s="634"/>
      <c r="GA494" s="634"/>
      <c r="GB494" s="634"/>
      <c r="GC494" s="634"/>
      <c r="GD494" s="634"/>
      <c r="GE494" s="634"/>
      <c r="GF494" s="634"/>
      <c r="GG494" s="634"/>
      <c r="GH494" s="634"/>
      <c r="GI494" s="634"/>
      <c r="GJ494" s="634"/>
      <c r="GK494" s="634"/>
      <c r="GL494" s="101"/>
      <c r="GM494" s="101"/>
      <c r="GN494" s="101"/>
      <c r="GO494" s="643"/>
      <c r="GP494" s="644"/>
      <c r="GQ494" s="643"/>
      <c r="GR494" s="644"/>
      <c r="GS494" s="643"/>
      <c r="GT494" s="644"/>
      <c r="GU494" s="644"/>
      <c r="GV494" s="644"/>
      <c r="GW494" s="644"/>
      <c r="GX494" s="644"/>
      <c r="GY494" s="644"/>
      <c r="GZ494" s="644"/>
      <c r="HA494" s="644"/>
    </row>
    <row r="495" spans="1:209">
      <c r="A495" s="638"/>
      <c r="B495" s="95"/>
      <c r="C495" s="95"/>
      <c r="D495" s="95"/>
      <c r="E495" s="650"/>
      <c r="F495" s="95"/>
      <c r="G495" s="98"/>
      <c r="H495" s="99"/>
      <c r="I495" s="95"/>
      <c r="J495" s="95"/>
      <c r="K495" s="95"/>
      <c r="L495" s="95"/>
      <c r="M495" s="95"/>
      <c r="N495" s="95"/>
      <c r="O495" s="95"/>
      <c r="P495" s="95"/>
      <c r="Q495" s="95"/>
      <c r="R495" s="98"/>
      <c r="S495" s="101"/>
      <c r="T495" s="644"/>
      <c r="U495" s="101"/>
      <c r="V495" s="647"/>
      <c r="W495" s="643"/>
      <c r="X495" s="644"/>
      <c r="Y495" s="101"/>
      <c r="Z495" s="644"/>
      <c r="AA495" s="101"/>
      <c r="AB495" s="644"/>
      <c r="AC495" s="101"/>
      <c r="AD495" s="646"/>
      <c r="AE495" s="271"/>
      <c r="AF495" s="646"/>
      <c r="AG495" s="646"/>
      <c r="AH495" s="646"/>
      <c r="AI495" s="646"/>
      <c r="AJ495" s="646"/>
      <c r="AK495" s="646"/>
      <c r="AL495" s="646"/>
      <c r="AM495" s="271"/>
      <c r="AN495" s="646"/>
      <c r="AO495" s="646"/>
      <c r="AP495" s="646"/>
      <c r="AQ495" s="271"/>
      <c r="AR495" s="646"/>
      <c r="AS495" s="270"/>
      <c r="AT495" s="646"/>
      <c r="AU495" s="646"/>
      <c r="AV495" s="646"/>
      <c r="AW495" s="270"/>
      <c r="AX495" s="646"/>
      <c r="AY495" s="270"/>
      <c r="AZ495" s="646"/>
      <c r="BA495" s="646"/>
      <c r="BB495" s="644"/>
      <c r="BC495" s="644"/>
      <c r="BD495" s="644"/>
      <c r="BE495" s="644"/>
      <c r="BF495" s="644"/>
      <c r="BG495" s="644"/>
      <c r="BH495" s="644"/>
      <c r="BI495" s="644"/>
      <c r="BJ495" s="644"/>
      <c r="BK495" s="644"/>
      <c r="BL495" s="644"/>
      <c r="BM495" s="95"/>
      <c r="BN495" s="644"/>
      <c r="BO495" s="95"/>
      <c r="BP495" s="644"/>
      <c r="BQ495" s="644"/>
      <c r="BR495" s="644"/>
      <c r="BS495" s="644"/>
      <c r="BT495" s="644"/>
      <c r="BU495" s="644"/>
      <c r="BV495" s="644"/>
      <c r="BW495" s="644"/>
      <c r="BX495" s="644"/>
      <c r="BY495" s="644"/>
      <c r="BZ495" s="644"/>
      <c r="CA495" s="644"/>
      <c r="CB495" s="644"/>
      <c r="CC495" s="644"/>
      <c r="CD495" s="644"/>
      <c r="CE495" s="644"/>
      <c r="CF495" s="644"/>
      <c r="CG495" s="644"/>
      <c r="CH495" s="644"/>
      <c r="CI495" s="644"/>
      <c r="CJ495" s="644"/>
      <c r="CK495" s="644"/>
      <c r="CL495" s="644"/>
      <c r="CM495" s="95"/>
      <c r="CN495" s="644"/>
      <c r="CO495" s="644"/>
      <c r="CP495" s="95"/>
      <c r="CQ495" s="98"/>
      <c r="CR495" s="95"/>
      <c r="CS495" s="95"/>
      <c r="CT495" s="95"/>
      <c r="CU495" s="108"/>
      <c r="CV495" s="109"/>
      <c r="CW495" s="644"/>
      <c r="CX495" s="496"/>
      <c r="CY495" s="637"/>
      <c r="CZ495" s="644"/>
      <c r="DA495" s="644"/>
      <c r="DB495" s="644"/>
      <c r="DC495" s="496"/>
      <c r="DD495" s="644"/>
      <c r="DE495" s="101"/>
      <c r="DF495" s="644"/>
      <c r="DG495" s="101"/>
      <c r="DH495" s="644"/>
      <c r="DI495" s="644"/>
      <c r="DJ495" s="644"/>
      <c r="DK495" s="644"/>
      <c r="DL495" s="644"/>
      <c r="DM495" s="101"/>
      <c r="DN495" s="644"/>
      <c r="DO495" s="644"/>
      <c r="DP495" s="644"/>
      <c r="DQ495" s="644"/>
      <c r="DR495" s="644"/>
      <c r="DS495" s="644"/>
      <c r="DT495" s="644"/>
      <c r="DU495" s="644"/>
      <c r="DV495" s="644"/>
      <c r="DW495" s="101"/>
      <c r="DX495" s="646"/>
      <c r="DY495" s="646"/>
      <c r="DZ495" s="646"/>
      <c r="EA495" s="646"/>
      <c r="EB495" s="646"/>
      <c r="EC495" s="646"/>
      <c r="ED495" s="646"/>
      <c r="EE495" s="646"/>
      <c r="EF495" s="646"/>
      <c r="EG495" s="646"/>
      <c r="EH495" s="646"/>
      <c r="EI495" s="646"/>
      <c r="EJ495" s="646"/>
      <c r="EK495" s="271"/>
      <c r="EL495" s="644"/>
      <c r="EM495" s="634"/>
      <c r="EN495" s="647"/>
      <c r="EO495" s="648"/>
      <c r="EP495" s="647"/>
      <c r="EQ495" s="647"/>
      <c r="ER495" s="647"/>
      <c r="ES495" s="139"/>
      <c r="EV495" s="647"/>
      <c r="EW495" s="647"/>
      <c r="EX495" s="647"/>
      <c r="EY495" s="647"/>
      <c r="EZ495" s="647"/>
      <c r="FA495" s="646"/>
      <c r="FB495" s="646"/>
      <c r="FC495" s="646"/>
      <c r="FD495" s="646"/>
      <c r="FE495" s="646"/>
      <c r="FF495" s="646"/>
      <c r="FG495" s="647"/>
      <c r="FH495" s="647"/>
      <c r="FI495" s="647"/>
      <c r="FJ495" s="647"/>
      <c r="FK495" s="647"/>
      <c r="FL495" s="647"/>
      <c r="FM495" s="647"/>
      <c r="FN495" s="647"/>
      <c r="FO495" s="647"/>
      <c r="FP495" s="647"/>
      <c r="FQ495" s="647"/>
      <c r="FR495" s="647"/>
      <c r="FS495" s="101"/>
      <c r="FT495" s="95"/>
      <c r="FU495" s="651"/>
      <c r="FV495" s="101"/>
      <c r="FW495" s="101"/>
      <c r="FX495" s="634"/>
      <c r="FY495" s="634"/>
      <c r="FZ495" s="634"/>
      <c r="GA495" s="634"/>
      <c r="GB495" s="634"/>
      <c r="GC495" s="634"/>
      <c r="GD495" s="634"/>
      <c r="GE495" s="634"/>
      <c r="GF495" s="634"/>
      <c r="GG495" s="634"/>
      <c r="GH495" s="634"/>
      <c r="GI495" s="634"/>
      <c r="GJ495" s="634"/>
      <c r="GK495" s="634"/>
      <c r="GL495" s="101"/>
      <c r="GM495" s="101"/>
      <c r="GN495" s="101"/>
      <c r="GO495" s="643"/>
      <c r="GP495" s="644"/>
      <c r="GQ495" s="643"/>
      <c r="GR495" s="644"/>
      <c r="GS495" s="643"/>
      <c r="GT495" s="644"/>
      <c r="GU495" s="644"/>
      <c r="GV495" s="644"/>
      <c r="GW495" s="644"/>
      <c r="GX495" s="644"/>
      <c r="GY495" s="644"/>
      <c r="GZ495" s="644"/>
      <c r="HA495" s="644"/>
    </row>
    <row r="496" spans="1:209">
      <c r="A496" s="638"/>
      <c r="B496" s="95"/>
      <c r="C496" s="95"/>
      <c r="D496" s="95"/>
      <c r="E496" s="650"/>
      <c r="F496" s="95"/>
      <c r="G496" s="98"/>
      <c r="H496" s="99"/>
      <c r="I496" s="95"/>
      <c r="J496" s="95"/>
      <c r="K496" s="95"/>
      <c r="L496" s="95"/>
      <c r="M496" s="95"/>
      <c r="N496" s="95"/>
      <c r="O496" s="95"/>
      <c r="P496" s="95"/>
      <c r="Q496" s="95"/>
      <c r="R496" s="98"/>
      <c r="S496" s="101"/>
      <c r="T496" s="644"/>
      <c r="U496" s="101"/>
      <c r="V496" s="647"/>
      <c r="W496" s="643"/>
      <c r="X496" s="644"/>
      <c r="Y496" s="101"/>
      <c r="Z496" s="644"/>
      <c r="AA496" s="101"/>
      <c r="AB496" s="644"/>
      <c r="AC496" s="101"/>
      <c r="AD496" s="646"/>
      <c r="AE496" s="271"/>
      <c r="AF496" s="646"/>
      <c r="AG496" s="646"/>
      <c r="AH496" s="646"/>
      <c r="AI496" s="646"/>
      <c r="AJ496" s="646"/>
      <c r="AK496" s="646"/>
      <c r="AL496" s="646"/>
      <c r="AM496" s="271"/>
      <c r="AN496" s="646"/>
      <c r="AO496" s="646"/>
      <c r="AP496" s="646"/>
      <c r="AQ496" s="271"/>
      <c r="AR496" s="646"/>
      <c r="AS496" s="270"/>
      <c r="AT496" s="646"/>
      <c r="AU496" s="646"/>
      <c r="AV496" s="646"/>
      <c r="AW496" s="270"/>
      <c r="AX496" s="646"/>
      <c r="AY496" s="270"/>
      <c r="AZ496" s="646"/>
      <c r="BA496" s="646"/>
      <c r="BB496" s="644"/>
      <c r="BC496" s="644"/>
      <c r="BD496" s="644"/>
      <c r="BE496" s="644"/>
      <c r="BF496" s="644"/>
      <c r="BG496" s="644"/>
      <c r="BH496" s="644"/>
      <c r="BI496" s="644"/>
      <c r="BJ496" s="644"/>
      <c r="BK496" s="644"/>
      <c r="BL496" s="644"/>
      <c r="BM496" s="95"/>
      <c r="BN496" s="644"/>
      <c r="BO496" s="95"/>
      <c r="BP496" s="644"/>
      <c r="BQ496" s="644"/>
      <c r="BR496" s="644"/>
      <c r="BS496" s="644"/>
      <c r="BT496" s="644"/>
      <c r="BU496" s="644"/>
      <c r="BV496" s="644"/>
      <c r="BW496" s="644"/>
      <c r="BX496" s="644"/>
      <c r="BY496" s="644"/>
      <c r="BZ496" s="644"/>
      <c r="CA496" s="644"/>
      <c r="CB496" s="644"/>
      <c r="CC496" s="644"/>
      <c r="CD496" s="644"/>
      <c r="CE496" s="644"/>
      <c r="CF496" s="644"/>
      <c r="CG496" s="644"/>
      <c r="CH496" s="644"/>
      <c r="CI496" s="644"/>
      <c r="CJ496" s="644"/>
      <c r="CK496" s="644"/>
      <c r="CL496" s="644"/>
      <c r="CM496" s="95"/>
      <c r="CN496" s="644"/>
      <c r="CO496" s="644"/>
      <c r="CP496" s="95"/>
      <c r="CQ496" s="98"/>
      <c r="CR496" s="95"/>
      <c r="CS496" s="95"/>
      <c r="CT496" s="95"/>
      <c r="CU496" s="108"/>
      <c r="CV496" s="109"/>
      <c r="CW496" s="644"/>
      <c r="CX496" s="496"/>
      <c r="CY496" s="637"/>
      <c r="CZ496" s="644"/>
      <c r="DA496" s="644"/>
      <c r="DB496" s="644"/>
      <c r="DC496" s="496"/>
      <c r="DD496" s="644"/>
      <c r="DE496" s="101"/>
      <c r="DF496" s="644"/>
      <c r="DG496" s="101"/>
      <c r="DH496" s="644"/>
      <c r="DI496" s="644"/>
      <c r="DJ496" s="644"/>
      <c r="DK496" s="644"/>
      <c r="DL496" s="644"/>
      <c r="DM496" s="101"/>
      <c r="DN496" s="644"/>
      <c r="DO496" s="644"/>
      <c r="DP496" s="644"/>
      <c r="DQ496" s="644"/>
      <c r="DR496" s="644"/>
      <c r="DS496" s="644"/>
      <c r="DT496" s="644"/>
      <c r="DU496" s="644"/>
      <c r="DV496" s="644"/>
      <c r="DW496" s="101"/>
      <c r="DX496" s="646"/>
      <c r="DY496" s="646"/>
      <c r="DZ496" s="646"/>
      <c r="EA496" s="646"/>
      <c r="EB496" s="646"/>
      <c r="EC496" s="646"/>
      <c r="ED496" s="646"/>
      <c r="EE496" s="646"/>
      <c r="EF496" s="646"/>
      <c r="EG496" s="646"/>
      <c r="EH496" s="646"/>
      <c r="EI496" s="646"/>
      <c r="EJ496" s="646"/>
      <c r="EK496" s="271"/>
      <c r="EL496" s="644"/>
      <c r="EM496" s="634"/>
      <c r="EN496" s="647"/>
      <c r="EO496" s="648"/>
      <c r="EP496" s="647"/>
      <c r="EQ496" s="647"/>
      <c r="ER496" s="647"/>
      <c r="ES496" s="139"/>
      <c r="EV496" s="647"/>
      <c r="EW496" s="647"/>
      <c r="EX496" s="647"/>
      <c r="EY496" s="647"/>
      <c r="EZ496" s="647"/>
      <c r="FA496" s="646"/>
      <c r="FB496" s="646"/>
      <c r="FC496" s="646"/>
      <c r="FD496" s="646"/>
      <c r="FE496" s="646"/>
      <c r="FF496" s="646"/>
      <c r="FG496" s="647"/>
      <c r="FH496" s="647"/>
      <c r="FI496" s="647"/>
      <c r="FJ496" s="647"/>
      <c r="FK496" s="647"/>
      <c r="FL496" s="647"/>
      <c r="FM496" s="647"/>
      <c r="FN496" s="647"/>
      <c r="FO496" s="647"/>
      <c r="FP496" s="647"/>
      <c r="FQ496" s="647"/>
      <c r="FR496" s="647"/>
      <c r="FS496" s="101"/>
      <c r="FT496" s="95"/>
      <c r="FU496" s="651"/>
      <c r="FV496" s="101"/>
      <c r="FW496" s="101"/>
      <c r="FX496" s="634"/>
      <c r="FY496" s="634"/>
      <c r="FZ496" s="634"/>
      <c r="GA496" s="634"/>
      <c r="GB496" s="634"/>
      <c r="GC496" s="634"/>
      <c r="GD496" s="634"/>
      <c r="GE496" s="634"/>
      <c r="GF496" s="634"/>
      <c r="GG496" s="634"/>
      <c r="GH496" s="634"/>
      <c r="GI496" s="634"/>
      <c r="GJ496" s="634"/>
      <c r="GK496" s="634"/>
      <c r="GL496" s="101"/>
      <c r="GM496" s="101"/>
      <c r="GN496" s="101"/>
      <c r="GO496" s="643"/>
      <c r="GP496" s="644"/>
      <c r="GQ496" s="643"/>
      <c r="GR496" s="644"/>
      <c r="GS496" s="643"/>
      <c r="GT496" s="644"/>
      <c r="GU496" s="644"/>
      <c r="GV496" s="644"/>
      <c r="GW496" s="644"/>
      <c r="GX496" s="644"/>
      <c r="GY496" s="644"/>
      <c r="GZ496" s="644"/>
      <c r="HA496" s="644"/>
    </row>
    <row r="497" spans="1:209">
      <c r="A497" s="638"/>
      <c r="B497" s="95"/>
      <c r="C497" s="95"/>
      <c r="D497" s="95"/>
      <c r="E497" s="650"/>
      <c r="F497" s="95"/>
      <c r="G497" s="98"/>
      <c r="H497" s="99"/>
      <c r="I497" s="95"/>
      <c r="J497" s="95"/>
      <c r="K497" s="95"/>
      <c r="L497" s="95"/>
      <c r="M497" s="95"/>
      <c r="N497" s="95"/>
      <c r="O497" s="95"/>
      <c r="P497" s="95"/>
      <c r="Q497" s="95"/>
      <c r="R497" s="98"/>
      <c r="S497" s="101"/>
      <c r="T497" s="644"/>
      <c r="U497" s="101"/>
      <c r="V497" s="647"/>
      <c r="W497" s="643"/>
      <c r="X497" s="644"/>
      <c r="Y497" s="101"/>
      <c r="Z497" s="644"/>
      <c r="AA497" s="101"/>
      <c r="AB497" s="644"/>
      <c r="AC497" s="101"/>
      <c r="AD497" s="646"/>
      <c r="AE497" s="271"/>
      <c r="AF497" s="646"/>
      <c r="AG497" s="646"/>
      <c r="AH497" s="646"/>
      <c r="AI497" s="646"/>
      <c r="AJ497" s="646"/>
      <c r="AK497" s="646"/>
      <c r="AL497" s="646"/>
      <c r="AM497" s="271"/>
      <c r="AN497" s="646"/>
      <c r="AO497" s="646"/>
      <c r="AP497" s="646"/>
      <c r="AQ497" s="271"/>
      <c r="AR497" s="646"/>
      <c r="AS497" s="270"/>
      <c r="AT497" s="646"/>
      <c r="AU497" s="646"/>
      <c r="AV497" s="646"/>
      <c r="AW497" s="270"/>
      <c r="AX497" s="646"/>
      <c r="AY497" s="270"/>
      <c r="AZ497" s="646"/>
      <c r="BA497" s="646"/>
      <c r="BB497" s="644"/>
      <c r="BC497" s="644"/>
      <c r="BD497" s="644"/>
      <c r="BE497" s="644"/>
      <c r="BF497" s="644"/>
      <c r="BG497" s="644"/>
      <c r="BH497" s="644"/>
      <c r="BI497" s="644"/>
      <c r="BJ497" s="644"/>
      <c r="BK497" s="644"/>
      <c r="BL497" s="644"/>
      <c r="BM497" s="95"/>
      <c r="BN497" s="644"/>
      <c r="BO497" s="95"/>
      <c r="BP497" s="644"/>
      <c r="BQ497" s="644"/>
      <c r="BR497" s="644"/>
      <c r="BS497" s="644"/>
      <c r="BT497" s="644"/>
      <c r="BU497" s="644"/>
      <c r="BV497" s="644"/>
      <c r="BW497" s="644"/>
      <c r="BX497" s="644"/>
      <c r="BY497" s="644"/>
      <c r="BZ497" s="644"/>
      <c r="CA497" s="644"/>
      <c r="CB497" s="644"/>
      <c r="CC497" s="644"/>
      <c r="CD497" s="644"/>
      <c r="CE497" s="644"/>
      <c r="CF497" s="644"/>
      <c r="CG497" s="644"/>
      <c r="CH497" s="644"/>
      <c r="CI497" s="644"/>
      <c r="CJ497" s="644"/>
      <c r="CK497" s="644"/>
      <c r="CL497" s="644"/>
      <c r="CM497" s="95"/>
      <c r="CN497" s="644"/>
      <c r="CO497" s="644"/>
      <c r="CP497" s="95"/>
      <c r="CQ497" s="98"/>
      <c r="CR497" s="95"/>
      <c r="CS497" s="95"/>
      <c r="CT497" s="95"/>
      <c r="CU497" s="108"/>
      <c r="CV497" s="109"/>
      <c r="CW497" s="644"/>
      <c r="CX497" s="496"/>
      <c r="CY497" s="637"/>
      <c r="CZ497" s="644"/>
      <c r="DA497" s="644"/>
      <c r="DB497" s="644"/>
      <c r="DC497" s="496"/>
      <c r="DD497" s="644"/>
      <c r="DE497" s="101"/>
      <c r="DF497" s="644"/>
      <c r="DG497" s="101"/>
      <c r="DH497" s="644"/>
      <c r="DI497" s="644"/>
      <c r="DJ497" s="644"/>
      <c r="DK497" s="644"/>
      <c r="DL497" s="644"/>
      <c r="DM497" s="101"/>
      <c r="DN497" s="644"/>
      <c r="DO497" s="644"/>
      <c r="DP497" s="644"/>
      <c r="DQ497" s="644"/>
      <c r="DR497" s="644"/>
      <c r="DS497" s="644"/>
      <c r="DT497" s="644"/>
      <c r="DU497" s="644"/>
      <c r="DV497" s="644"/>
      <c r="DW497" s="101"/>
      <c r="DX497" s="646"/>
      <c r="DY497" s="646"/>
      <c r="DZ497" s="646"/>
      <c r="EA497" s="646"/>
      <c r="EB497" s="646"/>
      <c r="EC497" s="646"/>
      <c r="ED497" s="646"/>
      <c r="EE497" s="646"/>
      <c r="EF497" s="646"/>
      <c r="EG497" s="646"/>
      <c r="EH497" s="646"/>
      <c r="EI497" s="646"/>
      <c r="EJ497" s="646"/>
      <c r="EK497" s="271"/>
      <c r="EL497" s="644"/>
      <c r="EM497" s="634"/>
      <c r="EN497" s="647"/>
      <c r="EO497" s="648"/>
      <c r="EP497" s="647"/>
      <c r="EQ497" s="647"/>
      <c r="ER497" s="647"/>
      <c r="ES497" s="139"/>
      <c r="EV497" s="647"/>
      <c r="EW497" s="647"/>
      <c r="EX497" s="647"/>
      <c r="EY497" s="647"/>
      <c r="EZ497" s="647"/>
      <c r="FA497" s="646"/>
      <c r="FB497" s="646"/>
      <c r="FC497" s="646"/>
      <c r="FD497" s="646"/>
      <c r="FE497" s="646"/>
      <c r="FF497" s="646"/>
      <c r="FG497" s="647"/>
      <c r="FH497" s="647"/>
      <c r="FI497" s="647"/>
      <c r="FJ497" s="647"/>
      <c r="FK497" s="647"/>
      <c r="FL497" s="647"/>
      <c r="FM497" s="647"/>
      <c r="FN497" s="647"/>
      <c r="FO497" s="647"/>
      <c r="FP497" s="647"/>
      <c r="FQ497" s="647"/>
      <c r="FR497" s="647"/>
      <c r="FS497" s="101"/>
      <c r="FT497" s="95"/>
      <c r="FU497" s="651"/>
      <c r="FV497" s="101"/>
      <c r="FW497" s="101"/>
      <c r="FX497" s="634"/>
      <c r="FY497" s="634"/>
      <c r="FZ497" s="634"/>
      <c r="GA497" s="634"/>
      <c r="GB497" s="634"/>
      <c r="GC497" s="634"/>
      <c r="GD497" s="634"/>
      <c r="GE497" s="634"/>
      <c r="GF497" s="634"/>
      <c r="GG497" s="634"/>
      <c r="GH497" s="634"/>
      <c r="GI497" s="634"/>
      <c r="GJ497" s="634"/>
      <c r="GK497" s="634"/>
      <c r="GL497" s="101"/>
      <c r="GM497" s="101"/>
      <c r="GN497" s="101"/>
      <c r="GO497" s="643"/>
      <c r="GP497" s="644"/>
      <c r="GQ497" s="643"/>
      <c r="GR497" s="644"/>
      <c r="GS497" s="643"/>
      <c r="GT497" s="644"/>
      <c r="GU497" s="644"/>
      <c r="GV497" s="644"/>
      <c r="GW497" s="644"/>
      <c r="GX497" s="644"/>
      <c r="GY497" s="644"/>
      <c r="GZ497" s="644"/>
      <c r="HA497" s="644"/>
    </row>
    <row r="498" spans="1:209">
      <c r="A498" s="638"/>
      <c r="B498" s="95"/>
      <c r="C498" s="95"/>
      <c r="D498" s="95"/>
      <c r="E498" s="650"/>
      <c r="F498" s="95"/>
      <c r="G498" s="98"/>
      <c r="H498" s="99"/>
      <c r="I498" s="95"/>
      <c r="J498" s="95"/>
      <c r="K498" s="95"/>
      <c r="L498" s="95"/>
      <c r="M498" s="95"/>
      <c r="N498" s="95"/>
      <c r="O498" s="95"/>
      <c r="P498" s="95"/>
      <c r="Q498" s="95"/>
      <c r="R498" s="98"/>
      <c r="S498" s="101"/>
      <c r="T498" s="644"/>
      <c r="U498" s="101"/>
      <c r="V498" s="647"/>
      <c r="W498" s="643"/>
      <c r="X498" s="644"/>
      <c r="Y498" s="101"/>
      <c r="Z498" s="644"/>
      <c r="AA498" s="101"/>
      <c r="AB498" s="644"/>
      <c r="AC498" s="101"/>
      <c r="AD498" s="646"/>
      <c r="AE498" s="271"/>
      <c r="AF498" s="646"/>
      <c r="AG498" s="646"/>
      <c r="AH498" s="646"/>
      <c r="AI498" s="646"/>
      <c r="AJ498" s="646"/>
      <c r="AK498" s="646"/>
      <c r="AL498" s="646"/>
      <c r="AM498" s="271"/>
      <c r="AN498" s="646"/>
      <c r="AO498" s="646"/>
      <c r="AP498" s="646"/>
      <c r="AQ498" s="271"/>
      <c r="AR498" s="646"/>
      <c r="AS498" s="270"/>
      <c r="AT498" s="646"/>
      <c r="AU498" s="646"/>
      <c r="AV498" s="646"/>
      <c r="AW498" s="270"/>
      <c r="AX498" s="646"/>
      <c r="AY498" s="270"/>
      <c r="AZ498" s="646"/>
      <c r="BA498" s="646"/>
      <c r="BB498" s="644"/>
      <c r="BC498" s="644"/>
      <c r="BD498" s="644"/>
      <c r="BE498" s="644"/>
      <c r="BF498" s="644"/>
      <c r="BG498" s="644"/>
      <c r="BH498" s="644"/>
      <c r="BI498" s="644"/>
      <c r="BJ498" s="644"/>
      <c r="BK498" s="644"/>
      <c r="BL498" s="644"/>
      <c r="BM498" s="95"/>
      <c r="BN498" s="644"/>
      <c r="BO498" s="95"/>
      <c r="BP498" s="644"/>
      <c r="BQ498" s="644"/>
      <c r="BR498" s="644"/>
      <c r="BS498" s="644"/>
      <c r="BT498" s="644"/>
      <c r="BU498" s="644"/>
      <c r="BV498" s="644"/>
      <c r="BW498" s="644"/>
      <c r="BX498" s="644"/>
      <c r="BY498" s="644"/>
      <c r="BZ498" s="644"/>
      <c r="CA498" s="644"/>
      <c r="CB498" s="644"/>
      <c r="CC498" s="644"/>
      <c r="CD498" s="644"/>
      <c r="CE498" s="644"/>
      <c r="CF498" s="644"/>
      <c r="CG498" s="644"/>
      <c r="CH498" s="644"/>
      <c r="CI498" s="644"/>
      <c r="CJ498" s="644"/>
      <c r="CK498" s="644"/>
      <c r="CL498" s="644"/>
      <c r="CM498" s="95"/>
      <c r="CN498" s="644"/>
      <c r="CO498" s="644"/>
      <c r="CP498" s="95"/>
      <c r="CQ498" s="98"/>
      <c r="CR498" s="95"/>
      <c r="CS498" s="95"/>
      <c r="CT498" s="95"/>
      <c r="CU498" s="108"/>
      <c r="CV498" s="109"/>
      <c r="CW498" s="644"/>
      <c r="CX498" s="496"/>
      <c r="CY498" s="637"/>
      <c r="CZ498" s="644"/>
      <c r="DA498" s="644"/>
      <c r="DB498" s="644"/>
      <c r="DC498" s="496"/>
      <c r="DD498" s="644"/>
      <c r="DE498" s="101"/>
      <c r="DF498" s="644"/>
      <c r="DG498" s="101"/>
      <c r="DH498" s="644"/>
      <c r="DI498" s="644"/>
      <c r="DJ498" s="644"/>
      <c r="DK498" s="644"/>
      <c r="DL498" s="644"/>
      <c r="DM498" s="101"/>
      <c r="DN498" s="644"/>
      <c r="DO498" s="644"/>
      <c r="DP498" s="644"/>
      <c r="DQ498" s="644"/>
      <c r="DR498" s="644"/>
      <c r="DS498" s="644"/>
      <c r="DT498" s="644"/>
      <c r="DU498" s="644"/>
      <c r="DV498" s="644"/>
      <c r="DW498" s="101"/>
      <c r="DX498" s="646"/>
      <c r="DY498" s="646"/>
      <c r="DZ498" s="646"/>
      <c r="EA498" s="646"/>
      <c r="EB498" s="646"/>
      <c r="EC498" s="646"/>
      <c r="ED498" s="646"/>
      <c r="EE498" s="646"/>
      <c r="EF498" s="646"/>
      <c r="EG498" s="646"/>
      <c r="EH498" s="646"/>
      <c r="EI498" s="646"/>
      <c r="EJ498" s="646"/>
      <c r="EK498" s="271"/>
      <c r="EL498" s="644"/>
      <c r="EM498" s="634"/>
      <c r="EN498" s="647"/>
      <c r="EO498" s="648"/>
      <c r="EP498" s="647"/>
      <c r="EQ498" s="647"/>
      <c r="ER498" s="647"/>
      <c r="ES498" s="139"/>
      <c r="EV498" s="647"/>
      <c r="EW498" s="647"/>
      <c r="EX498" s="647"/>
      <c r="EY498" s="647"/>
      <c r="EZ498" s="647"/>
      <c r="FA498" s="646"/>
      <c r="FB498" s="646"/>
      <c r="FC498" s="646"/>
      <c r="FD498" s="646"/>
      <c r="FE498" s="646"/>
      <c r="FF498" s="646"/>
      <c r="FG498" s="647"/>
      <c r="FH498" s="647"/>
      <c r="FI498" s="647"/>
      <c r="FJ498" s="647"/>
      <c r="FK498" s="647"/>
      <c r="FL498" s="647"/>
      <c r="FM498" s="647"/>
      <c r="FN498" s="647"/>
      <c r="FO498" s="647"/>
      <c r="FP498" s="647"/>
      <c r="FQ498" s="647"/>
      <c r="FR498" s="647"/>
      <c r="FS498" s="101"/>
      <c r="FT498" s="95"/>
      <c r="FU498" s="651"/>
      <c r="FV498" s="101"/>
      <c r="FW498" s="101"/>
      <c r="FX498" s="634"/>
      <c r="FY498" s="634"/>
      <c r="FZ498" s="634"/>
      <c r="GA498" s="634"/>
      <c r="GB498" s="634"/>
      <c r="GC498" s="634"/>
      <c r="GD498" s="634"/>
      <c r="GE498" s="634"/>
      <c r="GF498" s="634"/>
      <c r="GG498" s="634"/>
      <c r="GH498" s="634"/>
      <c r="GI498" s="634"/>
      <c r="GJ498" s="634"/>
      <c r="GK498" s="634"/>
      <c r="GL498" s="101"/>
      <c r="GM498" s="101"/>
      <c r="GN498" s="101"/>
      <c r="GO498" s="643"/>
      <c r="GP498" s="644"/>
      <c r="GQ498" s="643"/>
      <c r="GR498" s="644"/>
      <c r="GS498" s="643"/>
      <c r="GT498" s="644"/>
      <c r="GU498" s="644"/>
      <c r="GV498" s="644"/>
      <c r="GW498" s="644"/>
      <c r="GX498" s="644"/>
      <c r="GY498" s="644"/>
      <c r="GZ498" s="644"/>
      <c r="HA498" s="644"/>
    </row>
    <row r="499" spans="1:209">
      <c r="A499" s="638"/>
      <c r="B499" s="95"/>
      <c r="C499" s="95"/>
      <c r="D499" s="95"/>
      <c r="E499" s="650"/>
      <c r="F499" s="95"/>
      <c r="G499" s="98"/>
      <c r="H499" s="99"/>
      <c r="I499" s="95"/>
      <c r="J499" s="95"/>
      <c r="K499" s="95"/>
      <c r="L499" s="95"/>
      <c r="M499" s="95"/>
      <c r="N499" s="95"/>
      <c r="O499" s="95"/>
      <c r="P499" s="95"/>
      <c r="Q499" s="95"/>
      <c r="R499" s="98"/>
      <c r="S499" s="101"/>
      <c r="T499" s="644"/>
      <c r="U499" s="101"/>
      <c r="V499" s="647"/>
      <c r="W499" s="643"/>
      <c r="X499" s="644"/>
      <c r="Y499" s="101"/>
      <c r="Z499" s="644"/>
      <c r="AA499" s="101"/>
      <c r="AB499" s="644"/>
      <c r="AC499" s="101"/>
      <c r="AD499" s="646"/>
      <c r="AE499" s="271"/>
      <c r="AF499" s="646"/>
      <c r="AG499" s="646"/>
      <c r="AH499" s="646"/>
      <c r="AI499" s="646"/>
      <c r="AJ499" s="646"/>
      <c r="AK499" s="646"/>
      <c r="AL499" s="646"/>
      <c r="AM499" s="271"/>
      <c r="AN499" s="646"/>
      <c r="AO499" s="646"/>
      <c r="AP499" s="646"/>
      <c r="AQ499" s="271"/>
      <c r="AR499" s="646"/>
      <c r="AS499" s="270"/>
      <c r="AT499" s="646"/>
      <c r="AU499" s="646"/>
      <c r="AV499" s="646"/>
      <c r="AW499" s="270"/>
      <c r="AX499" s="646"/>
      <c r="AY499" s="270"/>
      <c r="AZ499" s="646"/>
      <c r="BA499" s="646"/>
      <c r="BB499" s="644"/>
      <c r="BC499" s="644"/>
      <c r="BD499" s="644"/>
      <c r="BE499" s="644"/>
      <c r="BF499" s="644"/>
      <c r="BG499" s="644"/>
      <c r="BH499" s="644"/>
      <c r="BI499" s="644"/>
      <c r="BJ499" s="644"/>
      <c r="BK499" s="644"/>
      <c r="BL499" s="644"/>
      <c r="BM499" s="95"/>
      <c r="BN499" s="644"/>
      <c r="BO499" s="95"/>
      <c r="BP499" s="644"/>
      <c r="BQ499" s="644"/>
      <c r="BR499" s="644"/>
      <c r="BS499" s="644"/>
      <c r="BT499" s="644"/>
      <c r="BU499" s="644"/>
      <c r="BV499" s="644"/>
      <c r="BW499" s="644"/>
      <c r="BX499" s="644"/>
      <c r="BY499" s="644"/>
      <c r="BZ499" s="644"/>
      <c r="CA499" s="644"/>
      <c r="CB499" s="644"/>
      <c r="CC499" s="644"/>
      <c r="CD499" s="644"/>
      <c r="CE499" s="644"/>
      <c r="CF499" s="644"/>
      <c r="CG499" s="644"/>
      <c r="CH499" s="644"/>
      <c r="CI499" s="644"/>
      <c r="CJ499" s="644"/>
      <c r="CK499" s="644"/>
      <c r="CL499" s="644"/>
      <c r="CM499" s="95"/>
      <c r="CN499" s="644"/>
      <c r="CO499" s="644"/>
      <c r="CP499" s="95"/>
      <c r="CQ499" s="98"/>
      <c r="CR499" s="95"/>
      <c r="CS499" s="95"/>
      <c r="CT499" s="95"/>
      <c r="CU499" s="108"/>
      <c r="CV499" s="109"/>
      <c r="CW499" s="644"/>
      <c r="CX499" s="496"/>
      <c r="CY499" s="637"/>
      <c r="CZ499" s="644"/>
      <c r="DA499" s="644"/>
      <c r="DB499" s="644"/>
      <c r="DC499" s="496"/>
      <c r="DD499" s="644"/>
      <c r="DE499" s="101"/>
      <c r="DF499" s="644"/>
      <c r="DG499" s="101"/>
      <c r="DH499" s="644"/>
      <c r="DI499" s="644"/>
      <c r="DJ499" s="644"/>
      <c r="DK499" s="644"/>
      <c r="DL499" s="644"/>
      <c r="DM499" s="101"/>
      <c r="DN499" s="644"/>
      <c r="DO499" s="644"/>
      <c r="DP499" s="644"/>
      <c r="DQ499" s="644"/>
      <c r="DR499" s="644"/>
      <c r="DS499" s="644"/>
      <c r="DT499" s="644"/>
      <c r="DU499" s="644"/>
      <c r="DV499" s="644"/>
      <c r="DW499" s="101"/>
      <c r="DX499" s="646"/>
      <c r="DY499" s="646"/>
      <c r="DZ499" s="646"/>
      <c r="EA499" s="646"/>
      <c r="EB499" s="646"/>
      <c r="EC499" s="646"/>
      <c r="ED499" s="646"/>
      <c r="EE499" s="646"/>
      <c r="EF499" s="646"/>
      <c r="EG499" s="646"/>
      <c r="EH499" s="646"/>
      <c r="EI499" s="646"/>
      <c r="EJ499" s="646"/>
      <c r="EK499" s="271"/>
      <c r="EL499" s="644"/>
      <c r="EM499" s="634"/>
      <c r="EN499" s="647"/>
      <c r="EO499" s="648"/>
      <c r="EP499" s="647"/>
      <c r="EQ499" s="647"/>
      <c r="ER499" s="647"/>
      <c r="ES499" s="139"/>
      <c r="EV499" s="647"/>
      <c r="EW499" s="647"/>
      <c r="EX499" s="647"/>
      <c r="EY499" s="647"/>
      <c r="EZ499" s="647"/>
      <c r="FA499" s="646"/>
      <c r="FB499" s="646"/>
      <c r="FC499" s="646"/>
      <c r="FD499" s="646"/>
      <c r="FE499" s="646"/>
      <c r="FF499" s="646"/>
      <c r="FG499" s="647"/>
      <c r="FH499" s="647"/>
      <c r="FI499" s="647"/>
      <c r="FJ499" s="647"/>
      <c r="FK499" s="647"/>
      <c r="FL499" s="647"/>
      <c r="FM499" s="647"/>
      <c r="FN499" s="647"/>
      <c r="FO499" s="647"/>
      <c r="FP499" s="647"/>
      <c r="FQ499" s="647"/>
      <c r="FR499" s="647"/>
      <c r="FS499" s="101"/>
      <c r="FT499" s="95"/>
      <c r="FU499" s="651"/>
      <c r="FV499" s="101"/>
      <c r="FW499" s="101"/>
      <c r="FX499" s="634"/>
      <c r="FY499" s="634"/>
      <c r="FZ499" s="634"/>
      <c r="GA499" s="634"/>
      <c r="GB499" s="634"/>
      <c r="GC499" s="634"/>
      <c r="GD499" s="634"/>
      <c r="GE499" s="634"/>
      <c r="GF499" s="634"/>
      <c r="GG499" s="634"/>
      <c r="GH499" s="634"/>
      <c r="GI499" s="634"/>
      <c r="GJ499" s="634"/>
      <c r="GK499" s="634"/>
      <c r="GL499" s="101"/>
      <c r="GM499" s="101"/>
      <c r="GN499" s="101"/>
      <c r="GO499" s="643"/>
      <c r="GP499" s="644"/>
      <c r="GQ499" s="643"/>
      <c r="GR499" s="644"/>
      <c r="GS499" s="643"/>
      <c r="GT499" s="644"/>
      <c r="GU499" s="644"/>
      <c r="GV499" s="644"/>
      <c r="GW499" s="644"/>
      <c r="GX499" s="644"/>
      <c r="GY499" s="644"/>
      <c r="GZ499" s="644"/>
      <c r="HA499" s="644"/>
    </row>
    <row r="500" spans="1:209">
      <c r="A500" s="638"/>
      <c r="B500" s="95"/>
      <c r="C500" s="95"/>
      <c r="D500" s="95"/>
      <c r="E500" s="650"/>
      <c r="F500" s="95"/>
      <c r="G500" s="98"/>
      <c r="H500" s="99"/>
      <c r="I500" s="95"/>
      <c r="J500" s="95"/>
      <c r="K500" s="95"/>
      <c r="L500" s="95"/>
      <c r="M500" s="95"/>
      <c r="N500" s="95"/>
      <c r="O500" s="95"/>
      <c r="P500" s="95"/>
      <c r="Q500" s="95"/>
      <c r="R500" s="98"/>
      <c r="S500" s="101"/>
      <c r="T500" s="644"/>
      <c r="U500" s="101"/>
      <c r="V500" s="647"/>
      <c r="W500" s="643"/>
      <c r="X500" s="644"/>
      <c r="Y500" s="101"/>
      <c r="Z500" s="644"/>
      <c r="AA500" s="101"/>
      <c r="AB500" s="644"/>
      <c r="AC500" s="101"/>
      <c r="AD500" s="646"/>
      <c r="AE500" s="271"/>
      <c r="AF500" s="646"/>
      <c r="AG500" s="646"/>
      <c r="AH500" s="646"/>
      <c r="AI500" s="646"/>
      <c r="AJ500" s="646"/>
      <c r="AK500" s="646"/>
      <c r="AL500" s="646"/>
      <c r="AM500" s="271"/>
      <c r="AN500" s="646"/>
      <c r="AO500" s="646"/>
      <c r="AP500" s="646"/>
      <c r="AQ500" s="271"/>
      <c r="AR500" s="646"/>
      <c r="AS500" s="270"/>
      <c r="AT500" s="646"/>
      <c r="AU500" s="646"/>
      <c r="AV500" s="646"/>
      <c r="AW500" s="270"/>
      <c r="AX500" s="646"/>
      <c r="AY500" s="270"/>
      <c r="AZ500" s="646"/>
      <c r="BA500" s="646"/>
      <c r="BB500" s="644"/>
      <c r="BC500" s="644"/>
      <c r="BD500" s="644"/>
      <c r="BE500" s="644"/>
      <c r="BF500" s="644"/>
      <c r="BG500" s="644"/>
      <c r="BH500" s="644"/>
      <c r="BI500" s="644"/>
      <c r="BJ500" s="644"/>
      <c r="BK500" s="644"/>
      <c r="BL500" s="644"/>
      <c r="BM500" s="95"/>
      <c r="BN500" s="644"/>
      <c r="BO500" s="95"/>
      <c r="BP500" s="644"/>
      <c r="BQ500" s="644"/>
      <c r="BR500" s="644"/>
      <c r="BS500" s="644"/>
      <c r="BT500" s="644"/>
      <c r="BU500" s="644"/>
      <c r="BV500" s="644"/>
      <c r="BW500" s="644"/>
      <c r="BX500" s="644"/>
      <c r="BY500" s="644"/>
      <c r="BZ500" s="644"/>
      <c r="CA500" s="644"/>
      <c r="CB500" s="644"/>
      <c r="CC500" s="644"/>
      <c r="CD500" s="644"/>
      <c r="CE500" s="644"/>
      <c r="CF500" s="644"/>
      <c r="CG500" s="644"/>
      <c r="CH500" s="644"/>
      <c r="CI500" s="644"/>
      <c r="CJ500" s="644"/>
      <c r="CK500" s="644"/>
      <c r="CL500" s="644"/>
      <c r="CM500" s="95"/>
      <c r="CN500" s="644"/>
      <c r="CO500" s="644"/>
      <c r="CP500" s="95"/>
      <c r="CQ500" s="98"/>
      <c r="CR500" s="95"/>
      <c r="CS500" s="95"/>
      <c r="CT500" s="95"/>
      <c r="CU500" s="108"/>
      <c r="CV500" s="109"/>
      <c r="CW500" s="644"/>
      <c r="CX500" s="496"/>
      <c r="CY500" s="637"/>
      <c r="CZ500" s="644"/>
      <c r="DA500" s="644"/>
      <c r="DB500" s="644"/>
      <c r="DC500" s="496"/>
      <c r="DD500" s="644"/>
      <c r="DE500" s="101"/>
      <c r="DF500" s="644"/>
      <c r="DG500" s="101"/>
      <c r="DH500" s="644"/>
      <c r="DI500" s="644"/>
      <c r="DJ500" s="644"/>
      <c r="DK500" s="644"/>
      <c r="DL500" s="644"/>
      <c r="DM500" s="101"/>
      <c r="DN500" s="644"/>
      <c r="DO500" s="644"/>
      <c r="DP500" s="644"/>
      <c r="DQ500" s="644"/>
      <c r="DR500" s="644"/>
      <c r="DS500" s="644"/>
      <c r="DT500" s="644"/>
      <c r="DU500" s="644"/>
      <c r="DV500" s="644"/>
      <c r="DW500" s="101"/>
      <c r="DX500" s="646"/>
      <c r="DY500" s="646"/>
      <c r="DZ500" s="646"/>
      <c r="EA500" s="646"/>
      <c r="EB500" s="646"/>
      <c r="EC500" s="646"/>
      <c r="ED500" s="646"/>
      <c r="EE500" s="646"/>
      <c r="EF500" s="646"/>
      <c r="EG500" s="646"/>
      <c r="EH500" s="646"/>
      <c r="EI500" s="646"/>
      <c r="EJ500" s="646"/>
      <c r="EK500" s="271"/>
      <c r="EL500" s="644"/>
      <c r="EM500" s="634"/>
      <c r="EN500" s="647"/>
      <c r="EO500" s="648"/>
      <c r="EP500" s="647"/>
      <c r="EQ500" s="647"/>
      <c r="ER500" s="647"/>
      <c r="ES500" s="139"/>
      <c r="EV500" s="647"/>
      <c r="EW500" s="647"/>
      <c r="EX500" s="647"/>
      <c r="EY500" s="647"/>
      <c r="EZ500" s="647"/>
      <c r="FA500" s="646"/>
      <c r="FB500" s="646"/>
      <c r="FC500" s="646"/>
      <c r="FD500" s="646"/>
      <c r="FE500" s="646"/>
      <c r="FF500" s="646"/>
      <c r="FG500" s="647"/>
      <c r="FH500" s="647"/>
      <c r="FI500" s="647"/>
      <c r="FJ500" s="647"/>
      <c r="FK500" s="647"/>
      <c r="FL500" s="647"/>
      <c r="FM500" s="647"/>
      <c r="FN500" s="647"/>
      <c r="FO500" s="647"/>
      <c r="FP500" s="647"/>
      <c r="FQ500" s="647"/>
      <c r="FR500" s="647"/>
      <c r="FS500" s="101"/>
      <c r="FT500" s="95"/>
      <c r="FU500" s="651"/>
      <c r="FV500" s="101"/>
      <c r="FW500" s="101"/>
      <c r="FX500" s="634"/>
      <c r="FY500" s="634"/>
      <c r="FZ500" s="634"/>
      <c r="GA500" s="634"/>
      <c r="GB500" s="634"/>
      <c r="GC500" s="634"/>
      <c r="GD500" s="634"/>
      <c r="GE500" s="634"/>
      <c r="GF500" s="634"/>
      <c r="GG500" s="634"/>
      <c r="GH500" s="634"/>
      <c r="GI500" s="634"/>
      <c r="GJ500" s="634"/>
      <c r="GK500" s="634"/>
      <c r="GL500" s="101"/>
      <c r="GM500" s="101"/>
      <c r="GN500" s="101"/>
      <c r="GO500" s="643"/>
      <c r="GP500" s="644"/>
      <c r="GQ500" s="643"/>
      <c r="GR500" s="644"/>
      <c r="GS500" s="643"/>
      <c r="GT500" s="644"/>
      <c r="GU500" s="644"/>
      <c r="GV500" s="644"/>
      <c r="GW500" s="644"/>
      <c r="GX500" s="644"/>
      <c r="GY500" s="644"/>
      <c r="GZ500" s="644"/>
      <c r="HA500" s="644"/>
    </row>
    <row r="501" spans="1:209">
      <c r="A501" s="638"/>
      <c r="B501" s="95"/>
      <c r="C501" s="95"/>
      <c r="D501" s="95"/>
      <c r="E501" s="650"/>
      <c r="F501" s="95"/>
      <c r="G501" s="98"/>
      <c r="H501" s="99"/>
      <c r="I501" s="95"/>
      <c r="J501" s="95"/>
      <c r="K501" s="95"/>
      <c r="L501" s="95"/>
      <c r="M501" s="95"/>
      <c r="N501" s="95"/>
      <c r="O501" s="95"/>
      <c r="P501" s="95"/>
      <c r="Q501" s="95"/>
      <c r="R501" s="98"/>
      <c r="S501" s="101"/>
      <c r="T501" s="644"/>
      <c r="U501" s="101"/>
      <c r="V501" s="647"/>
      <c r="W501" s="643"/>
      <c r="X501" s="644"/>
      <c r="Y501" s="101"/>
      <c r="Z501" s="644"/>
      <c r="AA501" s="101"/>
      <c r="AB501" s="644"/>
      <c r="AC501" s="101"/>
      <c r="AD501" s="646"/>
      <c r="AE501" s="271"/>
      <c r="AF501" s="646"/>
      <c r="AG501" s="646"/>
      <c r="AH501" s="646"/>
      <c r="AI501" s="646"/>
      <c r="AJ501" s="646"/>
      <c r="AK501" s="646"/>
      <c r="AL501" s="646"/>
      <c r="AM501" s="271"/>
      <c r="AN501" s="646"/>
      <c r="AO501" s="646"/>
      <c r="AP501" s="646"/>
      <c r="AQ501" s="271"/>
      <c r="AR501" s="646"/>
      <c r="AS501" s="270"/>
      <c r="AT501" s="646"/>
      <c r="AU501" s="646"/>
      <c r="AV501" s="646"/>
      <c r="AW501" s="270"/>
      <c r="AX501" s="646"/>
      <c r="AY501" s="270"/>
      <c r="AZ501" s="646"/>
      <c r="BA501" s="646"/>
      <c r="BB501" s="644"/>
      <c r="BC501" s="644"/>
      <c r="BD501" s="644"/>
      <c r="BE501" s="644"/>
      <c r="BF501" s="644"/>
      <c r="BG501" s="644"/>
      <c r="BH501" s="644"/>
      <c r="BI501" s="644"/>
      <c r="BJ501" s="644"/>
      <c r="BK501" s="644"/>
      <c r="BL501" s="644"/>
      <c r="BM501" s="95"/>
      <c r="BN501" s="644"/>
      <c r="BO501" s="95"/>
      <c r="BP501" s="644"/>
      <c r="BQ501" s="644"/>
      <c r="BR501" s="644"/>
      <c r="BS501" s="644"/>
      <c r="BT501" s="644"/>
      <c r="BU501" s="644"/>
      <c r="BV501" s="644"/>
      <c r="BW501" s="644"/>
      <c r="BX501" s="644"/>
      <c r="BY501" s="644"/>
      <c r="BZ501" s="644"/>
      <c r="CA501" s="644"/>
      <c r="CB501" s="644"/>
      <c r="CC501" s="644"/>
      <c r="CD501" s="644"/>
      <c r="CE501" s="644"/>
      <c r="CF501" s="644"/>
      <c r="CG501" s="644"/>
      <c r="CH501" s="644"/>
      <c r="CI501" s="644"/>
      <c r="CJ501" s="644"/>
      <c r="CK501" s="644"/>
      <c r="CL501" s="644"/>
      <c r="CM501" s="95"/>
      <c r="CN501" s="644"/>
      <c r="CO501" s="644"/>
      <c r="CP501" s="95"/>
      <c r="CQ501" s="98"/>
      <c r="CR501" s="95"/>
      <c r="CS501" s="95"/>
      <c r="CT501" s="95"/>
      <c r="CU501" s="108"/>
      <c r="CV501" s="109"/>
      <c r="CW501" s="644"/>
      <c r="CX501" s="496"/>
      <c r="CY501" s="637"/>
      <c r="CZ501" s="644"/>
      <c r="DA501" s="644"/>
      <c r="DB501" s="644"/>
      <c r="DC501" s="496"/>
      <c r="DD501" s="644"/>
      <c r="DE501" s="101"/>
      <c r="DF501" s="644"/>
      <c r="DG501" s="101"/>
      <c r="DH501" s="644"/>
      <c r="DI501" s="644"/>
      <c r="DJ501" s="644"/>
      <c r="DK501" s="644"/>
      <c r="DL501" s="644"/>
      <c r="DM501" s="101"/>
      <c r="DN501" s="644"/>
      <c r="DO501" s="644"/>
      <c r="DP501" s="644"/>
      <c r="DQ501" s="644"/>
      <c r="DR501" s="644"/>
      <c r="DS501" s="644"/>
      <c r="DT501" s="644"/>
      <c r="DU501" s="644"/>
      <c r="DV501" s="644"/>
      <c r="DW501" s="101"/>
      <c r="DX501" s="646"/>
      <c r="DY501" s="646"/>
      <c r="DZ501" s="646"/>
      <c r="EA501" s="646"/>
      <c r="EB501" s="646"/>
      <c r="EC501" s="646"/>
      <c r="ED501" s="646"/>
      <c r="EE501" s="646"/>
      <c r="EF501" s="646"/>
      <c r="EG501" s="646"/>
      <c r="EH501" s="646"/>
      <c r="EI501" s="646"/>
      <c r="EJ501" s="646"/>
      <c r="EK501" s="271"/>
      <c r="EL501" s="644"/>
      <c r="EM501" s="634"/>
      <c r="EN501" s="647"/>
      <c r="EO501" s="648"/>
      <c r="EP501" s="647"/>
      <c r="EQ501" s="647"/>
      <c r="ER501" s="647"/>
      <c r="ES501" s="139"/>
      <c r="EV501" s="647"/>
      <c r="EW501" s="647"/>
      <c r="EX501" s="647"/>
      <c r="EY501" s="647"/>
      <c r="EZ501" s="647"/>
      <c r="FA501" s="646"/>
      <c r="FB501" s="646"/>
      <c r="FC501" s="646"/>
      <c r="FD501" s="646"/>
      <c r="FE501" s="646"/>
      <c r="FF501" s="646"/>
      <c r="FG501" s="647"/>
      <c r="FH501" s="647"/>
      <c r="FI501" s="647"/>
      <c r="FJ501" s="647"/>
      <c r="FK501" s="647"/>
      <c r="FL501" s="647"/>
      <c r="FM501" s="647"/>
      <c r="FN501" s="647"/>
      <c r="FO501" s="647"/>
      <c r="FP501" s="647"/>
      <c r="FQ501" s="647"/>
      <c r="FR501" s="647"/>
      <c r="FS501" s="101"/>
      <c r="FT501" s="95"/>
      <c r="FU501" s="651"/>
      <c r="FV501" s="101"/>
      <c r="FW501" s="101"/>
      <c r="FX501" s="634"/>
      <c r="FY501" s="634"/>
      <c r="FZ501" s="634"/>
      <c r="GA501" s="634"/>
      <c r="GB501" s="634"/>
      <c r="GC501" s="634"/>
      <c r="GD501" s="634"/>
      <c r="GE501" s="634"/>
      <c r="GF501" s="634"/>
      <c r="GG501" s="634"/>
      <c r="GH501" s="634"/>
      <c r="GI501" s="634"/>
      <c r="GJ501" s="634"/>
      <c r="GK501" s="634"/>
      <c r="GL501" s="101"/>
      <c r="GM501" s="101"/>
      <c r="GN501" s="101"/>
      <c r="GO501" s="643"/>
      <c r="GP501" s="644"/>
      <c r="GQ501" s="643"/>
      <c r="GR501" s="644"/>
      <c r="GS501" s="643"/>
      <c r="GT501" s="644"/>
      <c r="GU501" s="644"/>
      <c r="GV501" s="644"/>
      <c r="GW501" s="644"/>
      <c r="GX501" s="644"/>
      <c r="GY501" s="644"/>
      <c r="GZ501" s="644"/>
      <c r="HA501" s="644"/>
    </row>
    <row r="502" spans="1:209">
      <c r="A502" s="638"/>
      <c r="B502" s="95"/>
      <c r="C502" s="95"/>
      <c r="D502" s="95"/>
      <c r="E502" s="650"/>
      <c r="F502" s="95"/>
      <c r="G502" s="98"/>
      <c r="H502" s="99"/>
      <c r="I502" s="95"/>
      <c r="J502" s="95"/>
      <c r="K502" s="95"/>
      <c r="L502" s="95"/>
      <c r="M502" s="95"/>
      <c r="N502" s="95"/>
      <c r="O502" s="95"/>
      <c r="P502" s="95"/>
      <c r="Q502" s="95"/>
      <c r="R502" s="98"/>
      <c r="S502" s="101"/>
      <c r="T502" s="644"/>
      <c r="U502" s="101"/>
      <c r="V502" s="647"/>
      <c r="W502" s="643"/>
      <c r="X502" s="644"/>
      <c r="Y502" s="101"/>
      <c r="Z502" s="644"/>
      <c r="AA502" s="101"/>
      <c r="AB502" s="644"/>
      <c r="AC502" s="101"/>
      <c r="AD502" s="646"/>
      <c r="AE502" s="271"/>
      <c r="AF502" s="646"/>
      <c r="AG502" s="646"/>
      <c r="AH502" s="646"/>
      <c r="AI502" s="646"/>
      <c r="AJ502" s="646"/>
      <c r="AK502" s="646"/>
      <c r="AL502" s="646"/>
      <c r="AM502" s="271"/>
      <c r="AN502" s="646"/>
      <c r="AO502" s="646"/>
      <c r="AP502" s="646"/>
      <c r="AQ502" s="271"/>
      <c r="AR502" s="646"/>
      <c r="AS502" s="270"/>
      <c r="AT502" s="646"/>
      <c r="AU502" s="646"/>
      <c r="AV502" s="646"/>
      <c r="AW502" s="270"/>
      <c r="AX502" s="646"/>
      <c r="AY502" s="270"/>
      <c r="AZ502" s="646"/>
      <c r="BA502" s="646"/>
      <c r="BB502" s="644"/>
      <c r="BC502" s="644"/>
      <c r="BD502" s="644"/>
      <c r="BE502" s="644"/>
      <c r="BF502" s="644"/>
      <c r="BG502" s="644"/>
      <c r="BH502" s="644"/>
      <c r="BI502" s="644"/>
      <c r="BJ502" s="644"/>
      <c r="BK502" s="644"/>
      <c r="BL502" s="644"/>
      <c r="BM502" s="95"/>
      <c r="BN502" s="644"/>
      <c r="BO502" s="95"/>
      <c r="BP502" s="644"/>
      <c r="BQ502" s="644"/>
      <c r="BR502" s="644"/>
      <c r="BS502" s="644"/>
      <c r="BT502" s="644"/>
      <c r="BU502" s="644"/>
      <c r="BV502" s="644"/>
      <c r="BW502" s="644"/>
      <c r="BX502" s="644"/>
      <c r="BY502" s="644"/>
      <c r="BZ502" s="644"/>
      <c r="CA502" s="644"/>
      <c r="CB502" s="644"/>
      <c r="CC502" s="644"/>
      <c r="CD502" s="644"/>
      <c r="CE502" s="644"/>
      <c r="CF502" s="644"/>
      <c r="CG502" s="644"/>
      <c r="CH502" s="644"/>
      <c r="CI502" s="644"/>
      <c r="CJ502" s="644"/>
      <c r="CK502" s="644"/>
      <c r="CL502" s="644"/>
      <c r="CM502" s="95"/>
      <c r="CN502" s="644"/>
      <c r="CO502" s="644"/>
      <c r="CP502" s="95"/>
      <c r="CQ502" s="98"/>
      <c r="CR502" s="95"/>
      <c r="CS502" s="95"/>
      <c r="CT502" s="95"/>
      <c r="CU502" s="108"/>
      <c r="CV502" s="109"/>
      <c r="CW502" s="644"/>
      <c r="CX502" s="496"/>
      <c r="CY502" s="637"/>
      <c r="CZ502" s="644"/>
      <c r="DA502" s="644"/>
      <c r="DB502" s="644"/>
      <c r="DC502" s="496"/>
      <c r="DD502" s="644"/>
      <c r="DE502" s="101"/>
      <c r="DF502" s="644"/>
      <c r="DG502" s="101"/>
      <c r="DH502" s="644"/>
      <c r="DI502" s="644"/>
      <c r="DJ502" s="644"/>
      <c r="DK502" s="644"/>
      <c r="DL502" s="644"/>
      <c r="DM502" s="101"/>
      <c r="DN502" s="644"/>
      <c r="DO502" s="644"/>
      <c r="DP502" s="644"/>
      <c r="DQ502" s="644"/>
      <c r="DR502" s="644"/>
      <c r="DS502" s="644"/>
      <c r="DT502" s="644"/>
      <c r="DU502" s="644"/>
      <c r="DV502" s="644"/>
      <c r="DW502" s="101"/>
      <c r="DX502" s="646"/>
      <c r="DY502" s="646"/>
      <c r="DZ502" s="646"/>
      <c r="EA502" s="646"/>
      <c r="EB502" s="646"/>
      <c r="EC502" s="646"/>
      <c r="ED502" s="646"/>
      <c r="EE502" s="646"/>
      <c r="EF502" s="646"/>
      <c r="EG502" s="646"/>
      <c r="EH502" s="646"/>
      <c r="EI502" s="646"/>
      <c r="EJ502" s="646"/>
      <c r="EK502" s="271"/>
      <c r="EL502" s="644"/>
      <c r="EM502" s="634"/>
      <c r="EN502" s="647"/>
      <c r="EO502" s="648"/>
      <c r="EP502" s="647"/>
      <c r="EQ502" s="647"/>
      <c r="ER502" s="647"/>
      <c r="ES502" s="139"/>
      <c r="EV502" s="647"/>
      <c r="EW502" s="647"/>
      <c r="EX502" s="647"/>
      <c r="EY502" s="647"/>
      <c r="EZ502" s="647"/>
      <c r="FA502" s="646"/>
      <c r="FB502" s="646"/>
      <c r="FC502" s="646"/>
      <c r="FD502" s="646"/>
      <c r="FE502" s="646"/>
      <c r="FF502" s="646"/>
      <c r="FG502" s="647"/>
      <c r="FH502" s="647"/>
      <c r="FI502" s="647"/>
      <c r="FJ502" s="647"/>
      <c r="FK502" s="647"/>
      <c r="FL502" s="647"/>
      <c r="FM502" s="647"/>
      <c r="FN502" s="647"/>
      <c r="FO502" s="647"/>
      <c r="FP502" s="647"/>
      <c r="FQ502" s="647"/>
      <c r="FR502" s="647"/>
      <c r="FS502" s="101"/>
      <c r="FT502" s="95"/>
      <c r="FU502" s="651"/>
      <c r="FV502" s="101"/>
      <c r="FW502" s="101"/>
      <c r="FX502" s="634"/>
      <c r="FY502" s="634"/>
      <c r="FZ502" s="634"/>
      <c r="GA502" s="634"/>
      <c r="GB502" s="634"/>
      <c r="GC502" s="634"/>
      <c r="GD502" s="634"/>
      <c r="GE502" s="634"/>
      <c r="GF502" s="634"/>
      <c r="GG502" s="634"/>
      <c r="GH502" s="634"/>
      <c r="GI502" s="634"/>
      <c r="GJ502" s="634"/>
      <c r="GK502" s="634"/>
      <c r="GL502" s="101"/>
      <c r="GM502" s="101"/>
      <c r="GN502" s="101"/>
      <c r="GO502" s="643"/>
      <c r="GP502" s="644"/>
      <c r="GQ502" s="643"/>
      <c r="GR502" s="644"/>
      <c r="GS502" s="643"/>
      <c r="GT502" s="644"/>
      <c r="GU502" s="644"/>
      <c r="GV502" s="644"/>
      <c r="GW502" s="644"/>
      <c r="GX502" s="644"/>
      <c r="GY502" s="644"/>
      <c r="GZ502" s="644"/>
      <c r="HA502" s="644"/>
    </row>
    <row r="503" spans="1:209">
      <c r="A503" s="638"/>
      <c r="B503" s="95"/>
      <c r="C503" s="95"/>
      <c r="D503" s="95"/>
      <c r="E503" s="650"/>
      <c r="F503" s="95"/>
      <c r="G503" s="98"/>
      <c r="H503" s="99"/>
      <c r="I503" s="95"/>
      <c r="J503" s="95"/>
      <c r="K503" s="95"/>
      <c r="L503" s="95"/>
      <c r="M503" s="95"/>
      <c r="N503" s="95"/>
      <c r="O503" s="95"/>
      <c r="P503" s="95"/>
      <c r="Q503" s="95"/>
      <c r="R503" s="98"/>
      <c r="S503" s="101"/>
      <c r="T503" s="644"/>
      <c r="U503" s="101"/>
      <c r="V503" s="647"/>
      <c r="W503" s="643"/>
      <c r="X503" s="644"/>
      <c r="Y503" s="101"/>
      <c r="Z503" s="644"/>
      <c r="AA503" s="101"/>
      <c r="AB503" s="644"/>
      <c r="AC503" s="101"/>
      <c r="AD503" s="646"/>
      <c r="AE503" s="271"/>
      <c r="AF503" s="646"/>
      <c r="AG503" s="646"/>
      <c r="AH503" s="646"/>
      <c r="AI503" s="646"/>
      <c r="AJ503" s="646"/>
      <c r="AK503" s="646"/>
      <c r="AL503" s="646"/>
      <c r="AM503" s="271"/>
      <c r="AN503" s="646"/>
      <c r="AO503" s="646"/>
      <c r="AP503" s="646"/>
      <c r="AQ503" s="271"/>
      <c r="AR503" s="646"/>
      <c r="AS503" s="270"/>
      <c r="AT503" s="646"/>
      <c r="AU503" s="646"/>
      <c r="AV503" s="646"/>
      <c r="AW503" s="270"/>
      <c r="AX503" s="646"/>
      <c r="AY503" s="270"/>
      <c r="AZ503" s="646"/>
      <c r="BA503" s="646"/>
      <c r="BB503" s="644"/>
      <c r="BC503" s="644"/>
      <c r="BD503" s="644"/>
      <c r="BE503" s="644"/>
      <c r="BF503" s="644"/>
      <c r="BG503" s="644"/>
      <c r="BH503" s="644"/>
      <c r="BI503" s="644"/>
      <c r="BJ503" s="644"/>
      <c r="BK503" s="644"/>
      <c r="BL503" s="644"/>
      <c r="BM503" s="95"/>
      <c r="BN503" s="644"/>
      <c r="BO503" s="95"/>
      <c r="BP503" s="644"/>
      <c r="BQ503" s="644"/>
      <c r="BR503" s="644"/>
      <c r="BS503" s="644"/>
      <c r="BT503" s="644"/>
      <c r="BU503" s="644"/>
      <c r="BV503" s="644"/>
      <c r="BW503" s="644"/>
      <c r="BX503" s="644"/>
      <c r="BY503" s="644"/>
      <c r="BZ503" s="644"/>
      <c r="CA503" s="644"/>
      <c r="CB503" s="644"/>
      <c r="CC503" s="644"/>
      <c r="CD503" s="644"/>
      <c r="CE503" s="644"/>
      <c r="CF503" s="644"/>
      <c r="CG503" s="644"/>
      <c r="CH503" s="644"/>
      <c r="CI503" s="644"/>
      <c r="CJ503" s="644"/>
      <c r="CK503" s="644"/>
      <c r="CL503" s="644"/>
      <c r="CM503" s="95"/>
      <c r="CN503" s="644"/>
      <c r="CO503" s="644"/>
      <c r="CP503" s="95"/>
      <c r="CQ503" s="98"/>
      <c r="CR503" s="95"/>
      <c r="CS503" s="95"/>
      <c r="CT503" s="95"/>
      <c r="CU503" s="108"/>
      <c r="CV503" s="109"/>
      <c r="CW503" s="644"/>
      <c r="CX503" s="496"/>
      <c r="CY503" s="637"/>
      <c r="CZ503" s="644"/>
      <c r="DA503" s="644"/>
      <c r="DB503" s="644"/>
      <c r="DC503" s="496"/>
      <c r="DD503" s="644"/>
      <c r="DE503" s="101"/>
      <c r="DF503" s="644"/>
      <c r="DG503" s="101"/>
      <c r="DH503" s="644"/>
      <c r="DI503" s="644"/>
      <c r="DJ503" s="644"/>
      <c r="DK503" s="644"/>
      <c r="DL503" s="644"/>
      <c r="DM503" s="101"/>
      <c r="DN503" s="644"/>
      <c r="DO503" s="644"/>
      <c r="DP503" s="644"/>
      <c r="DQ503" s="644"/>
      <c r="DR503" s="644"/>
      <c r="DS503" s="644"/>
      <c r="DT503" s="644"/>
      <c r="DU503" s="644"/>
      <c r="DV503" s="644"/>
      <c r="DW503" s="101"/>
      <c r="DX503" s="646"/>
      <c r="DY503" s="646"/>
      <c r="DZ503" s="646"/>
      <c r="EA503" s="646"/>
      <c r="EB503" s="646"/>
      <c r="EC503" s="646"/>
      <c r="ED503" s="646"/>
      <c r="EE503" s="646"/>
      <c r="EF503" s="646"/>
      <c r="EG503" s="646"/>
      <c r="EH503" s="646"/>
      <c r="EI503" s="646"/>
      <c r="EJ503" s="646"/>
      <c r="EK503" s="271"/>
      <c r="EL503" s="644"/>
      <c r="EM503" s="634"/>
      <c r="EN503" s="647"/>
      <c r="EO503" s="648"/>
      <c r="EP503" s="647"/>
      <c r="EQ503" s="647"/>
      <c r="ER503" s="647"/>
      <c r="ES503" s="139"/>
      <c r="EV503" s="647"/>
      <c r="EW503" s="647"/>
      <c r="EX503" s="647"/>
      <c r="EY503" s="647"/>
      <c r="EZ503" s="647"/>
      <c r="FA503" s="646"/>
      <c r="FB503" s="646"/>
      <c r="FC503" s="646"/>
      <c r="FD503" s="646"/>
      <c r="FE503" s="646"/>
      <c r="FF503" s="646"/>
      <c r="FG503" s="647"/>
      <c r="FH503" s="647"/>
      <c r="FI503" s="647"/>
      <c r="FJ503" s="647"/>
      <c r="FK503" s="647"/>
      <c r="FL503" s="647"/>
      <c r="FM503" s="647"/>
      <c r="FN503" s="647"/>
      <c r="FO503" s="647"/>
      <c r="FP503" s="647"/>
      <c r="FQ503" s="647"/>
      <c r="FR503" s="647"/>
      <c r="FS503" s="101"/>
      <c r="FT503" s="95"/>
      <c r="FU503" s="651"/>
      <c r="FV503" s="101"/>
      <c r="FW503" s="101"/>
      <c r="FX503" s="634"/>
      <c r="FY503" s="634"/>
      <c r="FZ503" s="634"/>
      <c r="GA503" s="634"/>
      <c r="GB503" s="634"/>
      <c r="GC503" s="634"/>
      <c r="GD503" s="634"/>
      <c r="GE503" s="634"/>
      <c r="GF503" s="634"/>
      <c r="GG503" s="634"/>
      <c r="GH503" s="634"/>
      <c r="GI503" s="634"/>
      <c r="GJ503" s="634"/>
      <c r="GK503" s="634"/>
      <c r="GL503" s="101"/>
      <c r="GM503" s="101"/>
      <c r="GN503" s="101"/>
      <c r="GO503" s="643"/>
      <c r="GP503" s="644"/>
      <c r="GQ503" s="643"/>
      <c r="GR503" s="644"/>
      <c r="GS503" s="643"/>
      <c r="GT503" s="644"/>
      <c r="GU503" s="644"/>
      <c r="GV503" s="644"/>
      <c r="GW503" s="644"/>
      <c r="GX503" s="644"/>
      <c r="GY503" s="644"/>
      <c r="GZ503" s="644"/>
      <c r="HA503" s="644"/>
    </row>
    <row r="504" spans="1:209">
      <c r="A504" s="638"/>
      <c r="B504" s="95"/>
      <c r="C504" s="95"/>
      <c r="D504" s="95"/>
      <c r="E504" s="650"/>
      <c r="F504" s="95"/>
      <c r="G504" s="98"/>
      <c r="H504" s="99"/>
      <c r="I504" s="95"/>
      <c r="J504" s="95"/>
      <c r="K504" s="95"/>
      <c r="L504" s="95"/>
      <c r="M504" s="95"/>
      <c r="N504" s="95"/>
      <c r="O504" s="95"/>
      <c r="P504" s="95"/>
      <c r="Q504" s="95"/>
      <c r="R504" s="98"/>
      <c r="S504" s="101"/>
      <c r="T504" s="644"/>
      <c r="U504" s="101"/>
      <c r="V504" s="647"/>
      <c r="W504" s="643"/>
      <c r="X504" s="644"/>
      <c r="Y504" s="101"/>
      <c r="Z504" s="644"/>
      <c r="AA504" s="101"/>
      <c r="AB504" s="644"/>
      <c r="AC504" s="101"/>
      <c r="AD504" s="646"/>
      <c r="AE504" s="271"/>
      <c r="AF504" s="646"/>
      <c r="AG504" s="646"/>
      <c r="AH504" s="646"/>
      <c r="AI504" s="646"/>
      <c r="AJ504" s="646"/>
      <c r="AK504" s="646"/>
      <c r="AL504" s="646"/>
      <c r="AM504" s="271"/>
      <c r="AN504" s="646"/>
      <c r="AO504" s="646"/>
      <c r="AP504" s="646"/>
      <c r="AQ504" s="271"/>
      <c r="AR504" s="646"/>
      <c r="AS504" s="270"/>
      <c r="AT504" s="646"/>
      <c r="AU504" s="646"/>
      <c r="AV504" s="646"/>
      <c r="AW504" s="270"/>
      <c r="AX504" s="646"/>
      <c r="AY504" s="270"/>
      <c r="AZ504" s="646"/>
      <c r="BA504" s="646"/>
      <c r="BB504" s="644"/>
      <c r="BC504" s="644"/>
      <c r="BD504" s="644"/>
      <c r="BE504" s="644"/>
      <c r="BF504" s="644"/>
      <c r="BG504" s="644"/>
      <c r="BH504" s="644"/>
      <c r="BI504" s="644"/>
      <c r="BJ504" s="644"/>
      <c r="BK504" s="644"/>
      <c r="BL504" s="644"/>
      <c r="BM504" s="95"/>
      <c r="BN504" s="644"/>
      <c r="BO504" s="95"/>
      <c r="BP504" s="644"/>
      <c r="BQ504" s="644"/>
      <c r="BR504" s="644"/>
      <c r="BS504" s="644"/>
      <c r="BT504" s="644"/>
      <c r="BU504" s="644"/>
      <c r="BV504" s="644"/>
      <c r="BW504" s="644"/>
      <c r="BX504" s="644"/>
      <c r="BY504" s="644"/>
      <c r="BZ504" s="644"/>
      <c r="CA504" s="644"/>
      <c r="CB504" s="644"/>
      <c r="CC504" s="644"/>
      <c r="CD504" s="644"/>
      <c r="CE504" s="644"/>
      <c r="CF504" s="644"/>
      <c r="CG504" s="644"/>
      <c r="CH504" s="644"/>
      <c r="CI504" s="644"/>
      <c r="CJ504" s="644"/>
      <c r="CK504" s="644"/>
      <c r="CL504" s="644"/>
      <c r="CM504" s="95"/>
      <c r="CN504" s="644"/>
      <c r="CO504" s="644"/>
      <c r="CP504" s="95"/>
      <c r="CQ504" s="98"/>
      <c r="CR504" s="95"/>
      <c r="CS504" s="95"/>
      <c r="CT504" s="95"/>
      <c r="CU504" s="108"/>
      <c r="CV504" s="109"/>
      <c r="CW504" s="644"/>
      <c r="CX504" s="496"/>
      <c r="CY504" s="637"/>
      <c r="CZ504" s="644"/>
      <c r="DA504" s="644"/>
      <c r="DB504" s="644"/>
      <c r="DC504" s="496"/>
      <c r="DD504" s="644"/>
      <c r="DE504" s="101"/>
      <c r="DF504" s="644"/>
      <c r="DG504" s="101"/>
      <c r="DH504" s="644"/>
      <c r="DI504" s="644"/>
      <c r="DJ504" s="644"/>
      <c r="DK504" s="644"/>
      <c r="DL504" s="644"/>
      <c r="DM504" s="101"/>
      <c r="DN504" s="644"/>
      <c r="DO504" s="644"/>
      <c r="DP504" s="644"/>
      <c r="DQ504" s="644"/>
      <c r="DR504" s="644"/>
      <c r="DS504" s="644"/>
      <c r="DT504" s="644"/>
      <c r="DU504" s="644"/>
      <c r="DV504" s="644"/>
      <c r="DW504" s="101"/>
      <c r="DX504" s="646"/>
      <c r="DY504" s="646"/>
      <c r="DZ504" s="646"/>
      <c r="EA504" s="646"/>
      <c r="EB504" s="646"/>
      <c r="EC504" s="646"/>
      <c r="ED504" s="646"/>
      <c r="EE504" s="646"/>
      <c r="EF504" s="646"/>
      <c r="EG504" s="646"/>
      <c r="EH504" s="646"/>
      <c r="EI504" s="646"/>
      <c r="EJ504" s="646"/>
      <c r="EK504" s="271"/>
      <c r="EL504" s="644"/>
      <c r="EM504" s="634"/>
      <c r="EN504" s="647"/>
      <c r="EO504" s="648"/>
      <c r="EP504" s="647"/>
      <c r="EQ504" s="647"/>
      <c r="ER504" s="647"/>
      <c r="ES504" s="139"/>
      <c r="EV504" s="647"/>
      <c r="EW504" s="647"/>
      <c r="EX504" s="647"/>
      <c r="EY504" s="647"/>
      <c r="EZ504" s="647"/>
      <c r="FA504" s="646"/>
      <c r="FB504" s="646"/>
      <c r="FC504" s="646"/>
      <c r="FD504" s="646"/>
      <c r="FE504" s="646"/>
      <c r="FF504" s="646"/>
      <c r="FG504" s="647"/>
      <c r="FH504" s="647"/>
      <c r="FI504" s="647"/>
      <c r="FJ504" s="647"/>
      <c r="FK504" s="647"/>
      <c r="FL504" s="647"/>
      <c r="FM504" s="647"/>
      <c r="FN504" s="647"/>
      <c r="FO504" s="647"/>
      <c r="FP504" s="647"/>
      <c r="FQ504" s="647"/>
      <c r="FR504" s="647"/>
      <c r="FS504" s="101"/>
      <c r="FT504" s="95"/>
      <c r="FU504" s="651"/>
      <c r="FV504" s="101"/>
      <c r="FW504" s="101"/>
      <c r="FX504" s="634"/>
      <c r="FY504" s="634"/>
      <c r="FZ504" s="634"/>
      <c r="GA504" s="634"/>
      <c r="GB504" s="634"/>
      <c r="GC504" s="634"/>
      <c r="GD504" s="634"/>
      <c r="GE504" s="634"/>
      <c r="GF504" s="634"/>
      <c r="GG504" s="634"/>
      <c r="GH504" s="634"/>
      <c r="GI504" s="634"/>
      <c r="GJ504" s="634"/>
      <c r="GK504" s="634"/>
      <c r="GL504" s="101"/>
      <c r="GM504" s="101"/>
      <c r="GN504" s="101"/>
      <c r="GO504" s="643"/>
      <c r="GP504" s="644"/>
      <c r="GQ504" s="643"/>
      <c r="GR504" s="644"/>
      <c r="GS504" s="643"/>
      <c r="GT504" s="644"/>
      <c r="GU504" s="644"/>
      <c r="GV504" s="644"/>
      <c r="GW504" s="644"/>
      <c r="GX504" s="644"/>
      <c r="GY504" s="644"/>
      <c r="GZ504" s="644"/>
      <c r="HA504" s="644"/>
    </row>
    <row r="505" spans="1:209">
      <c r="A505" s="638"/>
      <c r="B505" s="95"/>
      <c r="C505" s="95"/>
      <c r="D505" s="95"/>
      <c r="E505" s="650"/>
      <c r="F505" s="95"/>
      <c r="G505" s="98"/>
      <c r="H505" s="99"/>
      <c r="I505" s="95"/>
      <c r="J505" s="95"/>
      <c r="K505" s="95"/>
      <c r="L505" s="95"/>
      <c r="M505" s="95"/>
      <c r="N505" s="95"/>
      <c r="O505" s="95"/>
      <c r="P505" s="95"/>
      <c r="Q505" s="95"/>
      <c r="R505" s="98"/>
      <c r="S505" s="101"/>
      <c r="T505" s="644"/>
      <c r="U505" s="101"/>
      <c r="V505" s="647"/>
      <c r="W505" s="643"/>
      <c r="X505" s="644"/>
      <c r="Y505" s="101"/>
      <c r="Z505" s="644"/>
      <c r="AA505" s="101"/>
      <c r="AB505" s="644"/>
      <c r="AC505" s="101"/>
      <c r="AD505" s="646"/>
      <c r="AE505" s="271"/>
      <c r="AF505" s="646"/>
      <c r="AG505" s="646"/>
      <c r="AH505" s="646"/>
      <c r="AI505" s="646"/>
      <c r="AJ505" s="646"/>
      <c r="AK505" s="646"/>
      <c r="AL505" s="646"/>
      <c r="AM505" s="271"/>
      <c r="AN505" s="646"/>
      <c r="AO505" s="646"/>
      <c r="AP505" s="646"/>
      <c r="AQ505" s="271"/>
      <c r="AR505" s="646"/>
      <c r="AS505" s="270"/>
      <c r="AT505" s="646"/>
      <c r="AU505" s="646"/>
      <c r="AV505" s="646"/>
      <c r="AW505" s="270"/>
      <c r="AX505" s="646"/>
      <c r="AY505" s="270"/>
      <c r="AZ505" s="646"/>
      <c r="BA505" s="646"/>
      <c r="BB505" s="644"/>
      <c r="BC505" s="644"/>
      <c r="BD505" s="644"/>
      <c r="BE505" s="644"/>
      <c r="BF505" s="644"/>
      <c r="BG505" s="644"/>
      <c r="BH505" s="644"/>
      <c r="BI505" s="644"/>
      <c r="BJ505" s="644"/>
      <c r="BK505" s="644"/>
      <c r="BL505" s="644"/>
      <c r="BM505" s="95"/>
      <c r="BN505" s="644"/>
      <c r="BO505" s="95"/>
      <c r="BP505" s="644"/>
      <c r="BQ505" s="644"/>
      <c r="BR505" s="644"/>
      <c r="BS505" s="644"/>
      <c r="BT505" s="644"/>
      <c r="BU505" s="644"/>
      <c r="BV505" s="644"/>
      <c r="BW505" s="644"/>
      <c r="BX505" s="644"/>
      <c r="BY505" s="644"/>
      <c r="BZ505" s="644"/>
      <c r="CA505" s="644"/>
      <c r="CB505" s="644"/>
      <c r="CC505" s="644"/>
      <c r="CD505" s="644"/>
      <c r="CE505" s="644"/>
      <c r="CF505" s="644"/>
      <c r="CG505" s="644"/>
      <c r="CH505" s="644"/>
      <c r="CI505" s="644"/>
      <c r="CJ505" s="644"/>
      <c r="CK505" s="644"/>
      <c r="CL505" s="644"/>
      <c r="CM505" s="95"/>
      <c r="CN505" s="644"/>
      <c r="CO505" s="644"/>
      <c r="CP505" s="95"/>
      <c r="CQ505" s="98"/>
      <c r="CR505" s="95"/>
      <c r="CS505" s="95"/>
      <c r="CT505" s="95"/>
      <c r="CU505" s="108"/>
      <c r="CV505" s="109"/>
      <c r="CW505" s="644"/>
      <c r="CX505" s="496"/>
      <c r="CY505" s="637"/>
      <c r="CZ505" s="644"/>
      <c r="DA505" s="644"/>
      <c r="DB505" s="644"/>
      <c r="DC505" s="496"/>
      <c r="DD505" s="644"/>
      <c r="DE505" s="101"/>
      <c r="DF505" s="644"/>
      <c r="DG505" s="101"/>
      <c r="DH505" s="644"/>
      <c r="DI505" s="644"/>
      <c r="DJ505" s="644"/>
      <c r="DK505" s="644"/>
      <c r="DL505" s="644"/>
      <c r="DM505" s="101"/>
      <c r="DN505" s="644"/>
      <c r="DO505" s="644"/>
      <c r="DP505" s="644"/>
      <c r="DQ505" s="644"/>
      <c r="DR505" s="644"/>
      <c r="DS505" s="644"/>
      <c r="DT505" s="644"/>
      <c r="DU505" s="644"/>
      <c r="DV505" s="644"/>
      <c r="DW505" s="101"/>
      <c r="DX505" s="646"/>
      <c r="DY505" s="646"/>
      <c r="DZ505" s="646"/>
      <c r="EA505" s="646"/>
      <c r="EB505" s="646"/>
      <c r="EC505" s="646"/>
      <c r="ED505" s="646"/>
      <c r="EE505" s="646"/>
      <c r="EF505" s="646"/>
      <c r="EG505" s="646"/>
      <c r="EH505" s="646"/>
      <c r="EI505" s="646"/>
      <c r="EJ505" s="646"/>
      <c r="EK505" s="271"/>
      <c r="EL505" s="644"/>
      <c r="EM505" s="634"/>
      <c r="EN505" s="647"/>
      <c r="EO505" s="648"/>
      <c r="EP505" s="647"/>
      <c r="EQ505" s="647"/>
      <c r="ER505" s="647"/>
      <c r="ES505" s="139"/>
      <c r="EV505" s="647"/>
      <c r="EW505" s="647"/>
      <c r="EX505" s="647"/>
      <c r="EY505" s="647"/>
      <c r="EZ505" s="647"/>
      <c r="FA505" s="646"/>
      <c r="FB505" s="646"/>
      <c r="FC505" s="646"/>
      <c r="FD505" s="646"/>
      <c r="FE505" s="646"/>
      <c r="FF505" s="646"/>
      <c r="FG505" s="647"/>
      <c r="FH505" s="647"/>
      <c r="FI505" s="647"/>
      <c r="FJ505" s="647"/>
      <c r="FK505" s="647"/>
      <c r="FL505" s="647"/>
      <c r="FM505" s="647"/>
      <c r="FN505" s="647"/>
      <c r="FO505" s="647"/>
      <c r="FP505" s="647"/>
      <c r="FQ505" s="647"/>
      <c r="FR505" s="647"/>
      <c r="FS505" s="101"/>
      <c r="FT505" s="95"/>
      <c r="FU505" s="651"/>
      <c r="FV505" s="101"/>
      <c r="FW505" s="101"/>
      <c r="FX505" s="634"/>
      <c r="FY505" s="634"/>
      <c r="FZ505" s="634"/>
      <c r="GA505" s="634"/>
      <c r="GB505" s="634"/>
      <c r="GC505" s="634"/>
      <c r="GD505" s="634"/>
      <c r="GE505" s="634"/>
      <c r="GF505" s="634"/>
      <c r="GG505" s="634"/>
      <c r="GH505" s="634"/>
      <c r="GI505" s="634"/>
      <c r="GJ505" s="634"/>
      <c r="GK505" s="634"/>
      <c r="GL505" s="101"/>
      <c r="GM505" s="101"/>
      <c r="GN505" s="101"/>
      <c r="GO505" s="643"/>
      <c r="GP505" s="644"/>
      <c r="GQ505" s="643"/>
      <c r="GR505" s="644"/>
      <c r="GS505" s="643"/>
      <c r="GT505" s="644"/>
      <c r="GU505" s="644"/>
      <c r="GV505" s="644"/>
      <c r="GW505" s="644"/>
      <c r="GX505" s="644"/>
      <c r="GY505" s="644"/>
      <c r="GZ505" s="644"/>
      <c r="HA505" s="644"/>
    </row>
    <row r="506" spans="1:209">
      <c r="A506" s="638"/>
      <c r="B506" s="95"/>
      <c r="C506" s="95"/>
      <c r="D506" s="95"/>
      <c r="E506" s="650"/>
      <c r="F506" s="95"/>
      <c r="G506" s="98"/>
      <c r="H506" s="99"/>
      <c r="I506" s="95"/>
      <c r="J506" s="95"/>
      <c r="K506" s="95"/>
      <c r="L506" s="95"/>
      <c r="M506" s="95"/>
      <c r="N506" s="95"/>
      <c r="O506" s="95"/>
      <c r="P506" s="95"/>
      <c r="Q506" s="95"/>
      <c r="R506" s="98"/>
      <c r="S506" s="101"/>
      <c r="T506" s="644"/>
      <c r="U506" s="101"/>
      <c r="V506" s="647"/>
      <c r="W506" s="643"/>
      <c r="X506" s="644"/>
      <c r="Y506" s="101"/>
      <c r="Z506" s="644"/>
      <c r="AA506" s="101"/>
      <c r="AB506" s="644"/>
      <c r="AC506" s="101"/>
      <c r="AD506" s="646"/>
      <c r="AE506" s="271"/>
      <c r="AF506" s="646"/>
      <c r="AG506" s="646"/>
      <c r="AH506" s="646"/>
      <c r="AI506" s="646"/>
      <c r="AJ506" s="646"/>
      <c r="AK506" s="646"/>
      <c r="AL506" s="646"/>
      <c r="AM506" s="271"/>
      <c r="AN506" s="646"/>
      <c r="AO506" s="646"/>
      <c r="AP506" s="646"/>
      <c r="AQ506" s="271"/>
      <c r="AR506" s="646"/>
      <c r="AS506" s="270"/>
      <c r="AT506" s="646"/>
      <c r="AU506" s="646"/>
      <c r="AV506" s="646"/>
      <c r="AW506" s="270"/>
      <c r="AX506" s="646"/>
      <c r="AY506" s="270"/>
      <c r="AZ506" s="646"/>
      <c r="BA506" s="646"/>
      <c r="BB506" s="644"/>
      <c r="BC506" s="644"/>
      <c r="BD506" s="644"/>
      <c r="BE506" s="644"/>
      <c r="BF506" s="644"/>
      <c r="BG506" s="644"/>
      <c r="BH506" s="644"/>
      <c r="BI506" s="644"/>
      <c r="BJ506" s="644"/>
      <c r="BK506" s="644"/>
      <c r="BL506" s="644"/>
      <c r="BM506" s="95"/>
      <c r="BN506" s="644"/>
      <c r="BO506" s="95"/>
      <c r="BP506" s="644"/>
      <c r="BQ506" s="644"/>
      <c r="BR506" s="644"/>
      <c r="BS506" s="644"/>
      <c r="BT506" s="644"/>
      <c r="BU506" s="644"/>
      <c r="BV506" s="644"/>
      <c r="BW506" s="644"/>
      <c r="BX506" s="644"/>
      <c r="BY506" s="644"/>
      <c r="BZ506" s="644"/>
      <c r="CA506" s="644"/>
      <c r="CB506" s="644"/>
      <c r="CC506" s="644"/>
      <c r="CD506" s="644"/>
      <c r="CE506" s="644"/>
      <c r="CF506" s="644"/>
      <c r="CG506" s="644"/>
      <c r="CH506" s="644"/>
      <c r="CI506" s="644"/>
      <c r="CJ506" s="644"/>
      <c r="CK506" s="644"/>
      <c r="CL506" s="644"/>
      <c r="CM506" s="95"/>
      <c r="CN506" s="644"/>
      <c r="CO506" s="644"/>
      <c r="CP506" s="95"/>
      <c r="CQ506" s="98"/>
      <c r="CR506" s="95"/>
      <c r="CS506" s="95"/>
      <c r="CT506" s="95"/>
      <c r="CU506" s="108"/>
      <c r="CV506" s="109"/>
      <c r="CW506" s="644"/>
      <c r="CX506" s="496"/>
      <c r="CY506" s="637"/>
      <c r="CZ506" s="644"/>
      <c r="DA506" s="644"/>
      <c r="DB506" s="644"/>
      <c r="DC506" s="496"/>
      <c r="DD506" s="644"/>
      <c r="DE506" s="101"/>
      <c r="DF506" s="644"/>
      <c r="DG506" s="101"/>
      <c r="DH506" s="644"/>
      <c r="DI506" s="644"/>
      <c r="DJ506" s="644"/>
      <c r="DK506" s="644"/>
      <c r="DL506" s="644"/>
      <c r="DM506" s="101"/>
      <c r="DN506" s="644"/>
      <c r="DO506" s="644"/>
      <c r="DP506" s="644"/>
      <c r="DQ506" s="644"/>
      <c r="DR506" s="644"/>
      <c r="DS506" s="644"/>
      <c r="DT506" s="644"/>
      <c r="DU506" s="644"/>
      <c r="DV506" s="644"/>
      <c r="DW506" s="101"/>
      <c r="DX506" s="646"/>
      <c r="DY506" s="646"/>
      <c r="DZ506" s="646"/>
      <c r="EA506" s="646"/>
      <c r="EB506" s="646"/>
      <c r="EC506" s="646"/>
      <c r="ED506" s="646"/>
      <c r="EE506" s="646"/>
      <c r="EF506" s="646"/>
      <c r="EG506" s="646"/>
      <c r="EH506" s="646"/>
      <c r="EI506" s="646"/>
      <c r="EJ506" s="646"/>
      <c r="EK506" s="271"/>
      <c r="EL506" s="644"/>
      <c r="EM506" s="634"/>
      <c r="EN506" s="647"/>
      <c r="EO506" s="648"/>
      <c r="EP506" s="647"/>
      <c r="EQ506" s="647"/>
      <c r="ER506" s="647"/>
      <c r="ES506" s="139"/>
      <c r="EV506" s="647"/>
      <c r="EW506" s="647"/>
      <c r="EX506" s="647"/>
      <c r="EY506" s="647"/>
      <c r="EZ506" s="647"/>
      <c r="FA506" s="646"/>
      <c r="FB506" s="646"/>
      <c r="FC506" s="646"/>
      <c r="FD506" s="646"/>
      <c r="FE506" s="646"/>
      <c r="FF506" s="646"/>
      <c r="FG506" s="647"/>
      <c r="FH506" s="647"/>
      <c r="FI506" s="647"/>
      <c r="FJ506" s="647"/>
      <c r="FK506" s="647"/>
      <c r="FL506" s="647"/>
      <c r="FM506" s="647"/>
      <c r="FN506" s="647"/>
      <c r="FO506" s="647"/>
      <c r="FP506" s="647"/>
      <c r="FQ506" s="647"/>
      <c r="FR506" s="647"/>
      <c r="FS506" s="101"/>
      <c r="FT506" s="95"/>
      <c r="FU506" s="651"/>
      <c r="FV506" s="101"/>
      <c r="FW506" s="101"/>
      <c r="FX506" s="634"/>
      <c r="FY506" s="634"/>
      <c r="FZ506" s="634"/>
      <c r="GA506" s="634"/>
      <c r="GB506" s="634"/>
      <c r="GC506" s="634"/>
      <c r="GD506" s="634"/>
      <c r="GE506" s="634"/>
      <c r="GF506" s="634"/>
      <c r="GG506" s="634"/>
      <c r="GH506" s="634"/>
      <c r="GI506" s="634"/>
      <c r="GJ506" s="634"/>
      <c r="GK506" s="634"/>
      <c r="GL506" s="101"/>
      <c r="GM506" s="101"/>
      <c r="GN506" s="101"/>
      <c r="GO506" s="643"/>
      <c r="GP506" s="644"/>
      <c r="GQ506" s="643"/>
      <c r="GR506" s="644"/>
      <c r="GS506" s="643"/>
      <c r="GT506" s="644"/>
      <c r="GU506" s="644"/>
      <c r="GV506" s="644"/>
      <c r="GW506" s="644"/>
      <c r="GX506" s="644"/>
      <c r="GY506" s="644"/>
      <c r="GZ506" s="644"/>
      <c r="HA506" s="644"/>
    </row>
    <row r="507" spans="1:209">
      <c r="A507" s="638"/>
      <c r="B507" s="95"/>
      <c r="C507" s="95"/>
      <c r="D507" s="95"/>
      <c r="E507" s="650"/>
      <c r="F507" s="95"/>
      <c r="G507" s="98"/>
      <c r="H507" s="99"/>
      <c r="I507" s="95"/>
      <c r="J507" s="95"/>
      <c r="K507" s="95"/>
      <c r="L507" s="95"/>
      <c r="M507" s="95"/>
      <c r="N507" s="95"/>
      <c r="O507" s="95"/>
      <c r="P507" s="95"/>
      <c r="Q507" s="95"/>
      <c r="R507" s="98"/>
      <c r="S507" s="101"/>
      <c r="T507" s="644"/>
      <c r="U507" s="101"/>
      <c r="V507" s="647"/>
      <c r="W507" s="643"/>
      <c r="X507" s="644"/>
      <c r="Y507" s="101"/>
      <c r="Z507" s="644"/>
      <c r="AA507" s="101"/>
      <c r="AB507" s="644"/>
      <c r="AC507" s="101"/>
      <c r="AD507" s="646"/>
      <c r="AE507" s="271"/>
      <c r="AF507" s="646"/>
      <c r="AG507" s="646"/>
      <c r="AH507" s="646"/>
      <c r="AI507" s="646"/>
      <c r="AJ507" s="646"/>
      <c r="AK507" s="646"/>
      <c r="AL507" s="646"/>
      <c r="AM507" s="271"/>
      <c r="AN507" s="646"/>
      <c r="AO507" s="646"/>
      <c r="AP507" s="646"/>
      <c r="AQ507" s="271"/>
      <c r="AR507" s="646"/>
      <c r="AS507" s="270"/>
      <c r="AT507" s="646"/>
      <c r="AU507" s="646"/>
      <c r="AV507" s="646"/>
      <c r="AW507" s="270"/>
      <c r="AX507" s="646"/>
      <c r="AY507" s="270"/>
      <c r="AZ507" s="646"/>
      <c r="BA507" s="646"/>
      <c r="BB507" s="644"/>
      <c r="BC507" s="644"/>
      <c r="BD507" s="644"/>
      <c r="BE507" s="644"/>
      <c r="BF507" s="644"/>
      <c r="BG507" s="644"/>
      <c r="BH507" s="644"/>
      <c r="BI507" s="644"/>
      <c r="BJ507" s="644"/>
      <c r="BK507" s="644"/>
      <c r="BL507" s="644"/>
      <c r="BM507" s="95"/>
      <c r="BN507" s="644"/>
      <c r="BO507" s="95"/>
      <c r="BP507" s="644"/>
      <c r="BQ507" s="644"/>
      <c r="BR507" s="644"/>
      <c r="BS507" s="644"/>
      <c r="BT507" s="644"/>
      <c r="BU507" s="644"/>
      <c r="BV507" s="644"/>
      <c r="BW507" s="644"/>
      <c r="BX507" s="644"/>
      <c r="BY507" s="644"/>
      <c r="BZ507" s="644"/>
      <c r="CA507" s="644"/>
      <c r="CB507" s="644"/>
      <c r="CC507" s="644"/>
      <c r="CD507" s="644"/>
      <c r="CE507" s="644"/>
      <c r="CF507" s="644"/>
      <c r="CG507" s="644"/>
      <c r="CH507" s="644"/>
      <c r="CI507" s="644"/>
      <c r="CJ507" s="644"/>
      <c r="CK507" s="644"/>
      <c r="CL507" s="644"/>
      <c r="CM507" s="95"/>
      <c r="CN507" s="644"/>
      <c r="CO507" s="644"/>
      <c r="CP507" s="95"/>
      <c r="CQ507" s="98"/>
      <c r="CR507" s="95"/>
      <c r="CS507" s="95"/>
      <c r="CT507" s="95"/>
      <c r="CU507" s="108"/>
      <c r="CV507" s="109"/>
      <c r="CW507" s="644"/>
      <c r="CX507" s="496"/>
      <c r="CY507" s="637"/>
      <c r="CZ507" s="644"/>
      <c r="DA507" s="644"/>
      <c r="DB507" s="644"/>
      <c r="DC507" s="496"/>
      <c r="DD507" s="644"/>
      <c r="DE507" s="101"/>
      <c r="DF507" s="644"/>
      <c r="DG507" s="101"/>
      <c r="DH507" s="644"/>
      <c r="DI507" s="644"/>
      <c r="DJ507" s="644"/>
      <c r="DK507" s="644"/>
      <c r="DL507" s="644"/>
      <c r="DM507" s="101"/>
      <c r="DN507" s="644"/>
      <c r="DO507" s="644"/>
      <c r="DP507" s="644"/>
      <c r="DQ507" s="644"/>
      <c r="DR507" s="644"/>
      <c r="DS507" s="644"/>
      <c r="DT507" s="644"/>
      <c r="DU507" s="644"/>
      <c r="DV507" s="644"/>
      <c r="DW507" s="101"/>
      <c r="DX507" s="646"/>
      <c r="DY507" s="646"/>
      <c r="DZ507" s="646"/>
      <c r="EA507" s="646"/>
      <c r="EB507" s="646"/>
      <c r="EC507" s="646"/>
      <c r="ED507" s="646"/>
      <c r="EE507" s="646"/>
      <c r="EF507" s="646"/>
      <c r="EG507" s="646"/>
      <c r="EH507" s="646"/>
      <c r="EI507" s="646"/>
      <c r="EJ507" s="646"/>
      <c r="EK507" s="271"/>
      <c r="EL507" s="644"/>
      <c r="EM507" s="634"/>
      <c r="EN507" s="647"/>
      <c r="EO507" s="648"/>
      <c r="EP507" s="647"/>
      <c r="EQ507" s="647"/>
      <c r="ER507" s="647"/>
      <c r="ES507" s="139"/>
      <c r="EV507" s="647"/>
      <c r="EW507" s="647"/>
      <c r="EX507" s="647"/>
      <c r="EY507" s="647"/>
      <c r="EZ507" s="647"/>
      <c r="FA507" s="646"/>
      <c r="FB507" s="646"/>
      <c r="FC507" s="646"/>
      <c r="FD507" s="646"/>
      <c r="FE507" s="646"/>
      <c r="FF507" s="646"/>
      <c r="FG507" s="647"/>
      <c r="FH507" s="647"/>
      <c r="FI507" s="647"/>
      <c r="FJ507" s="647"/>
      <c r="FK507" s="647"/>
      <c r="FL507" s="647"/>
      <c r="FM507" s="647"/>
      <c r="FN507" s="647"/>
      <c r="FO507" s="647"/>
      <c r="FP507" s="647"/>
      <c r="FQ507" s="647"/>
      <c r="FR507" s="647"/>
      <c r="FS507" s="101"/>
      <c r="FT507" s="95"/>
      <c r="FU507" s="651"/>
      <c r="FV507" s="101"/>
      <c r="FW507" s="101"/>
      <c r="FX507" s="634"/>
      <c r="FY507" s="634"/>
      <c r="FZ507" s="634"/>
      <c r="GA507" s="634"/>
      <c r="GB507" s="634"/>
      <c r="GC507" s="634"/>
      <c r="GD507" s="634"/>
      <c r="GE507" s="634"/>
      <c r="GF507" s="634"/>
      <c r="GG507" s="634"/>
      <c r="GH507" s="634"/>
      <c r="GI507" s="634"/>
      <c r="GJ507" s="634"/>
      <c r="GK507" s="634"/>
      <c r="GL507" s="101"/>
      <c r="GM507" s="101"/>
      <c r="GN507" s="101"/>
      <c r="GO507" s="643"/>
      <c r="GP507" s="644"/>
      <c r="GQ507" s="643"/>
      <c r="GR507" s="644"/>
      <c r="GS507" s="643"/>
      <c r="GT507" s="644"/>
      <c r="GU507" s="644"/>
      <c r="GV507" s="644"/>
      <c r="GW507" s="644"/>
      <c r="GX507" s="644"/>
      <c r="GY507" s="644"/>
      <c r="GZ507" s="644"/>
      <c r="HA507" s="644"/>
    </row>
    <row r="508" spans="1:209">
      <c r="A508" s="638"/>
      <c r="B508" s="95"/>
      <c r="C508" s="95"/>
      <c r="D508" s="95"/>
      <c r="E508" s="650"/>
      <c r="F508" s="95"/>
      <c r="G508" s="98"/>
      <c r="H508" s="99"/>
      <c r="I508" s="95"/>
      <c r="J508" s="95"/>
      <c r="K508" s="95"/>
      <c r="L508" s="95"/>
      <c r="M508" s="95"/>
      <c r="N508" s="95"/>
      <c r="O508" s="95"/>
      <c r="P508" s="95"/>
      <c r="Q508" s="95"/>
      <c r="R508" s="98"/>
      <c r="S508" s="101"/>
      <c r="T508" s="644"/>
      <c r="U508" s="101"/>
      <c r="V508" s="647"/>
      <c r="W508" s="643"/>
      <c r="X508" s="644"/>
      <c r="Y508" s="101"/>
      <c r="Z508" s="644"/>
      <c r="AA508" s="101"/>
      <c r="AB508" s="644"/>
      <c r="AC508" s="101"/>
      <c r="AD508" s="646"/>
      <c r="AE508" s="271"/>
      <c r="AF508" s="646"/>
      <c r="AG508" s="646"/>
      <c r="AH508" s="646"/>
      <c r="AI508" s="646"/>
      <c r="AJ508" s="646"/>
      <c r="AK508" s="646"/>
      <c r="AL508" s="646"/>
      <c r="AM508" s="271"/>
      <c r="AN508" s="646"/>
      <c r="AO508" s="646"/>
      <c r="AP508" s="646"/>
      <c r="AQ508" s="271"/>
      <c r="AR508" s="646"/>
      <c r="AS508" s="270"/>
      <c r="AT508" s="646"/>
      <c r="AU508" s="646"/>
      <c r="AV508" s="646"/>
      <c r="AW508" s="270"/>
      <c r="AX508" s="646"/>
      <c r="AY508" s="270"/>
      <c r="AZ508" s="646"/>
      <c r="BA508" s="646"/>
      <c r="BB508" s="644"/>
      <c r="BC508" s="644"/>
      <c r="BD508" s="644"/>
      <c r="BE508" s="644"/>
      <c r="BF508" s="644"/>
      <c r="BG508" s="644"/>
      <c r="BH508" s="644"/>
      <c r="BI508" s="644"/>
      <c r="BJ508" s="644"/>
      <c r="BK508" s="644"/>
      <c r="BL508" s="644"/>
      <c r="BM508" s="95"/>
      <c r="BN508" s="644"/>
      <c r="BO508" s="95"/>
      <c r="BP508" s="644"/>
      <c r="BQ508" s="644"/>
      <c r="BR508" s="644"/>
      <c r="BS508" s="644"/>
      <c r="BT508" s="644"/>
      <c r="BU508" s="644"/>
      <c r="BV508" s="644"/>
      <c r="BW508" s="644"/>
      <c r="BX508" s="644"/>
      <c r="BY508" s="644"/>
      <c r="BZ508" s="644"/>
      <c r="CA508" s="644"/>
      <c r="CB508" s="644"/>
      <c r="CC508" s="644"/>
      <c r="CD508" s="644"/>
      <c r="CE508" s="644"/>
      <c r="CF508" s="644"/>
      <c r="CG508" s="644"/>
      <c r="CH508" s="644"/>
      <c r="CI508" s="644"/>
      <c r="CJ508" s="644"/>
      <c r="CK508" s="644"/>
      <c r="CL508" s="644"/>
      <c r="CM508" s="95"/>
      <c r="CN508" s="644"/>
      <c r="CO508" s="644"/>
      <c r="CP508" s="95"/>
      <c r="CQ508" s="98"/>
      <c r="CR508" s="95"/>
      <c r="CS508" s="95"/>
      <c r="CT508" s="95"/>
      <c r="CU508" s="108"/>
      <c r="CV508" s="109"/>
      <c r="CW508" s="644"/>
      <c r="CX508" s="496"/>
      <c r="CY508" s="637"/>
      <c r="CZ508" s="644"/>
      <c r="DA508" s="644"/>
      <c r="DB508" s="644"/>
      <c r="DC508" s="496"/>
      <c r="DD508" s="644"/>
      <c r="DE508" s="101"/>
      <c r="DF508" s="644"/>
      <c r="DG508" s="101"/>
      <c r="DH508" s="644"/>
      <c r="DI508" s="644"/>
      <c r="DJ508" s="644"/>
      <c r="DK508" s="644"/>
      <c r="DL508" s="644"/>
      <c r="DM508" s="101"/>
      <c r="DN508" s="644"/>
      <c r="DO508" s="644"/>
      <c r="DP508" s="644"/>
      <c r="DQ508" s="644"/>
      <c r="DR508" s="644"/>
      <c r="DS508" s="644"/>
      <c r="DT508" s="644"/>
      <c r="DU508" s="644"/>
      <c r="DV508" s="644"/>
      <c r="DW508" s="101"/>
      <c r="DX508" s="646"/>
      <c r="DY508" s="646"/>
      <c r="DZ508" s="646"/>
      <c r="EA508" s="646"/>
      <c r="EB508" s="646"/>
      <c r="EC508" s="646"/>
      <c r="ED508" s="646"/>
      <c r="EE508" s="646"/>
      <c r="EF508" s="646"/>
      <c r="EG508" s="646"/>
      <c r="EH508" s="646"/>
      <c r="EI508" s="646"/>
      <c r="EJ508" s="646"/>
      <c r="EK508" s="271"/>
      <c r="EL508" s="644"/>
      <c r="EM508" s="634"/>
      <c r="EN508" s="647"/>
      <c r="EO508" s="648"/>
      <c r="EP508" s="647"/>
      <c r="EQ508" s="647"/>
      <c r="ER508" s="647"/>
      <c r="ES508" s="139"/>
      <c r="EV508" s="647"/>
      <c r="EW508" s="647"/>
      <c r="EX508" s="647"/>
      <c r="EY508" s="647"/>
      <c r="EZ508" s="647"/>
      <c r="FA508" s="646"/>
      <c r="FB508" s="646"/>
      <c r="FC508" s="646"/>
      <c r="FD508" s="646"/>
      <c r="FE508" s="646"/>
      <c r="FF508" s="646"/>
      <c r="FG508" s="647"/>
      <c r="FH508" s="647"/>
      <c r="FI508" s="647"/>
      <c r="FJ508" s="647"/>
      <c r="FK508" s="647"/>
      <c r="FL508" s="647"/>
      <c r="FM508" s="647"/>
      <c r="FN508" s="647"/>
      <c r="FO508" s="647"/>
      <c r="FP508" s="647"/>
      <c r="FQ508" s="647"/>
      <c r="FR508" s="647"/>
      <c r="FS508" s="101"/>
      <c r="FT508" s="95"/>
      <c r="FU508" s="651"/>
      <c r="FV508" s="101"/>
      <c r="FW508" s="101"/>
      <c r="FX508" s="634"/>
      <c r="FY508" s="634"/>
      <c r="FZ508" s="634"/>
      <c r="GA508" s="634"/>
      <c r="GB508" s="634"/>
      <c r="GC508" s="634"/>
      <c r="GD508" s="634"/>
      <c r="GE508" s="634"/>
      <c r="GF508" s="634"/>
      <c r="GG508" s="634"/>
      <c r="GH508" s="634"/>
      <c r="GI508" s="634"/>
      <c r="GJ508" s="634"/>
      <c r="GK508" s="634"/>
      <c r="GL508" s="101"/>
      <c r="GM508" s="101"/>
      <c r="GN508" s="101"/>
      <c r="GO508" s="643"/>
      <c r="GP508" s="644"/>
      <c r="GQ508" s="643"/>
      <c r="GR508" s="644"/>
      <c r="GS508" s="643"/>
      <c r="GT508" s="644"/>
      <c r="GU508" s="644"/>
      <c r="GV508" s="644"/>
      <c r="GW508" s="644"/>
      <c r="GX508" s="644"/>
      <c r="GY508" s="644"/>
      <c r="GZ508" s="644"/>
      <c r="HA508" s="644"/>
    </row>
    <row r="509" spans="1:209">
      <c r="A509" s="638"/>
      <c r="B509" s="95"/>
      <c r="C509" s="95"/>
      <c r="D509" s="95"/>
      <c r="E509" s="650"/>
      <c r="F509" s="95"/>
      <c r="G509" s="98"/>
      <c r="H509" s="99"/>
      <c r="I509" s="95"/>
      <c r="J509" s="95"/>
      <c r="K509" s="95"/>
      <c r="L509" s="95"/>
      <c r="M509" s="95"/>
      <c r="N509" s="95"/>
      <c r="O509" s="95"/>
      <c r="P509" s="95"/>
      <c r="Q509" s="95"/>
      <c r="R509" s="98"/>
      <c r="S509" s="101"/>
      <c r="T509" s="644"/>
      <c r="U509" s="101"/>
      <c r="V509" s="647"/>
      <c r="W509" s="643"/>
      <c r="X509" s="644"/>
      <c r="Y509" s="101"/>
      <c r="Z509" s="644"/>
      <c r="AA509" s="101"/>
      <c r="AB509" s="644"/>
      <c r="AC509" s="101"/>
      <c r="AD509" s="646"/>
      <c r="AE509" s="271"/>
      <c r="AF509" s="646"/>
      <c r="AG509" s="646"/>
      <c r="AH509" s="646"/>
      <c r="AI509" s="646"/>
      <c r="AJ509" s="646"/>
      <c r="AK509" s="646"/>
      <c r="AL509" s="646"/>
      <c r="AM509" s="271"/>
      <c r="AN509" s="646"/>
      <c r="AO509" s="646"/>
      <c r="AP509" s="646"/>
      <c r="AQ509" s="271"/>
      <c r="AR509" s="646"/>
      <c r="AS509" s="270"/>
      <c r="AT509" s="646"/>
      <c r="AU509" s="646"/>
      <c r="AV509" s="646"/>
      <c r="AW509" s="270"/>
      <c r="AX509" s="646"/>
      <c r="AY509" s="270"/>
      <c r="AZ509" s="646"/>
      <c r="BA509" s="646"/>
      <c r="BB509" s="644"/>
      <c r="BC509" s="644"/>
      <c r="BD509" s="644"/>
      <c r="BE509" s="644"/>
      <c r="BF509" s="644"/>
      <c r="BG509" s="644"/>
      <c r="BH509" s="644"/>
      <c r="BI509" s="644"/>
      <c r="BJ509" s="644"/>
      <c r="BK509" s="644"/>
      <c r="BL509" s="644"/>
      <c r="BM509" s="95"/>
      <c r="BN509" s="644"/>
      <c r="BO509" s="95"/>
      <c r="BP509" s="644"/>
      <c r="BQ509" s="644"/>
      <c r="BR509" s="644"/>
      <c r="BS509" s="644"/>
      <c r="BT509" s="644"/>
      <c r="BU509" s="644"/>
      <c r="BV509" s="644"/>
      <c r="BW509" s="644"/>
      <c r="BX509" s="644"/>
      <c r="BY509" s="644"/>
      <c r="BZ509" s="644"/>
      <c r="CA509" s="644"/>
      <c r="CB509" s="644"/>
      <c r="CC509" s="644"/>
      <c r="CD509" s="644"/>
      <c r="CE509" s="644"/>
      <c r="CF509" s="644"/>
      <c r="CG509" s="644"/>
      <c r="CH509" s="644"/>
      <c r="CI509" s="644"/>
      <c r="CJ509" s="644"/>
      <c r="CK509" s="644"/>
      <c r="CL509" s="644"/>
      <c r="CM509" s="95"/>
      <c r="CN509" s="644"/>
      <c r="CO509" s="644"/>
      <c r="CP509" s="95"/>
      <c r="CQ509" s="98"/>
      <c r="CR509" s="95"/>
      <c r="CS509" s="95"/>
      <c r="CT509" s="95"/>
      <c r="CU509" s="108"/>
      <c r="CV509" s="109"/>
      <c r="CW509" s="644"/>
      <c r="CX509" s="496"/>
      <c r="CY509" s="637"/>
      <c r="CZ509" s="644"/>
      <c r="DA509" s="644"/>
      <c r="DB509" s="644"/>
      <c r="DC509" s="496"/>
      <c r="DD509" s="644"/>
      <c r="DE509" s="101"/>
      <c r="DF509" s="644"/>
      <c r="DG509" s="101"/>
      <c r="DH509" s="644"/>
      <c r="DI509" s="644"/>
      <c r="DJ509" s="644"/>
      <c r="DK509" s="644"/>
      <c r="DL509" s="644"/>
      <c r="DM509" s="101"/>
      <c r="DN509" s="644"/>
      <c r="DO509" s="644"/>
      <c r="DP509" s="644"/>
      <c r="DQ509" s="644"/>
      <c r="DR509" s="644"/>
      <c r="DS509" s="644"/>
      <c r="DT509" s="644"/>
      <c r="DU509" s="644"/>
      <c r="DV509" s="644"/>
      <c r="DW509" s="101"/>
      <c r="DX509" s="646"/>
      <c r="DY509" s="646"/>
      <c r="DZ509" s="646"/>
      <c r="EA509" s="646"/>
      <c r="EB509" s="646"/>
      <c r="EC509" s="646"/>
      <c r="ED509" s="646"/>
      <c r="EE509" s="646"/>
      <c r="EF509" s="646"/>
      <c r="EG509" s="646"/>
      <c r="EH509" s="646"/>
      <c r="EI509" s="646"/>
      <c r="EJ509" s="646"/>
      <c r="EK509" s="271"/>
      <c r="EL509" s="644"/>
      <c r="EM509" s="634"/>
      <c r="EN509" s="647"/>
      <c r="EO509" s="648"/>
      <c r="EP509" s="647"/>
      <c r="EQ509" s="647"/>
      <c r="ER509" s="647"/>
      <c r="ES509" s="139"/>
      <c r="EV509" s="647"/>
      <c r="EW509" s="647"/>
      <c r="EX509" s="647"/>
      <c r="EY509" s="647"/>
      <c r="EZ509" s="647"/>
      <c r="FA509" s="646"/>
      <c r="FB509" s="646"/>
      <c r="FC509" s="646"/>
      <c r="FD509" s="646"/>
      <c r="FE509" s="646"/>
      <c r="FF509" s="646"/>
      <c r="FG509" s="647"/>
      <c r="FH509" s="647"/>
      <c r="FI509" s="647"/>
      <c r="FJ509" s="647"/>
      <c r="FK509" s="647"/>
      <c r="FL509" s="647"/>
      <c r="FM509" s="647"/>
      <c r="FN509" s="647"/>
      <c r="FO509" s="647"/>
      <c r="FP509" s="647"/>
      <c r="FQ509" s="647"/>
      <c r="FR509" s="647"/>
      <c r="FS509" s="101"/>
      <c r="FT509" s="95"/>
      <c r="FU509" s="651"/>
      <c r="FV509" s="101"/>
      <c r="FW509" s="101"/>
      <c r="FX509" s="634"/>
      <c r="FY509" s="634"/>
      <c r="FZ509" s="634"/>
      <c r="GA509" s="634"/>
      <c r="GB509" s="634"/>
      <c r="GC509" s="634"/>
      <c r="GD509" s="634"/>
      <c r="GE509" s="634"/>
      <c r="GF509" s="634"/>
      <c r="GG509" s="634"/>
      <c r="GH509" s="634"/>
      <c r="GI509" s="634"/>
      <c r="GJ509" s="634"/>
      <c r="GK509" s="634"/>
      <c r="GL509" s="101"/>
      <c r="GM509" s="101"/>
      <c r="GN509" s="101"/>
      <c r="GO509" s="643"/>
      <c r="GP509" s="644"/>
      <c r="GQ509" s="643"/>
      <c r="GR509" s="644"/>
      <c r="GS509" s="643"/>
      <c r="GT509" s="644"/>
      <c r="GU509" s="644"/>
      <c r="GV509" s="644"/>
      <c r="GW509" s="644"/>
      <c r="GX509" s="644"/>
      <c r="GY509" s="644"/>
      <c r="GZ509" s="644"/>
      <c r="HA509" s="644"/>
    </row>
    <row r="510" spans="1:209">
      <c r="A510" s="638"/>
      <c r="B510" s="95"/>
      <c r="C510" s="95"/>
      <c r="D510" s="95"/>
      <c r="E510" s="650"/>
      <c r="F510" s="95"/>
      <c r="G510" s="98"/>
      <c r="H510" s="99"/>
      <c r="I510" s="95"/>
      <c r="J510" s="95"/>
      <c r="K510" s="95"/>
      <c r="L510" s="95"/>
      <c r="M510" s="95"/>
      <c r="N510" s="95"/>
      <c r="O510" s="95"/>
      <c r="P510" s="95"/>
      <c r="Q510" s="95"/>
      <c r="R510" s="98"/>
      <c r="S510" s="101"/>
      <c r="T510" s="644"/>
      <c r="U510" s="101"/>
      <c r="V510" s="647"/>
      <c r="W510" s="643"/>
      <c r="X510" s="644"/>
      <c r="Y510" s="101"/>
      <c r="Z510" s="644"/>
      <c r="AA510" s="101"/>
      <c r="AB510" s="644"/>
      <c r="AC510" s="101"/>
      <c r="AD510" s="646"/>
      <c r="AE510" s="271"/>
      <c r="AF510" s="646"/>
      <c r="AG510" s="646"/>
      <c r="AH510" s="646"/>
      <c r="AI510" s="646"/>
      <c r="AJ510" s="646"/>
      <c r="AK510" s="646"/>
      <c r="AL510" s="646"/>
      <c r="AM510" s="271"/>
      <c r="AN510" s="646"/>
      <c r="AO510" s="646"/>
      <c r="AP510" s="646"/>
      <c r="AQ510" s="271"/>
      <c r="AR510" s="646"/>
      <c r="AS510" s="270"/>
      <c r="AT510" s="646"/>
      <c r="AU510" s="646"/>
      <c r="AV510" s="646"/>
      <c r="AW510" s="270"/>
      <c r="AX510" s="646"/>
      <c r="AY510" s="270"/>
      <c r="AZ510" s="646"/>
      <c r="BA510" s="646"/>
      <c r="BB510" s="644"/>
      <c r="BC510" s="644"/>
      <c r="BD510" s="644"/>
      <c r="BE510" s="644"/>
      <c r="BF510" s="644"/>
      <c r="BG510" s="644"/>
      <c r="BH510" s="644"/>
      <c r="BI510" s="644"/>
      <c r="BJ510" s="644"/>
      <c r="BK510" s="644"/>
      <c r="BL510" s="644"/>
      <c r="BM510" s="95"/>
      <c r="BN510" s="644"/>
      <c r="BO510" s="95"/>
      <c r="BP510" s="644"/>
      <c r="BQ510" s="644"/>
      <c r="BR510" s="644"/>
      <c r="BS510" s="644"/>
      <c r="BT510" s="644"/>
      <c r="BU510" s="644"/>
      <c r="BV510" s="644"/>
      <c r="BW510" s="644"/>
      <c r="BX510" s="644"/>
      <c r="BY510" s="644"/>
      <c r="BZ510" s="644"/>
      <c r="CA510" s="644"/>
      <c r="CB510" s="644"/>
      <c r="CC510" s="644"/>
      <c r="CD510" s="644"/>
      <c r="CE510" s="644"/>
      <c r="CF510" s="644"/>
      <c r="CG510" s="644"/>
      <c r="CH510" s="644"/>
      <c r="CI510" s="644"/>
      <c r="CJ510" s="644"/>
      <c r="CK510" s="644"/>
      <c r="CL510" s="644"/>
      <c r="CM510" s="95"/>
      <c r="CN510" s="644"/>
      <c r="CO510" s="644"/>
      <c r="CP510" s="95"/>
      <c r="CQ510" s="98"/>
      <c r="CR510" s="95"/>
      <c r="CS510" s="95"/>
      <c r="CT510" s="95"/>
      <c r="CU510" s="108"/>
      <c r="CV510" s="109"/>
      <c r="CW510" s="644"/>
      <c r="CX510" s="496"/>
      <c r="CY510" s="637"/>
      <c r="CZ510" s="644"/>
      <c r="DA510" s="644"/>
      <c r="DB510" s="644"/>
      <c r="DC510" s="496"/>
      <c r="DD510" s="644"/>
      <c r="DE510" s="101"/>
      <c r="DF510" s="644"/>
      <c r="DG510" s="101"/>
      <c r="DH510" s="644"/>
      <c r="DI510" s="644"/>
      <c r="DJ510" s="644"/>
      <c r="DK510" s="644"/>
      <c r="DL510" s="644"/>
      <c r="DM510" s="101"/>
      <c r="DN510" s="644"/>
      <c r="DO510" s="644"/>
      <c r="DP510" s="644"/>
      <c r="DQ510" s="644"/>
      <c r="DR510" s="644"/>
      <c r="DS510" s="644"/>
      <c r="DT510" s="644"/>
      <c r="DU510" s="644"/>
      <c r="DV510" s="644"/>
      <c r="DW510" s="101"/>
      <c r="DX510" s="646"/>
      <c r="DY510" s="646"/>
      <c r="DZ510" s="646"/>
      <c r="EA510" s="646"/>
      <c r="EB510" s="646"/>
      <c r="EC510" s="646"/>
      <c r="ED510" s="646"/>
      <c r="EE510" s="646"/>
      <c r="EF510" s="646"/>
      <c r="EG510" s="646"/>
      <c r="EH510" s="646"/>
      <c r="EI510" s="646"/>
      <c r="EJ510" s="646"/>
      <c r="EK510" s="271"/>
      <c r="EL510" s="644"/>
      <c r="EM510" s="634"/>
      <c r="EN510" s="647"/>
      <c r="EO510" s="648"/>
      <c r="EP510" s="647"/>
      <c r="EQ510" s="647"/>
      <c r="ER510" s="647"/>
      <c r="ES510" s="139"/>
      <c r="EV510" s="647"/>
      <c r="EW510" s="647"/>
      <c r="EX510" s="647"/>
      <c r="EY510" s="647"/>
      <c r="EZ510" s="647"/>
      <c r="FA510" s="646"/>
      <c r="FB510" s="646"/>
      <c r="FC510" s="646"/>
      <c r="FD510" s="646"/>
      <c r="FE510" s="646"/>
      <c r="FF510" s="646"/>
      <c r="FG510" s="647"/>
      <c r="FH510" s="647"/>
      <c r="FI510" s="647"/>
      <c r="FJ510" s="647"/>
      <c r="FK510" s="647"/>
      <c r="FL510" s="647"/>
      <c r="FM510" s="647"/>
      <c r="FN510" s="647"/>
      <c r="FO510" s="647"/>
      <c r="FP510" s="647"/>
      <c r="FQ510" s="647"/>
      <c r="FR510" s="647"/>
      <c r="FS510" s="101"/>
      <c r="FT510" s="95"/>
      <c r="FU510" s="651"/>
      <c r="FV510" s="101"/>
      <c r="FW510" s="101"/>
      <c r="FX510" s="634"/>
      <c r="FY510" s="634"/>
      <c r="FZ510" s="634"/>
      <c r="GA510" s="634"/>
      <c r="GB510" s="634"/>
      <c r="GC510" s="634"/>
      <c r="GD510" s="634"/>
      <c r="GE510" s="634"/>
      <c r="GF510" s="634"/>
      <c r="GG510" s="634"/>
      <c r="GH510" s="634"/>
      <c r="GI510" s="634"/>
      <c r="GJ510" s="634"/>
      <c r="GK510" s="634"/>
      <c r="GL510" s="101"/>
      <c r="GM510" s="101"/>
      <c r="GN510" s="101"/>
      <c r="GO510" s="643"/>
      <c r="GP510" s="644"/>
      <c r="GQ510" s="643"/>
      <c r="GR510" s="644"/>
      <c r="GS510" s="643"/>
      <c r="GT510" s="644"/>
      <c r="GU510" s="644"/>
      <c r="GV510" s="644"/>
      <c r="GW510" s="644"/>
      <c r="GX510" s="644"/>
      <c r="GY510" s="644"/>
      <c r="GZ510" s="644"/>
      <c r="HA510" s="644"/>
    </row>
    <row r="511" spans="1:209">
      <c r="A511" s="638"/>
      <c r="B511" s="95"/>
      <c r="C511" s="95"/>
      <c r="D511" s="95"/>
      <c r="E511" s="650"/>
      <c r="F511" s="95"/>
      <c r="G511" s="98"/>
      <c r="H511" s="99"/>
      <c r="I511" s="95"/>
      <c r="J511" s="95"/>
      <c r="K511" s="95"/>
      <c r="L511" s="95"/>
      <c r="M511" s="95"/>
      <c r="N511" s="95"/>
      <c r="O511" s="95"/>
      <c r="P511" s="95"/>
      <c r="Q511" s="95"/>
      <c r="R511" s="98"/>
      <c r="S511" s="101"/>
      <c r="T511" s="644"/>
      <c r="U511" s="101"/>
      <c r="V511" s="647"/>
      <c r="W511" s="643"/>
      <c r="X511" s="644"/>
      <c r="Y511" s="101"/>
      <c r="Z511" s="644"/>
      <c r="AA511" s="101"/>
      <c r="AB511" s="644"/>
      <c r="AC511" s="101"/>
      <c r="AD511" s="646"/>
      <c r="AE511" s="271"/>
      <c r="AF511" s="646"/>
      <c r="AG511" s="646"/>
      <c r="AH511" s="646"/>
      <c r="AI511" s="646"/>
      <c r="AJ511" s="646"/>
      <c r="AK511" s="646"/>
      <c r="AL511" s="646"/>
      <c r="AM511" s="271"/>
      <c r="AN511" s="646"/>
      <c r="AO511" s="646"/>
      <c r="AP511" s="646"/>
      <c r="AQ511" s="271"/>
      <c r="AR511" s="646"/>
      <c r="AS511" s="270"/>
      <c r="AT511" s="646"/>
      <c r="AU511" s="646"/>
      <c r="AV511" s="646"/>
      <c r="AW511" s="270"/>
      <c r="AX511" s="646"/>
      <c r="AY511" s="270"/>
      <c r="AZ511" s="646"/>
      <c r="BA511" s="646"/>
      <c r="BB511" s="644"/>
      <c r="BC511" s="644"/>
      <c r="BD511" s="644"/>
      <c r="BE511" s="644"/>
      <c r="BF511" s="644"/>
      <c r="BG511" s="644"/>
      <c r="BH511" s="644"/>
      <c r="BI511" s="644"/>
      <c r="BJ511" s="644"/>
      <c r="BK511" s="644"/>
      <c r="BL511" s="644"/>
      <c r="BM511" s="95"/>
      <c r="BN511" s="644"/>
      <c r="BO511" s="95"/>
      <c r="BP511" s="644"/>
      <c r="BQ511" s="644"/>
      <c r="BR511" s="644"/>
      <c r="BS511" s="644"/>
      <c r="BT511" s="644"/>
      <c r="BU511" s="644"/>
      <c r="BV511" s="644"/>
      <c r="BW511" s="644"/>
      <c r="BX511" s="644"/>
      <c r="BY511" s="644"/>
      <c r="BZ511" s="644"/>
      <c r="CA511" s="644"/>
      <c r="CB511" s="644"/>
      <c r="CC511" s="644"/>
      <c r="CD511" s="644"/>
      <c r="CE511" s="644"/>
      <c r="CF511" s="644"/>
      <c r="CG511" s="644"/>
      <c r="CH511" s="644"/>
      <c r="CI511" s="644"/>
      <c r="CJ511" s="644"/>
      <c r="CK511" s="644"/>
      <c r="CL511" s="644"/>
      <c r="CM511" s="95"/>
      <c r="CN511" s="644"/>
      <c r="CO511" s="644"/>
      <c r="CP511" s="95"/>
      <c r="CQ511" s="98"/>
      <c r="CR511" s="95"/>
      <c r="CS511" s="95"/>
      <c r="CT511" s="95"/>
      <c r="CU511" s="108"/>
      <c r="CV511" s="109"/>
      <c r="CW511" s="644"/>
      <c r="CX511" s="496"/>
      <c r="CY511" s="637"/>
      <c r="CZ511" s="644"/>
      <c r="DA511" s="644"/>
      <c r="DB511" s="644"/>
      <c r="DC511" s="496"/>
      <c r="DD511" s="644"/>
      <c r="DE511" s="101"/>
      <c r="DF511" s="644"/>
      <c r="DG511" s="101"/>
      <c r="DH511" s="644"/>
      <c r="DI511" s="644"/>
      <c r="DJ511" s="644"/>
      <c r="DK511" s="644"/>
      <c r="DL511" s="644"/>
      <c r="DM511" s="101"/>
      <c r="DN511" s="644"/>
      <c r="DO511" s="644"/>
      <c r="DP511" s="644"/>
      <c r="DQ511" s="644"/>
      <c r="DR511" s="644"/>
      <c r="DS511" s="644"/>
      <c r="DT511" s="644"/>
      <c r="DU511" s="644"/>
      <c r="DV511" s="644"/>
      <c r="DW511" s="101"/>
      <c r="DX511" s="646"/>
      <c r="DY511" s="646"/>
      <c r="DZ511" s="646"/>
      <c r="EA511" s="646"/>
      <c r="EB511" s="646"/>
      <c r="EC511" s="646"/>
      <c r="ED511" s="646"/>
      <c r="EE511" s="646"/>
      <c r="EF511" s="646"/>
      <c r="EG511" s="646"/>
      <c r="EH511" s="646"/>
      <c r="EI511" s="646"/>
      <c r="EJ511" s="646"/>
      <c r="EK511" s="271"/>
      <c r="EL511" s="644"/>
      <c r="EM511" s="634"/>
      <c r="EN511" s="647"/>
      <c r="EO511" s="648"/>
      <c r="EP511" s="647"/>
      <c r="EQ511" s="647"/>
      <c r="ER511" s="647"/>
      <c r="ES511" s="139"/>
      <c r="EV511" s="647"/>
      <c r="EW511" s="647"/>
      <c r="EX511" s="647"/>
      <c r="EY511" s="647"/>
      <c r="EZ511" s="647"/>
      <c r="FA511" s="646"/>
      <c r="FB511" s="646"/>
      <c r="FC511" s="646"/>
      <c r="FD511" s="646"/>
      <c r="FE511" s="646"/>
      <c r="FF511" s="646"/>
      <c r="FG511" s="647"/>
      <c r="FH511" s="647"/>
      <c r="FI511" s="647"/>
      <c r="FJ511" s="647"/>
      <c r="FK511" s="647"/>
      <c r="FL511" s="647"/>
      <c r="FM511" s="647"/>
      <c r="FN511" s="647"/>
      <c r="FO511" s="647"/>
      <c r="FP511" s="647"/>
      <c r="FQ511" s="647"/>
      <c r="FR511" s="647"/>
      <c r="FS511" s="101"/>
      <c r="FT511" s="95"/>
      <c r="FU511" s="651"/>
      <c r="FV511" s="101"/>
      <c r="FW511" s="101"/>
      <c r="FX511" s="634"/>
      <c r="FY511" s="634"/>
      <c r="FZ511" s="634"/>
      <c r="GA511" s="634"/>
      <c r="GB511" s="634"/>
      <c r="GC511" s="634"/>
      <c r="GD511" s="634"/>
      <c r="GE511" s="634"/>
      <c r="GF511" s="634"/>
      <c r="GG511" s="634"/>
      <c r="GH511" s="634"/>
      <c r="GI511" s="634"/>
      <c r="GJ511" s="634"/>
      <c r="GK511" s="634"/>
      <c r="GL511" s="101"/>
      <c r="GM511" s="101"/>
      <c r="GN511" s="101"/>
      <c r="GO511" s="643"/>
      <c r="GP511" s="644"/>
      <c r="GQ511" s="643"/>
      <c r="GR511" s="644"/>
      <c r="GS511" s="643"/>
      <c r="GT511" s="644"/>
      <c r="GU511" s="644"/>
      <c r="GV511" s="644"/>
      <c r="GW511" s="644"/>
      <c r="GX511" s="644"/>
      <c r="GY511" s="644"/>
      <c r="GZ511" s="644"/>
      <c r="HA511" s="644"/>
    </row>
    <row r="512" spans="1:209">
      <c r="A512" s="638"/>
      <c r="B512" s="95"/>
      <c r="C512" s="95"/>
      <c r="D512" s="95"/>
      <c r="E512" s="650"/>
      <c r="F512" s="95"/>
      <c r="G512" s="98"/>
      <c r="H512" s="99"/>
      <c r="I512" s="95"/>
      <c r="J512" s="95"/>
      <c r="K512" s="95"/>
      <c r="L512" s="95"/>
      <c r="M512" s="95"/>
      <c r="N512" s="95"/>
      <c r="O512" s="95"/>
      <c r="P512" s="95"/>
      <c r="Q512" s="95"/>
      <c r="R512" s="98"/>
      <c r="S512" s="101"/>
      <c r="T512" s="644"/>
      <c r="U512" s="101"/>
      <c r="V512" s="647"/>
      <c r="W512" s="643"/>
      <c r="X512" s="644"/>
      <c r="Y512" s="101"/>
      <c r="Z512" s="644"/>
      <c r="AA512" s="101"/>
      <c r="AB512" s="644"/>
      <c r="AC512" s="101"/>
      <c r="AD512" s="646"/>
      <c r="AE512" s="271"/>
      <c r="AF512" s="646"/>
      <c r="AG512" s="646"/>
      <c r="AH512" s="646"/>
      <c r="AI512" s="646"/>
      <c r="AJ512" s="646"/>
      <c r="AK512" s="646"/>
      <c r="AL512" s="646"/>
      <c r="AM512" s="271"/>
      <c r="AN512" s="646"/>
      <c r="AO512" s="646"/>
      <c r="AP512" s="646"/>
      <c r="AQ512" s="271"/>
      <c r="AR512" s="646"/>
      <c r="AS512" s="270"/>
      <c r="AT512" s="646"/>
      <c r="AU512" s="646"/>
      <c r="AV512" s="646"/>
      <c r="AW512" s="270"/>
      <c r="AX512" s="646"/>
      <c r="AY512" s="270"/>
      <c r="AZ512" s="646"/>
      <c r="BA512" s="646"/>
      <c r="BB512" s="644"/>
      <c r="BC512" s="644"/>
      <c r="BD512" s="644"/>
      <c r="BE512" s="644"/>
      <c r="BF512" s="644"/>
      <c r="BG512" s="644"/>
      <c r="BH512" s="644"/>
      <c r="BI512" s="644"/>
      <c r="BJ512" s="644"/>
      <c r="BK512" s="644"/>
      <c r="BL512" s="644"/>
      <c r="BM512" s="95"/>
      <c r="BN512" s="644"/>
      <c r="BO512" s="95"/>
      <c r="BP512" s="644"/>
      <c r="BQ512" s="644"/>
      <c r="BR512" s="644"/>
      <c r="BS512" s="644"/>
      <c r="BT512" s="644"/>
      <c r="BU512" s="644"/>
      <c r="BV512" s="644"/>
      <c r="BW512" s="644"/>
      <c r="BX512" s="644"/>
      <c r="BY512" s="644"/>
      <c r="BZ512" s="644"/>
      <c r="CA512" s="644"/>
      <c r="CB512" s="644"/>
      <c r="CC512" s="644"/>
      <c r="CD512" s="644"/>
      <c r="CE512" s="644"/>
      <c r="CF512" s="644"/>
      <c r="CG512" s="644"/>
      <c r="CH512" s="644"/>
      <c r="CI512" s="644"/>
      <c r="CJ512" s="644"/>
      <c r="CK512" s="644"/>
      <c r="CL512" s="644"/>
      <c r="CM512" s="95"/>
      <c r="CN512" s="644"/>
      <c r="CO512" s="644"/>
      <c r="CP512" s="95"/>
      <c r="CQ512" s="98"/>
      <c r="CR512" s="95"/>
      <c r="CS512" s="95"/>
      <c r="CT512" s="95"/>
      <c r="CU512" s="108"/>
      <c r="CV512" s="109"/>
      <c r="CW512" s="644"/>
      <c r="CX512" s="496"/>
      <c r="CY512" s="637"/>
      <c r="CZ512" s="644"/>
      <c r="DA512" s="644"/>
      <c r="DB512" s="644"/>
      <c r="DC512" s="496"/>
      <c r="DD512" s="644"/>
      <c r="DE512" s="101"/>
      <c r="DF512" s="644"/>
      <c r="DG512" s="101"/>
      <c r="DH512" s="644"/>
      <c r="DI512" s="644"/>
      <c r="DJ512" s="644"/>
      <c r="DK512" s="644"/>
      <c r="DL512" s="644"/>
      <c r="DM512" s="101"/>
      <c r="DN512" s="644"/>
      <c r="DO512" s="644"/>
      <c r="DP512" s="644"/>
      <c r="DQ512" s="644"/>
      <c r="DR512" s="644"/>
      <c r="DS512" s="644"/>
      <c r="DT512" s="644"/>
      <c r="DU512" s="644"/>
      <c r="DV512" s="644"/>
      <c r="DW512" s="101"/>
      <c r="DX512" s="646"/>
      <c r="DY512" s="646"/>
      <c r="DZ512" s="646"/>
      <c r="EA512" s="646"/>
      <c r="EB512" s="646"/>
      <c r="EC512" s="646"/>
      <c r="ED512" s="646"/>
      <c r="EE512" s="646"/>
      <c r="EF512" s="646"/>
      <c r="EG512" s="646"/>
      <c r="EH512" s="646"/>
      <c r="EI512" s="646"/>
      <c r="EJ512" s="646"/>
      <c r="EK512" s="271"/>
      <c r="EL512" s="644"/>
      <c r="EM512" s="634"/>
      <c r="EN512" s="647"/>
      <c r="EO512" s="648"/>
      <c r="EP512" s="647"/>
      <c r="EQ512" s="647"/>
      <c r="ER512" s="647"/>
      <c r="ES512" s="139"/>
      <c r="EV512" s="647"/>
      <c r="EW512" s="647"/>
      <c r="EX512" s="647"/>
      <c r="EY512" s="647"/>
      <c r="EZ512" s="647"/>
      <c r="FA512" s="646"/>
      <c r="FB512" s="646"/>
      <c r="FC512" s="646"/>
      <c r="FD512" s="646"/>
      <c r="FE512" s="646"/>
      <c r="FF512" s="646"/>
      <c r="FG512" s="647"/>
      <c r="FH512" s="647"/>
      <c r="FI512" s="647"/>
      <c r="FJ512" s="647"/>
      <c r="FK512" s="647"/>
      <c r="FL512" s="647"/>
      <c r="FM512" s="647"/>
      <c r="FN512" s="647"/>
      <c r="FO512" s="647"/>
      <c r="FP512" s="647"/>
      <c r="FQ512" s="647"/>
      <c r="FR512" s="647"/>
      <c r="FS512" s="101"/>
      <c r="FT512" s="95"/>
      <c r="FU512" s="651"/>
      <c r="FV512" s="101"/>
      <c r="FW512" s="101"/>
      <c r="FX512" s="634"/>
      <c r="FY512" s="634"/>
      <c r="FZ512" s="634"/>
      <c r="GA512" s="634"/>
      <c r="GB512" s="634"/>
      <c r="GC512" s="634"/>
      <c r="GD512" s="634"/>
      <c r="GE512" s="634"/>
      <c r="GF512" s="634"/>
      <c r="GG512" s="634"/>
      <c r="GH512" s="634"/>
      <c r="GI512" s="634"/>
      <c r="GJ512" s="634"/>
      <c r="GK512" s="634"/>
      <c r="GL512" s="101"/>
      <c r="GM512" s="101"/>
      <c r="GN512" s="101"/>
      <c r="GO512" s="643"/>
      <c r="GP512" s="644"/>
      <c r="GQ512" s="643"/>
      <c r="GR512" s="644"/>
      <c r="GS512" s="643"/>
      <c r="GT512" s="644"/>
      <c r="GU512" s="644"/>
      <c r="GV512" s="644"/>
      <c r="GW512" s="644"/>
      <c r="GX512" s="644"/>
      <c r="GY512" s="644"/>
      <c r="GZ512" s="644"/>
      <c r="HA512" s="644"/>
    </row>
    <row r="513" spans="1:209">
      <c r="A513" s="638"/>
      <c r="B513" s="95"/>
      <c r="C513" s="95"/>
      <c r="D513" s="95"/>
      <c r="E513" s="650"/>
      <c r="F513" s="95"/>
      <c r="G513" s="98"/>
      <c r="H513" s="99"/>
      <c r="I513" s="95"/>
      <c r="J513" s="95"/>
      <c r="K513" s="95"/>
      <c r="L513" s="95"/>
      <c r="M513" s="95"/>
      <c r="N513" s="95"/>
      <c r="O513" s="95"/>
      <c r="P513" s="95"/>
      <c r="Q513" s="95"/>
      <c r="R513" s="98"/>
      <c r="S513" s="101"/>
      <c r="T513" s="644"/>
      <c r="U513" s="101"/>
      <c r="V513" s="647"/>
      <c r="W513" s="643"/>
      <c r="X513" s="644"/>
      <c r="Y513" s="101"/>
      <c r="Z513" s="644"/>
      <c r="AA513" s="101"/>
      <c r="AB513" s="644"/>
      <c r="AC513" s="101"/>
      <c r="AD513" s="646"/>
      <c r="AE513" s="271"/>
      <c r="AF513" s="646"/>
      <c r="AG513" s="646"/>
      <c r="AH513" s="646"/>
      <c r="AI513" s="646"/>
      <c r="AJ513" s="646"/>
      <c r="AK513" s="646"/>
      <c r="AL513" s="646"/>
      <c r="AM513" s="271"/>
      <c r="AN513" s="646"/>
      <c r="AO513" s="646"/>
      <c r="AP513" s="646"/>
      <c r="AQ513" s="271"/>
      <c r="AR513" s="646"/>
      <c r="AS513" s="270"/>
      <c r="AT513" s="646"/>
      <c r="AU513" s="646"/>
      <c r="AV513" s="646"/>
      <c r="AW513" s="270"/>
      <c r="AX513" s="646"/>
      <c r="AY513" s="270"/>
      <c r="AZ513" s="646"/>
      <c r="BA513" s="646"/>
      <c r="BB513" s="644"/>
      <c r="BC513" s="644"/>
      <c r="BD513" s="644"/>
      <c r="BE513" s="644"/>
      <c r="BF513" s="644"/>
      <c r="BG513" s="644"/>
      <c r="BH513" s="644"/>
      <c r="BI513" s="644"/>
      <c r="BJ513" s="644"/>
      <c r="BK513" s="644"/>
      <c r="BL513" s="644"/>
      <c r="BM513" s="95"/>
      <c r="BN513" s="644"/>
      <c r="BO513" s="95"/>
      <c r="BP513" s="644"/>
      <c r="BQ513" s="644"/>
      <c r="BR513" s="644"/>
      <c r="BS513" s="644"/>
      <c r="BT513" s="644"/>
      <c r="BU513" s="644"/>
      <c r="BV513" s="644"/>
      <c r="BW513" s="644"/>
      <c r="BX513" s="644"/>
      <c r="BY513" s="644"/>
      <c r="BZ513" s="644"/>
      <c r="CA513" s="644"/>
      <c r="CB513" s="644"/>
      <c r="CC513" s="644"/>
      <c r="CD513" s="644"/>
      <c r="CE513" s="644"/>
      <c r="CF513" s="644"/>
      <c r="CG513" s="644"/>
      <c r="CH513" s="644"/>
      <c r="CI513" s="644"/>
      <c r="CJ513" s="644"/>
      <c r="CK513" s="644"/>
      <c r="CL513" s="644"/>
      <c r="CM513" s="95"/>
      <c r="CN513" s="644"/>
      <c r="CO513" s="644"/>
      <c r="CP513" s="95"/>
      <c r="CQ513" s="98"/>
      <c r="CR513" s="95"/>
      <c r="CS513" s="95"/>
      <c r="CT513" s="95"/>
      <c r="CU513" s="108"/>
      <c r="CV513" s="109"/>
      <c r="CW513" s="644"/>
      <c r="CX513" s="496"/>
      <c r="CY513" s="637"/>
      <c r="CZ513" s="644"/>
      <c r="DA513" s="644"/>
      <c r="DB513" s="644"/>
      <c r="DC513" s="496"/>
      <c r="DD513" s="644"/>
      <c r="DE513" s="101"/>
      <c r="DF513" s="644"/>
      <c r="DG513" s="101"/>
      <c r="DH513" s="644"/>
      <c r="DI513" s="644"/>
      <c r="DJ513" s="644"/>
      <c r="DK513" s="644"/>
      <c r="DL513" s="644"/>
      <c r="DM513" s="101"/>
      <c r="DN513" s="644"/>
      <c r="DO513" s="644"/>
      <c r="DP513" s="644"/>
      <c r="DQ513" s="644"/>
      <c r="DR513" s="644"/>
      <c r="DS513" s="644"/>
      <c r="DT513" s="644"/>
      <c r="DU513" s="644"/>
      <c r="DV513" s="644"/>
      <c r="DW513" s="101"/>
      <c r="DX513" s="646"/>
      <c r="DY513" s="646"/>
      <c r="DZ513" s="646"/>
      <c r="EA513" s="646"/>
      <c r="EB513" s="646"/>
      <c r="EC513" s="646"/>
      <c r="ED513" s="646"/>
      <c r="EE513" s="646"/>
      <c r="EF513" s="646"/>
      <c r="EG513" s="646"/>
      <c r="EH513" s="646"/>
      <c r="EI513" s="646"/>
      <c r="EJ513" s="646"/>
      <c r="EK513" s="271"/>
      <c r="EL513" s="644"/>
      <c r="EM513" s="634"/>
      <c r="EN513" s="647"/>
      <c r="EO513" s="648"/>
      <c r="EP513" s="647"/>
      <c r="EQ513" s="647"/>
      <c r="ER513" s="647"/>
      <c r="ES513" s="139"/>
      <c r="EV513" s="647"/>
      <c r="EW513" s="647"/>
      <c r="EX513" s="647"/>
      <c r="EY513" s="647"/>
      <c r="EZ513" s="647"/>
      <c r="FA513" s="646"/>
      <c r="FB513" s="646"/>
      <c r="FC513" s="646"/>
      <c r="FD513" s="646"/>
      <c r="FE513" s="646"/>
      <c r="FF513" s="646"/>
      <c r="FG513" s="647"/>
      <c r="FH513" s="647"/>
      <c r="FI513" s="647"/>
      <c r="FJ513" s="647"/>
      <c r="FK513" s="647"/>
      <c r="FL513" s="647"/>
      <c r="FM513" s="647"/>
      <c r="FN513" s="647"/>
      <c r="FO513" s="647"/>
      <c r="FP513" s="647"/>
      <c r="FQ513" s="647"/>
      <c r="FR513" s="647"/>
      <c r="FS513" s="101"/>
      <c r="FT513" s="95"/>
      <c r="FU513" s="651"/>
      <c r="FV513" s="101"/>
      <c r="FW513" s="101"/>
      <c r="FX513" s="634"/>
      <c r="FY513" s="634"/>
      <c r="FZ513" s="634"/>
      <c r="GA513" s="634"/>
      <c r="GB513" s="634"/>
      <c r="GC513" s="634"/>
      <c r="GD513" s="634"/>
      <c r="GE513" s="634"/>
      <c r="GF513" s="634"/>
      <c r="GG513" s="634"/>
      <c r="GH513" s="634"/>
      <c r="GI513" s="634"/>
      <c r="GJ513" s="634"/>
      <c r="GK513" s="634"/>
      <c r="GL513" s="101"/>
      <c r="GM513" s="101"/>
      <c r="GN513" s="101"/>
      <c r="GO513" s="643"/>
      <c r="GP513" s="644"/>
      <c r="GQ513" s="643"/>
      <c r="GR513" s="644"/>
      <c r="GS513" s="643"/>
      <c r="GT513" s="644"/>
      <c r="GU513" s="644"/>
      <c r="GV513" s="644"/>
      <c r="GW513" s="644"/>
      <c r="GX513" s="644"/>
      <c r="GY513" s="644"/>
      <c r="GZ513" s="644"/>
      <c r="HA513" s="644"/>
    </row>
    <row r="514" spans="1:209">
      <c r="A514" s="638"/>
      <c r="B514" s="95"/>
      <c r="C514" s="95"/>
      <c r="D514" s="95"/>
      <c r="E514" s="650"/>
      <c r="F514" s="95"/>
      <c r="G514" s="98"/>
      <c r="H514" s="99"/>
      <c r="I514" s="95"/>
      <c r="J514" s="95"/>
      <c r="K514" s="95"/>
      <c r="L514" s="95"/>
      <c r="M514" s="95"/>
      <c r="N514" s="95"/>
      <c r="O514" s="95"/>
      <c r="P514" s="95"/>
      <c r="Q514" s="95"/>
      <c r="R514" s="98"/>
      <c r="S514" s="101"/>
      <c r="T514" s="644"/>
      <c r="U514" s="101"/>
      <c r="V514" s="647"/>
      <c r="W514" s="643"/>
      <c r="X514" s="644"/>
      <c r="Y514" s="101"/>
      <c r="Z514" s="644"/>
      <c r="AA514" s="101"/>
      <c r="AB514" s="644"/>
      <c r="AC514" s="101"/>
      <c r="AD514" s="646"/>
      <c r="AE514" s="271"/>
      <c r="AF514" s="646"/>
      <c r="AG514" s="646"/>
      <c r="AH514" s="646"/>
      <c r="AI514" s="646"/>
      <c r="AJ514" s="646"/>
      <c r="AK514" s="646"/>
      <c r="AL514" s="646"/>
      <c r="AM514" s="271"/>
      <c r="AN514" s="646"/>
      <c r="AO514" s="646"/>
      <c r="AP514" s="646"/>
      <c r="AQ514" s="271"/>
      <c r="AR514" s="646"/>
      <c r="AS514" s="270"/>
      <c r="AT514" s="646"/>
      <c r="AU514" s="646"/>
      <c r="AV514" s="646"/>
      <c r="AW514" s="270"/>
      <c r="AX514" s="646"/>
      <c r="AY514" s="270"/>
      <c r="AZ514" s="646"/>
      <c r="BA514" s="646"/>
      <c r="BB514" s="644"/>
      <c r="BC514" s="644"/>
      <c r="BD514" s="644"/>
      <c r="BE514" s="644"/>
      <c r="BF514" s="644"/>
      <c r="BG514" s="644"/>
      <c r="BH514" s="644"/>
      <c r="BI514" s="644"/>
      <c r="BJ514" s="644"/>
      <c r="BK514" s="644"/>
      <c r="BL514" s="644"/>
      <c r="BM514" s="95"/>
      <c r="BN514" s="644"/>
      <c r="BO514" s="95"/>
      <c r="BP514" s="644"/>
      <c r="BQ514" s="644"/>
      <c r="BR514" s="644"/>
      <c r="BS514" s="644"/>
      <c r="BT514" s="644"/>
      <c r="BU514" s="644"/>
      <c r="BV514" s="644"/>
      <c r="BW514" s="644"/>
      <c r="BX514" s="644"/>
      <c r="BY514" s="644"/>
      <c r="BZ514" s="644"/>
      <c r="CA514" s="644"/>
      <c r="CB514" s="644"/>
      <c r="CC514" s="644"/>
      <c r="CD514" s="644"/>
      <c r="CE514" s="644"/>
      <c r="CF514" s="644"/>
      <c r="CG514" s="644"/>
      <c r="CH514" s="644"/>
      <c r="CI514" s="644"/>
      <c r="CJ514" s="644"/>
      <c r="CK514" s="644"/>
      <c r="CL514" s="644"/>
      <c r="CM514" s="95"/>
      <c r="CN514" s="644"/>
      <c r="CO514" s="644"/>
      <c r="CP514" s="95"/>
      <c r="CQ514" s="98"/>
      <c r="CR514" s="95"/>
      <c r="CS514" s="95"/>
      <c r="CT514" s="95"/>
      <c r="CU514" s="108"/>
      <c r="CV514" s="109"/>
      <c r="CW514" s="644"/>
      <c r="CX514" s="496"/>
      <c r="CY514" s="637"/>
      <c r="CZ514" s="644"/>
      <c r="DA514" s="644"/>
      <c r="DB514" s="644"/>
      <c r="DC514" s="496"/>
      <c r="DD514" s="644"/>
      <c r="DE514" s="101"/>
      <c r="DF514" s="644"/>
      <c r="DG514" s="101"/>
      <c r="DH514" s="644"/>
      <c r="DI514" s="644"/>
      <c r="DJ514" s="644"/>
      <c r="DK514" s="644"/>
      <c r="DL514" s="644"/>
      <c r="DM514" s="101"/>
      <c r="DN514" s="644"/>
      <c r="DO514" s="644"/>
      <c r="DP514" s="644"/>
      <c r="DQ514" s="644"/>
      <c r="DR514" s="644"/>
      <c r="DS514" s="644"/>
      <c r="DT514" s="644"/>
      <c r="DU514" s="644"/>
      <c r="DV514" s="644"/>
      <c r="DW514" s="101"/>
      <c r="DX514" s="646"/>
      <c r="DY514" s="646"/>
      <c r="DZ514" s="646"/>
      <c r="EA514" s="646"/>
      <c r="EB514" s="646"/>
      <c r="EC514" s="646"/>
      <c r="ED514" s="646"/>
      <c r="EE514" s="646"/>
      <c r="EF514" s="646"/>
      <c r="EG514" s="646"/>
      <c r="EH514" s="646"/>
      <c r="EI514" s="646"/>
      <c r="EJ514" s="646"/>
      <c r="EK514" s="271"/>
      <c r="EL514" s="644"/>
      <c r="EM514" s="634"/>
      <c r="EN514" s="647"/>
      <c r="EO514" s="648"/>
      <c r="EP514" s="647"/>
      <c r="EQ514" s="647"/>
      <c r="ER514" s="647"/>
      <c r="ES514" s="139"/>
      <c r="EV514" s="647"/>
      <c r="EW514" s="647"/>
      <c r="EX514" s="647"/>
      <c r="EY514" s="647"/>
      <c r="EZ514" s="647"/>
      <c r="FA514" s="646"/>
      <c r="FB514" s="646"/>
      <c r="FC514" s="646"/>
      <c r="FD514" s="646"/>
      <c r="FE514" s="646"/>
      <c r="FF514" s="646"/>
      <c r="FG514" s="647"/>
      <c r="FH514" s="647"/>
      <c r="FI514" s="647"/>
      <c r="FJ514" s="647"/>
      <c r="FK514" s="647"/>
      <c r="FL514" s="647"/>
      <c r="FM514" s="647"/>
      <c r="FN514" s="647"/>
      <c r="FO514" s="647"/>
      <c r="FP514" s="647"/>
      <c r="FQ514" s="647"/>
      <c r="FR514" s="647"/>
      <c r="FS514" s="101"/>
      <c r="FT514" s="95"/>
      <c r="FU514" s="651"/>
      <c r="FV514" s="101"/>
      <c r="FW514" s="101"/>
      <c r="FX514" s="634"/>
      <c r="FY514" s="634"/>
      <c r="FZ514" s="634"/>
      <c r="GA514" s="634"/>
      <c r="GB514" s="634"/>
      <c r="GC514" s="634"/>
      <c r="GD514" s="634"/>
      <c r="GE514" s="634"/>
      <c r="GF514" s="634"/>
      <c r="GG514" s="634"/>
      <c r="GH514" s="634"/>
      <c r="GI514" s="634"/>
      <c r="GJ514" s="634"/>
      <c r="GK514" s="634"/>
      <c r="GL514" s="101"/>
      <c r="GM514" s="101"/>
      <c r="GN514" s="101"/>
      <c r="GO514" s="643"/>
      <c r="GP514" s="644"/>
      <c r="GQ514" s="643"/>
      <c r="GR514" s="644"/>
      <c r="GS514" s="643"/>
      <c r="GT514" s="644"/>
      <c r="GU514" s="644"/>
      <c r="GV514" s="644"/>
      <c r="GW514" s="644"/>
      <c r="GX514" s="644"/>
      <c r="GY514" s="644"/>
      <c r="GZ514" s="644"/>
      <c r="HA514" s="644"/>
    </row>
    <row r="515" spans="1:209">
      <c r="A515" s="638"/>
      <c r="B515" s="95"/>
      <c r="C515" s="95"/>
      <c r="D515" s="95"/>
      <c r="E515" s="650"/>
      <c r="F515" s="95"/>
      <c r="G515" s="98"/>
      <c r="H515" s="99"/>
      <c r="I515" s="95"/>
      <c r="J515" s="95"/>
      <c r="K515" s="95"/>
      <c r="L515" s="95"/>
      <c r="M515" s="95"/>
      <c r="N515" s="95"/>
      <c r="O515" s="95"/>
      <c r="P515" s="95"/>
      <c r="Q515" s="95"/>
      <c r="R515" s="98"/>
      <c r="S515" s="101"/>
      <c r="T515" s="644"/>
      <c r="U515" s="101"/>
      <c r="V515" s="647"/>
      <c r="W515" s="643"/>
      <c r="X515" s="644"/>
      <c r="Y515" s="101"/>
      <c r="Z515" s="644"/>
      <c r="AA515" s="101"/>
      <c r="AB515" s="644"/>
      <c r="AC515" s="101"/>
      <c r="AD515" s="646"/>
      <c r="AE515" s="271"/>
      <c r="AF515" s="646"/>
      <c r="AG515" s="646"/>
      <c r="AH515" s="646"/>
      <c r="AI515" s="646"/>
      <c r="AJ515" s="646"/>
      <c r="AK515" s="646"/>
      <c r="AL515" s="646"/>
      <c r="AM515" s="271"/>
      <c r="AN515" s="646"/>
      <c r="AO515" s="646"/>
      <c r="AP515" s="646"/>
      <c r="AQ515" s="271"/>
      <c r="AR515" s="646"/>
      <c r="AS515" s="270"/>
      <c r="AT515" s="646"/>
      <c r="AU515" s="646"/>
      <c r="AV515" s="646"/>
      <c r="AW515" s="270"/>
      <c r="AX515" s="646"/>
      <c r="AY515" s="270"/>
      <c r="AZ515" s="646"/>
      <c r="BA515" s="646"/>
      <c r="BB515" s="644"/>
      <c r="BC515" s="644"/>
      <c r="BD515" s="644"/>
      <c r="BE515" s="644"/>
      <c r="BF515" s="644"/>
      <c r="BG515" s="644"/>
      <c r="BH515" s="644"/>
      <c r="BI515" s="644"/>
      <c r="BJ515" s="644"/>
      <c r="BK515" s="644"/>
      <c r="BL515" s="644"/>
      <c r="BM515" s="95"/>
      <c r="BN515" s="644"/>
      <c r="BO515" s="95"/>
      <c r="BP515" s="644"/>
      <c r="BQ515" s="644"/>
      <c r="BR515" s="644"/>
      <c r="BS515" s="644"/>
      <c r="BT515" s="644"/>
      <c r="BU515" s="644"/>
      <c r="BV515" s="644"/>
      <c r="BW515" s="644"/>
      <c r="BX515" s="644"/>
      <c r="BY515" s="644"/>
      <c r="BZ515" s="644"/>
      <c r="CA515" s="644"/>
      <c r="CB515" s="644"/>
      <c r="CC515" s="644"/>
      <c r="CD515" s="644"/>
      <c r="CE515" s="644"/>
      <c r="CF515" s="644"/>
      <c r="CG515" s="644"/>
      <c r="CH515" s="644"/>
      <c r="CI515" s="644"/>
      <c r="CJ515" s="644"/>
      <c r="CK515" s="644"/>
      <c r="CL515" s="644"/>
      <c r="CM515" s="95"/>
      <c r="CN515" s="644"/>
      <c r="CO515" s="644"/>
      <c r="CP515" s="95"/>
      <c r="CQ515" s="98"/>
      <c r="CR515" s="95"/>
      <c r="CS515" s="95"/>
      <c r="CT515" s="95"/>
      <c r="CU515" s="108"/>
      <c r="CV515" s="109"/>
      <c r="CW515" s="644"/>
      <c r="CX515" s="496"/>
      <c r="CY515" s="637"/>
      <c r="CZ515" s="644"/>
      <c r="DA515" s="644"/>
      <c r="DB515" s="644"/>
      <c r="DC515" s="496"/>
      <c r="DD515" s="644"/>
      <c r="DE515" s="101"/>
      <c r="DF515" s="644"/>
      <c r="DG515" s="101"/>
      <c r="DH515" s="644"/>
      <c r="DI515" s="644"/>
      <c r="DJ515" s="644"/>
      <c r="DK515" s="644"/>
      <c r="DL515" s="644"/>
      <c r="DM515" s="101"/>
      <c r="DN515" s="644"/>
      <c r="DO515" s="644"/>
      <c r="DP515" s="644"/>
      <c r="DQ515" s="644"/>
      <c r="DR515" s="644"/>
      <c r="DS515" s="644"/>
      <c r="DT515" s="644"/>
      <c r="DU515" s="644"/>
      <c r="DV515" s="644"/>
      <c r="DW515" s="101"/>
      <c r="DX515" s="646"/>
      <c r="DY515" s="646"/>
      <c r="DZ515" s="646"/>
      <c r="EA515" s="646"/>
      <c r="EB515" s="646"/>
      <c r="EC515" s="646"/>
      <c r="ED515" s="646"/>
      <c r="EE515" s="646"/>
      <c r="EF515" s="646"/>
      <c r="EG515" s="646"/>
      <c r="EH515" s="646"/>
      <c r="EI515" s="646"/>
      <c r="EJ515" s="646"/>
      <c r="EK515" s="271"/>
      <c r="EL515" s="644"/>
      <c r="EM515" s="634"/>
      <c r="EN515" s="647"/>
      <c r="EO515" s="648"/>
      <c r="EP515" s="647"/>
      <c r="EQ515" s="647"/>
      <c r="ER515" s="647"/>
      <c r="ES515" s="139"/>
      <c r="EV515" s="647"/>
      <c r="EW515" s="647"/>
      <c r="EX515" s="647"/>
      <c r="EY515" s="647"/>
      <c r="EZ515" s="647"/>
      <c r="FA515" s="646"/>
      <c r="FB515" s="646"/>
      <c r="FC515" s="646"/>
      <c r="FD515" s="646"/>
      <c r="FE515" s="646"/>
      <c r="FF515" s="646"/>
      <c r="FG515" s="647"/>
      <c r="FH515" s="647"/>
      <c r="FI515" s="647"/>
      <c r="FJ515" s="647"/>
      <c r="FK515" s="647"/>
      <c r="FL515" s="647"/>
      <c r="FM515" s="647"/>
      <c r="FN515" s="647"/>
      <c r="FO515" s="647"/>
      <c r="FP515" s="647"/>
      <c r="FQ515" s="647"/>
      <c r="FR515" s="647"/>
      <c r="FS515" s="101"/>
      <c r="FT515" s="95"/>
      <c r="FU515" s="651"/>
      <c r="FV515" s="101"/>
      <c r="FW515" s="101"/>
      <c r="FX515" s="634"/>
      <c r="FY515" s="634"/>
      <c r="FZ515" s="634"/>
      <c r="GA515" s="634"/>
      <c r="GB515" s="634"/>
      <c r="GC515" s="634"/>
      <c r="GD515" s="634"/>
      <c r="GE515" s="634"/>
      <c r="GF515" s="634"/>
      <c r="GG515" s="634"/>
      <c r="GH515" s="634"/>
      <c r="GI515" s="634"/>
      <c r="GJ515" s="634"/>
      <c r="GK515" s="634"/>
      <c r="GL515" s="101"/>
      <c r="GM515" s="101"/>
      <c r="GN515" s="101"/>
      <c r="GO515" s="643"/>
      <c r="GP515" s="644"/>
      <c r="GQ515" s="643"/>
      <c r="GR515" s="644"/>
      <c r="GS515" s="643"/>
      <c r="GT515" s="644"/>
      <c r="GU515" s="644"/>
      <c r="GV515" s="644"/>
      <c r="GW515" s="644"/>
      <c r="GX515" s="644"/>
      <c r="GY515" s="644"/>
      <c r="GZ515" s="644"/>
      <c r="HA515" s="644"/>
    </row>
    <row r="516" spans="1:209">
      <c r="A516" s="638"/>
      <c r="B516" s="95"/>
      <c r="C516" s="95"/>
      <c r="D516" s="95"/>
      <c r="E516" s="650"/>
      <c r="F516" s="95"/>
      <c r="G516" s="98"/>
      <c r="H516" s="99"/>
      <c r="I516" s="95"/>
      <c r="J516" s="95"/>
      <c r="K516" s="95"/>
      <c r="L516" s="95"/>
      <c r="M516" s="95"/>
      <c r="N516" s="95"/>
      <c r="O516" s="95"/>
      <c r="P516" s="95"/>
      <c r="Q516" s="95"/>
      <c r="R516" s="98"/>
      <c r="S516" s="101"/>
      <c r="T516" s="644"/>
      <c r="U516" s="101"/>
      <c r="V516" s="647"/>
      <c r="W516" s="643"/>
      <c r="X516" s="644"/>
      <c r="Y516" s="101"/>
      <c r="Z516" s="644"/>
      <c r="AA516" s="101"/>
      <c r="AB516" s="644"/>
      <c r="AC516" s="101"/>
      <c r="AD516" s="646"/>
      <c r="AE516" s="271"/>
      <c r="AF516" s="646"/>
      <c r="AG516" s="646"/>
      <c r="AH516" s="646"/>
      <c r="AI516" s="646"/>
      <c r="AJ516" s="646"/>
      <c r="AK516" s="646"/>
      <c r="AL516" s="646"/>
      <c r="AM516" s="271"/>
      <c r="AN516" s="646"/>
      <c r="AO516" s="646"/>
      <c r="AP516" s="646"/>
      <c r="AQ516" s="271"/>
      <c r="AR516" s="646"/>
      <c r="AS516" s="270"/>
      <c r="AT516" s="646"/>
      <c r="AU516" s="646"/>
      <c r="AV516" s="646"/>
      <c r="AW516" s="270"/>
      <c r="AX516" s="646"/>
      <c r="AY516" s="270"/>
      <c r="AZ516" s="646"/>
      <c r="BA516" s="646"/>
      <c r="BB516" s="644"/>
      <c r="BC516" s="644"/>
      <c r="BD516" s="644"/>
      <c r="BE516" s="644"/>
      <c r="BF516" s="644"/>
      <c r="BG516" s="644"/>
      <c r="BH516" s="644"/>
      <c r="BI516" s="644"/>
      <c r="BJ516" s="644"/>
      <c r="BK516" s="644"/>
      <c r="BL516" s="644"/>
      <c r="BM516" s="95"/>
      <c r="BN516" s="644"/>
      <c r="BO516" s="95"/>
      <c r="BP516" s="644"/>
      <c r="BQ516" s="644"/>
      <c r="BR516" s="644"/>
      <c r="BS516" s="644"/>
      <c r="BT516" s="644"/>
      <c r="BU516" s="644"/>
      <c r="BV516" s="644"/>
      <c r="BW516" s="644"/>
      <c r="BX516" s="644"/>
      <c r="BY516" s="644"/>
      <c r="BZ516" s="644"/>
      <c r="CA516" s="644"/>
      <c r="CB516" s="644"/>
      <c r="CC516" s="644"/>
      <c r="CD516" s="644"/>
      <c r="CE516" s="644"/>
      <c r="CF516" s="644"/>
      <c r="CG516" s="644"/>
      <c r="CH516" s="644"/>
      <c r="CI516" s="644"/>
      <c r="CJ516" s="644"/>
      <c r="CK516" s="644"/>
      <c r="CL516" s="644"/>
      <c r="CM516" s="95"/>
      <c r="CN516" s="644"/>
      <c r="CO516" s="644"/>
      <c r="CP516" s="95"/>
      <c r="CQ516" s="98"/>
      <c r="CR516" s="95"/>
      <c r="CS516" s="95"/>
      <c r="CT516" s="95"/>
      <c r="CU516" s="108"/>
      <c r="CV516" s="109"/>
      <c r="CW516" s="644"/>
      <c r="CX516" s="496"/>
      <c r="CY516" s="637"/>
      <c r="CZ516" s="644"/>
      <c r="DA516" s="644"/>
      <c r="DB516" s="644"/>
      <c r="DC516" s="496"/>
      <c r="DD516" s="644"/>
      <c r="DE516" s="101"/>
      <c r="DF516" s="644"/>
      <c r="DG516" s="101"/>
      <c r="DH516" s="644"/>
      <c r="DI516" s="644"/>
      <c r="DJ516" s="644"/>
      <c r="DK516" s="644"/>
      <c r="DL516" s="644"/>
      <c r="DM516" s="101"/>
      <c r="DN516" s="644"/>
      <c r="DO516" s="644"/>
      <c r="DP516" s="644"/>
      <c r="DQ516" s="644"/>
      <c r="DR516" s="644"/>
      <c r="DS516" s="644"/>
      <c r="DT516" s="644"/>
      <c r="DU516" s="644"/>
      <c r="DV516" s="644"/>
      <c r="DW516" s="101"/>
      <c r="DX516" s="646"/>
      <c r="DY516" s="646"/>
      <c r="DZ516" s="646"/>
      <c r="EA516" s="646"/>
      <c r="EB516" s="646"/>
      <c r="EC516" s="646"/>
      <c r="ED516" s="646"/>
      <c r="EE516" s="646"/>
      <c r="EF516" s="646"/>
      <c r="EG516" s="646"/>
      <c r="EH516" s="646"/>
      <c r="EI516" s="646"/>
      <c r="EJ516" s="646"/>
      <c r="EK516" s="271"/>
      <c r="EL516" s="644"/>
      <c r="EM516" s="634"/>
      <c r="EN516" s="647"/>
      <c r="EO516" s="648"/>
      <c r="EP516" s="647"/>
      <c r="EQ516" s="647"/>
      <c r="ER516" s="647"/>
      <c r="ES516" s="139"/>
      <c r="EV516" s="647"/>
      <c r="EW516" s="647"/>
      <c r="EX516" s="647"/>
      <c r="EY516" s="647"/>
      <c r="EZ516" s="647"/>
      <c r="FA516" s="646"/>
      <c r="FB516" s="646"/>
      <c r="FC516" s="646"/>
      <c r="FD516" s="646"/>
      <c r="FE516" s="646"/>
      <c r="FF516" s="646"/>
      <c r="FG516" s="647"/>
      <c r="FH516" s="647"/>
      <c r="FI516" s="647"/>
      <c r="FJ516" s="647"/>
      <c r="FK516" s="647"/>
      <c r="FL516" s="647"/>
      <c r="FM516" s="647"/>
      <c r="FN516" s="647"/>
      <c r="FO516" s="647"/>
      <c r="FP516" s="647"/>
      <c r="FQ516" s="647"/>
      <c r="FR516" s="647"/>
      <c r="FS516" s="101"/>
      <c r="FT516" s="95"/>
      <c r="FU516" s="651"/>
      <c r="FV516" s="101"/>
      <c r="FW516" s="101"/>
      <c r="FX516" s="634"/>
      <c r="FY516" s="634"/>
      <c r="FZ516" s="634"/>
      <c r="GA516" s="634"/>
      <c r="GB516" s="634"/>
      <c r="GC516" s="634"/>
      <c r="GD516" s="634"/>
      <c r="GE516" s="634"/>
      <c r="GF516" s="634"/>
      <c r="GG516" s="634"/>
      <c r="GH516" s="634"/>
      <c r="GI516" s="634"/>
      <c r="GJ516" s="634"/>
      <c r="GK516" s="634"/>
      <c r="GL516" s="101"/>
      <c r="GM516" s="101"/>
      <c r="GN516" s="101"/>
      <c r="GO516" s="643"/>
      <c r="GP516" s="644"/>
      <c r="GQ516" s="643"/>
      <c r="GR516" s="644"/>
      <c r="GS516" s="643"/>
      <c r="GT516" s="644"/>
      <c r="GU516" s="644"/>
      <c r="GV516" s="644"/>
      <c r="GW516" s="644"/>
      <c r="GX516" s="644"/>
      <c r="GY516" s="644"/>
      <c r="GZ516" s="644"/>
      <c r="HA516" s="644"/>
    </row>
    <row r="517" spans="1:209">
      <c r="A517" s="638"/>
      <c r="B517" s="95"/>
      <c r="C517" s="95"/>
      <c r="D517" s="95"/>
      <c r="E517" s="650"/>
      <c r="F517" s="95"/>
      <c r="G517" s="98"/>
      <c r="H517" s="99"/>
      <c r="I517" s="95"/>
      <c r="J517" s="95"/>
      <c r="K517" s="95"/>
      <c r="L517" s="95"/>
      <c r="M517" s="95"/>
      <c r="N517" s="95"/>
      <c r="O517" s="95"/>
      <c r="P517" s="95"/>
      <c r="Q517" s="95"/>
      <c r="R517" s="98"/>
      <c r="S517" s="101"/>
      <c r="T517" s="644"/>
      <c r="U517" s="101"/>
      <c r="V517" s="647"/>
      <c r="W517" s="643"/>
      <c r="X517" s="644"/>
      <c r="Y517" s="101"/>
      <c r="Z517" s="644"/>
      <c r="AA517" s="101"/>
      <c r="AB517" s="644"/>
      <c r="AC517" s="101"/>
      <c r="AD517" s="646"/>
      <c r="AE517" s="271"/>
      <c r="AF517" s="646"/>
      <c r="AG517" s="646"/>
      <c r="AH517" s="646"/>
      <c r="AI517" s="646"/>
      <c r="AJ517" s="646"/>
      <c r="AK517" s="646"/>
      <c r="AL517" s="646"/>
      <c r="AM517" s="271"/>
      <c r="AN517" s="646"/>
      <c r="AO517" s="646"/>
      <c r="AP517" s="646"/>
      <c r="AQ517" s="271"/>
      <c r="AR517" s="646"/>
      <c r="AS517" s="270"/>
      <c r="AT517" s="646"/>
      <c r="AU517" s="646"/>
      <c r="AV517" s="646"/>
      <c r="AW517" s="270"/>
      <c r="AX517" s="646"/>
      <c r="AY517" s="270"/>
      <c r="AZ517" s="646"/>
      <c r="BA517" s="646"/>
      <c r="BB517" s="644"/>
      <c r="BC517" s="644"/>
      <c r="BD517" s="644"/>
      <c r="BE517" s="644"/>
      <c r="BF517" s="644"/>
      <c r="BG517" s="644"/>
      <c r="BH517" s="644"/>
      <c r="BI517" s="644"/>
      <c r="BJ517" s="644"/>
      <c r="BK517" s="644"/>
      <c r="BL517" s="644"/>
      <c r="BM517" s="95"/>
      <c r="BN517" s="644"/>
      <c r="BO517" s="95"/>
      <c r="BP517" s="644"/>
      <c r="BQ517" s="644"/>
      <c r="BR517" s="644"/>
      <c r="BS517" s="644"/>
      <c r="BT517" s="644"/>
      <c r="BU517" s="644"/>
      <c r="BV517" s="644"/>
      <c r="BW517" s="644"/>
      <c r="BX517" s="644"/>
      <c r="BY517" s="644"/>
      <c r="BZ517" s="644"/>
      <c r="CA517" s="644"/>
      <c r="CB517" s="644"/>
      <c r="CC517" s="644"/>
      <c r="CD517" s="644"/>
      <c r="CE517" s="644"/>
      <c r="CF517" s="644"/>
      <c r="CG517" s="644"/>
      <c r="CH517" s="644"/>
      <c r="CI517" s="644"/>
      <c r="CJ517" s="644"/>
      <c r="CK517" s="644"/>
      <c r="CL517" s="644"/>
      <c r="CM517" s="95"/>
      <c r="CN517" s="644"/>
      <c r="CO517" s="644"/>
      <c r="CP517" s="95"/>
      <c r="CQ517" s="98"/>
      <c r="CR517" s="95"/>
      <c r="CS517" s="95"/>
      <c r="CT517" s="95"/>
      <c r="CU517" s="108"/>
      <c r="CV517" s="109"/>
      <c r="CW517" s="644"/>
      <c r="CX517" s="496"/>
      <c r="CY517" s="637"/>
      <c r="CZ517" s="644"/>
      <c r="DA517" s="644"/>
      <c r="DB517" s="644"/>
      <c r="DC517" s="496"/>
      <c r="DD517" s="644"/>
      <c r="DE517" s="101"/>
      <c r="DF517" s="644"/>
      <c r="DG517" s="101"/>
      <c r="DH517" s="644"/>
      <c r="DI517" s="644"/>
      <c r="DJ517" s="644"/>
      <c r="DK517" s="644"/>
      <c r="DL517" s="644"/>
      <c r="DM517" s="101"/>
      <c r="DN517" s="644"/>
      <c r="DO517" s="644"/>
      <c r="DP517" s="644"/>
      <c r="DQ517" s="644"/>
      <c r="DR517" s="644"/>
      <c r="DS517" s="644"/>
      <c r="DT517" s="644"/>
      <c r="DU517" s="644"/>
      <c r="DV517" s="644"/>
      <c r="DW517" s="101"/>
      <c r="DX517" s="646"/>
      <c r="DY517" s="646"/>
      <c r="DZ517" s="646"/>
      <c r="EA517" s="646"/>
      <c r="EB517" s="646"/>
      <c r="EC517" s="646"/>
      <c r="ED517" s="646"/>
      <c r="EE517" s="646"/>
      <c r="EF517" s="646"/>
      <c r="EG517" s="646"/>
      <c r="EH517" s="646"/>
      <c r="EI517" s="646"/>
      <c r="EJ517" s="646"/>
      <c r="EK517" s="271"/>
      <c r="EL517" s="644"/>
      <c r="EM517" s="634"/>
      <c r="EN517" s="647"/>
      <c r="EO517" s="648"/>
      <c r="EP517" s="647"/>
      <c r="EQ517" s="647"/>
      <c r="ER517" s="647"/>
      <c r="ES517" s="139"/>
      <c r="EV517" s="647"/>
      <c r="EW517" s="647"/>
      <c r="EX517" s="647"/>
      <c r="EY517" s="647"/>
      <c r="EZ517" s="647"/>
      <c r="FA517" s="646"/>
      <c r="FB517" s="646"/>
      <c r="FC517" s="646"/>
      <c r="FD517" s="646"/>
      <c r="FE517" s="646"/>
      <c r="FF517" s="646"/>
      <c r="FG517" s="647"/>
      <c r="FH517" s="647"/>
      <c r="FI517" s="647"/>
      <c r="FJ517" s="647"/>
      <c r="FK517" s="647"/>
      <c r="FL517" s="647"/>
      <c r="FM517" s="647"/>
      <c r="FN517" s="647"/>
      <c r="FO517" s="647"/>
      <c r="FP517" s="647"/>
      <c r="FQ517" s="647"/>
      <c r="FR517" s="647"/>
      <c r="FS517" s="101"/>
      <c r="FT517" s="95"/>
      <c r="FU517" s="651"/>
      <c r="FV517" s="101"/>
      <c r="FW517" s="101"/>
      <c r="FX517" s="634"/>
      <c r="FY517" s="634"/>
      <c r="FZ517" s="634"/>
      <c r="GA517" s="634"/>
      <c r="GB517" s="634"/>
      <c r="GC517" s="634"/>
      <c r="GD517" s="634"/>
      <c r="GE517" s="634"/>
      <c r="GF517" s="634"/>
      <c r="GG517" s="634"/>
      <c r="GH517" s="634"/>
      <c r="GI517" s="634"/>
      <c r="GJ517" s="634"/>
      <c r="GK517" s="634"/>
      <c r="GL517" s="101"/>
      <c r="GM517" s="101"/>
      <c r="GN517" s="101"/>
      <c r="GO517" s="643"/>
      <c r="GP517" s="644"/>
      <c r="GQ517" s="643"/>
      <c r="GR517" s="644"/>
      <c r="GS517" s="643"/>
      <c r="GT517" s="644"/>
      <c r="GU517" s="644"/>
      <c r="GV517" s="644"/>
      <c r="GW517" s="644"/>
      <c r="GX517" s="644"/>
      <c r="GY517" s="644"/>
      <c r="GZ517" s="644"/>
      <c r="HA517" s="644"/>
    </row>
    <row r="518" spans="1:209">
      <c r="A518" s="638"/>
      <c r="B518" s="95"/>
      <c r="C518" s="95"/>
      <c r="D518" s="95"/>
      <c r="E518" s="650"/>
      <c r="F518" s="95"/>
      <c r="G518" s="98"/>
      <c r="H518" s="99"/>
      <c r="I518" s="95"/>
      <c r="J518" s="95"/>
      <c r="K518" s="95"/>
      <c r="L518" s="95"/>
      <c r="M518" s="95"/>
      <c r="N518" s="95"/>
      <c r="O518" s="95"/>
      <c r="P518" s="95"/>
      <c r="Q518" s="95"/>
      <c r="R518" s="98"/>
      <c r="S518" s="101"/>
      <c r="T518" s="644"/>
      <c r="U518" s="101"/>
      <c r="V518" s="647"/>
      <c r="W518" s="643"/>
      <c r="X518" s="644"/>
      <c r="Y518" s="101"/>
      <c r="Z518" s="644"/>
      <c r="AA518" s="101"/>
      <c r="AB518" s="644"/>
      <c r="AC518" s="101"/>
      <c r="AD518" s="646"/>
      <c r="AE518" s="271"/>
      <c r="AF518" s="646"/>
      <c r="AG518" s="646"/>
      <c r="AH518" s="646"/>
      <c r="AI518" s="646"/>
      <c r="AJ518" s="646"/>
      <c r="AK518" s="646"/>
      <c r="AL518" s="646"/>
      <c r="AM518" s="271"/>
      <c r="AN518" s="646"/>
      <c r="AO518" s="646"/>
      <c r="AP518" s="646"/>
      <c r="AQ518" s="271"/>
      <c r="AR518" s="646"/>
      <c r="AS518" s="270"/>
      <c r="AT518" s="646"/>
      <c r="AU518" s="646"/>
      <c r="AV518" s="646"/>
      <c r="AW518" s="270"/>
      <c r="AX518" s="646"/>
      <c r="AY518" s="270"/>
      <c r="AZ518" s="646"/>
      <c r="BA518" s="646"/>
      <c r="BB518" s="644"/>
      <c r="BC518" s="644"/>
      <c r="BD518" s="644"/>
      <c r="BE518" s="644"/>
      <c r="BF518" s="644"/>
      <c r="BG518" s="644"/>
      <c r="BH518" s="644"/>
      <c r="BI518" s="644"/>
      <c r="BJ518" s="644"/>
      <c r="BK518" s="644"/>
      <c r="BL518" s="644"/>
      <c r="BM518" s="95"/>
      <c r="BN518" s="644"/>
      <c r="BO518" s="95"/>
      <c r="BP518" s="644"/>
      <c r="BQ518" s="644"/>
      <c r="BR518" s="644"/>
      <c r="BS518" s="644"/>
      <c r="BT518" s="644"/>
      <c r="BU518" s="644"/>
      <c r="BV518" s="644"/>
      <c r="BW518" s="644"/>
      <c r="BX518" s="644"/>
      <c r="BY518" s="644"/>
      <c r="BZ518" s="644"/>
      <c r="CA518" s="644"/>
      <c r="CB518" s="644"/>
      <c r="CC518" s="644"/>
      <c r="CD518" s="644"/>
      <c r="CE518" s="644"/>
      <c r="CF518" s="644"/>
      <c r="CG518" s="644"/>
      <c r="CH518" s="644"/>
      <c r="CI518" s="644"/>
      <c r="CJ518" s="644"/>
      <c r="CK518" s="644"/>
      <c r="CL518" s="644"/>
      <c r="CM518" s="95"/>
      <c r="CN518" s="644"/>
      <c r="CO518" s="644"/>
      <c r="CP518" s="95"/>
      <c r="CQ518" s="98"/>
      <c r="CR518" s="95"/>
      <c r="CS518" s="95"/>
      <c r="CT518" s="95"/>
      <c r="CU518" s="108"/>
      <c r="CV518" s="109"/>
      <c r="CW518" s="644"/>
      <c r="CX518" s="496"/>
      <c r="CY518" s="637"/>
      <c r="CZ518" s="644"/>
      <c r="DA518" s="644"/>
      <c r="DB518" s="644"/>
      <c r="DC518" s="496"/>
      <c r="DD518" s="644"/>
      <c r="DE518" s="101"/>
      <c r="DF518" s="644"/>
      <c r="DG518" s="101"/>
      <c r="DH518" s="644"/>
      <c r="DI518" s="644"/>
      <c r="DJ518" s="644"/>
      <c r="DK518" s="644"/>
      <c r="DL518" s="644"/>
      <c r="DM518" s="101"/>
      <c r="DN518" s="644"/>
      <c r="DO518" s="644"/>
      <c r="DP518" s="644"/>
      <c r="DQ518" s="644"/>
      <c r="DR518" s="644"/>
      <c r="DS518" s="644"/>
      <c r="DT518" s="644"/>
      <c r="DU518" s="644"/>
      <c r="DV518" s="644"/>
      <c r="DW518" s="101"/>
      <c r="DX518" s="646"/>
      <c r="DY518" s="646"/>
      <c r="DZ518" s="646"/>
      <c r="EA518" s="646"/>
      <c r="EB518" s="646"/>
      <c r="EC518" s="646"/>
      <c r="ED518" s="646"/>
      <c r="EE518" s="646"/>
      <c r="EF518" s="646"/>
      <c r="EG518" s="646"/>
      <c r="EH518" s="646"/>
      <c r="EI518" s="646"/>
      <c r="EJ518" s="646"/>
      <c r="EK518" s="271"/>
      <c r="EL518" s="644"/>
      <c r="EM518" s="634"/>
      <c r="EN518" s="647"/>
      <c r="EO518" s="648"/>
      <c r="EP518" s="647"/>
      <c r="EQ518" s="647"/>
      <c r="ER518" s="647"/>
      <c r="ES518" s="139"/>
      <c r="EV518" s="647"/>
      <c r="EW518" s="647"/>
      <c r="EX518" s="647"/>
      <c r="EY518" s="647"/>
      <c r="EZ518" s="647"/>
      <c r="FA518" s="646"/>
      <c r="FB518" s="646"/>
      <c r="FC518" s="646"/>
      <c r="FD518" s="646"/>
      <c r="FE518" s="646"/>
      <c r="FF518" s="646"/>
      <c r="FG518" s="647"/>
      <c r="FH518" s="647"/>
      <c r="FI518" s="647"/>
      <c r="FJ518" s="647"/>
      <c r="FK518" s="647"/>
      <c r="FL518" s="647"/>
      <c r="FM518" s="647"/>
      <c r="FN518" s="647"/>
      <c r="FO518" s="647"/>
      <c r="FP518" s="647"/>
      <c r="FQ518" s="647"/>
      <c r="FR518" s="647"/>
      <c r="FS518" s="101"/>
      <c r="FT518" s="95"/>
      <c r="FU518" s="651"/>
      <c r="FV518" s="101"/>
      <c r="FW518" s="101"/>
      <c r="FX518" s="634"/>
      <c r="FY518" s="634"/>
      <c r="FZ518" s="634"/>
      <c r="GA518" s="634"/>
      <c r="GB518" s="634"/>
      <c r="GC518" s="634"/>
      <c r="GD518" s="634"/>
      <c r="GE518" s="634"/>
      <c r="GF518" s="634"/>
      <c r="GG518" s="634"/>
      <c r="GH518" s="634"/>
      <c r="GI518" s="634"/>
      <c r="GJ518" s="634"/>
      <c r="GK518" s="634"/>
      <c r="GL518" s="101"/>
      <c r="GM518" s="101"/>
      <c r="GN518" s="101"/>
      <c r="GO518" s="643"/>
      <c r="GP518" s="644"/>
      <c r="GQ518" s="643"/>
      <c r="GR518" s="644"/>
      <c r="GS518" s="643"/>
      <c r="GT518" s="644"/>
      <c r="GU518" s="644"/>
      <c r="GV518" s="644"/>
      <c r="GW518" s="644"/>
      <c r="GX518" s="644"/>
      <c r="GY518" s="644"/>
      <c r="GZ518" s="644"/>
      <c r="HA518" s="644"/>
    </row>
    <row r="519" spans="1:209">
      <c r="A519" s="638"/>
      <c r="B519" s="95"/>
      <c r="C519" s="95"/>
      <c r="D519" s="95"/>
      <c r="E519" s="650"/>
      <c r="F519" s="95"/>
      <c r="G519" s="98"/>
      <c r="H519" s="99"/>
      <c r="I519" s="95"/>
      <c r="J519" s="95"/>
      <c r="K519" s="95"/>
      <c r="L519" s="95"/>
      <c r="M519" s="95"/>
      <c r="N519" s="95"/>
      <c r="O519" s="95"/>
      <c r="P519" s="95"/>
      <c r="Q519" s="95"/>
      <c r="R519" s="98"/>
      <c r="S519" s="101"/>
      <c r="T519" s="644"/>
      <c r="U519" s="101"/>
      <c r="V519" s="647"/>
      <c r="W519" s="643"/>
      <c r="X519" s="644"/>
      <c r="Y519" s="101"/>
      <c r="Z519" s="644"/>
      <c r="AA519" s="101"/>
      <c r="AB519" s="644"/>
      <c r="AC519" s="101"/>
      <c r="AD519" s="646"/>
      <c r="AE519" s="271"/>
      <c r="AF519" s="646"/>
      <c r="AG519" s="646"/>
      <c r="AH519" s="646"/>
      <c r="AI519" s="646"/>
      <c r="AJ519" s="646"/>
      <c r="AK519" s="646"/>
      <c r="AL519" s="646"/>
      <c r="AM519" s="271"/>
      <c r="AN519" s="646"/>
      <c r="AO519" s="646"/>
      <c r="AP519" s="646"/>
      <c r="AQ519" s="271"/>
      <c r="AR519" s="646"/>
      <c r="AS519" s="270"/>
      <c r="AT519" s="646"/>
      <c r="AU519" s="646"/>
      <c r="AV519" s="646"/>
      <c r="AW519" s="270"/>
      <c r="AX519" s="646"/>
      <c r="AY519" s="270"/>
      <c r="AZ519" s="646"/>
      <c r="BA519" s="646"/>
      <c r="BB519" s="644"/>
      <c r="BC519" s="644"/>
      <c r="BD519" s="644"/>
      <c r="BE519" s="644"/>
      <c r="BF519" s="644"/>
      <c r="BG519" s="644"/>
      <c r="BH519" s="644"/>
      <c r="BI519" s="644"/>
      <c r="BJ519" s="644"/>
      <c r="BK519" s="644"/>
      <c r="BL519" s="644"/>
      <c r="BM519" s="95"/>
      <c r="BN519" s="644"/>
      <c r="BO519" s="95"/>
      <c r="BP519" s="644"/>
      <c r="BQ519" s="644"/>
      <c r="BR519" s="644"/>
      <c r="BS519" s="644"/>
      <c r="BT519" s="644"/>
      <c r="BU519" s="644"/>
      <c r="BV519" s="644"/>
      <c r="BW519" s="644"/>
      <c r="BX519" s="644"/>
      <c r="BY519" s="644"/>
      <c r="BZ519" s="644"/>
      <c r="CA519" s="644"/>
      <c r="CB519" s="644"/>
      <c r="CC519" s="644"/>
      <c r="CD519" s="644"/>
      <c r="CE519" s="644"/>
      <c r="CF519" s="644"/>
      <c r="CG519" s="644"/>
      <c r="CH519" s="644"/>
      <c r="CI519" s="644"/>
      <c r="CJ519" s="644"/>
      <c r="CK519" s="644"/>
      <c r="CL519" s="644"/>
      <c r="CM519" s="95"/>
      <c r="CN519" s="644"/>
      <c r="CO519" s="644"/>
      <c r="CP519" s="95"/>
      <c r="CQ519" s="98"/>
      <c r="CR519" s="95"/>
      <c r="CS519" s="95"/>
      <c r="CT519" s="95"/>
      <c r="CU519" s="108"/>
      <c r="CV519" s="109"/>
      <c r="CW519" s="644"/>
      <c r="CX519" s="496"/>
      <c r="CY519" s="637"/>
      <c r="CZ519" s="644"/>
      <c r="DA519" s="644"/>
      <c r="DB519" s="644"/>
      <c r="DC519" s="496"/>
      <c r="DD519" s="644"/>
      <c r="DE519" s="101"/>
      <c r="DF519" s="644"/>
      <c r="DG519" s="101"/>
      <c r="DH519" s="644"/>
      <c r="DI519" s="644"/>
      <c r="DJ519" s="644"/>
      <c r="DK519" s="644"/>
      <c r="DL519" s="644"/>
      <c r="DM519" s="101"/>
      <c r="DN519" s="644"/>
      <c r="DO519" s="644"/>
      <c r="DP519" s="644"/>
      <c r="DQ519" s="644"/>
      <c r="DR519" s="644"/>
      <c r="DS519" s="644"/>
      <c r="DT519" s="644"/>
      <c r="DU519" s="644"/>
      <c r="DV519" s="644"/>
      <c r="DW519" s="101"/>
      <c r="DX519" s="646"/>
      <c r="DY519" s="646"/>
      <c r="DZ519" s="646"/>
      <c r="EA519" s="646"/>
      <c r="EB519" s="646"/>
      <c r="EC519" s="646"/>
      <c r="ED519" s="646"/>
      <c r="EE519" s="646"/>
      <c r="EF519" s="646"/>
      <c r="EG519" s="646"/>
      <c r="EH519" s="646"/>
      <c r="EI519" s="646"/>
      <c r="EJ519" s="646"/>
      <c r="EK519" s="271"/>
      <c r="EL519" s="644"/>
      <c r="EM519" s="634"/>
      <c r="EN519" s="647"/>
      <c r="EO519" s="648"/>
      <c r="EP519" s="647"/>
      <c r="EQ519" s="647"/>
      <c r="ER519" s="647"/>
      <c r="ES519" s="139"/>
      <c r="EV519" s="647"/>
      <c r="EW519" s="647"/>
      <c r="EX519" s="647"/>
      <c r="EY519" s="647"/>
      <c r="EZ519" s="647"/>
      <c r="FA519" s="646"/>
      <c r="FB519" s="646"/>
      <c r="FC519" s="646"/>
      <c r="FD519" s="646"/>
      <c r="FE519" s="646"/>
      <c r="FF519" s="646"/>
      <c r="FG519" s="647"/>
      <c r="FH519" s="647"/>
      <c r="FI519" s="647"/>
      <c r="FJ519" s="647"/>
      <c r="FK519" s="647"/>
      <c r="FL519" s="647"/>
      <c r="FM519" s="647"/>
      <c r="FN519" s="647"/>
      <c r="FO519" s="647"/>
      <c r="FP519" s="647"/>
      <c r="FQ519" s="647"/>
      <c r="FR519" s="647"/>
      <c r="FS519" s="101"/>
      <c r="FT519" s="95"/>
      <c r="FU519" s="651"/>
      <c r="FV519" s="101"/>
      <c r="FW519" s="101"/>
      <c r="FX519" s="634"/>
      <c r="FY519" s="634"/>
      <c r="FZ519" s="634"/>
      <c r="GA519" s="634"/>
      <c r="GB519" s="634"/>
      <c r="GC519" s="634"/>
      <c r="GD519" s="634"/>
      <c r="GE519" s="634"/>
      <c r="GF519" s="634"/>
      <c r="GG519" s="634"/>
      <c r="GH519" s="634"/>
      <c r="GI519" s="634"/>
      <c r="GJ519" s="634"/>
      <c r="GK519" s="634"/>
      <c r="GL519" s="101"/>
      <c r="GM519" s="101"/>
      <c r="GN519" s="101"/>
      <c r="GO519" s="643"/>
      <c r="GP519" s="644"/>
      <c r="GQ519" s="643"/>
      <c r="GR519" s="644"/>
      <c r="GS519" s="643"/>
      <c r="GT519" s="644"/>
      <c r="GU519" s="644"/>
      <c r="GV519" s="644"/>
      <c r="GW519" s="644"/>
      <c r="GX519" s="644"/>
      <c r="GY519" s="644"/>
      <c r="GZ519" s="644"/>
      <c r="HA519" s="644"/>
    </row>
    <row r="520" spans="1:209">
      <c r="A520" s="638"/>
      <c r="B520" s="95"/>
      <c r="C520" s="95"/>
      <c r="D520" s="95"/>
      <c r="E520" s="650"/>
      <c r="F520" s="95"/>
      <c r="G520" s="98"/>
      <c r="H520" s="99"/>
      <c r="I520" s="95"/>
      <c r="J520" s="95"/>
      <c r="K520" s="95"/>
      <c r="L520" s="95"/>
      <c r="M520" s="95"/>
      <c r="N520" s="95"/>
      <c r="O520" s="95"/>
      <c r="P520" s="95"/>
      <c r="Q520" s="95"/>
      <c r="R520" s="98"/>
      <c r="S520" s="101"/>
      <c r="T520" s="644"/>
      <c r="U520" s="101"/>
      <c r="V520" s="647"/>
      <c r="W520" s="643"/>
      <c r="X520" s="644"/>
      <c r="Y520" s="101"/>
      <c r="Z520" s="644"/>
      <c r="AA520" s="101"/>
      <c r="AB520" s="644"/>
      <c r="AC520" s="101"/>
      <c r="AD520" s="646"/>
      <c r="AE520" s="271"/>
      <c r="AF520" s="646"/>
      <c r="AG520" s="646"/>
      <c r="AH520" s="646"/>
      <c r="AI520" s="646"/>
      <c r="AJ520" s="646"/>
      <c r="AK520" s="646"/>
      <c r="AL520" s="646"/>
      <c r="AM520" s="271"/>
      <c r="AN520" s="646"/>
      <c r="AO520" s="646"/>
      <c r="AP520" s="646"/>
      <c r="AQ520" s="271"/>
      <c r="AR520" s="646"/>
      <c r="AS520" s="270"/>
      <c r="AT520" s="646"/>
      <c r="AU520" s="646"/>
      <c r="AV520" s="646"/>
      <c r="AW520" s="270"/>
      <c r="AX520" s="646"/>
      <c r="AY520" s="270"/>
      <c r="AZ520" s="646"/>
      <c r="BA520" s="646"/>
      <c r="BB520" s="644"/>
      <c r="BC520" s="644"/>
      <c r="BD520" s="644"/>
      <c r="BE520" s="644"/>
      <c r="BF520" s="644"/>
      <c r="BG520" s="644"/>
      <c r="BH520" s="644"/>
      <c r="BI520" s="644"/>
      <c r="BJ520" s="644"/>
      <c r="BK520" s="644"/>
      <c r="BL520" s="644"/>
      <c r="BM520" s="95"/>
      <c r="BN520" s="644"/>
      <c r="BO520" s="95"/>
      <c r="BP520" s="644"/>
      <c r="BQ520" s="644"/>
      <c r="BR520" s="644"/>
      <c r="BS520" s="644"/>
      <c r="BT520" s="644"/>
      <c r="BU520" s="644"/>
      <c r="BV520" s="644"/>
      <c r="BW520" s="644"/>
      <c r="BX520" s="644"/>
      <c r="BY520" s="644"/>
      <c r="BZ520" s="644"/>
      <c r="CA520" s="644"/>
      <c r="CB520" s="644"/>
      <c r="CC520" s="644"/>
      <c r="CD520" s="644"/>
      <c r="CE520" s="644"/>
      <c r="CF520" s="644"/>
      <c r="CG520" s="644"/>
      <c r="CH520" s="644"/>
      <c r="CI520" s="644"/>
      <c r="CJ520" s="644"/>
      <c r="CK520" s="644"/>
      <c r="CL520" s="644"/>
      <c r="CM520" s="95"/>
      <c r="CN520" s="644"/>
      <c r="CO520" s="644"/>
      <c r="CP520" s="95"/>
      <c r="CQ520" s="98"/>
      <c r="CR520" s="95"/>
      <c r="CS520" s="95"/>
      <c r="CT520" s="95"/>
      <c r="CU520" s="108"/>
      <c r="CV520" s="109"/>
      <c r="CW520" s="644"/>
      <c r="CX520" s="496"/>
      <c r="CY520" s="637"/>
      <c r="CZ520" s="644"/>
      <c r="DA520" s="644"/>
      <c r="DB520" s="644"/>
      <c r="DC520" s="496"/>
      <c r="DD520" s="644"/>
      <c r="DE520" s="101"/>
      <c r="DF520" s="644"/>
      <c r="DG520" s="101"/>
      <c r="DH520" s="644"/>
      <c r="DI520" s="644"/>
      <c r="DJ520" s="644"/>
      <c r="DK520" s="644"/>
      <c r="DL520" s="644"/>
      <c r="DM520" s="101"/>
      <c r="DN520" s="644"/>
      <c r="DO520" s="644"/>
      <c r="DP520" s="644"/>
      <c r="DQ520" s="644"/>
      <c r="DR520" s="644"/>
      <c r="DS520" s="644"/>
      <c r="DT520" s="644"/>
      <c r="DU520" s="644"/>
      <c r="DV520" s="644"/>
      <c r="DW520" s="101"/>
      <c r="DX520" s="646"/>
      <c r="DY520" s="646"/>
      <c r="DZ520" s="646"/>
      <c r="EA520" s="646"/>
      <c r="EB520" s="646"/>
      <c r="EC520" s="646"/>
      <c r="ED520" s="646"/>
      <c r="EE520" s="646"/>
      <c r="EF520" s="646"/>
      <c r="EG520" s="646"/>
      <c r="EH520" s="646"/>
      <c r="EI520" s="646"/>
      <c r="EJ520" s="646"/>
      <c r="EK520" s="271"/>
      <c r="EL520" s="644"/>
      <c r="EM520" s="634"/>
      <c r="EN520" s="647"/>
      <c r="EO520" s="648"/>
      <c r="EP520" s="647"/>
      <c r="EQ520" s="647"/>
      <c r="ER520" s="647"/>
      <c r="ES520" s="139"/>
      <c r="EV520" s="647"/>
      <c r="EW520" s="647"/>
      <c r="EX520" s="647"/>
      <c r="EY520" s="647"/>
      <c r="EZ520" s="647"/>
      <c r="FA520" s="646"/>
      <c r="FB520" s="646"/>
      <c r="FC520" s="646"/>
      <c r="FD520" s="646"/>
      <c r="FE520" s="646"/>
      <c r="FF520" s="646"/>
      <c r="FG520" s="647"/>
      <c r="FH520" s="647"/>
      <c r="FI520" s="647"/>
      <c r="FJ520" s="647"/>
      <c r="FK520" s="647"/>
      <c r="FL520" s="647"/>
      <c r="FM520" s="647"/>
      <c r="FN520" s="647"/>
      <c r="FO520" s="647"/>
      <c r="FP520" s="647"/>
      <c r="FQ520" s="647"/>
      <c r="FR520" s="647"/>
      <c r="FS520" s="101"/>
      <c r="FT520" s="95"/>
      <c r="FU520" s="651"/>
      <c r="FV520" s="101"/>
      <c r="FW520" s="101"/>
      <c r="FX520" s="634"/>
      <c r="FY520" s="634"/>
      <c r="FZ520" s="634"/>
      <c r="GA520" s="634"/>
      <c r="GB520" s="634"/>
      <c r="GC520" s="634"/>
      <c r="GD520" s="634"/>
      <c r="GE520" s="634"/>
      <c r="GF520" s="634"/>
      <c r="GG520" s="634"/>
      <c r="GH520" s="634"/>
      <c r="GI520" s="634"/>
      <c r="GJ520" s="634"/>
      <c r="GK520" s="634"/>
      <c r="GL520" s="101"/>
      <c r="GM520" s="101"/>
      <c r="GN520" s="101"/>
      <c r="GO520" s="643"/>
      <c r="GP520" s="644"/>
      <c r="GQ520" s="643"/>
      <c r="GR520" s="644"/>
      <c r="GS520" s="643"/>
      <c r="GT520" s="644"/>
      <c r="GU520" s="644"/>
      <c r="GV520" s="644"/>
      <c r="GW520" s="644"/>
      <c r="GX520" s="644"/>
      <c r="GY520" s="644"/>
      <c r="GZ520" s="644"/>
      <c r="HA520" s="644"/>
    </row>
    <row r="521" spans="1:209">
      <c r="A521" s="638"/>
      <c r="B521" s="95"/>
      <c r="C521" s="95"/>
      <c r="D521" s="95"/>
      <c r="E521" s="650"/>
      <c r="F521" s="95"/>
      <c r="G521" s="98"/>
      <c r="H521" s="99"/>
      <c r="I521" s="95"/>
      <c r="J521" s="95"/>
      <c r="K521" s="95"/>
      <c r="L521" s="95"/>
      <c r="M521" s="95"/>
      <c r="N521" s="95"/>
      <c r="O521" s="95"/>
      <c r="P521" s="95"/>
      <c r="Q521" s="95"/>
      <c r="R521" s="98"/>
      <c r="S521" s="101"/>
      <c r="T521" s="644"/>
      <c r="U521" s="101"/>
      <c r="V521" s="647"/>
      <c r="W521" s="643"/>
      <c r="X521" s="644"/>
      <c r="Y521" s="101"/>
      <c r="Z521" s="644"/>
      <c r="AA521" s="101"/>
      <c r="AB521" s="644"/>
      <c r="AC521" s="101"/>
      <c r="AD521" s="646"/>
      <c r="AE521" s="271"/>
      <c r="AF521" s="646"/>
      <c r="AG521" s="646"/>
      <c r="AH521" s="646"/>
      <c r="AI521" s="646"/>
      <c r="AJ521" s="646"/>
      <c r="AK521" s="646"/>
      <c r="AL521" s="646"/>
      <c r="AM521" s="271"/>
      <c r="AN521" s="646"/>
      <c r="AO521" s="646"/>
      <c r="AP521" s="646"/>
      <c r="AQ521" s="271"/>
      <c r="AR521" s="646"/>
      <c r="AS521" s="270"/>
      <c r="AT521" s="646"/>
      <c r="AU521" s="646"/>
      <c r="AV521" s="646"/>
      <c r="AW521" s="270"/>
      <c r="AX521" s="646"/>
      <c r="AY521" s="270"/>
      <c r="AZ521" s="646"/>
      <c r="BA521" s="646"/>
      <c r="BB521" s="644"/>
      <c r="BC521" s="644"/>
      <c r="BD521" s="644"/>
      <c r="BE521" s="644"/>
      <c r="BF521" s="644"/>
      <c r="BG521" s="644"/>
      <c r="BH521" s="644"/>
      <c r="BI521" s="644"/>
      <c r="BJ521" s="644"/>
      <c r="BK521" s="644"/>
      <c r="BL521" s="644"/>
      <c r="BM521" s="95"/>
      <c r="BN521" s="644"/>
      <c r="BO521" s="95"/>
      <c r="BP521" s="644"/>
      <c r="BQ521" s="644"/>
      <c r="BR521" s="644"/>
      <c r="BS521" s="644"/>
      <c r="BT521" s="644"/>
      <c r="BU521" s="644"/>
      <c r="BV521" s="644"/>
      <c r="BW521" s="644"/>
      <c r="BX521" s="644"/>
      <c r="BY521" s="644"/>
      <c r="BZ521" s="644"/>
      <c r="CA521" s="644"/>
      <c r="CB521" s="644"/>
      <c r="CC521" s="644"/>
      <c r="CD521" s="644"/>
      <c r="CE521" s="644"/>
      <c r="CF521" s="644"/>
      <c r="CG521" s="644"/>
      <c r="CH521" s="644"/>
      <c r="CI521" s="644"/>
      <c r="CJ521" s="644"/>
      <c r="CK521" s="644"/>
      <c r="CL521" s="644"/>
      <c r="CM521" s="95"/>
      <c r="CN521" s="644"/>
      <c r="CO521" s="644"/>
      <c r="CP521" s="95"/>
      <c r="CQ521" s="98"/>
      <c r="CR521" s="95"/>
      <c r="CS521" s="95"/>
      <c r="CT521" s="95"/>
      <c r="CU521" s="108"/>
      <c r="CV521" s="109"/>
      <c r="CW521" s="644"/>
      <c r="CX521" s="496"/>
      <c r="CY521" s="637"/>
      <c r="CZ521" s="644"/>
      <c r="DA521" s="644"/>
      <c r="DB521" s="644"/>
      <c r="DC521" s="496"/>
      <c r="DD521" s="644"/>
      <c r="DE521" s="101"/>
      <c r="DF521" s="644"/>
      <c r="DG521" s="101"/>
      <c r="DH521" s="644"/>
      <c r="DI521" s="644"/>
      <c r="DJ521" s="644"/>
      <c r="DK521" s="644"/>
      <c r="DL521" s="644"/>
      <c r="DM521" s="101"/>
      <c r="DN521" s="644"/>
      <c r="DO521" s="644"/>
      <c r="DP521" s="644"/>
      <c r="DQ521" s="644"/>
      <c r="DR521" s="644"/>
      <c r="DS521" s="644"/>
      <c r="DT521" s="644"/>
      <c r="DU521" s="644"/>
      <c r="DV521" s="644"/>
      <c r="DW521" s="101"/>
      <c r="DX521" s="646"/>
      <c r="DY521" s="646"/>
      <c r="DZ521" s="646"/>
      <c r="EA521" s="646"/>
      <c r="EB521" s="646"/>
      <c r="EC521" s="646"/>
      <c r="ED521" s="646"/>
      <c r="EE521" s="646"/>
      <c r="EF521" s="646"/>
      <c r="EG521" s="646"/>
      <c r="EH521" s="646"/>
      <c r="EI521" s="646"/>
      <c r="EJ521" s="646"/>
      <c r="EK521" s="271"/>
      <c r="EL521" s="644"/>
      <c r="EM521" s="634"/>
      <c r="EN521" s="647"/>
      <c r="EO521" s="648"/>
      <c r="EP521" s="647"/>
      <c r="EQ521" s="647"/>
      <c r="ER521" s="647"/>
      <c r="ES521" s="139"/>
      <c r="EV521" s="647"/>
      <c r="EW521" s="647"/>
      <c r="EX521" s="647"/>
      <c r="EY521" s="647"/>
      <c r="EZ521" s="647"/>
      <c r="FA521" s="646"/>
      <c r="FB521" s="646"/>
      <c r="FC521" s="646"/>
      <c r="FD521" s="646"/>
      <c r="FE521" s="646"/>
      <c r="FF521" s="646"/>
      <c r="FG521" s="647"/>
      <c r="FH521" s="647"/>
      <c r="FI521" s="647"/>
      <c r="FJ521" s="647"/>
      <c r="FK521" s="647"/>
      <c r="FL521" s="647"/>
      <c r="FM521" s="647"/>
      <c r="FN521" s="647"/>
      <c r="FO521" s="647"/>
      <c r="FP521" s="647"/>
      <c r="FQ521" s="647"/>
      <c r="FR521" s="647"/>
      <c r="FS521" s="101"/>
      <c r="FT521" s="95"/>
      <c r="FU521" s="651"/>
      <c r="FV521" s="101"/>
      <c r="FW521" s="101"/>
      <c r="FX521" s="634"/>
      <c r="FY521" s="634"/>
      <c r="FZ521" s="634"/>
      <c r="GA521" s="634"/>
      <c r="GB521" s="634"/>
      <c r="GC521" s="634"/>
      <c r="GD521" s="634"/>
      <c r="GE521" s="634"/>
      <c r="GF521" s="634"/>
      <c r="GG521" s="634"/>
      <c r="GH521" s="634"/>
      <c r="GI521" s="634"/>
      <c r="GJ521" s="634"/>
      <c r="GK521" s="634"/>
      <c r="GL521" s="101"/>
      <c r="GM521" s="101"/>
      <c r="GN521" s="101"/>
      <c r="GO521" s="643"/>
      <c r="GP521" s="644"/>
      <c r="GQ521" s="643"/>
      <c r="GR521" s="644"/>
      <c r="GS521" s="643"/>
      <c r="GT521" s="644"/>
      <c r="GU521" s="644"/>
      <c r="GV521" s="644"/>
      <c r="GW521" s="644"/>
      <c r="GX521" s="644"/>
      <c r="GY521" s="644"/>
      <c r="GZ521" s="644"/>
      <c r="HA521" s="644"/>
    </row>
    <row r="522" spans="1:209">
      <c r="A522" s="638"/>
      <c r="B522" s="95"/>
      <c r="C522" s="95"/>
      <c r="D522" s="95"/>
      <c r="E522" s="650"/>
      <c r="F522" s="95"/>
      <c r="G522" s="98"/>
      <c r="H522" s="99"/>
      <c r="I522" s="95"/>
      <c r="J522" s="95"/>
      <c r="K522" s="95"/>
      <c r="L522" s="95"/>
      <c r="M522" s="95"/>
      <c r="N522" s="95"/>
      <c r="O522" s="95"/>
      <c r="P522" s="95"/>
      <c r="Q522" s="95"/>
      <c r="R522" s="98"/>
      <c r="S522" s="101"/>
      <c r="T522" s="644"/>
      <c r="U522" s="101"/>
      <c r="V522" s="647"/>
      <c r="W522" s="643"/>
      <c r="X522" s="644"/>
      <c r="Y522" s="101"/>
      <c r="Z522" s="644"/>
      <c r="AA522" s="101"/>
      <c r="AB522" s="644"/>
      <c r="AC522" s="101"/>
      <c r="AD522" s="646"/>
      <c r="AE522" s="271"/>
      <c r="AF522" s="646"/>
      <c r="AG522" s="646"/>
      <c r="AH522" s="646"/>
      <c r="AI522" s="646"/>
      <c r="AJ522" s="646"/>
      <c r="AK522" s="646"/>
      <c r="AL522" s="646"/>
      <c r="AM522" s="271"/>
      <c r="AN522" s="646"/>
      <c r="AO522" s="646"/>
      <c r="AP522" s="646"/>
      <c r="AQ522" s="271"/>
      <c r="AR522" s="646"/>
      <c r="AS522" s="270"/>
      <c r="AT522" s="646"/>
      <c r="AU522" s="646"/>
      <c r="AV522" s="646"/>
      <c r="AW522" s="270"/>
      <c r="AX522" s="646"/>
      <c r="AY522" s="270"/>
      <c r="AZ522" s="646"/>
      <c r="BA522" s="646"/>
      <c r="BB522" s="644"/>
      <c r="BC522" s="644"/>
      <c r="BD522" s="644"/>
      <c r="BE522" s="644"/>
      <c r="BF522" s="644"/>
      <c r="BG522" s="644"/>
      <c r="BH522" s="644"/>
      <c r="BI522" s="644"/>
      <c r="BJ522" s="644"/>
      <c r="BK522" s="644"/>
      <c r="BL522" s="644"/>
      <c r="BM522" s="95"/>
      <c r="BN522" s="644"/>
      <c r="BO522" s="95"/>
      <c r="BP522" s="644"/>
      <c r="BQ522" s="644"/>
      <c r="BR522" s="644"/>
      <c r="BS522" s="644"/>
      <c r="BT522" s="644"/>
      <c r="BU522" s="644"/>
      <c r="BV522" s="644"/>
      <c r="BW522" s="644"/>
      <c r="BX522" s="644"/>
      <c r="BY522" s="644"/>
      <c r="BZ522" s="644"/>
      <c r="CA522" s="644"/>
      <c r="CB522" s="644"/>
      <c r="CC522" s="644"/>
      <c r="CD522" s="644"/>
      <c r="CE522" s="644"/>
      <c r="CF522" s="644"/>
      <c r="CG522" s="644"/>
      <c r="CH522" s="644"/>
      <c r="CI522" s="644"/>
      <c r="CJ522" s="644"/>
      <c r="CK522" s="644"/>
      <c r="CL522" s="644"/>
      <c r="CM522" s="95"/>
      <c r="CN522" s="644"/>
      <c r="CO522" s="644"/>
      <c r="CP522" s="95"/>
      <c r="CQ522" s="98"/>
      <c r="CR522" s="95"/>
      <c r="CS522" s="95"/>
      <c r="CT522" s="95"/>
      <c r="CU522" s="108"/>
      <c r="CV522" s="109"/>
      <c r="CW522" s="644"/>
      <c r="CX522" s="496"/>
      <c r="CY522" s="637"/>
      <c r="CZ522" s="644"/>
      <c r="DA522" s="644"/>
      <c r="DB522" s="644"/>
      <c r="DC522" s="496"/>
      <c r="DD522" s="644"/>
      <c r="DE522" s="101"/>
      <c r="DF522" s="644"/>
      <c r="DG522" s="101"/>
      <c r="DH522" s="644"/>
      <c r="DI522" s="644"/>
      <c r="DJ522" s="644"/>
      <c r="DK522" s="644"/>
      <c r="DL522" s="644"/>
      <c r="DM522" s="101"/>
      <c r="DN522" s="644"/>
      <c r="DO522" s="644"/>
      <c r="DP522" s="644"/>
      <c r="DQ522" s="644"/>
      <c r="DR522" s="644"/>
      <c r="DS522" s="644"/>
      <c r="DT522" s="644"/>
      <c r="DU522" s="644"/>
      <c r="DV522" s="644"/>
      <c r="DW522" s="101"/>
      <c r="DX522" s="646"/>
      <c r="DY522" s="646"/>
      <c r="DZ522" s="646"/>
      <c r="EA522" s="646"/>
      <c r="EB522" s="646"/>
      <c r="EC522" s="646"/>
      <c r="ED522" s="646"/>
      <c r="EE522" s="646"/>
      <c r="EF522" s="646"/>
      <c r="EG522" s="646"/>
      <c r="EH522" s="646"/>
      <c r="EI522" s="646"/>
      <c r="EJ522" s="646"/>
      <c r="EK522" s="271"/>
      <c r="EL522" s="644"/>
      <c r="EM522" s="634"/>
      <c r="EN522" s="647"/>
      <c r="EO522" s="648"/>
      <c r="EP522" s="647"/>
      <c r="EQ522" s="647"/>
      <c r="ER522" s="647"/>
      <c r="ES522" s="139"/>
      <c r="EV522" s="647"/>
      <c r="EW522" s="647"/>
      <c r="EX522" s="647"/>
      <c r="EY522" s="647"/>
      <c r="EZ522" s="647"/>
      <c r="FA522" s="646"/>
      <c r="FB522" s="646"/>
      <c r="FC522" s="646"/>
      <c r="FD522" s="646"/>
      <c r="FE522" s="646"/>
      <c r="FF522" s="646"/>
      <c r="FG522" s="647"/>
      <c r="FH522" s="647"/>
      <c r="FI522" s="647"/>
      <c r="FJ522" s="647"/>
      <c r="FK522" s="647"/>
      <c r="FL522" s="647"/>
      <c r="FM522" s="647"/>
      <c r="FN522" s="647"/>
      <c r="FO522" s="647"/>
      <c r="FP522" s="647"/>
      <c r="FQ522" s="647"/>
      <c r="FR522" s="647"/>
      <c r="FS522" s="101"/>
      <c r="FT522" s="95"/>
      <c r="FU522" s="651"/>
      <c r="FV522" s="101"/>
      <c r="FW522" s="101"/>
      <c r="FX522" s="634"/>
      <c r="FY522" s="634"/>
      <c r="FZ522" s="634"/>
      <c r="GA522" s="634"/>
      <c r="GB522" s="634"/>
      <c r="GC522" s="634"/>
      <c r="GD522" s="634"/>
      <c r="GE522" s="634"/>
      <c r="GF522" s="634"/>
      <c r="GG522" s="634"/>
      <c r="GH522" s="634"/>
      <c r="GI522" s="634"/>
      <c r="GJ522" s="634"/>
      <c r="GK522" s="634"/>
      <c r="GL522" s="101"/>
      <c r="GM522" s="101"/>
      <c r="GN522" s="101"/>
      <c r="GO522" s="643"/>
      <c r="GP522" s="644"/>
      <c r="GQ522" s="643"/>
      <c r="GR522" s="644"/>
      <c r="GS522" s="643"/>
      <c r="GT522" s="644"/>
      <c r="GU522" s="644"/>
      <c r="GV522" s="644"/>
      <c r="GW522" s="644"/>
      <c r="GX522" s="644"/>
      <c r="GY522" s="644"/>
      <c r="GZ522" s="644"/>
      <c r="HA522" s="644"/>
    </row>
    <row r="523" spans="1:209">
      <c r="A523" s="638"/>
      <c r="B523" s="95"/>
      <c r="C523" s="95"/>
      <c r="D523" s="95"/>
      <c r="E523" s="650"/>
      <c r="F523" s="95"/>
      <c r="G523" s="98"/>
      <c r="H523" s="99"/>
      <c r="I523" s="95"/>
      <c r="J523" s="95"/>
      <c r="K523" s="95"/>
      <c r="L523" s="95"/>
      <c r="M523" s="95"/>
      <c r="N523" s="95"/>
      <c r="O523" s="95"/>
      <c r="P523" s="95"/>
      <c r="Q523" s="95"/>
      <c r="R523" s="98"/>
      <c r="S523" s="101"/>
      <c r="T523" s="644"/>
      <c r="U523" s="101"/>
      <c r="V523" s="647"/>
      <c r="W523" s="643"/>
      <c r="X523" s="644"/>
      <c r="Y523" s="101"/>
      <c r="Z523" s="644"/>
      <c r="AA523" s="101"/>
      <c r="AB523" s="644"/>
      <c r="AC523" s="101"/>
      <c r="AD523" s="646"/>
      <c r="AE523" s="271"/>
      <c r="AF523" s="646"/>
      <c r="AG523" s="646"/>
      <c r="AH523" s="646"/>
      <c r="AI523" s="646"/>
      <c r="AJ523" s="646"/>
      <c r="AK523" s="646"/>
      <c r="AL523" s="646"/>
      <c r="AM523" s="271"/>
      <c r="AN523" s="646"/>
      <c r="AO523" s="646"/>
      <c r="AP523" s="646"/>
      <c r="AQ523" s="271"/>
      <c r="AR523" s="646"/>
      <c r="AS523" s="270"/>
      <c r="AT523" s="646"/>
      <c r="AU523" s="646"/>
      <c r="AV523" s="646"/>
      <c r="AW523" s="270"/>
      <c r="AX523" s="646"/>
      <c r="AY523" s="270"/>
      <c r="AZ523" s="646"/>
      <c r="BA523" s="646"/>
      <c r="BB523" s="644"/>
      <c r="BC523" s="644"/>
      <c r="BD523" s="644"/>
      <c r="BE523" s="644"/>
      <c r="BF523" s="644"/>
      <c r="BG523" s="644"/>
      <c r="BH523" s="644"/>
      <c r="BI523" s="644"/>
      <c r="BJ523" s="644"/>
      <c r="BK523" s="644"/>
      <c r="BL523" s="644"/>
      <c r="BM523" s="95"/>
      <c r="BN523" s="644"/>
      <c r="BO523" s="95"/>
      <c r="BP523" s="644"/>
      <c r="BQ523" s="644"/>
      <c r="BR523" s="644"/>
      <c r="BS523" s="644"/>
      <c r="BT523" s="644"/>
      <c r="BU523" s="644"/>
      <c r="BV523" s="644"/>
      <c r="BW523" s="644"/>
      <c r="BX523" s="644"/>
      <c r="BY523" s="644"/>
      <c r="BZ523" s="644"/>
      <c r="CA523" s="644"/>
      <c r="CB523" s="644"/>
      <c r="CC523" s="644"/>
      <c r="CD523" s="644"/>
      <c r="CE523" s="644"/>
      <c r="CF523" s="644"/>
      <c r="CG523" s="644"/>
      <c r="CH523" s="644"/>
      <c r="CI523" s="644"/>
      <c r="CJ523" s="644"/>
      <c r="CK523" s="644"/>
      <c r="CL523" s="644"/>
      <c r="CM523" s="95"/>
      <c r="CN523" s="644"/>
      <c r="CO523" s="644"/>
      <c r="CP523" s="95"/>
      <c r="CQ523" s="98"/>
      <c r="CR523" s="95"/>
      <c r="CS523" s="95"/>
      <c r="CT523" s="95"/>
      <c r="CU523" s="108"/>
      <c r="CV523" s="109"/>
      <c r="CW523" s="644"/>
      <c r="CX523" s="496"/>
      <c r="CY523" s="637"/>
      <c r="CZ523" s="644"/>
      <c r="DA523" s="644"/>
      <c r="DB523" s="644"/>
      <c r="DC523" s="496"/>
      <c r="DD523" s="644"/>
      <c r="DE523" s="101"/>
      <c r="DF523" s="644"/>
      <c r="DG523" s="101"/>
      <c r="DH523" s="644"/>
      <c r="DI523" s="644"/>
      <c r="DJ523" s="644"/>
      <c r="DK523" s="644"/>
      <c r="DL523" s="644"/>
      <c r="DM523" s="101"/>
      <c r="DN523" s="644"/>
      <c r="DO523" s="644"/>
      <c r="DP523" s="644"/>
      <c r="DQ523" s="644"/>
      <c r="DR523" s="644"/>
      <c r="DS523" s="644"/>
      <c r="DT523" s="644"/>
      <c r="DU523" s="644"/>
      <c r="DV523" s="644"/>
      <c r="DW523" s="101"/>
      <c r="DX523" s="646"/>
      <c r="DY523" s="646"/>
      <c r="DZ523" s="646"/>
      <c r="EA523" s="646"/>
      <c r="EB523" s="646"/>
      <c r="EC523" s="646"/>
      <c r="ED523" s="646"/>
      <c r="EE523" s="646"/>
      <c r="EF523" s="646"/>
      <c r="EG523" s="646"/>
      <c r="EH523" s="646"/>
      <c r="EI523" s="646"/>
      <c r="EJ523" s="646"/>
      <c r="EK523" s="271"/>
      <c r="EL523" s="644"/>
      <c r="EM523" s="634"/>
      <c r="EN523" s="647"/>
      <c r="EO523" s="648"/>
      <c r="EP523" s="647"/>
      <c r="EQ523" s="647"/>
      <c r="ER523" s="647"/>
      <c r="ES523" s="139"/>
      <c r="EV523" s="647"/>
      <c r="EW523" s="647"/>
      <c r="EX523" s="647"/>
      <c r="EY523" s="647"/>
      <c r="EZ523" s="647"/>
      <c r="FA523" s="646"/>
      <c r="FB523" s="646"/>
      <c r="FC523" s="646"/>
      <c r="FD523" s="646"/>
      <c r="FE523" s="646"/>
      <c r="FF523" s="646"/>
      <c r="FG523" s="647"/>
      <c r="FH523" s="647"/>
      <c r="FI523" s="647"/>
      <c r="FJ523" s="647"/>
      <c r="FK523" s="647"/>
      <c r="FL523" s="647"/>
      <c r="FM523" s="647"/>
      <c r="FN523" s="647"/>
      <c r="FO523" s="647"/>
      <c r="FP523" s="647"/>
      <c r="FQ523" s="647"/>
      <c r="FR523" s="647"/>
      <c r="FS523" s="101"/>
      <c r="FT523" s="95"/>
      <c r="FU523" s="651"/>
      <c r="FV523" s="101"/>
      <c r="FW523" s="101"/>
      <c r="FX523" s="634"/>
      <c r="FY523" s="634"/>
      <c r="FZ523" s="634"/>
      <c r="GA523" s="634"/>
      <c r="GB523" s="634"/>
      <c r="GC523" s="634"/>
      <c r="GD523" s="634"/>
      <c r="GE523" s="634"/>
      <c r="GF523" s="634"/>
      <c r="GG523" s="634"/>
      <c r="GH523" s="634"/>
      <c r="GI523" s="634"/>
      <c r="GJ523" s="634"/>
      <c r="GK523" s="634"/>
      <c r="GL523" s="101"/>
      <c r="GM523" s="101"/>
      <c r="GN523" s="101"/>
      <c r="GO523" s="643"/>
      <c r="GP523" s="644"/>
      <c r="GQ523" s="643"/>
      <c r="GR523" s="644"/>
      <c r="GS523" s="643"/>
      <c r="GT523" s="644"/>
      <c r="GU523" s="644"/>
      <c r="GV523" s="644"/>
      <c r="GW523" s="644"/>
      <c r="GX523" s="644"/>
      <c r="GY523" s="644"/>
      <c r="GZ523" s="644"/>
      <c r="HA523" s="644"/>
    </row>
    <row r="524" spans="1:209">
      <c r="A524" s="638"/>
      <c r="B524" s="95"/>
      <c r="C524" s="95"/>
      <c r="D524" s="95"/>
      <c r="E524" s="650"/>
      <c r="F524" s="95"/>
      <c r="G524" s="98"/>
      <c r="H524" s="99"/>
      <c r="I524" s="95"/>
      <c r="J524" s="95"/>
      <c r="K524" s="95"/>
      <c r="L524" s="95"/>
      <c r="M524" s="95"/>
      <c r="N524" s="95"/>
      <c r="O524" s="95"/>
      <c r="P524" s="95"/>
      <c r="Q524" s="95"/>
      <c r="R524" s="98"/>
      <c r="S524" s="101"/>
      <c r="T524" s="644"/>
      <c r="U524" s="101"/>
      <c r="V524" s="647"/>
      <c r="W524" s="643"/>
      <c r="X524" s="644"/>
      <c r="Y524" s="101"/>
      <c r="Z524" s="644"/>
      <c r="AA524" s="101"/>
      <c r="AB524" s="644"/>
      <c r="AC524" s="101"/>
      <c r="AD524" s="646"/>
      <c r="AE524" s="271"/>
      <c r="AF524" s="646"/>
      <c r="AG524" s="646"/>
      <c r="AH524" s="646"/>
      <c r="AI524" s="646"/>
      <c r="AJ524" s="646"/>
      <c r="AK524" s="646"/>
      <c r="AL524" s="646"/>
      <c r="AM524" s="271"/>
      <c r="AN524" s="646"/>
      <c r="AO524" s="646"/>
      <c r="AP524" s="646"/>
      <c r="AQ524" s="271"/>
      <c r="AR524" s="646"/>
      <c r="AS524" s="270"/>
      <c r="AT524" s="646"/>
      <c r="AU524" s="646"/>
      <c r="AV524" s="646"/>
      <c r="AW524" s="270"/>
      <c r="AX524" s="646"/>
      <c r="AY524" s="270"/>
      <c r="AZ524" s="646"/>
      <c r="BA524" s="646"/>
      <c r="BB524" s="644"/>
      <c r="BC524" s="644"/>
      <c r="BD524" s="644"/>
      <c r="BE524" s="644"/>
      <c r="BF524" s="644"/>
      <c r="BG524" s="644"/>
      <c r="BH524" s="644"/>
      <c r="BI524" s="644"/>
      <c r="BJ524" s="644"/>
      <c r="BK524" s="644"/>
      <c r="BL524" s="644"/>
      <c r="BM524" s="95"/>
      <c r="BN524" s="644"/>
      <c r="BO524" s="95"/>
      <c r="BP524" s="644"/>
      <c r="BQ524" s="644"/>
      <c r="BR524" s="644"/>
      <c r="BS524" s="644"/>
      <c r="BT524" s="644"/>
      <c r="BU524" s="644"/>
      <c r="BV524" s="644"/>
      <c r="BW524" s="644"/>
      <c r="BX524" s="644"/>
      <c r="BY524" s="644"/>
      <c r="BZ524" s="644"/>
      <c r="CA524" s="644"/>
      <c r="CB524" s="644"/>
      <c r="CC524" s="644"/>
      <c r="CD524" s="644"/>
      <c r="CE524" s="644"/>
      <c r="CF524" s="644"/>
      <c r="CG524" s="644"/>
      <c r="CH524" s="644"/>
      <c r="CI524" s="644"/>
      <c r="CJ524" s="644"/>
      <c r="CK524" s="644"/>
      <c r="CL524" s="644"/>
      <c r="CM524" s="95"/>
      <c r="CN524" s="644"/>
      <c r="CO524" s="644"/>
      <c r="CP524" s="95"/>
      <c r="CQ524" s="98"/>
      <c r="CR524" s="95"/>
      <c r="CS524" s="95"/>
      <c r="CT524" s="95"/>
      <c r="CU524" s="108"/>
      <c r="CV524" s="109"/>
      <c r="CW524" s="644"/>
      <c r="CX524" s="496"/>
      <c r="CY524" s="637"/>
      <c r="CZ524" s="644"/>
      <c r="DA524" s="644"/>
      <c r="DB524" s="644"/>
      <c r="DC524" s="496"/>
      <c r="DD524" s="644"/>
      <c r="DE524" s="101"/>
      <c r="DF524" s="644"/>
      <c r="DG524" s="101"/>
      <c r="DH524" s="644"/>
      <c r="DI524" s="644"/>
      <c r="DJ524" s="644"/>
      <c r="DK524" s="644"/>
      <c r="DL524" s="644"/>
      <c r="DM524" s="101"/>
      <c r="DN524" s="644"/>
      <c r="DO524" s="644"/>
      <c r="DP524" s="644"/>
      <c r="DQ524" s="644"/>
      <c r="DR524" s="644"/>
      <c r="DS524" s="644"/>
      <c r="DT524" s="644"/>
      <c r="DU524" s="644"/>
      <c r="DV524" s="644"/>
      <c r="DW524" s="101"/>
      <c r="DX524" s="646"/>
      <c r="DY524" s="646"/>
      <c r="DZ524" s="646"/>
      <c r="EA524" s="646"/>
      <c r="EB524" s="646"/>
      <c r="EC524" s="646"/>
      <c r="ED524" s="646"/>
      <c r="EE524" s="646"/>
      <c r="EF524" s="646"/>
      <c r="EG524" s="646"/>
      <c r="EH524" s="646"/>
      <c r="EI524" s="646"/>
      <c r="EJ524" s="646"/>
      <c r="EK524" s="271"/>
      <c r="EL524" s="644"/>
      <c r="EM524" s="634"/>
      <c r="EN524" s="647"/>
      <c r="EO524" s="648"/>
      <c r="EP524" s="647"/>
      <c r="EQ524" s="647"/>
      <c r="ER524" s="647"/>
      <c r="ES524" s="139"/>
      <c r="EV524" s="647"/>
      <c r="EW524" s="647"/>
      <c r="EX524" s="647"/>
      <c r="EY524" s="647"/>
      <c r="EZ524" s="647"/>
      <c r="FA524" s="646"/>
      <c r="FB524" s="646"/>
      <c r="FC524" s="646"/>
      <c r="FD524" s="646"/>
      <c r="FE524" s="646"/>
      <c r="FF524" s="646"/>
      <c r="FG524" s="647"/>
      <c r="FH524" s="647"/>
      <c r="FI524" s="647"/>
      <c r="FJ524" s="647"/>
      <c r="FK524" s="647"/>
      <c r="FL524" s="647"/>
      <c r="FM524" s="647"/>
      <c r="FN524" s="647"/>
      <c r="FO524" s="647"/>
      <c r="FP524" s="647"/>
      <c r="FQ524" s="647"/>
      <c r="FR524" s="647"/>
      <c r="FS524" s="101"/>
      <c r="FT524" s="95"/>
      <c r="FU524" s="651"/>
      <c r="FV524" s="101"/>
      <c r="FW524" s="101"/>
      <c r="FX524" s="634"/>
      <c r="FY524" s="634"/>
      <c r="FZ524" s="634"/>
      <c r="GA524" s="634"/>
      <c r="GB524" s="634"/>
      <c r="GC524" s="634"/>
      <c r="GD524" s="634"/>
      <c r="GE524" s="634"/>
      <c r="GF524" s="634"/>
      <c r="GG524" s="634"/>
      <c r="GH524" s="634"/>
      <c r="GI524" s="634"/>
      <c r="GJ524" s="634"/>
      <c r="GK524" s="634"/>
      <c r="GL524" s="101"/>
      <c r="GM524" s="101"/>
      <c r="GN524" s="101"/>
      <c r="GO524" s="643"/>
      <c r="GP524" s="644"/>
      <c r="GQ524" s="643"/>
      <c r="GR524" s="644"/>
      <c r="GS524" s="643"/>
      <c r="GT524" s="644"/>
      <c r="GU524" s="644"/>
      <c r="GV524" s="644"/>
      <c r="GW524" s="644"/>
      <c r="GX524" s="644"/>
      <c r="GY524" s="644"/>
      <c r="GZ524" s="644"/>
      <c r="HA524" s="644"/>
    </row>
    <row r="525" spans="1:209">
      <c r="A525" s="638"/>
      <c r="B525" s="95"/>
      <c r="C525" s="95"/>
      <c r="D525" s="95"/>
      <c r="E525" s="650"/>
      <c r="F525" s="95"/>
      <c r="G525" s="98"/>
      <c r="H525" s="99"/>
      <c r="I525" s="95"/>
      <c r="J525" s="95"/>
      <c r="K525" s="95"/>
      <c r="L525" s="95"/>
      <c r="M525" s="95"/>
      <c r="N525" s="95"/>
      <c r="O525" s="95"/>
      <c r="P525" s="95"/>
      <c r="Q525" s="95"/>
      <c r="R525" s="98"/>
      <c r="S525" s="101"/>
      <c r="T525" s="644"/>
      <c r="U525" s="101"/>
      <c r="V525" s="647"/>
      <c r="W525" s="643"/>
      <c r="X525" s="644"/>
      <c r="Y525" s="101"/>
      <c r="Z525" s="644"/>
      <c r="AA525" s="101"/>
      <c r="AB525" s="644"/>
      <c r="AC525" s="101"/>
      <c r="AD525" s="646"/>
      <c r="AE525" s="271"/>
      <c r="AF525" s="646"/>
      <c r="AG525" s="646"/>
      <c r="AH525" s="646"/>
      <c r="AI525" s="646"/>
      <c r="AJ525" s="646"/>
      <c r="AK525" s="646"/>
      <c r="AL525" s="646"/>
      <c r="AM525" s="271"/>
      <c r="AN525" s="646"/>
      <c r="AO525" s="646"/>
      <c r="AP525" s="646"/>
      <c r="AQ525" s="271"/>
      <c r="AR525" s="646"/>
      <c r="AS525" s="270"/>
      <c r="AT525" s="646"/>
      <c r="AU525" s="646"/>
      <c r="AV525" s="646"/>
      <c r="AW525" s="270"/>
      <c r="AX525" s="646"/>
      <c r="AY525" s="270"/>
      <c r="AZ525" s="646"/>
      <c r="BA525" s="646"/>
      <c r="BB525" s="644"/>
      <c r="BC525" s="644"/>
      <c r="BD525" s="644"/>
      <c r="BE525" s="644"/>
      <c r="BF525" s="644"/>
      <c r="BG525" s="644"/>
      <c r="BH525" s="644"/>
      <c r="BI525" s="644"/>
      <c r="BJ525" s="644"/>
      <c r="BK525" s="644"/>
      <c r="BL525" s="644"/>
      <c r="BM525" s="95"/>
      <c r="BN525" s="644"/>
      <c r="BO525" s="95"/>
      <c r="BP525" s="644"/>
      <c r="BQ525" s="644"/>
      <c r="BR525" s="644"/>
      <c r="BS525" s="644"/>
      <c r="BT525" s="644"/>
      <c r="BU525" s="644"/>
      <c r="BV525" s="644"/>
      <c r="BW525" s="644"/>
      <c r="BX525" s="644"/>
      <c r="BY525" s="644"/>
      <c r="BZ525" s="644"/>
      <c r="CA525" s="644"/>
      <c r="CB525" s="644"/>
      <c r="CC525" s="644"/>
      <c r="CD525" s="644"/>
      <c r="CE525" s="644"/>
      <c r="CF525" s="644"/>
      <c r="CG525" s="644"/>
      <c r="CH525" s="644"/>
      <c r="CI525" s="644"/>
      <c r="CJ525" s="644"/>
      <c r="CK525" s="644"/>
      <c r="CL525" s="644"/>
      <c r="CM525" s="95"/>
      <c r="CN525" s="644"/>
      <c r="CO525" s="644"/>
      <c r="CP525" s="95"/>
      <c r="CQ525" s="98"/>
      <c r="CR525" s="95"/>
      <c r="CS525" s="95"/>
      <c r="CT525" s="95"/>
      <c r="CU525" s="108"/>
      <c r="CV525" s="109"/>
      <c r="CW525" s="644"/>
      <c r="CX525" s="496"/>
      <c r="CY525" s="637"/>
      <c r="CZ525" s="644"/>
      <c r="DA525" s="644"/>
      <c r="DB525" s="644"/>
      <c r="DC525" s="496"/>
      <c r="DD525" s="644"/>
      <c r="DE525" s="101"/>
      <c r="DF525" s="644"/>
      <c r="DG525" s="101"/>
      <c r="DH525" s="644"/>
      <c r="DI525" s="644"/>
      <c r="DJ525" s="644"/>
      <c r="DK525" s="644"/>
      <c r="DL525" s="644"/>
      <c r="DM525" s="101"/>
      <c r="DN525" s="644"/>
      <c r="DO525" s="644"/>
      <c r="DP525" s="644"/>
      <c r="DQ525" s="644"/>
      <c r="DR525" s="644"/>
      <c r="DS525" s="644"/>
      <c r="DT525" s="644"/>
      <c r="DU525" s="644"/>
      <c r="DV525" s="644"/>
      <c r="DW525" s="101"/>
      <c r="DX525" s="646"/>
      <c r="DY525" s="646"/>
      <c r="DZ525" s="646"/>
      <c r="EA525" s="646"/>
      <c r="EB525" s="646"/>
      <c r="EC525" s="646"/>
      <c r="ED525" s="646"/>
      <c r="EE525" s="646"/>
      <c r="EF525" s="646"/>
      <c r="EG525" s="646"/>
      <c r="EH525" s="646"/>
      <c r="EI525" s="646"/>
      <c r="EJ525" s="646"/>
      <c r="EK525" s="271"/>
      <c r="EL525" s="644"/>
      <c r="EM525" s="634"/>
      <c r="EN525" s="647"/>
      <c r="EO525" s="648"/>
      <c r="EP525" s="647"/>
      <c r="EQ525" s="647"/>
      <c r="ER525" s="647"/>
      <c r="ES525" s="139"/>
      <c r="EV525" s="647"/>
      <c r="EW525" s="647"/>
      <c r="EX525" s="647"/>
      <c r="EY525" s="647"/>
      <c r="EZ525" s="647"/>
      <c r="FA525" s="646"/>
      <c r="FB525" s="646"/>
      <c r="FC525" s="646"/>
      <c r="FD525" s="646"/>
      <c r="FE525" s="646"/>
      <c r="FF525" s="646"/>
      <c r="FG525" s="647"/>
      <c r="FH525" s="647"/>
      <c r="FI525" s="647"/>
      <c r="FJ525" s="647"/>
      <c r="FK525" s="647"/>
      <c r="FL525" s="647"/>
      <c r="FM525" s="647"/>
      <c r="FN525" s="647"/>
      <c r="FO525" s="647"/>
      <c r="FP525" s="647"/>
      <c r="FQ525" s="647"/>
      <c r="FR525" s="647"/>
      <c r="FS525" s="101"/>
      <c r="FT525" s="95"/>
      <c r="FU525" s="651"/>
      <c r="FV525" s="101"/>
      <c r="FW525" s="101"/>
      <c r="FX525" s="634"/>
      <c r="FY525" s="634"/>
      <c r="FZ525" s="634"/>
      <c r="GA525" s="634"/>
      <c r="GB525" s="634"/>
      <c r="GC525" s="634"/>
      <c r="GD525" s="634"/>
      <c r="GE525" s="634"/>
      <c r="GF525" s="634"/>
      <c r="GG525" s="634"/>
      <c r="GH525" s="634"/>
      <c r="GI525" s="634"/>
      <c r="GJ525" s="634"/>
      <c r="GK525" s="634"/>
      <c r="GL525" s="101"/>
      <c r="GM525" s="101"/>
      <c r="GN525" s="101"/>
      <c r="GO525" s="643"/>
      <c r="GP525" s="644"/>
      <c r="GQ525" s="643"/>
      <c r="GR525" s="644"/>
      <c r="GS525" s="643"/>
      <c r="GT525" s="644"/>
      <c r="GU525" s="644"/>
      <c r="GV525" s="644"/>
      <c r="GW525" s="644"/>
      <c r="GX525" s="644"/>
      <c r="GY525" s="644"/>
      <c r="GZ525" s="644"/>
      <c r="HA525" s="644"/>
    </row>
    <row r="526" spans="1:209">
      <c r="A526" s="638"/>
      <c r="B526" s="95"/>
      <c r="C526" s="95"/>
      <c r="D526" s="95"/>
      <c r="E526" s="650"/>
      <c r="F526" s="95"/>
      <c r="G526" s="98"/>
      <c r="H526" s="99"/>
      <c r="I526" s="95"/>
      <c r="J526" s="95"/>
      <c r="K526" s="95"/>
      <c r="L526" s="95"/>
      <c r="M526" s="95"/>
      <c r="N526" s="95"/>
      <c r="O526" s="95"/>
      <c r="P526" s="95"/>
      <c r="Q526" s="95"/>
      <c r="R526" s="98"/>
      <c r="S526" s="101"/>
      <c r="T526" s="644"/>
      <c r="U526" s="101"/>
      <c r="V526" s="647"/>
      <c r="W526" s="643"/>
      <c r="X526" s="644"/>
      <c r="Y526" s="101"/>
      <c r="Z526" s="644"/>
      <c r="AA526" s="101"/>
      <c r="AB526" s="644"/>
      <c r="AC526" s="101"/>
      <c r="AD526" s="646"/>
      <c r="AE526" s="271"/>
      <c r="AF526" s="646"/>
      <c r="AG526" s="646"/>
      <c r="AH526" s="646"/>
      <c r="AI526" s="646"/>
      <c r="AJ526" s="646"/>
      <c r="AK526" s="646"/>
      <c r="AL526" s="646"/>
      <c r="AM526" s="271"/>
      <c r="AN526" s="646"/>
      <c r="AO526" s="646"/>
      <c r="AP526" s="646"/>
      <c r="AQ526" s="271"/>
      <c r="AR526" s="646"/>
      <c r="AS526" s="270"/>
      <c r="AT526" s="646"/>
      <c r="AU526" s="646"/>
      <c r="AV526" s="646"/>
      <c r="AW526" s="270"/>
      <c r="AX526" s="646"/>
      <c r="AY526" s="270"/>
      <c r="AZ526" s="646"/>
      <c r="BA526" s="646"/>
      <c r="BB526" s="644"/>
      <c r="BC526" s="644"/>
      <c r="BD526" s="644"/>
      <c r="BE526" s="644"/>
      <c r="BF526" s="644"/>
      <c r="BG526" s="644"/>
      <c r="BH526" s="644"/>
      <c r="BI526" s="644"/>
      <c r="BJ526" s="644"/>
      <c r="BK526" s="644"/>
      <c r="BL526" s="644"/>
      <c r="BM526" s="95"/>
      <c r="BN526" s="644"/>
      <c r="BO526" s="95"/>
      <c r="BP526" s="644"/>
      <c r="BQ526" s="644"/>
      <c r="BR526" s="644"/>
      <c r="BS526" s="644"/>
      <c r="BT526" s="644"/>
      <c r="BU526" s="644"/>
      <c r="BV526" s="644"/>
      <c r="BW526" s="644"/>
      <c r="BX526" s="644"/>
      <c r="BY526" s="644"/>
      <c r="BZ526" s="644"/>
      <c r="CA526" s="644"/>
      <c r="CB526" s="644"/>
      <c r="CC526" s="644"/>
      <c r="CD526" s="644"/>
      <c r="CE526" s="644"/>
      <c r="CF526" s="644"/>
      <c r="CG526" s="644"/>
      <c r="CH526" s="644"/>
      <c r="CI526" s="644"/>
      <c r="CJ526" s="644"/>
      <c r="CK526" s="644"/>
      <c r="CL526" s="644"/>
      <c r="CM526" s="95"/>
      <c r="CN526" s="644"/>
      <c r="CO526" s="644"/>
      <c r="CP526" s="95"/>
      <c r="CQ526" s="98"/>
      <c r="CR526" s="95"/>
      <c r="CS526" s="95"/>
      <c r="CT526" s="95"/>
      <c r="CU526" s="108"/>
      <c r="CV526" s="109"/>
      <c r="CW526" s="644"/>
      <c r="CX526" s="496"/>
      <c r="CY526" s="637"/>
      <c r="CZ526" s="644"/>
      <c r="DA526" s="644"/>
      <c r="DB526" s="644"/>
      <c r="DC526" s="496"/>
      <c r="DD526" s="644"/>
      <c r="DE526" s="101"/>
      <c r="DF526" s="644"/>
      <c r="DG526" s="101"/>
      <c r="DH526" s="644"/>
      <c r="DI526" s="644"/>
      <c r="DJ526" s="644"/>
      <c r="DK526" s="644"/>
      <c r="DL526" s="644"/>
      <c r="DM526" s="101"/>
      <c r="DN526" s="644"/>
      <c r="DO526" s="644"/>
      <c r="DP526" s="644"/>
      <c r="DQ526" s="644"/>
      <c r="DR526" s="644"/>
      <c r="DS526" s="644"/>
      <c r="DT526" s="644"/>
      <c r="DU526" s="644"/>
      <c r="DV526" s="644"/>
      <c r="DW526" s="101"/>
      <c r="DX526" s="646"/>
      <c r="DY526" s="646"/>
      <c r="DZ526" s="646"/>
      <c r="EA526" s="646"/>
      <c r="EB526" s="646"/>
      <c r="EC526" s="646"/>
      <c r="ED526" s="646"/>
      <c r="EE526" s="646"/>
      <c r="EF526" s="646"/>
      <c r="EG526" s="646"/>
      <c r="EH526" s="646"/>
      <c r="EI526" s="646"/>
      <c r="EJ526" s="646"/>
      <c r="EK526" s="271"/>
      <c r="EL526" s="644"/>
      <c r="EM526" s="634"/>
      <c r="EN526" s="647"/>
      <c r="EO526" s="648"/>
      <c r="EP526" s="647"/>
      <c r="EQ526" s="647"/>
      <c r="ER526" s="647"/>
      <c r="ES526" s="139"/>
      <c r="EV526" s="647"/>
      <c r="EW526" s="647"/>
      <c r="EX526" s="647"/>
      <c r="EY526" s="647"/>
      <c r="EZ526" s="647"/>
      <c r="FA526" s="646"/>
      <c r="FB526" s="646"/>
      <c r="FC526" s="646"/>
      <c r="FD526" s="646"/>
      <c r="FE526" s="646"/>
      <c r="FF526" s="646"/>
      <c r="FG526" s="647"/>
      <c r="FH526" s="647"/>
      <c r="FI526" s="647"/>
      <c r="FJ526" s="647"/>
      <c r="FK526" s="647"/>
      <c r="FL526" s="647"/>
      <c r="FM526" s="647"/>
      <c r="FN526" s="647"/>
      <c r="FO526" s="647"/>
      <c r="FP526" s="647"/>
      <c r="FQ526" s="647"/>
      <c r="FR526" s="647"/>
      <c r="FS526" s="101"/>
      <c r="FT526" s="95"/>
      <c r="FU526" s="651"/>
      <c r="FV526" s="101"/>
      <c r="FW526" s="101"/>
      <c r="FX526" s="634"/>
      <c r="FY526" s="634"/>
      <c r="FZ526" s="634"/>
      <c r="GA526" s="634"/>
      <c r="GB526" s="634"/>
      <c r="GC526" s="634"/>
      <c r="GD526" s="634"/>
      <c r="GE526" s="634"/>
      <c r="GF526" s="634"/>
      <c r="GG526" s="634"/>
      <c r="GH526" s="634"/>
      <c r="GI526" s="634"/>
      <c r="GJ526" s="634"/>
      <c r="GK526" s="634"/>
      <c r="GL526" s="101"/>
      <c r="GM526" s="101"/>
      <c r="GN526" s="101"/>
      <c r="GO526" s="643"/>
      <c r="GP526" s="644"/>
      <c r="GQ526" s="643"/>
      <c r="GR526" s="644"/>
      <c r="GS526" s="643"/>
      <c r="GT526" s="644"/>
      <c r="GU526" s="644"/>
      <c r="GV526" s="644"/>
      <c r="GW526" s="644"/>
      <c r="GX526" s="644"/>
      <c r="GY526" s="644"/>
      <c r="GZ526" s="644"/>
      <c r="HA526" s="644"/>
    </row>
    <row r="527" spans="1:209">
      <c r="A527" s="638"/>
      <c r="B527" s="95"/>
      <c r="C527" s="95"/>
      <c r="D527" s="95"/>
      <c r="E527" s="650"/>
      <c r="F527" s="95"/>
      <c r="G527" s="98"/>
      <c r="H527" s="99"/>
      <c r="I527" s="95"/>
      <c r="J527" s="95"/>
      <c r="K527" s="95"/>
      <c r="L527" s="95"/>
      <c r="M527" s="95"/>
      <c r="N527" s="95"/>
      <c r="O527" s="95"/>
      <c r="P527" s="95"/>
      <c r="Q527" s="95"/>
      <c r="R527" s="98"/>
      <c r="S527" s="101"/>
      <c r="T527" s="644"/>
      <c r="U527" s="101"/>
      <c r="V527" s="647"/>
      <c r="W527" s="643"/>
      <c r="X527" s="644"/>
      <c r="Y527" s="101"/>
      <c r="Z527" s="644"/>
      <c r="AA527" s="101"/>
      <c r="AB527" s="644"/>
      <c r="AC527" s="101"/>
      <c r="AD527" s="646"/>
      <c r="AE527" s="271"/>
      <c r="AF527" s="646"/>
      <c r="AG527" s="646"/>
      <c r="AH527" s="646"/>
      <c r="AI527" s="646"/>
      <c r="AJ527" s="646"/>
      <c r="AK527" s="646"/>
      <c r="AL527" s="646"/>
      <c r="AM527" s="271"/>
      <c r="AN527" s="646"/>
      <c r="AO527" s="646"/>
      <c r="AP527" s="646"/>
      <c r="AQ527" s="271"/>
      <c r="AR527" s="646"/>
      <c r="AS527" s="270"/>
      <c r="AT527" s="646"/>
      <c r="AU527" s="646"/>
      <c r="AV527" s="646"/>
      <c r="AW527" s="270"/>
      <c r="AX527" s="646"/>
      <c r="AY527" s="270"/>
      <c r="AZ527" s="646"/>
      <c r="BA527" s="646"/>
      <c r="BB527" s="644"/>
      <c r="BC527" s="644"/>
      <c r="BD527" s="644"/>
      <c r="BE527" s="644"/>
      <c r="BF527" s="644"/>
      <c r="BG527" s="644"/>
      <c r="BH527" s="644"/>
      <c r="BI527" s="644"/>
      <c r="BJ527" s="644"/>
      <c r="BK527" s="644"/>
      <c r="BL527" s="644"/>
      <c r="BM527" s="95"/>
      <c r="BN527" s="644"/>
      <c r="BO527" s="95"/>
      <c r="BP527" s="644"/>
      <c r="BQ527" s="644"/>
      <c r="BR527" s="644"/>
      <c r="BS527" s="644"/>
      <c r="BT527" s="644"/>
      <c r="BU527" s="644"/>
      <c r="BV527" s="644"/>
      <c r="BW527" s="644"/>
      <c r="BX527" s="644"/>
      <c r="BY527" s="644"/>
      <c r="BZ527" s="644"/>
      <c r="CA527" s="644"/>
      <c r="CB527" s="644"/>
      <c r="CC527" s="644"/>
      <c r="CD527" s="644"/>
      <c r="CE527" s="644"/>
      <c r="CF527" s="644"/>
      <c r="CG527" s="644"/>
      <c r="CH527" s="644"/>
      <c r="CI527" s="644"/>
      <c r="CJ527" s="644"/>
      <c r="CK527" s="644"/>
      <c r="CL527" s="644"/>
      <c r="CM527" s="95"/>
      <c r="CN527" s="644"/>
      <c r="CO527" s="644"/>
      <c r="CP527" s="95"/>
      <c r="CQ527" s="98"/>
      <c r="CR527" s="95"/>
      <c r="CS527" s="95"/>
      <c r="CT527" s="95"/>
      <c r="CU527" s="108"/>
      <c r="CV527" s="109"/>
      <c r="CW527" s="644"/>
      <c r="CX527" s="496"/>
      <c r="CY527" s="637"/>
      <c r="CZ527" s="644"/>
      <c r="DA527" s="644"/>
      <c r="DB527" s="644"/>
      <c r="DC527" s="496"/>
      <c r="DD527" s="644"/>
      <c r="DE527" s="101"/>
      <c r="DF527" s="644"/>
      <c r="DG527" s="101"/>
      <c r="DH527" s="644"/>
      <c r="DI527" s="644"/>
      <c r="DJ527" s="644"/>
      <c r="DK527" s="644"/>
      <c r="DL527" s="644"/>
      <c r="DM527" s="101"/>
      <c r="DN527" s="644"/>
      <c r="DO527" s="644"/>
      <c r="DP527" s="644"/>
      <c r="DQ527" s="644"/>
      <c r="DR527" s="644"/>
      <c r="DS527" s="644"/>
      <c r="DT527" s="644"/>
      <c r="DU527" s="644"/>
      <c r="DV527" s="644"/>
      <c r="DW527" s="101"/>
      <c r="DX527" s="646"/>
      <c r="DY527" s="646"/>
      <c r="DZ527" s="646"/>
      <c r="EA527" s="646"/>
      <c r="EB527" s="646"/>
      <c r="EC527" s="646"/>
      <c r="ED527" s="646"/>
      <c r="EE527" s="646"/>
      <c r="EF527" s="646"/>
      <c r="EG527" s="646"/>
      <c r="EH527" s="646"/>
      <c r="EI527" s="646"/>
      <c r="EJ527" s="646"/>
      <c r="EK527" s="271"/>
      <c r="EL527" s="644"/>
      <c r="EM527" s="634"/>
      <c r="EN527" s="647"/>
      <c r="EO527" s="648"/>
      <c r="EP527" s="647"/>
      <c r="EQ527" s="647"/>
      <c r="ER527" s="647"/>
      <c r="ES527" s="139"/>
      <c r="EV527" s="647"/>
      <c r="EW527" s="647"/>
      <c r="EX527" s="647"/>
      <c r="EY527" s="647"/>
      <c r="EZ527" s="647"/>
      <c r="FA527" s="646"/>
      <c r="FB527" s="646"/>
      <c r="FC527" s="646"/>
      <c r="FD527" s="646"/>
      <c r="FE527" s="646"/>
      <c r="FF527" s="646"/>
      <c r="FG527" s="647"/>
      <c r="FH527" s="647"/>
      <c r="FI527" s="647"/>
      <c r="FJ527" s="647"/>
      <c r="FK527" s="647"/>
      <c r="FL527" s="647"/>
      <c r="FM527" s="647"/>
      <c r="FN527" s="647"/>
      <c r="FO527" s="647"/>
      <c r="FP527" s="647"/>
      <c r="FQ527" s="647"/>
      <c r="FR527" s="647"/>
      <c r="FS527" s="101"/>
      <c r="FT527" s="95"/>
      <c r="FU527" s="651"/>
      <c r="FV527" s="101"/>
      <c r="FW527" s="101"/>
      <c r="FX527" s="634"/>
      <c r="FY527" s="634"/>
      <c r="FZ527" s="634"/>
      <c r="GA527" s="634"/>
      <c r="GB527" s="634"/>
      <c r="GC527" s="634"/>
      <c r="GD527" s="634"/>
      <c r="GE527" s="634"/>
      <c r="GF527" s="634"/>
      <c r="GG527" s="634"/>
      <c r="GH527" s="634"/>
      <c r="GI527" s="634"/>
      <c r="GJ527" s="634"/>
      <c r="GK527" s="634"/>
      <c r="GL527" s="101"/>
      <c r="GM527" s="101"/>
      <c r="GN527" s="101"/>
      <c r="GO527" s="643"/>
      <c r="GP527" s="644"/>
      <c r="GQ527" s="643"/>
      <c r="GR527" s="644"/>
      <c r="GS527" s="643"/>
      <c r="GT527" s="644"/>
      <c r="GU527" s="644"/>
      <c r="GV527" s="644"/>
      <c r="GW527" s="644"/>
      <c r="GX527" s="644"/>
      <c r="GY527" s="644"/>
      <c r="GZ527" s="644"/>
      <c r="HA527" s="644"/>
    </row>
    <row r="528" spans="1:209">
      <c r="A528" s="638"/>
      <c r="B528" s="95"/>
      <c r="C528" s="95"/>
      <c r="D528" s="95"/>
      <c r="E528" s="650"/>
      <c r="F528" s="95"/>
      <c r="G528" s="98"/>
      <c r="H528" s="99"/>
      <c r="I528" s="95"/>
      <c r="J528" s="95"/>
      <c r="K528" s="95"/>
      <c r="L528" s="95"/>
      <c r="M528" s="95"/>
      <c r="N528" s="95"/>
      <c r="O528" s="95"/>
      <c r="P528" s="95"/>
      <c r="Q528" s="95"/>
      <c r="R528" s="98"/>
      <c r="S528" s="101"/>
      <c r="T528" s="644"/>
      <c r="U528" s="101"/>
      <c r="V528" s="647"/>
      <c r="W528" s="643"/>
      <c r="X528" s="644"/>
      <c r="Y528" s="101"/>
      <c r="Z528" s="644"/>
      <c r="AA528" s="101"/>
      <c r="AB528" s="644"/>
      <c r="AC528" s="101"/>
      <c r="AD528" s="646"/>
      <c r="AE528" s="271"/>
      <c r="AF528" s="646"/>
      <c r="AG528" s="646"/>
      <c r="AH528" s="646"/>
      <c r="AI528" s="646"/>
      <c r="AJ528" s="646"/>
      <c r="AK528" s="646"/>
      <c r="AL528" s="646"/>
      <c r="AM528" s="271"/>
      <c r="AN528" s="646"/>
      <c r="AO528" s="646"/>
      <c r="AP528" s="646"/>
      <c r="AQ528" s="271"/>
      <c r="AR528" s="646"/>
      <c r="AS528" s="270"/>
      <c r="AT528" s="646"/>
      <c r="AU528" s="646"/>
      <c r="AV528" s="646"/>
      <c r="AW528" s="270"/>
      <c r="AX528" s="646"/>
      <c r="AY528" s="270"/>
      <c r="AZ528" s="646"/>
      <c r="BA528" s="646"/>
      <c r="BB528" s="644"/>
      <c r="BC528" s="644"/>
      <c r="BD528" s="644"/>
      <c r="BE528" s="644"/>
      <c r="BF528" s="644"/>
      <c r="BG528" s="644"/>
      <c r="BH528" s="644"/>
      <c r="BI528" s="644"/>
      <c r="BJ528" s="644"/>
      <c r="BK528" s="644"/>
      <c r="BL528" s="644"/>
      <c r="BM528" s="95"/>
      <c r="BN528" s="644"/>
      <c r="BO528" s="95"/>
      <c r="BP528" s="644"/>
      <c r="BQ528" s="644"/>
      <c r="BR528" s="644"/>
      <c r="BS528" s="644"/>
      <c r="BT528" s="644"/>
      <c r="BU528" s="644"/>
      <c r="BV528" s="644"/>
      <c r="BW528" s="644"/>
      <c r="BX528" s="644"/>
      <c r="BY528" s="644"/>
      <c r="BZ528" s="644"/>
      <c r="CA528" s="644"/>
      <c r="CB528" s="644"/>
      <c r="CC528" s="644"/>
      <c r="CD528" s="644"/>
      <c r="CE528" s="644"/>
      <c r="CF528" s="644"/>
      <c r="CG528" s="644"/>
      <c r="CH528" s="644"/>
      <c r="CI528" s="644"/>
      <c r="CJ528" s="644"/>
      <c r="CK528" s="644"/>
      <c r="CL528" s="644"/>
      <c r="CM528" s="95"/>
      <c r="CN528" s="644"/>
      <c r="CO528" s="644"/>
      <c r="CP528" s="95"/>
      <c r="CQ528" s="98"/>
      <c r="CR528" s="95"/>
      <c r="CS528" s="95"/>
      <c r="CT528" s="95"/>
      <c r="CU528" s="108"/>
      <c r="CV528" s="109"/>
      <c r="CW528" s="644"/>
      <c r="CX528" s="496"/>
      <c r="CY528" s="637"/>
      <c r="CZ528" s="644"/>
      <c r="DA528" s="644"/>
      <c r="DB528" s="644"/>
      <c r="DC528" s="496"/>
      <c r="DD528" s="644"/>
      <c r="DE528" s="101"/>
      <c r="DF528" s="644"/>
      <c r="DG528" s="101"/>
      <c r="DH528" s="644"/>
      <c r="DI528" s="644"/>
      <c r="DJ528" s="644"/>
      <c r="DK528" s="644"/>
      <c r="DL528" s="644"/>
      <c r="DM528" s="101"/>
      <c r="DN528" s="644"/>
      <c r="DO528" s="644"/>
      <c r="DP528" s="644"/>
      <c r="DQ528" s="644"/>
      <c r="DR528" s="644"/>
      <c r="DS528" s="644"/>
      <c r="DT528" s="644"/>
      <c r="DU528" s="644"/>
      <c r="DV528" s="644"/>
      <c r="DW528" s="101"/>
      <c r="DX528" s="646"/>
      <c r="DY528" s="646"/>
      <c r="DZ528" s="646"/>
      <c r="EA528" s="646"/>
      <c r="EB528" s="646"/>
      <c r="EC528" s="646"/>
      <c r="ED528" s="646"/>
      <c r="EE528" s="646"/>
      <c r="EF528" s="646"/>
      <c r="EG528" s="646"/>
      <c r="EH528" s="646"/>
      <c r="EI528" s="646"/>
      <c r="EJ528" s="646"/>
      <c r="EK528" s="271"/>
      <c r="EL528" s="644"/>
      <c r="EM528" s="634"/>
      <c r="EN528" s="647"/>
      <c r="EO528" s="648"/>
      <c r="EP528" s="647"/>
      <c r="EQ528" s="647"/>
      <c r="ER528" s="647"/>
      <c r="ES528" s="139"/>
      <c r="EV528" s="647"/>
      <c r="EW528" s="647"/>
      <c r="EX528" s="647"/>
      <c r="EY528" s="647"/>
      <c r="EZ528" s="647"/>
      <c r="FA528" s="646"/>
      <c r="FB528" s="646"/>
      <c r="FC528" s="646"/>
      <c r="FD528" s="646"/>
      <c r="FE528" s="646"/>
      <c r="FF528" s="646"/>
      <c r="FG528" s="647"/>
      <c r="FH528" s="647"/>
      <c r="FI528" s="647"/>
      <c r="FJ528" s="647"/>
      <c r="FK528" s="647"/>
      <c r="FL528" s="647"/>
      <c r="FM528" s="647"/>
      <c r="FN528" s="647"/>
      <c r="FO528" s="647"/>
      <c r="FP528" s="647"/>
      <c r="FQ528" s="647"/>
      <c r="FR528" s="647"/>
      <c r="FS528" s="101"/>
      <c r="FT528" s="95"/>
      <c r="FU528" s="651"/>
      <c r="FV528" s="101"/>
      <c r="FW528" s="101"/>
      <c r="FX528" s="634"/>
      <c r="FY528" s="634"/>
      <c r="FZ528" s="634"/>
      <c r="GA528" s="634"/>
      <c r="GB528" s="634"/>
      <c r="GC528" s="634"/>
      <c r="GD528" s="634"/>
      <c r="GE528" s="634"/>
      <c r="GF528" s="634"/>
      <c r="GG528" s="634"/>
      <c r="GH528" s="634"/>
      <c r="GI528" s="634"/>
      <c r="GJ528" s="634"/>
      <c r="GK528" s="634"/>
      <c r="GL528" s="101"/>
      <c r="GM528" s="101"/>
      <c r="GN528" s="101"/>
      <c r="GO528" s="643"/>
      <c r="GP528" s="644"/>
      <c r="GQ528" s="643"/>
      <c r="GR528" s="644"/>
      <c r="GS528" s="643"/>
      <c r="GT528" s="644"/>
      <c r="GU528" s="644"/>
      <c r="GV528" s="644"/>
      <c r="GW528" s="644"/>
      <c r="GX528" s="644"/>
      <c r="GY528" s="644"/>
      <c r="GZ528" s="644"/>
      <c r="HA528" s="644"/>
    </row>
    <row r="529" spans="1:209">
      <c r="A529" s="638"/>
      <c r="B529" s="95"/>
      <c r="C529" s="95"/>
      <c r="D529" s="95"/>
      <c r="E529" s="650"/>
      <c r="F529" s="95"/>
      <c r="G529" s="98"/>
      <c r="H529" s="99"/>
      <c r="I529" s="95"/>
      <c r="J529" s="95"/>
      <c r="K529" s="95"/>
      <c r="L529" s="95"/>
      <c r="M529" s="95"/>
      <c r="N529" s="95"/>
      <c r="O529" s="95"/>
      <c r="P529" s="95"/>
      <c r="Q529" s="95"/>
      <c r="R529" s="98"/>
      <c r="S529" s="101"/>
      <c r="T529" s="644"/>
      <c r="U529" s="101"/>
      <c r="V529" s="647"/>
      <c r="W529" s="643"/>
      <c r="X529" s="644"/>
      <c r="Y529" s="101"/>
      <c r="Z529" s="644"/>
      <c r="AA529" s="101"/>
      <c r="AB529" s="644"/>
      <c r="AC529" s="101"/>
      <c r="AD529" s="646"/>
      <c r="AE529" s="271"/>
      <c r="AF529" s="646"/>
      <c r="AG529" s="646"/>
      <c r="AH529" s="646"/>
      <c r="AI529" s="646"/>
      <c r="AJ529" s="646"/>
      <c r="AK529" s="646"/>
      <c r="AL529" s="646"/>
      <c r="AM529" s="271"/>
      <c r="AN529" s="646"/>
      <c r="AO529" s="646"/>
      <c r="AP529" s="646"/>
      <c r="AQ529" s="271"/>
      <c r="AR529" s="646"/>
      <c r="AS529" s="270"/>
      <c r="AT529" s="646"/>
      <c r="AU529" s="646"/>
      <c r="AV529" s="646"/>
      <c r="AW529" s="270"/>
      <c r="AX529" s="646"/>
      <c r="AY529" s="270"/>
      <c r="AZ529" s="646"/>
      <c r="BA529" s="646"/>
      <c r="BB529" s="644"/>
      <c r="BC529" s="644"/>
      <c r="BD529" s="644"/>
      <c r="BE529" s="644"/>
      <c r="BF529" s="644"/>
      <c r="BG529" s="644"/>
      <c r="BH529" s="644"/>
      <c r="BI529" s="644"/>
      <c r="BJ529" s="644"/>
      <c r="BK529" s="644"/>
      <c r="BL529" s="644"/>
      <c r="BM529" s="95"/>
      <c r="BN529" s="644"/>
      <c r="BO529" s="95"/>
      <c r="BP529" s="644"/>
      <c r="BQ529" s="644"/>
      <c r="BR529" s="644"/>
      <c r="BS529" s="644"/>
      <c r="BT529" s="644"/>
      <c r="BU529" s="644"/>
      <c r="BV529" s="644"/>
      <c r="BW529" s="644"/>
      <c r="BX529" s="644"/>
      <c r="BY529" s="644"/>
      <c r="BZ529" s="644"/>
      <c r="CA529" s="644"/>
      <c r="CB529" s="644"/>
      <c r="CC529" s="644"/>
      <c r="CD529" s="644"/>
      <c r="CE529" s="644"/>
      <c r="CF529" s="644"/>
      <c r="CG529" s="644"/>
      <c r="CH529" s="644"/>
      <c r="CI529" s="644"/>
      <c r="CJ529" s="644"/>
      <c r="CK529" s="644"/>
      <c r="CL529" s="644"/>
      <c r="CM529" s="95"/>
      <c r="CN529" s="644"/>
      <c r="CO529" s="644"/>
      <c r="CP529" s="95"/>
      <c r="CQ529" s="98"/>
      <c r="CR529" s="95"/>
      <c r="CS529" s="95"/>
      <c r="CT529" s="95"/>
      <c r="CU529" s="108"/>
      <c r="CV529" s="109"/>
      <c r="CW529" s="644"/>
      <c r="CX529" s="496"/>
      <c r="CY529" s="637"/>
      <c r="CZ529" s="644"/>
      <c r="DA529" s="644"/>
      <c r="DB529" s="644"/>
      <c r="DC529" s="496"/>
      <c r="DD529" s="644"/>
      <c r="DE529" s="101"/>
      <c r="DF529" s="644"/>
      <c r="DG529" s="101"/>
      <c r="DH529" s="644"/>
      <c r="DI529" s="644"/>
      <c r="DJ529" s="644"/>
      <c r="DK529" s="644"/>
      <c r="DL529" s="644"/>
      <c r="DM529" s="101"/>
      <c r="DN529" s="644"/>
      <c r="DO529" s="644"/>
      <c r="DP529" s="644"/>
      <c r="DQ529" s="644"/>
      <c r="DR529" s="644"/>
      <c r="DS529" s="644"/>
      <c r="DT529" s="644"/>
      <c r="DU529" s="644"/>
      <c r="DV529" s="644"/>
      <c r="DW529" s="101"/>
      <c r="DX529" s="646"/>
      <c r="DY529" s="646"/>
      <c r="DZ529" s="646"/>
      <c r="EA529" s="646"/>
      <c r="EB529" s="646"/>
      <c r="EC529" s="646"/>
      <c r="ED529" s="646"/>
      <c r="EE529" s="646"/>
      <c r="EF529" s="646"/>
      <c r="EG529" s="646"/>
      <c r="EH529" s="646"/>
      <c r="EI529" s="646"/>
      <c r="EJ529" s="646"/>
      <c r="EK529" s="271"/>
      <c r="EL529" s="644"/>
      <c r="EM529" s="634"/>
      <c r="EN529" s="647"/>
      <c r="EO529" s="648"/>
      <c r="EP529" s="647"/>
      <c r="EQ529" s="647"/>
      <c r="ER529" s="647"/>
      <c r="ES529" s="139"/>
      <c r="EV529" s="647"/>
      <c r="EW529" s="647"/>
      <c r="EX529" s="647"/>
      <c r="EY529" s="647"/>
      <c r="EZ529" s="647"/>
      <c r="FA529" s="646"/>
      <c r="FB529" s="646"/>
      <c r="FC529" s="646"/>
      <c r="FD529" s="646"/>
      <c r="FE529" s="646"/>
      <c r="FF529" s="646"/>
      <c r="FG529" s="647"/>
      <c r="FH529" s="647"/>
      <c r="FI529" s="647"/>
      <c r="FJ529" s="647"/>
      <c r="FK529" s="647"/>
      <c r="FL529" s="647"/>
      <c r="FM529" s="647"/>
      <c r="FN529" s="647"/>
      <c r="FO529" s="647"/>
      <c r="FP529" s="647"/>
      <c r="FQ529" s="647"/>
      <c r="FR529" s="647"/>
      <c r="FS529" s="101"/>
      <c r="FT529" s="95"/>
      <c r="FU529" s="651"/>
      <c r="FV529" s="101"/>
      <c r="FW529" s="101"/>
      <c r="FX529" s="634"/>
      <c r="FY529" s="634"/>
      <c r="FZ529" s="634"/>
      <c r="GA529" s="634"/>
      <c r="GB529" s="634"/>
      <c r="GC529" s="634"/>
      <c r="GD529" s="634"/>
      <c r="GE529" s="634"/>
      <c r="GF529" s="634"/>
      <c r="GG529" s="634"/>
      <c r="GH529" s="634"/>
      <c r="GI529" s="634"/>
      <c r="GJ529" s="634"/>
      <c r="GK529" s="634"/>
      <c r="GL529" s="101"/>
      <c r="GM529" s="101"/>
      <c r="GN529" s="101"/>
      <c r="GO529" s="643"/>
      <c r="GP529" s="644"/>
      <c r="GQ529" s="643"/>
      <c r="GR529" s="644"/>
      <c r="GS529" s="643"/>
      <c r="GT529" s="644"/>
      <c r="GU529" s="644"/>
      <c r="GV529" s="644"/>
      <c r="GW529" s="644"/>
      <c r="GX529" s="644"/>
      <c r="GY529" s="644"/>
      <c r="GZ529" s="644"/>
      <c r="HA529" s="644"/>
    </row>
    <row r="530" spans="1:209">
      <c r="A530" s="638"/>
      <c r="B530" s="95"/>
      <c r="C530" s="95"/>
      <c r="D530" s="95"/>
      <c r="E530" s="650"/>
      <c r="F530" s="95"/>
      <c r="G530" s="98"/>
      <c r="H530" s="99"/>
      <c r="I530" s="95"/>
      <c r="J530" s="95"/>
      <c r="K530" s="95"/>
      <c r="L530" s="95"/>
      <c r="M530" s="95"/>
      <c r="N530" s="95"/>
      <c r="O530" s="95"/>
      <c r="P530" s="95"/>
      <c r="Q530" s="95"/>
      <c r="R530" s="98"/>
      <c r="S530" s="101"/>
      <c r="T530" s="644"/>
      <c r="U530" s="101"/>
      <c r="V530" s="647"/>
      <c r="W530" s="643"/>
      <c r="X530" s="644"/>
      <c r="Y530" s="101"/>
      <c r="Z530" s="644"/>
      <c r="AA530" s="101"/>
      <c r="AB530" s="644"/>
      <c r="AC530" s="101"/>
      <c r="AD530" s="646"/>
      <c r="AE530" s="271"/>
      <c r="AF530" s="646"/>
      <c r="AG530" s="646"/>
      <c r="AH530" s="646"/>
      <c r="AI530" s="646"/>
      <c r="AJ530" s="646"/>
      <c r="AK530" s="646"/>
      <c r="AL530" s="646"/>
      <c r="AM530" s="271"/>
      <c r="AN530" s="646"/>
      <c r="AO530" s="646"/>
      <c r="AP530" s="646"/>
      <c r="AQ530" s="271"/>
      <c r="AR530" s="646"/>
      <c r="AS530" s="270"/>
      <c r="AT530" s="646"/>
      <c r="AU530" s="646"/>
      <c r="AV530" s="646"/>
      <c r="AW530" s="270"/>
      <c r="AX530" s="646"/>
      <c r="AY530" s="270"/>
      <c r="AZ530" s="646"/>
      <c r="BA530" s="646"/>
      <c r="BB530" s="644"/>
      <c r="BC530" s="644"/>
      <c r="BD530" s="644"/>
      <c r="BE530" s="644"/>
      <c r="BF530" s="644"/>
      <c r="BG530" s="644"/>
      <c r="BH530" s="644"/>
      <c r="BI530" s="644"/>
      <c r="BJ530" s="644"/>
      <c r="BK530" s="644"/>
      <c r="BL530" s="644"/>
      <c r="BM530" s="95"/>
      <c r="BN530" s="644"/>
      <c r="BO530" s="95"/>
      <c r="BP530" s="644"/>
      <c r="BQ530" s="644"/>
      <c r="BR530" s="644"/>
      <c r="BS530" s="644"/>
      <c r="BT530" s="644"/>
      <c r="BU530" s="644"/>
      <c r="BV530" s="644"/>
      <c r="BW530" s="644"/>
      <c r="BX530" s="644"/>
      <c r="BY530" s="644"/>
      <c r="BZ530" s="644"/>
      <c r="CA530" s="644"/>
      <c r="CB530" s="644"/>
      <c r="CC530" s="644"/>
      <c r="CD530" s="644"/>
      <c r="CE530" s="644"/>
      <c r="CF530" s="644"/>
      <c r="CG530" s="644"/>
      <c r="CH530" s="644"/>
      <c r="CI530" s="644"/>
      <c r="CJ530" s="644"/>
      <c r="CK530" s="644"/>
      <c r="CL530" s="644"/>
      <c r="CM530" s="95"/>
      <c r="CN530" s="644"/>
      <c r="CO530" s="644"/>
      <c r="CP530" s="95"/>
      <c r="CQ530" s="98"/>
      <c r="CR530" s="95"/>
      <c r="CS530" s="95"/>
      <c r="CT530" s="95"/>
      <c r="CU530" s="108"/>
      <c r="CV530" s="109"/>
      <c r="CW530" s="644"/>
      <c r="CX530" s="496"/>
      <c r="CY530" s="637"/>
      <c r="CZ530" s="644"/>
      <c r="DA530" s="644"/>
      <c r="DB530" s="644"/>
      <c r="DC530" s="496"/>
      <c r="DD530" s="644"/>
      <c r="DE530" s="101"/>
      <c r="DF530" s="644"/>
      <c r="DG530" s="101"/>
      <c r="DH530" s="644"/>
      <c r="DI530" s="644"/>
      <c r="DJ530" s="644"/>
      <c r="DK530" s="644"/>
      <c r="DL530" s="644"/>
      <c r="DM530" s="101"/>
      <c r="DN530" s="644"/>
      <c r="DO530" s="644"/>
      <c r="DP530" s="644"/>
      <c r="DQ530" s="644"/>
      <c r="DR530" s="644"/>
      <c r="DS530" s="644"/>
      <c r="DT530" s="644"/>
      <c r="DU530" s="644"/>
      <c r="DV530" s="644"/>
      <c r="DW530" s="101"/>
      <c r="DX530" s="646"/>
      <c r="DY530" s="646"/>
      <c r="DZ530" s="646"/>
      <c r="EA530" s="646"/>
      <c r="EB530" s="646"/>
      <c r="EC530" s="646"/>
      <c r="ED530" s="646"/>
      <c r="EE530" s="646"/>
      <c r="EF530" s="646"/>
      <c r="EG530" s="646"/>
      <c r="EH530" s="646"/>
      <c r="EI530" s="646"/>
      <c r="EJ530" s="646"/>
      <c r="EK530" s="271"/>
      <c r="EL530" s="644"/>
      <c r="EM530" s="634"/>
      <c r="EN530" s="647"/>
      <c r="EO530" s="648"/>
      <c r="EP530" s="647"/>
      <c r="EQ530" s="647"/>
      <c r="ER530" s="647"/>
      <c r="ES530" s="139"/>
      <c r="EV530" s="647"/>
      <c r="EW530" s="647"/>
      <c r="EX530" s="647"/>
      <c r="EY530" s="647"/>
      <c r="EZ530" s="647"/>
      <c r="FA530" s="646"/>
      <c r="FB530" s="646"/>
      <c r="FC530" s="646"/>
      <c r="FD530" s="646"/>
      <c r="FE530" s="646"/>
      <c r="FF530" s="646"/>
      <c r="FG530" s="647"/>
      <c r="FH530" s="647"/>
      <c r="FI530" s="647"/>
      <c r="FJ530" s="647"/>
      <c r="FK530" s="647"/>
      <c r="FL530" s="647"/>
      <c r="FM530" s="647"/>
      <c r="FN530" s="647"/>
      <c r="FO530" s="647"/>
      <c r="FP530" s="647"/>
      <c r="FQ530" s="647"/>
      <c r="FR530" s="647"/>
      <c r="FS530" s="101"/>
      <c r="FT530" s="95"/>
      <c r="FU530" s="651"/>
      <c r="FV530" s="101"/>
      <c r="FW530" s="101"/>
      <c r="FX530" s="634"/>
      <c r="FY530" s="634"/>
      <c r="FZ530" s="634"/>
      <c r="GA530" s="634"/>
      <c r="GB530" s="634"/>
      <c r="GC530" s="634"/>
      <c r="GD530" s="634"/>
      <c r="GE530" s="634"/>
      <c r="GF530" s="634"/>
      <c r="GG530" s="634"/>
      <c r="GH530" s="634"/>
      <c r="GI530" s="634"/>
      <c r="GJ530" s="634"/>
      <c r="GK530" s="634"/>
      <c r="GL530" s="101"/>
      <c r="GM530" s="101"/>
      <c r="GN530" s="101"/>
      <c r="GO530" s="643"/>
      <c r="GP530" s="644"/>
      <c r="GQ530" s="643"/>
      <c r="GR530" s="644"/>
      <c r="GS530" s="643"/>
      <c r="GT530" s="644"/>
      <c r="GU530" s="644"/>
      <c r="GV530" s="644"/>
      <c r="GW530" s="644"/>
      <c r="GX530" s="644"/>
      <c r="GY530" s="644"/>
      <c r="GZ530" s="644"/>
      <c r="HA530" s="644"/>
    </row>
    <row r="531" spans="1:209">
      <c r="A531" s="638"/>
      <c r="B531" s="95"/>
      <c r="C531" s="95"/>
      <c r="D531" s="95"/>
      <c r="E531" s="650"/>
      <c r="F531" s="95"/>
      <c r="G531" s="98"/>
      <c r="H531" s="99"/>
      <c r="I531" s="95"/>
      <c r="J531" s="95"/>
      <c r="K531" s="95"/>
      <c r="L531" s="95"/>
      <c r="M531" s="95"/>
      <c r="N531" s="95"/>
      <c r="O531" s="95"/>
      <c r="P531" s="95"/>
      <c r="Q531" s="95"/>
      <c r="R531" s="98"/>
      <c r="S531" s="101"/>
      <c r="T531" s="644"/>
      <c r="U531" s="101"/>
      <c r="V531" s="647"/>
      <c r="W531" s="643"/>
      <c r="X531" s="644"/>
      <c r="Y531" s="101"/>
      <c r="Z531" s="644"/>
      <c r="AA531" s="101"/>
      <c r="AB531" s="644"/>
      <c r="AC531" s="101"/>
      <c r="AD531" s="646"/>
      <c r="AE531" s="271"/>
      <c r="AF531" s="646"/>
      <c r="AG531" s="646"/>
      <c r="AH531" s="646"/>
      <c r="AI531" s="646"/>
      <c r="AJ531" s="646"/>
      <c r="AK531" s="646"/>
      <c r="AL531" s="646"/>
      <c r="AM531" s="271"/>
      <c r="AN531" s="646"/>
      <c r="AO531" s="646"/>
      <c r="AP531" s="646"/>
      <c r="AQ531" s="271"/>
      <c r="AR531" s="646"/>
      <c r="AS531" s="270"/>
      <c r="AT531" s="646"/>
      <c r="AU531" s="646"/>
      <c r="AV531" s="646"/>
      <c r="AW531" s="270"/>
      <c r="AX531" s="646"/>
      <c r="AY531" s="270"/>
      <c r="AZ531" s="646"/>
      <c r="BA531" s="646"/>
      <c r="BB531" s="644"/>
      <c r="BC531" s="644"/>
      <c r="BD531" s="644"/>
      <c r="BE531" s="644"/>
      <c r="BF531" s="644"/>
      <c r="BG531" s="644"/>
      <c r="BH531" s="644"/>
      <c r="BI531" s="644"/>
      <c r="BJ531" s="644"/>
      <c r="BK531" s="644"/>
      <c r="BL531" s="644"/>
      <c r="BM531" s="95"/>
      <c r="BN531" s="644"/>
      <c r="BO531" s="95"/>
      <c r="BP531" s="644"/>
      <c r="BQ531" s="644"/>
      <c r="BR531" s="644"/>
      <c r="BS531" s="644"/>
      <c r="BT531" s="644"/>
      <c r="BU531" s="644"/>
      <c r="BV531" s="644"/>
      <c r="BW531" s="644"/>
      <c r="BX531" s="644"/>
      <c r="BY531" s="644"/>
      <c r="BZ531" s="644"/>
      <c r="CA531" s="644"/>
      <c r="CB531" s="644"/>
      <c r="CC531" s="644"/>
      <c r="CD531" s="644"/>
      <c r="CE531" s="644"/>
      <c r="CF531" s="644"/>
      <c r="CG531" s="644"/>
      <c r="CH531" s="644"/>
      <c r="CI531" s="644"/>
      <c r="CJ531" s="644"/>
      <c r="CK531" s="644"/>
      <c r="CL531" s="644"/>
      <c r="CM531" s="95"/>
      <c r="CN531" s="644"/>
      <c r="CO531" s="644"/>
      <c r="CP531" s="95"/>
      <c r="CQ531" s="98"/>
      <c r="CR531" s="95"/>
      <c r="CS531" s="95"/>
      <c r="CT531" s="95"/>
      <c r="CU531" s="108"/>
      <c r="CV531" s="109"/>
      <c r="CW531" s="644"/>
      <c r="CX531" s="496"/>
      <c r="CY531" s="637"/>
      <c r="CZ531" s="644"/>
      <c r="DA531" s="644"/>
      <c r="DB531" s="644"/>
      <c r="DC531" s="496"/>
      <c r="DD531" s="644"/>
      <c r="DE531" s="101"/>
      <c r="DF531" s="644"/>
      <c r="DG531" s="101"/>
      <c r="DH531" s="644"/>
      <c r="DI531" s="644"/>
      <c r="DJ531" s="644"/>
      <c r="DK531" s="644"/>
      <c r="DL531" s="644"/>
      <c r="DM531" s="101"/>
      <c r="DN531" s="644"/>
      <c r="DO531" s="644"/>
      <c r="DP531" s="644"/>
      <c r="DQ531" s="644"/>
      <c r="DR531" s="644"/>
      <c r="DS531" s="644"/>
      <c r="DT531" s="644"/>
      <c r="DU531" s="644"/>
      <c r="DV531" s="644"/>
      <c r="DW531" s="101"/>
      <c r="DX531" s="646"/>
      <c r="DY531" s="646"/>
      <c r="DZ531" s="646"/>
      <c r="EA531" s="646"/>
      <c r="EB531" s="646"/>
      <c r="EC531" s="646"/>
      <c r="ED531" s="646"/>
      <c r="EE531" s="646"/>
      <c r="EF531" s="646"/>
      <c r="EG531" s="646"/>
      <c r="EH531" s="646"/>
      <c r="EI531" s="646"/>
      <c r="EJ531" s="646"/>
      <c r="EK531" s="271"/>
      <c r="EL531" s="644"/>
      <c r="EM531" s="634"/>
      <c r="EN531" s="647"/>
      <c r="EO531" s="648"/>
      <c r="EP531" s="647"/>
      <c r="EQ531" s="647"/>
      <c r="ER531" s="647"/>
      <c r="ES531" s="139"/>
      <c r="EV531" s="647"/>
      <c r="EW531" s="647"/>
      <c r="EX531" s="647"/>
      <c r="EY531" s="647"/>
      <c r="EZ531" s="647"/>
      <c r="FA531" s="646"/>
      <c r="FB531" s="646"/>
      <c r="FC531" s="646"/>
      <c r="FD531" s="646"/>
      <c r="FE531" s="646"/>
      <c r="FF531" s="646"/>
      <c r="FG531" s="647"/>
      <c r="FH531" s="647"/>
      <c r="FI531" s="647"/>
      <c r="FJ531" s="647"/>
      <c r="FK531" s="647"/>
      <c r="FL531" s="647"/>
      <c r="FM531" s="647"/>
      <c r="FN531" s="647"/>
      <c r="FO531" s="647"/>
      <c r="FP531" s="647"/>
      <c r="FQ531" s="647"/>
      <c r="FR531" s="647"/>
      <c r="FS531" s="101"/>
      <c r="FT531" s="95"/>
      <c r="FU531" s="651"/>
      <c r="FV531" s="101"/>
      <c r="FW531" s="101"/>
      <c r="FX531" s="634"/>
      <c r="FY531" s="634"/>
      <c r="FZ531" s="634"/>
      <c r="GA531" s="634"/>
      <c r="GB531" s="634"/>
      <c r="GC531" s="634"/>
      <c r="GD531" s="634"/>
      <c r="GE531" s="634"/>
      <c r="GF531" s="634"/>
      <c r="GG531" s="634"/>
      <c r="GH531" s="634"/>
      <c r="GI531" s="634"/>
      <c r="GJ531" s="634"/>
      <c r="GK531" s="634"/>
      <c r="GL531" s="101"/>
      <c r="GM531" s="101"/>
      <c r="GN531" s="101"/>
      <c r="GO531" s="643"/>
      <c r="GP531" s="644"/>
      <c r="GQ531" s="643"/>
      <c r="GR531" s="644"/>
      <c r="GS531" s="643"/>
      <c r="GT531" s="644"/>
      <c r="GU531" s="644"/>
      <c r="GV531" s="644"/>
      <c r="GW531" s="644"/>
      <c r="GX531" s="644"/>
      <c r="GY531" s="644"/>
      <c r="GZ531" s="644"/>
      <c r="HA531" s="644"/>
    </row>
    <row r="532" spans="1:209">
      <c r="A532" s="638"/>
      <c r="B532" s="95"/>
      <c r="C532" s="95"/>
      <c r="D532" s="95"/>
      <c r="E532" s="650"/>
      <c r="F532" s="95"/>
      <c r="G532" s="98"/>
      <c r="H532" s="99"/>
      <c r="I532" s="95"/>
      <c r="J532" s="95"/>
      <c r="K532" s="95"/>
      <c r="L532" s="95"/>
      <c r="M532" s="95"/>
      <c r="N532" s="95"/>
      <c r="O532" s="95"/>
      <c r="P532" s="95"/>
      <c r="Q532" s="95"/>
      <c r="R532" s="98"/>
      <c r="S532" s="101"/>
      <c r="T532" s="644"/>
      <c r="U532" s="101"/>
      <c r="V532" s="647"/>
      <c r="W532" s="643"/>
      <c r="X532" s="644"/>
      <c r="Y532" s="101"/>
      <c r="Z532" s="644"/>
      <c r="AA532" s="101"/>
      <c r="AB532" s="644"/>
      <c r="AC532" s="101"/>
      <c r="AD532" s="646"/>
      <c r="AE532" s="271"/>
      <c r="AF532" s="646"/>
      <c r="AG532" s="646"/>
      <c r="AH532" s="646"/>
      <c r="AI532" s="646"/>
      <c r="AJ532" s="646"/>
      <c r="AK532" s="646"/>
      <c r="AL532" s="646"/>
      <c r="AM532" s="271"/>
      <c r="AN532" s="646"/>
      <c r="AO532" s="646"/>
      <c r="AP532" s="646"/>
      <c r="AQ532" s="271"/>
      <c r="AR532" s="646"/>
      <c r="AS532" s="270"/>
      <c r="AT532" s="646"/>
      <c r="AU532" s="646"/>
      <c r="AV532" s="646"/>
      <c r="AW532" s="270"/>
      <c r="AX532" s="646"/>
      <c r="AY532" s="270"/>
      <c r="AZ532" s="646"/>
      <c r="BA532" s="646"/>
      <c r="BB532" s="644"/>
      <c r="BC532" s="644"/>
      <c r="BD532" s="644"/>
      <c r="BE532" s="644"/>
      <c r="BF532" s="644"/>
      <c r="BG532" s="644"/>
      <c r="BH532" s="644"/>
      <c r="BI532" s="644"/>
      <c r="BJ532" s="644"/>
      <c r="BK532" s="644"/>
      <c r="BL532" s="644"/>
      <c r="BM532" s="95"/>
      <c r="BN532" s="644"/>
      <c r="BO532" s="95"/>
      <c r="BP532" s="644"/>
      <c r="BQ532" s="644"/>
      <c r="BR532" s="644"/>
      <c r="BS532" s="644"/>
      <c r="BT532" s="644"/>
      <c r="BU532" s="644"/>
      <c r="BV532" s="644"/>
      <c r="BW532" s="644"/>
      <c r="BX532" s="644"/>
      <c r="BY532" s="644"/>
      <c r="BZ532" s="644"/>
      <c r="CA532" s="644"/>
      <c r="CB532" s="644"/>
      <c r="CC532" s="644"/>
      <c r="CD532" s="644"/>
      <c r="CE532" s="644"/>
      <c r="CF532" s="644"/>
      <c r="CG532" s="644"/>
      <c r="CH532" s="644"/>
      <c r="CI532" s="644"/>
      <c r="CJ532" s="644"/>
      <c r="CK532" s="644"/>
      <c r="CL532" s="644"/>
      <c r="CM532" s="95"/>
      <c r="CN532" s="644"/>
      <c r="CO532" s="644"/>
      <c r="CP532" s="95"/>
      <c r="CQ532" s="98"/>
      <c r="CR532" s="95"/>
      <c r="CS532" s="95"/>
      <c r="CT532" s="95"/>
      <c r="CU532" s="108"/>
      <c r="CV532" s="109"/>
      <c r="CW532" s="644"/>
      <c r="CX532" s="496"/>
      <c r="CY532" s="637"/>
      <c r="CZ532" s="644"/>
      <c r="DA532" s="644"/>
      <c r="DB532" s="644"/>
      <c r="DC532" s="496"/>
      <c r="DD532" s="644"/>
      <c r="DE532" s="101"/>
      <c r="DF532" s="644"/>
      <c r="DG532" s="101"/>
      <c r="DH532" s="644"/>
      <c r="DI532" s="644"/>
      <c r="DJ532" s="644"/>
      <c r="DK532" s="644"/>
      <c r="DL532" s="644"/>
      <c r="DM532" s="101"/>
      <c r="DN532" s="644"/>
      <c r="DO532" s="644"/>
      <c r="DP532" s="644"/>
      <c r="DQ532" s="644"/>
      <c r="DR532" s="644"/>
      <c r="DS532" s="644"/>
      <c r="DT532" s="644"/>
      <c r="DU532" s="644"/>
      <c r="DV532" s="644"/>
      <c r="DW532" s="101"/>
      <c r="DX532" s="646"/>
      <c r="DY532" s="646"/>
      <c r="DZ532" s="646"/>
      <c r="EA532" s="646"/>
      <c r="EB532" s="646"/>
      <c r="EC532" s="646"/>
      <c r="ED532" s="646"/>
      <c r="EE532" s="646"/>
      <c r="EF532" s="646"/>
      <c r="EG532" s="646"/>
      <c r="EH532" s="646"/>
      <c r="EI532" s="646"/>
      <c r="EJ532" s="646"/>
      <c r="EK532" s="271"/>
      <c r="EL532" s="644"/>
      <c r="EM532" s="634"/>
      <c r="EN532" s="647"/>
      <c r="EO532" s="648"/>
      <c r="EP532" s="647"/>
      <c r="EQ532" s="647"/>
      <c r="ER532" s="647"/>
      <c r="ES532" s="139"/>
      <c r="EV532" s="647"/>
      <c r="EW532" s="647"/>
      <c r="EX532" s="647"/>
      <c r="EY532" s="647"/>
      <c r="EZ532" s="647"/>
      <c r="FA532" s="646"/>
      <c r="FB532" s="646"/>
      <c r="FC532" s="646"/>
      <c r="FD532" s="646"/>
      <c r="FE532" s="646"/>
      <c r="FF532" s="646"/>
      <c r="FG532" s="647"/>
      <c r="FH532" s="647"/>
      <c r="FI532" s="647"/>
      <c r="FJ532" s="647"/>
      <c r="FK532" s="647"/>
      <c r="FL532" s="647"/>
      <c r="FM532" s="647"/>
      <c r="FN532" s="647"/>
      <c r="FO532" s="647"/>
      <c r="FP532" s="647"/>
      <c r="FQ532" s="647"/>
      <c r="FR532" s="647"/>
      <c r="FS532" s="101"/>
      <c r="FT532" s="95"/>
      <c r="FU532" s="651"/>
      <c r="FV532" s="101"/>
      <c r="FW532" s="101"/>
      <c r="FX532" s="634"/>
      <c r="FY532" s="634"/>
      <c r="FZ532" s="634"/>
      <c r="GA532" s="634"/>
      <c r="GB532" s="634"/>
      <c r="GC532" s="634"/>
      <c r="GD532" s="634"/>
      <c r="GE532" s="634"/>
      <c r="GF532" s="634"/>
      <c r="GG532" s="634"/>
      <c r="GH532" s="634"/>
      <c r="GI532" s="634"/>
      <c r="GJ532" s="634"/>
      <c r="GK532" s="634"/>
      <c r="GL532" s="101"/>
      <c r="GM532" s="101"/>
      <c r="GN532" s="101"/>
      <c r="GO532" s="643"/>
      <c r="GP532" s="644"/>
      <c r="GQ532" s="643"/>
      <c r="GR532" s="644"/>
      <c r="GS532" s="643"/>
      <c r="GT532" s="644"/>
      <c r="GU532" s="644"/>
      <c r="GV532" s="644"/>
      <c r="GW532" s="644"/>
      <c r="GX532" s="644"/>
      <c r="GY532" s="644"/>
      <c r="GZ532" s="644"/>
      <c r="HA532" s="644"/>
    </row>
    <row r="533" spans="1:209">
      <c r="A533" s="638"/>
      <c r="B533" s="95"/>
      <c r="C533" s="95"/>
      <c r="D533" s="95"/>
      <c r="E533" s="650"/>
      <c r="F533" s="95"/>
      <c r="G533" s="98"/>
      <c r="H533" s="99"/>
      <c r="I533" s="95"/>
      <c r="J533" s="95"/>
      <c r="K533" s="95"/>
      <c r="L533" s="95"/>
      <c r="M533" s="95"/>
      <c r="N533" s="95"/>
      <c r="O533" s="95"/>
      <c r="P533" s="95"/>
      <c r="Q533" s="95"/>
      <c r="R533" s="98"/>
      <c r="S533" s="101"/>
      <c r="T533" s="644"/>
      <c r="U533" s="101"/>
      <c r="V533" s="647"/>
      <c r="W533" s="643"/>
      <c r="X533" s="644"/>
      <c r="Y533" s="101"/>
      <c r="Z533" s="644"/>
      <c r="AA533" s="101"/>
      <c r="AB533" s="644"/>
      <c r="AC533" s="101"/>
      <c r="AD533" s="646"/>
      <c r="AE533" s="271"/>
      <c r="AF533" s="646"/>
      <c r="AG533" s="646"/>
      <c r="AH533" s="646"/>
      <c r="AI533" s="646"/>
      <c r="AJ533" s="646"/>
      <c r="AK533" s="646"/>
      <c r="AL533" s="646"/>
      <c r="AM533" s="271"/>
      <c r="AN533" s="646"/>
      <c r="AO533" s="646"/>
      <c r="AP533" s="646"/>
      <c r="AQ533" s="271"/>
      <c r="AR533" s="646"/>
      <c r="AS533" s="270"/>
      <c r="AT533" s="646"/>
      <c r="AU533" s="646"/>
      <c r="AV533" s="646"/>
      <c r="AW533" s="270"/>
      <c r="AX533" s="646"/>
      <c r="AY533" s="270"/>
      <c r="AZ533" s="646"/>
      <c r="BA533" s="646"/>
      <c r="BB533" s="644"/>
      <c r="BC533" s="644"/>
      <c r="BD533" s="644"/>
      <c r="BE533" s="644"/>
      <c r="BF533" s="644"/>
      <c r="BG533" s="644"/>
      <c r="BH533" s="644"/>
      <c r="BI533" s="644"/>
      <c r="BJ533" s="644"/>
      <c r="BK533" s="644"/>
      <c r="BL533" s="644"/>
      <c r="BM533" s="95"/>
      <c r="BN533" s="644"/>
      <c r="BO533" s="95"/>
      <c r="BP533" s="644"/>
      <c r="BQ533" s="644"/>
      <c r="BR533" s="644"/>
      <c r="BS533" s="644"/>
      <c r="BT533" s="644"/>
      <c r="BU533" s="644"/>
      <c r="BV533" s="644"/>
      <c r="BW533" s="644"/>
      <c r="BX533" s="644"/>
      <c r="BY533" s="644"/>
      <c r="BZ533" s="644"/>
      <c r="CA533" s="644"/>
      <c r="CB533" s="644"/>
      <c r="CC533" s="644"/>
      <c r="CD533" s="644"/>
      <c r="CE533" s="644"/>
      <c r="CF533" s="644"/>
      <c r="CG533" s="644"/>
      <c r="CH533" s="644"/>
      <c r="CI533" s="644"/>
      <c r="CJ533" s="644"/>
      <c r="CK533" s="644"/>
      <c r="CL533" s="644"/>
      <c r="CM533" s="95"/>
      <c r="CN533" s="644"/>
      <c r="CO533" s="644"/>
      <c r="CP533" s="95"/>
      <c r="CQ533" s="98"/>
      <c r="CR533" s="95"/>
      <c r="CS533" s="95"/>
      <c r="CT533" s="95"/>
      <c r="CU533" s="108"/>
      <c r="CV533" s="109"/>
      <c r="CW533" s="644"/>
      <c r="CX533" s="496"/>
      <c r="CY533" s="637"/>
      <c r="CZ533" s="644"/>
      <c r="DA533" s="644"/>
      <c r="DB533" s="644"/>
      <c r="DC533" s="496"/>
      <c r="DD533" s="644"/>
      <c r="DE533" s="101"/>
      <c r="DF533" s="644"/>
      <c r="DG533" s="101"/>
      <c r="DH533" s="644"/>
      <c r="DI533" s="644"/>
      <c r="DJ533" s="644"/>
      <c r="DK533" s="644"/>
      <c r="DL533" s="644"/>
      <c r="DM533" s="101"/>
      <c r="DN533" s="644"/>
      <c r="DO533" s="644"/>
      <c r="DP533" s="644"/>
      <c r="DQ533" s="644"/>
      <c r="DR533" s="644"/>
      <c r="DS533" s="644"/>
      <c r="DT533" s="644"/>
      <c r="DU533" s="644"/>
      <c r="DV533" s="644"/>
      <c r="DW533" s="101"/>
      <c r="DX533" s="646"/>
      <c r="DY533" s="646"/>
      <c r="DZ533" s="646"/>
      <c r="EA533" s="646"/>
      <c r="EB533" s="646"/>
      <c r="EC533" s="646"/>
      <c r="ED533" s="646"/>
      <c r="EE533" s="646"/>
      <c r="EF533" s="646"/>
      <c r="EG533" s="646"/>
      <c r="EH533" s="646"/>
      <c r="EI533" s="646"/>
      <c r="EJ533" s="646"/>
      <c r="EK533" s="271"/>
      <c r="EL533" s="644"/>
      <c r="EM533" s="634"/>
      <c r="EN533" s="647"/>
      <c r="EO533" s="648"/>
      <c r="EP533" s="647"/>
      <c r="EQ533" s="647"/>
      <c r="ER533" s="647"/>
      <c r="ES533" s="139"/>
      <c r="EV533" s="647"/>
      <c r="EW533" s="647"/>
      <c r="EX533" s="647"/>
      <c r="EY533" s="647"/>
      <c r="EZ533" s="647"/>
      <c r="FA533" s="646"/>
      <c r="FB533" s="646"/>
      <c r="FC533" s="646"/>
      <c r="FD533" s="646"/>
      <c r="FE533" s="646"/>
      <c r="FF533" s="646"/>
      <c r="FG533" s="647"/>
      <c r="FH533" s="647"/>
      <c r="FI533" s="647"/>
      <c r="FJ533" s="647"/>
      <c r="FK533" s="647"/>
      <c r="FL533" s="647"/>
      <c r="FM533" s="647"/>
      <c r="FN533" s="647"/>
      <c r="FO533" s="647"/>
      <c r="FP533" s="647"/>
      <c r="FQ533" s="647"/>
      <c r="FR533" s="647"/>
      <c r="FS533" s="101"/>
      <c r="FT533" s="95"/>
      <c r="FU533" s="651"/>
      <c r="FV533" s="101"/>
      <c r="FW533" s="101"/>
      <c r="FX533" s="634"/>
      <c r="FY533" s="634"/>
      <c r="FZ533" s="634"/>
      <c r="GA533" s="634"/>
      <c r="GB533" s="634"/>
      <c r="GC533" s="634"/>
      <c r="GD533" s="634"/>
      <c r="GE533" s="634"/>
      <c r="GF533" s="634"/>
      <c r="GG533" s="634"/>
      <c r="GH533" s="634"/>
      <c r="GI533" s="634"/>
      <c r="GJ533" s="634"/>
      <c r="GK533" s="634"/>
      <c r="GL533" s="101"/>
      <c r="GM533" s="101"/>
      <c r="GN533" s="101"/>
      <c r="GO533" s="643"/>
      <c r="GP533" s="644"/>
      <c r="GQ533" s="643"/>
      <c r="GR533" s="644"/>
      <c r="GS533" s="643"/>
      <c r="GT533" s="644"/>
      <c r="GU533" s="644"/>
      <c r="GV533" s="644"/>
      <c r="GW533" s="644"/>
      <c r="GX533" s="644"/>
      <c r="GY533" s="644"/>
      <c r="GZ533" s="644"/>
      <c r="HA533" s="644"/>
    </row>
    <row r="534" spans="1:209">
      <c r="A534" s="638"/>
      <c r="B534" s="95"/>
      <c r="C534" s="95"/>
      <c r="D534" s="95"/>
      <c r="E534" s="650"/>
      <c r="F534" s="95"/>
      <c r="G534" s="98"/>
      <c r="H534" s="99"/>
      <c r="I534" s="95"/>
      <c r="J534" s="95"/>
      <c r="K534" s="95"/>
      <c r="L534" s="95"/>
      <c r="M534" s="95"/>
      <c r="N534" s="95"/>
      <c r="O534" s="95"/>
      <c r="P534" s="95"/>
      <c r="Q534" s="95"/>
      <c r="R534" s="98"/>
      <c r="S534" s="101"/>
      <c r="T534" s="644"/>
      <c r="U534" s="101"/>
      <c r="V534" s="647"/>
      <c r="W534" s="643"/>
      <c r="X534" s="644"/>
      <c r="Y534" s="101"/>
      <c r="Z534" s="644"/>
      <c r="AA534" s="101"/>
      <c r="AB534" s="644"/>
      <c r="AC534" s="101"/>
      <c r="AD534" s="646"/>
      <c r="AE534" s="271"/>
      <c r="AF534" s="646"/>
      <c r="AG534" s="646"/>
      <c r="AH534" s="646"/>
      <c r="AI534" s="646"/>
      <c r="AJ534" s="646"/>
      <c r="AK534" s="646"/>
      <c r="AL534" s="646"/>
      <c r="AM534" s="271"/>
      <c r="AN534" s="646"/>
      <c r="AO534" s="646"/>
      <c r="AP534" s="646"/>
      <c r="AQ534" s="271"/>
      <c r="AR534" s="646"/>
      <c r="AS534" s="270"/>
      <c r="AT534" s="646"/>
      <c r="AU534" s="646"/>
      <c r="AV534" s="646"/>
      <c r="AW534" s="270"/>
      <c r="AX534" s="646"/>
      <c r="AY534" s="270"/>
      <c r="AZ534" s="646"/>
      <c r="BA534" s="646"/>
      <c r="BB534" s="644"/>
      <c r="BC534" s="644"/>
      <c r="BD534" s="644"/>
      <c r="BE534" s="644"/>
      <c r="BF534" s="644"/>
      <c r="BG534" s="644"/>
      <c r="BH534" s="644"/>
      <c r="BI534" s="644"/>
      <c r="BJ534" s="644"/>
      <c r="BK534" s="644"/>
      <c r="BL534" s="644"/>
      <c r="BM534" s="95"/>
      <c r="BN534" s="644"/>
      <c r="BO534" s="95"/>
      <c r="BP534" s="644"/>
      <c r="BQ534" s="644"/>
      <c r="BR534" s="644"/>
      <c r="BS534" s="644"/>
      <c r="BT534" s="644"/>
      <c r="BU534" s="644"/>
      <c r="BV534" s="644"/>
      <c r="BW534" s="644"/>
      <c r="BX534" s="644"/>
      <c r="BY534" s="644"/>
      <c r="BZ534" s="644"/>
      <c r="CA534" s="644"/>
      <c r="CB534" s="644"/>
      <c r="CC534" s="644"/>
      <c r="CD534" s="644"/>
      <c r="CE534" s="644"/>
      <c r="CF534" s="644"/>
      <c r="CG534" s="644"/>
      <c r="CH534" s="644"/>
      <c r="CI534" s="644"/>
      <c r="CJ534" s="644"/>
      <c r="CK534" s="644"/>
      <c r="CL534" s="644"/>
      <c r="CM534" s="95"/>
      <c r="CN534" s="644"/>
      <c r="CO534" s="644"/>
      <c r="CP534" s="95"/>
      <c r="CQ534" s="98"/>
      <c r="CR534" s="95"/>
      <c r="CS534" s="95"/>
      <c r="CT534" s="95"/>
      <c r="CU534" s="108"/>
      <c r="CV534" s="109"/>
      <c r="CW534" s="644"/>
      <c r="CX534" s="496"/>
      <c r="CY534" s="637"/>
      <c r="CZ534" s="644"/>
      <c r="DA534" s="644"/>
      <c r="DB534" s="644"/>
      <c r="DC534" s="496"/>
      <c r="DD534" s="644"/>
      <c r="DE534" s="101"/>
      <c r="DF534" s="644"/>
      <c r="DG534" s="101"/>
      <c r="DH534" s="644"/>
      <c r="DI534" s="644"/>
      <c r="DJ534" s="644"/>
      <c r="DK534" s="644"/>
      <c r="DL534" s="644"/>
      <c r="DM534" s="101"/>
      <c r="DN534" s="644"/>
      <c r="DO534" s="644"/>
      <c r="DP534" s="644"/>
      <c r="DQ534" s="644"/>
      <c r="DR534" s="644"/>
      <c r="DS534" s="644"/>
      <c r="DT534" s="644"/>
      <c r="DU534" s="644"/>
      <c r="DV534" s="644"/>
      <c r="DW534" s="101"/>
      <c r="DX534" s="646"/>
      <c r="DY534" s="646"/>
      <c r="DZ534" s="646"/>
      <c r="EA534" s="646"/>
      <c r="EB534" s="646"/>
      <c r="EC534" s="646"/>
      <c r="ED534" s="646"/>
      <c r="EE534" s="646"/>
      <c r="EF534" s="646"/>
      <c r="EG534" s="646"/>
      <c r="EH534" s="646"/>
      <c r="EI534" s="646"/>
      <c r="EJ534" s="646"/>
      <c r="EK534" s="271"/>
      <c r="EL534" s="644"/>
      <c r="EM534" s="634"/>
      <c r="EN534" s="647"/>
      <c r="EO534" s="648"/>
      <c r="EP534" s="647"/>
      <c r="EQ534" s="647"/>
      <c r="ER534" s="647"/>
      <c r="ES534" s="139"/>
      <c r="EV534" s="647"/>
      <c r="EW534" s="647"/>
      <c r="EX534" s="647"/>
      <c r="EY534" s="647"/>
      <c r="EZ534" s="647"/>
      <c r="FA534" s="646"/>
      <c r="FB534" s="646"/>
      <c r="FC534" s="646"/>
      <c r="FD534" s="646"/>
      <c r="FE534" s="646"/>
      <c r="FF534" s="646"/>
      <c r="FG534" s="647"/>
      <c r="FH534" s="647"/>
      <c r="FI534" s="647"/>
      <c r="FJ534" s="647"/>
      <c r="FK534" s="647"/>
      <c r="FL534" s="647"/>
      <c r="FM534" s="647"/>
      <c r="FN534" s="647"/>
      <c r="FO534" s="647"/>
      <c r="FP534" s="647"/>
      <c r="FQ534" s="647"/>
      <c r="FR534" s="647"/>
      <c r="FS534" s="101"/>
      <c r="FT534" s="95"/>
      <c r="FU534" s="651"/>
      <c r="FV534" s="101"/>
      <c r="FW534" s="101"/>
      <c r="FX534" s="634"/>
      <c r="FY534" s="634"/>
      <c r="FZ534" s="634"/>
      <c r="GA534" s="634"/>
      <c r="GB534" s="634"/>
      <c r="GC534" s="634"/>
      <c r="GD534" s="634"/>
      <c r="GE534" s="634"/>
      <c r="GF534" s="634"/>
      <c r="GG534" s="634"/>
      <c r="GH534" s="634"/>
      <c r="GI534" s="634"/>
      <c r="GJ534" s="634"/>
      <c r="GK534" s="634"/>
      <c r="GL534" s="101"/>
      <c r="GM534" s="101"/>
      <c r="GN534" s="101"/>
      <c r="GO534" s="643"/>
      <c r="GP534" s="644"/>
      <c r="GQ534" s="643"/>
      <c r="GR534" s="644"/>
      <c r="GS534" s="643"/>
      <c r="GT534" s="644"/>
      <c r="GU534" s="644"/>
      <c r="GV534" s="644"/>
      <c r="GW534" s="644"/>
      <c r="GX534" s="644"/>
      <c r="GY534" s="644"/>
      <c r="GZ534" s="644"/>
      <c r="HA534" s="644"/>
    </row>
    <row r="535" spans="1:209">
      <c r="A535" s="638"/>
      <c r="B535" s="95"/>
      <c r="C535" s="95"/>
      <c r="D535" s="95"/>
      <c r="E535" s="650"/>
      <c r="F535" s="95"/>
      <c r="G535" s="98"/>
      <c r="H535" s="99"/>
      <c r="I535" s="95"/>
      <c r="J535" s="95"/>
      <c r="K535" s="95"/>
      <c r="L535" s="95"/>
      <c r="M535" s="95"/>
      <c r="N535" s="95"/>
      <c r="O535" s="95"/>
      <c r="P535" s="95"/>
      <c r="Q535" s="95"/>
      <c r="R535" s="98"/>
      <c r="S535" s="101"/>
      <c r="T535" s="644"/>
      <c r="U535" s="101"/>
      <c r="V535" s="647"/>
      <c r="W535" s="643"/>
      <c r="X535" s="644"/>
      <c r="Y535" s="101"/>
      <c r="Z535" s="644"/>
      <c r="AA535" s="101"/>
      <c r="AB535" s="644"/>
      <c r="AC535" s="101"/>
      <c r="AD535" s="646"/>
      <c r="AE535" s="271"/>
      <c r="AF535" s="646"/>
      <c r="AG535" s="646"/>
      <c r="AH535" s="646"/>
      <c r="AI535" s="646"/>
      <c r="AJ535" s="646"/>
      <c r="AK535" s="646"/>
      <c r="AL535" s="646"/>
      <c r="AM535" s="271"/>
      <c r="AN535" s="646"/>
      <c r="AO535" s="646"/>
      <c r="AP535" s="646"/>
      <c r="AQ535" s="271"/>
      <c r="AR535" s="646"/>
      <c r="AS535" s="270"/>
      <c r="AT535" s="646"/>
      <c r="AU535" s="646"/>
      <c r="AV535" s="646"/>
      <c r="AW535" s="270"/>
      <c r="AX535" s="646"/>
      <c r="AY535" s="270"/>
      <c r="AZ535" s="646"/>
      <c r="BA535" s="646"/>
      <c r="BB535" s="644"/>
      <c r="BC535" s="644"/>
      <c r="BD535" s="644"/>
      <c r="BE535" s="644"/>
      <c r="BF535" s="644"/>
      <c r="BG535" s="644"/>
      <c r="BH535" s="644"/>
      <c r="BI535" s="644"/>
      <c r="BJ535" s="644"/>
      <c r="BK535" s="644"/>
      <c r="BL535" s="644"/>
      <c r="BM535" s="95"/>
      <c r="BN535" s="644"/>
      <c r="BO535" s="95"/>
      <c r="BP535" s="644"/>
      <c r="BQ535" s="644"/>
      <c r="BR535" s="644"/>
      <c r="BS535" s="644"/>
      <c r="BT535" s="644"/>
      <c r="BU535" s="644"/>
      <c r="BV535" s="644"/>
      <c r="BW535" s="644"/>
      <c r="BX535" s="644"/>
      <c r="BY535" s="644"/>
      <c r="BZ535" s="644"/>
      <c r="CA535" s="644"/>
      <c r="CB535" s="644"/>
      <c r="CC535" s="644"/>
      <c r="CD535" s="644"/>
      <c r="CE535" s="644"/>
      <c r="CF535" s="644"/>
      <c r="CG535" s="644"/>
      <c r="CH535" s="644"/>
      <c r="CI535" s="644"/>
      <c r="CJ535" s="644"/>
      <c r="CK535" s="644"/>
      <c r="CL535" s="644"/>
      <c r="CM535" s="95"/>
      <c r="CN535" s="644"/>
      <c r="CO535" s="644"/>
      <c r="CP535" s="95"/>
      <c r="CQ535" s="98"/>
      <c r="CR535" s="95"/>
      <c r="CS535" s="95"/>
      <c r="CT535" s="95"/>
      <c r="CU535" s="108"/>
      <c r="CV535" s="109"/>
      <c r="CW535" s="644"/>
      <c r="CX535" s="496"/>
      <c r="CY535" s="637"/>
      <c r="CZ535" s="644"/>
      <c r="DA535" s="644"/>
      <c r="DB535" s="644"/>
      <c r="DC535" s="496"/>
      <c r="DD535" s="644"/>
      <c r="DE535" s="101"/>
      <c r="DF535" s="644"/>
      <c r="DG535" s="101"/>
      <c r="DH535" s="644"/>
      <c r="DI535" s="644"/>
      <c r="DJ535" s="644"/>
      <c r="DK535" s="644"/>
      <c r="DL535" s="644"/>
      <c r="DM535" s="101"/>
      <c r="DN535" s="644"/>
      <c r="DO535" s="644"/>
      <c r="DP535" s="644"/>
      <c r="DQ535" s="644"/>
      <c r="DR535" s="644"/>
      <c r="DS535" s="644"/>
      <c r="DT535" s="644"/>
      <c r="DU535" s="644"/>
      <c r="DV535" s="644"/>
      <c r="DW535" s="101"/>
      <c r="DX535" s="646"/>
      <c r="DY535" s="646"/>
      <c r="DZ535" s="646"/>
      <c r="EA535" s="646"/>
      <c r="EB535" s="646"/>
      <c r="EC535" s="646"/>
      <c r="ED535" s="646"/>
      <c r="EE535" s="646"/>
      <c r="EF535" s="646"/>
      <c r="EG535" s="646"/>
      <c r="EH535" s="646"/>
      <c r="EI535" s="646"/>
      <c r="EJ535" s="646"/>
      <c r="EK535" s="271"/>
      <c r="EL535" s="644"/>
      <c r="EM535" s="634"/>
      <c r="EN535" s="647"/>
      <c r="EO535" s="648"/>
      <c r="EP535" s="647"/>
      <c r="EQ535" s="647"/>
      <c r="ER535" s="647"/>
      <c r="ES535" s="139"/>
      <c r="EV535" s="647"/>
      <c r="EW535" s="647"/>
      <c r="EX535" s="647"/>
      <c r="EY535" s="647"/>
      <c r="EZ535" s="647"/>
      <c r="FA535" s="646"/>
      <c r="FB535" s="646"/>
      <c r="FC535" s="646"/>
      <c r="FD535" s="646"/>
      <c r="FE535" s="646"/>
      <c r="FF535" s="646"/>
      <c r="FG535" s="647"/>
      <c r="FH535" s="647"/>
      <c r="FI535" s="647"/>
      <c r="FJ535" s="647"/>
      <c r="FK535" s="647"/>
      <c r="FL535" s="647"/>
      <c r="FM535" s="647"/>
      <c r="FN535" s="647"/>
      <c r="FO535" s="647"/>
      <c r="FP535" s="647"/>
      <c r="FQ535" s="647"/>
      <c r="FR535" s="647"/>
      <c r="FS535" s="101"/>
      <c r="FT535" s="95"/>
      <c r="FU535" s="651"/>
      <c r="FV535" s="101"/>
      <c r="FW535" s="101"/>
      <c r="FX535" s="634"/>
      <c r="FY535" s="634"/>
      <c r="FZ535" s="634"/>
      <c r="GA535" s="634"/>
      <c r="GB535" s="634"/>
      <c r="GC535" s="634"/>
      <c r="GD535" s="634"/>
      <c r="GE535" s="634"/>
      <c r="GF535" s="634"/>
      <c r="GG535" s="634"/>
      <c r="GH535" s="634"/>
      <c r="GI535" s="634"/>
      <c r="GJ535" s="634"/>
      <c r="GK535" s="634"/>
      <c r="GL535" s="101"/>
      <c r="GM535" s="101"/>
      <c r="GN535" s="101"/>
      <c r="GO535" s="643"/>
      <c r="GP535" s="644"/>
      <c r="GQ535" s="643"/>
      <c r="GR535" s="644"/>
      <c r="GS535" s="643"/>
      <c r="GT535" s="644"/>
      <c r="GU535" s="644"/>
      <c r="GV535" s="644"/>
      <c r="GW535" s="644"/>
      <c r="GX535" s="644"/>
      <c r="GY535" s="644"/>
      <c r="GZ535" s="644"/>
      <c r="HA535" s="644"/>
    </row>
    <row r="536" spans="1:209">
      <c r="A536" s="638"/>
      <c r="B536" s="95"/>
      <c r="C536" s="95"/>
      <c r="D536" s="95"/>
      <c r="E536" s="650"/>
      <c r="F536" s="95"/>
      <c r="G536" s="98"/>
      <c r="H536" s="99"/>
      <c r="I536" s="95"/>
      <c r="J536" s="95"/>
      <c r="K536" s="95"/>
      <c r="L536" s="95"/>
      <c r="M536" s="95"/>
      <c r="N536" s="95"/>
      <c r="O536" s="95"/>
      <c r="P536" s="95"/>
      <c r="Q536" s="95"/>
      <c r="R536" s="98"/>
      <c r="S536" s="101"/>
      <c r="T536" s="644"/>
      <c r="U536" s="101"/>
      <c r="V536" s="647"/>
      <c r="W536" s="643"/>
      <c r="X536" s="644"/>
      <c r="Y536" s="101"/>
      <c r="Z536" s="644"/>
      <c r="AA536" s="101"/>
      <c r="AB536" s="644"/>
      <c r="AC536" s="101"/>
      <c r="AD536" s="646"/>
      <c r="AE536" s="271"/>
      <c r="AF536" s="646"/>
      <c r="AG536" s="646"/>
      <c r="AH536" s="646"/>
      <c r="AI536" s="646"/>
      <c r="AJ536" s="646"/>
      <c r="AK536" s="646"/>
      <c r="AL536" s="646"/>
      <c r="AM536" s="271"/>
      <c r="AN536" s="646"/>
      <c r="AO536" s="646"/>
      <c r="AP536" s="646"/>
      <c r="AQ536" s="271"/>
      <c r="AR536" s="646"/>
      <c r="AS536" s="270"/>
      <c r="AT536" s="646"/>
      <c r="AU536" s="646"/>
      <c r="AV536" s="646"/>
      <c r="AW536" s="270"/>
      <c r="AX536" s="646"/>
      <c r="AY536" s="270"/>
      <c r="AZ536" s="646"/>
      <c r="BA536" s="646"/>
      <c r="BB536" s="644"/>
      <c r="BC536" s="644"/>
      <c r="BD536" s="644"/>
      <c r="BE536" s="644"/>
      <c r="BF536" s="644"/>
      <c r="BG536" s="644"/>
      <c r="BH536" s="644"/>
      <c r="BI536" s="644"/>
      <c r="BJ536" s="644"/>
      <c r="BK536" s="644"/>
      <c r="BL536" s="644"/>
      <c r="BM536" s="95"/>
      <c r="BN536" s="644"/>
      <c r="BO536" s="95"/>
      <c r="BP536" s="644"/>
      <c r="BQ536" s="644"/>
      <c r="BR536" s="644"/>
      <c r="BS536" s="644"/>
      <c r="BT536" s="644"/>
      <c r="BU536" s="644"/>
      <c r="BV536" s="644"/>
      <c r="BW536" s="644"/>
      <c r="BX536" s="644"/>
      <c r="BY536" s="644"/>
      <c r="BZ536" s="644"/>
      <c r="CA536" s="644"/>
      <c r="CB536" s="644"/>
      <c r="CC536" s="644"/>
      <c r="CD536" s="644"/>
      <c r="CE536" s="644"/>
      <c r="CF536" s="644"/>
      <c r="CG536" s="644"/>
      <c r="CH536" s="644"/>
      <c r="CI536" s="644"/>
      <c r="CJ536" s="644"/>
      <c r="CK536" s="644"/>
      <c r="CL536" s="644"/>
      <c r="CM536" s="95"/>
      <c r="CN536" s="644"/>
      <c r="CO536" s="644"/>
      <c r="CP536" s="95"/>
      <c r="CQ536" s="98"/>
      <c r="CR536" s="95"/>
      <c r="CS536" s="95"/>
      <c r="CT536" s="95"/>
      <c r="CU536" s="108"/>
      <c r="CV536" s="109"/>
      <c r="CW536" s="644"/>
      <c r="CX536" s="496"/>
      <c r="CY536" s="637"/>
      <c r="CZ536" s="644"/>
      <c r="DA536" s="644"/>
      <c r="DB536" s="644"/>
      <c r="DC536" s="496"/>
      <c r="DD536" s="644"/>
      <c r="DE536" s="101"/>
      <c r="DF536" s="644"/>
      <c r="DG536" s="101"/>
      <c r="DH536" s="644"/>
      <c r="DI536" s="644"/>
      <c r="DJ536" s="644"/>
      <c r="DK536" s="644"/>
      <c r="DL536" s="644"/>
      <c r="DM536" s="101"/>
      <c r="DN536" s="644"/>
      <c r="DO536" s="644"/>
      <c r="DP536" s="644"/>
      <c r="DQ536" s="644"/>
      <c r="DR536" s="644"/>
      <c r="DS536" s="644"/>
      <c r="DT536" s="644"/>
      <c r="DU536" s="644"/>
      <c r="DV536" s="644"/>
      <c r="DW536" s="101"/>
      <c r="DX536" s="646"/>
      <c r="DY536" s="646"/>
      <c r="DZ536" s="646"/>
      <c r="EA536" s="646"/>
      <c r="EB536" s="646"/>
      <c r="EC536" s="646"/>
      <c r="ED536" s="646"/>
      <c r="EE536" s="646"/>
      <c r="EF536" s="646"/>
      <c r="EG536" s="646"/>
      <c r="EH536" s="646"/>
      <c r="EI536" s="646"/>
      <c r="EJ536" s="646"/>
      <c r="EK536" s="271"/>
      <c r="EL536" s="644"/>
      <c r="EM536" s="634"/>
      <c r="EN536" s="647"/>
      <c r="EO536" s="648"/>
      <c r="EP536" s="647"/>
      <c r="EQ536" s="647"/>
      <c r="ER536" s="647"/>
      <c r="ES536" s="139"/>
      <c r="EV536" s="647"/>
      <c r="EW536" s="647"/>
      <c r="EX536" s="647"/>
      <c r="EY536" s="647"/>
      <c r="EZ536" s="647"/>
      <c r="FA536" s="646"/>
      <c r="FB536" s="646"/>
      <c r="FC536" s="646"/>
      <c r="FD536" s="646"/>
      <c r="FE536" s="646"/>
      <c r="FF536" s="646"/>
      <c r="FG536" s="647"/>
      <c r="FH536" s="647"/>
      <c r="FI536" s="647"/>
      <c r="FJ536" s="647"/>
      <c r="FK536" s="647"/>
      <c r="FL536" s="647"/>
      <c r="FM536" s="647"/>
      <c r="FN536" s="647"/>
      <c r="FO536" s="647"/>
      <c r="FP536" s="647"/>
      <c r="FQ536" s="647"/>
      <c r="FR536" s="647"/>
      <c r="FS536" s="101"/>
      <c r="FT536" s="95"/>
      <c r="FU536" s="651"/>
      <c r="FV536" s="101"/>
      <c r="FW536" s="101"/>
      <c r="FX536" s="634"/>
      <c r="FY536" s="634"/>
      <c r="FZ536" s="634"/>
      <c r="GA536" s="634"/>
      <c r="GB536" s="634"/>
      <c r="GC536" s="634"/>
      <c r="GD536" s="634"/>
      <c r="GE536" s="634"/>
      <c r="GF536" s="634"/>
      <c r="GG536" s="634"/>
      <c r="GH536" s="634"/>
      <c r="GI536" s="634"/>
      <c r="GJ536" s="634"/>
      <c r="GK536" s="634"/>
      <c r="GL536" s="101"/>
      <c r="GM536" s="101"/>
      <c r="GN536" s="101"/>
      <c r="GO536" s="643"/>
      <c r="GP536" s="644"/>
      <c r="GQ536" s="643"/>
      <c r="GR536" s="644"/>
      <c r="GS536" s="643"/>
      <c r="GT536" s="644"/>
      <c r="GU536" s="644"/>
      <c r="GV536" s="644"/>
      <c r="GW536" s="644"/>
      <c r="GX536" s="644"/>
      <c r="GY536" s="644"/>
      <c r="GZ536" s="644"/>
      <c r="HA536" s="644"/>
    </row>
    <row r="537" spans="1:209">
      <c r="A537" s="638"/>
      <c r="B537" s="95"/>
      <c r="C537" s="95"/>
      <c r="D537" s="95"/>
      <c r="E537" s="650"/>
      <c r="F537" s="95"/>
      <c r="G537" s="98"/>
      <c r="H537" s="99"/>
      <c r="I537" s="95"/>
      <c r="J537" s="95"/>
      <c r="K537" s="95"/>
      <c r="L537" s="95"/>
      <c r="M537" s="95"/>
      <c r="N537" s="95"/>
      <c r="O537" s="95"/>
      <c r="P537" s="95"/>
      <c r="Q537" s="95"/>
      <c r="R537" s="98"/>
      <c r="S537" s="101"/>
      <c r="T537" s="644"/>
      <c r="U537" s="101"/>
      <c r="V537" s="647"/>
      <c r="W537" s="643"/>
      <c r="X537" s="644"/>
      <c r="Y537" s="101"/>
      <c r="Z537" s="644"/>
      <c r="AA537" s="101"/>
      <c r="AB537" s="644"/>
      <c r="AC537" s="101"/>
      <c r="AD537" s="646"/>
      <c r="AE537" s="271"/>
      <c r="AF537" s="646"/>
      <c r="AG537" s="646"/>
      <c r="AH537" s="646"/>
      <c r="AI537" s="646"/>
      <c r="AJ537" s="646"/>
      <c r="AK537" s="646"/>
      <c r="AL537" s="646"/>
      <c r="AM537" s="271"/>
      <c r="AN537" s="646"/>
      <c r="AO537" s="646"/>
      <c r="AP537" s="646"/>
      <c r="AQ537" s="271"/>
      <c r="AR537" s="646"/>
      <c r="AS537" s="270"/>
      <c r="AT537" s="646"/>
      <c r="AU537" s="646"/>
      <c r="AV537" s="646"/>
      <c r="AW537" s="270"/>
      <c r="AX537" s="646"/>
      <c r="AY537" s="270"/>
      <c r="AZ537" s="646"/>
      <c r="BA537" s="646"/>
      <c r="BB537" s="644"/>
      <c r="BC537" s="644"/>
      <c r="BD537" s="644"/>
      <c r="BE537" s="644"/>
      <c r="BF537" s="644"/>
      <c r="BG537" s="644"/>
      <c r="BH537" s="644"/>
      <c r="BI537" s="644"/>
      <c r="BJ537" s="644"/>
      <c r="BK537" s="644"/>
      <c r="BL537" s="644"/>
      <c r="BM537" s="95"/>
      <c r="BN537" s="644"/>
      <c r="BO537" s="95"/>
      <c r="BP537" s="644"/>
      <c r="BQ537" s="644"/>
      <c r="BR537" s="644"/>
      <c r="BS537" s="644"/>
      <c r="BT537" s="644"/>
      <c r="BU537" s="644"/>
      <c r="BV537" s="644"/>
      <c r="BW537" s="644"/>
      <c r="BX537" s="644"/>
      <c r="BY537" s="644"/>
      <c r="BZ537" s="644"/>
      <c r="CA537" s="644"/>
      <c r="CB537" s="644"/>
      <c r="CC537" s="644"/>
      <c r="CD537" s="644"/>
      <c r="CE537" s="644"/>
      <c r="CF537" s="644"/>
      <c r="CG537" s="644"/>
      <c r="CH537" s="644"/>
      <c r="CI537" s="644"/>
      <c r="CJ537" s="644"/>
      <c r="CK537" s="644"/>
      <c r="CL537" s="644"/>
      <c r="CM537" s="95"/>
      <c r="CN537" s="644"/>
      <c r="CO537" s="644"/>
      <c r="CP537" s="95"/>
      <c r="CQ537" s="98"/>
      <c r="CR537" s="95"/>
      <c r="CS537" s="95"/>
      <c r="CT537" s="95"/>
      <c r="CU537" s="108"/>
      <c r="CV537" s="109"/>
      <c r="CW537" s="644"/>
      <c r="CX537" s="496"/>
      <c r="CY537" s="637"/>
      <c r="CZ537" s="644"/>
      <c r="DA537" s="644"/>
      <c r="DB537" s="644"/>
      <c r="DC537" s="496"/>
      <c r="DD537" s="644"/>
      <c r="DE537" s="101"/>
      <c r="DF537" s="644"/>
      <c r="DG537" s="101"/>
      <c r="DH537" s="644"/>
      <c r="DI537" s="644"/>
      <c r="DJ537" s="644"/>
      <c r="DK537" s="644"/>
      <c r="DL537" s="644"/>
      <c r="DM537" s="101"/>
      <c r="DN537" s="644"/>
      <c r="DO537" s="644"/>
      <c r="DP537" s="644"/>
      <c r="DQ537" s="644"/>
      <c r="DR537" s="644"/>
      <c r="DS537" s="644"/>
      <c r="DT537" s="644"/>
      <c r="DU537" s="644"/>
      <c r="DV537" s="644"/>
      <c r="DW537" s="101"/>
      <c r="DX537" s="646"/>
      <c r="DY537" s="646"/>
      <c r="DZ537" s="646"/>
      <c r="EA537" s="646"/>
      <c r="EB537" s="646"/>
      <c r="EC537" s="646"/>
      <c r="ED537" s="646"/>
      <c r="EE537" s="646"/>
      <c r="EF537" s="646"/>
      <c r="EG537" s="646"/>
      <c r="EH537" s="646"/>
      <c r="EI537" s="646"/>
      <c r="EJ537" s="646"/>
      <c r="EK537" s="271"/>
      <c r="EL537" s="644"/>
      <c r="EM537" s="634"/>
      <c r="EN537" s="647"/>
      <c r="EO537" s="648"/>
      <c r="EP537" s="647"/>
      <c r="EQ537" s="647"/>
      <c r="ER537" s="647"/>
      <c r="ES537" s="139"/>
      <c r="EV537" s="647"/>
      <c r="EW537" s="647"/>
      <c r="EX537" s="647"/>
      <c r="EY537" s="647"/>
      <c r="EZ537" s="647"/>
      <c r="FA537" s="646"/>
      <c r="FB537" s="646"/>
      <c r="FC537" s="646"/>
      <c r="FD537" s="646"/>
      <c r="FE537" s="646"/>
      <c r="FF537" s="646"/>
      <c r="FG537" s="647"/>
      <c r="FH537" s="647"/>
      <c r="FI537" s="647"/>
      <c r="FJ537" s="647"/>
      <c r="FK537" s="647"/>
      <c r="FL537" s="647"/>
      <c r="FM537" s="647"/>
      <c r="FN537" s="647"/>
      <c r="FO537" s="647"/>
      <c r="FP537" s="647"/>
      <c r="FQ537" s="647"/>
      <c r="FR537" s="647"/>
      <c r="FS537" s="101"/>
      <c r="FT537" s="95"/>
      <c r="FU537" s="651"/>
      <c r="FV537" s="101"/>
      <c r="FW537" s="101"/>
      <c r="FX537" s="634"/>
      <c r="FY537" s="634"/>
      <c r="FZ537" s="634"/>
      <c r="GA537" s="634"/>
      <c r="GB537" s="634"/>
      <c r="GC537" s="634"/>
      <c r="GD537" s="634"/>
      <c r="GE537" s="634"/>
      <c r="GF537" s="634"/>
      <c r="GG537" s="634"/>
      <c r="GH537" s="634"/>
      <c r="GI537" s="634"/>
      <c r="GJ537" s="634"/>
      <c r="GK537" s="634"/>
      <c r="GL537" s="101"/>
      <c r="GM537" s="101"/>
      <c r="GN537" s="101"/>
      <c r="GO537" s="643"/>
      <c r="GP537" s="644"/>
      <c r="GQ537" s="643"/>
      <c r="GR537" s="644"/>
      <c r="GS537" s="643"/>
      <c r="GT537" s="644"/>
      <c r="GU537" s="644"/>
      <c r="GV537" s="644"/>
      <c r="GW537" s="644"/>
      <c r="GX537" s="644"/>
      <c r="GY537" s="644"/>
      <c r="GZ537" s="644"/>
      <c r="HA537" s="644"/>
    </row>
    <row r="538" spans="1:209">
      <c r="A538" s="638"/>
      <c r="B538" s="95"/>
      <c r="C538" s="95"/>
      <c r="D538" s="95"/>
      <c r="E538" s="650"/>
      <c r="F538" s="95"/>
      <c r="G538" s="98"/>
      <c r="H538" s="99"/>
      <c r="I538" s="95"/>
      <c r="J538" s="95"/>
      <c r="K538" s="95"/>
      <c r="L538" s="95"/>
      <c r="M538" s="95"/>
      <c r="N538" s="95"/>
      <c r="O538" s="95"/>
      <c r="P538" s="95"/>
      <c r="Q538" s="95"/>
      <c r="R538" s="98"/>
      <c r="S538" s="101"/>
      <c r="T538" s="644"/>
      <c r="U538" s="101"/>
      <c r="V538" s="647"/>
      <c r="W538" s="643"/>
      <c r="X538" s="644"/>
      <c r="Y538" s="101"/>
      <c r="Z538" s="644"/>
      <c r="AA538" s="101"/>
      <c r="AB538" s="644"/>
      <c r="AC538" s="101"/>
      <c r="AD538" s="646"/>
      <c r="AE538" s="271"/>
      <c r="AF538" s="646"/>
      <c r="AG538" s="646"/>
      <c r="AH538" s="646"/>
      <c r="AI538" s="646"/>
      <c r="AJ538" s="646"/>
      <c r="AK538" s="646"/>
      <c r="AL538" s="646"/>
      <c r="AM538" s="271"/>
      <c r="AN538" s="646"/>
      <c r="AO538" s="646"/>
      <c r="AP538" s="646"/>
      <c r="AQ538" s="271"/>
      <c r="AR538" s="646"/>
      <c r="AS538" s="270"/>
      <c r="AT538" s="646"/>
      <c r="AU538" s="646"/>
      <c r="AV538" s="646"/>
      <c r="AW538" s="270"/>
      <c r="AX538" s="646"/>
      <c r="AY538" s="270"/>
      <c r="AZ538" s="646"/>
      <c r="BA538" s="646"/>
      <c r="BB538" s="644"/>
      <c r="BC538" s="644"/>
      <c r="BD538" s="644"/>
      <c r="BE538" s="644"/>
      <c r="BF538" s="644"/>
      <c r="BG538" s="644"/>
      <c r="BH538" s="644"/>
      <c r="BI538" s="644"/>
      <c r="BJ538" s="644"/>
      <c r="BK538" s="644"/>
      <c r="BL538" s="644"/>
      <c r="BM538" s="95"/>
      <c r="BN538" s="644"/>
      <c r="BO538" s="95"/>
      <c r="BP538" s="644"/>
      <c r="BQ538" s="644"/>
      <c r="BR538" s="644"/>
      <c r="BS538" s="644"/>
      <c r="BT538" s="644"/>
      <c r="BU538" s="644"/>
      <c r="BV538" s="644"/>
      <c r="BW538" s="644"/>
      <c r="BX538" s="644"/>
      <c r="BY538" s="644"/>
      <c r="BZ538" s="644"/>
      <c r="CA538" s="644"/>
      <c r="CB538" s="644"/>
      <c r="CC538" s="644"/>
      <c r="CD538" s="644"/>
      <c r="CE538" s="644"/>
      <c r="CF538" s="644"/>
      <c r="CG538" s="644"/>
      <c r="CH538" s="644"/>
      <c r="CI538" s="644"/>
      <c r="CJ538" s="644"/>
      <c r="CK538" s="644"/>
      <c r="CL538" s="644"/>
      <c r="CM538" s="95"/>
      <c r="CN538" s="644"/>
      <c r="CO538" s="644"/>
      <c r="CP538" s="95"/>
      <c r="CQ538" s="98"/>
      <c r="CR538" s="95"/>
      <c r="CS538" s="95"/>
      <c r="CT538" s="95"/>
      <c r="CU538" s="108"/>
      <c r="CV538" s="109"/>
      <c r="CW538" s="644"/>
      <c r="CX538" s="496"/>
      <c r="CY538" s="637"/>
      <c r="CZ538" s="644"/>
      <c r="DA538" s="644"/>
      <c r="DB538" s="644"/>
      <c r="DC538" s="496"/>
      <c r="DD538" s="644"/>
      <c r="DE538" s="101"/>
      <c r="DF538" s="644"/>
      <c r="DG538" s="101"/>
      <c r="DH538" s="644"/>
      <c r="DI538" s="644"/>
      <c r="DJ538" s="644"/>
      <c r="DK538" s="644"/>
      <c r="DL538" s="644"/>
      <c r="DM538" s="101"/>
      <c r="DN538" s="644"/>
      <c r="DO538" s="644"/>
      <c r="DP538" s="644"/>
      <c r="DQ538" s="644"/>
      <c r="DR538" s="644"/>
      <c r="DS538" s="644"/>
      <c r="DT538" s="644"/>
      <c r="DU538" s="644"/>
      <c r="DV538" s="644"/>
      <c r="DW538" s="101"/>
      <c r="DX538" s="646"/>
      <c r="DY538" s="646"/>
      <c r="DZ538" s="646"/>
      <c r="EA538" s="646"/>
      <c r="EB538" s="646"/>
      <c r="EC538" s="646"/>
      <c r="ED538" s="646"/>
      <c r="EE538" s="646"/>
      <c r="EF538" s="646"/>
      <c r="EG538" s="646"/>
      <c r="EH538" s="646"/>
      <c r="EI538" s="646"/>
      <c r="EJ538" s="646"/>
      <c r="EK538" s="271"/>
      <c r="EL538" s="644"/>
      <c r="EM538" s="634"/>
      <c r="EN538" s="647"/>
      <c r="EO538" s="648"/>
      <c r="EP538" s="647"/>
      <c r="EQ538" s="647"/>
      <c r="ER538" s="647"/>
      <c r="ES538" s="139"/>
      <c r="EV538" s="647"/>
      <c r="EW538" s="647"/>
      <c r="EX538" s="647"/>
      <c r="EY538" s="647"/>
      <c r="EZ538" s="647"/>
      <c r="FA538" s="646"/>
      <c r="FB538" s="646"/>
      <c r="FC538" s="646"/>
      <c r="FD538" s="646"/>
      <c r="FE538" s="646"/>
      <c r="FF538" s="646"/>
      <c r="FG538" s="647"/>
      <c r="FH538" s="647"/>
      <c r="FI538" s="647"/>
      <c r="FJ538" s="647"/>
      <c r="FK538" s="647"/>
      <c r="FL538" s="647"/>
      <c r="FM538" s="647"/>
      <c r="FN538" s="647"/>
      <c r="FO538" s="647"/>
      <c r="FP538" s="647"/>
      <c r="FQ538" s="647"/>
      <c r="FR538" s="647"/>
      <c r="FS538" s="101"/>
      <c r="FT538" s="95"/>
      <c r="FU538" s="651"/>
      <c r="FV538" s="101"/>
      <c r="FW538" s="101"/>
      <c r="FX538" s="634"/>
      <c r="FY538" s="634"/>
      <c r="FZ538" s="634"/>
      <c r="GA538" s="634"/>
      <c r="GB538" s="634"/>
      <c r="GC538" s="634"/>
      <c r="GD538" s="634"/>
      <c r="GE538" s="634"/>
      <c r="GF538" s="634"/>
      <c r="GG538" s="634"/>
      <c r="GH538" s="634"/>
      <c r="GI538" s="634"/>
      <c r="GJ538" s="634"/>
      <c r="GK538" s="634"/>
      <c r="GL538" s="101"/>
      <c r="GM538" s="101"/>
      <c r="GN538" s="101"/>
      <c r="GO538" s="643"/>
      <c r="GP538" s="644"/>
      <c r="GQ538" s="643"/>
      <c r="GR538" s="644"/>
      <c r="GS538" s="643"/>
      <c r="GT538" s="644"/>
      <c r="GU538" s="644"/>
      <c r="GV538" s="644"/>
      <c r="GW538" s="644"/>
      <c r="GX538" s="644"/>
      <c r="GY538" s="644"/>
      <c r="GZ538" s="644"/>
      <c r="HA538" s="644"/>
    </row>
    <row r="539" spans="1:209">
      <c r="A539" s="638"/>
      <c r="B539" s="95"/>
      <c r="C539" s="95"/>
      <c r="D539" s="95"/>
      <c r="E539" s="650"/>
      <c r="F539" s="95"/>
      <c r="G539" s="98"/>
      <c r="H539" s="99"/>
      <c r="I539" s="95"/>
      <c r="J539" s="95"/>
      <c r="K539" s="95"/>
      <c r="L539" s="95"/>
      <c r="M539" s="95"/>
      <c r="N539" s="95"/>
      <c r="O539" s="95"/>
      <c r="P539" s="95"/>
      <c r="Q539" s="95"/>
      <c r="R539" s="98"/>
      <c r="S539" s="101"/>
      <c r="T539" s="644"/>
      <c r="U539" s="101"/>
      <c r="V539" s="647"/>
      <c r="W539" s="643"/>
      <c r="X539" s="644"/>
      <c r="Y539" s="101"/>
      <c r="Z539" s="644"/>
      <c r="AA539" s="101"/>
      <c r="AB539" s="644"/>
      <c r="AC539" s="101"/>
      <c r="AD539" s="646"/>
      <c r="AE539" s="271"/>
      <c r="AF539" s="646"/>
      <c r="AG539" s="646"/>
      <c r="AH539" s="646"/>
      <c r="AI539" s="646"/>
      <c r="AJ539" s="646"/>
      <c r="AK539" s="646"/>
      <c r="AL539" s="646"/>
      <c r="AM539" s="271"/>
      <c r="AN539" s="646"/>
      <c r="AO539" s="646"/>
      <c r="AP539" s="646"/>
      <c r="AQ539" s="271"/>
      <c r="AR539" s="646"/>
      <c r="AS539" s="270"/>
      <c r="AT539" s="646"/>
      <c r="AU539" s="646"/>
      <c r="AV539" s="646"/>
      <c r="AW539" s="270"/>
      <c r="AX539" s="646"/>
      <c r="AY539" s="270"/>
      <c r="AZ539" s="646"/>
      <c r="BA539" s="646"/>
      <c r="BB539" s="644"/>
      <c r="BC539" s="644"/>
      <c r="BD539" s="644"/>
      <c r="BE539" s="644"/>
      <c r="BF539" s="644"/>
      <c r="BG539" s="644"/>
      <c r="BH539" s="644"/>
      <c r="BI539" s="644"/>
      <c r="BJ539" s="644"/>
      <c r="BK539" s="644"/>
      <c r="BL539" s="644"/>
      <c r="BM539" s="95"/>
      <c r="BN539" s="644"/>
      <c r="BO539" s="95"/>
      <c r="BP539" s="644"/>
      <c r="BQ539" s="644"/>
      <c r="BR539" s="644"/>
      <c r="BS539" s="644"/>
      <c r="BT539" s="644"/>
      <c r="BU539" s="644"/>
      <c r="BV539" s="644"/>
      <c r="BW539" s="644"/>
      <c r="BX539" s="644"/>
      <c r="BY539" s="644"/>
      <c r="BZ539" s="644"/>
      <c r="CA539" s="644"/>
      <c r="CB539" s="644"/>
      <c r="CC539" s="644"/>
      <c r="CD539" s="644"/>
      <c r="CE539" s="644"/>
      <c r="CF539" s="644"/>
      <c r="CG539" s="644"/>
      <c r="CH539" s="644"/>
      <c r="CI539" s="644"/>
      <c r="CJ539" s="644"/>
      <c r="CK539" s="644"/>
      <c r="CL539" s="644"/>
      <c r="CM539" s="95"/>
      <c r="CN539" s="644"/>
      <c r="CO539" s="644"/>
      <c r="CP539" s="95"/>
      <c r="CQ539" s="98"/>
      <c r="CR539" s="95"/>
      <c r="CS539" s="95"/>
      <c r="CT539" s="95"/>
      <c r="CU539" s="108"/>
      <c r="CV539" s="109"/>
      <c r="CW539" s="644"/>
      <c r="CX539" s="496"/>
      <c r="CY539" s="637"/>
      <c r="CZ539" s="644"/>
      <c r="DA539" s="644"/>
      <c r="DB539" s="644"/>
      <c r="DC539" s="496"/>
      <c r="DD539" s="644"/>
      <c r="DE539" s="101"/>
      <c r="DF539" s="644"/>
      <c r="DG539" s="101"/>
      <c r="DH539" s="644"/>
      <c r="DI539" s="644"/>
      <c r="DJ539" s="644"/>
      <c r="DK539" s="644"/>
      <c r="DL539" s="644"/>
      <c r="DM539" s="101"/>
      <c r="DN539" s="644"/>
      <c r="DO539" s="644"/>
      <c r="DP539" s="644"/>
      <c r="DQ539" s="644"/>
      <c r="DR539" s="644"/>
      <c r="DS539" s="644"/>
      <c r="DT539" s="644"/>
      <c r="DU539" s="644"/>
      <c r="DV539" s="644"/>
      <c r="DW539" s="101"/>
      <c r="DX539" s="646"/>
      <c r="DY539" s="646"/>
      <c r="DZ539" s="646"/>
      <c r="EA539" s="646"/>
      <c r="EB539" s="646"/>
      <c r="EC539" s="646"/>
      <c r="ED539" s="646"/>
      <c r="EE539" s="646"/>
      <c r="EF539" s="646"/>
      <c r="EG539" s="646"/>
      <c r="EH539" s="646"/>
      <c r="EI539" s="646"/>
      <c r="EJ539" s="646"/>
      <c r="EK539" s="271"/>
      <c r="EL539" s="644"/>
      <c r="EM539" s="634"/>
      <c r="EN539" s="647"/>
      <c r="EO539" s="648"/>
      <c r="EP539" s="647"/>
      <c r="EQ539" s="647"/>
      <c r="ER539" s="647"/>
      <c r="ES539" s="139"/>
      <c r="EV539" s="647"/>
      <c r="EW539" s="647"/>
      <c r="EX539" s="647"/>
      <c r="EY539" s="647"/>
      <c r="EZ539" s="647"/>
      <c r="FA539" s="646"/>
      <c r="FB539" s="646"/>
      <c r="FC539" s="646"/>
      <c r="FD539" s="646"/>
      <c r="FE539" s="646"/>
      <c r="FF539" s="646"/>
      <c r="FG539" s="647"/>
      <c r="FH539" s="647"/>
      <c r="FI539" s="647"/>
      <c r="FJ539" s="647"/>
      <c r="FK539" s="647"/>
      <c r="FL539" s="647"/>
      <c r="FM539" s="647"/>
      <c r="FN539" s="647"/>
      <c r="FO539" s="647"/>
      <c r="FP539" s="647"/>
      <c r="FQ539" s="647"/>
      <c r="FR539" s="647"/>
      <c r="FS539" s="101"/>
      <c r="FT539" s="95"/>
      <c r="FU539" s="651"/>
      <c r="FV539" s="101"/>
      <c r="FW539" s="101"/>
      <c r="FX539" s="634"/>
      <c r="FY539" s="634"/>
      <c r="FZ539" s="634"/>
      <c r="GA539" s="634"/>
      <c r="GB539" s="634"/>
      <c r="GC539" s="634"/>
      <c r="GD539" s="634"/>
      <c r="GE539" s="634"/>
      <c r="GF539" s="634"/>
      <c r="GG539" s="634"/>
      <c r="GH539" s="634"/>
      <c r="GI539" s="634"/>
      <c r="GJ539" s="634"/>
      <c r="GK539" s="634"/>
      <c r="GL539" s="101"/>
      <c r="GM539" s="101"/>
      <c r="GN539" s="101"/>
      <c r="GO539" s="643"/>
      <c r="GP539" s="644"/>
      <c r="GQ539" s="643"/>
      <c r="GR539" s="644"/>
      <c r="GS539" s="643"/>
      <c r="GT539" s="644"/>
      <c r="GU539" s="644"/>
      <c r="GV539" s="644"/>
      <c r="GW539" s="644"/>
      <c r="GX539" s="644"/>
      <c r="GY539" s="644"/>
      <c r="GZ539" s="644"/>
      <c r="HA539" s="644"/>
    </row>
    <row r="540" spans="1:209">
      <c r="A540" s="638"/>
      <c r="B540" s="95"/>
      <c r="C540" s="95"/>
      <c r="D540" s="95"/>
      <c r="E540" s="650"/>
      <c r="F540" s="95"/>
      <c r="G540" s="98"/>
      <c r="H540" s="99"/>
      <c r="I540" s="95"/>
      <c r="J540" s="95"/>
      <c r="K540" s="95"/>
      <c r="L540" s="95"/>
      <c r="M540" s="95"/>
      <c r="N540" s="95"/>
      <c r="O540" s="95"/>
      <c r="P540" s="95"/>
      <c r="Q540" s="95"/>
      <c r="R540" s="98"/>
      <c r="S540" s="101"/>
      <c r="T540" s="644"/>
      <c r="U540" s="101"/>
      <c r="V540" s="647"/>
      <c r="W540" s="643"/>
      <c r="X540" s="644"/>
      <c r="Y540" s="101"/>
      <c r="Z540" s="644"/>
      <c r="AA540" s="101"/>
      <c r="AB540" s="644"/>
      <c r="AC540" s="101"/>
      <c r="AD540" s="646"/>
      <c r="AE540" s="271"/>
      <c r="AF540" s="646"/>
      <c r="AG540" s="646"/>
      <c r="AH540" s="646"/>
      <c r="AI540" s="646"/>
      <c r="AJ540" s="646"/>
      <c r="AK540" s="646"/>
      <c r="AL540" s="646"/>
      <c r="AM540" s="271"/>
      <c r="AN540" s="646"/>
      <c r="AO540" s="646"/>
      <c r="AP540" s="646"/>
      <c r="AQ540" s="271"/>
      <c r="AR540" s="646"/>
      <c r="AS540" s="270"/>
      <c r="AT540" s="646"/>
      <c r="AU540" s="646"/>
      <c r="AV540" s="646"/>
      <c r="AW540" s="270"/>
      <c r="AX540" s="646"/>
      <c r="AY540" s="270"/>
      <c r="AZ540" s="646"/>
      <c r="BA540" s="646"/>
      <c r="BB540" s="644"/>
      <c r="BC540" s="644"/>
      <c r="BD540" s="644"/>
      <c r="BE540" s="644"/>
      <c r="BF540" s="644"/>
      <c r="BG540" s="644"/>
      <c r="BH540" s="644"/>
      <c r="BI540" s="644"/>
      <c r="BJ540" s="644"/>
      <c r="BK540" s="644"/>
      <c r="BL540" s="644"/>
      <c r="BM540" s="95"/>
      <c r="BN540" s="644"/>
      <c r="BO540" s="95"/>
      <c r="BP540" s="644"/>
      <c r="BQ540" s="644"/>
      <c r="BR540" s="644"/>
      <c r="BS540" s="644"/>
      <c r="BT540" s="644"/>
      <c r="BU540" s="644"/>
      <c r="BV540" s="644"/>
      <c r="BW540" s="644"/>
      <c r="BX540" s="644"/>
      <c r="BY540" s="644"/>
      <c r="BZ540" s="644"/>
      <c r="CA540" s="644"/>
      <c r="CB540" s="644"/>
      <c r="CC540" s="644"/>
      <c r="CD540" s="644"/>
      <c r="CE540" s="644"/>
      <c r="CF540" s="644"/>
      <c r="CG540" s="644"/>
      <c r="CH540" s="644"/>
      <c r="CI540" s="644"/>
      <c r="CJ540" s="644"/>
      <c r="CK540" s="644"/>
      <c r="CL540" s="644"/>
      <c r="CM540" s="95"/>
      <c r="CN540" s="644"/>
      <c r="CO540" s="644"/>
      <c r="CP540" s="95"/>
      <c r="CQ540" s="98"/>
      <c r="CR540" s="95"/>
      <c r="CS540" s="95"/>
      <c r="CT540" s="95"/>
      <c r="CU540" s="108"/>
      <c r="CV540" s="109"/>
      <c r="CW540" s="644"/>
      <c r="CX540" s="496"/>
      <c r="CY540" s="637"/>
      <c r="CZ540" s="644"/>
      <c r="DA540" s="644"/>
      <c r="DB540" s="644"/>
      <c r="DC540" s="496"/>
      <c r="DD540" s="644"/>
      <c r="DE540" s="101"/>
      <c r="DF540" s="644"/>
      <c r="DG540" s="101"/>
      <c r="DH540" s="644"/>
      <c r="DI540" s="644"/>
      <c r="DJ540" s="644"/>
      <c r="DK540" s="644"/>
      <c r="DL540" s="644"/>
      <c r="DM540" s="101"/>
      <c r="DN540" s="644"/>
      <c r="DO540" s="644"/>
      <c r="DP540" s="644"/>
      <c r="DQ540" s="644"/>
      <c r="DR540" s="644"/>
      <c r="DS540" s="644"/>
      <c r="DT540" s="644"/>
      <c r="DU540" s="644"/>
      <c r="DV540" s="644"/>
      <c r="DW540" s="101"/>
      <c r="DX540" s="646"/>
      <c r="DY540" s="646"/>
      <c r="DZ540" s="646"/>
      <c r="EA540" s="646"/>
      <c r="EB540" s="646"/>
      <c r="EC540" s="646"/>
      <c r="ED540" s="646"/>
      <c r="EE540" s="646"/>
      <c r="EF540" s="646"/>
      <c r="EG540" s="646"/>
      <c r="EH540" s="646"/>
      <c r="EI540" s="646"/>
      <c r="EJ540" s="646"/>
      <c r="EK540" s="271"/>
      <c r="EL540" s="644"/>
      <c r="EM540" s="634"/>
      <c r="EN540" s="647"/>
      <c r="EO540" s="648"/>
      <c r="EP540" s="647"/>
      <c r="EQ540" s="647"/>
      <c r="ER540" s="647"/>
      <c r="ES540" s="139"/>
      <c r="EV540" s="647"/>
      <c r="EW540" s="647"/>
      <c r="EX540" s="647"/>
      <c r="EY540" s="647"/>
      <c r="EZ540" s="647"/>
      <c r="FA540" s="646"/>
      <c r="FB540" s="646"/>
      <c r="FC540" s="646"/>
      <c r="FD540" s="646"/>
      <c r="FE540" s="646"/>
      <c r="FF540" s="646"/>
      <c r="FG540" s="647"/>
      <c r="FH540" s="647"/>
      <c r="FI540" s="647"/>
      <c r="FJ540" s="647"/>
      <c r="FK540" s="647"/>
      <c r="FL540" s="647"/>
      <c r="FM540" s="647"/>
      <c r="FN540" s="647"/>
      <c r="FO540" s="647"/>
      <c r="FP540" s="647"/>
      <c r="FQ540" s="647"/>
      <c r="FR540" s="647"/>
      <c r="FS540" s="101"/>
      <c r="FT540" s="95"/>
      <c r="FU540" s="651"/>
      <c r="FV540" s="101"/>
      <c r="FW540" s="101"/>
      <c r="FX540" s="634"/>
      <c r="FY540" s="634"/>
      <c r="FZ540" s="634"/>
      <c r="GA540" s="634"/>
      <c r="GB540" s="634"/>
      <c r="GC540" s="634"/>
      <c r="GD540" s="634"/>
      <c r="GE540" s="634"/>
      <c r="GF540" s="634"/>
      <c r="GG540" s="634"/>
      <c r="GH540" s="634"/>
      <c r="GI540" s="634"/>
      <c r="GJ540" s="634"/>
      <c r="GK540" s="634"/>
      <c r="GL540" s="101"/>
      <c r="GM540" s="101"/>
      <c r="GN540" s="101"/>
      <c r="GO540" s="643"/>
      <c r="GP540" s="644"/>
      <c r="GQ540" s="643"/>
      <c r="GR540" s="644"/>
      <c r="GS540" s="643"/>
      <c r="GT540" s="644"/>
      <c r="GU540" s="644"/>
      <c r="GV540" s="644"/>
      <c r="GW540" s="644"/>
      <c r="GX540" s="644"/>
      <c r="GY540" s="644"/>
      <c r="GZ540" s="644"/>
      <c r="HA540" s="644"/>
    </row>
    <row r="541" spans="1:209">
      <c r="A541" s="638"/>
      <c r="B541" s="95"/>
      <c r="C541" s="95"/>
      <c r="D541" s="95"/>
      <c r="E541" s="650"/>
      <c r="F541" s="95"/>
      <c r="G541" s="98"/>
      <c r="H541" s="99"/>
      <c r="I541" s="95"/>
      <c r="J541" s="95"/>
      <c r="K541" s="95"/>
      <c r="L541" s="95"/>
      <c r="M541" s="95"/>
      <c r="N541" s="95"/>
      <c r="O541" s="95"/>
      <c r="P541" s="95"/>
      <c r="Q541" s="95"/>
      <c r="R541" s="98"/>
      <c r="S541" s="101"/>
      <c r="T541" s="644"/>
      <c r="U541" s="101"/>
      <c r="V541" s="647"/>
      <c r="W541" s="643"/>
      <c r="X541" s="644"/>
      <c r="Y541" s="101"/>
      <c r="Z541" s="644"/>
      <c r="AA541" s="101"/>
      <c r="AB541" s="644"/>
      <c r="AC541" s="101"/>
      <c r="AD541" s="646"/>
      <c r="AE541" s="271"/>
      <c r="AF541" s="646"/>
      <c r="AG541" s="646"/>
      <c r="AH541" s="646"/>
      <c r="AI541" s="646"/>
      <c r="AJ541" s="646"/>
      <c r="AK541" s="646"/>
      <c r="AL541" s="646"/>
      <c r="AM541" s="271"/>
      <c r="AN541" s="646"/>
      <c r="AO541" s="646"/>
      <c r="AP541" s="646"/>
      <c r="AQ541" s="271"/>
      <c r="AR541" s="646"/>
      <c r="AS541" s="270"/>
      <c r="AT541" s="646"/>
      <c r="AU541" s="646"/>
      <c r="AV541" s="646"/>
      <c r="AW541" s="270"/>
      <c r="AX541" s="646"/>
      <c r="AY541" s="270"/>
      <c r="AZ541" s="646"/>
      <c r="BA541" s="646"/>
      <c r="BB541" s="644"/>
      <c r="BC541" s="644"/>
      <c r="BD541" s="644"/>
      <c r="BE541" s="644"/>
      <c r="BF541" s="644"/>
      <c r="BG541" s="644"/>
      <c r="BH541" s="644"/>
      <c r="BI541" s="644"/>
      <c r="BJ541" s="644"/>
      <c r="BK541" s="644"/>
      <c r="BL541" s="644"/>
      <c r="BM541" s="95"/>
      <c r="BN541" s="644"/>
      <c r="BO541" s="95"/>
      <c r="BP541" s="644"/>
      <c r="BQ541" s="644"/>
      <c r="BR541" s="644"/>
      <c r="BS541" s="644"/>
      <c r="BT541" s="644"/>
      <c r="BU541" s="644"/>
      <c r="BV541" s="644"/>
      <c r="BW541" s="644"/>
      <c r="BX541" s="644"/>
      <c r="BY541" s="644"/>
      <c r="BZ541" s="644"/>
      <c r="CA541" s="644"/>
      <c r="CB541" s="644"/>
      <c r="CC541" s="644"/>
      <c r="CD541" s="644"/>
      <c r="CE541" s="644"/>
      <c r="CF541" s="644"/>
      <c r="CG541" s="644"/>
      <c r="CH541" s="644"/>
      <c r="CI541" s="644"/>
      <c r="CJ541" s="644"/>
      <c r="CK541" s="644"/>
      <c r="CL541" s="644"/>
      <c r="CM541" s="95"/>
      <c r="CN541" s="644"/>
      <c r="CO541" s="644"/>
      <c r="CP541" s="95"/>
      <c r="CQ541" s="98"/>
      <c r="CR541" s="95"/>
      <c r="CS541" s="95"/>
      <c r="CT541" s="95"/>
      <c r="CU541" s="108"/>
      <c r="CV541" s="109"/>
      <c r="CW541" s="644"/>
      <c r="CX541" s="496"/>
      <c r="CY541" s="637"/>
      <c r="CZ541" s="644"/>
      <c r="DA541" s="644"/>
      <c r="DB541" s="644"/>
      <c r="DC541" s="496"/>
      <c r="DD541" s="644"/>
      <c r="DE541" s="101"/>
      <c r="DF541" s="644"/>
      <c r="DG541" s="101"/>
      <c r="DH541" s="644"/>
      <c r="DI541" s="644"/>
      <c r="DJ541" s="644"/>
      <c r="DK541" s="644"/>
      <c r="DL541" s="644"/>
      <c r="DM541" s="101"/>
      <c r="DN541" s="644"/>
      <c r="DO541" s="644"/>
      <c r="DP541" s="644"/>
      <c r="DQ541" s="644"/>
      <c r="DR541" s="644"/>
      <c r="DS541" s="644"/>
      <c r="DT541" s="644"/>
      <c r="DU541" s="644"/>
      <c r="DV541" s="644"/>
      <c r="DW541" s="101"/>
      <c r="DX541" s="646"/>
      <c r="DY541" s="646"/>
      <c r="DZ541" s="646"/>
      <c r="EA541" s="646"/>
      <c r="EB541" s="646"/>
      <c r="EC541" s="646"/>
      <c r="ED541" s="646"/>
      <c r="EE541" s="646"/>
      <c r="EF541" s="646"/>
      <c r="EG541" s="646"/>
      <c r="EH541" s="646"/>
      <c r="EI541" s="646"/>
      <c r="EJ541" s="646"/>
      <c r="EK541" s="271"/>
      <c r="EL541" s="644"/>
      <c r="EM541" s="634"/>
      <c r="EN541" s="647"/>
      <c r="EO541" s="648"/>
      <c r="EP541" s="647"/>
      <c r="EQ541" s="647"/>
      <c r="ER541" s="647"/>
      <c r="ES541" s="139"/>
      <c r="EV541" s="647"/>
      <c r="EW541" s="647"/>
      <c r="EX541" s="647"/>
      <c r="EY541" s="647"/>
      <c r="EZ541" s="647"/>
      <c r="FA541" s="646"/>
      <c r="FB541" s="646"/>
      <c r="FC541" s="646"/>
      <c r="FD541" s="646"/>
      <c r="FE541" s="646"/>
      <c r="FF541" s="646"/>
      <c r="FG541" s="647"/>
      <c r="FH541" s="647"/>
      <c r="FI541" s="647"/>
      <c r="FJ541" s="647"/>
      <c r="FK541" s="647"/>
      <c r="FL541" s="647"/>
      <c r="FM541" s="647"/>
      <c r="FN541" s="647"/>
      <c r="FO541" s="647"/>
      <c r="FP541" s="647"/>
      <c r="FQ541" s="647"/>
      <c r="FR541" s="647"/>
      <c r="FS541" s="101"/>
      <c r="FT541" s="95"/>
      <c r="FU541" s="651"/>
      <c r="FV541" s="101"/>
      <c r="FW541" s="101"/>
      <c r="FX541" s="634"/>
      <c r="FY541" s="634"/>
      <c r="FZ541" s="634"/>
      <c r="GA541" s="634"/>
      <c r="GB541" s="634"/>
      <c r="GC541" s="634"/>
      <c r="GD541" s="634"/>
      <c r="GE541" s="634"/>
      <c r="GF541" s="634"/>
      <c r="GG541" s="634"/>
      <c r="GH541" s="634"/>
      <c r="GI541" s="634"/>
      <c r="GJ541" s="634"/>
      <c r="GK541" s="634"/>
      <c r="GL541" s="101"/>
      <c r="GM541" s="101"/>
      <c r="GN541" s="101"/>
      <c r="GO541" s="643"/>
      <c r="GP541" s="644"/>
      <c r="GQ541" s="643"/>
      <c r="GR541" s="644"/>
      <c r="GS541" s="643"/>
      <c r="GT541" s="644"/>
      <c r="GU541" s="644"/>
      <c r="GV541" s="644"/>
      <c r="GW541" s="644"/>
      <c r="GX541" s="644"/>
      <c r="GY541" s="644"/>
      <c r="GZ541" s="644"/>
      <c r="HA541" s="644"/>
    </row>
    <row r="542" spans="1:209">
      <c r="A542" s="638"/>
      <c r="B542" s="95"/>
      <c r="C542" s="95"/>
      <c r="D542" s="95"/>
      <c r="E542" s="650"/>
      <c r="F542" s="95"/>
      <c r="G542" s="98"/>
      <c r="H542" s="99"/>
      <c r="I542" s="95"/>
      <c r="J542" s="95"/>
      <c r="K542" s="95"/>
      <c r="L542" s="95"/>
      <c r="M542" s="95"/>
      <c r="N542" s="95"/>
      <c r="O542" s="95"/>
      <c r="P542" s="95"/>
      <c r="Q542" s="95"/>
      <c r="R542" s="98"/>
      <c r="S542" s="101"/>
      <c r="T542" s="644"/>
      <c r="U542" s="101"/>
      <c r="V542" s="647"/>
      <c r="W542" s="643"/>
      <c r="X542" s="644"/>
      <c r="Y542" s="101"/>
      <c r="Z542" s="644"/>
      <c r="AA542" s="101"/>
      <c r="AB542" s="644"/>
      <c r="AC542" s="101"/>
      <c r="AD542" s="646"/>
      <c r="AE542" s="271"/>
      <c r="AF542" s="646"/>
      <c r="AG542" s="646"/>
      <c r="AH542" s="646"/>
      <c r="AI542" s="646"/>
      <c r="AJ542" s="646"/>
      <c r="AK542" s="646"/>
      <c r="AL542" s="646"/>
      <c r="AM542" s="271"/>
      <c r="AN542" s="646"/>
      <c r="AO542" s="646"/>
      <c r="AP542" s="646"/>
      <c r="AQ542" s="271"/>
      <c r="AR542" s="646"/>
      <c r="AS542" s="270"/>
      <c r="AT542" s="646"/>
      <c r="AU542" s="646"/>
      <c r="AV542" s="646"/>
      <c r="AW542" s="270"/>
      <c r="AX542" s="646"/>
      <c r="AY542" s="270"/>
      <c r="AZ542" s="646"/>
      <c r="BA542" s="646"/>
      <c r="BB542" s="644"/>
      <c r="BC542" s="644"/>
      <c r="BD542" s="644"/>
      <c r="BE542" s="644"/>
      <c r="BF542" s="644"/>
      <c r="BG542" s="644"/>
      <c r="BH542" s="644"/>
      <c r="BI542" s="644"/>
      <c r="BJ542" s="644"/>
      <c r="BK542" s="644"/>
      <c r="BL542" s="644"/>
      <c r="BM542" s="95"/>
      <c r="BN542" s="644"/>
      <c r="BO542" s="95"/>
      <c r="BP542" s="644"/>
      <c r="BQ542" s="644"/>
      <c r="BR542" s="644"/>
      <c r="BS542" s="644"/>
      <c r="BT542" s="644"/>
      <c r="BU542" s="644"/>
      <c r="BV542" s="644"/>
      <c r="BW542" s="644"/>
      <c r="BX542" s="644"/>
      <c r="BY542" s="644"/>
      <c r="BZ542" s="644"/>
      <c r="CA542" s="644"/>
      <c r="CB542" s="644"/>
      <c r="CC542" s="644"/>
      <c r="CD542" s="644"/>
      <c r="CE542" s="644"/>
      <c r="CF542" s="644"/>
      <c r="CG542" s="644"/>
      <c r="CH542" s="644"/>
      <c r="CI542" s="644"/>
      <c r="CJ542" s="644"/>
      <c r="CK542" s="644"/>
      <c r="CL542" s="644"/>
      <c r="CM542" s="95"/>
      <c r="CN542" s="644"/>
      <c r="CO542" s="644"/>
      <c r="CP542" s="95"/>
      <c r="CQ542" s="98"/>
      <c r="CR542" s="95"/>
      <c r="CS542" s="95"/>
      <c r="CT542" s="95"/>
      <c r="CU542" s="108"/>
      <c r="CV542" s="109"/>
      <c r="CW542" s="644"/>
      <c r="CX542" s="496"/>
      <c r="CY542" s="637"/>
      <c r="CZ542" s="644"/>
      <c r="DA542" s="644"/>
      <c r="DB542" s="644"/>
      <c r="DC542" s="496"/>
      <c r="DD542" s="644"/>
      <c r="DE542" s="101"/>
      <c r="DF542" s="644"/>
      <c r="DG542" s="101"/>
      <c r="DH542" s="644"/>
      <c r="DI542" s="644"/>
      <c r="DJ542" s="644"/>
      <c r="DK542" s="644"/>
      <c r="DL542" s="644"/>
      <c r="DM542" s="101"/>
      <c r="DN542" s="644"/>
      <c r="DO542" s="644"/>
      <c r="DP542" s="644"/>
      <c r="DQ542" s="644"/>
      <c r="DR542" s="644"/>
      <c r="DS542" s="644"/>
      <c r="DT542" s="644"/>
      <c r="DU542" s="644"/>
      <c r="DV542" s="644"/>
      <c r="DW542" s="101"/>
      <c r="DX542" s="646"/>
      <c r="DY542" s="646"/>
      <c r="DZ542" s="646"/>
      <c r="EA542" s="646"/>
      <c r="EB542" s="646"/>
      <c r="EC542" s="646"/>
      <c r="ED542" s="646"/>
      <c r="EE542" s="646"/>
      <c r="EF542" s="646"/>
      <c r="EG542" s="646"/>
      <c r="EH542" s="646"/>
      <c r="EI542" s="646"/>
      <c r="EJ542" s="646"/>
      <c r="EK542" s="271"/>
      <c r="EL542" s="644"/>
      <c r="EM542" s="634"/>
      <c r="EN542" s="647"/>
      <c r="EO542" s="648"/>
      <c r="EP542" s="647"/>
      <c r="EQ542" s="647"/>
      <c r="ER542" s="647"/>
      <c r="ES542" s="139"/>
      <c r="EV542" s="647"/>
      <c r="EW542" s="647"/>
      <c r="EX542" s="647"/>
      <c r="EY542" s="647"/>
      <c r="EZ542" s="647"/>
      <c r="FA542" s="646"/>
      <c r="FB542" s="646"/>
      <c r="FC542" s="646"/>
      <c r="FD542" s="646"/>
      <c r="FE542" s="646"/>
      <c r="FF542" s="646"/>
      <c r="FG542" s="647"/>
      <c r="FH542" s="647"/>
      <c r="FI542" s="647"/>
      <c r="FJ542" s="647"/>
      <c r="FK542" s="647"/>
      <c r="FL542" s="647"/>
      <c r="FM542" s="647"/>
      <c r="FN542" s="647"/>
      <c r="FO542" s="647"/>
      <c r="FP542" s="647"/>
      <c r="FQ542" s="647"/>
      <c r="FR542" s="647"/>
      <c r="FS542" s="101"/>
      <c r="FT542" s="95"/>
      <c r="FU542" s="651"/>
      <c r="FV542" s="101"/>
      <c r="FW542" s="101"/>
      <c r="FX542" s="634"/>
      <c r="FY542" s="634"/>
      <c r="FZ542" s="634"/>
      <c r="GA542" s="634"/>
      <c r="GB542" s="634"/>
      <c r="GC542" s="634"/>
      <c r="GD542" s="634"/>
      <c r="GE542" s="634"/>
      <c r="GF542" s="634"/>
      <c r="GG542" s="634"/>
      <c r="GH542" s="634"/>
      <c r="GI542" s="634"/>
      <c r="GJ542" s="634"/>
      <c r="GK542" s="634"/>
      <c r="GL542" s="101"/>
      <c r="GM542" s="101"/>
      <c r="GN542" s="101"/>
      <c r="GO542" s="643"/>
      <c r="GP542" s="644"/>
      <c r="GQ542" s="643"/>
      <c r="GR542" s="644"/>
      <c r="GS542" s="643"/>
      <c r="GT542" s="644"/>
      <c r="GU542" s="644"/>
      <c r="GV542" s="644"/>
      <c r="GW542" s="644"/>
      <c r="GX542" s="644"/>
      <c r="GY542" s="644"/>
      <c r="GZ542" s="644"/>
      <c r="HA542" s="644"/>
    </row>
    <row r="543" spans="1:209">
      <c r="A543" s="638"/>
      <c r="B543" s="95"/>
      <c r="C543" s="95"/>
      <c r="D543" s="95"/>
      <c r="E543" s="650"/>
      <c r="F543" s="95"/>
      <c r="G543" s="98"/>
      <c r="H543" s="99"/>
      <c r="I543" s="95"/>
      <c r="J543" s="95"/>
      <c r="K543" s="95"/>
      <c r="L543" s="95"/>
      <c r="M543" s="95"/>
      <c r="N543" s="95"/>
      <c r="O543" s="95"/>
      <c r="P543" s="95"/>
      <c r="Q543" s="95"/>
      <c r="R543" s="98"/>
      <c r="S543" s="101"/>
      <c r="T543" s="644"/>
      <c r="U543" s="101"/>
      <c r="V543" s="647"/>
      <c r="W543" s="643"/>
      <c r="X543" s="644"/>
      <c r="Y543" s="101"/>
      <c r="Z543" s="644"/>
      <c r="AA543" s="101"/>
      <c r="AB543" s="644"/>
      <c r="AC543" s="101"/>
      <c r="AD543" s="646"/>
      <c r="AE543" s="271"/>
      <c r="AF543" s="646"/>
      <c r="AG543" s="646"/>
      <c r="AH543" s="646"/>
      <c r="AI543" s="646"/>
      <c r="AJ543" s="646"/>
      <c r="AK543" s="646"/>
      <c r="AL543" s="646"/>
      <c r="AM543" s="271"/>
      <c r="AN543" s="646"/>
      <c r="AO543" s="646"/>
      <c r="AP543" s="646"/>
      <c r="AQ543" s="271"/>
      <c r="AR543" s="646"/>
      <c r="AS543" s="270"/>
      <c r="AT543" s="646"/>
      <c r="AU543" s="646"/>
      <c r="AV543" s="646"/>
      <c r="AW543" s="270"/>
      <c r="AX543" s="646"/>
      <c r="AY543" s="270"/>
      <c r="AZ543" s="646"/>
      <c r="BA543" s="646"/>
      <c r="BB543" s="644"/>
      <c r="BC543" s="644"/>
      <c r="BD543" s="644"/>
      <c r="BE543" s="644"/>
      <c r="BF543" s="644"/>
      <c r="BG543" s="644"/>
      <c r="BH543" s="644"/>
      <c r="BI543" s="644"/>
      <c r="BJ543" s="644"/>
      <c r="BK543" s="644"/>
      <c r="BL543" s="644"/>
      <c r="BM543" s="95"/>
      <c r="BN543" s="644"/>
      <c r="BO543" s="95"/>
      <c r="BP543" s="644"/>
      <c r="BQ543" s="644"/>
      <c r="BR543" s="644"/>
      <c r="BS543" s="644"/>
      <c r="BT543" s="644"/>
      <c r="BU543" s="644"/>
      <c r="BV543" s="644"/>
      <c r="BW543" s="644"/>
      <c r="BX543" s="644"/>
      <c r="BY543" s="644"/>
      <c r="BZ543" s="644"/>
      <c r="CA543" s="644"/>
      <c r="CB543" s="644"/>
      <c r="CC543" s="644"/>
      <c r="CD543" s="644"/>
      <c r="CE543" s="644"/>
      <c r="CF543" s="644"/>
      <c r="CG543" s="644"/>
      <c r="CH543" s="644"/>
      <c r="CI543" s="644"/>
      <c r="CJ543" s="644"/>
      <c r="CK543" s="644"/>
      <c r="CL543" s="644"/>
      <c r="CM543" s="95"/>
      <c r="CN543" s="644"/>
      <c r="CO543" s="644"/>
      <c r="CP543" s="95"/>
      <c r="CQ543" s="98"/>
      <c r="CR543" s="95"/>
      <c r="CS543" s="95"/>
      <c r="CT543" s="95"/>
      <c r="CU543" s="108"/>
      <c r="CV543" s="109"/>
      <c r="CW543" s="644"/>
      <c r="CX543" s="496"/>
      <c r="CY543" s="637"/>
      <c r="CZ543" s="644"/>
      <c r="DA543" s="644"/>
      <c r="DB543" s="644"/>
      <c r="DC543" s="496"/>
      <c r="DD543" s="644"/>
      <c r="DE543" s="101"/>
      <c r="DF543" s="644"/>
      <c r="DG543" s="101"/>
      <c r="DH543" s="644"/>
      <c r="DI543" s="644"/>
      <c r="DJ543" s="644"/>
      <c r="DK543" s="644"/>
      <c r="DL543" s="644"/>
      <c r="DM543" s="101"/>
      <c r="DN543" s="644"/>
      <c r="DO543" s="644"/>
      <c r="DP543" s="644"/>
      <c r="DQ543" s="644"/>
      <c r="DR543" s="644"/>
      <c r="DS543" s="644"/>
      <c r="DT543" s="644"/>
      <c r="DU543" s="644"/>
      <c r="DV543" s="644"/>
      <c r="DW543" s="101"/>
      <c r="DX543" s="646"/>
      <c r="DY543" s="646"/>
      <c r="DZ543" s="646"/>
      <c r="EA543" s="646"/>
      <c r="EB543" s="646"/>
      <c r="EC543" s="646"/>
      <c r="ED543" s="646"/>
      <c r="EE543" s="646"/>
      <c r="EF543" s="646"/>
      <c r="EG543" s="646"/>
      <c r="EH543" s="646"/>
      <c r="EI543" s="646"/>
      <c r="EJ543" s="646"/>
      <c r="EK543" s="271"/>
      <c r="EL543" s="644"/>
      <c r="EM543" s="634"/>
      <c r="EN543" s="647"/>
      <c r="EO543" s="648"/>
      <c r="EP543" s="647"/>
      <c r="EQ543" s="647"/>
      <c r="ER543" s="647"/>
      <c r="ES543" s="139"/>
      <c r="EV543" s="647"/>
      <c r="EW543" s="647"/>
      <c r="EX543" s="647"/>
      <c r="EY543" s="647"/>
      <c r="EZ543" s="647"/>
      <c r="FA543" s="646"/>
      <c r="FB543" s="646"/>
      <c r="FC543" s="646"/>
      <c r="FD543" s="646"/>
      <c r="FE543" s="646"/>
      <c r="FF543" s="646"/>
      <c r="FG543" s="647"/>
      <c r="FH543" s="647"/>
      <c r="FI543" s="647"/>
      <c r="FJ543" s="647"/>
      <c r="FK543" s="647"/>
      <c r="FL543" s="647"/>
      <c r="FM543" s="647"/>
      <c r="FN543" s="647"/>
      <c r="FO543" s="647"/>
      <c r="FP543" s="647"/>
      <c r="FQ543" s="647"/>
      <c r="FR543" s="647"/>
      <c r="FS543" s="101"/>
      <c r="FT543" s="95"/>
      <c r="FU543" s="651"/>
      <c r="FV543" s="101"/>
      <c r="FW543" s="101"/>
      <c r="FX543" s="634"/>
      <c r="FY543" s="634"/>
      <c r="FZ543" s="634"/>
      <c r="GA543" s="634"/>
      <c r="GB543" s="634"/>
      <c r="GC543" s="634"/>
      <c r="GD543" s="634"/>
      <c r="GE543" s="634"/>
      <c r="GF543" s="634"/>
      <c r="GG543" s="634"/>
      <c r="GH543" s="634"/>
      <c r="GI543" s="634"/>
      <c r="GJ543" s="634"/>
      <c r="GK543" s="634"/>
      <c r="GL543" s="101"/>
      <c r="GM543" s="101"/>
      <c r="GN543" s="101"/>
      <c r="GO543" s="643"/>
      <c r="GP543" s="644"/>
      <c r="GQ543" s="643"/>
      <c r="GR543" s="644"/>
      <c r="GS543" s="643"/>
      <c r="GT543" s="644"/>
      <c r="GU543" s="644"/>
      <c r="GV543" s="644"/>
      <c r="GW543" s="644"/>
      <c r="GX543" s="644"/>
      <c r="GY543" s="644"/>
      <c r="GZ543" s="644"/>
      <c r="HA543" s="644"/>
    </row>
    <row r="544" spans="1:209">
      <c r="A544" s="638"/>
      <c r="B544" s="95"/>
      <c r="C544" s="95"/>
      <c r="D544" s="95"/>
      <c r="E544" s="650"/>
      <c r="F544" s="95"/>
      <c r="G544" s="98"/>
      <c r="H544" s="99"/>
      <c r="I544" s="95"/>
      <c r="J544" s="95"/>
      <c r="K544" s="95"/>
      <c r="L544" s="95"/>
      <c r="M544" s="95"/>
      <c r="N544" s="95"/>
      <c r="O544" s="95"/>
      <c r="P544" s="95"/>
      <c r="Q544" s="95"/>
      <c r="R544" s="98"/>
      <c r="S544" s="101"/>
      <c r="T544" s="644"/>
      <c r="U544" s="101"/>
      <c r="V544" s="647"/>
      <c r="W544" s="643"/>
      <c r="X544" s="644"/>
      <c r="Y544" s="101"/>
      <c r="Z544" s="644"/>
      <c r="AA544" s="101"/>
      <c r="AB544" s="644"/>
      <c r="AC544" s="101"/>
      <c r="AD544" s="646"/>
      <c r="AE544" s="271"/>
      <c r="AF544" s="646"/>
      <c r="AG544" s="646"/>
      <c r="AH544" s="646"/>
      <c r="AI544" s="646"/>
      <c r="AJ544" s="646"/>
      <c r="AK544" s="646"/>
      <c r="AL544" s="646"/>
      <c r="AM544" s="271"/>
      <c r="AN544" s="646"/>
      <c r="AO544" s="646"/>
      <c r="AP544" s="646"/>
      <c r="AQ544" s="271"/>
      <c r="AR544" s="646"/>
      <c r="AS544" s="270"/>
      <c r="AT544" s="646"/>
      <c r="AU544" s="646"/>
      <c r="AV544" s="646"/>
      <c r="AW544" s="270"/>
      <c r="AX544" s="646"/>
      <c r="AY544" s="270"/>
      <c r="AZ544" s="646"/>
      <c r="BA544" s="646"/>
      <c r="BB544" s="644"/>
      <c r="BC544" s="644"/>
      <c r="BD544" s="644"/>
      <c r="BE544" s="644"/>
      <c r="BF544" s="644"/>
      <c r="BG544" s="644"/>
      <c r="BH544" s="644"/>
      <c r="BI544" s="644"/>
      <c r="BJ544" s="644"/>
      <c r="BK544" s="644"/>
      <c r="BL544" s="644"/>
      <c r="BM544" s="95"/>
      <c r="BN544" s="644"/>
      <c r="BO544" s="95"/>
      <c r="BP544" s="644"/>
      <c r="BQ544" s="644"/>
      <c r="BR544" s="644"/>
      <c r="BS544" s="644"/>
      <c r="BT544" s="644"/>
      <c r="BU544" s="644"/>
      <c r="BV544" s="644"/>
      <c r="BW544" s="644"/>
      <c r="BX544" s="644"/>
      <c r="BY544" s="644"/>
      <c r="BZ544" s="644"/>
      <c r="CA544" s="644"/>
      <c r="CB544" s="644"/>
      <c r="CC544" s="644"/>
      <c r="CD544" s="644"/>
      <c r="CE544" s="644"/>
      <c r="CF544" s="644"/>
      <c r="CG544" s="644"/>
      <c r="CH544" s="644"/>
      <c r="CI544" s="644"/>
      <c r="CJ544" s="644"/>
      <c r="CK544" s="644"/>
      <c r="CL544" s="644"/>
      <c r="CM544" s="95"/>
      <c r="CN544" s="644"/>
      <c r="CO544" s="644"/>
      <c r="CP544" s="95"/>
      <c r="CQ544" s="98"/>
      <c r="CR544" s="95"/>
      <c r="CS544" s="95"/>
      <c r="CT544" s="95"/>
      <c r="CU544" s="108"/>
      <c r="CV544" s="109"/>
      <c r="CW544" s="644"/>
      <c r="CX544" s="496"/>
      <c r="CY544" s="637"/>
      <c r="CZ544" s="644"/>
      <c r="DA544" s="644"/>
      <c r="DB544" s="644"/>
      <c r="DC544" s="496"/>
      <c r="DD544" s="644"/>
      <c r="DE544" s="101"/>
      <c r="DF544" s="644"/>
      <c r="DG544" s="101"/>
      <c r="DH544" s="644"/>
      <c r="DI544" s="644"/>
      <c r="DJ544" s="644"/>
      <c r="DK544" s="644"/>
      <c r="DL544" s="644"/>
      <c r="DM544" s="101"/>
      <c r="DN544" s="644"/>
      <c r="DO544" s="644"/>
      <c r="DP544" s="644"/>
      <c r="DQ544" s="644"/>
      <c r="DR544" s="644"/>
      <c r="DS544" s="644"/>
      <c r="DT544" s="644"/>
      <c r="DU544" s="644"/>
      <c r="DV544" s="644"/>
      <c r="DW544" s="101"/>
      <c r="DX544" s="646"/>
      <c r="DY544" s="646"/>
      <c r="DZ544" s="646"/>
      <c r="EA544" s="646"/>
      <c r="EB544" s="646"/>
      <c r="EC544" s="646"/>
      <c r="ED544" s="646"/>
      <c r="EE544" s="646"/>
      <c r="EF544" s="646"/>
      <c r="EG544" s="646"/>
      <c r="EH544" s="646"/>
      <c r="EI544" s="646"/>
      <c r="EJ544" s="646"/>
      <c r="EK544" s="271"/>
      <c r="EL544" s="644"/>
      <c r="EM544" s="634"/>
      <c r="EN544" s="647"/>
      <c r="EO544" s="648"/>
      <c r="EP544" s="647"/>
      <c r="EQ544" s="647"/>
      <c r="ER544" s="647"/>
      <c r="ES544" s="139"/>
      <c r="EV544" s="647"/>
      <c r="EW544" s="647"/>
      <c r="EX544" s="647"/>
      <c r="EY544" s="647"/>
      <c r="EZ544" s="647"/>
      <c r="FA544" s="646"/>
      <c r="FB544" s="646"/>
      <c r="FC544" s="646"/>
      <c r="FD544" s="646"/>
      <c r="FE544" s="646"/>
      <c r="FF544" s="646"/>
      <c r="FG544" s="647"/>
      <c r="FH544" s="647"/>
      <c r="FI544" s="647"/>
      <c r="FJ544" s="647"/>
      <c r="FK544" s="647"/>
      <c r="FL544" s="647"/>
      <c r="FM544" s="647"/>
      <c r="FN544" s="647"/>
      <c r="FO544" s="647"/>
      <c r="FP544" s="647"/>
      <c r="FQ544" s="647"/>
      <c r="FR544" s="647"/>
      <c r="FS544" s="101"/>
      <c r="FT544" s="95"/>
      <c r="FU544" s="651"/>
      <c r="FV544" s="101"/>
      <c r="FW544" s="101"/>
      <c r="FX544" s="634"/>
      <c r="FY544" s="634"/>
      <c r="FZ544" s="634"/>
      <c r="GA544" s="634"/>
      <c r="GB544" s="634"/>
      <c r="GC544" s="634"/>
      <c r="GD544" s="634"/>
      <c r="GE544" s="634"/>
      <c r="GF544" s="634"/>
      <c r="GG544" s="634"/>
      <c r="GH544" s="634"/>
      <c r="GI544" s="634"/>
      <c r="GJ544" s="634"/>
      <c r="GK544" s="634"/>
      <c r="GL544" s="101"/>
      <c r="GM544" s="101"/>
      <c r="GN544" s="101"/>
      <c r="GO544" s="643"/>
      <c r="GP544" s="644"/>
      <c r="GQ544" s="643"/>
      <c r="GR544" s="644"/>
      <c r="GS544" s="643"/>
      <c r="GT544" s="644"/>
      <c r="GU544" s="644"/>
      <c r="GV544" s="644"/>
      <c r="GW544" s="644"/>
      <c r="GX544" s="644"/>
      <c r="GY544" s="644"/>
      <c r="GZ544" s="644"/>
      <c r="HA544" s="644"/>
    </row>
    <row r="545" spans="1:209">
      <c r="A545" s="638"/>
      <c r="B545" s="95"/>
      <c r="C545" s="95"/>
      <c r="D545" s="95"/>
      <c r="E545" s="650"/>
      <c r="F545" s="95"/>
      <c r="G545" s="98"/>
      <c r="H545" s="99"/>
      <c r="I545" s="95"/>
      <c r="J545" s="95"/>
      <c r="K545" s="95"/>
      <c r="L545" s="95"/>
      <c r="M545" s="95"/>
      <c r="N545" s="95"/>
      <c r="O545" s="95"/>
      <c r="P545" s="95"/>
      <c r="Q545" s="95"/>
      <c r="R545" s="98"/>
      <c r="S545" s="101"/>
      <c r="T545" s="644"/>
      <c r="U545" s="101"/>
      <c r="V545" s="647"/>
      <c r="W545" s="643"/>
      <c r="X545" s="644"/>
      <c r="Y545" s="101"/>
      <c r="Z545" s="644"/>
      <c r="AA545" s="101"/>
      <c r="AB545" s="644"/>
      <c r="AC545" s="101"/>
      <c r="AD545" s="646"/>
      <c r="AE545" s="271"/>
      <c r="AF545" s="646"/>
      <c r="AG545" s="646"/>
      <c r="AH545" s="646"/>
      <c r="AI545" s="646"/>
      <c r="AJ545" s="646"/>
      <c r="AK545" s="646"/>
      <c r="AL545" s="646"/>
      <c r="AM545" s="271"/>
      <c r="AN545" s="646"/>
      <c r="AO545" s="646"/>
      <c r="AP545" s="646"/>
      <c r="AQ545" s="271"/>
      <c r="AR545" s="646"/>
      <c r="AS545" s="270"/>
      <c r="AT545" s="646"/>
      <c r="AU545" s="646"/>
      <c r="AV545" s="646"/>
      <c r="AW545" s="270"/>
      <c r="AX545" s="646"/>
      <c r="AY545" s="270"/>
      <c r="AZ545" s="646"/>
      <c r="BA545" s="646"/>
      <c r="BB545" s="644"/>
      <c r="BC545" s="644"/>
      <c r="BD545" s="644"/>
      <c r="BE545" s="644"/>
      <c r="BF545" s="644"/>
      <c r="BG545" s="644"/>
      <c r="BH545" s="644"/>
      <c r="BI545" s="644"/>
      <c r="BJ545" s="644"/>
      <c r="BK545" s="644"/>
      <c r="BL545" s="644"/>
      <c r="BM545" s="95"/>
      <c r="BN545" s="644"/>
      <c r="BO545" s="95"/>
      <c r="BP545" s="644"/>
      <c r="BQ545" s="644"/>
      <c r="BR545" s="644"/>
      <c r="BS545" s="644"/>
      <c r="BT545" s="644"/>
      <c r="BU545" s="644"/>
      <c r="BV545" s="644"/>
      <c r="BW545" s="644"/>
      <c r="BX545" s="644"/>
      <c r="BY545" s="644"/>
      <c r="BZ545" s="644"/>
      <c r="CA545" s="644"/>
      <c r="CB545" s="644"/>
      <c r="CC545" s="644"/>
      <c r="CD545" s="644"/>
      <c r="CE545" s="644"/>
      <c r="CF545" s="644"/>
      <c r="CG545" s="644"/>
      <c r="CH545" s="644"/>
      <c r="CI545" s="644"/>
      <c r="CJ545" s="644"/>
      <c r="CK545" s="644"/>
      <c r="CL545" s="644"/>
      <c r="CM545" s="95"/>
      <c r="CN545" s="644"/>
      <c r="CO545" s="644"/>
      <c r="CP545" s="95"/>
      <c r="CQ545" s="98"/>
      <c r="CR545" s="95"/>
      <c r="CS545" s="95"/>
      <c r="CT545" s="95"/>
      <c r="CU545" s="108"/>
      <c r="CV545" s="109"/>
      <c r="CW545" s="644"/>
      <c r="CX545" s="496"/>
      <c r="CY545" s="637"/>
      <c r="CZ545" s="644"/>
      <c r="DA545" s="644"/>
      <c r="DB545" s="644"/>
      <c r="DC545" s="496"/>
      <c r="DD545" s="644"/>
      <c r="DE545" s="101"/>
      <c r="DF545" s="644"/>
      <c r="DG545" s="101"/>
      <c r="DH545" s="644"/>
      <c r="DI545" s="644"/>
      <c r="DJ545" s="644"/>
      <c r="DK545" s="644"/>
      <c r="DL545" s="644"/>
      <c r="DM545" s="101"/>
      <c r="DN545" s="644"/>
      <c r="DO545" s="644"/>
      <c r="DP545" s="644"/>
      <c r="DQ545" s="644"/>
      <c r="DR545" s="644"/>
      <c r="DS545" s="644"/>
      <c r="DT545" s="644"/>
      <c r="DU545" s="644"/>
      <c r="DV545" s="644"/>
      <c r="DW545" s="101"/>
      <c r="DX545" s="646"/>
      <c r="DY545" s="646"/>
      <c r="DZ545" s="646"/>
      <c r="EA545" s="646"/>
      <c r="EB545" s="646"/>
      <c r="EC545" s="646"/>
      <c r="ED545" s="646"/>
      <c r="EE545" s="646"/>
      <c r="EF545" s="646"/>
      <c r="EG545" s="646"/>
      <c r="EH545" s="646"/>
      <c r="EI545" s="646"/>
      <c r="EJ545" s="646"/>
      <c r="EK545" s="271"/>
      <c r="EL545" s="644"/>
      <c r="EM545" s="634"/>
      <c r="EN545" s="647"/>
      <c r="EO545" s="648"/>
      <c r="EP545" s="647"/>
      <c r="EQ545" s="647"/>
      <c r="ER545" s="647"/>
      <c r="ES545" s="139"/>
      <c r="EV545" s="647"/>
      <c r="EW545" s="647"/>
      <c r="EX545" s="647"/>
      <c r="EY545" s="647"/>
      <c r="EZ545" s="647"/>
      <c r="FA545" s="646"/>
      <c r="FB545" s="646"/>
      <c r="FC545" s="646"/>
      <c r="FD545" s="646"/>
      <c r="FE545" s="646"/>
      <c r="FF545" s="646"/>
      <c r="FG545" s="647"/>
      <c r="FH545" s="647"/>
      <c r="FI545" s="647"/>
      <c r="FJ545" s="647"/>
      <c r="FK545" s="647"/>
      <c r="FL545" s="647"/>
      <c r="FM545" s="647"/>
      <c r="FN545" s="647"/>
      <c r="FO545" s="647"/>
      <c r="FP545" s="647"/>
      <c r="FQ545" s="647"/>
      <c r="FR545" s="647"/>
      <c r="FS545" s="101"/>
      <c r="FT545" s="95"/>
      <c r="FU545" s="651"/>
      <c r="FV545" s="101"/>
      <c r="FW545" s="101"/>
      <c r="FX545" s="634"/>
      <c r="FY545" s="634"/>
      <c r="FZ545" s="634"/>
      <c r="GA545" s="634"/>
      <c r="GB545" s="634"/>
      <c r="GC545" s="634"/>
      <c r="GD545" s="634"/>
      <c r="GE545" s="634"/>
      <c r="GF545" s="634"/>
      <c r="GG545" s="634"/>
      <c r="GH545" s="634"/>
      <c r="GI545" s="634"/>
      <c r="GJ545" s="634"/>
      <c r="GK545" s="634"/>
      <c r="GL545" s="101"/>
      <c r="GM545" s="101"/>
      <c r="GN545" s="101"/>
      <c r="GO545" s="643"/>
      <c r="GP545" s="644"/>
      <c r="GQ545" s="643"/>
      <c r="GR545" s="644"/>
      <c r="GS545" s="643"/>
      <c r="GT545" s="644"/>
      <c r="GU545" s="644"/>
      <c r="GV545" s="644"/>
      <c r="GW545" s="644"/>
      <c r="GX545" s="644"/>
      <c r="GY545" s="644"/>
      <c r="GZ545" s="644"/>
      <c r="HA545" s="644"/>
    </row>
    <row r="546" spans="1:209">
      <c r="A546" s="638"/>
      <c r="B546" s="95"/>
      <c r="C546" s="95"/>
      <c r="D546" s="95"/>
      <c r="E546" s="650"/>
      <c r="F546" s="95"/>
      <c r="G546" s="98"/>
      <c r="H546" s="99"/>
      <c r="I546" s="95"/>
      <c r="J546" s="95"/>
      <c r="K546" s="95"/>
      <c r="L546" s="95"/>
      <c r="M546" s="95"/>
      <c r="N546" s="95"/>
      <c r="O546" s="95"/>
      <c r="P546" s="95"/>
      <c r="Q546" s="95"/>
      <c r="R546" s="98"/>
      <c r="S546" s="101"/>
      <c r="T546" s="644"/>
      <c r="U546" s="101"/>
      <c r="V546" s="647"/>
      <c r="W546" s="643"/>
      <c r="X546" s="644"/>
      <c r="Y546" s="101"/>
      <c r="Z546" s="644"/>
      <c r="AA546" s="101"/>
      <c r="AB546" s="644"/>
      <c r="AC546" s="101"/>
      <c r="AD546" s="646"/>
      <c r="AE546" s="271"/>
      <c r="AF546" s="646"/>
      <c r="AG546" s="646"/>
      <c r="AH546" s="646"/>
      <c r="AI546" s="646"/>
      <c r="AJ546" s="646"/>
      <c r="AK546" s="646"/>
      <c r="AL546" s="646"/>
      <c r="AM546" s="271"/>
      <c r="AN546" s="646"/>
      <c r="AO546" s="646"/>
      <c r="AP546" s="646"/>
      <c r="AQ546" s="271"/>
      <c r="AR546" s="646"/>
      <c r="AS546" s="270"/>
      <c r="AT546" s="646"/>
      <c r="AU546" s="646"/>
      <c r="AV546" s="646"/>
      <c r="AW546" s="270"/>
      <c r="AX546" s="646"/>
      <c r="AY546" s="270"/>
      <c r="AZ546" s="646"/>
      <c r="BA546" s="646"/>
      <c r="BB546" s="644"/>
      <c r="BC546" s="644"/>
      <c r="BD546" s="644"/>
      <c r="BE546" s="644"/>
      <c r="BF546" s="644"/>
      <c r="BG546" s="644"/>
      <c r="BH546" s="644"/>
      <c r="BI546" s="644"/>
      <c r="BJ546" s="644"/>
      <c r="BK546" s="644"/>
      <c r="BL546" s="644"/>
      <c r="BM546" s="95"/>
      <c r="BN546" s="644"/>
      <c r="BO546" s="95"/>
      <c r="BP546" s="644"/>
      <c r="BQ546" s="644"/>
      <c r="BR546" s="644"/>
      <c r="BS546" s="644"/>
      <c r="BT546" s="644"/>
      <c r="BU546" s="644"/>
      <c r="BV546" s="644"/>
      <c r="BW546" s="644"/>
      <c r="BX546" s="644"/>
      <c r="BY546" s="644"/>
      <c r="BZ546" s="644"/>
      <c r="CA546" s="644"/>
      <c r="CB546" s="644"/>
      <c r="CC546" s="644"/>
      <c r="CD546" s="644"/>
      <c r="CE546" s="644"/>
      <c r="CF546" s="644"/>
      <c r="CG546" s="644"/>
      <c r="CH546" s="644"/>
      <c r="CI546" s="644"/>
      <c r="CJ546" s="644"/>
      <c r="CK546" s="644"/>
      <c r="CL546" s="644"/>
      <c r="CM546" s="95"/>
      <c r="CN546" s="644"/>
      <c r="CO546" s="644"/>
      <c r="CP546" s="95"/>
      <c r="CQ546" s="98"/>
      <c r="CR546" s="95"/>
      <c r="CS546" s="95"/>
      <c r="CT546" s="95"/>
      <c r="CU546" s="108"/>
      <c r="CV546" s="109"/>
      <c r="CW546" s="644"/>
      <c r="CX546" s="496"/>
      <c r="CY546" s="637"/>
      <c r="CZ546" s="644"/>
      <c r="DA546" s="644"/>
      <c r="DB546" s="644"/>
      <c r="DC546" s="496"/>
      <c r="DD546" s="644"/>
      <c r="DE546" s="101"/>
      <c r="DF546" s="644"/>
      <c r="DG546" s="101"/>
      <c r="DH546" s="644"/>
      <c r="DI546" s="644"/>
      <c r="DJ546" s="644"/>
      <c r="DK546" s="644"/>
      <c r="DL546" s="644"/>
      <c r="DM546" s="101"/>
      <c r="DN546" s="644"/>
      <c r="DO546" s="644"/>
      <c r="DP546" s="644"/>
      <c r="DQ546" s="644"/>
      <c r="DR546" s="644"/>
      <c r="DS546" s="644"/>
      <c r="DT546" s="644"/>
      <c r="DU546" s="644"/>
      <c r="DV546" s="644"/>
      <c r="DW546" s="101"/>
      <c r="DX546" s="646"/>
      <c r="DY546" s="646"/>
      <c r="DZ546" s="646"/>
      <c r="EA546" s="646"/>
      <c r="EB546" s="646"/>
      <c r="EC546" s="646"/>
      <c r="ED546" s="646"/>
      <c r="EE546" s="646"/>
      <c r="EF546" s="646"/>
      <c r="EG546" s="646"/>
      <c r="EH546" s="646"/>
      <c r="EI546" s="646"/>
      <c r="EJ546" s="646"/>
      <c r="EK546" s="271"/>
      <c r="EL546" s="644"/>
      <c r="EM546" s="634"/>
      <c r="EN546" s="647"/>
      <c r="EO546" s="648"/>
      <c r="EP546" s="647"/>
      <c r="EQ546" s="647"/>
      <c r="ER546" s="647"/>
      <c r="ES546" s="139"/>
      <c r="EV546" s="647"/>
      <c r="EW546" s="647"/>
      <c r="EX546" s="647"/>
      <c r="EY546" s="647"/>
      <c r="EZ546" s="647"/>
      <c r="FA546" s="646"/>
      <c r="FB546" s="646"/>
      <c r="FC546" s="646"/>
      <c r="FD546" s="646"/>
      <c r="FE546" s="646"/>
      <c r="FF546" s="646"/>
      <c r="FG546" s="647"/>
      <c r="FH546" s="647"/>
      <c r="FI546" s="647"/>
      <c r="FJ546" s="647"/>
      <c r="FK546" s="647"/>
      <c r="FL546" s="647"/>
      <c r="FM546" s="647"/>
      <c r="FN546" s="647"/>
      <c r="FO546" s="647"/>
      <c r="FP546" s="647"/>
      <c r="FQ546" s="647"/>
      <c r="FR546" s="647"/>
      <c r="FS546" s="101"/>
      <c r="FT546" s="95"/>
      <c r="FU546" s="651"/>
      <c r="FV546" s="101"/>
      <c r="FW546" s="101"/>
      <c r="FX546" s="634"/>
      <c r="FY546" s="634"/>
      <c r="FZ546" s="634"/>
      <c r="GA546" s="634"/>
      <c r="GB546" s="634"/>
      <c r="GC546" s="634"/>
      <c r="GD546" s="634"/>
      <c r="GE546" s="634"/>
      <c r="GF546" s="634"/>
      <c r="GG546" s="634"/>
      <c r="GH546" s="634"/>
      <c r="GI546" s="634"/>
      <c r="GJ546" s="634"/>
      <c r="GK546" s="634"/>
      <c r="GL546" s="101"/>
      <c r="GM546" s="101"/>
      <c r="GN546" s="101"/>
      <c r="GO546" s="643"/>
      <c r="GP546" s="644"/>
      <c r="GQ546" s="643"/>
      <c r="GR546" s="644"/>
      <c r="GS546" s="643"/>
      <c r="GT546" s="644"/>
      <c r="GU546" s="644"/>
      <c r="GV546" s="644"/>
      <c r="GW546" s="644"/>
      <c r="GX546" s="644"/>
      <c r="GY546" s="644"/>
      <c r="GZ546" s="644"/>
      <c r="HA546" s="644"/>
    </row>
    <row r="547" spans="1:209">
      <c r="A547" s="638"/>
      <c r="B547" s="95"/>
      <c r="C547" s="95"/>
      <c r="D547" s="95"/>
      <c r="E547" s="650"/>
      <c r="F547" s="95"/>
      <c r="G547" s="98"/>
      <c r="H547" s="99"/>
      <c r="I547" s="95"/>
      <c r="J547" s="95"/>
      <c r="K547" s="95"/>
      <c r="L547" s="95"/>
      <c r="M547" s="95"/>
      <c r="N547" s="95"/>
      <c r="O547" s="95"/>
      <c r="P547" s="95"/>
      <c r="Q547" s="95"/>
      <c r="R547" s="98"/>
      <c r="S547" s="101"/>
      <c r="T547" s="644"/>
      <c r="U547" s="101"/>
      <c r="V547" s="647"/>
      <c r="W547" s="643"/>
      <c r="X547" s="644"/>
      <c r="Y547" s="101"/>
      <c r="Z547" s="644"/>
      <c r="AA547" s="101"/>
      <c r="AB547" s="644"/>
      <c r="AC547" s="101"/>
      <c r="AD547" s="646"/>
      <c r="AE547" s="271"/>
      <c r="AF547" s="646"/>
      <c r="AG547" s="646"/>
      <c r="AH547" s="646"/>
      <c r="AI547" s="646"/>
      <c r="AJ547" s="646"/>
      <c r="AK547" s="646"/>
      <c r="AL547" s="646"/>
      <c r="AM547" s="271"/>
      <c r="AN547" s="646"/>
      <c r="AO547" s="646"/>
      <c r="AP547" s="646"/>
      <c r="AQ547" s="271"/>
      <c r="AR547" s="646"/>
      <c r="AS547" s="270"/>
      <c r="AT547" s="646"/>
      <c r="AU547" s="646"/>
      <c r="AV547" s="646"/>
      <c r="AW547" s="270"/>
      <c r="AX547" s="646"/>
      <c r="AY547" s="270"/>
      <c r="AZ547" s="646"/>
      <c r="BA547" s="646"/>
      <c r="BB547" s="644"/>
      <c r="BC547" s="644"/>
      <c r="BD547" s="644"/>
      <c r="BE547" s="644"/>
      <c r="BF547" s="644"/>
      <c r="BG547" s="644"/>
      <c r="BH547" s="644"/>
      <c r="BI547" s="644"/>
      <c r="BJ547" s="644"/>
      <c r="BK547" s="644"/>
      <c r="BL547" s="644"/>
      <c r="BM547" s="95"/>
      <c r="BN547" s="644"/>
      <c r="BO547" s="95"/>
      <c r="BP547" s="644"/>
      <c r="BQ547" s="644"/>
      <c r="BR547" s="644"/>
      <c r="BS547" s="644"/>
      <c r="BT547" s="644"/>
      <c r="BU547" s="644"/>
      <c r="BV547" s="644"/>
      <c r="BW547" s="644"/>
      <c r="BX547" s="644"/>
      <c r="BY547" s="644"/>
      <c r="BZ547" s="644"/>
      <c r="CA547" s="644"/>
      <c r="CB547" s="644"/>
      <c r="CC547" s="644"/>
      <c r="CD547" s="644"/>
      <c r="CE547" s="644"/>
      <c r="CF547" s="644"/>
      <c r="CG547" s="644"/>
      <c r="CH547" s="644"/>
      <c r="CI547" s="644"/>
      <c r="CJ547" s="644"/>
      <c r="CK547" s="644"/>
      <c r="CL547" s="644"/>
      <c r="CM547" s="95"/>
      <c r="CN547" s="644"/>
      <c r="CO547" s="644"/>
      <c r="CP547" s="95"/>
      <c r="CQ547" s="98"/>
      <c r="CR547" s="95"/>
      <c r="CS547" s="95"/>
      <c r="CT547" s="95"/>
      <c r="CU547" s="108"/>
      <c r="CV547" s="109"/>
      <c r="CW547" s="644"/>
      <c r="CX547" s="496"/>
      <c r="CY547" s="637"/>
      <c r="CZ547" s="644"/>
      <c r="DA547" s="644"/>
      <c r="DB547" s="644"/>
      <c r="DC547" s="496"/>
      <c r="DD547" s="644"/>
      <c r="DE547" s="101"/>
      <c r="DF547" s="644"/>
      <c r="DG547" s="101"/>
      <c r="DH547" s="644"/>
      <c r="DI547" s="644"/>
      <c r="DJ547" s="644"/>
      <c r="DK547" s="644"/>
      <c r="DL547" s="644"/>
      <c r="DM547" s="101"/>
      <c r="DN547" s="644"/>
      <c r="DO547" s="644"/>
      <c r="DP547" s="644"/>
      <c r="DQ547" s="644"/>
      <c r="DR547" s="644"/>
      <c r="DS547" s="644"/>
      <c r="DT547" s="644"/>
      <c r="DU547" s="644"/>
      <c r="DV547" s="644"/>
      <c r="DW547" s="101"/>
      <c r="DX547" s="646"/>
      <c r="DY547" s="646"/>
      <c r="DZ547" s="646"/>
      <c r="EA547" s="646"/>
      <c r="EB547" s="646"/>
      <c r="EC547" s="646"/>
      <c r="ED547" s="646"/>
      <c r="EE547" s="646"/>
      <c r="EF547" s="646"/>
      <c r="EG547" s="646"/>
      <c r="EH547" s="646"/>
      <c r="EI547" s="646"/>
      <c r="EJ547" s="646"/>
      <c r="EK547" s="271"/>
      <c r="EL547" s="644"/>
      <c r="EM547" s="634"/>
      <c r="EN547" s="647"/>
      <c r="EO547" s="648"/>
      <c r="EP547" s="647"/>
      <c r="EQ547" s="647"/>
      <c r="ER547" s="647"/>
      <c r="ES547" s="139"/>
      <c r="EV547" s="647"/>
      <c r="EW547" s="647"/>
      <c r="EX547" s="647"/>
      <c r="EY547" s="647"/>
      <c r="EZ547" s="647"/>
      <c r="FA547" s="646"/>
      <c r="FB547" s="646"/>
      <c r="FC547" s="646"/>
      <c r="FD547" s="646"/>
      <c r="FE547" s="646"/>
      <c r="FF547" s="646"/>
      <c r="FG547" s="647"/>
      <c r="FH547" s="647"/>
      <c r="FI547" s="647"/>
      <c r="FJ547" s="647"/>
      <c r="FK547" s="647"/>
      <c r="FL547" s="647"/>
      <c r="FM547" s="647"/>
      <c r="FN547" s="647"/>
      <c r="FO547" s="647"/>
      <c r="FP547" s="647"/>
      <c r="FQ547" s="647"/>
      <c r="FR547" s="647"/>
      <c r="FS547" s="101"/>
      <c r="FT547" s="95"/>
      <c r="FU547" s="651"/>
      <c r="FV547" s="101"/>
      <c r="FW547" s="101"/>
      <c r="FX547" s="634"/>
      <c r="FY547" s="634"/>
      <c r="FZ547" s="634"/>
      <c r="GA547" s="634"/>
      <c r="GB547" s="634"/>
      <c r="GC547" s="634"/>
      <c r="GD547" s="634"/>
      <c r="GE547" s="634"/>
      <c r="GF547" s="634"/>
      <c r="GG547" s="634"/>
      <c r="GH547" s="634"/>
      <c r="GI547" s="634"/>
      <c r="GJ547" s="634"/>
      <c r="GK547" s="634"/>
      <c r="GL547" s="101"/>
      <c r="GM547" s="101"/>
      <c r="GN547" s="101"/>
      <c r="GO547" s="643"/>
      <c r="GP547" s="644"/>
      <c r="GQ547" s="643"/>
      <c r="GR547" s="644"/>
      <c r="GS547" s="643"/>
      <c r="GT547" s="644"/>
      <c r="GU547" s="644"/>
      <c r="GV547" s="644"/>
      <c r="GW547" s="644"/>
      <c r="GX547" s="644"/>
      <c r="GY547" s="644"/>
      <c r="GZ547" s="644"/>
      <c r="HA547" s="644"/>
    </row>
    <row r="548" spans="1:209">
      <c r="A548" s="638"/>
      <c r="B548" s="95"/>
      <c r="C548" s="95"/>
      <c r="D548" s="95"/>
      <c r="E548" s="650"/>
      <c r="F548" s="95"/>
      <c r="G548" s="98"/>
      <c r="H548" s="99"/>
      <c r="I548" s="95"/>
      <c r="J548" s="95"/>
      <c r="K548" s="95"/>
      <c r="L548" s="95"/>
      <c r="M548" s="95"/>
      <c r="N548" s="95"/>
      <c r="O548" s="95"/>
      <c r="P548" s="95"/>
      <c r="Q548" s="95"/>
      <c r="R548" s="98"/>
      <c r="S548" s="101"/>
      <c r="T548" s="644"/>
      <c r="U548" s="101"/>
      <c r="V548" s="647"/>
      <c r="W548" s="643"/>
      <c r="X548" s="644"/>
      <c r="Y548" s="101"/>
      <c r="Z548" s="644"/>
      <c r="AA548" s="101"/>
      <c r="AB548" s="644"/>
      <c r="AC548" s="101"/>
      <c r="AD548" s="646"/>
      <c r="AE548" s="271"/>
      <c r="AF548" s="646"/>
      <c r="AG548" s="646"/>
      <c r="AH548" s="646"/>
      <c r="AI548" s="646"/>
      <c r="AJ548" s="646"/>
      <c r="AK548" s="646"/>
      <c r="AL548" s="646"/>
      <c r="AM548" s="271"/>
      <c r="AN548" s="646"/>
      <c r="AO548" s="646"/>
      <c r="AP548" s="646"/>
      <c r="AQ548" s="271"/>
      <c r="AR548" s="646"/>
      <c r="AS548" s="270"/>
      <c r="AT548" s="646"/>
      <c r="AU548" s="646"/>
      <c r="AV548" s="646"/>
      <c r="AW548" s="270"/>
      <c r="AX548" s="646"/>
      <c r="AY548" s="270"/>
      <c r="AZ548" s="646"/>
      <c r="BA548" s="646"/>
      <c r="BB548" s="644"/>
      <c r="BC548" s="644"/>
      <c r="BD548" s="644"/>
      <c r="BE548" s="644"/>
      <c r="BF548" s="644"/>
      <c r="BG548" s="644"/>
      <c r="BH548" s="644"/>
      <c r="BI548" s="644"/>
      <c r="BJ548" s="644"/>
      <c r="BK548" s="644"/>
      <c r="BL548" s="644"/>
      <c r="BM548" s="95"/>
      <c r="BN548" s="644"/>
      <c r="BO548" s="95"/>
      <c r="BP548" s="644"/>
      <c r="BQ548" s="644"/>
      <c r="BR548" s="644"/>
      <c r="BS548" s="644"/>
      <c r="BT548" s="644"/>
      <c r="BU548" s="644"/>
      <c r="BV548" s="644"/>
      <c r="BW548" s="644"/>
      <c r="BX548" s="644"/>
      <c r="BY548" s="644"/>
      <c r="BZ548" s="644"/>
      <c r="CA548" s="644"/>
      <c r="CB548" s="644"/>
      <c r="CC548" s="644"/>
      <c r="CD548" s="644"/>
      <c r="CE548" s="644"/>
      <c r="CF548" s="644"/>
      <c r="CG548" s="644"/>
      <c r="CH548" s="644"/>
      <c r="CI548" s="644"/>
      <c r="CJ548" s="644"/>
      <c r="CK548" s="644"/>
      <c r="CL548" s="644"/>
      <c r="CM548" s="95"/>
      <c r="CN548" s="644"/>
      <c r="CO548" s="644"/>
      <c r="CP548" s="95"/>
      <c r="CQ548" s="98"/>
      <c r="CR548" s="95"/>
      <c r="CS548" s="95"/>
      <c r="CT548" s="95"/>
      <c r="CU548" s="108"/>
      <c r="CV548" s="109"/>
      <c r="CW548" s="644"/>
      <c r="CX548" s="496"/>
      <c r="CY548" s="637"/>
      <c r="CZ548" s="644"/>
      <c r="DA548" s="644"/>
      <c r="DB548" s="644"/>
      <c r="DC548" s="496"/>
      <c r="DD548" s="644"/>
      <c r="DE548" s="101"/>
      <c r="DF548" s="644"/>
      <c r="DG548" s="101"/>
      <c r="DH548" s="644"/>
      <c r="DI548" s="644"/>
      <c r="DJ548" s="644"/>
      <c r="DK548" s="644"/>
      <c r="DL548" s="644"/>
      <c r="DM548" s="101"/>
      <c r="DN548" s="644"/>
      <c r="DO548" s="644"/>
      <c r="DP548" s="644"/>
      <c r="DQ548" s="644"/>
      <c r="DR548" s="644"/>
      <c r="DS548" s="644"/>
      <c r="DT548" s="644"/>
      <c r="DU548" s="644"/>
      <c r="DV548" s="644"/>
      <c r="DW548" s="101"/>
      <c r="DX548" s="646"/>
      <c r="DY548" s="646"/>
      <c r="DZ548" s="646"/>
      <c r="EA548" s="646"/>
      <c r="EB548" s="646"/>
      <c r="EC548" s="646"/>
      <c r="ED548" s="646"/>
      <c r="EE548" s="646"/>
      <c r="EF548" s="646"/>
      <c r="EG548" s="646"/>
      <c r="EH548" s="646"/>
      <c r="EI548" s="646"/>
      <c r="EJ548" s="646"/>
      <c r="EK548" s="271"/>
      <c r="EL548" s="644"/>
      <c r="EM548" s="634"/>
      <c r="EN548" s="647"/>
      <c r="EO548" s="648"/>
      <c r="EP548" s="647"/>
      <c r="EQ548" s="647"/>
      <c r="ER548" s="647"/>
      <c r="ES548" s="139"/>
      <c r="EV548" s="647"/>
      <c r="EW548" s="647"/>
      <c r="EX548" s="647"/>
      <c r="EY548" s="647"/>
      <c r="EZ548" s="647"/>
      <c r="FA548" s="646"/>
      <c r="FB548" s="646"/>
      <c r="FC548" s="646"/>
      <c r="FD548" s="646"/>
      <c r="FE548" s="646"/>
      <c r="FF548" s="646"/>
      <c r="FG548" s="647"/>
      <c r="FH548" s="647"/>
      <c r="FI548" s="647"/>
      <c r="FJ548" s="647"/>
      <c r="FK548" s="647"/>
      <c r="FL548" s="647"/>
      <c r="FM548" s="647"/>
      <c r="FN548" s="647"/>
      <c r="FO548" s="647"/>
      <c r="FP548" s="647"/>
      <c r="FQ548" s="647"/>
      <c r="FR548" s="647"/>
      <c r="FS548" s="101"/>
      <c r="FT548" s="95"/>
      <c r="FU548" s="651"/>
      <c r="FV548" s="101"/>
      <c r="FW548" s="101"/>
      <c r="FX548" s="634"/>
      <c r="FY548" s="634"/>
      <c r="FZ548" s="634"/>
      <c r="GA548" s="634"/>
      <c r="GB548" s="634"/>
      <c r="GC548" s="634"/>
      <c r="GD548" s="634"/>
      <c r="GE548" s="634"/>
      <c r="GF548" s="634"/>
      <c r="GG548" s="634"/>
      <c r="GH548" s="634"/>
      <c r="GI548" s="634"/>
      <c r="GJ548" s="634"/>
      <c r="GK548" s="634"/>
      <c r="GL548" s="101"/>
      <c r="GM548" s="101"/>
      <c r="GN548" s="101"/>
      <c r="GO548" s="643"/>
      <c r="GP548" s="644"/>
      <c r="GQ548" s="643"/>
      <c r="GR548" s="644"/>
      <c r="GS548" s="643"/>
      <c r="GT548" s="644"/>
      <c r="GU548" s="644"/>
      <c r="GV548" s="644"/>
      <c r="GW548" s="644"/>
      <c r="GX548" s="644"/>
      <c r="GY548" s="644"/>
      <c r="GZ548" s="644"/>
      <c r="HA548" s="644"/>
    </row>
    <row r="549" spans="1:209">
      <c r="A549" s="638"/>
      <c r="B549" s="95"/>
      <c r="C549" s="95"/>
      <c r="D549" s="95"/>
      <c r="E549" s="650"/>
      <c r="F549" s="95"/>
      <c r="G549" s="98"/>
      <c r="H549" s="99"/>
      <c r="I549" s="95"/>
      <c r="J549" s="95"/>
      <c r="K549" s="95"/>
      <c r="L549" s="95"/>
      <c r="M549" s="95"/>
      <c r="N549" s="95"/>
      <c r="O549" s="95"/>
      <c r="P549" s="95"/>
      <c r="Q549" s="95"/>
      <c r="R549" s="98"/>
      <c r="S549" s="101"/>
      <c r="T549" s="644"/>
      <c r="U549" s="101"/>
      <c r="V549" s="647"/>
      <c r="W549" s="643"/>
      <c r="X549" s="644"/>
      <c r="Y549" s="101"/>
      <c r="Z549" s="644"/>
      <c r="AA549" s="101"/>
      <c r="AB549" s="644"/>
      <c r="AC549" s="101"/>
      <c r="AD549" s="646"/>
      <c r="AE549" s="271"/>
      <c r="AF549" s="646"/>
      <c r="AG549" s="646"/>
      <c r="AH549" s="646"/>
      <c r="AI549" s="646"/>
      <c r="AJ549" s="646"/>
      <c r="AK549" s="646"/>
      <c r="AL549" s="646"/>
      <c r="AM549" s="271"/>
      <c r="AN549" s="646"/>
      <c r="AO549" s="646"/>
      <c r="AP549" s="646"/>
      <c r="AQ549" s="271"/>
      <c r="AR549" s="646"/>
      <c r="AS549" s="270"/>
      <c r="AT549" s="646"/>
      <c r="AU549" s="646"/>
      <c r="AV549" s="646"/>
      <c r="AW549" s="270"/>
      <c r="AX549" s="646"/>
      <c r="AY549" s="270"/>
      <c r="AZ549" s="646"/>
      <c r="BA549" s="646"/>
      <c r="BB549" s="644"/>
      <c r="BC549" s="644"/>
      <c r="BD549" s="644"/>
      <c r="BE549" s="644"/>
      <c r="BF549" s="644"/>
      <c r="BG549" s="644"/>
      <c r="BH549" s="644"/>
      <c r="BI549" s="644"/>
      <c r="BJ549" s="644"/>
      <c r="BK549" s="644"/>
      <c r="BL549" s="644"/>
      <c r="BM549" s="95"/>
      <c r="BN549" s="644"/>
      <c r="BO549" s="95"/>
      <c r="BP549" s="644"/>
      <c r="BQ549" s="644"/>
      <c r="BR549" s="644"/>
      <c r="BS549" s="644"/>
      <c r="BT549" s="644"/>
      <c r="BU549" s="644"/>
      <c r="BV549" s="644"/>
      <c r="BW549" s="644"/>
      <c r="BX549" s="644"/>
      <c r="BY549" s="644"/>
      <c r="BZ549" s="644"/>
      <c r="CA549" s="644"/>
      <c r="CB549" s="644"/>
      <c r="CC549" s="644"/>
      <c r="CD549" s="644"/>
      <c r="CE549" s="644"/>
      <c r="CF549" s="644"/>
      <c r="CG549" s="644"/>
      <c r="CH549" s="644"/>
      <c r="CI549" s="644"/>
      <c r="CJ549" s="644"/>
      <c r="CK549" s="644"/>
      <c r="CL549" s="644"/>
      <c r="CM549" s="95"/>
      <c r="CN549" s="644"/>
      <c r="CO549" s="644"/>
      <c r="CP549" s="95"/>
      <c r="CQ549" s="98"/>
      <c r="CR549" s="95"/>
      <c r="CS549" s="95"/>
      <c r="CT549" s="95"/>
      <c r="CU549" s="108"/>
      <c r="CV549" s="109"/>
      <c r="CW549" s="644"/>
      <c r="CX549" s="496"/>
      <c r="CY549" s="637"/>
      <c r="CZ549" s="644"/>
      <c r="DA549" s="644"/>
      <c r="DB549" s="644"/>
      <c r="DC549" s="496"/>
      <c r="DD549" s="644"/>
      <c r="DE549" s="101"/>
      <c r="DF549" s="644"/>
      <c r="DG549" s="101"/>
      <c r="DH549" s="644"/>
      <c r="DI549" s="644"/>
      <c r="DJ549" s="644"/>
      <c r="DK549" s="644"/>
      <c r="DL549" s="644"/>
      <c r="DM549" s="101"/>
      <c r="DN549" s="644"/>
      <c r="DO549" s="644"/>
      <c r="DP549" s="644"/>
      <c r="DQ549" s="644"/>
      <c r="DR549" s="644"/>
      <c r="DS549" s="644"/>
      <c r="DT549" s="644"/>
      <c r="DU549" s="644"/>
      <c r="DV549" s="644"/>
      <c r="DW549" s="101"/>
      <c r="DX549" s="646"/>
      <c r="DY549" s="646"/>
      <c r="DZ549" s="646"/>
      <c r="EA549" s="646"/>
      <c r="EB549" s="646"/>
      <c r="EC549" s="646"/>
      <c r="ED549" s="646"/>
      <c r="EE549" s="646"/>
      <c r="EF549" s="646"/>
      <c r="EG549" s="646"/>
      <c r="EH549" s="646"/>
      <c r="EI549" s="646"/>
      <c r="EJ549" s="646"/>
      <c r="EK549" s="271"/>
      <c r="EL549" s="644"/>
      <c r="EM549" s="634"/>
      <c r="EN549" s="647"/>
      <c r="EO549" s="648"/>
      <c r="EP549" s="647"/>
      <c r="EQ549" s="647"/>
      <c r="ER549" s="647"/>
      <c r="ES549" s="139"/>
      <c r="EV549" s="647"/>
      <c r="EW549" s="647"/>
      <c r="EX549" s="647"/>
      <c r="EY549" s="647"/>
      <c r="EZ549" s="647"/>
      <c r="FA549" s="646"/>
      <c r="FB549" s="646"/>
      <c r="FC549" s="646"/>
      <c r="FD549" s="646"/>
      <c r="FE549" s="646"/>
      <c r="FF549" s="646"/>
      <c r="FG549" s="647"/>
      <c r="FH549" s="647"/>
      <c r="FI549" s="647"/>
      <c r="FJ549" s="647"/>
      <c r="FK549" s="647"/>
      <c r="FL549" s="647"/>
      <c r="FM549" s="647"/>
      <c r="FN549" s="647"/>
      <c r="FO549" s="647"/>
      <c r="FP549" s="647"/>
      <c r="FQ549" s="647"/>
      <c r="FR549" s="647"/>
      <c r="FS549" s="101"/>
      <c r="FT549" s="95"/>
      <c r="FU549" s="651"/>
      <c r="FV549" s="101"/>
      <c r="FW549" s="101"/>
      <c r="FX549" s="634"/>
      <c r="FY549" s="634"/>
      <c r="FZ549" s="634"/>
      <c r="GA549" s="634"/>
      <c r="GB549" s="634"/>
      <c r="GC549" s="634"/>
      <c r="GD549" s="634"/>
      <c r="GE549" s="634"/>
      <c r="GF549" s="634"/>
      <c r="GG549" s="634"/>
      <c r="GH549" s="634"/>
      <c r="GI549" s="634"/>
      <c r="GJ549" s="634"/>
      <c r="GK549" s="634"/>
      <c r="GL549" s="101"/>
      <c r="GM549" s="101"/>
      <c r="GN549" s="101"/>
      <c r="GO549" s="643"/>
      <c r="GP549" s="644"/>
      <c r="GQ549" s="643"/>
      <c r="GR549" s="644"/>
      <c r="GS549" s="643"/>
      <c r="GT549" s="644"/>
      <c r="GU549" s="644"/>
      <c r="GV549" s="644"/>
      <c r="GW549" s="644"/>
      <c r="GX549" s="644"/>
      <c r="GY549" s="644"/>
      <c r="GZ549" s="644"/>
      <c r="HA549" s="644"/>
    </row>
    <row r="550" spans="1:209">
      <c r="A550" s="638"/>
      <c r="B550" s="95"/>
      <c r="C550" s="95"/>
      <c r="D550" s="95"/>
      <c r="E550" s="650"/>
      <c r="F550" s="95"/>
      <c r="G550" s="98"/>
      <c r="H550" s="99"/>
      <c r="I550" s="95"/>
      <c r="J550" s="95"/>
      <c r="K550" s="95"/>
      <c r="L550" s="95"/>
      <c r="M550" s="95"/>
      <c r="N550" s="95"/>
      <c r="O550" s="95"/>
      <c r="P550" s="95"/>
      <c r="Q550" s="95"/>
      <c r="R550" s="98"/>
      <c r="S550" s="101"/>
      <c r="T550" s="644"/>
      <c r="U550" s="101"/>
      <c r="V550" s="647"/>
      <c r="W550" s="643"/>
      <c r="X550" s="644"/>
      <c r="Y550" s="101"/>
      <c r="Z550" s="644"/>
      <c r="AA550" s="101"/>
      <c r="AB550" s="644"/>
      <c r="AC550" s="101"/>
      <c r="AD550" s="646"/>
      <c r="AE550" s="271"/>
      <c r="AF550" s="646"/>
      <c r="AG550" s="646"/>
      <c r="AH550" s="646"/>
      <c r="AI550" s="646"/>
      <c r="AJ550" s="646"/>
      <c r="AK550" s="646"/>
      <c r="AL550" s="646"/>
      <c r="AM550" s="271"/>
      <c r="AN550" s="646"/>
      <c r="AO550" s="646"/>
      <c r="AP550" s="646"/>
      <c r="AQ550" s="271"/>
      <c r="AR550" s="646"/>
      <c r="AS550" s="270"/>
      <c r="AT550" s="646"/>
      <c r="AU550" s="646"/>
      <c r="AV550" s="646"/>
      <c r="AW550" s="270"/>
      <c r="AX550" s="646"/>
      <c r="AY550" s="270"/>
      <c r="AZ550" s="646"/>
      <c r="BA550" s="646"/>
      <c r="BB550" s="644"/>
      <c r="BC550" s="644"/>
      <c r="BD550" s="644"/>
      <c r="BE550" s="644"/>
      <c r="BF550" s="644"/>
      <c r="BG550" s="644"/>
      <c r="BH550" s="644"/>
      <c r="BI550" s="644"/>
      <c r="BJ550" s="644"/>
      <c r="BK550" s="644"/>
      <c r="BL550" s="644"/>
      <c r="BM550" s="95"/>
      <c r="BN550" s="644"/>
      <c r="BO550" s="95"/>
      <c r="BP550" s="644"/>
      <c r="BQ550" s="644"/>
      <c r="BR550" s="644"/>
      <c r="BS550" s="644"/>
      <c r="BT550" s="644"/>
      <c r="BU550" s="644"/>
      <c r="BV550" s="644"/>
      <c r="BW550" s="644"/>
      <c r="BX550" s="644"/>
      <c r="BY550" s="644"/>
      <c r="BZ550" s="644"/>
      <c r="CA550" s="644"/>
      <c r="CB550" s="644"/>
      <c r="CC550" s="644"/>
      <c r="CD550" s="644"/>
      <c r="CE550" s="644"/>
      <c r="CF550" s="644"/>
      <c r="CG550" s="644"/>
      <c r="CH550" s="644"/>
      <c r="CI550" s="644"/>
      <c r="CJ550" s="644"/>
      <c r="CK550" s="644"/>
      <c r="CL550" s="644"/>
      <c r="CM550" s="95"/>
      <c r="CN550" s="644"/>
      <c r="CO550" s="644"/>
      <c r="CP550" s="95"/>
      <c r="CQ550" s="98"/>
      <c r="CR550" s="95"/>
      <c r="CS550" s="95"/>
      <c r="CT550" s="95"/>
      <c r="CU550" s="108"/>
      <c r="CV550" s="109"/>
      <c r="CW550" s="644"/>
      <c r="CX550" s="496"/>
      <c r="CY550" s="637"/>
      <c r="CZ550" s="644"/>
      <c r="DA550" s="644"/>
      <c r="DB550" s="644"/>
      <c r="DC550" s="496"/>
      <c r="DD550" s="644"/>
      <c r="DE550" s="101"/>
      <c r="DF550" s="644"/>
      <c r="DG550" s="101"/>
      <c r="DH550" s="644"/>
      <c r="DI550" s="644"/>
      <c r="DJ550" s="644"/>
      <c r="DK550" s="644"/>
      <c r="DL550" s="644"/>
      <c r="DM550" s="101"/>
      <c r="DN550" s="644"/>
      <c r="DO550" s="644"/>
      <c r="DP550" s="644"/>
      <c r="DQ550" s="644"/>
      <c r="DR550" s="644"/>
      <c r="DS550" s="644"/>
      <c r="DT550" s="644"/>
      <c r="DU550" s="644"/>
      <c r="DV550" s="644"/>
      <c r="DW550" s="101"/>
      <c r="DX550" s="646"/>
      <c r="DY550" s="646"/>
      <c r="DZ550" s="646"/>
      <c r="EA550" s="646"/>
      <c r="EB550" s="646"/>
      <c r="EC550" s="646"/>
      <c r="ED550" s="646"/>
      <c r="EE550" s="646"/>
      <c r="EF550" s="646"/>
      <c r="EG550" s="646"/>
      <c r="EH550" s="646"/>
      <c r="EI550" s="646"/>
      <c r="EJ550" s="646"/>
      <c r="EK550" s="271"/>
      <c r="EL550" s="644"/>
      <c r="EM550" s="634"/>
      <c r="EN550" s="647"/>
      <c r="EO550" s="648"/>
      <c r="EP550" s="647"/>
      <c r="EQ550" s="647"/>
      <c r="ER550" s="647"/>
      <c r="ES550" s="139"/>
      <c r="EV550" s="647"/>
      <c r="EW550" s="647"/>
      <c r="EX550" s="647"/>
      <c r="EY550" s="647"/>
      <c r="EZ550" s="647"/>
      <c r="FA550" s="646"/>
      <c r="FB550" s="646"/>
      <c r="FC550" s="646"/>
      <c r="FD550" s="646"/>
      <c r="FE550" s="646"/>
      <c r="FF550" s="646"/>
      <c r="FG550" s="647"/>
      <c r="FH550" s="647"/>
      <c r="FI550" s="647"/>
      <c r="FJ550" s="647"/>
      <c r="FK550" s="647"/>
      <c r="FL550" s="647"/>
      <c r="FM550" s="647"/>
      <c r="FN550" s="647"/>
      <c r="FO550" s="647"/>
      <c r="FP550" s="647"/>
      <c r="FQ550" s="647"/>
      <c r="FR550" s="647"/>
      <c r="FS550" s="101"/>
      <c r="FT550" s="95"/>
      <c r="FU550" s="651"/>
      <c r="FV550" s="101"/>
      <c r="FW550" s="101"/>
      <c r="FX550" s="634"/>
      <c r="FY550" s="634"/>
      <c r="FZ550" s="634"/>
      <c r="GA550" s="634"/>
      <c r="GB550" s="634"/>
      <c r="GC550" s="634"/>
      <c r="GD550" s="634"/>
      <c r="GE550" s="634"/>
      <c r="GF550" s="634"/>
      <c r="GG550" s="634"/>
      <c r="GH550" s="634"/>
      <c r="GI550" s="634"/>
      <c r="GJ550" s="634"/>
      <c r="GK550" s="634"/>
      <c r="GL550" s="101"/>
      <c r="GM550" s="101"/>
      <c r="GN550" s="101"/>
      <c r="GO550" s="643"/>
      <c r="GP550" s="644"/>
      <c r="GQ550" s="643"/>
      <c r="GR550" s="644"/>
      <c r="GS550" s="643"/>
      <c r="GT550" s="644"/>
      <c r="GU550" s="644"/>
      <c r="GV550" s="644"/>
      <c r="GW550" s="644"/>
      <c r="GX550" s="644"/>
      <c r="GY550" s="644"/>
      <c r="GZ550" s="644"/>
      <c r="HA550" s="644"/>
    </row>
    <row r="551" spans="1:209">
      <c r="A551" s="638"/>
      <c r="B551" s="95"/>
      <c r="C551" s="95"/>
      <c r="D551" s="95"/>
      <c r="E551" s="650"/>
      <c r="F551" s="95"/>
      <c r="G551" s="98"/>
      <c r="H551" s="99"/>
      <c r="I551" s="95"/>
      <c r="J551" s="95"/>
      <c r="K551" s="95"/>
      <c r="L551" s="95"/>
      <c r="M551" s="95"/>
      <c r="N551" s="95"/>
      <c r="O551" s="95"/>
      <c r="P551" s="95"/>
      <c r="Q551" s="95"/>
      <c r="R551" s="98"/>
      <c r="S551" s="101"/>
      <c r="T551" s="644"/>
      <c r="U551" s="101"/>
      <c r="V551" s="647"/>
      <c r="W551" s="643"/>
      <c r="X551" s="644"/>
      <c r="Y551" s="101"/>
      <c r="Z551" s="644"/>
      <c r="AA551" s="101"/>
      <c r="AB551" s="644"/>
      <c r="AC551" s="101"/>
      <c r="AD551" s="646"/>
      <c r="AE551" s="271"/>
      <c r="AF551" s="646"/>
      <c r="AG551" s="646"/>
      <c r="AH551" s="646"/>
      <c r="AI551" s="646"/>
      <c r="AJ551" s="646"/>
      <c r="AK551" s="646"/>
      <c r="AL551" s="646"/>
      <c r="AM551" s="271"/>
      <c r="AN551" s="646"/>
      <c r="AO551" s="646"/>
      <c r="AP551" s="646"/>
      <c r="AQ551" s="271"/>
      <c r="AR551" s="646"/>
      <c r="AS551" s="270"/>
      <c r="AT551" s="646"/>
      <c r="AU551" s="646"/>
      <c r="AV551" s="646"/>
      <c r="AW551" s="270"/>
      <c r="AX551" s="646"/>
      <c r="AY551" s="270"/>
      <c r="AZ551" s="646"/>
      <c r="BA551" s="646"/>
      <c r="BB551" s="644"/>
      <c r="BC551" s="644"/>
      <c r="BD551" s="644"/>
      <c r="BE551" s="644"/>
      <c r="BF551" s="644"/>
      <c r="BG551" s="644"/>
      <c r="BH551" s="644"/>
      <c r="BI551" s="644"/>
      <c r="BJ551" s="644"/>
      <c r="BK551" s="644"/>
      <c r="BL551" s="644"/>
      <c r="BM551" s="95"/>
      <c r="BN551" s="644"/>
      <c r="BO551" s="95"/>
      <c r="BP551" s="644"/>
      <c r="BQ551" s="644"/>
      <c r="BR551" s="644"/>
      <c r="BS551" s="644"/>
      <c r="BT551" s="644"/>
      <c r="BU551" s="644"/>
      <c r="BV551" s="644"/>
      <c r="BW551" s="644"/>
      <c r="BX551" s="644"/>
      <c r="BY551" s="644"/>
      <c r="BZ551" s="644"/>
      <c r="CA551" s="644"/>
      <c r="CB551" s="644"/>
      <c r="CC551" s="644"/>
      <c r="CD551" s="644"/>
      <c r="CE551" s="644"/>
      <c r="CF551" s="644"/>
      <c r="CG551" s="644"/>
      <c r="CH551" s="644"/>
      <c r="CI551" s="644"/>
      <c r="CJ551" s="644"/>
      <c r="CK551" s="644"/>
      <c r="CL551" s="644"/>
      <c r="CM551" s="95"/>
      <c r="CN551" s="644"/>
      <c r="CO551" s="644"/>
      <c r="CP551" s="95"/>
      <c r="CQ551" s="98"/>
      <c r="CR551" s="95"/>
      <c r="CS551" s="95"/>
      <c r="CT551" s="95"/>
      <c r="CU551" s="108"/>
      <c r="CV551" s="109"/>
      <c r="CW551" s="644"/>
      <c r="CX551" s="496"/>
      <c r="CY551" s="637"/>
      <c r="CZ551" s="644"/>
      <c r="DA551" s="644"/>
      <c r="DB551" s="644"/>
      <c r="DC551" s="496"/>
      <c r="DD551" s="644"/>
      <c r="DE551" s="101"/>
      <c r="DF551" s="644"/>
      <c r="DG551" s="101"/>
      <c r="DH551" s="644"/>
      <c r="DI551" s="644"/>
      <c r="DJ551" s="644"/>
      <c r="DK551" s="644"/>
      <c r="DL551" s="644"/>
      <c r="DM551" s="101"/>
      <c r="DN551" s="644"/>
      <c r="DO551" s="644"/>
      <c r="DP551" s="644"/>
      <c r="DQ551" s="644"/>
      <c r="DR551" s="644"/>
      <c r="DS551" s="644"/>
      <c r="DT551" s="644"/>
      <c r="DU551" s="644"/>
      <c r="DV551" s="644"/>
      <c r="DW551" s="101"/>
      <c r="DX551" s="646"/>
      <c r="DY551" s="646"/>
      <c r="DZ551" s="646"/>
      <c r="EA551" s="646"/>
      <c r="EB551" s="646"/>
      <c r="EC551" s="646"/>
      <c r="ED551" s="646"/>
      <c r="EE551" s="646"/>
      <c r="EF551" s="646"/>
      <c r="EG551" s="646"/>
      <c r="EH551" s="646"/>
      <c r="EI551" s="646"/>
      <c r="EJ551" s="646"/>
      <c r="EK551" s="271"/>
      <c r="EL551" s="644"/>
      <c r="EM551" s="634"/>
      <c r="EN551" s="647"/>
      <c r="EO551" s="648"/>
      <c r="EP551" s="647"/>
      <c r="EQ551" s="647"/>
      <c r="ER551" s="647"/>
      <c r="ES551" s="139"/>
      <c r="EV551" s="647"/>
      <c r="EW551" s="647"/>
      <c r="EX551" s="647"/>
      <c r="EY551" s="647"/>
      <c r="EZ551" s="647"/>
      <c r="FA551" s="646"/>
      <c r="FB551" s="646"/>
      <c r="FC551" s="646"/>
      <c r="FD551" s="646"/>
      <c r="FE551" s="646"/>
      <c r="FF551" s="646"/>
      <c r="FG551" s="647"/>
      <c r="FH551" s="647"/>
      <c r="FI551" s="647"/>
      <c r="FJ551" s="647"/>
      <c r="FK551" s="647"/>
      <c r="FL551" s="647"/>
      <c r="FM551" s="647"/>
      <c r="FN551" s="647"/>
      <c r="FO551" s="647"/>
      <c r="FP551" s="647"/>
      <c r="FQ551" s="647"/>
      <c r="FR551" s="647"/>
      <c r="FS551" s="101"/>
      <c r="FT551" s="95"/>
      <c r="FU551" s="651"/>
      <c r="FV551" s="101"/>
      <c r="FW551" s="101"/>
      <c r="FX551" s="634"/>
      <c r="FY551" s="634"/>
      <c r="FZ551" s="634"/>
      <c r="GA551" s="634"/>
      <c r="GB551" s="634"/>
      <c r="GC551" s="634"/>
      <c r="GD551" s="634"/>
      <c r="GE551" s="634"/>
      <c r="GF551" s="634"/>
      <c r="GG551" s="634"/>
      <c r="GH551" s="634"/>
      <c r="GI551" s="634"/>
      <c r="GJ551" s="634"/>
      <c r="GK551" s="634"/>
      <c r="GL551" s="101"/>
      <c r="GM551" s="101"/>
      <c r="GN551" s="101"/>
      <c r="GO551" s="643"/>
      <c r="GP551" s="644"/>
      <c r="GQ551" s="643"/>
      <c r="GR551" s="644"/>
      <c r="GS551" s="643"/>
      <c r="GT551" s="644"/>
      <c r="GU551" s="644"/>
      <c r="GV551" s="644"/>
      <c r="GW551" s="644"/>
      <c r="GX551" s="644"/>
      <c r="GY551" s="644"/>
      <c r="GZ551" s="644"/>
      <c r="HA551" s="644"/>
    </row>
    <row r="552" spans="1:209">
      <c r="A552" s="638"/>
      <c r="B552" s="95"/>
      <c r="C552" s="95"/>
      <c r="D552" s="95"/>
      <c r="E552" s="650"/>
      <c r="F552" s="95"/>
      <c r="G552" s="98"/>
      <c r="H552" s="99"/>
      <c r="I552" s="95"/>
      <c r="J552" s="95"/>
      <c r="K552" s="95"/>
      <c r="L552" s="95"/>
      <c r="M552" s="95"/>
      <c r="N552" s="95"/>
      <c r="O552" s="95"/>
      <c r="P552" s="95"/>
      <c r="Q552" s="95"/>
      <c r="R552" s="98"/>
      <c r="S552" s="101"/>
      <c r="T552" s="644"/>
      <c r="U552" s="101"/>
      <c r="V552" s="647"/>
      <c r="W552" s="643"/>
      <c r="X552" s="644"/>
      <c r="Y552" s="101"/>
      <c r="Z552" s="644"/>
      <c r="AA552" s="101"/>
      <c r="AB552" s="644"/>
      <c r="AC552" s="101"/>
      <c r="AD552" s="646"/>
      <c r="AE552" s="271"/>
      <c r="AF552" s="646"/>
      <c r="AG552" s="646"/>
      <c r="AH552" s="646"/>
      <c r="AI552" s="646"/>
      <c r="AJ552" s="646"/>
      <c r="AK552" s="646"/>
      <c r="AL552" s="646"/>
      <c r="AM552" s="271"/>
      <c r="AN552" s="646"/>
      <c r="AO552" s="646"/>
      <c r="AP552" s="646"/>
      <c r="AQ552" s="271"/>
      <c r="AR552" s="646"/>
      <c r="AS552" s="270"/>
      <c r="AT552" s="646"/>
      <c r="AU552" s="646"/>
      <c r="AV552" s="646"/>
      <c r="AW552" s="270"/>
      <c r="AX552" s="646"/>
      <c r="AY552" s="270"/>
      <c r="AZ552" s="646"/>
      <c r="BA552" s="646"/>
      <c r="BB552" s="644"/>
      <c r="BC552" s="644"/>
      <c r="BD552" s="644"/>
      <c r="BE552" s="644"/>
      <c r="BF552" s="644"/>
      <c r="BG552" s="644"/>
      <c r="BH552" s="644"/>
      <c r="BI552" s="644"/>
      <c r="BJ552" s="644"/>
      <c r="BK552" s="644"/>
      <c r="BL552" s="644"/>
      <c r="BM552" s="95"/>
      <c r="BN552" s="644"/>
      <c r="BO552" s="95"/>
      <c r="BP552" s="644"/>
      <c r="BQ552" s="644"/>
      <c r="BR552" s="644"/>
      <c r="BS552" s="644"/>
      <c r="BT552" s="644"/>
      <c r="BU552" s="644"/>
      <c r="BV552" s="644"/>
      <c r="BW552" s="644"/>
      <c r="BX552" s="644"/>
      <c r="BY552" s="644"/>
      <c r="BZ552" s="644"/>
      <c r="CA552" s="644"/>
      <c r="CB552" s="644"/>
      <c r="CC552" s="644"/>
      <c r="CD552" s="644"/>
      <c r="CE552" s="644"/>
      <c r="CF552" s="644"/>
      <c r="CG552" s="644"/>
      <c r="CH552" s="644"/>
      <c r="CI552" s="644"/>
      <c r="CJ552" s="644"/>
      <c r="CK552" s="644"/>
      <c r="CL552" s="644"/>
      <c r="CM552" s="95"/>
      <c r="CN552" s="644"/>
      <c r="CO552" s="644"/>
      <c r="CP552" s="95"/>
      <c r="CQ552" s="98"/>
      <c r="CR552" s="95"/>
      <c r="CS552" s="95"/>
      <c r="CT552" s="95"/>
      <c r="CU552" s="108"/>
      <c r="CV552" s="109"/>
      <c r="CW552" s="644"/>
      <c r="CX552" s="496"/>
      <c r="CY552" s="637"/>
      <c r="CZ552" s="644"/>
      <c r="DA552" s="644"/>
      <c r="DB552" s="644"/>
      <c r="DC552" s="496"/>
      <c r="DD552" s="644"/>
      <c r="DE552" s="101"/>
      <c r="DF552" s="644"/>
      <c r="DG552" s="101"/>
      <c r="DH552" s="644"/>
      <c r="DI552" s="644"/>
      <c r="DJ552" s="644"/>
      <c r="DK552" s="644"/>
      <c r="DL552" s="644"/>
      <c r="DM552" s="101"/>
      <c r="DN552" s="644"/>
      <c r="DO552" s="644"/>
      <c r="DP552" s="644"/>
      <c r="DQ552" s="644"/>
      <c r="DR552" s="644"/>
      <c r="DS552" s="644"/>
      <c r="DT552" s="644"/>
      <c r="DU552" s="644"/>
      <c r="DV552" s="644"/>
      <c r="DW552" s="101"/>
      <c r="DX552" s="646"/>
      <c r="DY552" s="646"/>
      <c r="DZ552" s="646"/>
      <c r="EA552" s="646"/>
      <c r="EB552" s="646"/>
      <c r="EC552" s="646"/>
      <c r="ED552" s="646"/>
      <c r="EE552" s="646"/>
      <c r="EF552" s="646"/>
      <c r="EG552" s="646"/>
      <c r="EH552" s="646"/>
      <c r="EI552" s="646"/>
      <c r="EJ552" s="646"/>
      <c r="EK552" s="271"/>
      <c r="EL552" s="644"/>
      <c r="EM552" s="634"/>
      <c r="EN552" s="647"/>
      <c r="EO552" s="648"/>
      <c r="EP552" s="647"/>
      <c r="EQ552" s="647"/>
      <c r="ER552" s="647"/>
      <c r="ES552" s="139"/>
      <c r="EV552" s="647"/>
      <c r="EW552" s="647"/>
      <c r="EX552" s="647"/>
      <c r="EY552" s="647"/>
      <c r="EZ552" s="647"/>
      <c r="FA552" s="646"/>
      <c r="FB552" s="646"/>
      <c r="FC552" s="646"/>
      <c r="FD552" s="646"/>
      <c r="FE552" s="646"/>
      <c r="FF552" s="646"/>
      <c r="FG552" s="647"/>
      <c r="FH552" s="647"/>
      <c r="FI552" s="647"/>
      <c r="FJ552" s="647"/>
      <c r="FK552" s="647"/>
      <c r="FL552" s="647"/>
      <c r="FM552" s="647"/>
      <c r="FN552" s="647"/>
      <c r="FO552" s="647"/>
      <c r="FP552" s="647"/>
      <c r="FQ552" s="647"/>
      <c r="FR552" s="647"/>
      <c r="FS552" s="101"/>
      <c r="FT552" s="95"/>
      <c r="FU552" s="651"/>
      <c r="FV552" s="101"/>
      <c r="FW552" s="101"/>
      <c r="FX552" s="634"/>
      <c r="FY552" s="634"/>
      <c r="FZ552" s="634"/>
      <c r="GA552" s="634"/>
      <c r="GB552" s="634"/>
      <c r="GC552" s="634"/>
      <c r="GD552" s="634"/>
      <c r="GE552" s="634"/>
      <c r="GF552" s="634"/>
      <c r="GG552" s="634"/>
      <c r="GH552" s="634"/>
      <c r="GI552" s="634"/>
      <c r="GJ552" s="634"/>
      <c r="GK552" s="634"/>
      <c r="GL552" s="101"/>
      <c r="GM552" s="101"/>
      <c r="GN552" s="101"/>
      <c r="GO552" s="643"/>
      <c r="GP552" s="644"/>
      <c r="GQ552" s="643"/>
      <c r="GR552" s="644"/>
      <c r="GS552" s="643"/>
      <c r="GT552" s="644"/>
      <c r="GU552" s="644"/>
      <c r="GV552" s="644"/>
      <c r="GW552" s="644"/>
      <c r="GX552" s="644"/>
      <c r="GY552" s="644"/>
      <c r="GZ552" s="644"/>
      <c r="HA552" s="644"/>
    </row>
    <row r="553" spans="1:209">
      <c r="A553" s="638"/>
      <c r="B553" s="95"/>
      <c r="C553" s="95"/>
      <c r="D553" s="95"/>
      <c r="E553" s="650"/>
      <c r="F553" s="95"/>
      <c r="G553" s="98"/>
      <c r="H553" s="99"/>
      <c r="I553" s="95"/>
      <c r="J553" s="95"/>
      <c r="K553" s="95"/>
      <c r="L553" s="95"/>
      <c r="M553" s="95"/>
      <c r="N553" s="95"/>
      <c r="O553" s="95"/>
      <c r="P553" s="95"/>
      <c r="Q553" s="95"/>
      <c r="R553" s="98"/>
      <c r="S553" s="101"/>
      <c r="T553" s="644"/>
      <c r="U553" s="101"/>
      <c r="V553" s="647"/>
      <c r="W553" s="643"/>
      <c r="X553" s="644"/>
      <c r="Y553" s="101"/>
      <c r="Z553" s="644"/>
      <c r="AA553" s="101"/>
      <c r="AB553" s="644"/>
      <c r="AC553" s="101"/>
      <c r="AD553" s="646"/>
      <c r="AE553" s="271"/>
      <c r="AF553" s="646"/>
      <c r="AG553" s="646"/>
      <c r="AH553" s="646"/>
      <c r="AI553" s="646"/>
      <c r="AJ553" s="646"/>
      <c r="AK553" s="646"/>
      <c r="AL553" s="646"/>
      <c r="AM553" s="271"/>
      <c r="AN553" s="646"/>
      <c r="AO553" s="646"/>
      <c r="AP553" s="646"/>
      <c r="AQ553" s="271"/>
      <c r="AR553" s="646"/>
      <c r="AS553" s="270"/>
      <c r="AT553" s="646"/>
      <c r="AU553" s="646"/>
      <c r="AV553" s="646"/>
      <c r="AW553" s="270"/>
      <c r="AX553" s="646"/>
      <c r="AY553" s="270"/>
      <c r="AZ553" s="646"/>
      <c r="BA553" s="646"/>
      <c r="BB553" s="644"/>
      <c r="BC553" s="644"/>
      <c r="BD553" s="644"/>
      <c r="BE553" s="644"/>
      <c r="BF553" s="644"/>
      <c r="BG553" s="644"/>
      <c r="BH553" s="644"/>
      <c r="BI553" s="644"/>
      <c r="BJ553" s="644"/>
      <c r="BK553" s="644"/>
      <c r="BL553" s="644"/>
      <c r="BM553" s="95"/>
      <c r="BN553" s="644"/>
      <c r="BO553" s="95"/>
      <c r="BP553" s="644"/>
      <c r="BQ553" s="644"/>
      <c r="BR553" s="644"/>
      <c r="BS553" s="644"/>
      <c r="BT553" s="644"/>
      <c r="BU553" s="644"/>
      <c r="BV553" s="644"/>
      <c r="BW553" s="644"/>
      <c r="BX553" s="644"/>
      <c r="BY553" s="644"/>
      <c r="BZ553" s="644"/>
      <c r="CA553" s="644"/>
      <c r="CB553" s="644"/>
      <c r="CC553" s="644"/>
      <c r="CD553" s="644"/>
      <c r="CE553" s="644"/>
      <c r="CF553" s="644"/>
      <c r="CG553" s="644"/>
      <c r="CH553" s="644"/>
      <c r="CI553" s="644"/>
      <c r="CJ553" s="644"/>
      <c r="CK553" s="644"/>
      <c r="CL553" s="644"/>
      <c r="CM553" s="95"/>
      <c r="CN553" s="644"/>
      <c r="CO553" s="644"/>
      <c r="CP553" s="95"/>
      <c r="CQ553" s="98"/>
      <c r="CR553" s="95"/>
      <c r="CS553" s="95"/>
      <c r="CT553" s="95"/>
      <c r="CU553" s="108"/>
      <c r="CV553" s="109"/>
      <c r="CW553" s="644"/>
      <c r="CX553" s="496"/>
      <c r="CY553" s="637"/>
      <c r="CZ553" s="644"/>
      <c r="DA553" s="644"/>
      <c r="DB553" s="644"/>
      <c r="DC553" s="496"/>
      <c r="DD553" s="644"/>
      <c r="DE553" s="101"/>
      <c r="DF553" s="644"/>
      <c r="DG553" s="101"/>
      <c r="DH553" s="644"/>
      <c r="DI553" s="644"/>
      <c r="DJ553" s="644"/>
      <c r="DK553" s="644"/>
      <c r="DL553" s="644"/>
      <c r="DM553" s="101"/>
      <c r="DN553" s="644"/>
      <c r="DO553" s="644"/>
      <c r="DP553" s="644"/>
      <c r="DQ553" s="644"/>
      <c r="DR553" s="644"/>
      <c r="DS553" s="644"/>
      <c r="DT553" s="644"/>
      <c r="DU553" s="644"/>
      <c r="DV553" s="644"/>
      <c r="DW553" s="101"/>
      <c r="DX553" s="646"/>
      <c r="DY553" s="646"/>
      <c r="DZ553" s="646"/>
      <c r="EA553" s="646"/>
      <c r="EB553" s="646"/>
      <c r="EC553" s="646"/>
      <c r="ED553" s="646"/>
      <c r="EE553" s="646"/>
      <c r="EF553" s="646"/>
      <c r="EG553" s="646"/>
      <c r="EH553" s="646"/>
      <c r="EI553" s="646"/>
      <c r="EJ553" s="646"/>
      <c r="EK553" s="271"/>
      <c r="EL553" s="644"/>
      <c r="EM553" s="634"/>
      <c r="EN553" s="647"/>
      <c r="EO553" s="648"/>
      <c r="EP553" s="647"/>
      <c r="EQ553" s="647"/>
      <c r="ER553" s="647"/>
      <c r="ES553" s="139"/>
      <c r="EV553" s="647"/>
      <c r="EW553" s="647"/>
      <c r="EX553" s="647"/>
      <c r="EY553" s="647"/>
      <c r="EZ553" s="647"/>
      <c r="FA553" s="646"/>
      <c r="FB553" s="646"/>
      <c r="FC553" s="646"/>
      <c r="FD553" s="646"/>
      <c r="FE553" s="646"/>
      <c r="FF553" s="646"/>
      <c r="FG553" s="647"/>
      <c r="FH553" s="647"/>
      <c r="FI553" s="647"/>
      <c r="FJ553" s="647"/>
      <c r="FK553" s="647"/>
      <c r="FL553" s="647"/>
      <c r="FM553" s="647"/>
      <c r="FN553" s="647"/>
      <c r="FO553" s="647"/>
      <c r="FP553" s="647"/>
      <c r="FQ553" s="647"/>
      <c r="FR553" s="647"/>
      <c r="FS553" s="101"/>
      <c r="FT553" s="95"/>
      <c r="FU553" s="651"/>
      <c r="FV553" s="101"/>
      <c r="FW553" s="101"/>
      <c r="FX553" s="634"/>
      <c r="FY553" s="634"/>
      <c r="FZ553" s="634"/>
      <c r="GA553" s="634"/>
      <c r="GB553" s="634"/>
      <c r="GC553" s="634"/>
      <c r="GD553" s="634"/>
      <c r="GE553" s="634"/>
      <c r="GF553" s="634"/>
      <c r="GG553" s="634"/>
      <c r="GH553" s="634"/>
      <c r="GI553" s="634"/>
      <c r="GJ553" s="634"/>
      <c r="GK553" s="634"/>
      <c r="GL553" s="101"/>
      <c r="GM553" s="101"/>
      <c r="GN553" s="101"/>
      <c r="GO553" s="643"/>
      <c r="GP553" s="644"/>
      <c r="GQ553" s="643"/>
      <c r="GR553" s="644"/>
      <c r="GS553" s="643"/>
      <c r="GT553" s="644"/>
      <c r="GU553" s="644"/>
      <c r="GV553" s="644"/>
      <c r="GW553" s="644"/>
      <c r="GX553" s="644"/>
      <c r="GY553" s="644"/>
      <c r="GZ553" s="644"/>
      <c r="HA553" s="644"/>
    </row>
    <row r="554" spans="1:209">
      <c r="A554" s="638"/>
      <c r="B554" s="95"/>
      <c r="C554" s="95"/>
      <c r="D554" s="95"/>
      <c r="E554" s="650"/>
      <c r="F554" s="95"/>
      <c r="G554" s="98"/>
      <c r="H554" s="99"/>
      <c r="I554" s="95"/>
      <c r="J554" s="95"/>
      <c r="K554" s="95"/>
      <c r="L554" s="95"/>
      <c r="M554" s="95"/>
      <c r="N554" s="95"/>
      <c r="O554" s="95"/>
      <c r="P554" s="95"/>
      <c r="Q554" s="95"/>
      <c r="R554" s="98"/>
      <c r="S554" s="101"/>
      <c r="T554" s="644"/>
      <c r="U554" s="101"/>
      <c r="V554" s="647"/>
      <c r="W554" s="643"/>
      <c r="X554" s="644"/>
      <c r="Y554" s="101"/>
      <c r="Z554" s="644"/>
      <c r="AA554" s="101"/>
      <c r="AB554" s="644"/>
      <c r="AC554" s="101"/>
      <c r="AD554" s="646"/>
      <c r="AE554" s="271"/>
      <c r="AF554" s="646"/>
      <c r="AG554" s="646"/>
      <c r="AH554" s="646"/>
      <c r="AI554" s="646"/>
      <c r="AJ554" s="646"/>
      <c r="AK554" s="646"/>
      <c r="AL554" s="646"/>
      <c r="AM554" s="271"/>
      <c r="AN554" s="646"/>
      <c r="AO554" s="646"/>
      <c r="AP554" s="646"/>
      <c r="AQ554" s="271"/>
      <c r="AR554" s="646"/>
      <c r="AS554" s="270"/>
      <c r="AT554" s="646"/>
      <c r="AU554" s="646"/>
      <c r="AV554" s="646"/>
      <c r="AW554" s="270"/>
      <c r="AX554" s="646"/>
      <c r="AY554" s="270"/>
      <c r="AZ554" s="646"/>
      <c r="BA554" s="646"/>
      <c r="BB554" s="644"/>
      <c r="BC554" s="644"/>
      <c r="BD554" s="644"/>
      <c r="BE554" s="644"/>
      <c r="BF554" s="644"/>
      <c r="BG554" s="644"/>
      <c r="BH554" s="644"/>
      <c r="BI554" s="644"/>
      <c r="BJ554" s="644"/>
      <c r="BK554" s="644"/>
      <c r="BL554" s="644"/>
      <c r="BM554" s="95"/>
      <c r="BN554" s="644"/>
      <c r="BO554" s="95"/>
      <c r="BP554" s="644"/>
      <c r="BQ554" s="644"/>
      <c r="BR554" s="644"/>
      <c r="BS554" s="644"/>
      <c r="BT554" s="644"/>
      <c r="BU554" s="644"/>
      <c r="BV554" s="644"/>
      <c r="BW554" s="644"/>
      <c r="BX554" s="644"/>
      <c r="BY554" s="644"/>
      <c r="BZ554" s="644"/>
      <c r="CA554" s="644"/>
      <c r="CB554" s="644"/>
      <c r="CC554" s="644"/>
      <c r="CD554" s="644"/>
      <c r="CE554" s="644"/>
      <c r="CF554" s="644"/>
      <c r="CG554" s="644"/>
      <c r="CH554" s="644"/>
      <c r="CI554" s="644"/>
      <c r="CJ554" s="644"/>
      <c r="CK554" s="644"/>
      <c r="CL554" s="644"/>
      <c r="CM554" s="95"/>
      <c r="CN554" s="644"/>
      <c r="CO554" s="644"/>
      <c r="CP554" s="95"/>
      <c r="CQ554" s="98"/>
      <c r="CR554" s="95"/>
      <c r="CS554" s="95"/>
      <c r="CT554" s="95"/>
      <c r="CU554" s="108"/>
      <c r="CV554" s="109"/>
      <c r="CW554" s="644"/>
      <c r="CX554" s="496"/>
      <c r="CY554" s="637"/>
      <c r="CZ554" s="644"/>
      <c r="DA554" s="644"/>
      <c r="DB554" s="644"/>
      <c r="DC554" s="496"/>
      <c r="DD554" s="644"/>
      <c r="DE554" s="101"/>
      <c r="DF554" s="644"/>
      <c r="DG554" s="101"/>
      <c r="DH554" s="644"/>
      <c r="DI554" s="644"/>
      <c r="DJ554" s="644"/>
      <c r="DK554" s="644"/>
      <c r="DL554" s="644"/>
      <c r="DM554" s="101"/>
      <c r="DN554" s="644"/>
      <c r="DO554" s="644"/>
      <c r="DP554" s="644"/>
      <c r="DQ554" s="644"/>
      <c r="DR554" s="644"/>
      <c r="DS554" s="644"/>
      <c r="DT554" s="644"/>
      <c r="DU554" s="644"/>
      <c r="DV554" s="644"/>
      <c r="DW554" s="101"/>
      <c r="DX554" s="646"/>
      <c r="DY554" s="646"/>
      <c r="DZ554" s="646"/>
      <c r="EA554" s="646"/>
      <c r="EB554" s="646"/>
      <c r="EC554" s="646"/>
      <c r="ED554" s="646"/>
      <c r="EE554" s="646"/>
      <c r="EF554" s="646"/>
      <c r="EG554" s="646"/>
      <c r="EH554" s="646"/>
      <c r="EI554" s="646"/>
      <c r="EJ554" s="646"/>
      <c r="EK554" s="271"/>
      <c r="EL554" s="644"/>
      <c r="EM554" s="634"/>
      <c r="EN554" s="647"/>
      <c r="EO554" s="648"/>
      <c r="EP554" s="647"/>
      <c r="EQ554" s="647"/>
      <c r="ER554" s="647"/>
      <c r="ES554" s="139"/>
      <c r="EV554" s="647"/>
      <c r="EW554" s="647"/>
      <c r="EX554" s="647"/>
      <c r="EY554" s="647"/>
      <c r="EZ554" s="647"/>
      <c r="FA554" s="646"/>
      <c r="FB554" s="646"/>
      <c r="FC554" s="646"/>
      <c r="FD554" s="646"/>
      <c r="FE554" s="646"/>
      <c r="FF554" s="646"/>
      <c r="FG554" s="647"/>
      <c r="FH554" s="647"/>
      <c r="FI554" s="647"/>
      <c r="FJ554" s="647"/>
      <c r="FK554" s="647"/>
      <c r="FL554" s="647"/>
      <c r="FM554" s="647"/>
      <c r="FN554" s="647"/>
      <c r="FO554" s="647"/>
      <c r="FP554" s="647"/>
      <c r="FQ554" s="647"/>
      <c r="FR554" s="647"/>
      <c r="FS554" s="101"/>
      <c r="FT554" s="95"/>
      <c r="FU554" s="651"/>
      <c r="FV554" s="101"/>
      <c r="FW554" s="101"/>
      <c r="FX554" s="634"/>
      <c r="FY554" s="634"/>
      <c r="FZ554" s="634"/>
      <c r="GA554" s="634"/>
      <c r="GB554" s="634"/>
      <c r="GC554" s="634"/>
      <c r="GD554" s="634"/>
      <c r="GE554" s="634"/>
      <c r="GF554" s="634"/>
      <c r="GG554" s="634"/>
      <c r="GH554" s="634"/>
      <c r="GI554" s="634"/>
      <c r="GJ554" s="634"/>
      <c r="GK554" s="634"/>
      <c r="GL554" s="101"/>
      <c r="GM554" s="101"/>
      <c r="GN554" s="101"/>
      <c r="GO554" s="643"/>
      <c r="GP554" s="644"/>
      <c r="GQ554" s="643"/>
      <c r="GR554" s="644"/>
      <c r="GS554" s="643"/>
      <c r="GT554" s="644"/>
      <c r="GU554" s="644"/>
      <c r="GV554" s="644"/>
      <c r="GW554" s="644"/>
      <c r="GX554" s="644"/>
      <c r="GY554" s="644"/>
      <c r="GZ554" s="644"/>
      <c r="HA554" s="644"/>
    </row>
    <row r="555" spans="1:209">
      <c r="A555" s="638"/>
      <c r="B555" s="95"/>
      <c r="C555" s="95"/>
      <c r="D555" s="95"/>
      <c r="E555" s="650"/>
      <c r="F555" s="95"/>
      <c r="G555" s="98"/>
      <c r="H555" s="99"/>
      <c r="I555" s="95"/>
      <c r="J555" s="95"/>
      <c r="K555" s="95"/>
      <c r="L555" s="95"/>
      <c r="M555" s="95"/>
      <c r="N555" s="95"/>
      <c r="O555" s="95"/>
      <c r="P555" s="95"/>
      <c r="Q555" s="95"/>
      <c r="R555" s="98"/>
      <c r="S555" s="101"/>
      <c r="T555" s="644"/>
      <c r="U555" s="101"/>
      <c r="V555" s="647"/>
      <c r="W555" s="643"/>
      <c r="X555" s="644"/>
      <c r="Y555" s="101"/>
      <c r="Z555" s="644"/>
      <c r="AA555" s="101"/>
      <c r="AB555" s="644"/>
      <c r="AC555" s="101"/>
      <c r="AD555" s="646"/>
      <c r="AE555" s="271"/>
      <c r="AF555" s="646"/>
      <c r="AG555" s="646"/>
      <c r="AH555" s="646"/>
      <c r="AI555" s="646"/>
      <c r="AJ555" s="646"/>
      <c r="AK555" s="646"/>
      <c r="AL555" s="646"/>
      <c r="AM555" s="271"/>
      <c r="AN555" s="646"/>
      <c r="AO555" s="646"/>
      <c r="AP555" s="646"/>
      <c r="AQ555" s="271"/>
      <c r="AR555" s="646"/>
      <c r="AS555" s="270"/>
      <c r="AT555" s="646"/>
      <c r="AU555" s="646"/>
      <c r="AV555" s="646"/>
      <c r="AW555" s="270"/>
      <c r="AX555" s="646"/>
      <c r="AY555" s="270"/>
      <c r="AZ555" s="646"/>
      <c r="BA555" s="646"/>
      <c r="BB555" s="644"/>
      <c r="BC555" s="644"/>
      <c r="BD555" s="644"/>
      <c r="BE555" s="644"/>
      <c r="BF555" s="644"/>
      <c r="BG555" s="644"/>
      <c r="BH555" s="644"/>
      <c r="BI555" s="644"/>
      <c r="BJ555" s="644"/>
      <c r="BK555" s="644"/>
      <c r="BL555" s="644"/>
      <c r="BM555" s="95"/>
      <c r="BN555" s="644"/>
      <c r="BO555" s="95"/>
      <c r="BP555" s="644"/>
      <c r="BQ555" s="644"/>
      <c r="BR555" s="644"/>
      <c r="BS555" s="644"/>
      <c r="BT555" s="644"/>
      <c r="BU555" s="644"/>
      <c r="BV555" s="644"/>
      <c r="BW555" s="644"/>
      <c r="BX555" s="644"/>
      <c r="BY555" s="644"/>
      <c r="BZ555" s="644"/>
      <c r="CA555" s="644"/>
      <c r="CB555" s="644"/>
      <c r="CC555" s="644"/>
      <c r="CD555" s="644"/>
      <c r="CE555" s="644"/>
      <c r="CF555" s="644"/>
      <c r="CG555" s="644"/>
      <c r="CH555" s="644"/>
      <c r="CI555" s="644"/>
      <c r="CJ555" s="644"/>
      <c r="CK555" s="644"/>
      <c r="CL555" s="644"/>
      <c r="CM555" s="95"/>
      <c r="CN555" s="644"/>
      <c r="CO555" s="644"/>
      <c r="CP555" s="95"/>
      <c r="CQ555" s="98"/>
      <c r="CR555" s="95"/>
      <c r="CS555" s="95"/>
      <c r="CT555" s="95"/>
      <c r="CU555" s="108"/>
      <c r="CV555" s="109"/>
      <c r="CW555" s="644"/>
      <c r="CX555" s="496"/>
      <c r="CY555" s="637"/>
      <c r="CZ555" s="644"/>
      <c r="DA555" s="644"/>
      <c r="DB555" s="644"/>
      <c r="DC555" s="496"/>
      <c r="DD555" s="644"/>
      <c r="DE555" s="101"/>
      <c r="DF555" s="644"/>
      <c r="DG555" s="101"/>
      <c r="DH555" s="644"/>
      <c r="DI555" s="644"/>
      <c r="DJ555" s="644"/>
      <c r="DK555" s="644"/>
      <c r="DL555" s="644"/>
      <c r="DM555" s="101"/>
      <c r="DN555" s="644"/>
      <c r="DO555" s="644"/>
      <c r="DP555" s="644"/>
      <c r="DQ555" s="644"/>
      <c r="DR555" s="644"/>
      <c r="DS555" s="644"/>
      <c r="DT555" s="644"/>
      <c r="DU555" s="644"/>
      <c r="DV555" s="644"/>
      <c r="DW555" s="101"/>
      <c r="DX555" s="646"/>
      <c r="DY555" s="646"/>
      <c r="DZ555" s="646"/>
      <c r="EA555" s="646"/>
      <c r="EB555" s="646"/>
      <c r="EC555" s="646"/>
      <c r="ED555" s="646"/>
      <c r="EE555" s="646"/>
      <c r="EF555" s="646"/>
      <c r="EG555" s="646"/>
      <c r="EH555" s="646"/>
      <c r="EI555" s="646"/>
      <c r="EJ555" s="646"/>
      <c r="EK555" s="271"/>
      <c r="EL555" s="644"/>
      <c r="EM555" s="634"/>
      <c r="EN555" s="647"/>
      <c r="EO555" s="648"/>
      <c r="EP555" s="647"/>
      <c r="EQ555" s="647"/>
      <c r="ER555" s="647"/>
      <c r="ES555" s="139"/>
      <c r="EV555" s="647"/>
      <c r="EW555" s="647"/>
      <c r="EX555" s="647"/>
      <c r="EY555" s="647"/>
      <c r="EZ555" s="647"/>
      <c r="FA555" s="646"/>
      <c r="FB555" s="646"/>
      <c r="FC555" s="646"/>
      <c r="FD555" s="646"/>
      <c r="FE555" s="646"/>
      <c r="FF555" s="646"/>
      <c r="FG555" s="647"/>
      <c r="FH555" s="647"/>
      <c r="FI555" s="647"/>
      <c r="FJ555" s="647"/>
      <c r="FK555" s="647"/>
      <c r="FL555" s="647"/>
      <c r="FM555" s="647"/>
      <c r="FN555" s="647"/>
      <c r="FO555" s="647"/>
      <c r="FP555" s="647"/>
      <c r="FQ555" s="647"/>
      <c r="FR555" s="647"/>
      <c r="FS555" s="101"/>
      <c r="FT555" s="95"/>
      <c r="FU555" s="651"/>
      <c r="FV555" s="101"/>
      <c r="FW555" s="101"/>
      <c r="FX555" s="634"/>
      <c r="FY555" s="634"/>
      <c r="FZ555" s="634"/>
      <c r="GA555" s="634"/>
      <c r="GB555" s="634"/>
      <c r="GC555" s="634"/>
      <c r="GD555" s="634"/>
      <c r="GE555" s="634"/>
      <c r="GF555" s="634"/>
      <c r="GG555" s="634"/>
      <c r="GH555" s="634"/>
      <c r="GI555" s="634"/>
      <c r="GJ555" s="634"/>
      <c r="GK555" s="634"/>
      <c r="GL555" s="101"/>
      <c r="GM555" s="101"/>
      <c r="GN555" s="101"/>
      <c r="GO555" s="643"/>
      <c r="GP555" s="644"/>
      <c r="GQ555" s="643"/>
      <c r="GR555" s="644"/>
      <c r="GS555" s="643"/>
      <c r="GT555" s="644"/>
      <c r="GU555" s="644"/>
      <c r="GV555" s="644"/>
      <c r="GW555" s="644"/>
      <c r="GX555" s="644"/>
      <c r="GY555" s="644"/>
      <c r="GZ555" s="644"/>
      <c r="HA555" s="644"/>
    </row>
    <row r="556" spans="1:209">
      <c r="A556" s="638"/>
      <c r="B556" s="95"/>
      <c r="C556" s="95"/>
      <c r="D556" s="95"/>
      <c r="E556" s="650"/>
      <c r="F556" s="95"/>
      <c r="G556" s="98"/>
      <c r="H556" s="99"/>
      <c r="I556" s="95"/>
      <c r="J556" s="95"/>
      <c r="K556" s="95"/>
      <c r="L556" s="95"/>
      <c r="M556" s="95"/>
      <c r="N556" s="95"/>
      <c r="O556" s="95"/>
      <c r="P556" s="95"/>
      <c r="Q556" s="95"/>
      <c r="R556" s="98"/>
      <c r="S556" s="101"/>
      <c r="T556" s="644"/>
      <c r="U556" s="101"/>
      <c r="V556" s="647"/>
      <c r="W556" s="643"/>
      <c r="X556" s="644"/>
      <c r="Y556" s="101"/>
      <c r="Z556" s="644"/>
      <c r="AA556" s="101"/>
      <c r="AB556" s="644"/>
      <c r="AC556" s="101"/>
      <c r="AD556" s="646"/>
      <c r="AE556" s="271"/>
      <c r="AF556" s="646"/>
      <c r="AG556" s="646"/>
      <c r="AH556" s="646"/>
      <c r="AI556" s="646"/>
      <c r="AJ556" s="646"/>
      <c r="AK556" s="646"/>
      <c r="AL556" s="646"/>
      <c r="AM556" s="271"/>
      <c r="AN556" s="646"/>
      <c r="AO556" s="646"/>
      <c r="AP556" s="646"/>
      <c r="AQ556" s="271"/>
      <c r="AR556" s="646"/>
      <c r="AS556" s="270"/>
      <c r="AT556" s="646"/>
      <c r="AU556" s="646"/>
      <c r="AV556" s="646"/>
      <c r="AW556" s="270"/>
      <c r="AX556" s="646"/>
      <c r="AY556" s="270"/>
      <c r="AZ556" s="646"/>
      <c r="BA556" s="646"/>
      <c r="BB556" s="644"/>
      <c r="BC556" s="644"/>
      <c r="BD556" s="644"/>
      <c r="BE556" s="644"/>
      <c r="BF556" s="644"/>
      <c r="BG556" s="644"/>
      <c r="BH556" s="644"/>
      <c r="BI556" s="644"/>
      <c r="BJ556" s="644"/>
      <c r="BK556" s="644"/>
      <c r="BL556" s="644"/>
      <c r="BM556" s="95"/>
      <c r="BN556" s="644"/>
      <c r="BO556" s="95"/>
      <c r="BP556" s="644"/>
      <c r="BQ556" s="644"/>
      <c r="BR556" s="644"/>
      <c r="BS556" s="644"/>
      <c r="BT556" s="644"/>
      <c r="BU556" s="644"/>
      <c r="BV556" s="644"/>
      <c r="BW556" s="644"/>
      <c r="BX556" s="644"/>
      <c r="BY556" s="644"/>
      <c r="BZ556" s="644"/>
      <c r="CA556" s="644"/>
      <c r="CB556" s="644"/>
      <c r="CC556" s="644"/>
      <c r="CD556" s="644"/>
      <c r="CE556" s="644"/>
      <c r="CF556" s="644"/>
      <c r="CG556" s="644"/>
      <c r="CH556" s="644"/>
      <c r="CI556" s="644"/>
      <c r="CJ556" s="644"/>
      <c r="CK556" s="644"/>
      <c r="CL556" s="644"/>
      <c r="CM556" s="95"/>
      <c r="CN556" s="644"/>
      <c r="CO556" s="644"/>
      <c r="CP556" s="95"/>
      <c r="CQ556" s="98"/>
      <c r="CR556" s="95"/>
      <c r="CS556" s="95"/>
      <c r="CT556" s="95"/>
      <c r="CU556" s="108"/>
      <c r="CV556" s="109"/>
      <c r="CW556" s="644"/>
      <c r="CX556" s="496"/>
      <c r="CY556" s="637"/>
      <c r="CZ556" s="644"/>
      <c r="DA556" s="644"/>
      <c r="DB556" s="644"/>
      <c r="DC556" s="496"/>
      <c r="DD556" s="644"/>
      <c r="DE556" s="101"/>
      <c r="DF556" s="644"/>
      <c r="DG556" s="101"/>
      <c r="DH556" s="644"/>
      <c r="DI556" s="644"/>
      <c r="DJ556" s="644"/>
      <c r="DK556" s="644"/>
      <c r="DL556" s="644"/>
      <c r="DM556" s="101"/>
      <c r="DN556" s="644"/>
      <c r="DO556" s="644"/>
      <c r="DP556" s="644"/>
      <c r="DQ556" s="644"/>
      <c r="DR556" s="644"/>
      <c r="DS556" s="644"/>
      <c r="DT556" s="644"/>
      <c r="DU556" s="644"/>
      <c r="DV556" s="644"/>
      <c r="DW556" s="101"/>
      <c r="DX556" s="646"/>
      <c r="DY556" s="646"/>
      <c r="DZ556" s="646"/>
      <c r="EA556" s="646"/>
      <c r="EB556" s="646"/>
      <c r="EC556" s="646"/>
      <c r="ED556" s="646"/>
      <c r="EE556" s="646"/>
      <c r="EF556" s="646"/>
      <c r="EG556" s="646"/>
      <c r="EH556" s="646"/>
      <c r="EI556" s="646"/>
      <c r="EJ556" s="646"/>
      <c r="EK556" s="271"/>
      <c r="EL556" s="644"/>
      <c r="EM556" s="634"/>
      <c r="EN556" s="647"/>
      <c r="EO556" s="648"/>
      <c r="EP556" s="647"/>
      <c r="EQ556" s="647"/>
      <c r="ER556" s="647"/>
      <c r="ES556" s="139"/>
      <c r="EV556" s="647"/>
      <c r="EW556" s="647"/>
      <c r="EX556" s="647"/>
      <c r="EY556" s="647"/>
      <c r="EZ556" s="647"/>
      <c r="FA556" s="646"/>
      <c r="FB556" s="646"/>
      <c r="FC556" s="646"/>
      <c r="FD556" s="646"/>
      <c r="FE556" s="646"/>
      <c r="FF556" s="646"/>
      <c r="FG556" s="647"/>
      <c r="FH556" s="647"/>
      <c r="FI556" s="647"/>
      <c r="FJ556" s="647"/>
      <c r="FK556" s="647"/>
      <c r="FL556" s="647"/>
      <c r="FM556" s="647"/>
      <c r="FN556" s="647"/>
      <c r="FO556" s="647"/>
      <c r="FP556" s="647"/>
      <c r="FQ556" s="647"/>
      <c r="FR556" s="647"/>
      <c r="FS556" s="101"/>
      <c r="FT556" s="95"/>
      <c r="FU556" s="651"/>
      <c r="FV556" s="101"/>
      <c r="FW556" s="101"/>
      <c r="FX556" s="634"/>
      <c r="FY556" s="634"/>
      <c r="FZ556" s="634"/>
      <c r="GA556" s="634"/>
      <c r="GB556" s="634"/>
      <c r="GC556" s="634"/>
      <c r="GD556" s="634"/>
      <c r="GE556" s="634"/>
      <c r="GF556" s="634"/>
      <c r="GG556" s="634"/>
      <c r="GH556" s="634"/>
      <c r="GI556" s="634"/>
      <c r="GJ556" s="634"/>
      <c r="GK556" s="634"/>
      <c r="GL556" s="101"/>
      <c r="GM556" s="101"/>
      <c r="GN556" s="101"/>
      <c r="GO556" s="643"/>
      <c r="GP556" s="644"/>
      <c r="GQ556" s="643"/>
      <c r="GR556" s="644"/>
      <c r="GS556" s="643"/>
      <c r="GT556" s="644"/>
      <c r="GU556" s="644"/>
      <c r="GV556" s="644"/>
      <c r="GW556" s="644"/>
      <c r="GX556" s="644"/>
      <c r="GY556" s="644"/>
      <c r="GZ556" s="644"/>
      <c r="HA556" s="644"/>
    </row>
    <row r="557" spans="1:209">
      <c r="A557" s="638"/>
      <c r="B557" s="95"/>
      <c r="C557" s="95"/>
      <c r="D557" s="95"/>
      <c r="E557" s="650"/>
      <c r="F557" s="95"/>
      <c r="G557" s="98"/>
      <c r="H557" s="99"/>
      <c r="I557" s="95"/>
      <c r="J557" s="95"/>
      <c r="K557" s="95"/>
      <c r="L557" s="95"/>
      <c r="M557" s="95"/>
      <c r="N557" s="95"/>
      <c r="O557" s="95"/>
      <c r="P557" s="95"/>
      <c r="Q557" s="95"/>
      <c r="R557" s="98"/>
      <c r="S557" s="101"/>
      <c r="T557" s="644"/>
      <c r="U557" s="101"/>
      <c r="V557" s="647"/>
      <c r="W557" s="643"/>
      <c r="X557" s="644"/>
      <c r="Y557" s="101"/>
      <c r="Z557" s="644"/>
      <c r="AA557" s="101"/>
      <c r="AB557" s="644"/>
      <c r="AC557" s="101"/>
      <c r="AD557" s="646"/>
      <c r="AE557" s="271"/>
      <c r="AF557" s="646"/>
      <c r="AG557" s="646"/>
      <c r="AH557" s="646"/>
      <c r="AI557" s="646"/>
      <c r="AJ557" s="646"/>
      <c r="AK557" s="646"/>
      <c r="AL557" s="646"/>
      <c r="AM557" s="271"/>
      <c r="AN557" s="646"/>
      <c r="AO557" s="646"/>
      <c r="AP557" s="646"/>
      <c r="AQ557" s="271"/>
      <c r="AR557" s="646"/>
      <c r="AS557" s="270"/>
      <c r="AT557" s="646"/>
      <c r="AU557" s="646"/>
      <c r="AV557" s="646"/>
      <c r="AW557" s="270"/>
      <c r="AX557" s="646"/>
      <c r="AY557" s="270"/>
      <c r="AZ557" s="646"/>
      <c r="BA557" s="646"/>
      <c r="BB557" s="644"/>
      <c r="BC557" s="644"/>
      <c r="BD557" s="644"/>
      <c r="BE557" s="644"/>
      <c r="BF557" s="644"/>
      <c r="BG557" s="644"/>
      <c r="BH557" s="644"/>
      <c r="BI557" s="644"/>
      <c r="BJ557" s="644"/>
      <c r="BK557" s="644"/>
      <c r="BL557" s="644"/>
      <c r="BM557" s="95"/>
      <c r="BN557" s="644"/>
      <c r="BO557" s="95"/>
      <c r="BP557" s="644"/>
      <c r="BQ557" s="644"/>
      <c r="BR557" s="644"/>
      <c r="BS557" s="644"/>
      <c r="BT557" s="644"/>
      <c r="BU557" s="644"/>
      <c r="BV557" s="644"/>
      <c r="BW557" s="644"/>
      <c r="BX557" s="644"/>
      <c r="BY557" s="644"/>
      <c r="BZ557" s="644"/>
      <c r="CA557" s="644"/>
      <c r="CB557" s="644"/>
      <c r="CC557" s="644"/>
      <c r="CD557" s="644"/>
      <c r="CE557" s="644"/>
      <c r="CF557" s="644"/>
      <c r="CG557" s="644"/>
      <c r="CH557" s="644"/>
      <c r="CI557" s="644"/>
      <c r="CJ557" s="644"/>
      <c r="CK557" s="644"/>
      <c r="CL557" s="644"/>
      <c r="CM557" s="95"/>
      <c r="CN557" s="644"/>
      <c r="CO557" s="644"/>
      <c r="CP557" s="95"/>
      <c r="CQ557" s="98"/>
      <c r="CR557" s="95"/>
      <c r="CS557" s="95"/>
      <c r="CT557" s="95"/>
      <c r="CU557" s="108"/>
      <c r="CV557" s="109"/>
      <c r="CW557" s="644"/>
      <c r="CX557" s="496"/>
      <c r="CY557" s="637"/>
      <c r="CZ557" s="644"/>
      <c r="DA557" s="644"/>
      <c r="DB557" s="644"/>
      <c r="DC557" s="496"/>
      <c r="DD557" s="644"/>
      <c r="DE557" s="101"/>
      <c r="DF557" s="644"/>
      <c r="DG557" s="101"/>
      <c r="DH557" s="644"/>
      <c r="DI557" s="644"/>
      <c r="DJ557" s="644"/>
      <c r="DK557" s="644"/>
      <c r="DL557" s="644"/>
      <c r="DM557" s="101"/>
      <c r="DN557" s="644"/>
      <c r="DO557" s="644"/>
      <c r="DP557" s="644"/>
      <c r="DQ557" s="644"/>
      <c r="DR557" s="644"/>
      <c r="DS557" s="644"/>
      <c r="DT557" s="644"/>
      <c r="DU557" s="644"/>
      <c r="DV557" s="644"/>
      <c r="DW557" s="101"/>
      <c r="DX557" s="646"/>
      <c r="DY557" s="646"/>
      <c r="DZ557" s="646"/>
      <c r="EA557" s="646"/>
      <c r="EB557" s="646"/>
      <c r="EC557" s="646"/>
      <c r="ED557" s="646"/>
      <c r="EE557" s="646"/>
      <c r="EF557" s="646"/>
      <c r="EG557" s="646"/>
      <c r="EH557" s="646"/>
      <c r="EI557" s="646"/>
      <c r="EJ557" s="646"/>
      <c r="EK557" s="271"/>
      <c r="EL557" s="644"/>
      <c r="EM557" s="634"/>
      <c r="EN557" s="647"/>
      <c r="EO557" s="648"/>
      <c r="EP557" s="647"/>
      <c r="EQ557" s="647"/>
      <c r="ER557" s="647"/>
      <c r="ES557" s="139"/>
      <c r="EV557" s="647"/>
      <c r="EW557" s="647"/>
      <c r="EX557" s="647"/>
      <c r="EY557" s="647"/>
      <c r="EZ557" s="647"/>
      <c r="FA557" s="646"/>
      <c r="FB557" s="646"/>
      <c r="FC557" s="646"/>
      <c r="FD557" s="646"/>
      <c r="FE557" s="646"/>
      <c r="FF557" s="646"/>
      <c r="FG557" s="647"/>
      <c r="FH557" s="647"/>
      <c r="FI557" s="647"/>
      <c r="FJ557" s="647"/>
      <c r="FK557" s="647"/>
      <c r="FL557" s="647"/>
      <c r="FM557" s="647"/>
      <c r="FN557" s="647"/>
      <c r="FO557" s="647"/>
      <c r="FP557" s="647"/>
      <c r="FQ557" s="647"/>
      <c r="FR557" s="647"/>
      <c r="FS557" s="101"/>
      <c r="FT557" s="95"/>
      <c r="FU557" s="651"/>
      <c r="FV557" s="101"/>
      <c r="FW557" s="101"/>
      <c r="FX557" s="634"/>
      <c r="FY557" s="634"/>
      <c r="FZ557" s="634"/>
      <c r="GA557" s="634"/>
      <c r="GB557" s="634"/>
      <c r="GC557" s="634"/>
      <c r="GD557" s="634"/>
      <c r="GE557" s="634"/>
      <c r="GF557" s="634"/>
      <c r="GG557" s="634"/>
      <c r="GH557" s="634"/>
      <c r="GI557" s="634"/>
      <c r="GJ557" s="634"/>
      <c r="GK557" s="634"/>
      <c r="GL557" s="101"/>
      <c r="GM557" s="101"/>
      <c r="GN557" s="101"/>
      <c r="GO557" s="643"/>
      <c r="GP557" s="644"/>
      <c r="GQ557" s="643"/>
      <c r="GR557" s="644"/>
      <c r="GS557" s="643"/>
      <c r="GT557" s="644"/>
      <c r="GU557" s="644"/>
      <c r="GV557" s="644"/>
      <c r="GW557" s="644"/>
      <c r="GX557" s="644"/>
      <c r="GY557" s="644"/>
      <c r="GZ557" s="644"/>
      <c r="HA557" s="644"/>
    </row>
    <row r="558" spans="1:209">
      <c r="A558" s="638"/>
      <c r="B558" s="95"/>
      <c r="C558" s="95"/>
      <c r="D558" s="95"/>
      <c r="E558" s="650"/>
      <c r="F558" s="95"/>
      <c r="G558" s="98"/>
      <c r="H558" s="99"/>
      <c r="I558" s="95"/>
      <c r="J558" s="95"/>
      <c r="K558" s="95"/>
      <c r="L558" s="95"/>
      <c r="M558" s="95"/>
      <c r="N558" s="95"/>
      <c r="O558" s="95"/>
      <c r="P558" s="95"/>
      <c r="Q558" s="95"/>
      <c r="R558" s="98"/>
      <c r="S558" s="101"/>
      <c r="T558" s="644"/>
      <c r="U558" s="101"/>
      <c r="V558" s="647"/>
      <c r="W558" s="643"/>
      <c r="X558" s="644"/>
      <c r="Y558" s="101"/>
      <c r="Z558" s="644"/>
      <c r="AA558" s="101"/>
      <c r="AB558" s="644"/>
      <c r="AC558" s="101"/>
      <c r="AD558" s="646"/>
      <c r="AE558" s="271"/>
      <c r="AF558" s="646"/>
      <c r="AG558" s="646"/>
      <c r="AH558" s="646"/>
      <c r="AI558" s="646"/>
      <c r="AJ558" s="646"/>
      <c r="AK558" s="646"/>
      <c r="AL558" s="646"/>
      <c r="AM558" s="271"/>
      <c r="AN558" s="646"/>
      <c r="AO558" s="646"/>
      <c r="AP558" s="646"/>
      <c r="AQ558" s="271"/>
      <c r="AR558" s="646"/>
      <c r="AS558" s="270"/>
      <c r="AT558" s="646"/>
      <c r="AU558" s="646"/>
      <c r="AV558" s="646"/>
      <c r="AW558" s="270"/>
      <c r="AX558" s="646"/>
      <c r="AY558" s="270"/>
      <c r="AZ558" s="646"/>
      <c r="BA558" s="646"/>
      <c r="BB558" s="644"/>
      <c r="BC558" s="644"/>
      <c r="BD558" s="644"/>
      <c r="BE558" s="644"/>
      <c r="BF558" s="644"/>
      <c r="BG558" s="644"/>
      <c r="BH558" s="644"/>
      <c r="BI558" s="644"/>
      <c r="BJ558" s="644"/>
      <c r="BK558" s="644"/>
      <c r="BL558" s="644"/>
      <c r="BM558" s="95"/>
      <c r="BN558" s="644"/>
      <c r="BO558" s="95"/>
      <c r="BP558" s="644"/>
      <c r="BQ558" s="644"/>
      <c r="BR558" s="644"/>
      <c r="BS558" s="644"/>
      <c r="BT558" s="644"/>
      <c r="BU558" s="644"/>
      <c r="BV558" s="644"/>
      <c r="BW558" s="644"/>
      <c r="BX558" s="644"/>
      <c r="BY558" s="644"/>
      <c r="BZ558" s="644"/>
      <c r="CA558" s="644"/>
      <c r="CB558" s="644"/>
      <c r="CC558" s="644"/>
      <c r="CD558" s="644"/>
      <c r="CE558" s="644"/>
      <c r="CF558" s="644"/>
      <c r="CG558" s="644"/>
      <c r="CH558" s="644"/>
      <c r="CI558" s="644"/>
      <c r="CJ558" s="644"/>
      <c r="CK558" s="644"/>
      <c r="CL558" s="644"/>
      <c r="CM558" s="95"/>
      <c r="CN558" s="644"/>
      <c r="CO558" s="644"/>
      <c r="CP558" s="95"/>
      <c r="CQ558" s="98"/>
      <c r="CR558" s="95"/>
      <c r="CS558" s="95"/>
      <c r="CT558" s="95"/>
      <c r="CU558" s="108"/>
      <c r="CV558" s="109"/>
      <c r="CW558" s="644"/>
      <c r="CX558" s="496"/>
      <c r="CY558" s="637"/>
      <c r="CZ558" s="644"/>
      <c r="DA558" s="644"/>
      <c r="DB558" s="644"/>
      <c r="DC558" s="496"/>
      <c r="DD558" s="644"/>
      <c r="DE558" s="101"/>
      <c r="DF558" s="644"/>
      <c r="DG558" s="101"/>
      <c r="DH558" s="644"/>
      <c r="DI558" s="644"/>
      <c r="DJ558" s="644"/>
      <c r="DK558" s="644"/>
      <c r="DL558" s="644"/>
      <c r="DM558" s="101"/>
      <c r="DN558" s="644"/>
      <c r="DO558" s="644"/>
      <c r="DP558" s="644"/>
      <c r="DQ558" s="644"/>
      <c r="DR558" s="644"/>
      <c r="DS558" s="644"/>
      <c r="DT558" s="644"/>
      <c r="DU558" s="644"/>
      <c r="DV558" s="644"/>
      <c r="DW558" s="101"/>
      <c r="DX558" s="646"/>
      <c r="DY558" s="646"/>
      <c r="DZ558" s="646"/>
      <c r="EA558" s="646"/>
      <c r="EB558" s="646"/>
      <c r="EC558" s="646"/>
      <c r="ED558" s="646"/>
      <c r="EE558" s="646"/>
      <c r="EF558" s="646"/>
      <c r="EG558" s="646"/>
      <c r="EH558" s="646"/>
      <c r="EI558" s="646"/>
      <c r="EJ558" s="646"/>
      <c r="EK558" s="271"/>
      <c r="EL558" s="644"/>
      <c r="EM558" s="634"/>
      <c r="EN558" s="647"/>
      <c r="EO558" s="648"/>
      <c r="EP558" s="647"/>
      <c r="EQ558" s="647"/>
      <c r="ER558" s="647"/>
      <c r="ES558" s="139"/>
      <c r="EV558" s="647"/>
      <c r="EW558" s="647"/>
      <c r="EX558" s="647"/>
      <c r="EY558" s="647"/>
      <c r="EZ558" s="647"/>
      <c r="FA558" s="646"/>
      <c r="FB558" s="646"/>
      <c r="FC558" s="646"/>
      <c r="FD558" s="646"/>
      <c r="FE558" s="646"/>
      <c r="FF558" s="646"/>
      <c r="FG558" s="647"/>
      <c r="FH558" s="647"/>
      <c r="FI558" s="647"/>
      <c r="FJ558" s="647"/>
      <c r="FK558" s="647"/>
      <c r="FL558" s="647"/>
      <c r="FM558" s="647"/>
      <c r="FN558" s="647"/>
      <c r="FO558" s="647"/>
      <c r="FP558" s="647"/>
      <c r="FQ558" s="647"/>
      <c r="FR558" s="647"/>
      <c r="FS558" s="101"/>
      <c r="FT558" s="95"/>
      <c r="FU558" s="651"/>
      <c r="FV558" s="101"/>
      <c r="FW558" s="101"/>
      <c r="FX558" s="634"/>
      <c r="FY558" s="634"/>
      <c r="FZ558" s="634"/>
      <c r="GA558" s="634"/>
      <c r="GB558" s="634"/>
      <c r="GC558" s="634"/>
      <c r="GD558" s="634"/>
      <c r="GE558" s="634"/>
      <c r="GF558" s="634"/>
      <c r="GG558" s="634"/>
      <c r="GH558" s="634"/>
      <c r="GI558" s="634"/>
      <c r="GJ558" s="634"/>
      <c r="GK558" s="634"/>
      <c r="GL558" s="101"/>
      <c r="GM558" s="101"/>
      <c r="GN558" s="101"/>
      <c r="GO558" s="643"/>
      <c r="GP558" s="644"/>
      <c r="GQ558" s="643"/>
      <c r="GR558" s="644"/>
      <c r="GS558" s="643"/>
      <c r="GT558" s="644"/>
      <c r="GU558" s="644"/>
      <c r="GV558" s="644"/>
      <c r="GW558" s="644"/>
      <c r="GX558" s="644"/>
      <c r="GY558" s="644"/>
      <c r="GZ558" s="644"/>
      <c r="HA558" s="644"/>
    </row>
    <row r="559" spans="1:209">
      <c r="A559" s="638"/>
      <c r="B559" s="95"/>
      <c r="C559" s="95"/>
      <c r="D559" s="95"/>
      <c r="E559" s="650"/>
      <c r="F559" s="95"/>
      <c r="G559" s="98"/>
      <c r="H559" s="99"/>
      <c r="I559" s="95"/>
      <c r="J559" s="95"/>
      <c r="K559" s="95"/>
      <c r="L559" s="95"/>
      <c r="M559" s="95"/>
      <c r="N559" s="95"/>
      <c r="O559" s="95"/>
      <c r="P559" s="95"/>
      <c r="Q559" s="95"/>
      <c r="R559" s="98"/>
      <c r="S559" s="101"/>
      <c r="T559" s="644"/>
      <c r="U559" s="101"/>
      <c r="V559" s="647"/>
      <c r="W559" s="643"/>
      <c r="X559" s="644"/>
      <c r="Y559" s="101"/>
      <c r="Z559" s="644"/>
      <c r="AA559" s="101"/>
      <c r="AB559" s="644"/>
      <c r="AC559" s="101"/>
      <c r="AD559" s="646"/>
      <c r="AE559" s="271"/>
      <c r="AF559" s="646"/>
      <c r="AG559" s="646"/>
      <c r="AH559" s="646"/>
      <c r="AI559" s="646"/>
      <c r="AJ559" s="646"/>
      <c r="AK559" s="646"/>
      <c r="AL559" s="646"/>
      <c r="AM559" s="271"/>
      <c r="AN559" s="646"/>
      <c r="AO559" s="646"/>
      <c r="AP559" s="646"/>
      <c r="AQ559" s="271"/>
      <c r="AR559" s="646"/>
      <c r="AS559" s="270"/>
      <c r="AT559" s="646"/>
      <c r="AU559" s="646"/>
      <c r="AV559" s="646"/>
      <c r="AW559" s="270"/>
      <c r="AX559" s="646"/>
      <c r="AY559" s="270"/>
      <c r="AZ559" s="646"/>
      <c r="BA559" s="646"/>
      <c r="BB559" s="644"/>
      <c r="BC559" s="644"/>
      <c r="BD559" s="644"/>
      <c r="BE559" s="644"/>
      <c r="BF559" s="644"/>
      <c r="BG559" s="644"/>
      <c r="BH559" s="644"/>
      <c r="BI559" s="644"/>
      <c r="BJ559" s="644"/>
      <c r="BK559" s="644"/>
      <c r="BL559" s="644"/>
      <c r="BM559" s="95"/>
      <c r="BN559" s="644"/>
      <c r="BO559" s="95"/>
      <c r="BP559" s="644"/>
      <c r="BQ559" s="644"/>
      <c r="BR559" s="644"/>
      <c r="BS559" s="644"/>
      <c r="BT559" s="644"/>
      <c r="BU559" s="644"/>
      <c r="BV559" s="644"/>
      <c r="BW559" s="644"/>
      <c r="BX559" s="644"/>
      <c r="BY559" s="644"/>
      <c r="BZ559" s="644"/>
      <c r="CA559" s="644"/>
      <c r="CB559" s="644"/>
      <c r="CC559" s="644"/>
      <c r="CD559" s="644"/>
      <c r="CE559" s="644"/>
      <c r="CF559" s="644"/>
      <c r="CG559" s="644"/>
      <c r="CH559" s="644"/>
      <c r="CI559" s="644"/>
      <c r="CJ559" s="644"/>
      <c r="CK559" s="644"/>
      <c r="CL559" s="644"/>
      <c r="CM559" s="95"/>
      <c r="CN559" s="644"/>
      <c r="CO559" s="644"/>
      <c r="CP559" s="95"/>
      <c r="CQ559" s="98"/>
      <c r="CR559" s="95"/>
      <c r="CS559" s="95"/>
      <c r="CT559" s="95"/>
      <c r="CU559" s="108"/>
      <c r="CV559" s="109"/>
      <c r="CW559" s="644"/>
      <c r="CX559" s="496"/>
      <c r="CY559" s="637"/>
      <c r="CZ559" s="644"/>
      <c r="DA559" s="644"/>
      <c r="DB559" s="644"/>
      <c r="DC559" s="496"/>
      <c r="DD559" s="644"/>
      <c r="DE559" s="101"/>
      <c r="DF559" s="644"/>
      <c r="DG559" s="101"/>
      <c r="DH559" s="644"/>
      <c r="DI559" s="644"/>
      <c r="DJ559" s="644"/>
      <c r="DK559" s="644"/>
      <c r="DL559" s="644"/>
      <c r="DM559" s="101"/>
      <c r="DN559" s="644"/>
      <c r="DO559" s="644"/>
      <c r="DP559" s="644"/>
      <c r="DQ559" s="644"/>
      <c r="DR559" s="644"/>
      <c r="DS559" s="644"/>
      <c r="DT559" s="644"/>
      <c r="DU559" s="644"/>
      <c r="DV559" s="644"/>
      <c r="DW559" s="101"/>
      <c r="DX559" s="646"/>
      <c r="DY559" s="646"/>
      <c r="DZ559" s="646"/>
      <c r="EA559" s="646"/>
      <c r="EB559" s="646"/>
      <c r="EC559" s="646"/>
      <c r="ED559" s="646"/>
      <c r="EE559" s="646"/>
      <c r="EF559" s="646"/>
      <c r="EG559" s="646"/>
      <c r="EH559" s="646"/>
      <c r="EI559" s="646"/>
      <c r="EJ559" s="646"/>
      <c r="EK559" s="271"/>
      <c r="EL559" s="644"/>
      <c r="EM559" s="634"/>
      <c r="EN559" s="647"/>
      <c r="EO559" s="648"/>
      <c r="EP559" s="647"/>
      <c r="EQ559" s="647"/>
      <c r="ER559" s="647"/>
      <c r="ES559" s="139"/>
      <c r="EV559" s="647"/>
      <c r="EW559" s="647"/>
      <c r="EX559" s="647"/>
      <c r="EY559" s="647"/>
      <c r="EZ559" s="647"/>
      <c r="FA559" s="646"/>
      <c r="FB559" s="646"/>
      <c r="FC559" s="646"/>
      <c r="FD559" s="646"/>
      <c r="FE559" s="646"/>
      <c r="FF559" s="646"/>
      <c r="FG559" s="647"/>
      <c r="FH559" s="647"/>
      <c r="FI559" s="647"/>
      <c r="FJ559" s="647"/>
      <c r="FK559" s="647"/>
      <c r="FL559" s="647"/>
      <c r="FM559" s="647"/>
      <c r="FN559" s="647"/>
      <c r="FO559" s="647"/>
      <c r="FP559" s="647"/>
      <c r="FQ559" s="647"/>
      <c r="FR559" s="647"/>
      <c r="FS559" s="101"/>
      <c r="FT559" s="95"/>
      <c r="FU559" s="651"/>
      <c r="FV559" s="101"/>
      <c r="FW559" s="101"/>
      <c r="FX559" s="634"/>
      <c r="FY559" s="634"/>
      <c r="FZ559" s="634"/>
      <c r="GA559" s="634"/>
      <c r="GB559" s="634"/>
      <c r="GC559" s="634"/>
      <c r="GD559" s="634"/>
      <c r="GE559" s="634"/>
      <c r="GF559" s="634"/>
      <c r="GG559" s="634"/>
      <c r="GH559" s="634"/>
      <c r="GI559" s="634"/>
      <c r="GJ559" s="634"/>
      <c r="GK559" s="634"/>
      <c r="GL559" s="101"/>
      <c r="GM559" s="101"/>
      <c r="GN559" s="101"/>
      <c r="GO559" s="643"/>
      <c r="GP559" s="644"/>
      <c r="GQ559" s="643"/>
      <c r="GR559" s="644"/>
      <c r="GS559" s="643"/>
      <c r="GT559" s="644"/>
      <c r="GU559" s="644"/>
      <c r="GV559" s="644"/>
      <c r="GW559" s="644"/>
      <c r="GX559" s="644"/>
      <c r="GY559" s="644"/>
      <c r="GZ559" s="644"/>
      <c r="HA559" s="644"/>
    </row>
    <row r="560" spans="1:209">
      <c r="A560" s="638"/>
      <c r="B560" s="95"/>
      <c r="C560" s="95"/>
      <c r="D560" s="95"/>
      <c r="E560" s="650"/>
      <c r="F560" s="95"/>
      <c r="G560" s="98"/>
      <c r="H560" s="99"/>
      <c r="I560" s="95"/>
      <c r="J560" s="95"/>
      <c r="K560" s="95"/>
      <c r="L560" s="95"/>
      <c r="M560" s="95"/>
      <c r="N560" s="95"/>
      <c r="O560" s="95"/>
      <c r="P560" s="95"/>
      <c r="Q560" s="95"/>
      <c r="R560" s="98"/>
      <c r="S560" s="101"/>
      <c r="T560" s="644"/>
      <c r="U560" s="101"/>
      <c r="V560" s="647"/>
      <c r="W560" s="643"/>
      <c r="X560" s="644"/>
      <c r="Y560" s="101"/>
      <c r="Z560" s="644"/>
      <c r="AA560" s="101"/>
      <c r="AB560" s="644"/>
      <c r="AC560" s="101"/>
      <c r="AD560" s="646"/>
      <c r="AE560" s="271"/>
      <c r="AF560" s="646"/>
      <c r="AG560" s="646"/>
      <c r="AH560" s="646"/>
      <c r="AI560" s="646"/>
      <c r="AJ560" s="646"/>
      <c r="AK560" s="646"/>
      <c r="AL560" s="646"/>
      <c r="AM560" s="271"/>
      <c r="AN560" s="646"/>
      <c r="AO560" s="646"/>
      <c r="AP560" s="646"/>
      <c r="AQ560" s="271"/>
      <c r="AR560" s="646"/>
      <c r="AS560" s="270"/>
      <c r="AT560" s="646"/>
      <c r="AU560" s="646"/>
      <c r="AV560" s="646"/>
      <c r="AW560" s="270"/>
      <c r="AX560" s="646"/>
      <c r="AY560" s="270"/>
      <c r="AZ560" s="646"/>
      <c r="BA560" s="646"/>
      <c r="BB560" s="644"/>
      <c r="BC560" s="644"/>
      <c r="BD560" s="644"/>
      <c r="BE560" s="644"/>
      <c r="BF560" s="644"/>
      <c r="BG560" s="644"/>
      <c r="BH560" s="644"/>
      <c r="BI560" s="644"/>
      <c r="BJ560" s="644"/>
      <c r="BK560" s="644"/>
      <c r="BL560" s="644"/>
      <c r="BM560" s="95"/>
      <c r="BN560" s="644"/>
      <c r="BO560" s="95"/>
      <c r="BP560" s="644"/>
      <c r="BQ560" s="644"/>
      <c r="BR560" s="644"/>
      <c r="BS560" s="644"/>
      <c r="BT560" s="644"/>
      <c r="BU560" s="644"/>
      <c r="BV560" s="644"/>
      <c r="BW560" s="644"/>
      <c r="BX560" s="644"/>
      <c r="BY560" s="644"/>
      <c r="BZ560" s="644"/>
      <c r="CA560" s="644"/>
      <c r="CB560" s="644"/>
      <c r="CC560" s="644"/>
      <c r="CD560" s="644"/>
      <c r="CE560" s="644"/>
      <c r="CF560" s="644"/>
      <c r="CG560" s="644"/>
      <c r="CH560" s="644"/>
      <c r="CI560" s="644"/>
      <c r="CJ560" s="644"/>
      <c r="CK560" s="644"/>
      <c r="CL560" s="644"/>
      <c r="CM560" s="95"/>
      <c r="CN560" s="644"/>
      <c r="CO560" s="644"/>
      <c r="CP560" s="95"/>
      <c r="CQ560" s="98"/>
      <c r="CR560" s="95"/>
      <c r="CS560" s="95"/>
      <c r="CT560" s="95"/>
      <c r="CU560" s="108"/>
      <c r="CV560" s="109"/>
      <c r="CW560" s="644"/>
      <c r="CX560" s="496"/>
      <c r="CY560" s="637"/>
      <c r="CZ560" s="644"/>
      <c r="DA560" s="644"/>
      <c r="DB560" s="644"/>
      <c r="DC560" s="496"/>
      <c r="DD560" s="644"/>
      <c r="DE560" s="101"/>
      <c r="DF560" s="644"/>
      <c r="DG560" s="101"/>
      <c r="DH560" s="644"/>
      <c r="DI560" s="644"/>
      <c r="DJ560" s="644"/>
      <c r="DK560" s="644"/>
      <c r="DL560" s="644"/>
      <c r="DM560" s="101"/>
      <c r="DN560" s="644"/>
      <c r="DO560" s="644"/>
      <c r="DP560" s="644"/>
      <c r="DQ560" s="644"/>
      <c r="DR560" s="644"/>
      <c r="DS560" s="644"/>
      <c r="DT560" s="644"/>
      <c r="DU560" s="644"/>
      <c r="DV560" s="644"/>
      <c r="DW560" s="101"/>
      <c r="DX560" s="646"/>
      <c r="DY560" s="646"/>
      <c r="DZ560" s="646"/>
      <c r="EA560" s="646"/>
      <c r="EB560" s="646"/>
      <c r="EC560" s="646"/>
      <c r="ED560" s="646"/>
      <c r="EE560" s="646"/>
      <c r="EF560" s="646"/>
      <c r="EG560" s="646"/>
      <c r="EH560" s="646"/>
      <c r="EI560" s="646"/>
      <c r="EJ560" s="646"/>
      <c r="EK560" s="271"/>
      <c r="EL560" s="644"/>
      <c r="EM560" s="634"/>
      <c r="EN560" s="647"/>
      <c r="EO560" s="648"/>
      <c r="EP560" s="647"/>
      <c r="EQ560" s="647"/>
      <c r="ER560" s="647"/>
      <c r="ES560" s="139"/>
      <c r="EV560" s="647"/>
      <c r="EW560" s="647"/>
      <c r="EX560" s="647"/>
      <c r="EY560" s="647"/>
      <c r="EZ560" s="647"/>
      <c r="FA560" s="646"/>
      <c r="FB560" s="646"/>
      <c r="FC560" s="646"/>
      <c r="FD560" s="646"/>
      <c r="FE560" s="646"/>
      <c r="FF560" s="646"/>
      <c r="FG560" s="647"/>
      <c r="FH560" s="647"/>
      <c r="FI560" s="647"/>
      <c r="FJ560" s="647"/>
      <c r="FK560" s="647"/>
      <c r="FL560" s="647"/>
      <c r="FM560" s="647"/>
      <c r="FN560" s="647"/>
      <c r="FO560" s="647"/>
      <c r="FP560" s="647"/>
      <c r="FQ560" s="647"/>
      <c r="FR560" s="647"/>
      <c r="FS560" s="101"/>
      <c r="FT560" s="95"/>
      <c r="FU560" s="651"/>
      <c r="FV560" s="101"/>
      <c r="FW560" s="101"/>
      <c r="FX560" s="634"/>
      <c r="FY560" s="634"/>
      <c r="FZ560" s="634"/>
      <c r="GA560" s="634"/>
      <c r="GB560" s="634"/>
      <c r="GC560" s="634"/>
      <c r="GD560" s="634"/>
      <c r="GE560" s="634"/>
      <c r="GF560" s="634"/>
      <c r="GG560" s="634"/>
      <c r="GH560" s="634"/>
      <c r="GI560" s="634"/>
      <c r="GJ560" s="634"/>
      <c r="GK560" s="634"/>
      <c r="GL560" s="101"/>
      <c r="GM560" s="101"/>
      <c r="GN560" s="101"/>
      <c r="GO560" s="643"/>
      <c r="GP560" s="644"/>
      <c r="GQ560" s="643"/>
      <c r="GR560" s="644"/>
      <c r="GS560" s="643"/>
      <c r="GT560" s="644"/>
      <c r="GU560" s="644"/>
      <c r="GV560" s="644"/>
      <c r="GW560" s="644"/>
      <c r="GX560" s="644"/>
      <c r="GY560" s="644"/>
      <c r="GZ560" s="644"/>
      <c r="HA560" s="644"/>
    </row>
    <row r="561" spans="1:209">
      <c r="A561" s="638"/>
      <c r="B561" s="95"/>
      <c r="C561" s="95"/>
      <c r="D561" s="95"/>
      <c r="E561" s="650"/>
      <c r="F561" s="95"/>
      <c r="G561" s="98"/>
      <c r="H561" s="99"/>
      <c r="I561" s="95"/>
      <c r="J561" s="95"/>
      <c r="K561" s="95"/>
      <c r="L561" s="95"/>
      <c r="M561" s="95"/>
      <c r="N561" s="95"/>
      <c r="O561" s="95"/>
      <c r="P561" s="95"/>
      <c r="Q561" s="95"/>
      <c r="R561" s="98"/>
      <c r="S561" s="101"/>
      <c r="T561" s="644"/>
      <c r="U561" s="101"/>
      <c r="V561" s="647"/>
      <c r="W561" s="643"/>
      <c r="X561" s="644"/>
      <c r="Y561" s="101"/>
      <c r="Z561" s="644"/>
      <c r="AA561" s="101"/>
      <c r="AB561" s="644"/>
      <c r="AC561" s="101"/>
      <c r="AD561" s="646"/>
      <c r="AE561" s="271"/>
      <c r="AF561" s="646"/>
      <c r="AG561" s="646"/>
      <c r="AH561" s="646"/>
      <c r="AI561" s="646"/>
      <c r="AJ561" s="646"/>
      <c r="AK561" s="646"/>
      <c r="AL561" s="646"/>
      <c r="AM561" s="271"/>
      <c r="AN561" s="646"/>
      <c r="AO561" s="646"/>
      <c r="AP561" s="646"/>
      <c r="AQ561" s="271"/>
      <c r="AR561" s="646"/>
      <c r="AS561" s="270"/>
      <c r="AT561" s="646"/>
      <c r="AU561" s="646"/>
      <c r="AV561" s="646"/>
      <c r="AW561" s="270"/>
      <c r="AX561" s="646"/>
      <c r="AY561" s="270"/>
      <c r="AZ561" s="646"/>
      <c r="BA561" s="646"/>
      <c r="BB561" s="644"/>
      <c r="BC561" s="644"/>
      <c r="BD561" s="644"/>
      <c r="BE561" s="644"/>
      <c r="BF561" s="644"/>
      <c r="BG561" s="644"/>
      <c r="BH561" s="644"/>
      <c r="BI561" s="644"/>
      <c r="BJ561" s="644"/>
      <c r="BK561" s="644"/>
      <c r="BL561" s="644"/>
      <c r="BM561" s="95"/>
      <c r="BN561" s="644"/>
      <c r="BO561" s="95"/>
      <c r="BP561" s="644"/>
      <c r="BQ561" s="644"/>
      <c r="BR561" s="644"/>
      <c r="BS561" s="644"/>
      <c r="BT561" s="644"/>
      <c r="BU561" s="644"/>
      <c r="BV561" s="644"/>
      <c r="BW561" s="644"/>
      <c r="BX561" s="644"/>
      <c r="BY561" s="644"/>
      <c r="BZ561" s="644"/>
      <c r="CA561" s="644"/>
      <c r="CB561" s="644"/>
      <c r="CC561" s="644"/>
      <c r="CD561" s="644"/>
      <c r="CE561" s="644"/>
      <c r="CF561" s="644"/>
      <c r="CG561" s="644"/>
      <c r="CH561" s="644"/>
      <c r="CI561" s="644"/>
      <c r="CJ561" s="644"/>
      <c r="CK561" s="644"/>
      <c r="CL561" s="644"/>
      <c r="CM561" s="95"/>
      <c r="CN561" s="644"/>
      <c r="CO561" s="644"/>
      <c r="CP561" s="95"/>
      <c r="CQ561" s="98"/>
      <c r="CR561" s="95"/>
      <c r="CS561" s="95"/>
      <c r="CT561" s="95"/>
      <c r="CU561" s="108"/>
      <c r="CV561" s="109"/>
      <c r="CW561" s="644"/>
      <c r="CX561" s="496"/>
      <c r="CY561" s="637"/>
      <c r="CZ561" s="644"/>
      <c r="DA561" s="644"/>
      <c r="DB561" s="644"/>
      <c r="DC561" s="496"/>
      <c r="DD561" s="644"/>
      <c r="DE561" s="101"/>
      <c r="DF561" s="644"/>
      <c r="DG561" s="101"/>
      <c r="DH561" s="644"/>
      <c r="DI561" s="644"/>
      <c r="DJ561" s="644"/>
      <c r="DK561" s="644"/>
      <c r="DL561" s="644"/>
      <c r="DM561" s="101"/>
      <c r="DN561" s="644"/>
      <c r="DO561" s="644"/>
      <c r="DP561" s="644"/>
      <c r="DQ561" s="644"/>
      <c r="DR561" s="644"/>
      <c r="DS561" s="644"/>
      <c r="DT561" s="644"/>
      <c r="DU561" s="644"/>
      <c r="DV561" s="644"/>
      <c r="DW561" s="101"/>
      <c r="DX561" s="646"/>
      <c r="DY561" s="646"/>
      <c r="DZ561" s="646"/>
      <c r="EA561" s="646"/>
      <c r="EB561" s="646"/>
      <c r="EC561" s="646"/>
      <c r="ED561" s="646"/>
      <c r="EE561" s="646"/>
      <c r="EF561" s="646"/>
      <c r="EG561" s="646"/>
      <c r="EH561" s="646"/>
      <c r="EI561" s="646"/>
      <c r="EJ561" s="646"/>
      <c r="EK561" s="271"/>
      <c r="EL561" s="644"/>
      <c r="EM561" s="634"/>
      <c r="EN561" s="647"/>
      <c r="EO561" s="648"/>
      <c r="EP561" s="647"/>
      <c r="EQ561" s="647"/>
      <c r="ER561" s="647"/>
      <c r="ES561" s="139"/>
      <c r="EV561" s="647"/>
      <c r="EW561" s="647"/>
      <c r="EX561" s="647"/>
      <c r="EY561" s="647"/>
      <c r="EZ561" s="647"/>
      <c r="FA561" s="646"/>
      <c r="FB561" s="646"/>
      <c r="FC561" s="646"/>
      <c r="FD561" s="646"/>
      <c r="FE561" s="646"/>
      <c r="FF561" s="646"/>
      <c r="FG561" s="647"/>
      <c r="FH561" s="647"/>
      <c r="FI561" s="647"/>
      <c r="FJ561" s="647"/>
      <c r="FK561" s="647"/>
      <c r="FL561" s="647"/>
      <c r="FM561" s="647"/>
      <c r="FN561" s="647"/>
      <c r="FO561" s="647"/>
      <c r="FP561" s="647"/>
      <c r="FQ561" s="647"/>
      <c r="FR561" s="647"/>
      <c r="FS561" s="101"/>
      <c r="FT561" s="95"/>
      <c r="FU561" s="651"/>
      <c r="FV561" s="101"/>
      <c r="FW561" s="101"/>
      <c r="FX561" s="634"/>
      <c r="FY561" s="634"/>
      <c r="FZ561" s="634"/>
      <c r="GA561" s="634"/>
      <c r="GB561" s="634"/>
      <c r="GC561" s="634"/>
      <c r="GD561" s="634"/>
      <c r="GE561" s="634"/>
      <c r="GF561" s="634"/>
      <c r="GG561" s="634"/>
      <c r="GH561" s="634"/>
      <c r="GI561" s="634"/>
      <c r="GJ561" s="634"/>
      <c r="GK561" s="634"/>
      <c r="GL561" s="101"/>
      <c r="GM561" s="101"/>
      <c r="GN561" s="101"/>
      <c r="GO561" s="643"/>
      <c r="GP561" s="644"/>
      <c r="GQ561" s="643"/>
      <c r="GR561" s="644"/>
      <c r="GS561" s="643"/>
      <c r="GT561" s="644"/>
      <c r="GU561" s="644"/>
      <c r="GV561" s="644"/>
      <c r="GW561" s="644"/>
      <c r="GX561" s="644"/>
      <c r="GY561" s="644"/>
      <c r="GZ561" s="644"/>
      <c r="HA561" s="644"/>
    </row>
    <row r="562" spans="1:209">
      <c r="A562" s="638"/>
      <c r="B562" s="95"/>
      <c r="C562" s="95"/>
      <c r="D562" s="95"/>
      <c r="E562" s="650"/>
      <c r="F562" s="95"/>
      <c r="G562" s="98"/>
      <c r="H562" s="99"/>
      <c r="I562" s="95"/>
      <c r="J562" s="95"/>
      <c r="K562" s="95"/>
      <c r="L562" s="95"/>
      <c r="M562" s="95"/>
      <c r="N562" s="95"/>
      <c r="O562" s="95"/>
      <c r="P562" s="95"/>
      <c r="Q562" s="95"/>
      <c r="R562" s="98"/>
      <c r="S562" s="101"/>
      <c r="T562" s="644"/>
      <c r="U562" s="101"/>
      <c r="V562" s="647"/>
      <c r="W562" s="643"/>
      <c r="X562" s="644"/>
      <c r="Y562" s="101"/>
      <c r="Z562" s="644"/>
      <c r="AA562" s="101"/>
      <c r="AB562" s="644"/>
      <c r="AC562" s="101"/>
      <c r="AD562" s="646"/>
      <c r="AE562" s="271"/>
      <c r="AF562" s="646"/>
      <c r="AG562" s="646"/>
      <c r="AH562" s="646"/>
      <c r="AI562" s="646"/>
      <c r="AJ562" s="646"/>
      <c r="AK562" s="646"/>
      <c r="AL562" s="646"/>
      <c r="AM562" s="271"/>
      <c r="AN562" s="646"/>
      <c r="AO562" s="646"/>
      <c r="AP562" s="646"/>
      <c r="AQ562" s="271"/>
      <c r="AR562" s="646"/>
      <c r="AS562" s="270"/>
      <c r="AT562" s="646"/>
      <c r="AU562" s="646"/>
      <c r="AV562" s="646"/>
      <c r="AW562" s="270"/>
      <c r="AX562" s="646"/>
      <c r="AY562" s="270"/>
      <c r="AZ562" s="646"/>
      <c r="BA562" s="646"/>
      <c r="BB562" s="644"/>
      <c r="BC562" s="644"/>
      <c r="BD562" s="644"/>
      <c r="BE562" s="644"/>
      <c r="BF562" s="644"/>
      <c r="BG562" s="644"/>
      <c r="BH562" s="644"/>
      <c r="BI562" s="644"/>
      <c r="BJ562" s="644"/>
      <c r="BK562" s="644"/>
      <c r="BL562" s="644"/>
      <c r="BM562" s="95"/>
      <c r="BN562" s="644"/>
      <c r="BO562" s="95"/>
      <c r="BP562" s="644"/>
      <c r="BQ562" s="644"/>
      <c r="BR562" s="644"/>
      <c r="BS562" s="644"/>
      <c r="BT562" s="644"/>
      <c r="BU562" s="644"/>
      <c r="BV562" s="644"/>
      <c r="BW562" s="644"/>
      <c r="BX562" s="644"/>
      <c r="BY562" s="644"/>
      <c r="BZ562" s="644"/>
      <c r="CA562" s="644"/>
      <c r="CB562" s="644"/>
      <c r="CC562" s="644"/>
      <c r="CD562" s="644"/>
      <c r="CE562" s="644"/>
      <c r="CF562" s="644"/>
      <c r="CG562" s="644"/>
      <c r="CH562" s="644"/>
      <c r="CI562" s="644"/>
      <c r="CJ562" s="644"/>
      <c r="CK562" s="644"/>
      <c r="CL562" s="644"/>
      <c r="CM562" s="95"/>
      <c r="CN562" s="644"/>
      <c r="CO562" s="644"/>
      <c r="CP562" s="95"/>
      <c r="CQ562" s="98"/>
      <c r="CR562" s="95"/>
      <c r="CS562" s="95"/>
      <c r="CT562" s="95"/>
      <c r="CU562" s="108"/>
      <c r="CV562" s="109"/>
      <c r="CW562" s="644"/>
      <c r="CX562" s="496"/>
      <c r="CY562" s="637"/>
      <c r="CZ562" s="644"/>
      <c r="DA562" s="644"/>
      <c r="DB562" s="644"/>
      <c r="DC562" s="496"/>
      <c r="DD562" s="644"/>
      <c r="DE562" s="101"/>
      <c r="DF562" s="644"/>
      <c r="DG562" s="101"/>
      <c r="DH562" s="644"/>
      <c r="DI562" s="644"/>
      <c r="DJ562" s="644"/>
      <c r="DK562" s="644"/>
      <c r="DL562" s="644"/>
      <c r="DM562" s="101"/>
      <c r="DN562" s="644"/>
      <c r="DO562" s="644"/>
      <c r="DP562" s="644"/>
      <c r="DQ562" s="644"/>
      <c r="DR562" s="644"/>
      <c r="DS562" s="644"/>
      <c r="DT562" s="644"/>
      <c r="DU562" s="644"/>
      <c r="DV562" s="644"/>
      <c r="DW562" s="101"/>
      <c r="DX562" s="646"/>
      <c r="DY562" s="646"/>
      <c r="DZ562" s="646"/>
      <c r="EA562" s="646"/>
      <c r="EB562" s="646"/>
      <c r="EC562" s="646"/>
      <c r="ED562" s="646"/>
      <c r="EE562" s="646"/>
      <c r="EF562" s="646"/>
      <c r="EG562" s="646"/>
      <c r="EH562" s="646"/>
      <c r="EI562" s="646"/>
      <c r="EJ562" s="646"/>
      <c r="EK562" s="271"/>
      <c r="EL562" s="644"/>
      <c r="EM562" s="634"/>
      <c r="EN562" s="647"/>
      <c r="EO562" s="648"/>
      <c r="EP562" s="647"/>
      <c r="EQ562" s="647"/>
      <c r="ER562" s="647"/>
      <c r="ES562" s="139"/>
      <c r="EV562" s="647"/>
      <c r="EW562" s="647"/>
      <c r="EX562" s="647"/>
      <c r="EY562" s="647"/>
      <c r="EZ562" s="647"/>
      <c r="FA562" s="646"/>
      <c r="FB562" s="646"/>
      <c r="FC562" s="646"/>
      <c r="FD562" s="646"/>
      <c r="FE562" s="646"/>
      <c r="FF562" s="646"/>
      <c r="FG562" s="647"/>
      <c r="FH562" s="647"/>
      <c r="FI562" s="647"/>
      <c r="FJ562" s="647"/>
      <c r="FK562" s="647"/>
      <c r="FL562" s="647"/>
      <c r="FM562" s="647"/>
      <c r="FN562" s="647"/>
      <c r="FO562" s="647"/>
      <c r="FP562" s="647"/>
      <c r="FQ562" s="647"/>
      <c r="FR562" s="647"/>
      <c r="FS562" s="101"/>
      <c r="FT562" s="95"/>
      <c r="FU562" s="651"/>
      <c r="FV562" s="101"/>
      <c r="FW562" s="101"/>
      <c r="FX562" s="634"/>
      <c r="FY562" s="634"/>
      <c r="FZ562" s="634"/>
      <c r="GA562" s="634"/>
      <c r="GB562" s="634"/>
      <c r="GC562" s="634"/>
      <c r="GD562" s="634"/>
      <c r="GE562" s="634"/>
      <c r="GF562" s="634"/>
      <c r="GG562" s="634"/>
      <c r="GH562" s="634"/>
      <c r="GI562" s="634"/>
      <c r="GJ562" s="634"/>
      <c r="GK562" s="634"/>
      <c r="GL562" s="101"/>
      <c r="GM562" s="101"/>
      <c r="GN562" s="101"/>
      <c r="GO562" s="643"/>
      <c r="GP562" s="644"/>
      <c r="GQ562" s="643"/>
      <c r="GR562" s="644"/>
      <c r="GS562" s="643"/>
      <c r="GT562" s="644"/>
      <c r="GU562" s="644"/>
      <c r="GV562" s="644"/>
      <c r="GW562" s="644"/>
      <c r="GX562" s="644"/>
      <c r="GY562" s="644"/>
      <c r="GZ562" s="644"/>
      <c r="HA562" s="644"/>
    </row>
    <row r="563" spans="1:209">
      <c r="A563" s="638"/>
      <c r="B563" s="95"/>
      <c r="C563" s="95"/>
      <c r="D563" s="95"/>
      <c r="E563" s="650"/>
      <c r="F563" s="95"/>
      <c r="G563" s="98"/>
      <c r="H563" s="99"/>
      <c r="I563" s="95"/>
      <c r="J563" s="95"/>
      <c r="K563" s="95"/>
      <c r="L563" s="95"/>
      <c r="M563" s="95"/>
      <c r="N563" s="95"/>
      <c r="O563" s="95"/>
      <c r="P563" s="95"/>
      <c r="Q563" s="95"/>
      <c r="R563" s="98"/>
      <c r="S563" s="101"/>
      <c r="T563" s="644"/>
      <c r="U563" s="101"/>
      <c r="V563" s="647"/>
      <c r="W563" s="643"/>
      <c r="X563" s="644"/>
      <c r="Y563" s="101"/>
      <c r="Z563" s="644"/>
      <c r="AA563" s="101"/>
      <c r="AB563" s="644"/>
      <c r="AC563" s="101"/>
      <c r="AD563" s="646"/>
      <c r="AE563" s="271"/>
      <c r="AF563" s="646"/>
      <c r="AG563" s="646"/>
      <c r="AH563" s="646"/>
      <c r="AI563" s="646"/>
      <c r="AJ563" s="646"/>
      <c r="AK563" s="646"/>
      <c r="AL563" s="646"/>
      <c r="AM563" s="271"/>
      <c r="AN563" s="646"/>
      <c r="AO563" s="646"/>
      <c r="AP563" s="646"/>
      <c r="AQ563" s="271"/>
      <c r="AR563" s="646"/>
      <c r="AS563" s="270"/>
      <c r="AT563" s="646"/>
      <c r="AU563" s="646"/>
      <c r="AV563" s="646"/>
      <c r="AW563" s="270"/>
      <c r="AX563" s="646"/>
      <c r="AY563" s="270"/>
      <c r="AZ563" s="646"/>
      <c r="BA563" s="646"/>
      <c r="BB563" s="644"/>
      <c r="BC563" s="644"/>
      <c r="BD563" s="644"/>
      <c r="BE563" s="644"/>
      <c r="BF563" s="644"/>
      <c r="BG563" s="644"/>
      <c r="BH563" s="644"/>
      <c r="BI563" s="644"/>
      <c r="BJ563" s="644"/>
      <c r="BK563" s="644"/>
      <c r="BL563" s="644"/>
      <c r="BM563" s="95"/>
      <c r="BN563" s="644"/>
      <c r="BO563" s="95"/>
      <c r="BP563" s="644"/>
      <c r="BQ563" s="644"/>
      <c r="BR563" s="644"/>
      <c r="BS563" s="644"/>
      <c r="BT563" s="644"/>
      <c r="BU563" s="644"/>
      <c r="BV563" s="644"/>
      <c r="BW563" s="644"/>
      <c r="BX563" s="644"/>
      <c r="BY563" s="644"/>
      <c r="BZ563" s="644"/>
      <c r="CA563" s="644"/>
      <c r="CB563" s="644"/>
      <c r="CC563" s="644"/>
      <c r="CD563" s="644"/>
      <c r="CE563" s="644"/>
      <c r="CF563" s="644"/>
      <c r="CG563" s="644"/>
      <c r="CH563" s="644"/>
      <c r="CI563" s="644"/>
      <c r="CJ563" s="644"/>
      <c r="CK563" s="644"/>
      <c r="CL563" s="644"/>
      <c r="CM563" s="95"/>
      <c r="CN563" s="644"/>
      <c r="CO563" s="644"/>
      <c r="CP563" s="95"/>
      <c r="CQ563" s="98"/>
      <c r="CR563" s="95"/>
      <c r="CS563" s="95"/>
      <c r="CT563" s="95"/>
      <c r="CU563" s="108"/>
      <c r="CV563" s="109"/>
      <c r="CW563" s="644"/>
      <c r="CX563" s="496"/>
      <c r="CY563" s="637"/>
      <c r="CZ563" s="644"/>
      <c r="DA563" s="644"/>
      <c r="DB563" s="644"/>
      <c r="DC563" s="496"/>
      <c r="DD563" s="644"/>
      <c r="DE563" s="101"/>
      <c r="DF563" s="644"/>
      <c r="DG563" s="101"/>
      <c r="DH563" s="644"/>
      <c r="DI563" s="644"/>
      <c r="DJ563" s="644"/>
      <c r="DK563" s="644"/>
      <c r="DL563" s="644"/>
      <c r="DM563" s="101"/>
      <c r="DN563" s="644"/>
      <c r="DO563" s="644"/>
      <c r="DP563" s="644"/>
      <c r="DQ563" s="644"/>
      <c r="DR563" s="644"/>
      <c r="DS563" s="644"/>
      <c r="DT563" s="644"/>
      <c r="DU563" s="644"/>
      <c r="DV563" s="644"/>
      <c r="DW563" s="101"/>
      <c r="DX563" s="646"/>
      <c r="DY563" s="646"/>
      <c r="DZ563" s="646"/>
      <c r="EA563" s="646"/>
      <c r="EB563" s="646"/>
      <c r="EC563" s="646"/>
      <c r="ED563" s="646"/>
      <c r="EE563" s="646"/>
      <c r="EF563" s="646"/>
      <c r="EG563" s="646"/>
      <c r="EH563" s="646"/>
      <c r="EI563" s="646"/>
      <c r="EJ563" s="646"/>
      <c r="EK563" s="271"/>
      <c r="EL563" s="644"/>
      <c r="EM563" s="634"/>
      <c r="EN563" s="647"/>
      <c r="EO563" s="648"/>
      <c r="EP563" s="647"/>
      <c r="EQ563" s="647"/>
      <c r="ER563" s="647"/>
      <c r="ES563" s="139"/>
      <c r="EV563" s="647"/>
      <c r="EW563" s="647"/>
      <c r="EX563" s="647"/>
      <c r="EY563" s="647"/>
      <c r="EZ563" s="647"/>
      <c r="FA563" s="646"/>
      <c r="FB563" s="646"/>
      <c r="FC563" s="646"/>
      <c r="FD563" s="646"/>
      <c r="FE563" s="646"/>
      <c r="FF563" s="646"/>
      <c r="FG563" s="647"/>
      <c r="FH563" s="647"/>
      <c r="FI563" s="647"/>
      <c r="FJ563" s="647"/>
      <c r="FK563" s="647"/>
      <c r="FL563" s="647"/>
      <c r="FM563" s="647"/>
      <c r="FN563" s="647"/>
      <c r="FO563" s="647"/>
      <c r="FP563" s="647"/>
      <c r="FQ563" s="647"/>
      <c r="FR563" s="647"/>
      <c r="FS563" s="101"/>
      <c r="FT563" s="95"/>
      <c r="FU563" s="651"/>
      <c r="FV563" s="101"/>
      <c r="FW563" s="101"/>
      <c r="FX563" s="634"/>
      <c r="FY563" s="634"/>
      <c r="FZ563" s="634"/>
      <c r="GA563" s="634"/>
      <c r="GB563" s="634"/>
      <c r="GC563" s="634"/>
      <c r="GD563" s="634"/>
      <c r="GE563" s="634"/>
      <c r="GF563" s="634"/>
      <c r="GG563" s="634"/>
      <c r="GH563" s="634"/>
      <c r="GI563" s="634"/>
      <c r="GJ563" s="634"/>
      <c r="GK563" s="634"/>
      <c r="GL563" s="101"/>
      <c r="GM563" s="101"/>
      <c r="GN563" s="101"/>
      <c r="GO563" s="643"/>
      <c r="GP563" s="644"/>
      <c r="GQ563" s="643"/>
      <c r="GR563" s="644"/>
      <c r="GS563" s="643"/>
      <c r="GT563" s="644"/>
      <c r="GU563" s="644"/>
      <c r="GV563" s="644"/>
      <c r="GW563" s="644"/>
      <c r="GX563" s="644"/>
      <c r="GY563" s="644"/>
      <c r="GZ563" s="644"/>
      <c r="HA563" s="644"/>
    </row>
    <row r="564" spans="1:209">
      <c r="A564" s="638"/>
      <c r="B564" s="95"/>
      <c r="C564" s="95"/>
      <c r="D564" s="95"/>
      <c r="E564" s="650"/>
      <c r="F564" s="95"/>
      <c r="G564" s="98"/>
      <c r="H564" s="99"/>
      <c r="I564" s="95"/>
      <c r="J564" s="95"/>
      <c r="K564" s="95"/>
      <c r="L564" s="95"/>
      <c r="M564" s="95"/>
      <c r="N564" s="95"/>
      <c r="O564" s="95"/>
      <c r="P564" s="95"/>
      <c r="Q564" s="95"/>
      <c r="R564" s="98"/>
      <c r="S564" s="101"/>
      <c r="T564" s="644"/>
      <c r="U564" s="101"/>
      <c r="V564" s="647"/>
      <c r="W564" s="643"/>
      <c r="X564" s="644"/>
      <c r="Y564" s="101"/>
      <c r="Z564" s="644"/>
      <c r="AA564" s="101"/>
      <c r="AB564" s="644"/>
      <c r="AC564" s="101"/>
      <c r="AD564" s="646"/>
      <c r="AE564" s="271"/>
      <c r="AF564" s="646"/>
      <c r="AG564" s="646"/>
      <c r="AH564" s="646"/>
      <c r="AI564" s="646"/>
      <c r="AJ564" s="646"/>
      <c r="AK564" s="646"/>
      <c r="AL564" s="646"/>
      <c r="AM564" s="271"/>
      <c r="AN564" s="646"/>
      <c r="AO564" s="646"/>
      <c r="AP564" s="646"/>
      <c r="AQ564" s="271"/>
      <c r="AR564" s="646"/>
      <c r="AS564" s="270"/>
      <c r="AT564" s="646"/>
      <c r="AU564" s="646"/>
      <c r="AV564" s="646"/>
      <c r="AW564" s="270"/>
      <c r="AX564" s="646"/>
      <c r="AY564" s="270"/>
      <c r="AZ564" s="646"/>
      <c r="BA564" s="646"/>
      <c r="BB564" s="644"/>
      <c r="BC564" s="644"/>
      <c r="BD564" s="644"/>
      <c r="BE564" s="644"/>
      <c r="BF564" s="644"/>
      <c r="BG564" s="644"/>
      <c r="BH564" s="644"/>
      <c r="BI564" s="644"/>
      <c r="BJ564" s="644"/>
      <c r="BK564" s="644"/>
      <c r="BL564" s="644"/>
      <c r="BM564" s="95"/>
      <c r="BN564" s="644"/>
      <c r="BO564" s="95"/>
      <c r="BP564" s="644"/>
      <c r="BQ564" s="644"/>
      <c r="BR564" s="644"/>
      <c r="BS564" s="644"/>
      <c r="BT564" s="644"/>
      <c r="BU564" s="644"/>
      <c r="BV564" s="644"/>
      <c r="BW564" s="644"/>
      <c r="BX564" s="644"/>
      <c r="BY564" s="644"/>
      <c r="BZ564" s="644"/>
      <c r="CA564" s="644"/>
      <c r="CB564" s="644"/>
      <c r="CC564" s="644"/>
      <c r="CD564" s="644"/>
      <c r="CE564" s="644"/>
      <c r="CF564" s="644"/>
      <c r="CG564" s="644"/>
      <c r="CH564" s="644"/>
      <c r="CI564" s="644"/>
      <c r="CJ564" s="644"/>
      <c r="CK564" s="644"/>
      <c r="CL564" s="644"/>
      <c r="CM564" s="95"/>
      <c r="CN564" s="644"/>
      <c r="CO564" s="644"/>
      <c r="CP564" s="95"/>
      <c r="CQ564" s="98"/>
      <c r="CR564" s="95"/>
      <c r="CS564" s="95"/>
      <c r="CT564" s="95"/>
      <c r="CU564" s="108"/>
      <c r="CV564" s="109"/>
      <c r="CW564" s="644"/>
      <c r="CX564" s="496"/>
      <c r="CY564" s="637"/>
      <c r="CZ564" s="644"/>
      <c r="DA564" s="644"/>
      <c r="DB564" s="644"/>
      <c r="DC564" s="496"/>
      <c r="DD564" s="644"/>
      <c r="DE564" s="101"/>
      <c r="DF564" s="644"/>
      <c r="DG564" s="101"/>
      <c r="DH564" s="644"/>
      <c r="DI564" s="644"/>
      <c r="DJ564" s="644"/>
      <c r="DK564" s="644"/>
      <c r="DL564" s="644"/>
      <c r="DM564" s="101"/>
      <c r="DN564" s="644"/>
      <c r="DO564" s="644"/>
      <c r="DP564" s="644"/>
      <c r="DQ564" s="644"/>
      <c r="DR564" s="644"/>
      <c r="DS564" s="644"/>
      <c r="DT564" s="644"/>
      <c r="DU564" s="644"/>
      <c r="DV564" s="644"/>
      <c r="DW564" s="101"/>
      <c r="DX564" s="646"/>
      <c r="DY564" s="646"/>
      <c r="DZ564" s="646"/>
      <c r="EA564" s="646"/>
      <c r="EB564" s="646"/>
      <c r="EC564" s="646"/>
      <c r="ED564" s="646"/>
      <c r="EE564" s="646"/>
      <c r="EF564" s="646"/>
      <c r="EG564" s="646"/>
      <c r="EH564" s="646"/>
      <c r="EI564" s="646"/>
      <c r="EJ564" s="646"/>
      <c r="EK564" s="271"/>
      <c r="EL564" s="644"/>
      <c r="EM564" s="634"/>
      <c r="EN564" s="647"/>
      <c r="EO564" s="648"/>
      <c r="EP564" s="647"/>
      <c r="EQ564" s="647"/>
      <c r="ER564" s="647"/>
      <c r="ES564" s="139"/>
      <c r="EV564" s="647"/>
      <c r="EW564" s="647"/>
      <c r="EX564" s="647"/>
      <c r="EY564" s="647"/>
      <c r="EZ564" s="647"/>
      <c r="FA564" s="646"/>
      <c r="FB564" s="646"/>
      <c r="FC564" s="646"/>
      <c r="FD564" s="646"/>
      <c r="FE564" s="646"/>
      <c r="FF564" s="646"/>
      <c r="FG564" s="647"/>
      <c r="FH564" s="647"/>
      <c r="FI564" s="647"/>
      <c r="FJ564" s="647"/>
      <c r="FK564" s="647"/>
      <c r="FL564" s="647"/>
      <c r="FM564" s="647"/>
      <c r="FN564" s="647"/>
      <c r="FO564" s="647"/>
      <c r="FP564" s="647"/>
      <c r="FQ564" s="647"/>
      <c r="FR564" s="647"/>
      <c r="FS564" s="101"/>
      <c r="FT564" s="95"/>
      <c r="FU564" s="651"/>
      <c r="FV564" s="101"/>
      <c r="FW564" s="101"/>
      <c r="FX564" s="634"/>
      <c r="FY564" s="634"/>
      <c r="FZ564" s="634"/>
      <c r="GA564" s="634"/>
      <c r="GB564" s="634"/>
      <c r="GC564" s="634"/>
      <c r="GD564" s="634"/>
      <c r="GE564" s="634"/>
      <c r="GF564" s="634"/>
      <c r="GG564" s="634"/>
      <c r="GH564" s="634"/>
      <c r="GI564" s="634"/>
      <c r="GJ564" s="634"/>
      <c r="GK564" s="634"/>
      <c r="GL564" s="101"/>
      <c r="GM564" s="101"/>
      <c r="GN564" s="101"/>
      <c r="GO564" s="643"/>
      <c r="GP564" s="644"/>
      <c r="GQ564" s="643"/>
      <c r="GR564" s="644"/>
      <c r="GS564" s="643"/>
      <c r="GT564" s="644"/>
      <c r="GU564" s="644"/>
      <c r="GV564" s="644"/>
      <c r="GW564" s="644"/>
      <c r="GX564" s="644"/>
      <c r="GY564" s="644"/>
      <c r="GZ564" s="644"/>
      <c r="HA564" s="644"/>
    </row>
    <row r="565" spans="1:209">
      <c r="A565" s="638"/>
      <c r="B565" s="95"/>
      <c r="C565" s="95"/>
      <c r="D565" s="95"/>
      <c r="E565" s="650"/>
      <c r="F565" s="95"/>
      <c r="G565" s="98"/>
      <c r="H565" s="99"/>
      <c r="I565" s="95"/>
      <c r="J565" s="95"/>
      <c r="K565" s="95"/>
      <c r="L565" s="95"/>
      <c r="M565" s="95"/>
      <c r="N565" s="95"/>
      <c r="O565" s="95"/>
      <c r="P565" s="95"/>
      <c r="Q565" s="95"/>
      <c r="R565" s="98"/>
      <c r="S565" s="101"/>
      <c r="T565" s="644"/>
      <c r="U565" s="101"/>
      <c r="V565" s="647"/>
      <c r="W565" s="643"/>
      <c r="X565" s="644"/>
      <c r="Y565" s="101"/>
      <c r="Z565" s="644"/>
      <c r="AA565" s="101"/>
      <c r="AB565" s="644"/>
      <c r="AC565" s="101"/>
      <c r="AD565" s="646"/>
      <c r="AE565" s="271"/>
      <c r="AF565" s="646"/>
      <c r="AG565" s="646"/>
      <c r="AH565" s="646"/>
      <c r="AI565" s="646"/>
      <c r="AJ565" s="646"/>
      <c r="AK565" s="646"/>
      <c r="AL565" s="646"/>
      <c r="AM565" s="271"/>
      <c r="AN565" s="646"/>
      <c r="AO565" s="646"/>
      <c r="AP565" s="646"/>
      <c r="AQ565" s="271"/>
      <c r="AR565" s="646"/>
      <c r="AS565" s="270"/>
      <c r="AT565" s="646"/>
      <c r="AU565" s="646"/>
      <c r="AV565" s="646"/>
      <c r="AW565" s="270"/>
      <c r="AX565" s="646"/>
      <c r="AY565" s="270"/>
      <c r="AZ565" s="646"/>
      <c r="BA565" s="646"/>
      <c r="BB565" s="644"/>
      <c r="BC565" s="644"/>
      <c r="BD565" s="644"/>
      <c r="BE565" s="644"/>
      <c r="BF565" s="644"/>
      <c r="BG565" s="644"/>
      <c r="BH565" s="644"/>
      <c r="BI565" s="644"/>
      <c r="BJ565" s="644"/>
      <c r="BK565" s="644"/>
      <c r="BL565" s="644"/>
      <c r="BM565" s="95"/>
      <c r="BN565" s="644"/>
      <c r="BO565" s="95"/>
      <c r="BP565" s="644"/>
      <c r="BQ565" s="644"/>
      <c r="BR565" s="644"/>
      <c r="BS565" s="644"/>
      <c r="BT565" s="644"/>
      <c r="BU565" s="644"/>
      <c r="BV565" s="644"/>
      <c r="BW565" s="644"/>
      <c r="BX565" s="644"/>
      <c r="BY565" s="644"/>
      <c r="BZ565" s="644"/>
      <c r="CA565" s="644"/>
      <c r="CB565" s="644"/>
      <c r="CC565" s="644"/>
      <c r="CD565" s="644"/>
      <c r="CE565" s="644"/>
      <c r="CF565" s="644"/>
      <c r="CG565" s="644"/>
      <c r="CH565" s="644"/>
      <c r="CI565" s="644"/>
      <c r="CJ565" s="644"/>
      <c r="CK565" s="644"/>
      <c r="CL565" s="644"/>
      <c r="CM565" s="95"/>
      <c r="CN565" s="644"/>
      <c r="CO565" s="644"/>
      <c r="CP565" s="95"/>
      <c r="CQ565" s="98"/>
      <c r="CR565" s="95"/>
      <c r="CS565" s="95"/>
      <c r="CT565" s="95"/>
      <c r="CU565" s="108"/>
      <c r="CV565" s="109"/>
      <c r="CW565" s="644"/>
      <c r="CX565" s="496"/>
      <c r="CY565" s="637"/>
      <c r="CZ565" s="644"/>
      <c r="DA565" s="644"/>
      <c r="DB565" s="644"/>
      <c r="DC565" s="496"/>
      <c r="DD565" s="644"/>
      <c r="DE565" s="101"/>
      <c r="DF565" s="644"/>
      <c r="DG565" s="101"/>
      <c r="DH565" s="644"/>
      <c r="DI565" s="644"/>
      <c r="DJ565" s="644"/>
      <c r="DK565" s="644"/>
      <c r="DL565" s="644"/>
      <c r="DM565" s="101"/>
      <c r="DN565" s="644"/>
      <c r="DO565" s="644"/>
      <c r="DP565" s="644"/>
      <c r="DQ565" s="644"/>
      <c r="DR565" s="644"/>
      <c r="DS565" s="644"/>
      <c r="DT565" s="644"/>
      <c r="DU565" s="644"/>
      <c r="DV565" s="644"/>
      <c r="DW565" s="101"/>
      <c r="DX565" s="646"/>
      <c r="DY565" s="646"/>
      <c r="DZ565" s="646"/>
      <c r="EA565" s="646"/>
      <c r="EB565" s="646"/>
      <c r="EC565" s="646"/>
      <c r="ED565" s="646"/>
      <c r="EE565" s="646"/>
      <c r="EF565" s="646"/>
      <c r="EG565" s="646"/>
      <c r="EH565" s="646"/>
      <c r="EI565" s="646"/>
      <c r="EJ565" s="646"/>
      <c r="EK565" s="271"/>
      <c r="EL565" s="644"/>
      <c r="EM565" s="634"/>
      <c r="EN565" s="647"/>
      <c r="EO565" s="648"/>
      <c r="EP565" s="647"/>
      <c r="EQ565" s="647"/>
      <c r="ER565" s="647"/>
      <c r="ES565" s="139"/>
      <c r="EV565" s="647"/>
      <c r="EW565" s="647"/>
      <c r="EX565" s="647"/>
      <c r="EY565" s="647"/>
      <c r="EZ565" s="647"/>
      <c r="FA565" s="646"/>
      <c r="FB565" s="646"/>
      <c r="FC565" s="646"/>
      <c r="FD565" s="646"/>
      <c r="FE565" s="646"/>
      <c r="FF565" s="646"/>
      <c r="FG565" s="647"/>
      <c r="FH565" s="647"/>
      <c r="FI565" s="647"/>
      <c r="FJ565" s="647"/>
      <c r="FK565" s="647"/>
      <c r="FL565" s="647"/>
      <c r="FM565" s="647"/>
      <c r="FN565" s="647"/>
      <c r="FO565" s="647"/>
      <c r="FP565" s="647"/>
      <c r="FQ565" s="647"/>
      <c r="FR565" s="647"/>
      <c r="FS565" s="101"/>
      <c r="FT565" s="95"/>
      <c r="FU565" s="651"/>
      <c r="FV565" s="101"/>
      <c r="FW565" s="101"/>
      <c r="FX565" s="634"/>
      <c r="FY565" s="634"/>
      <c r="FZ565" s="634"/>
      <c r="GA565" s="634"/>
      <c r="GB565" s="634"/>
      <c r="GC565" s="634"/>
      <c r="GD565" s="634"/>
      <c r="GE565" s="634"/>
      <c r="GF565" s="634"/>
      <c r="GG565" s="634"/>
      <c r="GH565" s="634"/>
      <c r="GI565" s="634"/>
      <c r="GJ565" s="634"/>
      <c r="GK565" s="634"/>
      <c r="GL565" s="101"/>
      <c r="GM565" s="101"/>
      <c r="GN565" s="101"/>
      <c r="GO565" s="643"/>
      <c r="GP565" s="644"/>
      <c r="GQ565" s="643"/>
      <c r="GR565" s="644"/>
      <c r="GS565" s="643"/>
      <c r="GT565" s="644"/>
      <c r="GU565" s="644"/>
      <c r="GV565" s="644"/>
      <c r="GW565" s="644"/>
      <c r="GX565" s="644"/>
      <c r="GY565" s="644"/>
      <c r="GZ565" s="644"/>
      <c r="HA565" s="644"/>
    </row>
    <row r="566" spans="1:209">
      <c r="A566" s="638"/>
      <c r="B566" s="95"/>
      <c r="C566" s="95"/>
      <c r="D566" s="95"/>
      <c r="E566" s="650"/>
      <c r="F566" s="95"/>
      <c r="G566" s="98"/>
      <c r="H566" s="99"/>
      <c r="I566" s="95"/>
      <c r="J566" s="95"/>
      <c r="K566" s="95"/>
      <c r="L566" s="95"/>
      <c r="M566" s="95"/>
      <c r="N566" s="95"/>
      <c r="O566" s="95"/>
      <c r="P566" s="95"/>
      <c r="Q566" s="95"/>
      <c r="R566" s="98"/>
      <c r="S566" s="101"/>
      <c r="T566" s="644"/>
      <c r="U566" s="101"/>
      <c r="V566" s="647"/>
      <c r="W566" s="643"/>
      <c r="X566" s="644"/>
      <c r="Y566" s="101"/>
      <c r="Z566" s="644"/>
      <c r="AA566" s="101"/>
      <c r="AB566" s="644"/>
      <c r="AC566" s="101"/>
      <c r="AD566" s="646"/>
      <c r="AE566" s="271"/>
      <c r="AF566" s="646"/>
      <c r="AG566" s="646"/>
      <c r="AH566" s="646"/>
      <c r="AI566" s="646"/>
      <c r="AJ566" s="646"/>
      <c r="AK566" s="646"/>
      <c r="AL566" s="646"/>
      <c r="AM566" s="271"/>
      <c r="AN566" s="646"/>
      <c r="AO566" s="646"/>
      <c r="AP566" s="646"/>
      <c r="AQ566" s="271"/>
      <c r="AR566" s="646"/>
      <c r="AS566" s="270"/>
      <c r="AT566" s="646"/>
      <c r="AU566" s="646"/>
      <c r="AV566" s="646"/>
      <c r="AW566" s="270"/>
      <c r="AX566" s="646"/>
      <c r="AY566" s="270"/>
      <c r="AZ566" s="646"/>
      <c r="BA566" s="646"/>
      <c r="BB566" s="644"/>
      <c r="BC566" s="644"/>
      <c r="BD566" s="644"/>
      <c r="BE566" s="644"/>
      <c r="BF566" s="644"/>
      <c r="BG566" s="644"/>
      <c r="BH566" s="644"/>
      <c r="BI566" s="644"/>
      <c r="BJ566" s="644"/>
      <c r="BK566" s="644"/>
      <c r="BL566" s="644"/>
      <c r="BM566" s="95"/>
      <c r="BN566" s="644"/>
      <c r="BO566" s="95"/>
      <c r="BP566" s="644"/>
      <c r="BQ566" s="644"/>
      <c r="BR566" s="644"/>
      <c r="BS566" s="644"/>
      <c r="BT566" s="644"/>
      <c r="BU566" s="644"/>
      <c r="BV566" s="644"/>
      <c r="BW566" s="644"/>
      <c r="BX566" s="644"/>
      <c r="BY566" s="644"/>
      <c r="BZ566" s="644"/>
      <c r="CA566" s="644"/>
      <c r="CB566" s="644"/>
      <c r="CC566" s="644"/>
      <c r="CD566" s="644"/>
      <c r="CE566" s="644"/>
      <c r="CF566" s="644"/>
      <c r="CG566" s="644"/>
      <c r="CH566" s="644"/>
      <c r="CI566" s="644"/>
      <c r="CJ566" s="644"/>
      <c r="CK566" s="644"/>
      <c r="CL566" s="644"/>
      <c r="CM566" s="95"/>
      <c r="CN566" s="644"/>
      <c r="CO566" s="644"/>
      <c r="CP566" s="95"/>
      <c r="CQ566" s="98"/>
      <c r="CR566" s="95"/>
      <c r="CS566" s="95"/>
      <c r="CT566" s="95"/>
      <c r="CU566" s="108"/>
      <c r="CV566" s="109"/>
      <c r="CW566" s="644"/>
      <c r="CX566" s="496"/>
      <c r="CY566" s="637"/>
      <c r="CZ566" s="644"/>
      <c r="DA566" s="644"/>
      <c r="DB566" s="644"/>
      <c r="DC566" s="496"/>
      <c r="DD566" s="644"/>
      <c r="DE566" s="101"/>
      <c r="DF566" s="644"/>
      <c r="DG566" s="101"/>
      <c r="DH566" s="644"/>
      <c r="DI566" s="644"/>
      <c r="DJ566" s="644"/>
      <c r="DK566" s="644"/>
      <c r="DL566" s="644"/>
      <c r="DM566" s="101"/>
      <c r="DN566" s="644"/>
      <c r="DO566" s="644"/>
      <c r="DP566" s="644"/>
      <c r="DQ566" s="644"/>
      <c r="DR566" s="644"/>
      <c r="DS566" s="644"/>
      <c r="DT566" s="644"/>
      <c r="DU566" s="644"/>
      <c r="DV566" s="644"/>
      <c r="DW566" s="101"/>
      <c r="DX566" s="646"/>
      <c r="DY566" s="646"/>
      <c r="DZ566" s="646"/>
      <c r="EA566" s="646"/>
      <c r="EB566" s="646"/>
      <c r="EC566" s="646"/>
      <c r="ED566" s="646"/>
      <c r="EE566" s="646"/>
      <c r="EF566" s="646"/>
      <c r="EG566" s="646"/>
      <c r="EH566" s="646"/>
      <c r="EI566" s="646"/>
      <c r="EJ566" s="646"/>
      <c r="EK566" s="271"/>
      <c r="EL566" s="644"/>
      <c r="EM566" s="634"/>
      <c r="EN566" s="647"/>
      <c r="EO566" s="648"/>
      <c r="EP566" s="647"/>
      <c r="EQ566" s="647"/>
      <c r="ER566" s="647"/>
      <c r="ES566" s="139"/>
      <c r="EV566" s="647"/>
      <c r="EW566" s="647"/>
      <c r="EX566" s="647"/>
      <c r="EY566" s="647"/>
      <c r="EZ566" s="647"/>
      <c r="FA566" s="646"/>
      <c r="FB566" s="646"/>
      <c r="FC566" s="646"/>
      <c r="FD566" s="646"/>
      <c r="FE566" s="646"/>
      <c r="FF566" s="646"/>
      <c r="FG566" s="647"/>
      <c r="FH566" s="647"/>
      <c r="FI566" s="647"/>
      <c r="FJ566" s="647"/>
      <c r="FK566" s="647"/>
      <c r="FL566" s="647"/>
      <c r="FM566" s="647"/>
      <c r="FN566" s="647"/>
      <c r="FO566" s="647"/>
      <c r="FP566" s="647"/>
      <c r="FQ566" s="647"/>
      <c r="FR566" s="647"/>
      <c r="FS566" s="101"/>
      <c r="FT566" s="95"/>
      <c r="FU566" s="651"/>
      <c r="FV566" s="101"/>
      <c r="FW566" s="101"/>
      <c r="FX566" s="634"/>
      <c r="FY566" s="634"/>
      <c r="FZ566" s="634"/>
      <c r="GA566" s="634"/>
      <c r="GB566" s="634"/>
      <c r="GC566" s="634"/>
      <c r="GD566" s="634"/>
      <c r="GE566" s="634"/>
      <c r="GF566" s="634"/>
      <c r="GG566" s="634"/>
      <c r="GH566" s="634"/>
      <c r="GI566" s="634"/>
      <c r="GJ566" s="634"/>
      <c r="GK566" s="634"/>
      <c r="GL566" s="101"/>
      <c r="GM566" s="101"/>
      <c r="GN566" s="101"/>
      <c r="GO566" s="643"/>
      <c r="GP566" s="644"/>
      <c r="GQ566" s="643"/>
      <c r="GR566" s="644"/>
      <c r="GS566" s="643"/>
      <c r="GT566" s="644"/>
      <c r="GU566" s="644"/>
      <c r="GV566" s="644"/>
      <c r="GW566" s="644"/>
      <c r="GX566" s="644"/>
      <c r="GY566" s="644"/>
      <c r="GZ566" s="644"/>
      <c r="HA566" s="644"/>
    </row>
    <row r="567" spans="1:209">
      <c r="A567" s="638"/>
      <c r="B567" s="95"/>
      <c r="C567" s="95"/>
      <c r="D567" s="95"/>
      <c r="E567" s="650"/>
      <c r="F567" s="95"/>
      <c r="G567" s="98"/>
      <c r="H567" s="99"/>
      <c r="I567" s="95"/>
      <c r="J567" s="95"/>
      <c r="K567" s="95"/>
      <c r="L567" s="95"/>
      <c r="M567" s="95"/>
      <c r="N567" s="95"/>
      <c r="O567" s="95"/>
      <c r="P567" s="95"/>
      <c r="Q567" s="95"/>
      <c r="R567" s="98"/>
      <c r="S567" s="101"/>
      <c r="T567" s="644"/>
      <c r="U567" s="101"/>
      <c r="V567" s="647"/>
      <c r="W567" s="643"/>
      <c r="X567" s="644"/>
      <c r="Y567" s="101"/>
      <c r="Z567" s="644"/>
      <c r="AA567" s="101"/>
      <c r="AB567" s="644"/>
      <c r="AC567" s="101"/>
      <c r="AD567" s="646"/>
      <c r="AE567" s="271"/>
      <c r="AF567" s="646"/>
      <c r="AG567" s="646"/>
      <c r="AH567" s="646"/>
      <c r="AI567" s="646"/>
      <c r="AJ567" s="646"/>
      <c r="AK567" s="646"/>
      <c r="AL567" s="646"/>
      <c r="AM567" s="271"/>
      <c r="AN567" s="646"/>
      <c r="AO567" s="646"/>
      <c r="AP567" s="646"/>
      <c r="AQ567" s="271"/>
      <c r="AR567" s="646"/>
      <c r="AS567" s="270"/>
      <c r="AT567" s="646"/>
      <c r="AU567" s="646"/>
      <c r="AV567" s="646"/>
      <c r="AW567" s="270"/>
      <c r="AX567" s="646"/>
      <c r="AY567" s="270"/>
      <c r="AZ567" s="646"/>
      <c r="BA567" s="646"/>
      <c r="BB567" s="644"/>
      <c r="BC567" s="644"/>
      <c r="BD567" s="644"/>
      <c r="BE567" s="644"/>
      <c r="BF567" s="644"/>
      <c r="BG567" s="644"/>
      <c r="BH567" s="644"/>
      <c r="BI567" s="644"/>
      <c r="BJ567" s="644"/>
      <c r="BK567" s="644"/>
      <c r="BL567" s="644"/>
      <c r="BM567" s="95"/>
      <c r="BN567" s="644"/>
      <c r="BO567" s="95"/>
      <c r="BP567" s="644"/>
      <c r="BQ567" s="644"/>
      <c r="BR567" s="644"/>
      <c r="BS567" s="644"/>
      <c r="BT567" s="644"/>
      <c r="BU567" s="644"/>
      <c r="BV567" s="644"/>
      <c r="BW567" s="644"/>
      <c r="BX567" s="644"/>
      <c r="BY567" s="644"/>
      <c r="BZ567" s="644"/>
      <c r="CA567" s="644"/>
      <c r="CB567" s="644"/>
      <c r="CC567" s="644"/>
      <c r="CD567" s="644"/>
      <c r="CE567" s="644"/>
      <c r="CF567" s="644"/>
      <c r="CG567" s="644"/>
      <c r="CH567" s="644"/>
      <c r="CI567" s="644"/>
      <c r="CJ567" s="644"/>
      <c r="CK567" s="644"/>
      <c r="CL567" s="644"/>
      <c r="CM567" s="95"/>
      <c r="CN567" s="644"/>
      <c r="CO567" s="644"/>
      <c r="CP567" s="95"/>
      <c r="CQ567" s="98"/>
      <c r="CR567" s="95"/>
      <c r="CS567" s="95"/>
      <c r="CT567" s="95"/>
      <c r="CU567" s="108"/>
      <c r="CV567" s="109"/>
      <c r="CW567" s="644"/>
      <c r="CX567" s="496"/>
      <c r="CY567" s="637"/>
      <c r="CZ567" s="644"/>
      <c r="DA567" s="644"/>
      <c r="DB567" s="644"/>
      <c r="DC567" s="496"/>
      <c r="DD567" s="644"/>
      <c r="DE567" s="101"/>
      <c r="DF567" s="644"/>
      <c r="DG567" s="101"/>
      <c r="DH567" s="644"/>
      <c r="DI567" s="644"/>
      <c r="DJ567" s="644"/>
      <c r="DK567" s="644"/>
      <c r="DL567" s="644"/>
      <c r="DM567" s="101"/>
      <c r="DN567" s="644"/>
      <c r="DO567" s="644"/>
      <c r="DP567" s="644"/>
      <c r="DQ567" s="644"/>
      <c r="DR567" s="644"/>
      <c r="DS567" s="644"/>
      <c r="DT567" s="644"/>
      <c r="DU567" s="644"/>
      <c r="DV567" s="644"/>
      <c r="DW567" s="101"/>
      <c r="DX567" s="646"/>
      <c r="DY567" s="646"/>
      <c r="DZ567" s="646"/>
      <c r="EA567" s="646"/>
      <c r="EB567" s="646"/>
      <c r="EC567" s="646"/>
      <c r="ED567" s="646"/>
      <c r="EE567" s="646"/>
      <c r="EF567" s="646"/>
      <c r="EG567" s="646"/>
      <c r="EH567" s="646"/>
      <c r="EI567" s="646"/>
      <c r="EJ567" s="646"/>
      <c r="EK567" s="271"/>
      <c r="EL567" s="644"/>
      <c r="EM567" s="634"/>
      <c r="EN567" s="647"/>
      <c r="EO567" s="648"/>
      <c r="EP567" s="647"/>
      <c r="EQ567" s="647"/>
      <c r="ER567" s="647"/>
      <c r="ES567" s="139"/>
      <c r="EV567" s="647"/>
      <c r="EW567" s="647"/>
      <c r="EX567" s="647"/>
      <c r="EY567" s="647"/>
      <c r="EZ567" s="647"/>
      <c r="FA567" s="646"/>
      <c r="FB567" s="646"/>
      <c r="FC567" s="646"/>
      <c r="FD567" s="646"/>
      <c r="FE567" s="646"/>
      <c r="FF567" s="646"/>
      <c r="FG567" s="647"/>
      <c r="FH567" s="647"/>
      <c r="FI567" s="647"/>
      <c r="FJ567" s="647"/>
      <c r="FK567" s="647"/>
      <c r="FL567" s="647"/>
      <c r="FM567" s="647"/>
      <c r="FN567" s="647"/>
      <c r="FO567" s="647"/>
      <c r="FP567" s="647"/>
      <c r="FQ567" s="647"/>
      <c r="FR567" s="647"/>
      <c r="FS567" s="101"/>
      <c r="FT567" s="95"/>
      <c r="FU567" s="651"/>
      <c r="FV567" s="101"/>
      <c r="FW567" s="101"/>
      <c r="FX567" s="634"/>
      <c r="FY567" s="634"/>
      <c r="FZ567" s="634"/>
      <c r="GA567" s="634"/>
      <c r="GB567" s="634"/>
      <c r="GC567" s="634"/>
      <c r="GD567" s="634"/>
      <c r="GE567" s="634"/>
      <c r="GF567" s="634"/>
      <c r="GG567" s="634"/>
      <c r="GH567" s="634"/>
      <c r="GI567" s="634"/>
      <c r="GJ567" s="634"/>
      <c r="GK567" s="634"/>
      <c r="GL567" s="101"/>
      <c r="GM567" s="101"/>
      <c r="GN567" s="101"/>
      <c r="GO567" s="643"/>
      <c r="GP567" s="644"/>
      <c r="GQ567" s="643"/>
      <c r="GR567" s="644"/>
      <c r="GS567" s="643"/>
      <c r="GT567" s="644"/>
      <c r="GU567" s="644"/>
      <c r="GV567" s="644"/>
      <c r="GW567" s="644"/>
      <c r="GX567" s="644"/>
      <c r="GY567" s="644"/>
      <c r="GZ567" s="644"/>
      <c r="HA567" s="644"/>
    </row>
    <row r="568" spans="1:209">
      <c r="A568" s="638"/>
      <c r="B568" s="95"/>
      <c r="C568" s="95"/>
      <c r="D568" s="95"/>
      <c r="E568" s="650"/>
      <c r="F568" s="95"/>
      <c r="G568" s="98"/>
      <c r="H568" s="99"/>
      <c r="I568" s="95"/>
      <c r="J568" s="95"/>
      <c r="K568" s="95"/>
      <c r="L568" s="95"/>
      <c r="M568" s="95"/>
      <c r="N568" s="95"/>
      <c r="O568" s="95"/>
      <c r="P568" s="95"/>
      <c r="Q568" s="95"/>
      <c r="R568" s="98"/>
      <c r="S568" s="101"/>
      <c r="T568" s="644"/>
      <c r="U568" s="101"/>
      <c r="V568" s="647"/>
      <c r="W568" s="643"/>
      <c r="X568" s="644"/>
      <c r="Y568" s="101"/>
      <c r="Z568" s="644"/>
      <c r="AA568" s="101"/>
      <c r="AB568" s="644"/>
      <c r="AC568" s="101"/>
      <c r="AD568" s="646"/>
      <c r="AE568" s="271"/>
      <c r="AF568" s="646"/>
      <c r="AG568" s="646"/>
      <c r="AH568" s="646"/>
      <c r="AI568" s="646"/>
      <c r="AJ568" s="646"/>
      <c r="AK568" s="646"/>
      <c r="AL568" s="646"/>
      <c r="AM568" s="271"/>
      <c r="AN568" s="646"/>
      <c r="AO568" s="646"/>
      <c r="AP568" s="646"/>
      <c r="AQ568" s="271"/>
      <c r="AR568" s="646"/>
      <c r="AS568" s="270"/>
      <c r="AT568" s="646"/>
      <c r="AU568" s="646"/>
      <c r="AV568" s="646"/>
      <c r="AW568" s="270"/>
      <c r="AX568" s="646"/>
      <c r="AY568" s="270"/>
      <c r="AZ568" s="646"/>
      <c r="BA568" s="646"/>
      <c r="BB568" s="644"/>
      <c r="BC568" s="644"/>
      <c r="BD568" s="644"/>
      <c r="BE568" s="644"/>
      <c r="BF568" s="644"/>
      <c r="BG568" s="644"/>
      <c r="BH568" s="644"/>
      <c r="BI568" s="644"/>
      <c r="BJ568" s="644"/>
      <c r="BK568" s="644"/>
      <c r="BL568" s="644"/>
      <c r="BM568" s="95"/>
      <c r="BN568" s="644"/>
      <c r="BO568" s="95"/>
      <c r="BP568" s="644"/>
      <c r="BQ568" s="644"/>
      <c r="BR568" s="644"/>
      <c r="BS568" s="644"/>
      <c r="BT568" s="644"/>
      <c r="BU568" s="644"/>
      <c r="BV568" s="644"/>
      <c r="BW568" s="644"/>
      <c r="BX568" s="644"/>
      <c r="BY568" s="644"/>
      <c r="BZ568" s="644"/>
      <c r="CA568" s="644"/>
      <c r="CB568" s="644"/>
      <c r="CC568" s="644"/>
      <c r="CD568" s="644"/>
      <c r="CE568" s="644"/>
      <c r="CF568" s="644"/>
      <c r="CG568" s="644"/>
      <c r="CH568" s="644"/>
      <c r="CI568" s="644"/>
      <c r="CJ568" s="644"/>
      <c r="CK568" s="644"/>
      <c r="CL568" s="644"/>
      <c r="CM568" s="95"/>
      <c r="CN568" s="644"/>
      <c r="CO568" s="644"/>
      <c r="CP568" s="95"/>
      <c r="CQ568" s="98"/>
      <c r="CR568" s="95"/>
      <c r="CS568" s="95"/>
      <c r="CT568" s="95"/>
      <c r="CU568" s="108"/>
      <c r="CV568" s="109"/>
      <c r="CW568" s="644"/>
      <c r="CX568" s="496"/>
      <c r="CY568" s="637"/>
      <c r="CZ568" s="644"/>
      <c r="DA568" s="644"/>
      <c r="DB568" s="644"/>
      <c r="DC568" s="496"/>
      <c r="DD568" s="644"/>
      <c r="DE568" s="101"/>
      <c r="DF568" s="644"/>
      <c r="DG568" s="101"/>
      <c r="DH568" s="644"/>
      <c r="DI568" s="644"/>
      <c r="DJ568" s="644"/>
      <c r="DK568" s="644"/>
      <c r="DL568" s="644"/>
      <c r="DM568" s="101"/>
      <c r="DN568" s="644"/>
      <c r="DO568" s="644"/>
      <c r="DP568" s="644"/>
      <c r="DQ568" s="644"/>
      <c r="DR568" s="644"/>
      <c r="DS568" s="644"/>
      <c r="DT568" s="644"/>
      <c r="DU568" s="644"/>
      <c r="DV568" s="644"/>
      <c r="DW568" s="101"/>
      <c r="DX568" s="646"/>
      <c r="DY568" s="646"/>
      <c r="DZ568" s="646"/>
      <c r="EA568" s="646"/>
      <c r="EB568" s="646"/>
      <c r="EC568" s="646"/>
      <c r="ED568" s="646"/>
      <c r="EE568" s="646"/>
      <c r="EF568" s="646"/>
      <c r="EG568" s="646"/>
      <c r="EH568" s="646"/>
      <c r="EI568" s="646"/>
      <c r="EJ568" s="646"/>
      <c r="EK568" s="271"/>
      <c r="EL568" s="644"/>
      <c r="EM568" s="634"/>
      <c r="EN568" s="647"/>
      <c r="EO568" s="648"/>
      <c r="EP568" s="647"/>
      <c r="EQ568" s="647"/>
      <c r="ER568" s="647"/>
      <c r="ES568" s="139"/>
      <c r="EV568" s="647"/>
      <c r="EW568" s="647"/>
      <c r="EX568" s="647"/>
      <c r="EY568" s="647"/>
      <c r="EZ568" s="647"/>
      <c r="FA568" s="646"/>
      <c r="FB568" s="646"/>
      <c r="FC568" s="646"/>
      <c r="FD568" s="646"/>
      <c r="FE568" s="646"/>
      <c r="FF568" s="646"/>
      <c r="FG568" s="647"/>
      <c r="FH568" s="647"/>
      <c r="FI568" s="647"/>
      <c r="FJ568" s="647"/>
      <c r="FK568" s="647"/>
      <c r="FL568" s="647"/>
      <c r="FM568" s="647"/>
      <c r="FN568" s="647"/>
      <c r="FO568" s="647"/>
      <c r="FP568" s="647"/>
      <c r="FQ568" s="647"/>
      <c r="FR568" s="647"/>
      <c r="FS568" s="101"/>
      <c r="FT568" s="95"/>
      <c r="FU568" s="651"/>
      <c r="FV568" s="101"/>
      <c r="FW568" s="101"/>
      <c r="FX568" s="634"/>
      <c r="FY568" s="634"/>
      <c r="FZ568" s="634"/>
      <c r="GA568" s="634"/>
      <c r="GB568" s="634"/>
      <c r="GC568" s="634"/>
      <c r="GD568" s="634"/>
      <c r="GE568" s="634"/>
      <c r="GF568" s="634"/>
      <c r="GG568" s="634"/>
      <c r="GH568" s="634"/>
      <c r="GI568" s="634"/>
      <c r="GJ568" s="634"/>
      <c r="GK568" s="634"/>
      <c r="GL568" s="101"/>
      <c r="GM568" s="101"/>
      <c r="GN568" s="101"/>
      <c r="GO568" s="643"/>
      <c r="GP568" s="644"/>
      <c r="GQ568" s="643"/>
      <c r="GR568" s="644"/>
      <c r="GS568" s="643"/>
      <c r="GT568" s="644"/>
      <c r="GU568" s="644"/>
      <c r="GV568" s="644"/>
      <c r="GW568" s="644"/>
      <c r="GX568" s="644"/>
      <c r="GY568" s="644"/>
      <c r="GZ568" s="644"/>
      <c r="HA568" s="644"/>
    </row>
    <row r="569" spans="1:209">
      <c r="A569" s="638"/>
      <c r="B569" s="95"/>
      <c r="C569" s="95"/>
      <c r="D569" s="95"/>
      <c r="E569" s="650"/>
      <c r="F569" s="95"/>
      <c r="G569" s="98"/>
      <c r="H569" s="99"/>
      <c r="I569" s="95"/>
      <c r="J569" s="95"/>
      <c r="K569" s="95"/>
      <c r="L569" s="95"/>
      <c r="M569" s="95"/>
      <c r="N569" s="95"/>
      <c r="O569" s="95"/>
      <c r="P569" s="95"/>
      <c r="Q569" s="95"/>
      <c r="R569" s="98"/>
      <c r="S569" s="101"/>
      <c r="T569" s="644"/>
      <c r="U569" s="101"/>
      <c r="V569" s="647"/>
      <c r="W569" s="643"/>
      <c r="X569" s="644"/>
      <c r="Y569" s="101"/>
      <c r="Z569" s="644"/>
      <c r="AA569" s="101"/>
      <c r="AB569" s="644"/>
      <c r="AC569" s="101"/>
      <c r="AD569" s="646"/>
      <c r="AE569" s="271"/>
      <c r="AF569" s="646"/>
      <c r="AG569" s="646"/>
      <c r="AH569" s="646"/>
      <c r="AI569" s="646"/>
      <c r="AJ569" s="646"/>
      <c r="AK569" s="646"/>
      <c r="AL569" s="646"/>
      <c r="AM569" s="271"/>
      <c r="AN569" s="646"/>
      <c r="AO569" s="646"/>
      <c r="AP569" s="646"/>
      <c r="AQ569" s="271"/>
      <c r="AR569" s="646"/>
      <c r="AS569" s="270"/>
      <c r="AT569" s="646"/>
      <c r="AU569" s="646"/>
      <c r="AV569" s="646"/>
      <c r="AW569" s="270"/>
      <c r="AX569" s="646"/>
      <c r="AY569" s="270"/>
      <c r="AZ569" s="646"/>
      <c r="BA569" s="646"/>
      <c r="BB569" s="644"/>
      <c r="BC569" s="644"/>
      <c r="BD569" s="644"/>
      <c r="BE569" s="644"/>
      <c r="BF569" s="644"/>
      <c r="BG569" s="644"/>
      <c r="BH569" s="644"/>
      <c r="BI569" s="644"/>
      <c r="BJ569" s="644"/>
      <c r="BK569" s="644"/>
      <c r="BL569" s="644"/>
      <c r="BM569" s="95"/>
      <c r="BN569" s="644"/>
      <c r="BO569" s="95"/>
      <c r="BP569" s="644"/>
      <c r="BQ569" s="644"/>
      <c r="BR569" s="644"/>
      <c r="BS569" s="644"/>
      <c r="BT569" s="644"/>
      <c r="BU569" s="644"/>
      <c r="BV569" s="644"/>
      <c r="BW569" s="644"/>
      <c r="BX569" s="644"/>
      <c r="BY569" s="644"/>
      <c r="BZ569" s="644"/>
      <c r="CA569" s="644"/>
      <c r="CB569" s="644"/>
      <c r="CC569" s="644"/>
      <c r="CD569" s="644"/>
      <c r="CE569" s="644"/>
      <c r="CF569" s="644"/>
      <c r="CG569" s="644"/>
      <c r="CH569" s="644"/>
      <c r="CI569" s="644"/>
      <c r="CJ569" s="644"/>
      <c r="CK569" s="644"/>
      <c r="CL569" s="644"/>
      <c r="CM569" s="95"/>
      <c r="CN569" s="644"/>
      <c r="CO569" s="644"/>
      <c r="CP569" s="95"/>
      <c r="CQ569" s="98"/>
      <c r="CR569" s="95"/>
      <c r="CS569" s="95"/>
      <c r="CT569" s="95"/>
      <c r="CU569" s="108"/>
      <c r="CV569" s="109"/>
      <c r="CW569" s="644"/>
      <c r="CX569" s="496"/>
      <c r="CY569" s="637"/>
      <c r="CZ569" s="644"/>
      <c r="DA569" s="644"/>
      <c r="DB569" s="644"/>
      <c r="DC569" s="496"/>
      <c r="DD569" s="644"/>
      <c r="DE569" s="101"/>
      <c r="DF569" s="644"/>
      <c r="DG569" s="101"/>
      <c r="DH569" s="644"/>
      <c r="DI569" s="644"/>
      <c r="DJ569" s="644"/>
      <c r="DK569" s="644"/>
      <c r="DL569" s="644"/>
      <c r="DM569" s="101"/>
      <c r="DN569" s="644"/>
      <c r="DO569" s="644"/>
      <c r="DP569" s="644"/>
      <c r="DQ569" s="644"/>
      <c r="DR569" s="644"/>
      <c r="DS569" s="644"/>
      <c r="DT569" s="644"/>
      <c r="DU569" s="644"/>
      <c r="DV569" s="644"/>
      <c r="DW569" s="101"/>
      <c r="DX569" s="646"/>
      <c r="DY569" s="646"/>
      <c r="DZ569" s="646"/>
      <c r="EA569" s="646"/>
      <c r="EB569" s="646"/>
      <c r="EC569" s="646"/>
      <c r="ED569" s="646"/>
      <c r="EE569" s="646"/>
      <c r="EF569" s="646"/>
      <c r="EG569" s="646"/>
      <c r="EH569" s="646"/>
      <c r="EI569" s="646"/>
      <c r="EJ569" s="646"/>
      <c r="EK569" s="271"/>
      <c r="EL569" s="644"/>
      <c r="EM569" s="634"/>
      <c r="EN569" s="647"/>
      <c r="EO569" s="648"/>
      <c r="EP569" s="647"/>
      <c r="EQ569" s="647"/>
      <c r="ER569" s="647"/>
      <c r="ES569" s="139"/>
      <c r="EV569" s="647"/>
      <c r="EW569" s="647"/>
      <c r="EX569" s="647"/>
      <c r="EY569" s="647"/>
      <c r="EZ569" s="647"/>
      <c r="FA569" s="646"/>
      <c r="FB569" s="646"/>
      <c r="FC569" s="646"/>
      <c r="FD569" s="646"/>
      <c r="FE569" s="646"/>
      <c r="FF569" s="646"/>
      <c r="FG569" s="647"/>
      <c r="FH569" s="647"/>
      <c r="FI569" s="647"/>
      <c r="FJ569" s="647"/>
      <c r="FK569" s="647"/>
      <c r="FL569" s="647"/>
      <c r="FM569" s="647"/>
      <c r="FN569" s="647"/>
      <c r="FO569" s="647"/>
      <c r="FP569" s="647"/>
      <c r="FQ569" s="647"/>
      <c r="FR569" s="647"/>
      <c r="FS569" s="101"/>
      <c r="FT569" s="95"/>
      <c r="FU569" s="651"/>
      <c r="FV569" s="101"/>
      <c r="FW569" s="101"/>
      <c r="FX569" s="634"/>
      <c r="FY569" s="634"/>
      <c r="FZ569" s="634"/>
      <c r="GA569" s="634"/>
      <c r="GB569" s="634"/>
      <c r="GC569" s="634"/>
      <c r="GD569" s="634"/>
      <c r="GE569" s="634"/>
      <c r="GF569" s="634"/>
      <c r="GG569" s="634"/>
      <c r="GH569" s="634"/>
      <c r="GI569" s="634"/>
      <c r="GJ569" s="634"/>
      <c r="GK569" s="634"/>
      <c r="GL569" s="101"/>
      <c r="GM569" s="101"/>
      <c r="GN569" s="101"/>
      <c r="GO569" s="643"/>
      <c r="GP569" s="644"/>
      <c r="GQ569" s="643"/>
      <c r="GR569" s="644"/>
      <c r="GS569" s="643"/>
      <c r="GT569" s="644"/>
      <c r="GU569" s="644"/>
      <c r="GV569" s="644"/>
      <c r="GW569" s="644"/>
      <c r="GX569" s="644"/>
      <c r="GY569" s="644"/>
      <c r="GZ569" s="644"/>
      <c r="HA569" s="644"/>
    </row>
    <row r="570" spans="1:209">
      <c r="A570" s="638"/>
      <c r="B570" s="95"/>
      <c r="C570" s="95"/>
      <c r="D570" s="95"/>
      <c r="E570" s="650"/>
      <c r="F570" s="95"/>
      <c r="G570" s="98"/>
      <c r="H570" s="99"/>
      <c r="I570" s="95"/>
      <c r="J570" s="95"/>
      <c r="K570" s="95"/>
      <c r="L570" s="95"/>
      <c r="M570" s="95"/>
      <c r="N570" s="95"/>
      <c r="O570" s="95"/>
      <c r="P570" s="95"/>
      <c r="Q570" s="95"/>
      <c r="R570" s="98"/>
      <c r="S570" s="101"/>
      <c r="T570" s="644"/>
      <c r="U570" s="101"/>
      <c r="V570" s="647"/>
      <c r="W570" s="643"/>
      <c r="X570" s="644"/>
      <c r="Y570" s="101"/>
      <c r="Z570" s="644"/>
      <c r="AA570" s="101"/>
      <c r="AB570" s="644"/>
      <c r="AC570" s="101"/>
      <c r="AD570" s="646"/>
      <c r="AE570" s="271"/>
      <c r="AF570" s="646"/>
      <c r="AG570" s="646"/>
      <c r="AH570" s="646"/>
      <c r="AI570" s="646"/>
      <c r="AJ570" s="646"/>
      <c r="AK570" s="646"/>
      <c r="AL570" s="646"/>
      <c r="AM570" s="271"/>
      <c r="AN570" s="646"/>
      <c r="AO570" s="646"/>
      <c r="AP570" s="646"/>
      <c r="AQ570" s="271"/>
      <c r="AR570" s="646"/>
      <c r="AS570" s="270"/>
      <c r="AT570" s="646"/>
      <c r="AU570" s="646"/>
      <c r="AV570" s="646"/>
      <c r="AW570" s="270"/>
      <c r="AX570" s="646"/>
      <c r="AY570" s="270"/>
      <c r="AZ570" s="646"/>
      <c r="BA570" s="646"/>
      <c r="BB570" s="644"/>
      <c r="BC570" s="644"/>
      <c r="BD570" s="644"/>
      <c r="BE570" s="644"/>
      <c r="BF570" s="644"/>
      <c r="BG570" s="644"/>
      <c r="BH570" s="644"/>
      <c r="BI570" s="644"/>
      <c r="BJ570" s="644"/>
      <c r="BK570" s="644"/>
      <c r="BL570" s="644"/>
      <c r="BM570" s="95"/>
      <c r="BN570" s="644"/>
      <c r="BO570" s="95"/>
      <c r="BP570" s="644"/>
      <c r="BQ570" s="644"/>
      <c r="BR570" s="644"/>
      <c r="BS570" s="644"/>
      <c r="BT570" s="644"/>
      <c r="BU570" s="644"/>
      <c r="BV570" s="644"/>
      <c r="BW570" s="644"/>
      <c r="BX570" s="644"/>
      <c r="BY570" s="644"/>
      <c r="BZ570" s="644"/>
      <c r="CA570" s="644"/>
      <c r="CB570" s="644"/>
      <c r="CC570" s="644"/>
      <c r="CD570" s="644"/>
      <c r="CE570" s="644"/>
      <c r="CF570" s="644"/>
      <c r="CG570" s="644"/>
      <c r="CH570" s="644"/>
      <c r="CI570" s="644"/>
      <c r="CJ570" s="644"/>
      <c r="CK570" s="644"/>
      <c r="CL570" s="644"/>
      <c r="CM570" s="95"/>
      <c r="CN570" s="644"/>
      <c r="CO570" s="644"/>
      <c r="CP570" s="95"/>
      <c r="CQ570" s="98"/>
      <c r="CR570" s="95"/>
      <c r="CS570" s="95"/>
      <c r="CT570" s="95"/>
      <c r="CU570" s="108"/>
      <c r="CV570" s="109"/>
      <c r="CW570" s="644"/>
      <c r="CX570" s="496"/>
      <c r="CY570" s="637"/>
      <c r="CZ570" s="644"/>
      <c r="DA570" s="644"/>
      <c r="DB570" s="644"/>
      <c r="DC570" s="496"/>
      <c r="DD570" s="644"/>
      <c r="DE570" s="101"/>
      <c r="DF570" s="644"/>
      <c r="DG570" s="101"/>
      <c r="DH570" s="644"/>
      <c r="DI570" s="644"/>
      <c r="DJ570" s="644"/>
      <c r="DK570" s="644"/>
      <c r="DL570" s="644"/>
      <c r="DM570" s="101"/>
      <c r="DN570" s="644"/>
      <c r="DO570" s="644"/>
      <c r="DP570" s="644"/>
      <c r="DQ570" s="644"/>
      <c r="DR570" s="644"/>
      <c r="DS570" s="644"/>
      <c r="DT570" s="644"/>
      <c r="DU570" s="644"/>
      <c r="DV570" s="644"/>
      <c r="DW570" s="101"/>
      <c r="DX570" s="646"/>
      <c r="DY570" s="646"/>
      <c r="DZ570" s="646"/>
      <c r="EA570" s="646"/>
      <c r="EB570" s="646"/>
      <c r="EC570" s="646"/>
      <c r="ED570" s="646"/>
      <c r="EE570" s="646"/>
      <c r="EF570" s="646"/>
      <c r="EG570" s="646"/>
      <c r="EH570" s="646"/>
      <c r="EI570" s="646"/>
      <c r="EJ570" s="646"/>
      <c r="EK570" s="271"/>
      <c r="EL570" s="644"/>
      <c r="EM570" s="634"/>
      <c r="EN570" s="647"/>
      <c r="EO570" s="648"/>
      <c r="EP570" s="647"/>
      <c r="EQ570" s="647"/>
      <c r="ER570" s="647"/>
      <c r="ES570" s="139"/>
      <c r="EV570" s="647"/>
      <c r="EW570" s="647"/>
      <c r="EX570" s="647"/>
      <c r="EY570" s="647"/>
      <c r="EZ570" s="647"/>
      <c r="FA570" s="646"/>
      <c r="FB570" s="646"/>
      <c r="FC570" s="646"/>
      <c r="FD570" s="646"/>
      <c r="FE570" s="646"/>
      <c r="FF570" s="646"/>
      <c r="FG570" s="647"/>
      <c r="FH570" s="647"/>
      <c r="FI570" s="647"/>
      <c r="FJ570" s="647"/>
      <c r="FK570" s="647"/>
      <c r="FL570" s="647"/>
      <c r="FM570" s="647"/>
      <c r="FN570" s="647"/>
      <c r="FO570" s="647"/>
      <c r="FP570" s="647"/>
      <c r="FQ570" s="647"/>
      <c r="FR570" s="647"/>
      <c r="FS570" s="101"/>
      <c r="FT570" s="95"/>
      <c r="FU570" s="651"/>
      <c r="FV570" s="101"/>
      <c r="FW570" s="101"/>
      <c r="FX570" s="634"/>
      <c r="FY570" s="634"/>
      <c r="FZ570" s="634"/>
      <c r="GA570" s="634"/>
      <c r="GB570" s="634"/>
      <c r="GC570" s="634"/>
      <c r="GD570" s="634"/>
      <c r="GE570" s="634"/>
      <c r="GF570" s="634"/>
      <c r="GG570" s="634"/>
      <c r="GH570" s="634"/>
      <c r="GI570" s="634"/>
      <c r="GJ570" s="634"/>
      <c r="GK570" s="634"/>
      <c r="GL570" s="101"/>
      <c r="GM570" s="101"/>
      <c r="GN570" s="101"/>
      <c r="GO570" s="643"/>
      <c r="GP570" s="644"/>
      <c r="GQ570" s="643"/>
      <c r="GR570" s="644"/>
      <c r="GS570" s="643"/>
      <c r="GT570" s="644"/>
      <c r="GU570" s="644"/>
      <c r="GV570" s="644"/>
      <c r="GW570" s="644"/>
      <c r="GX570" s="644"/>
      <c r="GY570" s="644"/>
      <c r="GZ570" s="644"/>
      <c r="HA570" s="644"/>
    </row>
    <row r="571" spans="1:209">
      <c r="A571" s="638"/>
      <c r="B571" s="95"/>
      <c r="C571" s="95"/>
      <c r="D571" s="95"/>
      <c r="E571" s="650"/>
      <c r="F571" s="95"/>
      <c r="G571" s="98"/>
      <c r="H571" s="99"/>
      <c r="I571" s="95"/>
      <c r="J571" s="95"/>
      <c r="K571" s="95"/>
      <c r="L571" s="95"/>
      <c r="M571" s="95"/>
      <c r="N571" s="95"/>
      <c r="O571" s="95"/>
      <c r="P571" s="95"/>
      <c r="Q571" s="95"/>
      <c r="R571" s="98"/>
      <c r="S571" s="101"/>
      <c r="T571" s="644"/>
      <c r="U571" s="101"/>
      <c r="V571" s="647"/>
      <c r="W571" s="643"/>
      <c r="X571" s="644"/>
      <c r="Y571" s="101"/>
      <c r="Z571" s="644"/>
      <c r="AA571" s="101"/>
      <c r="AB571" s="644"/>
      <c r="AC571" s="101"/>
      <c r="AD571" s="646"/>
      <c r="AE571" s="271"/>
      <c r="AF571" s="646"/>
      <c r="AG571" s="646"/>
      <c r="AH571" s="646"/>
      <c r="AI571" s="646"/>
      <c r="AJ571" s="646"/>
      <c r="AK571" s="646"/>
      <c r="AL571" s="646"/>
      <c r="AM571" s="271"/>
      <c r="AN571" s="646"/>
      <c r="AO571" s="646"/>
      <c r="AP571" s="646"/>
      <c r="AQ571" s="271"/>
      <c r="AR571" s="646"/>
      <c r="AS571" s="270"/>
      <c r="AT571" s="646"/>
      <c r="AU571" s="646"/>
      <c r="AV571" s="646"/>
      <c r="AW571" s="270"/>
      <c r="AX571" s="646"/>
      <c r="AY571" s="270"/>
      <c r="AZ571" s="646"/>
      <c r="BA571" s="646"/>
      <c r="BB571" s="644"/>
      <c r="BC571" s="644"/>
      <c r="BD571" s="644"/>
      <c r="BE571" s="644"/>
      <c r="BF571" s="644"/>
      <c r="BG571" s="644"/>
      <c r="BH571" s="644"/>
      <c r="BI571" s="644"/>
      <c r="BJ571" s="644"/>
      <c r="BK571" s="644"/>
      <c r="BL571" s="644"/>
      <c r="BM571" s="95"/>
      <c r="BN571" s="644"/>
      <c r="BO571" s="95"/>
      <c r="BP571" s="644"/>
      <c r="BQ571" s="644"/>
      <c r="BR571" s="644"/>
      <c r="BS571" s="644"/>
      <c r="BT571" s="644"/>
      <c r="BU571" s="644"/>
      <c r="BV571" s="644"/>
      <c r="BW571" s="644"/>
      <c r="BX571" s="644"/>
      <c r="BY571" s="644"/>
      <c r="BZ571" s="644"/>
      <c r="CA571" s="644"/>
      <c r="CB571" s="644"/>
      <c r="CC571" s="644"/>
      <c r="CD571" s="644"/>
      <c r="CE571" s="644"/>
      <c r="CF571" s="644"/>
      <c r="CG571" s="644"/>
      <c r="CH571" s="644"/>
      <c r="CI571" s="644"/>
      <c r="CJ571" s="644"/>
      <c r="CK571" s="644"/>
      <c r="CL571" s="644"/>
      <c r="CM571" s="95"/>
      <c r="CN571" s="644"/>
      <c r="CO571" s="644"/>
      <c r="CP571" s="95"/>
      <c r="CQ571" s="98"/>
      <c r="CR571" s="95"/>
      <c r="CS571" s="95"/>
      <c r="CT571" s="95"/>
      <c r="CU571" s="108"/>
      <c r="CV571" s="109"/>
      <c r="CW571" s="644"/>
      <c r="CX571" s="496"/>
      <c r="CY571" s="637"/>
      <c r="CZ571" s="644"/>
      <c r="DA571" s="644"/>
      <c r="DB571" s="644"/>
      <c r="DC571" s="496"/>
      <c r="DD571" s="644"/>
      <c r="DE571" s="101"/>
      <c r="DF571" s="644"/>
      <c r="DG571" s="101"/>
      <c r="DH571" s="644"/>
      <c r="DI571" s="644"/>
      <c r="DJ571" s="644"/>
      <c r="DK571" s="644"/>
      <c r="DL571" s="644"/>
      <c r="DM571" s="101"/>
      <c r="DN571" s="644"/>
      <c r="DO571" s="644"/>
      <c r="DP571" s="644"/>
      <c r="DQ571" s="644"/>
      <c r="DR571" s="644"/>
      <c r="DS571" s="644"/>
      <c r="DT571" s="644"/>
      <c r="DU571" s="644"/>
      <c r="DV571" s="644"/>
      <c r="DW571" s="101"/>
      <c r="DX571" s="646"/>
      <c r="DY571" s="646"/>
      <c r="DZ571" s="646"/>
      <c r="EA571" s="646"/>
      <c r="EB571" s="646"/>
      <c r="EC571" s="646"/>
      <c r="ED571" s="646"/>
      <c r="EE571" s="646"/>
      <c r="EF571" s="646"/>
      <c r="EG571" s="646"/>
      <c r="EH571" s="646"/>
      <c r="EI571" s="646"/>
      <c r="EJ571" s="646"/>
      <c r="EK571" s="271"/>
      <c r="EL571" s="644"/>
      <c r="EM571" s="634"/>
      <c r="EN571" s="647"/>
      <c r="EO571" s="648"/>
      <c r="EP571" s="647"/>
      <c r="EQ571" s="647"/>
      <c r="ER571" s="647"/>
      <c r="ES571" s="139"/>
      <c r="EV571" s="647"/>
      <c r="EW571" s="647"/>
      <c r="EX571" s="647"/>
      <c r="EY571" s="647"/>
      <c r="EZ571" s="647"/>
      <c r="FA571" s="646"/>
      <c r="FB571" s="646"/>
      <c r="FC571" s="646"/>
      <c r="FD571" s="646"/>
      <c r="FE571" s="646"/>
      <c r="FF571" s="646"/>
      <c r="FG571" s="647"/>
      <c r="FH571" s="647"/>
      <c r="FI571" s="647"/>
      <c r="FJ571" s="647"/>
      <c r="FK571" s="647"/>
      <c r="FL571" s="647"/>
      <c r="FM571" s="647"/>
      <c r="FN571" s="647"/>
      <c r="FO571" s="647"/>
      <c r="FP571" s="647"/>
      <c r="FQ571" s="647"/>
      <c r="FR571" s="647"/>
      <c r="FS571" s="101"/>
      <c r="FT571" s="95"/>
      <c r="FU571" s="651"/>
      <c r="FV571" s="101"/>
      <c r="FW571" s="101"/>
      <c r="FX571" s="634"/>
      <c r="FY571" s="634"/>
      <c r="FZ571" s="634"/>
      <c r="GA571" s="634"/>
      <c r="GB571" s="634"/>
      <c r="GC571" s="634"/>
      <c r="GD571" s="634"/>
      <c r="GE571" s="634"/>
      <c r="GF571" s="634"/>
      <c r="GG571" s="634"/>
      <c r="GH571" s="634"/>
      <c r="GI571" s="634"/>
      <c r="GJ571" s="634"/>
      <c r="GK571" s="634"/>
      <c r="GL571" s="101"/>
      <c r="GM571" s="101"/>
      <c r="GN571" s="101"/>
      <c r="GO571" s="643"/>
      <c r="GP571" s="644"/>
      <c r="GQ571" s="643"/>
      <c r="GR571" s="644"/>
      <c r="GS571" s="643"/>
      <c r="GT571" s="644"/>
      <c r="GU571" s="644"/>
      <c r="GV571" s="644"/>
      <c r="GW571" s="644"/>
      <c r="GX571" s="644"/>
      <c r="GY571" s="644"/>
      <c r="GZ571" s="644"/>
      <c r="HA571" s="644"/>
    </row>
    <row r="572" spans="1:209">
      <c r="A572" s="638"/>
      <c r="B572" s="95"/>
      <c r="C572" s="95"/>
      <c r="D572" s="95"/>
      <c r="E572" s="650"/>
      <c r="F572" s="95"/>
      <c r="G572" s="98"/>
      <c r="H572" s="99"/>
      <c r="I572" s="95"/>
      <c r="J572" s="95"/>
      <c r="K572" s="95"/>
      <c r="L572" s="95"/>
      <c r="M572" s="95"/>
      <c r="N572" s="95"/>
      <c r="O572" s="95"/>
      <c r="P572" s="95"/>
      <c r="Q572" s="95"/>
      <c r="R572" s="98"/>
      <c r="S572" s="101"/>
      <c r="T572" s="644"/>
      <c r="U572" s="101"/>
      <c r="V572" s="647"/>
      <c r="W572" s="643"/>
      <c r="X572" s="644"/>
      <c r="Y572" s="101"/>
      <c r="Z572" s="644"/>
      <c r="AA572" s="101"/>
      <c r="AB572" s="644"/>
      <c r="AC572" s="101"/>
      <c r="AD572" s="646"/>
      <c r="AE572" s="271"/>
      <c r="AF572" s="646"/>
      <c r="AG572" s="646"/>
      <c r="AH572" s="646"/>
      <c r="AI572" s="646"/>
      <c r="AJ572" s="646"/>
      <c r="AK572" s="646"/>
      <c r="AL572" s="646"/>
      <c r="AM572" s="271"/>
      <c r="AN572" s="646"/>
      <c r="AO572" s="646"/>
      <c r="AP572" s="646"/>
      <c r="AQ572" s="271"/>
      <c r="AR572" s="646"/>
      <c r="AS572" s="270"/>
      <c r="AT572" s="646"/>
      <c r="AU572" s="646"/>
      <c r="AV572" s="646"/>
      <c r="AW572" s="270"/>
      <c r="AX572" s="646"/>
      <c r="AY572" s="270"/>
      <c r="AZ572" s="646"/>
      <c r="BA572" s="646"/>
      <c r="BB572" s="644"/>
      <c r="BC572" s="644"/>
      <c r="BD572" s="644"/>
      <c r="BE572" s="644"/>
      <c r="BF572" s="644"/>
      <c r="BG572" s="644"/>
      <c r="BH572" s="644"/>
      <c r="BI572" s="644"/>
      <c r="BJ572" s="644"/>
      <c r="BK572" s="644"/>
      <c r="BL572" s="644"/>
      <c r="BM572" s="95"/>
      <c r="BN572" s="644"/>
      <c r="BO572" s="95"/>
      <c r="BP572" s="644"/>
      <c r="BQ572" s="644"/>
      <c r="BR572" s="644"/>
      <c r="BS572" s="644"/>
      <c r="BT572" s="644"/>
      <c r="BU572" s="644"/>
      <c r="BV572" s="644"/>
      <c r="BW572" s="644"/>
      <c r="BX572" s="644"/>
      <c r="BY572" s="644"/>
      <c r="BZ572" s="644"/>
      <c r="CA572" s="644"/>
      <c r="CB572" s="644"/>
      <c r="CC572" s="644"/>
      <c r="CD572" s="644"/>
      <c r="CE572" s="644"/>
      <c r="CF572" s="644"/>
      <c r="CG572" s="644"/>
      <c r="CH572" s="644"/>
      <c r="CI572" s="644"/>
      <c r="CJ572" s="644"/>
      <c r="CK572" s="644"/>
      <c r="CL572" s="644"/>
      <c r="CM572" s="95"/>
      <c r="CN572" s="644"/>
      <c r="CO572" s="644"/>
      <c r="CP572" s="95"/>
      <c r="CQ572" s="98"/>
      <c r="CR572" s="95"/>
      <c r="CS572" s="95"/>
      <c r="CT572" s="95"/>
      <c r="CU572" s="108"/>
      <c r="CV572" s="109"/>
      <c r="CW572" s="644"/>
      <c r="CX572" s="496"/>
      <c r="CY572" s="637"/>
      <c r="CZ572" s="644"/>
      <c r="DA572" s="644"/>
      <c r="DB572" s="644"/>
      <c r="DC572" s="496"/>
      <c r="DD572" s="644"/>
      <c r="DE572" s="101"/>
      <c r="DF572" s="644"/>
      <c r="DG572" s="101"/>
      <c r="DH572" s="644"/>
      <c r="DI572" s="644"/>
      <c r="DJ572" s="644"/>
      <c r="DK572" s="644"/>
      <c r="DL572" s="644"/>
      <c r="DM572" s="101"/>
      <c r="DN572" s="644"/>
      <c r="DO572" s="644"/>
      <c r="DP572" s="644"/>
      <c r="DQ572" s="644"/>
      <c r="DR572" s="644"/>
      <c r="DS572" s="644"/>
      <c r="DT572" s="644"/>
      <c r="DU572" s="644"/>
      <c r="DV572" s="644"/>
      <c r="DW572" s="101"/>
      <c r="DX572" s="646"/>
      <c r="DY572" s="646"/>
      <c r="DZ572" s="646"/>
      <c r="EA572" s="646"/>
      <c r="EB572" s="646"/>
      <c r="EC572" s="646"/>
      <c r="ED572" s="646"/>
      <c r="EE572" s="646"/>
      <c r="EF572" s="646"/>
      <c r="EG572" s="646"/>
      <c r="EH572" s="646"/>
      <c r="EI572" s="646"/>
      <c r="EJ572" s="646"/>
      <c r="EK572" s="271"/>
      <c r="EL572" s="644"/>
      <c r="EM572" s="634"/>
      <c r="EN572" s="647"/>
      <c r="EO572" s="648"/>
      <c r="EP572" s="647"/>
      <c r="EQ572" s="647"/>
      <c r="ER572" s="647"/>
      <c r="ES572" s="139"/>
      <c r="EV572" s="647"/>
      <c r="EW572" s="647"/>
      <c r="EX572" s="647"/>
      <c r="EY572" s="647"/>
      <c r="EZ572" s="647"/>
      <c r="FA572" s="646"/>
      <c r="FB572" s="646"/>
      <c r="FC572" s="646"/>
      <c r="FD572" s="646"/>
      <c r="FE572" s="646"/>
      <c r="FF572" s="646"/>
      <c r="FG572" s="647"/>
      <c r="FH572" s="647"/>
      <c r="FI572" s="647"/>
      <c r="FJ572" s="647"/>
      <c r="FK572" s="647"/>
      <c r="FL572" s="647"/>
      <c r="FM572" s="647"/>
      <c r="FN572" s="647"/>
      <c r="FO572" s="647"/>
      <c r="FP572" s="647"/>
      <c r="FQ572" s="647"/>
      <c r="FR572" s="647"/>
      <c r="FS572" s="101"/>
      <c r="FT572" s="95"/>
      <c r="FU572" s="651"/>
      <c r="FV572" s="101"/>
      <c r="FW572" s="101"/>
      <c r="FX572" s="634"/>
      <c r="FY572" s="634"/>
      <c r="FZ572" s="634"/>
      <c r="GA572" s="634"/>
      <c r="GB572" s="634"/>
      <c r="GC572" s="634"/>
      <c r="GD572" s="634"/>
      <c r="GE572" s="634"/>
      <c r="GF572" s="634"/>
      <c r="GG572" s="634"/>
      <c r="GH572" s="634"/>
      <c r="GI572" s="634"/>
      <c r="GJ572" s="634"/>
      <c r="GK572" s="634"/>
      <c r="GL572" s="101"/>
      <c r="GM572" s="101"/>
      <c r="GN572" s="101"/>
      <c r="GO572" s="643"/>
      <c r="GP572" s="644"/>
      <c r="GQ572" s="643"/>
      <c r="GR572" s="644"/>
      <c r="GS572" s="643"/>
      <c r="GT572" s="644"/>
      <c r="GU572" s="644"/>
      <c r="GV572" s="644"/>
      <c r="GW572" s="644"/>
      <c r="GX572" s="644"/>
      <c r="GY572" s="644"/>
      <c r="GZ572" s="644"/>
      <c r="HA572" s="644"/>
    </row>
    <row r="573" spans="1:209">
      <c r="A573" s="638"/>
      <c r="B573" s="95"/>
      <c r="C573" s="95"/>
      <c r="D573" s="95"/>
      <c r="E573" s="650"/>
      <c r="F573" s="95"/>
      <c r="G573" s="98"/>
      <c r="H573" s="99"/>
      <c r="I573" s="95"/>
      <c r="J573" s="95"/>
      <c r="K573" s="95"/>
      <c r="L573" s="95"/>
      <c r="M573" s="95"/>
      <c r="N573" s="95"/>
      <c r="O573" s="95"/>
      <c r="P573" s="95"/>
      <c r="Q573" s="95"/>
      <c r="R573" s="98"/>
      <c r="S573" s="101"/>
      <c r="T573" s="644"/>
      <c r="U573" s="101"/>
      <c r="V573" s="647"/>
      <c r="W573" s="643"/>
      <c r="X573" s="644"/>
      <c r="Y573" s="101"/>
      <c r="Z573" s="644"/>
      <c r="AA573" s="101"/>
      <c r="AB573" s="644"/>
      <c r="AC573" s="101"/>
      <c r="AD573" s="646"/>
      <c r="AE573" s="271"/>
      <c r="AF573" s="646"/>
      <c r="AG573" s="646"/>
      <c r="AH573" s="646"/>
      <c r="AI573" s="646"/>
      <c r="AJ573" s="646"/>
      <c r="AK573" s="646"/>
      <c r="AL573" s="646"/>
      <c r="AM573" s="271"/>
      <c r="AN573" s="646"/>
      <c r="AO573" s="646"/>
      <c r="AP573" s="646"/>
      <c r="AQ573" s="271"/>
      <c r="AR573" s="646"/>
      <c r="AS573" s="270"/>
      <c r="AT573" s="646"/>
      <c r="AU573" s="646"/>
      <c r="AV573" s="646"/>
      <c r="AW573" s="270"/>
      <c r="AX573" s="646"/>
      <c r="AY573" s="270"/>
      <c r="AZ573" s="646"/>
      <c r="BA573" s="646"/>
      <c r="BB573" s="644"/>
      <c r="BC573" s="644"/>
      <c r="BD573" s="644"/>
      <c r="BE573" s="644"/>
      <c r="BF573" s="644"/>
      <c r="BG573" s="644"/>
      <c r="BH573" s="644"/>
      <c r="BI573" s="644"/>
      <c r="BJ573" s="644"/>
      <c r="BK573" s="644"/>
      <c r="BL573" s="644"/>
      <c r="BM573" s="95"/>
      <c r="BN573" s="644"/>
      <c r="BO573" s="95"/>
      <c r="BP573" s="644"/>
      <c r="BQ573" s="644"/>
      <c r="BR573" s="644"/>
      <c r="BS573" s="644"/>
      <c r="BT573" s="644"/>
      <c r="BU573" s="644"/>
      <c r="BV573" s="644"/>
      <c r="BW573" s="644"/>
      <c r="BX573" s="644"/>
      <c r="BY573" s="644"/>
      <c r="BZ573" s="644"/>
      <c r="CA573" s="644"/>
      <c r="CB573" s="644"/>
      <c r="CC573" s="644"/>
      <c r="CD573" s="644"/>
      <c r="CE573" s="644"/>
      <c r="CF573" s="644"/>
      <c r="CG573" s="644"/>
      <c r="CH573" s="644"/>
      <c r="CI573" s="644"/>
      <c r="CJ573" s="644"/>
      <c r="CK573" s="644"/>
      <c r="CL573" s="644"/>
      <c r="CM573" s="95"/>
      <c r="CN573" s="644"/>
      <c r="CO573" s="644"/>
      <c r="CP573" s="95"/>
      <c r="CQ573" s="98"/>
      <c r="CR573" s="95"/>
      <c r="CS573" s="95"/>
      <c r="CT573" s="95"/>
      <c r="CU573" s="108"/>
      <c r="CV573" s="109"/>
      <c r="CW573" s="644"/>
      <c r="CX573" s="496"/>
      <c r="CY573" s="637"/>
      <c r="CZ573" s="644"/>
      <c r="DA573" s="644"/>
      <c r="DB573" s="644"/>
      <c r="DC573" s="496"/>
      <c r="DD573" s="644"/>
      <c r="DE573" s="101"/>
      <c r="DF573" s="644"/>
      <c r="DG573" s="101"/>
      <c r="DH573" s="644"/>
      <c r="DI573" s="644"/>
      <c r="DJ573" s="644"/>
      <c r="DK573" s="644"/>
      <c r="DL573" s="644"/>
      <c r="DM573" s="101"/>
      <c r="DN573" s="644"/>
      <c r="DO573" s="644"/>
      <c r="DP573" s="644"/>
      <c r="DQ573" s="644"/>
      <c r="DR573" s="644"/>
      <c r="DS573" s="644"/>
      <c r="DT573" s="644"/>
      <c r="DU573" s="644"/>
      <c r="DV573" s="644"/>
      <c r="DW573" s="101"/>
      <c r="DX573" s="646"/>
      <c r="DY573" s="646"/>
      <c r="DZ573" s="646"/>
      <c r="EA573" s="646"/>
      <c r="EB573" s="646"/>
      <c r="EC573" s="646"/>
      <c r="ED573" s="646"/>
      <c r="EE573" s="646"/>
      <c r="EF573" s="646"/>
      <c r="EG573" s="646"/>
      <c r="EH573" s="646"/>
      <c r="EI573" s="646"/>
      <c r="EJ573" s="646"/>
      <c r="EK573" s="271"/>
      <c r="EL573" s="644"/>
      <c r="EM573" s="634"/>
      <c r="EN573" s="647"/>
      <c r="EO573" s="648"/>
      <c r="EP573" s="647"/>
      <c r="EQ573" s="647"/>
      <c r="ER573" s="647"/>
      <c r="ES573" s="139"/>
      <c r="EV573" s="647"/>
      <c r="EW573" s="647"/>
      <c r="EX573" s="647"/>
      <c r="EY573" s="647"/>
      <c r="EZ573" s="647"/>
      <c r="FA573" s="646"/>
      <c r="FB573" s="646"/>
      <c r="FC573" s="646"/>
      <c r="FD573" s="646"/>
      <c r="FE573" s="646"/>
      <c r="FF573" s="646"/>
      <c r="FG573" s="647"/>
      <c r="FH573" s="647"/>
      <c r="FI573" s="647"/>
      <c r="FJ573" s="647"/>
      <c r="FK573" s="647"/>
      <c r="FL573" s="647"/>
      <c r="FM573" s="647"/>
      <c r="FN573" s="647"/>
      <c r="FO573" s="647"/>
      <c r="FP573" s="647"/>
      <c r="FQ573" s="647"/>
      <c r="FR573" s="647"/>
      <c r="FS573" s="101"/>
      <c r="FT573" s="95"/>
      <c r="FU573" s="651"/>
      <c r="FV573" s="101"/>
      <c r="FW573" s="101"/>
      <c r="FX573" s="634"/>
      <c r="FY573" s="634"/>
      <c r="FZ573" s="634"/>
      <c r="GA573" s="634"/>
      <c r="GB573" s="634"/>
      <c r="GC573" s="634"/>
      <c r="GD573" s="634"/>
      <c r="GE573" s="634"/>
      <c r="GF573" s="634"/>
      <c r="GG573" s="634"/>
      <c r="GH573" s="634"/>
      <c r="GI573" s="634"/>
      <c r="GJ573" s="634"/>
      <c r="GK573" s="634"/>
      <c r="GL573" s="101"/>
      <c r="GM573" s="101"/>
      <c r="GN573" s="101"/>
      <c r="GO573" s="643"/>
      <c r="GP573" s="644"/>
      <c r="GQ573" s="643"/>
      <c r="GR573" s="644"/>
      <c r="GS573" s="643"/>
      <c r="GT573" s="644"/>
      <c r="GU573" s="644"/>
      <c r="GV573" s="644"/>
      <c r="GW573" s="644"/>
      <c r="GX573" s="644"/>
      <c r="GY573" s="644"/>
      <c r="GZ573" s="644"/>
      <c r="HA573" s="644"/>
    </row>
    <row r="574" spans="1:209">
      <c r="A574" s="638"/>
      <c r="B574" s="95"/>
      <c r="C574" s="95"/>
      <c r="D574" s="95"/>
      <c r="E574" s="650"/>
      <c r="F574" s="95"/>
      <c r="G574" s="98"/>
      <c r="H574" s="99"/>
      <c r="I574" s="95"/>
      <c r="J574" s="95"/>
      <c r="K574" s="95"/>
      <c r="L574" s="95"/>
      <c r="M574" s="95"/>
      <c r="N574" s="95"/>
      <c r="O574" s="95"/>
      <c r="P574" s="95"/>
      <c r="Q574" s="95"/>
      <c r="R574" s="98"/>
      <c r="S574" s="101"/>
      <c r="T574" s="644"/>
      <c r="U574" s="101"/>
      <c r="V574" s="647"/>
      <c r="W574" s="643"/>
      <c r="X574" s="644"/>
      <c r="Y574" s="101"/>
      <c r="Z574" s="644"/>
      <c r="AA574" s="101"/>
      <c r="AB574" s="644"/>
      <c r="AC574" s="101"/>
      <c r="AD574" s="646"/>
      <c r="AE574" s="271"/>
      <c r="AF574" s="646"/>
      <c r="AG574" s="646"/>
      <c r="AH574" s="646"/>
      <c r="AI574" s="646"/>
      <c r="AJ574" s="646"/>
      <c r="AK574" s="646"/>
      <c r="AL574" s="646"/>
      <c r="AM574" s="271"/>
      <c r="AN574" s="646"/>
      <c r="AO574" s="646"/>
      <c r="AP574" s="646"/>
      <c r="AQ574" s="271"/>
      <c r="AR574" s="646"/>
      <c r="AS574" s="270"/>
      <c r="AT574" s="646"/>
      <c r="AU574" s="646"/>
      <c r="AV574" s="646"/>
      <c r="AW574" s="270"/>
      <c r="AX574" s="646"/>
      <c r="AY574" s="270"/>
      <c r="AZ574" s="646"/>
      <c r="BA574" s="646"/>
      <c r="BB574" s="644"/>
      <c r="BC574" s="644"/>
      <c r="BD574" s="644"/>
      <c r="BE574" s="644"/>
      <c r="BF574" s="644"/>
      <c r="BG574" s="644"/>
      <c r="BH574" s="644"/>
      <c r="BI574" s="644"/>
      <c r="BJ574" s="644"/>
      <c r="BK574" s="644"/>
      <c r="BL574" s="644"/>
      <c r="BM574" s="95"/>
      <c r="BN574" s="644"/>
      <c r="BO574" s="95"/>
      <c r="BP574" s="644"/>
      <c r="BQ574" s="644"/>
      <c r="BR574" s="644"/>
      <c r="BS574" s="644"/>
      <c r="BT574" s="644"/>
      <c r="BU574" s="644"/>
      <c r="BV574" s="644"/>
      <c r="BW574" s="644"/>
      <c r="BX574" s="644"/>
      <c r="BY574" s="644"/>
      <c r="BZ574" s="644"/>
      <c r="CA574" s="644"/>
      <c r="CB574" s="644"/>
      <c r="CC574" s="644"/>
      <c r="CD574" s="644"/>
      <c r="CE574" s="644"/>
      <c r="CF574" s="644"/>
      <c r="CG574" s="644"/>
      <c r="CH574" s="644"/>
      <c r="CI574" s="644"/>
      <c r="CJ574" s="644"/>
      <c r="CK574" s="644"/>
      <c r="CL574" s="644"/>
      <c r="CM574" s="95"/>
      <c r="CN574" s="644"/>
      <c r="CO574" s="644"/>
      <c r="CP574" s="95"/>
      <c r="CQ574" s="98"/>
      <c r="CR574" s="95"/>
      <c r="CS574" s="95"/>
      <c r="CT574" s="95"/>
      <c r="CU574" s="108"/>
      <c r="CV574" s="109"/>
      <c r="CW574" s="644"/>
      <c r="CX574" s="496"/>
      <c r="CY574" s="637"/>
      <c r="CZ574" s="644"/>
      <c r="DA574" s="644"/>
      <c r="DB574" s="644"/>
      <c r="DC574" s="496"/>
      <c r="DD574" s="644"/>
      <c r="DE574" s="101"/>
      <c r="DF574" s="644"/>
      <c r="DG574" s="101"/>
      <c r="DH574" s="644"/>
      <c r="DI574" s="644"/>
      <c r="DJ574" s="644"/>
      <c r="DK574" s="644"/>
      <c r="DL574" s="644"/>
      <c r="DM574" s="101"/>
      <c r="DN574" s="644"/>
      <c r="DO574" s="644"/>
      <c r="DP574" s="644"/>
      <c r="DQ574" s="644"/>
      <c r="DR574" s="644"/>
      <c r="DS574" s="644"/>
      <c r="DT574" s="644"/>
      <c r="DU574" s="644"/>
      <c r="DV574" s="644"/>
      <c r="DW574" s="101"/>
      <c r="DX574" s="646"/>
      <c r="DY574" s="646"/>
      <c r="DZ574" s="646"/>
      <c r="EA574" s="646"/>
      <c r="EB574" s="646"/>
      <c r="EC574" s="646"/>
      <c r="ED574" s="646"/>
      <c r="EE574" s="646"/>
      <c r="EF574" s="646"/>
      <c r="EG574" s="646"/>
      <c r="EH574" s="646"/>
      <c r="EI574" s="646"/>
      <c r="EJ574" s="646"/>
      <c r="EK574" s="271"/>
      <c r="EL574" s="644"/>
      <c r="EM574" s="634"/>
      <c r="EN574" s="647"/>
      <c r="EO574" s="648"/>
      <c r="EP574" s="647"/>
      <c r="EQ574" s="647"/>
      <c r="ER574" s="647"/>
      <c r="ES574" s="139"/>
      <c r="EV574" s="647"/>
      <c r="EW574" s="647"/>
      <c r="EX574" s="647"/>
      <c r="EY574" s="647"/>
      <c r="EZ574" s="647"/>
      <c r="FA574" s="646"/>
      <c r="FB574" s="646"/>
      <c r="FC574" s="646"/>
      <c r="FD574" s="646"/>
      <c r="FE574" s="646"/>
      <c r="FF574" s="646"/>
      <c r="FG574" s="647"/>
      <c r="FH574" s="647"/>
      <c r="FI574" s="647"/>
      <c r="FJ574" s="647"/>
      <c r="FK574" s="647"/>
      <c r="FL574" s="647"/>
      <c r="FM574" s="647"/>
      <c r="FN574" s="647"/>
      <c r="FO574" s="647"/>
      <c r="FP574" s="647"/>
      <c r="FQ574" s="647"/>
      <c r="FR574" s="647"/>
      <c r="FS574" s="101"/>
      <c r="FT574" s="95"/>
      <c r="FU574" s="651"/>
      <c r="FV574" s="101"/>
      <c r="FW574" s="101"/>
      <c r="FX574" s="634"/>
      <c r="FY574" s="634"/>
      <c r="FZ574" s="634"/>
      <c r="GA574" s="634"/>
      <c r="GB574" s="634"/>
      <c r="GC574" s="634"/>
      <c r="GD574" s="634"/>
      <c r="GE574" s="634"/>
      <c r="GF574" s="634"/>
      <c r="GG574" s="634"/>
      <c r="GH574" s="634"/>
      <c r="GI574" s="634"/>
      <c r="GJ574" s="634"/>
      <c r="GK574" s="634"/>
      <c r="GL574" s="101"/>
      <c r="GM574" s="101"/>
      <c r="GN574" s="101"/>
      <c r="GO574" s="643"/>
      <c r="GP574" s="644"/>
      <c r="GQ574" s="643"/>
      <c r="GR574" s="644"/>
      <c r="GS574" s="643"/>
      <c r="GT574" s="644"/>
      <c r="GU574" s="644"/>
      <c r="GV574" s="644"/>
      <c r="GW574" s="644"/>
      <c r="GX574" s="644"/>
      <c r="GY574" s="644"/>
      <c r="GZ574" s="644"/>
      <c r="HA574" s="644"/>
    </row>
    <row r="575" spans="1:209">
      <c r="A575" s="638"/>
      <c r="B575" s="95"/>
      <c r="C575" s="95"/>
      <c r="D575" s="95"/>
      <c r="E575" s="650"/>
      <c r="F575" s="95"/>
      <c r="G575" s="98"/>
      <c r="H575" s="99"/>
      <c r="I575" s="95"/>
      <c r="J575" s="95"/>
      <c r="K575" s="95"/>
      <c r="L575" s="95"/>
      <c r="M575" s="95"/>
      <c r="N575" s="95"/>
      <c r="O575" s="95"/>
      <c r="P575" s="95"/>
      <c r="Q575" s="95"/>
      <c r="R575" s="98"/>
      <c r="S575" s="101"/>
      <c r="T575" s="644"/>
      <c r="U575" s="101"/>
      <c r="V575" s="647"/>
      <c r="W575" s="643"/>
      <c r="X575" s="644"/>
      <c r="Y575" s="101"/>
      <c r="Z575" s="644"/>
      <c r="AA575" s="101"/>
      <c r="AB575" s="644"/>
      <c r="AC575" s="101"/>
      <c r="AD575" s="646"/>
      <c r="AE575" s="271"/>
      <c r="AF575" s="646"/>
      <c r="AG575" s="646"/>
      <c r="AH575" s="646"/>
      <c r="AI575" s="646"/>
      <c r="AJ575" s="646"/>
      <c r="AK575" s="646"/>
      <c r="AL575" s="646"/>
      <c r="AM575" s="271"/>
      <c r="AN575" s="646"/>
      <c r="AO575" s="646"/>
      <c r="AP575" s="646"/>
      <c r="AQ575" s="271"/>
      <c r="AR575" s="646"/>
      <c r="AS575" s="270"/>
      <c r="AT575" s="646"/>
      <c r="AU575" s="646"/>
      <c r="AV575" s="646"/>
      <c r="AW575" s="270"/>
      <c r="AX575" s="646"/>
      <c r="AY575" s="270"/>
      <c r="AZ575" s="646"/>
      <c r="BA575" s="646"/>
      <c r="BB575" s="644"/>
      <c r="BC575" s="644"/>
      <c r="BD575" s="644"/>
      <c r="BE575" s="644"/>
      <c r="BF575" s="644"/>
      <c r="BG575" s="644"/>
      <c r="BH575" s="644"/>
      <c r="BI575" s="644"/>
      <c r="BJ575" s="644"/>
      <c r="BK575" s="644"/>
      <c r="BL575" s="644"/>
      <c r="BM575" s="95"/>
      <c r="BN575" s="644"/>
      <c r="BO575" s="95"/>
      <c r="BP575" s="644"/>
      <c r="BQ575" s="644"/>
      <c r="BR575" s="644"/>
      <c r="BS575" s="644"/>
      <c r="BT575" s="644"/>
      <c r="BU575" s="644"/>
      <c r="BV575" s="644"/>
      <c r="BW575" s="644"/>
      <c r="BX575" s="644"/>
      <c r="BY575" s="644"/>
      <c r="BZ575" s="644"/>
      <c r="CA575" s="644"/>
      <c r="CB575" s="644"/>
      <c r="CC575" s="644"/>
      <c r="CD575" s="644"/>
      <c r="CE575" s="644"/>
      <c r="CF575" s="644"/>
      <c r="CG575" s="644"/>
      <c r="CH575" s="644"/>
      <c r="CI575" s="644"/>
      <c r="CJ575" s="644"/>
      <c r="CK575" s="644"/>
      <c r="CL575" s="644"/>
      <c r="CM575" s="95"/>
      <c r="CN575" s="644"/>
      <c r="CO575" s="644"/>
      <c r="CP575" s="95"/>
      <c r="CQ575" s="98"/>
      <c r="CR575" s="95"/>
      <c r="CS575" s="95"/>
      <c r="CT575" s="95"/>
      <c r="CU575" s="108"/>
      <c r="CV575" s="109"/>
      <c r="CW575" s="644"/>
      <c r="CX575" s="496"/>
      <c r="CY575" s="637"/>
      <c r="CZ575" s="644"/>
      <c r="DA575" s="644"/>
      <c r="DB575" s="644"/>
      <c r="DC575" s="496"/>
      <c r="DD575" s="644"/>
      <c r="DE575" s="101"/>
      <c r="DF575" s="644"/>
      <c r="DG575" s="101"/>
      <c r="DH575" s="644"/>
      <c r="DI575" s="644"/>
      <c r="DJ575" s="644"/>
      <c r="DK575" s="644"/>
      <c r="DL575" s="644"/>
      <c r="DM575" s="101"/>
      <c r="DN575" s="644"/>
      <c r="DO575" s="644"/>
      <c r="DP575" s="644"/>
      <c r="DQ575" s="644"/>
      <c r="DR575" s="644"/>
      <c r="DS575" s="644"/>
      <c r="DT575" s="644"/>
      <c r="DU575" s="644"/>
      <c r="DV575" s="644"/>
      <c r="DW575" s="101"/>
      <c r="DX575" s="646"/>
      <c r="DY575" s="646"/>
      <c r="DZ575" s="646"/>
      <c r="EA575" s="646"/>
      <c r="EB575" s="646"/>
      <c r="EC575" s="646"/>
      <c r="ED575" s="646"/>
      <c r="EE575" s="646"/>
      <c r="EF575" s="646"/>
      <c r="EG575" s="646"/>
      <c r="EH575" s="646"/>
      <c r="EI575" s="646"/>
      <c r="EJ575" s="646"/>
      <c r="EK575" s="271"/>
      <c r="EL575" s="644"/>
      <c r="EM575" s="634"/>
      <c r="EN575" s="647"/>
      <c r="EO575" s="648"/>
      <c r="EP575" s="647"/>
      <c r="EQ575" s="647"/>
      <c r="ER575" s="647"/>
      <c r="ES575" s="139"/>
      <c r="EV575" s="647"/>
      <c r="EW575" s="647"/>
      <c r="EX575" s="647"/>
      <c r="EY575" s="647"/>
      <c r="EZ575" s="647"/>
      <c r="FA575" s="646"/>
      <c r="FB575" s="646"/>
      <c r="FC575" s="646"/>
      <c r="FD575" s="646"/>
      <c r="FE575" s="646"/>
      <c r="FF575" s="646"/>
      <c r="FG575" s="647"/>
      <c r="FH575" s="647"/>
      <c r="FI575" s="647"/>
      <c r="FJ575" s="647"/>
      <c r="FK575" s="647"/>
      <c r="FL575" s="647"/>
      <c r="FM575" s="647"/>
      <c r="FN575" s="647"/>
      <c r="FO575" s="647"/>
      <c r="FP575" s="647"/>
      <c r="FQ575" s="647"/>
      <c r="FR575" s="647"/>
      <c r="FS575" s="101"/>
      <c r="FT575" s="95"/>
      <c r="FU575" s="651"/>
      <c r="FV575" s="101"/>
      <c r="FW575" s="101"/>
      <c r="FX575" s="634"/>
      <c r="FY575" s="634"/>
      <c r="FZ575" s="634"/>
      <c r="GA575" s="634"/>
      <c r="GB575" s="634"/>
      <c r="GC575" s="634"/>
      <c r="GD575" s="634"/>
      <c r="GE575" s="634"/>
      <c r="GF575" s="634"/>
      <c r="GG575" s="634"/>
      <c r="GH575" s="634"/>
      <c r="GI575" s="634"/>
      <c r="GJ575" s="634"/>
      <c r="GK575" s="634"/>
      <c r="GL575" s="101"/>
      <c r="GM575" s="101"/>
      <c r="GN575" s="101"/>
      <c r="GO575" s="643"/>
      <c r="GP575" s="644"/>
      <c r="GQ575" s="643"/>
      <c r="GR575" s="644"/>
      <c r="GS575" s="643"/>
      <c r="GT575" s="644"/>
      <c r="GU575" s="644"/>
      <c r="GV575" s="644"/>
      <c r="GW575" s="644"/>
      <c r="GX575" s="644"/>
      <c r="GY575" s="644"/>
      <c r="GZ575" s="644"/>
      <c r="HA575" s="644"/>
    </row>
    <row r="576" spans="1:209">
      <c r="A576" s="638"/>
      <c r="B576" s="95"/>
      <c r="C576" s="95"/>
      <c r="D576" s="95"/>
      <c r="E576" s="650"/>
      <c r="F576" s="95"/>
      <c r="G576" s="98"/>
      <c r="H576" s="99"/>
      <c r="I576" s="95"/>
      <c r="J576" s="95"/>
      <c r="K576" s="95"/>
      <c r="L576" s="95"/>
      <c r="M576" s="95"/>
      <c r="N576" s="95"/>
      <c r="O576" s="95"/>
      <c r="P576" s="95"/>
      <c r="Q576" s="95"/>
      <c r="R576" s="98"/>
      <c r="S576" s="101"/>
      <c r="T576" s="644"/>
      <c r="U576" s="101"/>
      <c r="V576" s="647"/>
      <c r="W576" s="643"/>
      <c r="X576" s="644"/>
      <c r="Y576" s="101"/>
      <c r="Z576" s="644"/>
      <c r="AA576" s="101"/>
      <c r="AB576" s="644"/>
      <c r="AC576" s="101"/>
      <c r="AD576" s="646"/>
      <c r="AE576" s="271"/>
      <c r="AF576" s="646"/>
      <c r="AG576" s="646"/>
      <c r="AH576" s="646"/>
      <c r="AI576" s="646"/>
      <c r="AJ576" s="646"/>
      <c r="AK576" s="646"/>
      <c r="AL576" s="646"/>
      <c r="AM576" s="271"/>
      <c r="AN576" s="646"/>
      <c r="AO576" s="646"/>
      <c r="AP576" s="646"/>
      <c r="AQ576" s="271"/>
      <c r="AR576" s="646"/>
      <c r="AS576" s="270"/>
      <c r="AT576" s="646"/>
      <c r="AU576" s="646"/>
      <c r="AV576" s="646"/>
      <c r="AW576" s="270"/>
      <c r="AX576" s="646"/>
      <c r="AY576" s="270"/>
      <c r="AZ576" s="646"/>
      <c r="BA576" s="646"/>
      <c r="BB576" s="644"/>
      <c r="BC576" s="644"/>
      <c r="BD576" s="644"/>
      <c r="BE576" s="644"/>
      <c r="BF576" s="644"/>
      <c r="BG576" s="644"/>
      <c r="BH576" s="644"/>
      <c r="BI576" s="644"/>
      <c r="BJ576" s="644"/>
      <c r="BK576" s="644"/>
      <c r="BL576" s="644"/>
      <c r="BM576" s="95"/>
      <c r="BN576" s="644"/>
      <c r="BO576" s="95"/>
      <c r="BP576" s="644"/>
      <c r="BQ576" s="644"/>
      <c r="BR576" s="644"/>
      <c r="BS576" s="644"/>
      <c r="BT576" s="644"/>
      <c r="BU576" s="644"/>
      <c r="BV576" s="644"/>
      <c r="BW576" s="644"/>
      <c r="BX576" s="644"/>
      <c r="BY576" s="644"/>
      <c r="BZ576" s="644"/>
      <c r="CA576" s="644"/>
      <c r="CB576" s="644"/>
      <c r="CC576" s="644"/>
      <c r="CD576" s="644"/>
      <c r="CE576" s="644"/>
      <c r="CF576" s="644"/>
      <c r="CG576" s="644"/>
      <c r="CH576" s="644"/>
      <c r="CI576" s="644"/>
      <c r="CJ576" s="644"/>
      <c r="CK576" s="644"/>
      <c r="CL576" s="644"/>
      <c r="CM576" s="95"/>
      <c r="CN576" s="644"/>
      <c r="CO576" s="644"/>
      <c r="CP576" s="95"/>
      <c r="CQ576" s="98"/>
      <c r="CR576" s="95"/>
      <c r="CS576" s="95"/>
      <c r="CT576" s="95"/>
      <c r="CU576" s="108"/>
      <c r="CV576" s="109"/>
      <c r="CW576" s="644"/>
      <c r="CX576" s="496"/>
      <c r="CY576" s="637"/>
      <c r="CZ576" s="644"/>
      <c r="DA576" s="644"/>
      <c r="DB576" s="644"/>
      <c r="DC576" s="496"/>
      <c r="DD576" s="644"/>
      <c r="DE576" s="101"/>
      <c r="DF576" s="644"/>
      <c r="DG576" s="101"/>
      <c r="DH576" s="644"/>
      <c r="DI576" s="644"/>
      <c r="DJ576" s="644"/>
      <c r="DK576" s="644"/>
      <c r="DL576" s="644"/>
      <c r="DM576" s="101"/>
      <c r="DN576" s="644"/>
      <c r="DO576" s="644"/>
      <c r="DP576" s="644"/>
      <c r="DQ576" s="644"/>
      <c r="DR576" s="644"/>
      <c r="DS576" s="644"/>
      <c r="DT576" s="644"/>
      <c r="DU576" s="644"/>
      <c r="DV576" s="644"/>
      <c r="DW576" s="101"/>
      <c r="DX576" s="646"/>
      <c r="DY576" s="646"/>
      <c r="DZ576" s="646"/>
      <c r="EA576" s="646"/>
      <c r="EB576" s="646"/>
      <c r="EC576" s="646"/>
      <c r="ED576" s="646"/>
      <c r="EE576" s="646"/>
      <c r="EF576" s="646"/>
      <c r="EG576" s="646"/>
      <c r="EH576" s="646"/>
      <c r="EI576" s="646"/>
      <c r="EJ576" s="646"/>
      <c r="EK576" s="271"/>
      <c r="EL576" s="644"/>
      <c r="EM576" s="634"/>
      <c r="EN576" s="647"/>
      <c r="EO576" s="648"/>
      <c r="EP576" s="647"/>
      <c r="EQ576" s="647"/>
      <c r="ER576" s="647"/>
      <c r="ES576" s="139"/>
      <c r="EV576" s="647"/>
      <c r="EW576" s="647"/>
      <c r="EX576" s="647"/>
      <c r="EY576" s="647"/>
      <c r="EZ576" s="647"/>
      <c r="FA576" s="646"/>
      <c r="FB576" s="646"/>
      <c r="FC576" s="646"/>
      <c r="FD576" s="646"/>
      <c r="FE576" s="646"/>
      <c r="FF576" s="646"/>
      <c r="FG576" s="647"/>
      <c r="FH576" s="647"/>
      <c r="FI576" s="647"/>
      <c r="FJ576" s="647"/>
      <c r="FK576" s="647"/>
      <c r="FL576" s="647"/>
      <c r="FM576" s="647"/>
      <c r="FN576" s="647"/>
      <c r="FO576" s="647"/>
      <c r="FP576" s="647"/>
      <c r="FQ576" s="647"/>
      <c r="FR576" s="647"/>
      <c r="FS576" s="101"/>
      <c r="FT576" s="95"/>
      <c r="FU576" s="651"/>
      <c r="FV576" s="101"/>
      <c r="FW576" s="101"/>
      <c r="FX576" s="634"/>
      <c r="FY576" s="634"/>
      <c r="FZ576" s="634"/>
      <c r="GA576" s="634"/>
      <c r="GB576" s="634"/>
      <c r="GC576" s="634"/>
      <c r="GD576" s="634"/>
      <c r="GE576" s="634"/>
      <c r="GF576" s="634"/>
      <c r="GG576" s="634"/>
      <c r="GH576" s="634"/>
      <c r="GI576" s="634"/>
      <c r="GJ576" s="634"/>
      <c r="GK576" s="634"/>
      <c r="GL576" s="101"/>
      <c r="GM576" s="101"/>
      <c r="GN576" s="101"/>
      <c r="GO576" s="643"/>
      <c r="GP576" s="644"/>
      <c r="GQ576" s="643"/>
      <c r="GR576" s="644"/>
      <c r="GS576" s="643"/>
      <c r="GT576" s="644"/>
      <c r="GU576" s="644"/>
      <c r="GV576" s="644"/>
      <c r="GW576" s="644"/>
      <c r="GX576" s="644"/>
      <c r="GY576" s="644"/>
      <c r="GZ576" s="644"/>
      <c r="HA576" s="644"/>
    </row>
    <row r="577" spans="1:209">
      <c r="A577" s="638"/>
      <c r="B577" s="95"/>
      <c r="C577" s="95"/>
      <c r="D577" s="95"/>
      <c r="E577" s="650"/>
      <c r="F577" s="95"/>
      <c r="G577" s="98"/>
      <c r="H577" s="99"/>
      <c r="I577" s="95"/>
      <c r="J577" s="95"/>
      <c r="K577" s="95"/>
      <c r="L577" s="95"/>
      <c r="M577" s="95"/>
      <c r="N577" s="95"/>
      <c r="O577" s="95"/>
      <c r="P577" s="95"/>
      <c r="Q577" s="95"/>
      <c r="R577" s="98"/>
      <c r="S577" s="101"/>
      <c r="T577" s="644"/>
      <c r="U577" s="101"/>
      <c r="V577" s="647"/>
      <c r="W577" s="643"/>
      <c r="X577" s="644"/>
      <c r="Y577" s="101"/>
      <c r="Z577" s="644"/>
      <c r="AA577" s="101"/>
      <c r="AB577" s="644"/>
      <c r="AC577" s="101"/>
      <c r="AD577" s="646"/>
      <c r="AE577" s="271"/>
      <c r="AF577" s="646"/>
      <c r="AG577" s="646"/>
      <c r="AH577" s="646"/>
      <c r="AI577" s="646"/>
      <c r="AJ577" s="646"/>
      <c r="AK577" s="646"/>
      <c r="AL577" s="646"/>
      <c r="AM577" s="271"/>
      <c r="AN577" s="646"/>
      <c r="AO577" s="646"/>
      <c r="AP577" s="646"/>
      <c r="AQ577" s="271"/>
      <c r="AR577" s="646"/>
      <c r="AS577" s="270"/>
      <c r="AT577" s="646"/>
      <c r="AU577" s="646"/>
      <c r="AV577" s="646"/>
      <c r="AW577" s="270"/>
      <c r="AX577" s="646"/>
      <c r="AY577" s="270"/>
      <c r="AZ577" s="646"/>
      <c r="BA577" s="646"/>
      <c r="BB577" s="644"/>
      <c r="BC577" s="644"/>
      <c r="BD577" s="644"/>
      <c r="BE577" s="644"/>
      <c r="BF577" s="644"/>
      <c r="BG577" s="644"/>
      <c r="BH577" s="644"/>
      <c r="BI577" s="644"/>
      <c r="BJ577" s="644"/>
      <c r="BK577" s="644"/>
      <c r="BL577" s="644"/>
      <c r="BM577" s="95"/>
      <c r="BN577" s="644"/>
      <c r="BO577" s="95"/>
      <c r="BP577" s="644"/>
      <c r="BQ577" s="644"/>
      <c r="BR577" s="644"/>
      <c r="BS577" s="644"/>
      <c r="BT577" s="644"/>
      <c r="BU577" s="644"/>
      <c r="BV577" s="644"/>
      <c r="BW577" s="644"/>
      <c r="BX577" s="644"/>
      <c r="BY577" s="644"/>
      <c r="BZ577" s="644"/>
      <c r="CA577" s="644"/>
      <c r="CB577" s="644"/>
      <c r="CC577" s="644"/>
      <c r="CD577" s="644"/>
      <c r="CE577" s="644"/>
      <c r="CF577" s="644"/>
      <c r="CG577" s="644"/>
      <c r="CH577" s="644"/>
      <c r="CI577" s="644"/>
      <c r="CJ577" s="644"/>
      <c r="CK577" s="644"/>
      <c r="CL577" s="644"/>
      <c r="CM577" s="95"/>
      <c r="CN577" s="644"/>
      <c r="CO577" s="644"/>
      <c r="CP577" s="95"/>
      <c r="CQ577" s="98"/>
      <c r="CR577" s="95"/>
      <c r="CS577" s="95"/>
      <c r="CT577" s="95"/>
      <c r="CU577" s="108"/>
      <c r="CV577" s="109"/>
      <c r="CW577" s="644"/>
      <c r="CX577" s="496"/>
      <c r="CY577" s="637"/>
      <c r="CZ577" s="644"/>
      <c r="DA577" s="644"/>
      <c r="DB577" s="644"/>
      <c r="DC577" s="496"/>
      <c r="DD577" s="644"/>
      <c r="DE577" s="101"/>
      <c r="DF577" s="644"/>
      <c r="DG577" s="101"/>
      <c r="DH577" s="644"/>
      <c r="DI577" s="644"/>
      <c r="DJ577" s="644"/>
      <c r="DK577" s="644"/>
      <c r="DL577" s="644"/>
      <c r="DM577" s="101"/>
      <c r="DN577" s="644"/>
      <c r="DO577" s="644"/>
      <c r="DP577" s="644"/>
      <c r="DQ577" s="644"/>
      <c r="DR577" s="644"/>
      <c r="DS577" s="644"/>
      <c r="DT577" s="644"/>
      <c r="DU577" s="644"/>
      <c r="DV577" s="644"/>
      <c r="DW577" s="101"/>
      <c r="DX577" s="646"/>
      <c r="DY577" s="646"/>
      <c r="DZ577" s="646"/>
      <c r="EA577" s="646"/>
      <c r="EB577" s="646"/>
      <c r="EC577" s="646"/>
      <c r="ED577" s="646"/>
      <c r="EE577" s="646"/>
      <c r="EF577" s="646"/>
      <c r="EG577" s="646"/>
      <c r="EH577" s="646"/>
      <c r="EI577" s="646"/>
      <c r="EJ577" s="646"/>
      <c r="EK577" s="271"/>
      <c r="EL577" s="644"/>
      <c r="EM577" s="634"/>
      <c r="EN577" s="647"/>
      <c r="EO577" s="648"/>
      <c r="EP577" s="647"/>
      <c r="EQ577" s="647"/>
      <c r="ER577" s="647"/>
      <c r="ES577" s="139"/>
      <c r="EV577" s="647"/>
      <c r="EW577" s="647"/>
      <c r="EX577" s="647"/>
      <c r="EY577" s="647"/>
      <c r="EZ577" s="647"/>
      <c r="FA577" s="646"/>
      <c r="FB577" s="646"/>
      <c r="FC577" s="646"/>
      <c r="FD577" s="646"/>
      <c r="FE577" s="646"/>
      <c r="FF577" s="646"/>
      <c r="FG577" s="647"/>
      <c r="FH577" s="647"/>
      <c r="FI577" s="647"/>
      <c r="FJ577" s="647"/>
      <c r="FK577" s="647"/>
      <c r="FL577" s="647"/>
      <c r="FM577" s="647"/>
      <c r="FN577" s="647"/>
      <c r="FO577" s="647"/>
      <c r="FP577" s="647"/>
      <c r="FQ577" s="647"/>
      <c r="FR577" s="647"/>
      <c r="FS577" s="101"/>
      <c r="FT577" s="95"/>
      <c r="FU577" s="651"/>
      <c r="FV577" s="101"/>
      <c r="FW577" s="101"/>
      <c r="FX577" s="634"/>
      <c r="FY577" s="634"/>
      <c r="FZ577" s="634"/>
      <c r="GA577" s="634"/>
      <c r="GB577" s="634"/>
      <c r="GC577" s="634"/>
      <c r="GD577" s="634"/>
      <c r="GE577" s="634"/>
      <c r="GF577" s="634"/>
      <c r="GG577" s="634"/>
      <c r="GH577" s="634"/>
      <c r="GI577" s="634"/>
      <c r="GJ577" s="634"/>
      <c r="GK577" s="634"/>
      <c r="GL577" s="101"/>
      <c r="GM577" s="101"/>
      <c r="GN577" s="101"/>
      <c r="GO577" s="643"/>
      <c r="GP577" s="644"/>
      <c r="GQ577" s="643"/>
      <c r="GR577" s="644"/>
      <c r="GS577" s="643"/>
      <c r="GT577" s="644"/>
      <c r="GU577" s="644"/>
      <c r="GV577" s="644"/>
      <c r="GW577" s="644"/>
      <c r="GX577" s="644"/>
      <c r="GY577" s="644"/>
      <c r="GZ577" s="644"/>
      <c r="HA577" s="644"/>
    </row>
    <row r="578" spans="1:209">
      <c r="A578" s="638"/>
      <c r="B578" s="95"/>
      <c r="C578" s="95"/>
      <c r="D578" s="95"/>
      <c r="E578" s="650"/>
      <c r="F578" s="95"/>
      <c r="G578" s="98"/>
      <c r="H578" s="99"/>
      <c r="I578" s="95"/>
      <c r="J578" s="95"/>
      <c r="K578" s="95"/>
      <c r="L578" s="95"/>
      <c r="M578" s="95"/>
      <c r="N578" s="95"/>
      <c r="O578" s="95"/>
      <c r="P578" s="95"/>
      <c r="Q578" s="95"/>
      <c r="R578" s="98"/>
      <c r="S578" s="101"/>
      <c r="T578" s="644"/>
      <c r="U578" s="101"/>
      <c r="V578" s="647"/>
      <c r="W578" s="643"/>
      <c r="X578" s="644"/>
      <c r="Y578" s="101"/>
      <c r="Z578" s="644"/>
      <c r="AA578" s="101"/>
      <c r="AB578" s="644"/>
      <c r="AC578" s="101"/>
      <c r="AD578" s="646"/>
      <c r="AE578" s="271"/>
      <c r="AF578" s="646"/>
      <c r="AG578" s="646"/>
      <c r="AH578" s="646"/>
      <c r="AI578" s="646"/>
      <c r="AJ578" s="646"/>
      <c r="AK578" s="646"/>
      <c r="AL578" s="646"/>
      <c r="AM578" s="271"/>
      <c r="AN578" s="646"/>
      <c r="AO578" s="646"/>
      <c r="AP578" s="646"/>
      <c r="AQ578" s="271"/>
      <c r="AR578" s="646"/>
      <c r="AS578" s="270"/>
      <c r="AT578" s="646"/>
      <c r="AU578" s="646"/>
      <c r="AV578" s="646"/>
      <c r="AW578" s="270"/>
      <c r="AX578" s="646"/>
      <c r="AY578" s="270"/>
      <c r="AZ578" s="646"/>
      <c r="BA578" s="646"/>
      <c r="BB578" s="644"/>
      <c r="BC578" s="644"/>
      <c r="BD578" s="644"/>
      <c r="BE578" s="644"/>
      <c r="BF578" s="644"/>
      <c r="BG578" s="644"/>
      <c r="BH578" s="644"/>
      <c r="BI578" s="644"/>
      <c r="BJ578" s="644"/>
      <c r="BK578" s="644"/>
      <c r="BL578" s="644"/>
      <c r="BM578" s="95"/>
      <c r="BN578" s="644"/>
      <c r="BO578" s="95"/>
      <c r="BP578" s="644"/>
      <c r="BQ578" s="644"/>
      <c r="BR578" s="644"/>
      <c r="BS578" s="644"/>
      <c r="BT578" s="644"/>
      <c r="BU578" s="644"/>
      <c r="BV578" s="644"/>
      <c r="BW578" s="644"/>
      <c r="BX578" s="644"/>
      <c r="BY578" s="644"/>
      <c r="BZ578" s="644"/>
      <c r="CA578" s="644"/>
      <c r="CB578" s="644"/>
      <c r="CC578" s="644"/>
      <c r="CD578" s="644"/>
      <c r="CE578" s="644"/>
      <c r="CF578" s="644"/>
      <c r="CG578" s="644"/>
      <c r="CH578" s="644"/>
      <c r="CI578" s="644"/>
      <c r="CJ578" s="644"/>
      <c r="CK578" s="644"/>
      <c r="CL578" s="644"/>
      <c r="CM578" s="95"/>
      <c r="CN578" s="644"/>
      <c r="CO578" s="644"/>
      <c r="CP578" s="95"/>
      <c r="CQ578" s="98"/>
      <c r="CR578" s="95"/>
      <c r="CS578" s="95"/>
      <c r="CT578" s="95"/>
      <c r="CU578" s="108"/>
      <c r="CV578" s="109"/>
      <c r="CW578" s="644"/>
      <c r="CX578" s="496"/>
      <c r="CY578" s="637"/>
      <c r="CZ578" s="644"/>
      <c r="DA578" s="644"/>
      <c r="DB578" s="644"/>
      <c r="DC578" s="496"/>
      <c r="DD578" s="644"/>
      <c r="DE578" s="101"/>
      <c r="DF578" s="644"/>
      <c r="DG578" s="101"/>
      <c r="DH578" s="644"/>
      <c r="DI578" s="644"/>
      <c r="DJ578" s="644"/>
      <c r="DK578" s="644"/>
      <c r="DL578" s="644"/>
      <c r="DM578" s="101"/>
      <c r="DN578" s="644"/>
      <c r="DO578" s="644"/>
      <c r="DP578" s="644"/>
      <c r="DQ578" s="644"/>
      <c r="DR578" s="644"/>
      <c r="DS578" s="644"/>
      <c r="DT578" s="644"/>
      <c r="DU578" s="644"/>
      <c r="DV578" s="644"/>
      <c r="DW578" s="101"/>
      <c r="DX578" s="646"/>
      <c r="DY578" s="646"/>
      <c r="DZ578" s="646"/>
      <c r="EA578" s="646"/>
      <c r="EB578" s="646"/>
      <c r="EC578" s="646"/>
      <c r="ED578" s="646"/>
      <c r="EE578" s="646"/>
      <c r="EF578" s="646"/>
      <c r="EG578" s="646"/>
      <c r="EH578" s="646"/>
      <c r="EI578" s="646"/>
      <c r="EJ578" s="646"/>
      <c r="EK578" s="271"/>
      <c r="EL578" s="644"/>
      <c r="EM578" s="634"/>
      <c r="EN578" s="647"/>
      <c r="EO578" s="648"/>
      <c r="EP578" s="647"/>
      <c r="EQ578" s="647"/>
      <c r="ER578" s="647"/>
      <c r="ES578" s="139"/>
      <c r="EV578" s="647"/>
      <c r="EW578" s="647"/>
      <c r="EX578" s="647"/>
      <c r="EY578" s="647"/>
      <c r="EZ578" s="647"/>
      <c r="FA578" s="646"/>
      <c r="FB578" s="646"/>
      <c r="FC578" s="646"/>
      <c r="FD578" s="646"/>
      <c r="FE578" s="646"/>
      <c r="FF578" s="646"/>
      <c r="FG578" s="647"/>
      <c r="FH578" s="647"/>
      <c r="FI578" s="647"/>
      <c r="FJ578" s="647"/>
      <c r="FK578" s="647"/>
      <c r="FL578" s="647"/>
      <c r="FM578" s="647"/>
      <c r="FN578" s="647"/>
      <c r="FO578" s="647"/>
      <c r="FP578" s="647"/>
      <c r="FQ578" s="647"/>
      <c r="FR578" s="647"/>
      <c r="FS578" s="101"/>
      <c r="FT578" s="95"/>
      <c r="FV578" s="653"/>
      <c r="FW578" s="653"/>
      <c r="FX578" s="654"/>
      <c r="FY578" s="654"/>
      <c r="FZ578" s="654"/>
      <c r="GA578" s="654"/>
      <c r="GB578" s="654"/>
      <c r="GC578" s="654"/>
      <c r="GD578" s="654"/>
      <c r="GE578" s="654"/>
      <c r="GF578" s="654"/>
      <c r="GG578" s="654"/>
      <c r="GH578" s="654"/>
      <c r="GI578" s="654"/>
      <c r="GJ578" s="654"/>
      <c r="GK578" s="654"/>
      <c r="GL578" s="653"/>
      <c r="GM578" s="653"/>
      <c r="GN578" s="653"/>
      <c r="GO578" s="643"/>
      <c r="GP578" s="644"/>
      <c r="GQ578" s="643"/>
      <c r="GR578" s="644"/>
      <c r="GS578" s="643"/>
      <c r="GT578" s="644"/>
      <c r="GU578" s="644"/>
      <c r="GV578" s="644"/>
      <c r="GW578" s="644"/>
      <c r="GX578" s="644"/>
      <c r="GY578" s="644"/>
      <c r="GZ578" s="644"/>
      <c r="HA578" s="644"/>
    </row>
    <row r="579" spans="1:209">
      <c r="A579" s="638"/>
      <c r="B579" s="95"/>
      <c r="C579" s="95"/>
      <c r="D579" s="95"/>
      <c r="E579" s="650"/>
      <c r="F579" s="95"/>
      <c r="G579" s="98"/>
      <c r="H579" s="99"/>
      <c r="I579" s="95"/>
      <c r="J579" s="95"/>
      <c r="K579" s="95"/>
      <c r="L579" s="95"/>
      <c r="M579" s="95"/>
      <c r="N579" s="95"/>
      <c r="O579" s="95"/>
      <c r="P579" s="95"/>
      <c r="Q579" s="95"/>
      <c r="R579" s="98"/>
      <c r="S579" s="101"/>
      <c r="T579" s="644"/>
      <c r="U579" s="101"/>
      <c r="V579" s="647"/>
      <c r="W579" s="643"/>
      <c r="X579" s="644"/>
      <c r="Y579" s="101"/>
      <c r="Z579" s="644"/>
      <c r="AA579" s="101"/>
      <c r="AB579" s="644"/>
      <c r="AC579" s="101"/>
      <c r="AD579" s="646"/>
      <c r="AE579" s="271"/>
      <c r="AF579" s="646"/>
      <c r="AG579" s="646"/>
      <c r="AH579" s="646"/>
      <c r="AI579" s="646"/>
      <c r="AJ579" s="646"/>
      <c r="AK579" s="646"/>
      <c r="AL579" s="646"/>
      <c r="AM579" s="271"/>
      <c r="AN579" s="646"/>
      <c r="AO579" s="646"/>
      <c r="AP579" s="646"/>
      <c r="AQ579" s="271"/>
      <c r="AR579" s="646"/>
      <c r="AS579" s="270"/>
      <c r="AT579" s="646"/>
      <c r="AU579" s="646"/>
      <c r="AV579" s="646"/>
      <c r="AW579" s="270"/>
      <c r="AX579" s="646"/>
      <c r="AY579" s="270"/>
      <c r="AZ579" s="646"/>
      <c r="BA579" s="646"/>
      <c r="BB579" s="644"/>
      <c r="BC579" s="644"/>
      <c r="BD579" s="644"/>
      <c r="BE579" s="644"/>
      <c r="BF579" s="644"/>
      <c r="BG579" s="644"/>
      <c r="BH579" s="644"/>
      <c r="BI579" s="644"/>
      <c r="BJ579" s="644"/>
      <c r="BK579" s="644"/>
      <c r="BL579" s="644"/>
      <c r="BM579" s="95"/>
      <c r="BN579" s="644"/>
      <c r="BO579" s="95"/>
      <c r="BP579" s="644"/>
      <c r="BQ579" s="644"/>
      <c r="BR579" s="644"/>
      <c r="BS579" s="644"/>
      <c r="BT579" s="644"/>
      <c r="BU579" s="644"/>
      <c r="BV579" s="644"/>
      <c r="BW579" s="644"/>
      <c r="BX579" s="644"/>
      <c r="BY579" s="644"/>
      <c r="BZ579" s="644"/>
      <c r="CA579" s="644"/>
      <c r="CB579" s="644"/>
      <c r="CC579" s="644"/>
      <c r="CD579" s="644"/>
      <c r="CE579" s="644"/>
      <c r="CF579" s="644"/>
      <c r="CG579" s="644"/>
      <c r="CH579" s="644"/>
      <c r="CI579" s="644"/>
      <c r="CJ579" s="644"/>
      <c r="CK579" s="644"/>
      <c r="CL579" s="644"/>
      <c r="CM579" s="95"/>
      <c r="CN579" s="644"/>
      <c r="CO579" s="644"/>
      <c r="CP579" s="95"/>
      <c r="CQ579" s="98"/>
      <c r="CR579" s="95"/>
      <c r="CS579" s="95"/>
      <c r="CT579" s="95"/>
      <c r="CU579" s="108"/>
      <c r="CV579" s="109"/>
      <c r="CW579" s="644"/>
      <c r="CX579" s="496"/>
      <c r="CY579" s="637"/>
      <c r="CZ579" s="644"/>
      <c r="DA579" s="644"/>
      <c r="DB579" s="644"/>
      <c r="DC579" s="496"/>
      <c r="DD579" s="644"/>
      <c r="DE579" s="101"/>
      <c r="DF579" s="644"/>
      <c r="DG579" s="101"/>
      <c r="DH579" s="644"/>
      <c r="DI579" s="644"/>
      <c r="DJ579" s="644"/>
      <c r="DK579" s="644"/>
      <c r="DL579" s="644"/>
      <c r="DM579" s="101"/>
      <c r="DN579" s="644"/>
      <c r="DO579" s="644"/>
      <c r="DP579" s="644"/>
      <c r="DQ579" s="644"/>
      <c r="DR579" s="644"/>
      <c r="DS579" s="644"/>
      <c r="DT579" s="644"/>
      <c r="DU579" s="644"/>
      <c r="DV579" s="644"/>
      <c r="DW579" s="101"/>
      <c r="DX579" s="646"/>
      <c r="DY579" s="646"/>
      <c r="DZ579" s="646"/>
      <c r="EA579" s="646"/>
      <c r="EB579" s="646"/>
      <c r="EC579" s="646"/>
      <c r="ED579" s="646"/>
      <c r="EE579" s="646"/>
      <c r="EF579" s="646"/>
      <c r="EG579" s="646"/>
      <c r="EH579" s="646"/>
      <c r="EI579" s="646"/>
      <c r="EJ579" s="646"/>
      <c r="EK579" s="271"/>
      <c r="EL579" s="644"/>
      <c r="EM579" s="634"/>
      <c r="EN579" s="647"/>
      <c r="EO579" s="648"/>
      <c r="EP579" s="647"/>
      <c r="EQ579" s="647"/>
      <c r="ER579" s="647"/>
      <c r="ES579" s="139"/>
      <c r="EV579" s="647"/>
      <c r="EW579" s="647"/>
      <c r="EX579" s="647"/>
      <c r="EY579" s="647"/>
      <c r="EZ579" s="647"/>
      <c r="FA579" s="646"/>
      <c r="FB579" s="646"/>
      <c r="FC579" s="646"/>
      <c r="FD579" s="646"/>
      <c r="FE579" s="646"/>
      <c r="FF579" s="646"/>
      <c r="FG579" s="647"/>
      <c r="FH579" s="647"/>
      <c r="FI579" s="647"/>
      <c r="FJ579" s="647"/>
      <c r="FK579" s="647"/>
      <c r="FL579" s="647"/>
      <c r="FM579" s="647"/>
      <c r="FN579" s="647"/>
      <c r="FO579" s="647"/>
      <c r="FP579" s="647"/>
      <c r="FQ579" s="647"/>
      <c r="FR579" s="647"/>
      <c r="FS579" s="101"/>
      <c r="FT579" s="95"/>
      <c r="FV579" s="653"/>
      <c r="FW579" s="653"/>
      <c r="FX579" s="654"/>
      <c r="FY579" s="654"/>
      <c r="FZ579" s="654"/>
      <c r="GA579" s="654"/>
      <c r="GB579" s="654"/>
      <c r="GC579" s="654"/>
      <c r="GD579" s="654"/>
      <c r="GE579" s="654"/>
      <c r="GF579" s="654"/>
      <c r="GG579" s="654"/>
      <c r="GH579" s="654"/>
      <c r="GI579" s="654"/>
      <c r="GJ579" s="654"/>
      <c r="GK579" s="654"/>
      <c r="GL579" s="653"/>
      <c r="GM579" s="653"/>
      <c r="GN579" s="653"/>
      <c r="GO579" s="643"/>
      <c r="GP579" s="644"/>
      <c r="GQ579" s="643"/>
      <c r="GR579" s="644"/>
      <c r="GS579" s="643"/>
      <c r="GT579" s="644"/>
      <c r="GU579" s="644"/>
      <c r="GV579" s="644"/>
      <c r="GW579" s="644"/>
      <c r="GX579" s="644"/>
      <c r="GY579" s="644"/>
      <c r="GZ579" s="644"/>
      <c r="HA579" s="644"/>
    </row>
    <row r="580" spans="1:209">
      <c r="A580" s="638"/>
      <c r="B580" s="95"/>
      <c r="C580" s="95"/>
      <c r="D580" s="95"/>
      <c r="E580" s="650"/>
      <c r="F580" s="95"/>
      <c r="G580" s="98"/>
      <c r="H580" s="99"/>
      <c r="I580" s="95"/>
      <c r="J580" s="95"/>
      <c r="K580" s="95"/>
      <c r="L580" s="95"/>
      <c r="M580" s="95"/>
      <c r="N580" s="95"/>
      <c r="O580" s="95"/>
      <c r="P580" s="95"/>
      <c r="Q580" s="95"/>
      <c r="R580" s="98"/>
      <c r="S580" s="101"/>
      <c r="T580" s="644"/>
      <c r="U580" s="101"/>
      <c r="V580" s="647"/>
      <c r="W580" s="643"/>
      <c r="X580" s="644"/>
      <c r="Y580" s="101"/>
      <c r="Z580" s="644"/>
      <c r="AA580" s="101"/>
      <c r="AB580" s="644"/>
      <c r="AC580" s="101"/>
      <c r="AD580" s="646"/>
      <c r="AE580" s="271"/>
      <c r="AF580" s="646"/>
      <c r="AG580" s="646"/>
      <c r="AH580" s="646"/>
      <c r="AI580" s="646"/>
      <c r="AJ580" s="646"/>
      <c r="AK580" s="646"/>
      <c r="AL580" s="646"/>
      <c r="AM580" s="271"/>
      <c r="AN580" s="646"/>
      <c r="AO580" s="646"/>
      <c r="AP580" s="646"/>
      <c r="AQ580" s="271"/>
      <c r="AR580" s="646"/>
      <c r="AS580" s="270"/>
      <c r="AT580" s="646"/>
      <c r="AU580" s="646"/>
      <c r="AV580" s="646"/>
      <c r="AW580" s="270"/>
      <c r="AX580" s="646"/>
      <c r="AY580" s="270"/>
      <c r="AZ580" s="646"/>
      <c r="BA580" s="646"/>
      <c r="BB580" s="644"/>
      <c r="BC580" s="644"/>
      <c r="BD580" s="644"/>
      <c r="BE580" s="644"/>
      <c r="BF580" s="644"/>
      <c r="BG580" s="644"/>
      <c r="BH580" s="644"/>
      <c r="BI580" s="644"/>
      <c r="BJ580" s="644"/>
      <c r="BK580" s="644"/>
      <c r="BL580" s="644"/>
      <c r="BM580" s="95"/>
      <c r="BN580" s="644"/>
      <c r="BO580" s="95"/>
      <c r="BP580" s="644"/>
      <c r="BQ580" s="644"/>
      <c r="BR580" s="644"/>
      <c r="BS580" s="644"/>
      <c r="BT580" s="644"/>
      <c r="BU580" s="644"/>
      <c r="BV580" s="644"/>
      <c r="BW580" s="644"/>
      <c r="BX580" s="644"/>
      <c r="BY580" s="644"/>
      <c r="BZ580" s="644"/>
      <c r="CA580" s="644"/>
      <c r="CB580" s="644"/>
      <c r="CC580" s="644"/>
      <c r="CD580" s="644"/>
      <c r="CE580" s="644"/>
      <c r="CF580" s="644"/>
      <c r="CG580" s="644"/>
      <c r="CH580" s="644"/>
      <c r="CI580" s="644"/>
      <c r="CJ580" s="644"/>
      <c r="CK580" s="644"/>
      <c r="CL580" s="644"/>
      <c r="CM580" s="95"/>
      <c r="CN580" s="644"/>
      <c r="CO580" s="644"/>
      <c r="CP580" s="95"/>
      <c r="CQ580" s="98"/>
      <c r="CR580" s="95"/>
      <c r="CS580" s="95"/>
      <c r="CT580" s="95"/>
      <c r="CU580" s="108"/>
      <c r="CV580" s="109"/>
      <c r="CW580" s="644"/>
      <c r="CX580" s="496"/>
      <c r="CY580" s="637"/>
      <c r="CZ580" s="644"/>
      <c r="DA580" s="644"/>
      <c r="DB580" s="644"/>
      <c r="DC580" s="496"/>
      <c r="DD580" s="644"/>
      <c r="DE580" s="101"/>
      <c r="DF580" s="644"/>
      <c r="DG580" s="101"/>
      <c r="DH580" s="644"/>
      <c r="DI580" s="644"/>
      <c r="DJ580" s="644"/>
      <c r="DK580" s="644"/>
      <c r="DL580" s="644"/>
      <c r="DM580" s="101"/>
      <c r="DN580" s="644"/>
      <c r="DO580" s="644"/>
      <c r="DP580" s="644"/>
      <c r="DQ580" s="644"/>
      <c r="DR580" s="644"/>
      <c r="DS580" s="644"/>
      <c r="DT580" s="644"/>
      <c r="DU580" s="644"/>
      <c r="DV580" s="644"/>
      <c r="DW580" s="101"/>
      <c r="DX580" s="646"/>
      <c r="DY580" s="646"/>
      <c r="DZ580" s="646"/>
      <c r="EA580" s="646"/>
      <c r="EB580" s="646"/>
      <c r="EC580" s="646"/>
      <c r="ED580" s="646"/>
      <c r="EE580" s="646"/>
      <c r="EF580" s="646"/>
      <c r="EG580" s="646"/>
      <c r="EH580" s="646"/>
      <c r="EI580" s="646"/>
      <c r="EJ580" s="646"/>
      <c r="EK580" s="271"/>
      <c r="EL580" s="644"/>
      <c r="EM580" s="634"/>
      <c r="EN580" s="647"/>
      <c r="EO580" s="648"/>
      <c r="EP580" s="647"/>
      <c r="EQ580" s="647"/>
      <c r="ER580" s="647"/>
      <c r="ES580" s="139"/>
      <c r="EV580" s="647"/>
      <c r="EW580" s="647"/>
      <c r="EX580" s="647"/>
      <c r="EY580" s="647"/>
      <c r="EZ580" s="647"/>
      <c r="FA580" s="646"/>
      <c r="FB580" s="646"/>
      <c r="FC580" s="646"/>
      <c r="FD580" s="646"/>
      <c r="FE580" s="646"/>
      <c r="FF580" s="646"/>
      <c r="FG580" s="647"/>
      <c r="FH580" s="647"/>
      <c r="FI580" s="647"/>
      <c r="FJ580" s="647"/>
      <c r="FK580" s="647"/>
      <c r="FL580" s="647"/>
      <c r="FM580" s="647"/>
      <c r="FN580" s="647"/>
      <c r="FO580" s="647"/>
      <c r="FP580" s="647"/>
      <c r="FQ580" s="647"/>
      <c r="FR580" s="647"/>
      <c r="FS580" s="101"/>
      <c r="FT580" s="95"/>
      <c r="FV580" s="653"/>
      <c r="FW580" s="653"/>
      <c r="FX580" s="654"/>
      <c r="FY580" s="654"/>
      <c r="FZ580" s="654"/>
      <c r="GA580" s="654"/>
      <c r="GB580" s="654"/>
      <c r="GC580" s="654"/>
      <c r="GD580" s="654"/>
      <c r="GE580" s="654"/>
      <c r="GF580" s="654"/>
      <c r="GG580" s="654"/>
      <c r="GH580" s="654"/>
      <c r="GI580" s="654"/>
      <c r="GJ580" s="654"/>
      <c r="GK580" s="654"/>
      <c r="GL580" s="653"/>
      <c r="GM580" s="653"/>
      <c r="GN580" s="653"/>
      <c r="GO580" s="643"/>
      <c r="GP580" s="644"/>
      <c r="GQ580" s="643"/>
      <c r="GR580" s="644"/>
      <c r="GS580" s="643"/>
      <c r="GT580" s="644"/>
      <c r="GU580" s="644"/>
      <c r="GV580" s="644"/>
      <c r="GW580" s="644"/>
      <c r="GX580" s="644"/>
      <c r="GY580" s="644"/>
      <c r="GZ580" s="644"/>
      <c r="HA580" s="644"/>
    </row>
    <row r="581" spans="1:209">
      <c r="A581" s="638"/>
      <c r="B581" s="95"/>
      <c r="C581" s="95"/>
      <c r="D581" s="95"/>
      <c r="E581" s="650"/>
      <c r="F581" s="95"/>
      <c r="G581" s="98"/>
      <c r="H581" s="99"/>
      <c r="I581" s="95"/>
      <c r="J581" s="95"/>
      <c r="K581" s="95"/>
      <c r="L581" s="95"/>
      <c r="M581" s="95"/>
      <c r="N581" s="95"/>
      <c r="O581" s="95"/>
      <c r="P581" s="95"/>
      <c r="Q581" s="95"/>
      <c r="R581" s="98"/>
      <c r="S581" s="101"/>
      <c r="T581" s="644"/>
      <c r="U581" s="101"/>
      <c r="V581" s="647"/>
      <c r="W581" s="643"/>
      <c r="X581" s="644"/>
      <c r="Y581" s="101"/>
      <c r="Z581" s="644"/>
      <c r="AA581" s="101"/>
      <c r="AB581" s="644"/>
      <c r="AC581" s="101"/>
      <c r="AD581" s="646"/>
      <c r="AE581" s="271"/>
      <c r="AF581" s="646"/>
      <c r="AG581" s="646"/>
      <c r="AH581" s="646"/>
      <c r="AI581" s="646"/>
      <c r="AJ581" s="646"/>
      <c r="AK581" s="646"/>
      <c r="AL581" s="646"/>
      <c r="AM581" s="271"/>
      <c r="AN581" s="646"/>
      <c r="AO581" s="646"/>
      <c r="AP581" s="646"/>
      <c r="AQ581" s="271"/>
      <c r="AR581" s="646"/>
      <c r="AS581" s="270"/>
      <c r="AT581" s="646"/>
      <c r="AU581" s="646"/>
      <c r="AV581" s="646"/>
      <c r="AW581" s="270"/>
      <c r="AX581" s="646"/>
      <c r="AY581" s="270"/>
      <c r="AZ581" s="646"/>
      <c r="BA581" s="646"/>
      <c r="BB581" s="644"/>
      <c r="BC581" s="644"/>
      <c r="BD581" s="644"/>
      <c r="BE581" s="644"/>
      <c r="BF581" s="644"/>
      <c r="BG581" s="644"/>
      <c r="BH581" s="644"/>
      <c r="BI581" s="644"/>
      <c r="BJ581" s="644"/>
      <c r="BK581" s="644"/>
      <c r="BL581" s="644"/>
      <c r="BM581" s="95"/>
      <c r="BN581" s="644"/>
      <c r="BO581" s="95"/>
      <c r="BP581" s="644"/>
      <c r="BQ581" s="644"/>
      <c r="BR581" s="644"/>
      <c r="BS581" s="644"/>
      <c r="BT581" s="644"/>
      <c r="BU581" s="644"/>
      <c r="BV581" s="644"/>
      <c r="BW581" s="644"/>
      <c r="BX581" s="644"/>
      <c r="BY581" s="644"/>
      <c r="BZ581" s="644"/>
      <c r="CA581" s="644"/>
      <c r="CB581" s="644"/>
      <c r="CC581" s="644"/>
      <c r="CD581" s="644"/>
      <c r="CE581" s="644"/>
      <c r="CF581" s="644"/>
      <c r="CG581" s="644"/>
      <c r="CH581" s="644"/>
      <c r="CI581" s="644"/>
      <c r="CJ581" s="644"/>
      <c r="CK581" s="644"/>
      <c r="CL581" s="644"/>
      <c r="CM581" s="95"/>
      <c r="CN581" s="644"/>
      <c r="CO581" s="644"/>
      <c r="CP581" s="95"/>
      <c r="CQ581" s="98"/>
      <c r="CR581" s="95"/>
      <c r="CS581" s="95"/>
      <c r="CT581" s="95"/>
      <c r="CU581" s="108"/>
      <c r="CV581" s="109"/>
      <c r="CW581" s="644"/>
      <c r="CX581" s="496"/>
      <c r="CY581" s="637"/>
      <c r="CZ581" s="644"/>
      <c r="DA581" s="644"/>
      <c r="DB581" s="644"/>
      <c r="DC581" s="496"/>
      <c r="DD581" s="644"/>
      <c r="DE581" s="101"/>
      <c r="DF581" s="644"/>
      <c r="DG581" s="101"/>
      <c r="DH581" s="644"/>
      <c r="DI581" s="644"/>
      <c r="DJ581" s="644"/>
      <c r="DK581" s="644"/>
      <c r="DL581" s="644"/>
      <c r="DM581" s="101"/>
      <c r="DN581" s="644"/>
      <c r="DO581" s="644"/>
      <c r="DP581" s="644"/>
      <c r="DQ581" s="644"/>
      <c r="DR581" s="644"/>
      <c r="DS581" s="644"/>
      <c r="DT581" s="644"/>
      <c r="DU581" s="644"/>
      <c r="DV581" s="644"/>
      <c r="DW581" s="101"/>
      <c r="DX581" s="646"/>
      <c r="DY581" s="646"/>
      <c r="DZ581" s="646"/>
      <c r="EA581" s="646"/>
      <c r="EB581" s="646"/>
      <c r="EC581" s="646"/>
      <c r="ED581" s="646"/>
      <c r="EE581" s="646"/>
      <c r="EF581" s="646"/>
      <c r="EG581" s="646"/>
      <c r="EH581" s="646"/>
      <c r="EI581" s="646"/>
      <c r="EJ581" s="646"/>
      <c r="EK581" s="271"/>
      <c r="EL581" s="644"/>
      <c r="EM581" s="634"/>
      <c r="EN581" s="647"/>
      <c r="EO581" s="648"/>
      <c r="EP581" s="647"/>
      <c r="EQ581" s="647"/>
      <c r="ER581" s="647"/>
      <c r="ES581" s="139"/>
      <c r="EV581" s="647"/>
      <c r="EW581" s="647"/>
      <c r="EX581" s="647"/>
      <c r="EY581" s="647"/>
      <c r="EZ581" s="647"/>
      <c r="FA581" s="646"/>
      <c r="FB581" s="646"/>
      <c r="FC581" s="646"/>
      <c r="FD581" s="646"/>
      <c r="FE581" s="646"/>
      <c r="FF581" s="646"/>
      <c r="FG581" s="647"/>
      <c r="FH581" s="647"/>
      <c r="FI581" s="647"/>
      <c r="FJ581" s="647"/>
      <c r="FK581" s="647"/>
      <c r="FL581" s="647"/>
      <c r="FM581" s="647"/>
      <c r="FN581" s="647"/>
      <c r="FO581" s="647"/>
      <c r="FP581" s="647"/>
      <c r="FQ581" s="647"/>
      <c r="FR581" s="647"/>
      <c r="FS581" s="101"/>
      <c r="FT581" s="95"/>
      <c r="FV581" s="653"/>
      <c r="FW581" s="653"/>
      <c r="FX581" s="654"/>
      <c r="FY581" s="654"/>
      <c r="FZ581" s="654"/>
      <c r="GA581" s="654"/>
      <c r="GB581" s="654"/>
      <c r="GC581" s="654"/>
      <c r="GD581" s="654"/>
      <c r="GE581" s="654"/>
      <c r="GF581" s="654"/>
      <c r="GG581" s="654"/>
      <c r="GH581" s="654"/>
      <c r="GI581" s="654"/>
      <c r="GJ581" s="654"/>
      <c r="GK581" s="654"/>
      <c r="GL581" s="653"/>
      <c r="GM581" s="653"/>
      <c r="GN581" s="653"/>
      <c r="GO581" s="643"/>
      <c r="GP581" s="644"/>
      <c r="GQ581" s="643"/>
      <c r="GR581" s="644"/>
      <c r="GS581" s="643"/>
      <c r="GT581" s="644"/>
      <c r="GU581" s="644"/>
      <c r="GV581" s="644"/>
      <c r="GW581" s="644"/>
      <c r="GX581" s="644"/>
      <c r="GY581" s="644"/>
      <c r="GZ581" s="644"/>
      <c r="HA581" s="644"/>
    </row>
    <row r="582" spans="1:209">
      <c r="A582" s="638"/>
      <c r="B582" s="95"/>
      <c r="C582" s="95"/>
      <c r="D582" s="95"/>
      <c r="E582" s="650"/>
      <c r="F582" s="95"/>
      <c r="G582" s="98"/>
      <c r="H582" s="99"/>
      <c r="I582" s="95"/>
      <c r="J582" s="95"/>
      <c r="K582" s="95"/>
      <c r="L582" s="95"/>
      <c r="M582" s="95"/>
      <c r="N582" s="95"/>
      <c r="O582" s="95"/>
      <c r="P582" s="95"/>
      <c r="Q582" s="95"/>
      <c r="R582" s="98"/>
      <c r="S582" s="101"/>
      <c r="T582" s="644"/>
      <c r="U582" s="101"/>
      <c r="V582" s="647"/>
      <c r="W582" s="643"/>
      <c r="X582" s="644"/>
      <c r="Y582" s="101"/>
      <c r="Z582" s="644"/>
      <c r="AA582" s="101"/>
      <c r="AB582" s="644"/>
      <c r="AC582" s="101"/>
      <c r="AD582" s="646"/>
      <c r="AE582" s="271"/>
      <c r="AF582" s="646"/>
      <c r="AG582" s="646"/>
      <c r="AH582" s="646"/>
      <c r="AI582" s="646"/>
      <c r="AJ582" s="646"/>
      <c r="AK582" s="646"/>
      <c r="AL582" s="646"/>
      <c r="AM582" s="271"/>
      <c r="AN582" s="646"/>
      <c r="AO582" s="646"/>
      <c r="AP582" s="646"/>
      <c r="AQ582" s="271"/>
      <c r="AR582" s="646"/>
      <c r="AS582" s="270"/>
      <c r="AT582" s="646"/>
      <c r="AU582" s="646"/>
      <c r="AV582" s="646"/>
      <c r="AW582" s="270"/>
      <c r="AX582" s="646"/>
      <c r="AY582" s="270"/>
      <c r="AZ582" s="646"/>
      <c r="BA582" s="646"/>
      <c r="BB582" s="644"/>
      <c r="BC582" s="644"/>
      <c r="BD582" s="644"/>
      <c r="BE582" s="644"/>
      <c r="BF582" s="644"/>
      <c r="BG582" s="644"/>
      <c r="BH582" s="644"/>
      <c r="BI582" s="644"/>
      <c r="BJ582" s="644"/>
      <c r="BK582" s="644"/>
      <c r="BL582" s="644"/>
      <c r="BM582" s="95"/>
      <c r="BN582" s="644"/>
      <c r="BO582" s="95"/>
      <c r="BP582" s="644"/>
      <c r="BQ582" s="644"/>
      <c r="BR582" s="644"/>
      <c r="BS582" s="644"/>
      <c r="BT582" s="644"/>
      <c r="BU582" s="644"/>
      <c r="BV582" s="644"/>
      <c r="BW582" s="644"/>
      <c r="BX582" s="644"/>
      <c r="BY582" s="644"/>
      <c r="BZ582" s="644"/>
      <c r="CA582" s="644"/>
      <c r="CB582" s="644"/>
      <c r="CC582" s="644"/>
      <c r="CD582" s="644"/>
      <c r="CE582" s="644"/>
      <c r="CF582" s="644"/>
      <c r="CG582" s="644"/>
      <c r="CH582" s="644"/>
      <c r="CI582" s="644"/>
      <c r="CJ582" s="644"/>
      <c r="CK582" s="644"/>
      <c r="CL582" s="644"/>
      <c r="CM582" s="95"/>
      <c r="CN582" s="644"/>
      <c r="CO582" s="644"/>
      <c r="CP582" s="95"/>
      <c r="CQ582" s="98"/>
      <c r="CR582" s="95"/>
      <c r="CS582" s="95"/>
      <c r="CT582" s="95"/>
      <c r="CU582" s="108"/>
      <c r="CV582" s="109"/>
      <c r="CW582" s="644"/>
      <c r="CX582" s="496"/>
      <c r="CY582" s="637"/>
      <c r="CZ582" s="644"/>
      <c r="DA582" s="644"/>
      <c r="DB582" s="644"/>
      <c r="DC582" s="496"/>
      <c r="DD582" s="644"/>
      <c r="DE582" s="101"/>
      <c r="DF582" s="644"/>
      <c r="DG582" s="101"/>
      <c r="DH582" s="644"/>
      <c r="DI582" s="644"/>
      <c r="DJ582" s="644"/>
      <c r="DK582" s="644"/>
      <c r="DL582" s="644"/>
      <c r="DM582" s="101"/>
      <c r="DN582" s="644"/>
      <c r="DO582" s="644"/>
      <c r="DP582" s="644"/>
      <c r="DQ582" s="644"/>
      <c r="DR582" s="644"/>
      <c r="DS582" s="644"/>
      <c r="DT582" s="644"/>
      <c r="DU582" s="644"/>
      <c r="DV582" s="644"/>
      <c r="DW582" s="101"/>
      <c r="DX582" s="646"/>
      <c r="DY582" s="646"/>
      <c r="DZ582" s="646"/>
      <c r="EA582" s="646"/>
      <c r="EB582" s="646"/>
      <c r="EC582" s="646"/>
      <c r="ED582" s="646"/>
      <c r="EE582" s="646"/>
      <c r="EF582" s="646"/>
      <c r="EG582" s="646"/>
      <c r="EH582" s="646"/>
      <c r="EI582" s="646"/>
      <c r="EJ582" s="646"/>
      <c r="EK582" s="271"/>
      <c r="EL582" s="644"/>
      <c r="EM582" s="634"/>
      <c r="EN582" s="647"/>
      <c r="EO582" s="648"/>
      <c r="EP582" s="647"/>
      <c r="EQ582" s="647"/>
      <c r="ER582" s="647"/>
      <c r="ES582" s="139"/>
      <c r="EV582" s="647"/>
      <c r="EW582" s="647"/>
      <c r="EX582" s="647"/>
      <c r="EY582" s="647"/>
      <c r="EZ582" s="647"/>
      <c r="FA582" s="646"/>
      <c r="FB582" s="646"/>
      <c r="FC582" s="646"/>
      <c r="FD582" s="646"/>
      <c r="FE582" s="646"/>
      <c r="FF582" s="646"/>
      <c r="FG582" s="647"/>
      <c r="FH582" s="647"/>
      <c r="FI582" s="647"/>
      <c r="FJ582" s="647"/>
      <c r="FK582" s="647"/>
      <c r="FL582" s="647"/>
      <c r="FM582" s="647"/>
      <c r="FN582" s="647"/>
      <c r="FO582" s="647"/>
      <c r="FP582" s="647"/>
      <c r="FQ582" s="647"/>
      <c r="FR582" s="647"/>
      <c r="FS582" s="101"/>
      <c r="FT582" s="95"/>
      <c r="FV582" s="653"/>
      <c r="FW582" s="653"/>
      <c r="FX582" s="654"/>
      <c r="FY582" s="654"/>
      <c r="FZ582" s="654"/>
      <c r="GA582" s="654"/>
      <c r="GB582" s="654"/>
      <c r="GC582" s="654"/>
      <c r="GD582" s="654"/>
      <c r="GE582" s="654"/>
      <c r="GF582" s="654"/>
      <c r="GG582" s="654"/>
      <c r="GH582" s="654"/>
      <c r="GI582" s="654"/>
      <c r="GJ582" s="654"/>
      <c r="GK582" s="654"/>
      <c r="GL582" s="653"/>
      <c r="GM582" s="653"/>
      <c r="GN582" s="653"/>
      <c r="GO582" s="643"/>
      <c r="GP582" s="644"/>
      <c r="GQ582" s="643"/>
      <c r="GR582" s="644"/>
      <c r="GS582" s="643"/>
      <c r="GT582" s="644"/>
      <c r="GU582" s="644"/>
      <c r="GV582" s="644"/>
      <c r="GW582" s="644"/>
      <c r="GX582" s="644"/>
      <c r="GY582" s="644"/>
      <c r="GZ582" s="644"/>
      <c r="HA582" s="644"/>
    </row>
    <row r="583" spans="1:209">
      <c r="A583" s="638"/>
      <c r="B583" s="95"/>
      <c r="C583" s="95"/>
      <c r="D583" s="95"/>
      <c r="E583" s="650"/>
      <c r="F583" s="95"/>
      <c r="G583" s="98"/>
      <c r="H583" s="99"/>
      <c r="I583" s="95"/>
      <c r="J583" s="95"/>
      <c r="K583" s="95"/>
      <c r="L583" s="95"/>
      <c r="M583" s="95"/>
      <c r="N583" s="95"/>
      <c r="O583" s="95"/>
      <c r="P583" s="95"/>
      <c r="Q583" s="95"/>
      <c r="R583" s="98"/>
      <c r="S583" s="101"/>
      <c r="T583" s="644"/>
      <c r="U583" s="101"/>
      <c r="V583" s="647"/>
      <c r="W583" s="643"/>
      <c r="X583" s="644"/>
      <c r="Y583" s="101"/>
      <c r="Z583" s="644"/>
      <c r="AA583" s="101"/>
      <c r="AB583" s="644"/>
      <c r="AC583" s="101"/>
      <c r="AD583" s="646"/>
      <c r="AE583" s="271"/>
      <c r="AF583" s="646"/>
      <c r="AG583" s="646"/>
      <c r="AH583" s="646"/>
      <c r="AI583" s="646"/>
      <c r="AJ583" s="646"/>
      <c r="AK583" s="646"/>
      <c r="AL583" s="646"/>
      <c r="AM583" s="271"/>
      <c r="AN583" s="646"/>
      <c r="AO583" s="646"/>
      <c r="AP583" s="646"/>
      <c r="AQ583" s="271"/>
      <c r="AR583" s="646"/>
      <c r="AS583" s="270"/>
      <c r="AT583" s="646"/>
      <c r="AU583" s="646"/>
      <c r="AV583" s="646"/>
      <c r="AW583" s="270"/>
      <c r="AX583" s="646"/>
      <c r="AY583" s="270"/>
      <c r="AZ583" s="646"/>
      <c r="BA583" s="646"/>
      <c r="BB583" s="644"/>
      <c r="BC583" s="644"/>
      <c r="BD583" s="644"/>
      <c r="BE583" s="644"/>
      <c r="BF583" s="644"/>
      <c r="BG583" s="644"/>
      <c r="BH583" s="644"/>
      <c r="BI583" s="644"/>
      <c r="BJ583" s="644"/>
      <c r="BK583" s="644"/>
      <c r="BL583" s="644"/>
      <c r="BM583" s="95"/>
      <c r="BN583" s="644"/>
      <c r="BO583" s="95"/>
      <c r="BP583" s="644"/>
      <c r="BQ583" s="644"/>
      <c r="BR583" s="644"/>
      <c r="BS583" s="644"/>
      <c r="BT583" s="644"/>
      <c r="BU583" s="644"/>
      <c r="BV583" s="644"/>
      <c r="BW583" s="644"/>
      <c r="BX583" s="644"/>
      <c r="BY583" s="644"/>
      <c r="BZ583" s="644"/>
      <c r="CA583" s="644"/>
      <c r="CB583" s="644"/>
      <c r="CC583" s="644"/>
      <c r="CD583" s="644"/>
      <c r="CE583" s="644"/>
      <c r="CF583" s="644"/>
      <c r="CG583" s="644"/>
      <c r="CH583" s="644"/>
      <c r="CI583" s="644"/>
      <c r="CJ583" s="644"/>
      <c r="CK583" s="644"/>
      <c r="CL583" s="644"/>
      <c r="CM583" s="95"/>
      <c r="CN583" s="644"/>
      <c r="CO583" s="644"/>
      <c r="CP583" s="95"/>
      <c r="CQ583" s="98"/>
      <c r="CR583" s="95"/>
      <c r="CS583" s="95"/>
      <c r="CT583" s="95"/>
      <c r="CU583" s="108"/>
      <c r="CV583" s="109"/>
      <c r="CW583" s="644"/>
      <c r="CX583" s="496"/>
      <c r="CY583" s="637"/>
      <c r="CZ583" s="644"/>
      <c r="DA583" s="644"/>
      <c r="DB583" s="644"/>
      <c r="DC583" s="496"/>
      <c r="DD583" s="644"/>
      <c r="DE583" s="101"/>
      <c r="DF583" s="644"/>
      <c r="DG583" s="101"/>
      <c r="DH583" s="644"/>
      <c r="DI583" s="644"/>
      <c r="DJ583" s="644"/>
      <c r="DK583" s="644"/>
      <c r="DL583" s="644"/>
      <c r="DM583" s="101"/>
      <c r="DN583" s="644"/>
      <c r="DO583" s="644"/>
      <c r="DP583" s="644"/>
      <c r="DQ583" s="644"/>
      <c r="DR583" s="644"/>
      <c r="DS583" s="644"/>
      <c r="DT583" s="644"/>
      <c r="DU583" s="644"/>
      <c r="DV583" s="644"/>
      <c r="DW583" s="101"/>
      <c r="DX583" s="646"/>
      <c r="DY583" s="646"/>
      <c r="DZ583" s="646"/>
      <c r="EA583" s="646"/>
      <c r="EB583" s="646"/>
      <c r="EC583" s="646"/>
      <c r="ED583" s="646"/>
      <c r="EE583" s="646"/>
      <c r="EF583" s="646"/>
      <c r="EG583" s="646"/>
      <c r="EH583" s="646"/>
      <c r="EI583" s="646"/>
      <c r="EJ583" s="646"/>
      <c r="EK583" s="271"/>
      <c r="EL583" s="644"/>
      <c r="EM583" s="634"/>
      <c r="EN583" s="647"/>
      <c r="EO583" s="648"/>
      <c r="EP583" s="647"/>
      <c r="EQ583" s="647"/>
      <c r="ER583" s="647"/>
      <c r="ES583" s="139"/>
      <c r="EV583" s="647"/>
      <c r="EW583" s="647"/>
      <c r="EX583" s="647"/>
      <c r="EY583" s="647"/>
      <c r="EZ583" s="647"/>
      <c r="FA583" s="646"/>
      <c r="FB583" s="646"/>
      <c r="FC583" s="646"/>
      <c r="FD583" s="646"/>
      <c r="FE583" s="646"/>
      <c r="FF583" s="646"/>
      <c r="FG583" s="647"/>
      <c r="FH583" s="647"/>
      <c r="FI583" s="647"/>
      <c r="FJ583" s="647"/>
      <c r="FK583" s="647"/>
      <c r="FL583" s="647"/>
      <c r="FM583" s="647"/>
      <c r="FN583" s="647"/>
      <c r="FO583" s="647"/>
      <c r="FP583" s="647"/>
      <c r="FQ583" s="647"/>
      <c r="FR583" s="647"/>
      <c r="FS583" s="101"/>
      <c r="FT583" s="95"/>
      <c r="FV583" s="653"/>
      <c r="FW583" s="653"/>
      <c r="FX583" s="654"/>
      <c r="FY583" s="654"/>
      <c r="FZ583" s="654"/>
      <c r="GA583" s="654"/>
      <c r="GB583" s="654"/>
      <c r="GC583" s="654"/>
      <c r="GD583" s="654"/>
      <c r="GE583" s="654"/>
      <c r="GF583" s="654"/>
      <c r="GG583" s="654"/>
      <c r="GH583" s="654"/>
      <c r="GI583" s="654"/>
      <c r="GJ583" s="654"/>
      <c r="GK583" s="654"/>
      <c r="GL583" s="653"/>
      <c r="GM583" s="653"/>
      <c r="GN583" s="653"/>
      <c r="GO583" s="643"/>
      <c r="GP583" s="644"/>
      <c r="GQ583" s="643"/>
      <c r="GR583" s="644"/>
      <c r="GS583" s="643"/>
      <c r="GT583" s="644"/>
      <c r="GU583" s="644"/>
      <c r="GV583" s="644"/>
      <c r="GW583" s="644"/>
      <c r="GX583" s="644"/>
      <c r="GY583" s="644"/>
      <c r="GZ583" s="644"/>
      <c r="HA583" s="644"/>
    </row>
    <row r="584" spans="1:209">
      <c r="A584" s="638"/>
      <c r="B584" s="95"/>
      <c r="C584" s="95"/>
      <c r="D584" s="95"/>
      <c r="E584" s="650"/>
      <c r="F584" s="95"/>
      <c r="G584" s="98"/>
      <c r="H584" s="99"/>
      <c r="I584" s="95"/>
      <c r="J584" s="95"/>
      <c r="K584" s="95"/>
      <c r="L584" s="95"/>
      <c r="M584" s="95"/>
      <c r="N584" s="95"/>
      <c r="O584" s="95"/>
      <c r="P584" s="95"/>
      <c r="Q584" s="95"/>
      <c r="R584" s="98"/>
      <c r="S584" s="101"/>
      <c r="T584" s="644"/>
      <c r="U584" s="101"/>
      <c r="V584" s="647"/>
      <c r="W584" s="643"/>
      <c r="X584" s="644"/>
      <c r="Y584" s="101"/>
      <c r="Z584" s="644"/>
      <c r="AA584" s="101"/>
      <c r="AB584" s="644"/>
      <c r="AC584" s="101"/>
      <c r="AD584" s="646"/>
      <c r="AE584" s="271"/>
      <c r="AF584" s="646"/>
      <c r="AG584" s="646"/>
      <c r="AH584" s="646"/>
      <c r="AI584" s="646"/>
      <c r="AJ584" s="646"/>
      <c r="AK584" s="646"/>
      <c r="AL584" s="646"/>
      <c r="AM584" s="271"/>
      <c r="AN584" s="646"/>
      <c r="AO584" s="646"/>
      <c r="AP584" s="646"/>
      <c r="AQ584" s="271"/>
      <c r="AR584" s="646"/>
      <c r="AS584" s="270"/>
      <c r="AT584" s="646"/>
      <c r="AU584" s="646"/>
      <c r="AV584" s="646"/>
      <c r="AW584" s="270"/>
      <c r="AX584" s="646"/>
      <c r="AY584" s="270"/>
      <c r="AZ584" s="646"/>
      <c r="BA584" s="646"/>
      <c r="BB584" s="644"/>
      <c r="BC584" s="644"/>
      <c r="BD584" s="644"/>
      <c r="BE584" s="644"/>
      <c r="BF584" s="644"/>
      <c r="BG584" s="644"/>
      <c r="BH584" s="644"/>
      <c r="BI584" s="644"/>
      <c r="BJ584" s="644"/>
      <c r="BK584" s="644"/>
      <c r="BL584" s="644"/>
      <c r="BM584" s="95"/>
      <c r="BN584" s="644"/>
      <c r="BO584" s="95"/>
      <c r="BP584" s="644"/>
      <c r="BQ584" s="644"/>
      <c r="BR584" s="644"/>
      <c r="BS584" s="644"/>
      <c r="BT584" s="644"/>
      <c r="BU584" s="644"/>
      <c r="BV584" s="644"/>
      <c r="BW584" s="644"/>
      <c r="BX584" s="644"/>
      <c r="BY584" s="644"/>
      <c r="BZ584" s="644"/>
      <c r="CA584" s="644"/>
      <c r="CB584" s="644"/>
      <c r="CC584" s="644"/>
      <c r="CD584" s="644"/>
      <c r="CE584" s="644"/>
      <c r="CF584" s="644"/>
      <c r="CG584" s="644"/>
      <c r="CH584" s="644"/>
      <c r="CI584" s="644"/>
      <c r="CJ584" s="644"/>
      <c r="CK584" s="644"/>
      <c r="CL584" s="644"/>
      <c r="CM584" s="95"/>
      <c r="CN584" s="644"/>
      <c r="CO584" s="644"/>
      <c r="CP584" s="95"/>
      <c r="CQ584" s="98"/>
      <c r="CR584" s="95"/>
      <c r="CS584" s="95"/>
      <c r="CT584" s="95"/>
      <c r="CU584" s="108"/>
      <c r="CV584" s="109"/>
      <c r="CW584" s="644"/>
      <c r="CX584" s="496"/>
      <c r="CY584" s="637"/>
      <c r="CZ584" s="644"/>
      <c r="DA584" s="644"/>
      <c r="DB584" s="644"/>
      <c r="DC584" s="496"/>
      <c r="DD584" s="644"/>
      <c r="DE584" s="101"/>
      <c r="DF584" s="644"/>
      <c r="DG584" s="101"/>
      <c r="DH584" s="644"/>
      <c r="DI584" s="644"/>
      <c r="DJ584" s="644"/>
      <c r="DK584" s="644"/>
      <c r="DL584" s="644"/>
      <c r="DM584" s="101"/>
      <c r="DN584" s="644"/>
      <c r="DO584" s="644"/>
      <c r="DP584" s="644"/>
      <c r="DQ584" s="644"/>
      <c r="DR584" s="644"/>
      <c r="DS584" s="644"/>
      <c r="DT584" s="644"/>
      <c r="DU584" s="644"/>
      <c r="DV584" s="644"/>
      <c r="DW584" s="101"/>
      <c r="DX584" s="646"/>
      <c r="DY584" s="646"/>
      <c r="DZ584" s="646"/>
      <c r="EA584" s="646"/>
      <c r="EB584" s="646"/>
      <c r="EC584" s="646"/>
      <c r="ED584" s="646"/>
      <c r="EE584" s="646"/>
      <c r="EF584" s="646"/>
      <c r="EG584" s="646"/>
      <c r="EH584" s="646"/>
      <c r="EI584" s="646"/>
      <c r="EJ584" s="646"/>
      <c r="EK584" s="271"/>
      <c r="EL584" s="644"/>
      <c r="EM584" s="634"/>
      <c r="EN584" s="647"/>
      <c r="EO584" s="648"/>
      <c r="EP584" s="647"/>
      <c r="EQ584" s="647"/>
      <c r="ER584" s="647"/>
      <c r="ES584" s="139"/>
      <c r="EV584" s="647"/>
      <c r="EW584" s="647"/>
      <c r="EX584" s="647"/>
      <c r="EY584" s="647"/>
      <c r="EZ584" s="647"/>
      <c r="FA584" s="646"/>
      <c r="FB584" s="646"/>
      <c r="FC584" s="646"/>
      <c r="FD584" s="646"/>
      <c r="FE584" s="646"/>
      <c r="FF584" s="646"/>
      <c r="FG584" s="647"/>
      <c r="FH584" s="647"/>
      <c r="FI584" s="647"/>
      <c r="FJ584" s="647"/>
      <c r="FK584" s="647"/>
      <c r="FL584" s="647"/>
      <c r="FM584" s="647"/>
      <c r="FN584" s="647"/>
      <c r="FO584" s="647"/>
      <c r="FP584" s="647"/>
      <c r="FQ584" s="647"/>
      <c r="FR584" s="647"/>
      <c r="FS584" s="101"/>
      <c r="FT584" s="95"/>
      <c r="FV584" s="653"/>
      <c r="FW584" s="653"/>
      <c r="FX584" s="654"/>
      <c r="FY584" s="654"/>
      <c r="FZ584" s="654"/>
      <c r="GA584" s="654"/>
      <c r="GB584" s="654"/>
      <c r="GC584" s="654"/>
      <c r="GD584" s="654"/>
      <c r="GE584" s="654"/>
      <c r="GF584" s="654"/>
      <c r="GG584" s="654"/>
      <c r="GH584" s="654"/>
      <c r="GI584" s="654"/>
      <c r="GJ584" s="654"/>
      <c r="GK584" s="654"/>
      <c r="GL584" s="653"/>
      <c r="GM584" s="653"/>
      <c r="GN584" s="653"/>
      <c r="GO584" s="643"/>
      <c r="GP584" s="644"/>
      <c r="GQ584" s="643"/>
      <c r="GR584" s="644"/>
      <c r="GS584" s="643"/>
      <c r="GT584" s="644"/>
      <c r="GU584" s="644"/>
      <c r="GV584" s="644"/>
      <c r="GW584" s="644"/>
      <c r="GX584" s="644"/>
      <c r="GY584" s="644"/>
      <c r="GZ584" s="644"/>
      <c r="HA584" s="644"/>
    </row>
    <row r="585" spans="1:209">
      <c r="A585" s="638"/>
      <c r="B585" s="95"/>
      <c r="C585" s="95"/>
      <c r="D585" s="95"/>
      <c r="E585" s="650"/>
      <c r="F585" s="95"/>
      <c r="G585" s="98"/>
      <c r="H585" s="99"/>
      <c r="I585" s="95"/>
      <c r="J585" s="95"/>
      <c r="K585" s="95"/>
      <c r="L585" s="95"/>
      <c r="M585" s="95"/>
      <c r="N585" s="95"/>
      <c r="O585" s="95"/>
      <c r="P585" s="95"/>
      <c r="Q585" s="95"/>
      <c r="R585" s="98"/>
      <c r="S585" s="101"/>
      <c r="T585" s="644"/>
      <c r="U585" s="101"/>
      <c r="V585" s="647"/>
      <c r="W585" s="643"/>
      <c r="X585" s="644"/>
      <c r="Y585" s="101"/>
      <c r="Z585" s="644"/>
      <c r="AA585" s="101"/>
      <c r="AB585" s="644"/>
      <c r="AC585" s="101"/>
      <c r="AD585" s="646"/>
      <c r="AE585" s="271"/>
      <c r="AF585" s="646"/>
      <c r="AG585" s="646"/>
      <c r="AH585" s="646"/>
      <c r="AI585" s="646"/>
      <c r="AJ585" s="646"/>
      <c r="AK585" s="646"/>
      <c r="AL585" s="646"/>
      <c r="AM585" s="271"/>
      <c r="AN585" s="646"/>
      <c r="AO585" s="646"/>
      <c r="AP585" s="646"/>
      <c r="AQ585" s="271"/>
      <c r="AR585" s="646"/>
      <c r="AS585" s="270"/>
      <c r="AT585" s="646"/>
      <c r="AU585" s="646"/>
      <c r="AV585" s="646"/>
      <c r="AW585" s="270"/>
      <c r="AX585" s="646"/>
      <c r="AY585" s="270"/>
      <c r="AZ585" s="646"/>
      <c r="BA585" s="646"/>
      <c r="BB585" s="644"/>
      <c r="BC585" s="644"/>
      <c r="BD585" s="644"/>
      <c r="BE585" s="644"/>
      <c r="BF585" s="644"/>
      <c r="BG585" s="644"/>
      <c r="BH585" s="644"/>
      <c r="BI585" s="644"/>
      <c r="BJ585" s="644"/>
      <c r="BK585" s="644"/>
      <c r="BL585" s="644"/>
      <c r="BM585" s="95"/>
      <c r="BN585" s="644"/>
      <c r="BO585" s="95"/>
      <c r="BP585" s="644"/>
      <c r="BQ585" s="644"/>
      <c r="BR585" s="644"/>
      <c r="BS585" s="644"/>
      <c r="BT585" s="644"/>
      <c r="BU585" s="644"/>
      <c r="BV585" s="644"/>
      <c r="BW585" s="644"/>
      <c r="BX585" s="644"/>
      <c r="BY585" s="644"/>
      <c r="BZ585" s="644"/>
      <c r="CA585" s="644"/>
      <c r="CB585" s="644"/>
      <c r="CC585" s="644"/>
      <c r="CD585" s="644"/>
      <c r="CE585" s="644"/>
      <c r="CF585" s="644"/>
      <c r="CG585" s="644"/>
      <c r="CH585" s="644"/>
      <c r="CI585" s="644"/>
      <c r="CJ585" s="644"/>
      <c r="CK585" s="644"/>
      <c r="CL585" s="644"/>
      <c r="CM585" s="95"/>
      <c r="CN585" s="644"/>
      <c r="CO585" s="644"/>
      <c r="CP585" s="95"/>
      <c r="CQ585" s="98"/>
      <c r="CR585" s="95"/>
      <c r="CS585" s="95"/>
      <c r="CT585" s="95"/>
      <c r="CU585" s="108"/>
      <c r="CV585" s="109"/>
      <c r="CW585" s="644"/>
      <c r="CX585" s="496"/>
      <c r="CY585" s="637"/>
      <c r="CZ585" s="644"/>
      <c r="DA585" s="644"/>
      <c r="DB585" s="644"/>
      <c r="DC585" s="496"/>
      <c r="DD585" s="644"/>
      <c r="DE585" s="101"/>
      <c r="DF585" s="644"/>
      <c r="DG585" s="101"/>
      <c r="DH585" s="644"/>
      <c r="DI585" s="644"/>
      <c r="DJ585" s="644"/>
      <c r="DK585" s="644"/>
      <c r="DL585" s="644"/>
      <c r="DM585" s="101"/>
      <c r="DN585" s="644"/>
      <c r="DO585" s="644"/>
      <c r="DP585" s="644"/>
      <c r="DQ585" s="644"/>
      <c r="DR585" s="644"/>
      <c r="DS585" s="644"/>
      <c r="DT585" s="644"/>
      <c r="DU585" s="644"/>
      <c r="DV585" s="644"/>
      <c r="DW585" s="101"/>
      <c r="DX585" s="646"/>
      <c r="DY585" s="646"/>
      <c r="DZ585" s="646"/>
      <c r="EA585" s="646"/>
      <c r="EB585" s="646"/>
      <c r="EC585" s="646"/>
      <c r="ED585" s="646"/>
      <c r="EE585" s="646"/>
      <c r="EF585" s="646"/>
      <c r="EG585" s="646"/>
      <c r="EH585" s="646"/>
      <c r="EI585" s="646"/>
      <c r="EJ585" s="646"/>
      <c r="EK585" s="271"/>
      <c r="EL585" s="644"/>
      <c r="EM585" s="634"/>
      <c r="EN585" s="647"/>
      <c r="EO585" s="648"/>
      <c r="EP585" s="647"/>
      <c r="EQ585" s="647"/>
      <c r="ER585" s="647"/>
      <c r="ES585" s="139"/>
      <c r="EV585" s="647"/>
      <c r="EW585" s="647"/>
      <c r="EX585" s="647"/>
      <c r="EY585" s="647"/>
      <c r="EZ585" s="647"/>
      <c r="FA585" s="646"/>
      <c r="FB585" s="646"/>
      <c r="FC585" s="646"/>
      <c r="FD585" s="646"/>
      <c r="FE585" s="646"/>
      <c r="FF585" s="646"/>
      <c r="FG585" s="647"/>
      <c r="FH585" s="647"/>
      <c r="FI585" s="647"/>
      <c r="FJ585" s="647"/>
      <c r="FK585" s="647"/>
      <c r="FL585" s="647"/>
      <c r="FM585" s="647"/>
      <c r="FN585" s="647"/>
      <c r="FO585" s="647"/>
      <c r="FP585" s="647"/>
      <c r="FQ585" s="647"/>
      <c r="FR585" s="647"/>
      <c r="FS585" s="101"/>
      <c r="FT585" s="95"/>
      <c r="FV585" s="653"/>
      <c r="FW585" s="653"/>
      <c r="FX585" s="654"/>
      <c r="FY585" s="654"/>
      <c r="FZ585" s="654"/>
      <c r="GA585" s="654"/>
      <c r="GB585" s="654"/>
      <c r="GC585" s="654"/>
      <c r="GD585" s="654"/>
      <c r="GE585" s="654"/>
      <c r="GF585" s="654"/>
      <c r="GG585" s="654"/>
      <c r="GH585" s="654"/>
      <c r="GI585" s="654"/>
      <c r="GJ585" s="654"/>
      <c r="GK585" s="654"/>
      <c r="GL585" s="653"/>
      <c r="GM585" s="653"/>
      <c r="GN585" s="653"/>
      <c r="GO585" s="643"/>
      <c r="GP585" s="644"/>
      <c r="GQ585" s="643"/>
      <c r="GR585" s="644"/>
      <c r="GS585" s="643"/>
      <c r="GT585" s="644"/>
      <c r="GU585" s="644"/>
      <c r="GV585" s="644"/>
      <c r="GW585" s="644"/>
      <c r="GX585" s="644"/>
      <c r="GY585" s="644"/>
      <c r="GZ585" s="644"/>
      <c r="HA585" s="644"/>
    </row>
    <row r="586" spans="1:209">
      <c r="A586" s="638"/>
      <c r="B586" s="95"/>
      <c r="C586" s="95"/>
      <c r="D586" s="95"/>
      <c r="E586" s="650"/>
      <c r="F586" s="95"/>
      <c r="G586" s="98"/>
      <c r="H586" s="99"/>
      <c r="I586" s="95"/>
      <c r="J586" s="95"/>
      <c r="K586" s="95"/>
      <c r="L586" s="95"/>
      <c r="M586" s="95"/>
      <c r="N586" s="95"/>
      <c r="O586" s="95"/>
      <c r="P586" s="95"/>
      <c r="Q586" s="95"/>
      <c r="R586" s="98"/>
      <c r="S586" s="101"/>
      <c r="T586" s="644"/>
      <c r="U586" s="101"/>
      <c r="V586" s="647"/>
      <c r="W586" s="643"/>
      <c r="X586" s="644"/>
      <c r="Y586" s="101"/>
      <c r="Z586" s="644"/>
      <c r="AA586" s="101"/>
      <c r="AB586" s="644"/>
      <c r="AC586" s="101"/>
      <c r="AD586" s="646"/>
      <c r="AE586" s="271"/>
      <c r="AF586" s="646"/>
      <c r="AG586" s="646"/>
      <c r="AH586" s="646"/>
      <c r="AI586" s="646"/>
      <c r="AJ586" s="646"/>
      <c r="AK586" s="646"/>
      <c r="AL586" s="646"/>
      <c r="AM586" s="271"/>
      <c r="AN586" s="646"/>
      <c r="AO586" s="646"/>
      <c r="AP586" s="646"/>
      <c r="AQ586" s="271"/>
      <c r="AR586" s="646"/>
      <c r="AS586" s="270"/>
      <c r="AT586" s="646"/>
      <c r="AU586" s="646"/>
      <c r="AV586" s="646"/>
      <c r="AW586" s="270"/>
      <c r="AX586" s="646"/>
      <c r="AY586" s="270"/>
      <c r="AZ586" s="646"/>
      <c r="BA586" s="646"/>
      <c r="BB586" s="644"/>
      <c r="BC586" s="644"/>
      <c r="BD586" s="644"/>
      <c r="BE586" s="644"/>
      <c r="BF586" s="644"/>
      <c r="BG586" s="644"/>
      <c r="BH586" s="644"/>
      <c r="BI586" s="644"/>
      <c r="BJ586" s="644"/>
      <c r="BK586" s="644"/>
      <c r="BL586" s="644"/>
      <c r="BM586" s="95"/>
      <c r="BN586" s="644"/>
      <c r="BO586" s="95"/>
      <c r="BP586" s="644"/>
      <c r="BQ586" s="644"/>
      <c r="BR586" s="644"/>
      <c r="BS586" s="644"/>
      <c r="BT586" s="644"/>
      <c r="BU586" s="644"/>
      <c r="BV586" s="644"/>
      <c r="BW586" s="644"/>
      <c r="BX586" s="644"/>
      <c r="BY586" s="644"/>
      <c r="BZ586" s="644"/>
      <c r="CA586" s="644"/>
      <c r="CB586" s="644"/>
      <c r="CC586" s="644"/>
      <c r="CD586" s="644"/>
      <c r="CE586" s="644"/>
      <c r="CF586" s="644"/>
      <c r="CG586" s="644"/>
      <c r="CH586" s="644"/>
      <c r="CI586" s="644"/>
      <c r="CJ586" s="644"/>
      <c r="CK586" s="644"/>
      <c r="CL586" s="644"/>
      <c r="CM586" s="95"/>
      <c r="CN586" s="644"/>
      <c r="CO586" s="644"/>
      <c r="CP586" s="95"/>
      <c r="CQ586" s="98"/>
      <c r="CR586" s="95"/>
      <c r="CS586" s="95"/>
      <c r="CT586" s="95"/>
      <c r="CU586" s="108"/>
      <c r="CV586" s="109"/>
      <c r="CW586" s="644"/>
      <c r="CX586" s="496"/>
      <c r="CY586" s="637"/>
      <c r="CZ586" s="644"/>
      <c r="DA586" s="644"/>
      <c r="DB586" s="644"/>
      <c r="DC586" s="496"/>
      <c r="DD586" s="644"/>
      <c r="DE586" s="101"/>
      <c r="DF586" s="644"/>
      <c r="DG586" s="101"/>
      <c r="DH586" s="644"/>
      <c r="DI586" s="644"/>
      <c r="DJ586" s="644"/>
      <c r="DK586" s="644"/>
      <c r="DL586" s="644"/>
      <c r="DM586" s="101"/>
      <c r="DN586" s="644"/>
      <c r="DO586" s="644"/>
      <c r="DP586" s="644"/>
      <c r="DQ586" s="644"/>
      <c r="DR586" s="644"/>
      <c r="DS586" s="644"/>
      <c r="DT586" s="644"/>
      <c r="DU586" s="644"/>
      <c r="DV586" s="644"/>
      <c r="DW586" s="101"/>
      <c r="DX586" s="646"/>
      <c r="DY586" s="646"/>
      <c r="DZ586" s="646"/>
      <c r="EA586" s="646"/>
      <c r="EB586" s="646"/>
      <c r="EC586" s="646"/>
      <c r="ED586" s="646"/>
      <c r="EE586" s="646"/>
      <c r="EF586" s="646"/>
      <c r="EG586" s="646"/>
      <c r="EH586" s="646"/>
      <c r="EI586" s="646"/>
      <c r="EJ586" s="646"/>
      <c r="EK586" s="271"/>
      <c r="EL586" s="644"/>
      <c r="EM586" s="634"/>
      <c r="EN586" s="647"/>
      <c r="EO586" s="648"/>
      <c r="EP586" s="647"/>
      <c r="EQ586" s="647"/>
      <c r="ER586" s="647"/>
      <c r="ES586" s="139"/>
      <c r="EV586" s="647"/>
      <c r="EW586" s="647"/>
      <c r="EX586" s="647"/>
      <c r="EY586" s="647"/>
      <c r="EZ586" s="647"/>
      <c r="FA586" s="646"/>
      <c r="FB586" s="646"/>
      <c r="FC586" s="646"/>
      <c r="FD586" s="646"/>
      <c r="FE586" s="646"/>
      <c r="FF586" s="646"/>
      <c r="FG586" s="647"/>
      <c r="FH586" s="647"/>
      <c r="FI586" s="647"/>
      <c r="FJ586" s="647"/>
      <c r="FK586" s="647"/>
      <c r="FL586" s="647"/>
      <c r="FM586" s="647"/>
      <c r="FN586" s="647"/>
      <c r="FO586" s="647"/>
      <c r="FP586" s="647"/>
      <c r="FQ586" s="647"/>
      <c r="FR586" s="647"/>
      <c r="FS586" s="101"/>
      <c r="FT586" s="95"/>
      <c r="FV586" s="653"/>
      <c r="FW586" s="653"/>
      <c r="FX586" s="654"/>
      <c r="FY586" s="654"/>
      <c r="FZ586" s="654"/>
      <c r="GA586" s="654"/>
      <c r="GB586" s="654"/>
      <c r="GC586" s="654"/>
      <c r="GD586" s="654"/>
      <c r="GE586" s="654"/>
      <c r="GF586" s="654"/>
      <c r="GG586" s="654"/>
      <c r="GH586" s="654"/>
      <c r="GI586" s="654"/>
      <c r="GJ586" s="654"/>
      <c r="GK586" s="654"/>
      <c r="GL586" s="653"/>
      <c r="GM586" s="653"/>
      <c r="GN586" s="653"/>
      <c r="GO586" s="643"/>
      <c r="GP586" s="644"/>
      <c r="GQ586" s="643"/>
      <c r="GR586" s="644"/>
      <c r="GS586" s="643"/>
      <c r="GT586" s="644"/>
      <c r="GU586" s="644"/>
      <c r="GV586" s="644"/>
      <c r="GW586" s="644"/>
      <c r="GX586" s="644"/>
      <c r="GY586" s="644"/>
      <c r="GZ586" s="644"/>
      <c r="HA586" s="644"/>
    </row>
    <row r="587" spans="1:209">
      <c r="A587" s="638"/>
      <c r="B587" s="95"/>
      <c r="C587" s="95"/>
      <c r="D587" s="95"/>
      <c r="E587" s="650"/>
      <c r="F587" s="95"/>
      <c r="G587" s="98"/>
      <c r="H587" s="99"/>
      <c r="I587" s="95"/>
      <c r="J587" s="95"/>
      <c r="K587" s="95"/>
      <c r="L587" s="95"/>
      <c r="M587" s="95"/>
      <c r="N587" s="95"/>
      <c r="O587" s="95"/>
      <c r="P587" s="95"/>
      <c r="Q587" s="95"/>
      <c r="R587" s="98"/>
      <c r="S587" s="101"/>
      <c r="T587" s="644"/>
      <c r="U587" s="101"/>
      <c r="V587" s="647"/>
      <c r="W587" s="643"/>
      <c r="X587" s="644"/>
      <c r="Y587" s="101"/>
      <c r="Z587" s="644"/>
      <c r="AA587" s="101"/>
      <c r="AB587" s="644"/>
      <c r="AC587" s="101"/>
      <c r="AD587" s="646"/>
      <c r="AE587" s="271"/>
      <c r="AF587" s="646"/>
      <c r="AG587" s="646"/>
      <c r="AH587" s="646"/>
      <c r="AI587" s="646"/>
      <c r="AJ587" s="646"/>
      <c r="AK587" s="646"/>
      <c r="AL587" s="646"/>
      <c r="AM587" s="271"/>
      <c r="AN587" s="646"/>
      <c r="AO587" s="646"/>
      <c r="AP587" s="646"/>
      <c r="AQ587" s="271"/>
      <c r="AR587" s="646"/>
      <c r="AS587" s="270"/>
      <c r="AT587" s="646"/>
      <c r="AU587" s="646"/>
      <c r="AV587" s="646"/>
      <c r="AW587" s="270"/>
      <c r="AX587" s="646"/>
      <c r="AY587" s="270"/>
      <c r="AZ587" s="646"/>
      <c r="BA587" s="646"/>
      <c r="BB587" s="644"/>
      <c r="BC587" s="644"/>
      <c r="BD587" s="644"/>
      <c r="BE587" s="644"/>
      <c r="BF587" s="644"/>
      <c r="BG587" s="644"/>
      <c r="BH587" s="644"/>
      <c r="BI587" s="644"/>
      <c r="BJ587" s="644"/>
      <c r="BK587" s="644"/>
      <c r="BL587" s="644"/>
      <c r="BM587" s="95"/>
      <c r="BN587" s="644"/>
      <c r="BO587" s="95"/>
      <c r="BP587" s="644"/>
      <c r="BQ587" s="644"/>
      <c r="BR587" s="644"/>
      <c r="BS587" s="644"/>
      <c r="BT587" s="644"/>
      <c r="BU587" s="644"/>
      <c r="BV587" s="644"/>
      <c r="BW587" s="644"/>
      <c r="BX587" s="644"/>
      <c r="BY587" s="644"/>
      <c r="BZ587" s="644"/>
      <c r="CA587" s="644"/>
      <c r="CB587" s="644"/>
      <c r="CC587" s="644"/>
      <c r="CD587" s="644"/>
      <c r="CE587" s="644"/>
      <c r="CF587" s="644"/>
      <c r="CG587" s="644"/>
      <c r="CH587" s="644"/>
      <c r="CI587" s="644"/>
      <c r="CJ587" s="644"/>
      <c r="CK587" s="644"/>
      <c r="CL587" s="644"/>
      <c r="CM587" s="95"/>
      <c r="CN587" s="644"/>
      <c r="CO587" s="644"/>
      <c r="CP587" s="95"/>
      <c r="CQ587" s="98"/>
      <c r="CR587" s="95"/>
      <c r="CS587" s="95"/>
      <c r="CT587" s="95"/>
      <c r="CU587" s="108"/>
      <c r="CV587" s="109"/>
      <c r="CW587" s="644"/>
      <c r="CX587" s="496"/>
      <c r="CY587" s="637"/>
      <c r="CZ587" s="644"/>
      <c r="DA587" s="644"/>
      <c r="DB587" s="644"/>
      <c r="DC587" s="496"/>
      <c r="DD587" s="644"/>
      <c r="DE587" s="101"/>
      <c r="DF587" s="644"/>
      <c r="DG587" s="101"/>
      <c r="DH587" s="644"/>
      <c r="DI587" s="644"/>
      <c r="DJ587" s="644"/>
      <c r="DK587" s="644"/>
      <c r="DL587" s="644"/>
      <c r="DM587" s="101"/>
      <c r="DN587" s="644"/>
      <c r="DO587" s="644"/>
      <c r="DP587" s="644"/>
      <c r="DQ587" s="644"/>
      <c r="DR587" s="644"/>
      <c r="DS587" s="644"/>
      <c r="DT587" s="644"/>
      <c r="DU587" s="644"/>
      <c r="DV587" s="644"/>
      <c r="DW587" s="101"/>
      <c r="DX587" s="646"/>
      <c r="DY587" s="646"/>
      <c r="DZ587" s="646"/>
      <c r="EA587" s="646"/>
      <c r="EB587" s="646"/>
      <c r="EC587" s="646"/>
      <c r="ED587" s="646"/>
      <c r="EE587" s="646"/>
      <c r="EF587" s="646"/>
      <c r="EG587" s="646"/>
      <c r="EH587" s="646"/>
      <c r="EI587" s="646"/>
      <c r="EJ587" s="646"/>
      <c r="EK587" s="271"/>
      <c r="EL587" s="644"/>
      <c r="EM587" s="634"/>
      <c r="EN587" s="647"/>
      <c r="EO587" s="648"/>
      <c r="EP587" s="647"/>
      <c r="EQ587" s="647"/>
      <c r="ER587" s="647"/>
      <c r="ES587" s="139"/>
      <c r="EV587" s="647"/>
      <c r="EW587" s="647"/>
      <c r="EX587" s="647"/>
      <c r="EY587" s="647"/>
      <c r="EZ587" s="647"/>
      <c r="FA587" s="646"/>
      <c r="FB587" s="646"/>
      <c r="FC587" s="646"/>
      <c r="FD587" s="646"/>
      <c r="FE587" s="646"/>
      <c r="FF587" s="646"/>
      <c r="FG587" s="647"/>
      <c r="FH587" s="647"/>
      <c r="FI587" s="647"/>
      <c r="FJ587" s="647"/>
      <c r="FK587" s="647"/>
      <c r="FL587" s="647"/>
      <c r="FM587" s="647"/>
      <c r="FN587" s="647"/>
      <c r="FO587" s="647"/>
      <c r="FP587" s="647"/>
      <c r="FQ587" s="647"/>
      <c r="FR587" s="647"/>
      <c r="FS587" s="101"/>
      <c r="FT587" s="95"/>
      <c r="FV587" s="653"/>
      <c r="FW587" s="653"/>
      <c r="FX587" s="654"/>
      <c r="FY587" s="654"/>
      <c r="FZ587" s="654"/>
      <c r="GA587" s="654"/>
      <c r="GB587" s="654"/>
      <c r="GC587" s="654"/>
      <c r="GD587" s="654"/>
      <c r="GE587" s="654"/>
      <c r="GF587" s="654"/>
      <c r="GG587" s="654"/>
      <c r="GH587" s="654"/>
      <c r="GI587" s="654"/>
      <c r="GJ587" s="654"/>
      <c r="GK587" s="654"/>
      <c r="GL587" s="653"/>
      <c r="GM587" s="653"/>
      <c r="GN587" s="653"/>
      <c r="GO587" s="643"/>
      <c r="GP587" s="644"/>
      <c r="GQ587" s="643"/>
      <c r="GR587" s="644"/>
      <c r="GS587" s="643"/>
      <c r="GT587" s="644"/>
      <c r="GU587" s="644"/>
      <c r="GV587" s="644"/>
      <c r="GW587" s="644"/>
      <c r="GX587" s="644"/>
      <c r="GY587" s="644"/>
      <c r="GZ587" s="644"/>
      <c r="HA587" s="644"/>
    </row>
    <row r="588" spans="1:209">
      <c r="A588" s="638"/>
      <c r="B588" s="95"/>
      <c r="C588" s="95"/>
      <c r="D588" s="95"/>
      <c r="E588" s="650"/>
      <c r="F588" s="95"/>
      <c r="G588" s="98"/>
      <c r="H588" s="99"/>
      <c r="I588" s="95"/>
      <c r="J588" s="95"/>
      <c r="K588" s="95"/>
      <c r="L588" s="95"/>
      <c r="M588" s="95"/>
      <c r="N588" s="95"/>
      <c r="O588" s="95"/>
      <c r="P588" s="95"/>
      <c r="Q588" s="95"/>
      <c r="R588" s="98"/>
      <c r="S588" s="101"/>
      <c r="T588" s="644"/>
      <c r="U588" s="101"/>
      <c r="V588" s="647"/>
      <c r="W588" s="643"/>
      <c r="X588" s="644"/>
      <c r="Y588" s="101"/>
      <c r="Z588" s="644"/>
      <c r="AA588" s="101"/>
      <c r="AB588" s="644"/>
      <c r="AC588" s="101"/>
      <c r="AD588" s="646"/>
      <c r="AE588" s="271"/>
      <c r="AF588" s="646"/>
      <c r="AG588" s="646"/>
      <c r="AH588" s="646"/>
      <c r="AI588" s="646"/>
      <c r="AJ588" s="646"/>
      <c r="AK588" s="646"/>
      <c r="AL588" s="646"/>
      <c r="AM588" s="271"/>
      <c r="AN588" s="646"/>
      <c r="AO588" s="646"/>
      <c r="AP588" s="646"/>
      <c r="AQ588" s="271"/>
      <c r="AR588" s="646"/>
      <c r="AS588" s="270"/>
      <c r="AT588" s="646"/>
      <c r="AU588" s="646"/>
      <c r="AV588" s="646"/>
      <c r="AW588" s="270"/>
      <c r="AX588" s="646"/>
      <c r="AY588" s="270"/>
      <c r="AZ588" s="646"/>
      <c r="BA588" s="646"/>
      <c r="BB588" s="644"/>
      <c r="BC588" s="644"/>
      <c r="BD588" s="644"/>
      <c r="BE588" s="644"/>
      <c r="BF588" s="644"/>
      <c r="BG588" s="644"/>
      <c r="BH588" s="644"/>
      <c r="BI588" s="644"/>
      <c r="BJ588" s="644"/>
      <c r="BK588" s="644"/>
      <c r="BL588" s="644"/>
      <c r="BM588" s="95"/>
      <c r="BN588" s="644"/>
      <c r="BO588" s="95"/>
      <c r="BP588" s="644"/>
      <c r="BQ588" s="644"/>
      <c r="BR588" s="644"/>
      <c r="BS588" s="644"/>
      <c r="BT588" s="644"/>
      <c r="BU588" s="644"/>
      <c r="BV588" s="644"/>
      <c r="BW588" s="644"/>
      <c r="BX588" s="644"/>
      <c r="BY588" s="644"/>
      <c r="BZ588" s="644"/>
      <c r="CA588" s="644"/>
      <c r="CB588" s="644"/>
      <c r="CC588" s="644"/>
      <c r="CD588" s="644"/>
      <c r="CE588" s="644"/>
      <c r="CF588" s="644"/>
      <c r="CG588" s="644"/>
      <c r="CH588" s="644"/>
      <c r="CI588" s="644"/>
      <c r="CJ588" s="644"/>
      <c r="CK588" s="644"/>
      <c r="CL588" s="644"/>
      <c r="CM588" s="95"/>
      <c r="CN588" s="644"/>
      <c r="CO588" s="644"/>
      <c r="CP588" s="95"/>
      <c r="CQ588" s="98"/>
      <c r="CR588" s="95"/>
      <c r="CS588" s="95"/>
      <c r="CT588" s="95"/>
      <c r="CU588" s="108"/>
      <c r="CV588" s="109"/>
      <c r="CW588" s="644"/>
      <c r="CX588" s="496"/>
      <c r="CY588" s="637"/>
      <c r="CZ588" s="644"/>
      <c r="DA588" s="644"/>
      <c r="DB588" s="644"/>
      <c r="DC588" s="496"/>
      <c r="DD588" s="644"/>
      <c r="DE588" s="101"/>
      <c r="DF588" s="644"/>
      <c r="DG588" s="101"/>
      <c r="DH588" s="644"/>
      <c r="DI588" s="644"/>
      <c r="DJ588" s="644"/>
      <c r="DK588" s="644"/>
      <c r="DL588" s="644"/>
      <c r="DM588" s="101"/>
      <c r="DN588" s="644"/>
      <c r="DO588" s="644"/>
      <c r="DP588" s="644"/>
      <c r="DQ588" s="644"/>
      <c r="DR588" s="644"/>
      <c r="DS588" s="644"/>
      <c r="DT588" s="644"/>
      <c r="DU588" s="644"/>
      <c r="DV588" s="644"/>
      <c r="DW588" s="101"/>
      <c r="DX588" s="646"/>
      <c r="DY588" s="646"/>
      <c r="DZ588" s="646"/>
      <c r="EA588" s="646"/>
      <c r="EB588" s="646"/>
      <c r="EC588" s="646"/>
      <c r="ED588" s="646"/>
      <c r="EE588" s="646"/>
      <c r="EF588" s="646"/>
      <c r="EG588" s="646"/>
      <c r="EH588" s="646"/>
      <c r="EI588" s="646"/>
      <c r="EJ588" s="646"/>
      <c r="EK588" s="271"/>
      <c r="EL588" s="644"/>
      <c r="EM588" s="634"/>
      <c r="EN588" s="647"/>
      <c r="EO588" s="648"/>
      <c r="EP588" s="647"/>
      <c r="EQ588" s="647"/>
      <c r="ER588" s="647"/>
      <c r="ES588" s="139"/>
      <c r="EV588" s="647"/>
      <c r="EW588" s="647"/>
      <c r="EX588" s="647"/>
      <c r="EY588" s="647"/>
      <c r="EZ588" s="647"/>
      <c r="FA588" s="646"/>
      <c r="FB588" s="646"/>
      <c r="FC588" s="646"/>
      <c r="FD588" s="646"/>
      <c r="FE588" s="646"/>
      <c r="FF588" s="646"/>
      <c r="FG588" s="647"/>
      <c r="FH588" s="647"/>
      <c r="FI588" s="647"/>
      <c r="FJ588" s="647"/>
      <c r="FK588" s="647"/>
      <c r="FL588" s="647"/>
      <c r="FM588" s="647"/>
      <c r="FN588" s="647"/>
      <c r="FO588" s="647"/>
      <c r="FP588" s="647"/>
      <c r="FQ588" s="647"/>
      <c r="FR588" s="647"/>
      <c r="FS588" s="101"/>
      <c r="FT588" s="95"/>
      <c r="FV588" s="653"/>
      <c r="FW588" s="653"/>
      <c r="FX588" s="654"/>
      <c r="FY588" s="654"/>
      <c r="FZ588" s="654"/>
      <c r="GA588" s="654"/>
      <c r="GB588" s="654"/>
      <c r="GC588" s="654"/>
      <c r="GD588" s="654"/>
      <c r="GE588" s="654"/>
      <c r="GF588" s="654"/>
      <c r="GG588" s="654"/>
      <c r="GH588" s="654"/>
      <c r="GI588" s="654"/>
      <c r="GJ588" s="654"/>
      <c r="GK588" s="654"/>
      <c r="GL588" s="653"/>
      <c r="GM588" s="653"/>
      <c r="GN588" s="653"/>
      <c r="GO588" s="643"/>
      <c r="GP588" s="644"/>
      <c r="GQ588" s="643"/>
      <c r="GR588" s="644"/>
      <c r="GS588" s="643"/>
      <c r="GT588" s="644"/>
      <c r="GU588" s="644"/>
      <c r="GV588" s="644"/>
      <c r="GW588" s="644"/>
      <c r="GX588" s="644"/>
      <c r="GY588" s="644"/>
      <c r="GZ588" s="644"/>
      <c r="HA588" s="644"/>
    </row>
    <row r="589" spans="1:209">
      <c r="A589" s="638"/>
      <c r="B589" s="95"/>
      <c r="C589" s="95"/>
      <c r="D589" s="95"/>
      <c r="E589" s="650"/>
      <c r="F589" s="95"/>
      <c r="G589" s="98"/>
      <c r="H589" s="99"/>
      <c r="I589" s="95"/>
      <c r="J589" s="95"/>
      <c r="K589" s="95"/>
      <c r="L589" s="95"/>
      <c r="M589" s="95"/>
      <c r="N589" s="95"/>
      <c r="O589" s="95"/>
      <c r="P589" s="95"/>
      <c r="Q589" s="95"/>
      <c r="R589" s="98"/>
      <c r="S589" s="101"/>
      <c r="T589" s="644"/>
      <c r="U589" s="101"/>
      <c r="V589" s="647"/>
      <c r="W589" s="643"/>
      <c r="X589" s="644"/>
      <c r="Y589" s="101"/>
      <c r="Z589" s="644"/>
      <c r="AA589" s="101"/>
      <c r="AB589" s="644"/>
      <c r="AC589" s="101"/>
      <c r="AD589" s="646"/>
      <c r="AE589" s="271"/>
      <c r="AF589" s="646"/>
      <c r="AG589" s="646"/>
      <c r="AH589" s="646"/>
      <c r="AI589" s="646"/>
      <c r="AJ589" s="646"/>
      <c r="AK589" s="646"/>
      <c r="AL589" s="646"/>
      <c r="AM589" s="271"/>
      <c r="AN589" s="646"/>
      <c r="AO589" s="646"/>
      <c r="AP589" s="646"/>
      <c r="AQ589" s="271"/>
      <c r="AR589" s="646"/>
      <c r="AS589" s="270"/>
      <c r="AT589" s="646"/>
      <c r="AU589" s="646"/>
      <c r="AV589" s="646"/>
      <c r="AW589" s="270"/>
      <c r="AX589" s="646"/>
      <c r="AY589" s="270"/>
      <c r="AZ589" s="646"/>
      <c r="BA589" s="646"/>
      <c r="BB589" s="644"/>
      <c r="BC589" s="644"/>
      <c r="BD589" s="644"/>
      <c r="BE589" s="644"/>
      <c r="BF589" s="644"/>
      <c r="BG589" s="644"/>
      <c r="BH589" s="644"/>
      <c r="BI589" s="644"/>
      <c r="BJ589" s="644"/>
      <c r="BK589" s="644"/>
      <c r="BL589" s="644"/>
      <c r="BM589" s="95"/>
      <c r="BN589" s="644"/>
      <c r="BO589" s="95"/>
      <c r="BP589" s="644"/>
      <c r="BQ589" s="644"/>
      <c r="BR589" s="644"/>
      <c r="BS589" s="644"/>
      <c r="BT589" s="644"/>
      <c r="BU589" s="644"/>
      <c r="BV589" s="644"/>
      <c r="BW589" s="644"/>
      <c r="BX589" s="644"/>
      <c r="BY589" s="644"/>
      <c r="BZ589" s="644"/>
      <c r="CA589" s="644"/>
      <c r="CB589" s="644"/>
      <c r="CC589" s="644"/>
      <c r="CD589" s="644"/>
      <c r="CE589" s="644"/>
      <c r="CF589" s="644"/>
      <c r="CG589" s="644"/>
      <c r="CH589" s="644"/>
      <c r="CI589" s="644"/>
      <c r="CJ589" s="644"/>
      <c r="CK589" s="644"/>
      <c r="CL589" s="644"/>
      <c r="CM589" s="95"/>
      <c r="CN589" s="644"/>
      <c r="CO589" s="644"/>
      <c r="CP589" s="95"/>
      <c r="CQ589" s="98"/>
      <c r="CR589" s="95"/>
      <c r="CS589" s="95"/>
      <c r="CT589" s="95"/>
      <c r="CU589" s="108"/>
      <c r="CV589" s="109"/>
      <c r="CW589" s="644"/>
      <c r="CX589" s="496"/>
      <c r="CY589" s="637"/>
      <c r="CZ589" s="644"/>
      <c r="DA589" s="644"/>
      <c r="DB589" s="644"/>
      <c r="DC589" s="496"/>
      <c r="DD589" s="644"/>
      <c r="DE589" s="101"/>
      <c r="DF589" s="644"/>
      <c r="DG589" s="101"/>
      <c r="DH589" s="644"/>
      <c r="DI589" s="644"/>
      <c r="DJ589" s="644"/>
      <c r="DK589" s="644"/>
      <c r="DL589" s="644"/>
      <c r="DM589" s="101"/>
      <c r="DN589" s="644"/>
      <c r="DO589" s="644"/>
      <c r="DP589" s="644"/>
      <c r="DQ589" s="644"/>
      <c r="DR589" s="644"/>
      <c r="DS589" s="644"/>
      <c r="DT589" s="644"/>
      <c r="DU589" s="644"/>
      <c r="DV589" s="644"/>
      <c r="DW589" s="101"/>
      <c r="DX589" s="646"/>
      <c r="DY589" s="646"/>
      <c r="DZ589" s="646"/>
      <c r="EA589" s="646"/>
      <c r="EB589" s="646"/>
      <c r="EC589" s="646"/>
      <c r="ED589" s="646"/>
      <c r="EE589" s="646"/>
      <c r="EF589" s="646"/>
      <c r="EG589" s="646"/>
      <c r="EH589" s="646"/>
      <c r="EI589" s="646"/>
      <c r="EJ589" s="646"/>
      <c r="EK589" s="271"/>
      <c r="EL589" s="644"/>
      <c r="EM589" s="634"/>
      <c r="EN589" s="647"/>
      <c r="EO589" s="648"/>
      <c r="EP589" s="647"/>
      <c r="EQ589" s="647"/>
      <c r="ER589" s="647"/>
      <c r="ES589" s="139"/>
      <c r="EV589" s="647"/>
      <c r="EW589" s="647"/>
      <c r="EX589" s="647"/>
      <c r="EY589" s="647"/>
      <c r="EZ589" s="647"/>
      <c r="FA589" s="646"/>
      <c r="FB589" s="646"/>
      <c r="FC589" s="646"/>
      <c r="FD589" s="646"/>
      <c r="FE589" s="646"/>
      <c r="FF589" s="646"/>
      <c r="FG589" s="647"/>
      <c r="FH589" s="647"/>
      <c r="FI589" s="647"/>
      <c r="FJ589" s="647"/>
      <c r="FK589" s="647"/>
      <c r="FL589" s="647"/>
      <c r="FM589" s="647"/>
      <c r="FN589" s="647"/>
      <c r="FO589" s="647"/>
      <c r="FP589" s="647"/>
      <c r="FQ589" s="647"/>
      <c r="FR589" s="647"/>
      <c r="FS589" s="101"/>
      <c r="FT589" s="95"/>
      <c r="FV589" s="653"/>
      <c r="FW589" s="653"/>
      <c r="FX589" s="654"/>
      <c r="FY589" s="654"/>
      <c r="FZ589" s="654"/>
      <c r="GA589" s="654"/>
      <c r="GB589" s="654"/>
      <c r="GC589" s="654"/>
      <c r="GD589" s="654"/>
      <c r="GE589" s="654"/>
      <c r="GF589" s="654"/>
      <c r="GG589" s="654"/>
      <c r="GH589" s="654"/>
      <c r="GI589" s="654"/>
      <c r="GJ589" s="654"/>
      <c r="GK589" s="654"/>
      <c r="GL589" s="653"/>
      <c r="GM589" s="653"/>
      <c r="GN589" s="653"/>
      <c r="GO589" s="643"/>
      <c r="GP589" s="644"/>
      <c r="GQ589" s="643"/>
      <c r="GR589" s="644"/>
      <c r="GS589" s="643"/>
      <c r="GT589" s="644"/>
      <c r="GU589" s="644"/>
      <c r="GV589" s="644"/>
      <c r="GW589" s="644"/>
      <c r="GX589" s="644"/>
      <c r="GY589" s="644"/>
      <c r="GZ589" s="644"/>
      <c r="HA589" s="644"/>
    </row>
    <row r="590" spans="1:209">
      <c r="A590" s="638"/>
      <c r="B590" s="95"/>
      <c r="C590" s="95"/>
      <c r="D590" s="95"/>
      <c r="E590" s="650"/>
      <c r="F590" s="95"/>
      <c r="G590" s="98"/>
      <c r="H590" s="99"/>
      <c r="I590" s="95"/>
      <c r="J590" s="95"/>
      <c r="K590" s="95"/>
      <c r="L590" s="95"/>
      <c r="M590" s="95"/>
      <c r="N590" s="95"/>
      <c r="O590" s="95"/>
      <c r="P590" s="95"/>
      <c r="Q590" s="95"/>
      <c r="R590" s="98"/>
      <c r="S590" s="101"/>
      <c r="T590" s="644"/>
      <c r="U590" s="101"/>
      <c r="V590" s="647"/>
      <c r="W590" s="643"/>
      <c r="X590" s="644"/>
      <c r="Y590" s="101"/>
      <c r="Z590" s="644"/>
      <c r="AA590" s="101"/>
      <c r="AB590" s="644"/>
      <c r="AC590" s="101"/>
      <c r="AD590" s="646"/>
      <c r="AE590" s="271"/>
      <c r="AF590" s="646"/>
      <c r="AG590" s="646"/>
      <c r="AH590" s="646"/>
      <c r="AI590" s="646"/>
      <c r="AJ590" s="646"/>
      <c r="AK590" s="646"/>
      <c r="AL590" s="646"/>
      <c r="AM590" s="271"/>
      <c r="AN590" s="646"/>
      <c r="AO590" s="646"/>
      <c r="AP590" s="646"/>
      <c r="AQ590" s="271"/>
      <c r="AR590" s="646"/>
      <c r="AS590" s="270"/>
      <c r="AT590" s="646"/>
      <c r="AU590" s="646"/>
      <c r="AV590" s="646"/>
      <c r="AW590" s="270"/>
      <c r="AX590" s="646"/>
      <c r="AY590" s="270"/>
      <c r="AZ590" s="646"/>
      <c r="BA590" s="646"/>
      <c r="BB590" s="644"/>
      <c r="BC590" s="644"/>
      <c r="BD590" s="644"/>
      <c r="BE590" s="644"/>
      <c r="BF590" s="644"/>
      <c r="BG590" s="644"/>
      <c r="BH590" s="644"/>
      <c r="BI590" s="644"/>
      <c r="BJ590" s="644"/>
      <c r="BK590" s="644"/>
      <c r="BL590" s="644"/>
      <c r="BM590" s="95"/>
      <c r="BN590" s="644"/>
      <c r="BO590" s="95"/>
      <c r="BP590" s="644"/>
      <c r="BQ590" s="644"/>
      <c r="BR590" s="644"/>
      <c r="BS590" s="644"/>
      <c r="BT590" s="644"/>
      <c r="BU590" s="644"/>
      <c r="BV590" s="644"/>
      <c r="BW590" s="644"/>
      <c r="BX590" s="644"/>
      <c r="BY590" s="644"/>
      <c r="BZ590" s="644"/>
      <c r="CA590" s="644"/>
      <c r="CB590" s="644"/>
      <c r="CC590" s="644"/>
      <c r="CD590" s="644"/>
      <c r="CE590" s="644"/>
      <c r="CF590" s="644"/>
      <c r="CG590" s="644"/>
      <c r="CH590" s="644"/>
      <c r="CI590" s="644"/>
      <c r="CJ590" s="644"/>
      <c r="CK590" s="644"/>
      <c r="CL590" s="644"/>
      <c r="CM590" s="95"/>
      <c r="CN590" s="644"/>
      <c r="CO590" s="644"/>
      <c r="CP590" s="95"/>
      <c r="CQ590" s="98"/>
      <c r="CR590" s="95"/>
      <c r="CS590" s="95"/>
      <c r="CT590" s="95"/>
      <c r="CU590" s="108"/>
      <c r="CV590" s="109"/>
      <c r="CW590" s="644"/>
      <c r="CX590" s="496"/>
      <c r="CY590" s="637"/>
      <c r="CZ590" s="644"/>
      <c r="DA590" s="644"/>
      <c r="DB590" s="644"/>
      <c r="DC590" s="496"/>
      <c r="DD590" s="644"/>
      <c r="DE590" s="101"/>
      <c r="DF590" s="644"/>
      <c r="DG590" s="101"/>
      <c r="DH590" s="644"/>
      <c r="DI590" s="644"/>
      <c r="DJ590" s="644"/>
      <c r="DK590" s="644"/>
      <c r="DL590" s="644"/>
      <c r="DM590" s="101"/>
      <c r="DN590" s="644"/>
      <c r="DO590" s="644"/>
      <c r="DP590" s="644"/>
      <c r="DQ590" s="644"/>
      <c r="DR590" s="644"/>
      <c r="DS590" s="644"/>
      <c r="DT590" s="644"/>
      <c r="DU590" s="644"/>
      <c r="DV590" s="644"/>
      <c r="DW590" s="101"/>
      <c r="DX590" s="646"/>
      <c r="DY590" s="646"/>
      <c r="DZ590" s="646"/>
      <c r="EA590" s="646"/>
      <c r="EB590" s="646"/>
      <c r="EC590" s="646"/>
      <c r="ED590" s="646"/>
      <c r="EE590" s="646"/>
      <c r="EF590" s="646"/>
      <c r="EG590" s="646"/>
      <c r="EH590" s="646"/>
      <c r="EI590" s="646"/>
      <c r="EJ590" s="646"/>
      <c r="EK590" s="271"/>
      <c r="EL590" s="644"/>
      <c r="EM590" s="634"/>
      <c r="EN590" s="647"/>
      <c r="EO590" s="648"/>
      <c r="EP590" s="647"/>
      <c r="EQ590" s="647"/>
      <c r="ER590" s="647"/>
      <c r="ES590" s="139"/>
      <c r="EV590" s="647"/>
      <c r="EW590" s="647"/>
      <c r="EX590" s="647"/>
      <c r="EY590" s="647"/>
      <c r="EZ590" s="647"/>
      <c r="FA590" s="646"/>
      <c r="FB590" s="646"/>
      <c r="FC590" s="646"/>
      <c r="FD590" s="646"/>
      <c r="FE590" s="646"/>
      <c r="FF590" s="646"/>
      <c r="FG590" s="647"/>
      <c r="FH590" s="647"/>
      <c r="FI590" s="647"/>
      <c r="FJ590" s="647"/>
      <c r="FK590" s="647"/>
      <c r="FL590" s="647"/>
      <c r="FM590" s="647"/>
      <c r="FN590" s="647"/>
      <c r="FO590" s="647"/>
      <c r="FP590" s="647"/>
      <c r="FQ590" s="647"/>
      <c r="FR590" s="647"/>
      <c r="FS590" s="101"/>
      <c r="FT590" s="95"/>
      <c r="FV590" s="653"/>
      <c r="FW590" s="653"/>
      <c r="FX590" s="654"/>
      <c r="FY590" s="654"/>
      <c r="FZ590" s="654"/>
      <c r="GA590" s="654"/>
      <c r="GB590" s="654"/>
      <c r="GC590" s="654"/>
      <c r="GD590" s="654"/>
      <c r="GE590" s="654"/>
      <c r="GF590" s="654"/>
      <c r="GG590" s="654"/>
      <c r="GH590" s="654"/>
      <c r="GI590" s="654"/>
      <c r="GJ590" s="654"/>
      <c r="GK590" s="654"/>
      <c r="GL590" s="653"/>
      <c r="GM590" s="653"/>
      <c r="GN590" s="653"/>
      <c r="GO590" s="643"/>
      <c r="GP590" s="644"/>
      <c r="GQ590" s="643"/>
      <c r="GR590" s="644"/>
      <c r="GS590" s="643"/>
      <c r="GT590" s="644"/>
      <c r="GU590" s="644"/>
      <c r="GV590" s="644"/>
      <c r="GW590" s="644"/>
      <c r="GX590" s="644"/>
      <c r="GY590" s="644"/>
      <c r="GZ590" s="644"/>
      <c r="HA590" s="644"/>
    </row>
    <row r="591" spans="1:209">
      <c r="A591" s="638"/>
      <c r="B591" s="95"/>
      <c r="C591" s="95"/>
      <c r="D591" s="95"/>
      <c r="E591" s="650"/>
      <c r="F591" s="95"/>
      <c r="G591" s="98"/>
      <c r="H591" s="99"/>
      <c r="I591" s="95"/>
      <c r="J591" s="95"/>
      <c r="K591" s="95"/>
      <c r="L591" s="95"/>
      <c r="M591" s="95"/>
      <c r="N591" s="95"/>
      <c r="O591" s="95"/>
      <c r="P591" s="95"/>
      <c r="Q591" s="95"/>
      <c r="R591" s="98"/>
      <c r="S591" s="101"/>
      <c r="T591" s="644"/>
      <c r="U591" s="101"/>
      <c r="V591" s="647"/>
      <c r="W591" s="643"/>
      <c r="X591" s="644"/>
      <c r="Y591" s="101"/>
      <c r="Z591" s="644"/>
      <c r="AA591" s="101"/>
      <c r="AB591" s="644"/>
      <c r="AC591" s="101"/>
      <c r="AD591" s="646"/>
      <c r="AE591" s="271"/>
      <c r="AF591" s="646"/>
      <c r="AG591" s="646"/>
      <c r="AH591" s="646"/>
      <c r="AI591" s="646"/>
      <c r="AJ591" s="646"/>
      <c r="AK591" s="646"/>
      <c r="AL591" s="646"/>
      <c r="AM591" s="271"/>
      <c r="AN591" s="646"/>
      <c r="AO591" s="646"/>
      <c r="AP591" s="646"/>
      <c r="AQ591" s="271"/>
      <c r="AR591" s="646"/>
      <c r="AS591" s="270"/>
      <c r="AT591" s="646"/>
      <c r="AU591" s="646"/>
      <c r="AV591" s="646"/>
      <c r="AW591" s="270"/>
      <c r="AX591" s="646"/>
      <c r="AY591" s="270"/>
      <c r="AZ591" s="646"/>
      <c r="BA591" s="646"/>
      <c r="BB591" s="644"/>
      <c r="BC591" s="644"/>
      <c r="BD591" s="644"/>
      <c r="BE591" s="644"/>
      <c r="BF591" s="644"/>
      <c r="BG591" s="644"/>
      <c r="BH591" s="644"/>
      <c r="BI591" s="644"/>
      <c r="BJ591" s="644"/>
      <c r="BK591" s="644"/>
      <c r="BL591" s="644"/>
      <c r="BM591" s="95"/>
      <c r="BN591" s="644"/>
      <c r="BO591" s="95"/>
      <c r="BP591" s="644"/>
      <c r="BQ591" s="644"/>
      <c r="BR591" s="644"/>
      <c r="BS591" s="644"/>
      <c r="BT591" s="644"/>
      <c r="BU591" s="644"/>
      <c r="BV591" s="644"/>
      <c r="BW591" s="644"/>
      <c r="BX591" s="644"/>
      <c r="BY591" s="644"/>
      <c r="BZ591" s="644"/>
      <c r="CA591" s="644"/>
      <c r="CB591" s="644"/>
      <c r="CC591" s="644"/>
      <c r="CD591" s="644"/>
      <c r="CE591" s="644"/>
      <c r="CF591" s="644"/>
      <c r="CG591" s="644"/>
      <c r="CH591" s="644"/>
      <c r="CI591" s="644"/>
      <c r="CJ591" s="644"/>
      <c r="CK591" s="644"/>
      <c r="CL591" s="644"/>
      <c r="CM591" s="95"/>
      <c r="CN591" s="644"/>
      <c r="CO591" s="644"/>
      <c r="CP591" s="95"/>
      <c r="CQ591" s="98"/>
      <c r="CR591" s="95"/>
      <c r="CS591" s="95"/>
      <c r="CT591" s="95"/>
      <c r="CU591" s="108"/>
      <c r="CV591" s="109"/>
      <c r="CW591" s="644"/>
      <c r="CX591" s="496"/>
      <c r="CY591" s="637"/>
      <c r="CZ591" s="644"/>
      <c r="DA591" s="644"/>
      <c r="DB591" s="644"/>
      <c r="DC591" s="496"/>
      <c r="DD591" s="644"/>
      <c r="DE591" s="101"/>
      <c r="DF591" s="644"/>
      <c r="DG591" s="101"/>
      <c r="DH591" s="644"/>
      <c r="DI591" s="644"/>
      <c r="DJ591" s="644"/>
      <c r="DK591" s="644"/>
      <c r="DL591" s="644"/>
      <c r="DM591" s="101"/>
      <c r="DN591" s="644"/>
      <c r="DO591" s="644"/>
      <c r="DP591" s="644"/>
      <c r="DQ591" s="644"/>
      <c r="DR591" s="644"/>
      <c r="DS591" s="644"/>
      <c r="DT591" s="644"/>
      <c r="DU591" s="644"/>
      <c r="DV591" s="644"/>
      <c r="DW591" s="101"/>
      <c r="DX591" s="646"/>
      <c r="DY591" s="646"/>
      <c r="DZ591" s="646"/>
      <c r="EA591" s="646"/>
      <c r="EB591" s="646"/>
      <c r="EC591" s="646"/>
      <c r="ED591" s="646"/>
      <c r="EE591" s="646"/>
      <c r="EF591" s="646"/>
      <c r="EG591" s="646"/>
      <c r="EH591" s="646"/>
      <c r="EI591" s="646"/>
      <c r="EJ591" s="646"/>
      <c r="EK591" s="271"/>
      <c r="EL591" s="644"/>
      <c r="EM591" s="634"/>
      <c r="EN591" s="647"/>
      <c r="EO591" s="648"/>
      <c r="EP591" s="647"/>
      <c r="EQ591" s="647"/>
      <c r="ER591" s="647"/>
      <c r="ES591" s="139"/>
      <c r="EV591" s="647"/>
      <c r="EW591" s="647"/>
      <c r="EX591" s="647"/>
      <c r="EY591" s="647"/>
      <c r="EZ591" s="647"/>
      <c r="FA591" s="646"/>
      <c r="FB591" s="646"/>
      <c r="FC591" s="646"/>
      <c r="FD591" s="646"/>
      <c r="FE591" s="646"/>
      <c r="FF591" s="646"/>
      <c r="FG591" s="647"/>
      <c r="FH591" s="647"/>
      <c r="FI591" s="647"/>
      <c r="FJ591" s="647"/>
      <c r="FK591" s="647"/>
      <c r="FL591" s="647"/>
      <c r="FM591" s="647"/>
      <c r="FN591" s="647"/>
      <c r="FO591" s="647"/>
      <c r="FP591" s="647"/>
      <c r="FQ591" s="647"/>
      <c r="FR591" s="647"/>
      <c r="FS591" s="101"/>
      <c r="FT591" s="95"/>
      <c r="FV591" s="653"/>
      <c r="FW591" s="653"/>
      <c r="FX591" s="654"/>
      <c r="FY591" s="654"/>
      <c r="FZ591" s="654"/>
      <c r="GA591" s="654"/>
      <c r="GB591" s="654"/>
      <c r="GC591" s="654"/>
      <c r="GD591" s="654"/>
      <c r="GE591" s="654"/>
      <c r="GF591" s="654"/>
      <c r="GG591" s="654"/>
      <c r="GH591" s="654"/>
      <c r="GI591" s="654"/>
      <c r="GJ591" s="654"/>
      <c r="GK591" s="654"/>
      <c r="GL591" s="653"/>
      <c r="GM591" s="653"/>
      <c r="GN591" s="653"/>
      <c r="GO591" s="643"/>
      <c r="GP591" s="644"/>
      <c r="GQ591" s="643"/>
      <c r="GR591" s="644"/>
      <c r="GS591" s="643"/>
      <c r="GT591" s="644"/>
      <c r="GU591" s="644"/>
      <c r="GV591" s="644"/>
      <c r="GW591" s="644"/>
      <c r="GX591" s="644"/>
      <c r="GY591" s="644"/>
      <c r="GZ591" s="644"/>
      <c r="HA591" s="644"/>
    </row>
    <row r="592" spans="1:209">
      <c r="A592" s="638"/>
      <c r="B592" s="95"/>
      <c r="C592" s="95"/>
      <c r="D592" s="95"/>
      <c r="E592" s="650"/>
      <c r="F592" s="95"/>
      <c r="G592" s="98"/>
      <c r="H592" s="99"/>
      <c r="I592" s="95"/>
      <c r="J592" s="95"/>
      <c r="K592" s="95"/>
      <c r="L592" s="95"/>
      <c r="M592" s="95"/>
      <c r="N592" s="95"/>
      <c r="O592" s="95"/>
      <c r="P592" s="95"/>
      <c r="Q592" s="95"/>
      <c r="R592" s="98"/>
      <c r="S592" s="101"/>
      <c r="T592" s="644"/>
      <c r="U592" s="101"/>
      <c r="V592" s="647"/>
      <c r="W592" s="643"/>
      <c r="X592" s="644"/>
      <c r="Y592" s="101"/>
      <c r="Z592" s="644"/>
      <c r="AA592" s="101"/>
      <c r="AB592" s="644"/>
      <c r="AC592" s="101"/>
      <c r="AD592" s="646"/>
      <c r="AE592" s="271"/>
      <c r="AF592" s="646"/>
      <c r="AG592" s="646"/>
      <c r="AH592" s="646"/>
      <c r="AI592" s="646"/>
      <c r="AJ592" s="646"/>
      <c r="AK592" s="646"/>
      <c r="AL592" s="646"/>
      <c r="AM592" s="271"/>
      <c r="AN592" s="646"/>
      <c r="AO592" s="646"/>
      <c r="AP592" s="646"/>
      <c r="AQ592" s="271"/>
      <c r="AR592" s="646"/>
      <c r="AS592" s="270"/>
      <c r="AT592" s="646"/>
      <c r="AU592" s="646"/>
      <c r="AV592" s="646"/>
      <c r="AW592" s="270"/>
      <c r="AX592" s="646"/>
      <c r="AY592" s="270"/>
      <c r="AZ592" s="646"/>
      <c r="BA592" s="646"/>
      <c r="BB592" s="644"/>
      <c r="BC592" s="644"/>
      <c r="BD592" s="644"/>
      <c r="BE592" s="644"/>
      <c r="BF592" s="644"/>
      <c r="BG592" s="644"/>
      <c r="BH592" s="644"/>
      <c r="BI592" s="644"/>
      <c r="BJ592" s="644"/>
      <c r="BK592" s="644"/>
      <c r="BL592" s="644"/>
      <c r="BM592" s="95"/>
      <c r="BN592" s="644"/>
      <c r="BO592" s="95"/>
      <c r="BP592" s="644"/>
      <c r="BQ592" s="644"/>
      <c r="BR592" s="644"/>
      <c r="BS592" s="644"/>
      <c r="BT592" s="644"/>
      <c r="BU592" s="644"/>
      <c r="BV592" s="644"/>
      <c r="BW592" s="644"/>
      <c r="BX592" s="644"/>
      <c r="BY592" s="644"/>
      <c r="BZ592" s="644"/>
      <c r="CA592" s="644"/>
      <c r="CB592" s="644"/>
      <c r="CC592" s="644"/>
      <c r="CD592" s="644"/>
      <c r="CE592" s="644"/>
      <c r="CF592" s="644"/>
      <c r="CG592" s="644"/>
      <c r="CH592" s="644"/>
      <c r="CI592" s="644"/>
      <c r="CJ592" s="644"/>
      <c r="CK592" s="644"/>
      <c r="CL592" s="644"/>
      <c r="CM592" s="95"/>
      <c r="CN592" s="644"/>
      <c r="CO592" s="644"/>
      <c r="CP592" s="95"/>
      <c r="CQ592" s="98"/>
      <c r="CR592" s="95"/>
      <c r="CS592" s="95"/>
      <c r="CT592" s="95"/>
      <c r="CU592" s="108"/>
      <c r="CV592" s="109"/>
      <c r="CW592" s="644"/>
      <c r="CX592" s="496"/>
      <c r="CY592" s="637"/>
      <c r="CZ592" s="644"/>
      <c r="DA592" s="644"/>
      <c r="DB592" s="644"/>
      <c r="DC592" s="496"/>
      <c r="DD592" s="644"/>
      <c r="DE592" s="101"/>
      <c r="DF592" s="644"/>
      <c r="DG592" s="101"/>
      <c r="DH592" s="644"/>
      <c r="DI592" s="644"/>
      <c r="DJ592" s="644"/>
      <c r="DK592" s="644"/>
      <c r="DL592" s="644"/>
      <c r="DM592" s="101"/>
      <c r="DN592" s="644"/>
      <c r="DO592" s="644"/>
      <c r="DP592" s="644"/>
      <c r="DQ592" s="644"/>
      <c r="DR592" s="644"/>
      <c r="DS592" s="644"/>
      <c r="DT592" s="644"/>
      <c r="DU592" s="644"/>
      <c r="DV592" s="644"/>
      <c r="DW592" s="101"/>
      <c r="DX592" s="646"/>
      <c r="DY592" s="646"/>
      <c r="DZ592" s="646"/>
      <c r="EA592" s="646"/>
      <c r="EB592" s="646"/>
      <c r="EC592" s="646"/>
      <c r="ED592" s="646"/>
      <c r="EE592" s="646"/>
      <c r="EF592" s="646"/>
      <c r="EG592" s="646"/>
      <c r="EH592" s="646"/>
      <c r="EI592" s="646"/>
      <c r="EJ592" s="646"/>
      <c r="EK592" s="271"/>
      <c r="EL592" s="644"/>
      <c r="EM592" s="634"/>
      <c r="EN592" s="647"/>
      <c r="EO592" s="648"/>
      <c r="EP592" s="647"/>
      <c r="EQ592" s="647"/>
      <c r="ER592" s="647"/>
      <c r="ES592" s="139"/>
      <c r="EV592" s="647"/>
      <c r="EW592" s="647"/>
      <c r="EX592" s="647"/>
      <c r="EY592" s="647"/>
      <c r="EZ592" s="647"/>
      <c r="FA592" s="646"/>
      <c r="FB592" s="646"/>
      <c r="FC592" s="646"/>
      <c r="FD592" s="646"/>
      <c r="FE592" s="646"/>
      <c r="FF592" s="646"/>
      <c r="FG592" s="647"/>
      <c r="FH592" s="647"/>
      <c r="FI592" s="647"/>
      <c r="FJ592" s="647"/>
      <c r="FK592" s="647"/>
      <c r="FL592" s="647"/>
      <c r="FM592" s="647"/>
      <c r="FN592" s="647"/>
      <c r="FO592" s="647"/>
      <c r="FP592" s="647"/>
      <c r="FQ592" s="647"/>
      <c r="FR592" s="647"/>
      <c r="FS592" s="101"/>
      <c r="FT592" s="95"/>
      <c r="FV592" s="653"/>
      <c r="FW592" s="653"/>
      <c r="FX592" s="654"/>
      <c r="FY592" s="654"/>
      <c r="FZ592" s="654"/>
      <c r="GA592" s="654"/>
      <c r="GB592" s="654"/>
      <c r="GC592" s="654"/>
      <c r="GD592" s="654"/>
      <c r="GE592" s="654"/>
      <c r="GF592" s="654"/>
      <c r="GG592" s="654"/>
      <c r="GH592" s="654"/>
      <c r="GI592" s="654"/>
      <c r="GJ592" s="654"/>
      <c r="GK592" s="654"/>
      <c r="GL592" s="653"/>
      <c r="GM592" s="653"/>
      <c r="GN592" s="653"/>
      <c r="GO592" s="643"/>
      <c r="GP592" s="644"/>
      <c r="GQ592" s="643"/>
      <c r="GR592" s="644"/>
      <c r="GS592" s="643"/>
      <c r="GT592" s="644"/>
      <c r="GU592" s="644"/>
      <c r="GV592" s="644"/>
      <c r="GW592" s="644"/>
      <c r="GX592" s="644"/>
      <c r="GY592" s="644"/>
      <c r="GZ592" s="644"/>
      <c r="HA592" s="644"/>
    </row>
    <row r="593" spans="1:209">
      <c r="A593" s="638"/>
      <c r="B593" s="95"/>
      <c r="C593" s="95"/>
      <c r="D593" s="95"/>
      <c r="E593" s="650"/>
      <c r="F593" s="95"/>
      <c r="G593" s="98"/>
      <c r="H593" s="99"/>
      <c r="I593" s="95"/>
      <c r="J593" s="95"/>
      <c r="K593" s="95"/>
      <c r="L593" s="95"/>
      <c r="M593" s="95"/>
      <c r="N593" s="95"/>
      <c r="O593" s="95"/>
      <c r="P593" s="95"/>
      <c r="Q593" s="95"/>
      <c r="R593" s="98"/>
      <c r="S593" s="101"/>
      <c r="T593" s="644"/>
      <c r="U593" s="101"/>
      <c r="V593" s="647"/>
      <c r="W593" s="643"/>
      <c r="X593" s="644"/>
      <c r="Y593" s="101"/>
      <c r="Z593" s="644"/>
      <c r="AA593" s="101"/>
      <c r="AB593" s="644"/>
      <c r="AC593" s="101"/>
      <c r="AD593" s="646"/>
      <c r="AE593" s="271"/>
      <c r="AF593" s="646"/>
      <c r="AG593" s="646"/>
      <c r="AH593" s="646"/>
      <c r="AI593" s="646"/>
      <c r="AJ593" s="646"/>
      <c r="AK593" s="646"/>
      <c r="AL593" s="646"/>
      <c r="AM593" s="271"/>
      <c r="AN593" s="646"/>
      <c r="AO593" s="646"/>
      <c r="AP593" s="646"/>
      <c r="AQ593" s="271"/>
      <c r="AR593" s="646"/>
      <c r="AS593" s="270"/>
      <c r="AT593" s="646"/>
      <c r="AU593" s="646"/>
      <c r="AV593" s="646"/>
      <c r="AW593" s="270"/>
      <c r="AX593" s="646"/>
      <c r="AY593" s="270"/>
      <c r="AZ593" s="646"/>
      <c r="BA593" s="646"/>
      <c r="BB593" s="644"/>
      <c r="BC593" s="644"/>
      <c r="BD593" s="644"/>
      <c r="BE593" s="644"/>
      <c r="BF593" s="644"/>
      <c r="BG593" s="644"/>
      <c r="BH593" s="644"/>
      <c r="BI593" s="644"/>
      <c r="BJ593" s="644"/>
      <c r="BK593" s="644"/>
      <c r="BL593" s="644"/>
      <c r="BM593" s="95"/>
      <c r="BN593" s="644"/>
      <c r="BO593" s="95"/>
      <c r="BP593" s="644"/>
      <c r="BQ593" s="644"/>
      <c r="BR593" s="644"/>
      <c r="BS593" s="644"/>
      <c r="BT593" s="644"/>
      <c r="BU593" s="644"/>
      <c r="BV593" s="644"/>
      <c r="BW593" s="644"/>
      <c r="BX593" s="644"/>
      <c r="BY593" s="644"/>
      <c r="BZ593" s="644"/>
      <c r="CA593" s="644"/>
      <c r="CB593" s="644"/>
      <c r="CC593" s="644"/>
      <c r="CD593" s="644"/>
      <c r="CE593" s="644"/>
      <c r="CF593" s="644"/>
      <c r="CG593" s="644"/>
      <c r="CH593" s="644"/>
      <c r="CI593" s="644"/>
      <c r="CJ593" s="644"/>
      <c r="CK593" s="644"/>
      <c r="CL593" s="644"/>
      <c r="CM593" s="95"/>
      <c r="CN593" s="644"/>
      <c r="CO593" s="644"/>
      <c r="CP593" s="95"/>
      <c r="CQ593" s="98"/>
      <c r="CR593" s="95"/>
      <c r="CS593" s="95"/>
      <c r="CT593" s="95"/>
      <c r="CU593" s="108"/>
      <c r="CV593" s="109"/>
      <c r="CW593" s="644"/>
      <c r="CX593" s="496"/>
      <c r="CY593" s="637"/>
      <c r="CZ593" s="644"/>
      <c r="DA593" s="644"/>
      <c r="DB593" s="644"/>
      <c r="DC593" s="496"/>
      <c r="DD593" s="644"/>
      <c r="DE593" s="101"/>
      <c r="DF593" s="644"/>
      <c r="DG593" s="101"/>
      <c r="DH593" s="644"/>
      <c r="DI593" s="644"/>
      <c r="DJ593" s="644"/>
      <c r="DK593" s="644"/>
      <c r="DL593" s="644"/>
      <c r="DM593" s="101"/>
      <c r="DN593" s="644"/>
      <c r="DO593" s="644"/>
      <c r="DP593" s="644"/>
      <c r="DQ593" s="644"/>
      <c r="DR593" s="644"/>
      <c r="DS593" s="644"/>
      <c r="DT593" s="644"/>
      <c r="DU593" s="644"/>
      <c r="DV593" s="644"/>
      <c r="DW593" s="101"/>
      <c r="DX593" s="646"/>
      <c r="DY593" s="646"/>
      <c r="DZ593" s="646"/>
      <c r="EA593" s="646"/>
      <c r="EB593" s="646"/>
      <c r="EC593" s="646"/>
      <c r="ED593" s="646"/>
      <c r="EE593" s="646"/>
      <c r="EF593" s="646"/>
      <c r="EG593" s="646"/>
      <c r="EH593" s="646"/>
      <c r="EI593" s="646"/>
      <c r="EJ593" s="646"/>
      <c r="EK593" s="271"/>
      <c r="EL593" s="644"/>
      <c r="EM593" s="634"/>
      <c r="EN593" s="647"/>
      <c r="EO593" s="648"/>
      <c r="EP593" s="647"/>
      <c r="EQ593" s="647"/>
      <c r="ER593" s="647"/>
      <c r="ES593" s="139"/>
      <c r="EV593" s="647"/>
      <c r="EW593" s="647"/>
      <c r="EX593" s="647"/>
      <c r="EY593" s="647"/>
      <c r="EZ593" s="647"/>
      <c r="FA593" s="646"/>
      <c r="FB593" s="646"/>
      <c r="FC593" s="646"/>
      <c r="FD593" s="646"/>
      <c r="FE593" s="646"/>
      <c r="FF593" s="646"/>
      <c r="FG593" s="647"/>
      <c r="FH593" s="647"/>
      <c r="FI593" s="647"/>
      <c r="FJ593" s="647"/>
      <c r="FK593" s="647"/>
      <c r="FL593" s="647"/>
      <c r="FM593" s="647"/>
      <c r="FN593" s="647"/>
      <c r="FO593" s="647"/>
      <c r="FP593" s="647"/>
      <c r="FQ593" s="647"/>
      <c r="FR593" s="647"/>
      <c r="FS593" s="101"/>
      <c r="FT593" s="95"/>
      <c r="FV593" s="653"/>
      <c r="FW593" s="653"/>
      <c r="FX593" s="654"/>
      <c r="FY593" s="654"/>
      <c r="FZ593" s="654"/>
      <c r="GA593" s="654"/>
      <c r="GB593" s="654"/>
      <c r="GC593" s="654"/>
      <c r="GD593" s="654"/>
      <c r="GE593" s="654"/>
      <c r="GF593" s="654"/>
      <c r="GG593" s="654"/>
      <c r="GH593" s="654"/>
      <c r="GI593" s="654"/>
      <c r="GJ593" s="654"/>
      <c r="GK593" s="654"/>
      <c r="GL593" s="653"/>
      <c r="GM593" s="653"/>
      <c r="GN593" s="653"/>
      <c r="GO593" s="643"/>
      <c r="GP593" s="644"/>
      <c r="GQ593" s="643"/>
      <c r="GR593" s="644"/>
      <c r="GS593" s="643"/>
      <c r="GT593" s="644"/>
      <c r="GU593" s="644"/>
      <c r="GV593" s="644"/>
      <c r="GW593" s="644"/>
      <c r="GX593" s="644"/>
      <c r="GY593" s="644"/>
      <c r="GZ593" s="644"/>
      <c r="HA593" s="644"/>
    </row>
    <row r="594" spans="1:209">
      <c r="A594" s="638"/>
      <c r="B594" s="95"/>
      <c r="C594" s="95"/>
      <c r="D594" s="95"/>
      <c r="E594" s="650"/>
      <c r="F594" s="95"/>
      <c r="G594" s="98"/>
      <c r="H594" s="99"/>
      <c r="I594" s="95"/>
      <c r="J594" s="95"/>
      <c r="K594" s="95"/>
      <c r="L594" s="95"/>
      <c r="M594" s="95"/>
      <c r="N594" s="95"/>
      <c r="O594" s="95"/>
      <c r="P594" s="95"/>
      <c r="Q594" s="95"/>
      <c r="R594" s="98"/>
      <c r="S594" s="101"/>
      <c r="T594" s="644"/>
      <c r="U594" s="101"/>
      <c r="V594" s="647"/>
      <c r="W594" s="643"/>
      <c r="X594" s="644"/>
      <c r="Y594" s="101"/>
      <c r="Z594" s="644"/>
      <c r="AA594" s="101"/>
      <c r="AB594" s="644"/>
      <c r="AC594" s="101"/>
      <c r="AD594" s="646"/>
      <c r="AE594" s="271"/>
      <c r="AF594" s="646"/>
      <c r="AG594" s="646"/>
      <c r="AH594" s="646"/>
      <c r="AI594" s="646"/>
      <c r="AJ594" s="646"/>
      <c r="AK594" s="646"/>
      <c r="AL594" s="646"/>
      <c r="AM594" s="271"/>
      <c r="AN594" s="646"/>
      <c r="AO594" s="646"/>
      <c r="AP594" s="646"/>
      <c r="AQ594" s="271"/>
      <c r="AR594" s="646"/>
      <c r="AS594" s="270"/>
      <c r="AT594" s="646"/>
      <c r="AU594" s="646"/>
      <c r="AV594" s="646"/>
      <c r="AW594" s="270"/>
      <c r="AX594" s="646"/>
      <c r="AY594" s="270"/>
      <c r="AZ594" s="646"/>
      <c r="BA594" s="646"/>
      <c r="BB594" s="644"/>
      <c r="BC594" s="644"/>
      <c r="BD594" s="644"/>
      <c r="BE594" s="644"/>
      <c r="BF594" s="644"/>
      <c r="BG594" s="644"/>
      <c r="BH594" s="644"/>
      <c r="BI594" s="644"/>
      <c r="BJ594" s="644"/>
      <c r="BK594" s="644"/>
      <c r="BL594" s="644"/>
      <c r="BM594" s="95"/>
      <c r="BN594" s="644"/>
      <c r="BO594" s="95"/>
      <c r="BP594" s="644"/>
      <c r="BQ594" s="644"/>
      <c r="BR594" s="644"/>
      <c r="BS594" s="644"/>
      <c r="BT594" s="644"/>
      <c r="BU594" s="644"/>
      <c r="BV594" s="644"/>
      <c r="BW594" s="644"/>
      <c r="BX594" s="644"/>
      <c r="BY594" s="644"/>
      <c r="BZ594" s="644"/>
      <c r="CA594" s="644"/>
      <c r="CB594" s="644"/>
      <c r="CC594" s="644"/>
      <c r="CD594" s="644"/>
      <c r="CE594" s="644"/>
      <c r="CF594" s="644"/>
      <c r="CG594" s="644"/>
      <c r="CH594" s="644"/>
      <c r="CI594" s="644"/>
      <c r="CJ594" s="644"/>
      <c r="CK594" s="644"/>
      <c r="CL594" s="644"/>
      <c r="CM594" s="95"/>
      <c r="CN594" s="644"/>
      <c r="CO594" s="644"/>
      <c r="CP594" s="95"/>
      <c r="CQ594" s="98"/>
      <c r="CR594" s="95"/>
      <c r="CS594" s="95"/>
      <c r="CT594" s="95"/>
      <c r="CU594" s="108"/>
      <c r="CV594" s="109"/>
      <c r="CW594" s="644"/>
      <c r="CX594" s="496"/>
      <c r="CY594" s="637"/>
      <c r="CZ594" s="644"/>
      <c r="DA594" s="644"/>
      <c r="DB594" s="644"/>
      <c r="DC594" s="496"/>
      <c r="DD594" s="644"/>
      <c r="DE594" s="101"/>
      <c r="DF594" s="644"/>
      <c r="DG594" s="101"/>
      <c r="DH594" s="644"/>
      <c r="DI594" s="644"/>
      <c r="DJ594" s="644"/>
      <c r="DK594" s="644"/>
      <c r="DL594" s="644"/>
      <c r="DM594" s="101"/>
      <c r="DN594" s="644"/>
      <c r="DO594" s="644"/>
      <c r="DP594" s="644"/>
      <c r="DQ594" s="644"/>
      <c r="DR594" s="644"/>
      <c r="DS594" s="644"/>
      <c r="DT594" s="644"/>
      <c r="DU594" s="644"/>
      <c r="DV594" s="644"/>
      <c r="DW594" s="101"/>
      <c r="DX594" s="646"/>
      <c r="DY594" s="646"/>
      <c r="DZ594" s="646"/>
      <c r="EA594" s="646"/>
      <c r="EB594" s="646"/>
      <c r="EC594" s="646"/>
      <c r="ED594" s="646"/>
      <c r="EE594" s="646"/>
      <c r="EF594" s="646"/>
      <c r="EG594" s="646"/>
      <c r="EH594" s="646"/>
      <c r="EI594" s="646"/>
      <c r="EJ594" s="646"/>
      <c r="EK594" s="271"/>
      <c r="EL594" s="644"/>
      <c r="EM594" s="634"/>
      <c r="EN594" s="647"/>
      <c r="EO594" s="648"/>
      <c r="EP594" s="647"/>
      <c r="EQ594" s="647"/>
      <c r="ER594" s="647"/>
      <c r="ES594" s="139"/>
      <c r="EV594" s="647"/>
      <c r="EW594" s="647"/>
      <c r="EX594" s="647"/>
      <c r="EY594" s="647"/>
      <c r="EZ594" s="647"/>
      <c r="FA594" s="646"/>
      <c r="FB594" s="646"/>
      <c r="FC594" s="646"/>
      <c r="FD594" s="646"/>
      <c r="FE594" s="646"/>
      <c r="FF594" s="646"/>
      <c r="FG594" s="647"/>
      <c r="FH594" s="647"/>
      <c r="FI594" s="647"/>
      <c r="FJ594" s="647"/>
      <c r="FK594" s="647"/>
      <c r="FL594" s="647"/>
      <c r="FM594" s="647"/>
      <c r="FN594" s="647"/>
      <c r="FO594" s="647"/>
      <c r="FP594" s="647"/>
      <c r="FQ594" s="647"/>
      <c r="FR594" s="647"/>
      <c r="FS594" s="101"/>
      <c r="FT594" s="95"/>
      <c r="FV594" s="653"/>
      <c r="FW594" s="653"/>
      <c r="FX594" s="654"/>
      <c r="FY594" s="654"/>
      <c r="FZ594" s="654"/>
      <c r="GA594" s="654"/>
      <c r="GB594" s="654"/>
      <c r="GC594" s="654"/>
      <c r="GD594" s="654"/>
      <c r="GE594" s="654"/>
      <c r="GF594" s="654"/>
      <c r="GG594" s="654"/>
      <c r="GH594" s="654"/>
      <c r="GI594" s="654"/>
      <c r="GJ594" s="654"/>
      <c r="GK594" s="654"/>
      <c r="GL594" s="653"/>
      <c r="GM594" s="653"/>
      <c r="GN594" s="653"/>
      <c r="GO594" s="643"/>
      <c r="GP594" s="644"/>
      <c r="GQ594" s="643"/>
      <c r="GR594" s="644"/>
      <c r="GS594" s="643"/>
      <c r="GT594" s="644"/>
      <c r="GU594" s="644"/>
      <c r="GV594" s="644"/>
      <c r="GW594" s="644"/>
      <c r="GX594" s="644"/>
      <c r="GY594" s="644"/>
      <c r="GZ594" s="644"/>
      <c r="HA594" s="644"/>
    </row>
    <row r="595" spans="1:209">
      <c r="A595" s="638"/>
      <c r="B595" s="95"/>
      <c r="C595" s="95"/>
      <c r="D595" s="95"/>
      <c r="E595" s="650"/>
      <c r="F595" s="95"/>
      <c r="G595" s="98"/>
      <c r="H595" s="99"/>
      <c r="I595" s="95"/>
      <c r="J595" s="95"/>
      <c r="K595" s="95"/>
      <c r="L595" s="95"/>
      <c r="M595" s="95"/>
      <c r="N595" s="95"/>
      <c r="O595" s="95"/>
      <c r="P595" s="95"/>
      <c r="Q595" s="95"/>
      <c r="R595" s="98"/>
      <c r="S595" s="101"/>
      <c r="T595" s="644"/>
      <c r="U595" s="101"/>
      <c r="V595" s="647"/>
      <c r="W595" s="643"/>
      <c r="X595" s="644"/>
      <c r="Y595" s="101"/>
      <c r="Z595" s="644"/>
      <c r="AA595" s="101"/>
      <c r="AB595" s="644"/>
      <c r="AC595" s="101"/>
      <c r="AD595" s="646"/>
      <c r="AE595" s="271"/>
      <c r="AF595" s="646"/>
      <c r="AG595" s="646"/>
      <c r="AH595" s="646"/>
      <c r="AI595" s="646"/>
      <c r="AJ595" s="646"/>
      <c r="AK595" s="646"/>
      <c r="AL595" s="646"/>
      <c r="AM595" s="271"/>
      <c r="AN595" s="646"/>
      <c r="AO595" s="646"/>
      <c r="AP595" s="646"/>
      <c r="AQ595" s="271"/>
      <c r="AR595" s="646"/>
      <c r="AS595" s="270"/>
      <c r="AT595" s="646"/>
      <c r="AU595" s="646"/>
      <c r="AV595" s="646"/>
      <c r="AW595" s="270"/>
      <c r="AX595" s="646"/>
      <c r="AY595" s="270"/>
      <c r="AZ595" s="646"/>
      <c r="BA595" s="646"/>
      <c r="BB595" s="644"/>
      <c r="BC595" s="644"/>
      <c r="BD595" s="644"/>
      <c r="BE595" s="644"/>
      <c r="BF595" s="644"/>
      <c r="BG595" s="644"/>
      <c r="BH595" s="644"/>
      <c r="BI595" s="644"/>
      <c r="BJ595" s="644"/>
      <c r="BK595" s="644"/>
      <c r="BL595" s="644"/>
      <c r="BM595" s="95"/>
      <c r="BN595" s="644"/>
      <c r="BO595" s="95"/>
      <c r="BP595" s="644"/>
      <c r="BQ595" s="644"/>
      <c r="BR595" s="644"/>
      <c r="BS595" s="644"/>
      <c r="BT595" s="644"/>
      <c r="BU595" s="644"/>
      <c r="BV595" s="644"/>
      <c r="BW595" s="644"/>
      <c r="BX595" s="644"/>
      <c r="BY595" s="644"/>
      <c r="BZ595" s="644"/>
      <c r="CA595" s="644"/>
      <c r="CB595" s="644"/>
      <c r="CC595" s="644"/>
      <c r="CD595" s="644"/>
      <c r="CE595" s="644"/>
      <c r="CF595" s="644"/>
      <c r="CG595" s="644"/>
      <c r="CH595" s="644"/>
      <c r="CI595" s="644"/>
      <c r="CJ595" s="644"/>
      <c r="CK595" s="644"/>
      <c r="CL595" s="644"/>
      <c r="CM595" s="95"/>
      <c r="CN595" s="644"/>
      <c r="CO595" s="644"/>
      <c r="CP595" s="95"/>
      <c r="CQ595" s="98"/>
      <c r="CR595" s="95"/>
      <c r="CS595" s="95"/>
      <c r="CT595" s="95"/>
      <c r="CU595" s="108"/>
      <c r="CV595" s="109"/>
      <c r="CW595" s="644"/>
      <c r="CX595" s="496"/>
      <c r="CY595" s="637"/>
      <c r="CZ595" s="644"/>
      <c r="DA595" s="644"/>
      <c r="DB595" s="644"/>
      <c r="DC595" s="496"/>
      <c r="DD595" s="644"/>
      <c r="DE595" s="101"/>
      <c r="DF595" s="644"/>
      <c r="DG595" s="101"/>
      <c r="DH595" s="644"/>
      <c r="DI595" s="644"/>
      <c r="DJ595" s="644"/>
      <c r="DK595" s="644"/>
      <c r="DL595" s="644"/>
      <c r="DM595" s="101"/>
      <c r="DN595" s="644"/>
      <c r="DO595" s="644"/>
      <c r="DP595" s="644"/>
      <c r="DQ595" s="644"/>
      <c r="DR595" s="644"/>
      <c r="DS595" s="644"/>
      <c r="DT595" s="644"/>
      <c r="DU595" s="644"/>
      <c r="DV595" s="644"/>
      <c r="DW595" s="101"/>
      <c r="DX595" s="646"/>
      <c r="DY595" s="646"/>
      <c r="DZ595" s="646"/>
      <c r="EA595" s="646"/>
      <c r="EB595" s="646"/>
      <c r="EC595" s="646"/>
      <c r="ED595" s="646"/>
      <c r="EE595" s="646"/>
      <c r="EF595" s="646"/>
      <c r="EG595" s="646"/>
      <c r="EH595" s="646"/>
      <c r="EI595" s="646"/>
      <c r="EJ595" s="646"/>
      <c r="EK595" s="271"/>
      <c r="EL595" s="644"/>
      <c r="EM595" s="634"/>
      <c r="EN595" s="647"/>
      <c r="EO595" s="648"/>
      <c r="EP595" s="647"/>
      <c r="EQ595" s="647"/>
      <c r="ER595" s="647"/>
      <c r="ES595" s="139"/>
      <c r="EV595" s="647"/>
      <c r="EW595" s="647"/>
      <c r="EX595" s="647"/>
      <c r="EY595" s="647"/>
      <c r="EZ595" s="647"/>
      <c r="FA595" s="646"/>
      <c r="FB595" s="646"/>
      <c r="FC595" s="646"/>
      <c r="FD595" s="646"/>
      <c r="FE595" s="646"/>
      <c r="FF595" s="646"/>
      <c r="FG595" s="647"/>
      <c r="FH595" s="647"/>
      <c r="FI595" s="647"/>
      <c r="FJ595" s="647"/>
      <c r="FK595" s="647"/>
      <c r="FL595" s="647"/>
      <c r="FM595" s="647"/>
      <c r="FN595" s="647"/>
      <c r="FO595" s="647"/>
      <c r="FP595" s="647"/>
      <c r="FQ595" s="647"/>
      <c r="FR595" s="647"/>
      <c r="FS595" s="101"/>
      <c r="FT595" s="95"/>
      <c r="FV595" s="653"/>
      <c r="FW595" s="653"/>
      <c r="FX595" s="654"/>
      <c r="FY595" s="654"/>
      <c r="FZ595" s="654"/>
      <c r="GA595" s="654"/>
      <c r="GB595" s="654"/>
      <c r="GC595" s="654"/>
      <c r="GD595" s="654"/>
      <c r="GE595" s="654"/>
      <c r="GF595" s="654"/>
      <c r="GG595" s="654"/>
      <c r="GH595" s="654"/>
      <c r="GI595" s="654"/>
      <c r="GJ595" s="654"/>
      <c r="GK595" s="654"/>
      <c r="GL595" s="653"/>
      <c r="GM595" s="653"/>
      <c r="GN595" s="653"/>
      <c r="GO595" s="643"/>
      <c r="GP595" s="644"/>
      <c r="GQ595" s="643"/>
      <c r="GR595" s="644"/>
      <c r="GS595" s="643"/>
      <c r="GT595" s="644"/>
      <c r="GU595" s="644"/>
      <c r="GV595" s="644"/>
      <c r="GW595" s="644"/>
      <c r="GX595" s="644"/>
      <c r="GY595" s="644"/>
      <c r="GZ595" s="644"/>
      <c r="HA595" s="644"/>
    </row>
    <row r="596" spans="1:209">
      <c r="A596" s="638"/>
      <c r="B596" s="95"/>
      <c r="C596" s="95"/>
      <c r="D596" s="95"/>
      <c r="E596" s="650"/>
      <c r="F596" s="95"/>
      <c r="G596" s="98"/>
      <c r="H596" s="99"/>
      <c r="I596" s="95"/>
      <c r="J596" s="95"/>
      <c r="K596" s="95"/>
      <c r="L596" s="95"/>
      <c r="M596" s="95"/>
      <c r="N596" s="95"/>
      <c r="O596" s="95"/>
      <c r="P596" s="95"/>
      <c r="Q596" s="95"/>
      <c r="R596" s="98"/>
      <c r="S596" s="101"/>
      <c r="T596" s="644"/>
      <c r="U596" s="101"/>
      <c r="V596" s="647"/>
      <c r="W596" s="643"/>
      <c r="X596" s="644"/>
      <c r="Y596" s="101"/>
      <c r="Z596" s="644"/>
      <c r="AA596" s="101"/>
      <c r="AB596" s="644"/>
      <c r="AC596" s="101"/>
      <c r="AD596" s="646"/>
      <c r="AE596" s="271"/>
      <c r="AF596" s="646"/>
      <c r="AG596" s="646"/>
      <c r="AH596" s="646"/>
      <c r="AI596" s="646"/>
      <c r="AJ596" s="646"/>
      <c r="AK596" s="646"/>
      <c r="AL596" s="646"/>
      <c r="AM596" s="271"/>
      <c r="AN596" s="646"/>
      <c r="AO596" s="646"/>
      <c r="AP596" s="646"/>
      <c r="AQ596" s="271"/>
      <c r="AR596" s="646"/>
      <c r="AS596" s="270"/>
      <c r="AT596" s="646"/>
      <c r="AU596" s="646"/>
      <c r="AV596" s="646"/>
      <c r="AW596" s="270"/>
      <c r="AX596" s="646"/>
      <c r="AY596" s="270"/>
      <c r="AZ596" s="646"/>
      <c r="BA596" s="646"/>
      <c r="BB596" s="644"/>
      <c r="BC596" s="644"/>
      <c r="BD596" s="644"/>
      <c r="BE596" s="644"/>
      <c r="BF596" s="644"/>
      <c r="BG596" s="644"/>
      <c r="BH596" s="644"/>
      <c r="BI596" s="644"/>
      <c r="BJ596" s="644"/>
      <c r="BK596" s="644"/>
      <c r="BL596" s="644"/>
      <c r="BM596" s="95"/>
      <c r="BN596" s="644"/>
      <c r="BO596" s="95"/>
      <c r="BP596" s="644"/>
      <c r="BQ596" s="644"/>
      <c r="BR596" s="644"/>
      <c r="BS596" s="644"/>
      <c r="BT596" s="644"/>
      <c r="BU596" s="644"/>
      <c r="BV596" s="644"/>
      <c r="BW596" s="644"/>
      <c r="BX596" s="644"/>
      <c r="BY596" s="644"/>
      <c r="BZ596" s="644"/>
      <c r="CA596" s="644"/>
      <c r="CB596" s="644"/>
      <c r="CC596" s="644"/>
      <c r="CD596" s="644"/>
      <c r="CE596" s="644"/>
      <c r="CF596" s="644"/>
      <c r="CG596" s="644"/>
      <c r="CH596" s="644"/>
      <c r="CI596" s="644"/>
      <c r="CJ596" s="644"/>
      <c r="CK596" s="644"/>
      <c r="CL596" s="644"/>
      <c r="CM596" s="95"/>
      <c r="CN596" s="644"/>
      <c r="CO596" s="644"/>
      <c r="CP596" s="95"/>
      <c r="CQ596" s="98"/>
      <c r="CR596" s="95"/>
      <c r="CS596" s="95"/>
      <c r="CT596" s="95"/>
      <c r="CU596" s="108"/>
      <c r="CV596" s="109"/>
      <c r="CW596" s="644"/>
      <c r="CX596" s="496"/>
      <c r="CY596" s="637"/>
      <c r="CZ596" s="644"/>
      <c r="DA596" s="644"/>
      <c r="DB596" s="644"/>
      <c r="DC596" s="496"/>
      <c r="DD596" s="644"/>
      <c r="DE596" s="101"/>
      <c r="DF596" s="644"/>
      <c r="DG596" s="101"/>
      <c r="DH596" s="644"/>
      <c r="DI596" s="644"/>
      <c r="DJ596" s="644"/>
      <c r="DK596" s="644"/>
      <c r="DL596" s="644"/>
      <c r="DM596" s="101"/>
      <c r="DN596" s="644"/>
      <c r="DO596" s="644"/>
      <c r="DP596" s="644"/>
      <c r="DQ596" s="644"/>
      <c r="DR596" s="644"/>
      <c r="DS596" s="644"/>
      <c r="DT596" s="644"/>
      <c r="DU596" s="644"/>
      <c r="DV596" s="644"/>
      <c r="DW596" s="101"/>
      <c r="DX596" s="646"/>
      <c r="DY596" s="646"/>
      <c r="DZ596" s="646"/>
      <c r="EA596" s="646"/>
      <c r="EB596" s="646"/>
      <c r="EC596" s="646"/>
      <c r="ED596" s="646"/>
      <c r="EE596" s="646"/>
      <c r="EF596" s="646"/>
      <c r="EG596" s="646"/>
      <c r="EH596" s="646"/>
      <c r="EI596" s="646"/>
      <c r="EJ596" s="646"/>
      <c r="EK596" s="271"/>
      <c r="EL596" s="644"/>
      <c r="EM596" s="634"/>
      <c r="EN596" s="647"/>
      <c r="EO596" s="648"/>
      <c r="EP596" s="647"/>
      <c r="EQ596" s="647"/>
      <c r="ER596" s="647"/>
      <c r="ES596" s="139"/>
      <c r="EV596" s="647"/>
      <c r="EW596" s="647"/>
      <c r="EX596" s="647"/>
      <c r="EY596" s="647"/>
      <c r="EZ596" s="647"/>
      <c r="FA596" s="646"/>
      <c r="FB596" s="646"/>
      <c r="FC596" s="646"/>
      <c r="FD596" s="646"/>
      <c r="FE596" s="646"/>
      <c r="FF596" s="646"/>
      <c r="FG596" s="647"/>
      <c r="FH596" s="647"/>
      <c r="FI596" s="647"/>
      <c r="FJ596" s="647"/>
      <c r="FK596" s="647"/>
      <c r="FL596" s="647"/>
      <c r="FM596" s="647"/>
      <c r="FN596" s="647"/>
      <c r="FO596" s="647"/>
      <c r="FP596" s="647"/>
      <c r="FQ596" s="647"/>
      <c r="FR596" s="647"/>
      <c r="FS596" s="101"/>
      <c r="FT596" s="95"/>
      <c r="FV596" s="653"/>
      <c r="FW596" s="653"/>
      <c r="FX596" s="654"/>
      <c r="FY596" s="654"/>
      <c r="FZ596" s="654"/>
      <c r="GA596" s="654"/>
      <c r="GB596" s="654"/>
      <c r="GC596" s="654"/>
      <c r="GD596" s="654"/>
      <c r="GE596" s="654"/>
      <c r="GF596" s="654"/>
      <c r="GG596" s="654"/>
      <c r="GH596" s="654"/>
      <c r="GI596" s="654"/>
      <c r="GJ596" s="654"/>
      <c r="GK596" s="654"/>
      <c r="GL596" s="653"/>
      <c r="GM596" s="653"/>
      <c r="GN596" s="653"/>
      <c r="GO596" s="643"/>
      <c r="GP596" s="644"/>
      <c r="GQ596" s="643"/>
      <c r="GR596" s="644"/>
      <c r="GS596" s="643"/>
      <c r="GT596" s="644"/>
      <c r="GU596" s="644"/>
      <c r="GV596" s="644"/>
      <c r="GW596" s="644"/>
      <c r="GX596" s="644"/>
      <c r="GY596" s="644"/>
      <c r="GZ596" s="644"/>
      <c r="HA596" s="644"/>
    </row>
    <row r="597" spans="1:209">
      <c r="A597" s="638"/>
      <c r="B597" s="95"/>
      <c r="C597" s="95"/>
      <c r="D597" s="95"/>
      <c r="E597" s="650"/>
      <c r="F597" s="95"/>
      <c r="G597" s="98"/>
      <c r="H597" s="99"/>
      <c r="I597" s="95"/>
      <c r="J597" s="95"/>
      <c r="K597" s="95"/>
      <c r="L597" s="95"/>
      <c r="M597" s="95"/>
      <c r="N597" s="95"/>
      <c r="O597" s="95"/>
      <c r="P597" s="95"/>
      <c r="Q597" s="95"/>
      <c r="R597" s="98"/>
      <c r="S597" s="101"/>
      <c r="T597" s="644"/>
      <c r="U597" s="101"/>
      <c r="V597" s="647"/>
      <c r="W597" s="643"/>
      <c r="X597" s="644"/>
      <c r="Y597" s="101"/>
      <c r="Z597" s="644"/>
      <c r="AA597" s="101"/>
      <c r="AB597" s="644"/>
      <c r="AC597" s="101"/>
      <c r="AD597" s="646"/>
      <c r="AE597" s="271"/>
      <c r="AF597" s="646"/>
      <c r="AG597" s="646"/>
      <c r="AH597" s="646"/>
      <c r="AI597" s="646"/>
      <c r="AJ597" s="646"/>
      <c r="AK597" s="646"/>
      <c r="AL597" s="646"/>
      <c r="AM597" s="271"/>
      <c r="AN597" s="646"/>
      <c r="AO597" s="646"/>
      <c r="AP597" s="646"/>
      <c r="AQ597" s="271"/>
      <c r="AR597" s="646"/>
      <c r="AS597" s="270"/>
      <c r="AT597" s="646"/>
      <c r="AU597" s="646"/>
      <c r="AV597" s="646"/>
      <c r="AW597" s="270"/>
      <c r="AX597" s="646"/>
      <c r="AY597" s="270"/>
      <c r="AZ597" s="646"/>
      <c r="BA597" s="646"/>
      <c r="BB597" s="644"/>
      <c r="BC597" s="644"/>
      <c r="BD597" s="644"/>
      <c r="BE597" s="644"/>
      <c r="BF597" s="644"/>
      <c r="BG597" s="644"/>
      <c r="BH597" s="644"/>
      <c r="BI597" s="644"/>
      <c r="BJ597" s="644"/>
      <c r="BK597" s="644"/>
      <c r="BL597" s="644"/>
      <c r="BM597" s="95"/>
      <c r="BN597" s="644"/>
      <c r="BO597" s="95"/>
      <c r="BP597" s="644"/>
      <c r="BQ597" s="644"/>
      <c r="BR597" s="644"/>
      <c r="BS597" s="644"/>
      <c r="BT597" s="644"/>
      <c r="BU597" s="644"/>
      <c r="BV597" s="644"/>
      <c r="BW597" s="644"/>
      <c r="BX597" s="644"/>
      <c r="BY597" s="644"/>
      <c r="BZ597" s="644"/>
      <c r="CA597" s="644"/>
      <c r="CB597" s="644"/>
      <c r="CC597" s="644"/>
      <c r="CD597" s="644"/>
      <c r="CE597" s="644"/>
      <c r="CF597" s="644"/>
      <c r="CG597" s="644"/>
      <c r="CH597" s="644"/>
      <c r="CI597" s="644"/>
      <c r="CJ597" s="644"/>
      <c r="CK597" s="644"/>
      <c r="CL597" s="644"/>
      <c r="CM597" s="95"/>
      <c r="CN597" s="644"/>
      <c r="CO597" s="644"/>
      <c r="CP597" s="95"/>
      <c r="CQ597" s="98"/>
      <c r="CR597" s="95"/>
      <c r="CS597" s="95"/>
      <c r="CT597" s="95"/>
      <c r="CU597" s="108"/>
      <c r="CV597" s="109"/>
      <c r="CW597" s="644"/>
      <c r="CX597" s="496"/>
      <c r="CY597" s="637"/>
      <c r="CZ597" s="644"/>
      <c r="DA597" s="644"/>
      <c r="DB597" s="644"/>
      <c r="DC597" s="496"/>
      <c r="DD597" s="644"/>
      <c r="DE597" s="101"/>
      <c r="DF597" s="644"/>
      <c r="DG597" s="101"/>
      <c r="DH597" s="644"/>
      <c r="DI597" s="644"/>
      <c r="DJ597" s="644"/>
      <c r="DK597" s="644"/>
      <c r="DL597" s="644"/>
      <c r="DM597" s="101"/>
      <c r="DN597" s="644"/>
      <c r="DO597" s="644"/>
      <c r="DP597" s="644"/>
      <c r="DQ597" s="644"/>
      <c r="DR597" s="644"/>
      <c r="DS597" s="644"/>
      <c r="DT597" s="644"/>
      <c r="DU597" s="644"/>
      <c r="DV597" s="644"/>
      <c r="DW597" s="101"/>
      <c r="DX597" s="646"/>
      <c r="DY597" s="646"/>
      <c r="DZ597" s="646"/>
      <c r="EA597" s="646"/>
      <c r="EB597" s="646"/>
      <c r="EC597" s="646"/>
      <c r="ED597" s="646"/>
      <c r="EE597" s="646"/>
      <c r="EF597" s="646"/>
      <c r="EG597" s="646"/>
      <c r="EH597" s="646"/>
      <c r="EI597" s="646"/>
      <c r="EJ597" s="646"/>
      <c r="EK597" s="271"/>
      <c r="EL597" s="644"/>
      <c r="EM597" s="634"/>
      <c r="EN597" s="647"/>
      <c r="EO597" s="648"/>
      <c r="EP597" s="647"/>
      <c r="EQ597" s="647"/>
      <c r="ER597" s="647"/>
      <c r="ES597" s="139"/>
      <c r="EV597" s="647"/>
      <c r="EW597" s="647"/>
      <c r="EX597" s="647"/>
      <c r="EY597" s="647"/>
      <c r="EZ597" s="647"/>
      <c r="FA597" s="646"/>
      <c r="FB597" s="646"/>
      <c r="FC597" s="646"/>
      <c r="FD597" s="646"/>
      <c r="FE597" s="646"/>
      <c r="FF597" s="646"/>
      <c r="FG597" s="647"/>
      <c r="FH597" s="647"/>
      <c r="FI597" s="647"/>
      <c r="FJ597" s="647"/>
      <c r="FK597" s="647"/>
      <c r="FL597" s="647"/>
      <c r="FM597" s="647"/>
      <c r="FN597" s="647"/>
      <c r="FO597" s="647"/>
      <c r="FP597" s="647"/>
      <c r="FQ597" s="647"/>
      <c r="FR597" s="647"/>
      <c r="FS597" s="101"/>
      <c r="FT597" s="95"/>
      <c r="FV597" s="653"/>
      <c r="FW597" s="653"/>
      <c r="FX597" s="654"/>
      <c r="FY597" s="654"/>
      <c r="FZ597" s="654"/>
      <c r="GA597" s="654"/>
      <c r="GB597" s="654"/>
      <c r="GC597" s="654"/>
      <c r="GD597" s="654"/>
      <c r="GE597" s="654"/>
      <c r="GF597" s="654"/>
      <c r="GG597" s="654"/>
      <c r="GH597" s="654"/>
      <c r="GI597" s="654"/>
      <c r="GJ597" s="654"/>
      <c r="GK597" s="654"/>
      <c r="GL597" s="653"/>
      <c r="GM597" s="653"/>
      <c r="GN597" s="653"/>
      <c r="GO597" s="643"/>
      <c r="GP597" s="644"/>
      <c r="GQ597" s="643"/>
      <c r="GR597" s="644"/>
      <c r="GS597" s="643"/>
      <c r="GT597" s="644"/>
      <c r="GU597" s="644"/>
      <c r="GV597" s="644"/>
      <c r="GW597" s="644"/>
      <c r="GX597" s="644"/>
      <c r="GY597" s="644"/>
      <c r="GZ597" s="644"/>
      <c r="HA597" s="644"/>
    </row>
    <row r="598" spans="1:209">
      <c r="A598" s="638"/>
      <c r="B598" s="95"/>
      <c r="C598" s="95"/>
      <c r="D598" s="95"/>
      <c r="E598" s="650"/>
      <c r="F598" s="95"/>
      <c r="G598" s="98"/>
      <c r="H598" s="99"/>
      <c r="I598" s="95"/>
      <c r="J598" s="95"/>
      <c r="K598" s="95"/>
      <c r="L598" s="95"/>
      <c r="M598" s="95"/>
      <c r="N598" s="95"/>
      <c r="O598" s="95"/>
      <c r="P598" s="95"/>
      <c r="Q598" s="95"/>
      <c r="R598" s="98"/>
      <c r="S598" s="101"/>
      <c r="T598" s="644"/>
      <c r="U598" s="101"/>
      <c r="V598" s="647"/>
      <c r="W598" s="643"/>
      <c r="X598" s="644"/>
      <c r="Y598" s="101"/>
      <c r="Z598" s="644"/>
      <c r="AA598" s="101"/>
      <c r="AB598" s="644"/>
      <c r="AC598" s="101"/>
      <c r="AD598" s="646"/>
      <c r="AE598" s="271"/>
      <c r="AF598" s="646"/>
      <c r="AG598" s="646"/>
      <c r="AH598" s="646"/>
      <c r="AI598" s="646"/>
      <c r="AJ598" s="646"/>
      <c r="AK598" s="646"/>
      <c r="AL598" s="646"/>
      <c r="AM598" s="271"/>
      <c r="AN598" s="646"/>
      <c r="AO598" s="646"/>
      <c r="AP598" s="646"/>
      <c r="AQ598" s="271"/>
      <c r="AR598" s="646"/>
      <c r="AS598" s="270"/>
      <c r="AT598" s="646"/>
      <c r="AU598" s="646"/>
      <c r="AV598" s="646"/>
      <c r="AW598" s="270"/>
      <c r="AX598" s="646"/>
      <c r="AY598" s="270"/>
      <c r="AZ598" s="646"/>
      <c r="BA598" s="646"/>
      <c r="BB598" s="644"/>
      <c r="BC598" s="644"/>
      <c r="BD598" s="644"/>
      <c r="BE598" s="644"/>
      <c r="BF598" s="644"/>
      <c r="BG598" s="644"/>
      <c r="BH598" s="644"/>
      <c r="BI598" s="644"/>
      <c r="BJ598" s="644"/>
      <c r="BK598" s="644"/>
      <c r="BL598" s="644"/>
      <c r="BM598" s="95"/>
      <c r="BN598" s="644"/>
      <c r="BO598" s="95"/>
      <c r="BP598" s="644"/>
      <c r="BQ598" s="644"/>
      <c r="BR598" s="644"/>
      <c r="BS598" s="644"/>
      <c r="BT598" s="644"/>
      <c r="BU598" s="644"/>
      <c r="BV598" s="644"/>
      <c r="BW598" s="644"/>
      <c r="BX598" s="644"/>
      <c r="BY598" s="644"/>
      <c r="BZ598" s="644"/>
      <c r="CA598" s="644"/>
      <c r="CB598" s="644"/>
      <c r="CC598" s="644"/>
      <c r="CD598" s="644"/>
      <c r="CE598" s="644"/>
      <c r="CF598" s="644"/>
      <c r="CG598" s="644"/>
      <c r="CH598" s="644"/>
      <c r="CI598" s="644"/>
      <c r="CJ598" s="644"/>
      <c r="CK598" s="644"/>
      <c r="CL598" s="644"/>
      <c r="CM598" s="95"/>
      <c r="CN598" s="644"/>
      <c r="CO598" s="644"/>
      <c r="CP598" s="95"/>
      <c r="CQ598" s="98"/>
      <c r="CR598" s="95"/>
      <c r="CS598" s="95"/>
      <c r="CT598" s="95"/>
      <c r="CU598" s="108"/>
      <c r="CV598" s="109"/>
      <c r="CW598" s="644"/>
      <c r="CX598" s="496"/>
      <c r="CY598" s="637"/>
      <c r="CZ598" s="644"/>
      <c r="DA598" s="644"/>
      <c r="DB598" s="644"/>
      <c r="DC598" s="496"/>
      <c r="DD598" s="644"/>
      <c r="DE598" s="101"/>
      <c r="DF598" s="644"/>
      <c r="DG598" s="101"/>
      <c r="DH598" s="644"/>
      <c r="DI598" s="644"/>
      <c r="DJ598" s="644"/>
      <c r="DK598" s="644"/>
      <c r="DL598" s="644"/>
      <c r="DM598" s="101"/>
      <c r="DN598" s="644"/>
      <c r="DO598" s="644"/>
      <c r="DP598" s="644"/>
      <c r="DQ598" s="644"/>
      <c r="DR598" s="644"/>
      <c r="DS598" s="644"/>
      <c r="DT598" s="644"/>
      <c r="DU598" s="644"/>
      <c r="DV598" s="644"/>
      <c r="DW598" s="101"/>
      <c r="DX598" s="646"/>
      <c r="DY598" s="646"/>
      <c r="DZ598" s="646"/>
      <c r="EA598" s="646"/>
      <c r="EB598" s="646"/>
      <c r="EC598" s="646"/>
      <c r="ED598" s="646"/>
      <c r="EE598" s="646"/>
      <c r="EF598" s="646"/>
      <c r="EG598" s="646"/>
      <c r="EH598" s="646"/>
      <c r="EI598" s="646"/>
      <c r="EJ598" s="646"/>
      <c r="EK598" s="271"/>
      <c r="EL598" s="644"/>
      <c r="EM598" s="634"/>
      <c r="EN598" s="647"/>
      <c r="EO598" s="648"/>
      <c r="EP598" s="647"/>
      <c r="EQ598" s="647"/>
      <c r="ER598" s="647"/>
      <c r="ES598" s="139"/>
      <c r="EV598" s="647"/>
      <c r="EW598" s="647"/>
      <c r="EX598" s="647"/>
      <c r="EY598" s="647"/>
      <c r="EZ598" s="647"/>
      <c r="FA598" s="646"/>
      <c r="FB598" s="646"/>
      <c r="FC598" s="646"/>
      <c r="FD598" s="646"/>
      <c r="FE598" s="646"/>
      <c r="FF598" s="646"/>
      <c r="FG598" s="647"/>
      <c r="FH598" s="647"/>
      <c r="FI598" s="647"/>
      <c r="FJ598" s="647"/>
      <c r="FK598" s="647"/>
      <c r="FL598" s="647"/>
      <c r="FM598" s="647"/>
      <c r="FN598" s="647"/>
      <c r="FO598" s="647"/>
      <c r="FP598" s="647"/>
      <c r="FQ598" s="647"/>
      <c r="FR598" s="647"/>
      <c r="FS598" s="101"/>
      <c r="FT598" s="95"/>
      <c r="FV598" s="653"/>
      <c r="FW598" s="653"/>
      <c r="FX598" s="654"/>
      <c r="FY598" s="654"/>
      <c r="FZ598" s="654"/>
      <c r="GA598" s="654"/>
      <c r="GB598" s="654"/>
      <c r="GC598" s="654"/>
      <c r="GD598" s="654"/>
      <c r="GE598" s="654"/>
      <c r="GF598" s="654"/>
      <c r="GG598" s="654"/>
      <c r="GH598" s="654"/>
      <c r="GI598" s="654"/>
      <c r="GJ598" s="654"/>
      <c r="GK598" s="654"/>
      <c r="GL598" s="653"/>
      <c r="GM598" s="653"/>
      <c r="GN598" s="653"/>
      <c r="GO598" s="643"/>
      <c r="GP598" s="644"/>
      <c r="GQ598" s="643"/>
      <c r="GR598" s="644"/>
      <c r="GS598" s="643"/>
      <c r="GT598" s="644"/>
      <c r="GU598" s="644"/>
      <c r="GV598" s="644"/>
      <c r="GW598" s="644"/>
      <c r="GX598" s="644"/>
      <c r="GY598" s="644"/>
      <c r="GZ598" s="644"/>
      <c r="HA598" s="644"/>
    </row>
    <row r="599" spans="1:209">
      <c r="A599" s="638"/>
      <c r="B599" s="95"/>
      <c r="C599" s="95"/>
      <c r="D599" s="95"/>
      <c r="E599" s="650"/>
      <c r="F599" s="95"/>
      <c r="G599" s="98"/>
      <c r="H599" s="99"/>
      <c r="I599" s="95"/>
      <c r="J599" s="95"/>
      <c r="K599" s="95"/>
      <c r="L599" s="95"/>
      <c r="M599" s="95"/>
      <c r="N599" s="95"/>
      <c r="O599" s="95"/>
      <c r="P599" s="95"/>
      <c r="Q599" s="95"/>
      <c r="R599" s="98"/>
      <c r="S599" s="101"/>
      <c r="T599" s="644"/>
      <c r="U599" s="101"/>
      <c r="V599" s="647"/>
      <c r="W599" s="643"/>
      <c r="X599" s="644"/>
      <c r="Y599" s="101"/>
      <c r="Z599" s="644"/>
      <c r="AA599" s="101"/>
      <c r="AB599" s="644"/>
      <c r="AC599" s="101"/>
      <c r="AD599" s="646"/>
      <c r="AE599" s="271"/>
      <c r="AF599" s="646"/>
      <c r="AG599" s="646"/>
      <c r="AH599" s="646"/>
      <c r="AI599" s="646"/>
      <c r="AJ599" s="646"/>
      <c r="AK599" s="646"/>
      <c r="AL599" s="646"/>
      <c r="AM599" s="271"/>
      <c r="AN599" s="646"/>
      <c r="AO599" s="646"/>
      <c r="AP599" s="646"/>
      <c r="AQ599" s="271"/>
      <c r="AR599" s="646"/>
      <c r="AS599" s="270"/>
      <c r="AT599" s="646"/>
      <c r="AU599" s="646"/>
      <c r="AV599" s="646"/>
      <c r="AW599" s="270"/>
      <c r="AX599" s="646"/>
      <c r="AY599" s="270"/>
      <c r="AZ599" s="646"/>
      <c r="BA599" s="646"/>
      <c r="BB599" s="644"/>
      <c r="BC599" s="644"/>
      <c r="BD599" s="644"/>
      <c r="BE599" s="644"/>
      <c r="BF599" s="644"/>
      <c r="BG599" s="644"/>
      <c r="BH599" s="644"/>
      <c r="BI599" s="644"/>
      <c r="BJ599" s="644"/>
      <c r="BK599" s="644"/>
      <c r="BL599" s="644"/>
      <c r="BM599" s="95"/>
      <c r="BN599" s="644"/>
      <c r="BO599" s="95"/>
      <c r="BP599" s="644"/>
      <c r="BQ599" s="644"/>
      <c r="BR599" s="644"/>
      <c r="BS599" s="644"/>
      <c r="BT599" s="644"/>
      <c r="BU599" s="644"/>
      <c r="BV599" s="644"/>
      <c r="BW599" s="644"/>
      <c r="BX599" s="644"/>
      <c r="BY599" s="644"/>
      <c r="BZ599" s="644"/>
      <c r="CA599" s="644"/>
      <c r="CB599" s="644"/>
      <c r="CC599" s="644"/>
      <c r="CD599" s="644"/>
      <c r="CE599" s="644"/>
      <c r="CF599" s="644"/>
      <c r="CG599" s="644"/>
      <c r="CH599" s="644"/>
      <c r="CI599" s="644"/>
      <c r="CJ599" s="644"/>
      <c r="CK599" s="644"/>
      <c r="CL599" s="644"/>
      <c r="CM599" s="95"/>
      <c r="CN599" s="644"/>
      <c r="CO599" s="644"/>
      <c r="CP599" s="95"/>
      <c r="CQ599" s="98"/>
      <c r="CR599" s="95"/>
      <c r="CS599" s="95"/>
      <c r="CT599" s="95"/>
      <c r="CU599" s="108"/>
      <c r="CV599" s="109"/>
      <c r="CW599" s="644"/>
      <c r="CX599" s="496"/>
      <c r="CY599" s="637"/>
      <c r="CZ599" s="644"/>
      <c r="DA599" s="644"/>
      <c r="DB599" s="644"/>
      <c r="DC599" s="496"/>
      <c r="DD599" s="644"/>
      <c r="DE599" s="101"/>
      <c r="DF599" s="644"/>
      <c r="DG599" s="101"/>
      <c r="DH599" s="644"/>
      <c r="DI599" s="644"/>
      <c r="DJ599" s="644"/>
      <c r="DK599" s="644"/>
      <c r="DL599" s="644"/>
      <c r="DM599" s="101"/>
      <c r="DN599" s="644"/>
      <c r="DO599" s="644"/>
      <c r="DP599" s="644"/>
      <c r="DQ599" s="644"/>
      <c r="DR599" s="644"/>
      <c r="DS599" s="644"/>
      <c r="DT599" s="644"/>
      <c r="DU599" s="644"/>
      <c r="DV599" s="644"/>
      <c r="DW599" s="101"/>
      <c r="DX599" s="646"/>
      <c r="DY599" s="646"/>
      <c r="DZ599" s="646"/>
      <c r="EA599" s="646"/>
      <c r="EB599" s="646"/>
      <c r="EC599" s="646"/>
      <c r="ED599" s="646"/>
      <c r="EE599" s="646"/>
      <c r="EF599" s="646"/>
      <c r="EG599" s="646"/>
      <c r="EH599" s="646"/>
      <c r="EI599" s="646"/>
      <c r="EJ599" s="646"/>
      <c r="EK599" s="271"/>
      <c r="EL599" s="644"/>
      <c r="EM599" s="634"/>
      <c r="EN599" s="647"/>
      <c r="EO599" s="648"/>
      <c r="EP599" s="647"/>
      <c r="EQ599" s="647"/>
      <c r="ER599" s="647"/>
      <c r="ES599" s="139"/>
      <c r="EV599" s="647"/>
      <c r="EW599" s="647"/>
      <c r="EX599" s="647"/>
      <c r="EY599" s="647"/>
      <c r="EZ599" s="647"/>
      <c r="FA599" s="646"/>
      <c r="FB599" s="646"/>
      <c r="FC599" s="646"/>
      <c r="FD599" s="646"/>
      <c r="FE599" s="646"/>
      <c r="FF599" s="646"/>
      <c r="FG599" s="647"/>
      <c r="FH599" s="647"/>
      <c r="FI599" s="647"/>
      <c r="FJ599" s="647"/>
      <c r="FK599" s="647"/>
      <c r="FL599" s="647"/>
      <c r="FM599" s="647"/>
      <c r="FN599" s="647"/>
      <c r="FO599" s="647"/>
      <c r="FP599" s="647"/>
      <c r="FQ599" s="647"/>
      <c r="FR599" s="647"/>
      <c r="FS599" s="101"/>
      <c r="FT599" s="95"/>
      <c r="FV599" s="653"/>
      <c r="FW599" s="653"/>
      <c r="FX599" s="654"/>
      <c r="FY599" s="654"/>
      <c r="FZ599" s="654"/>
      <c r="GA599" s="654"/>
      <c r="GB599" s="654"/>
      <c r="GC599" s="654"/>
      <c r="GD599" s="654"/>
      <c r="GE599" s="654"/>
      <c r="GF599" s="654"/>
      <c r="GG599" s="654"/>
      <c r="GH599" s="654"/>
      <c r="GI599" s="654"/>
      <c r="GJ599" s="654"/>
      <c r="GK599" s="654"/>
      <c r="GL599" s="653"/>
      <c r="GM599" s="653"/>
      <c r="GN599" s="653"/>
      <c r="GO599" s="643"/>
      <c r="GP599" s="644"/>
      <c r="GQ599" s="643"/>
      <c r="GR599" s="644"/>
      <c r="GS599" s="643"/>
      <c r="GT599" s="644"/>
      <c r="GU599" s="644"/>
      <c r="GV599" s="644"/>
      <c r="GW599" s="644"/>
      <c r="GX599" s="644"/>
      <c r="GY599" s="644"/>
      <c r="GZ599" s="644"/>
      <c r="HA599" s="644"/>
    </row>
    <row r="600" spans="1:209">
      <c r="A600" s="638"/>
      <c r="B600" s="95"/>
      <c r="C600" s="95"/>
      <c r="D600" s="95"/>
      <c r="E600" s="650"/>
      <c r="F600" s="95"/>
      <c r="G600" s="98"/>
      <c r="H600" s="99"/>
      <c r="I600" s="95"/>
      <c r="J600" s="95"/>
      <c r="K600" s="95"/>
      <c r="L600" s="95"/>
      <c r="M600" s="95"/>
      <c r="N600" s="95"/>
      <c r="O600" s="95"/>
      <c r="P600" s="95"/>
      <c r="Q600" s="95"/>
      <c r="R600" s="98"/>
      <c r="S600" s="101"/>
      <c r="T600" s="644"/>
      <c r="U600" s="101"/>
      <c r="V600" s="647"/>
      <c r="W600" s="643"/>
      <c r="X600" s="644"/>
      <c r="Y600" s="101"/>
      <c r="Z600" s="644"/>
      <c r="AA600" s="101"/>
      <c r="AB600" s="644"/>
      <c r="AC600" s="101"/>
      <c r="AD600" s="646"/>
      <c r="AE600" s="271"/>
      <c r="AF600" s="646"/>
      <c r="AG600" s="646"/>
      <c r="AH600" s="646"/>
      <c r="AI600" s="646"/>
      <c r="AJ600" s="646"/>
      <c r="AK600" s="646"/>
      <c r="AL600" s="646"/>
      <c r="AM600" s="271"/>
      <c r="AN600" s="646"/>
      <c r="AO600" s="646"/>
      <c r="AP600" s="646"/>
      <c r="AQ600" s="271"/>
      <c r="AR600" s="646"/>
      <c r="AS600" s="270"/>
      <c r="AT600" s="646"/>
      <c r="AU600" s="646"/>
      <c r="AV600" s="646"/>
      <c r="AW600" s="270"/>
      <c r="AX600" s="646"/>
      <c r="AY600" s="270"/>
      <c r="AZ600" s="646"/>
      <c r="BA600" s="646"/>
      <c r="BB600" s="644"/>
      <c r="BC600" s="644"/>
      <c r="BD600" s="644"/>
      <c r="BE600" s="644"/>
      <c r="BF600" s="644"/>
      <c r="BG600" s="644"/>
      <c r="BH600" s="644"/>
      <c r="BI600" s="644"/>
      <c r="BJ600" s="644"/>
      <c r="BK600" s="644"/>
      <c r="BL600" s="644"/>
      <c r="BM600" s="95"/>
      <c r="BN600" s="644"/>
      <c r="BO600" s="95"/>
      <c r="BP600" s="644"/>
      <c r="BQ600" s="644"/>
      <c r="BR600" s="644"/>
      <c r="BS600" s="644"/>
      <c r="BT600" s="644"/>
      <c r="BU600" s="644"/>
      <c r="BV600" s="644"/>
      <c r="BW600" s="644"/>
      <c r="BX600" s="644"/>
      <c r="BY600" s="644"/>
      <c r="BZ600" s="644"/>
      <c r="CA600" s="644"/>
      <c r="CB600" s="644"/>
      <c r="CC600" s="644"/>
      <c r="CD600" s="644"/>
      <c r="CE600" s="644"/>
      <c r="CF600" s="644"/>
      <c r="CG600" s="644"/>
      <c r="CH600" s="644"/>
      <c r="CI600" s="644"/>
      <c r="CJ600" s="644"/>
      <c r="CK600" s="644"/>
      <c r="CL600" s="644"/>
      <c r="CM600" s="95"/>
      <c r="CN600" s="644"/>
      <c r="CO600" s="644"/>
      <c r="CP600" s="95"/>
      <c r="CQ600" s="98"/>
      <c r="CR600" s="95"/>
      <c r="CS600" s="95"/>
      <c r="CT600" s="95"/>
      <c r="CU600" s="108"/>
      <c r="CV600" s="109"/>
      <c r="CW600" s="644"/>
      <c r="CX600" s="496"/>
      <c r="CY600" s="637"/>
      <c r="CZ600" s="644"/>
      <c r="DA600" s="644"/>
      <c r="DB600" s="644"/>
      <c r="DC600" s="496"/>
      <c r="DD600" s="644"/>
      <c r="DE600" s="101"/>
      <c r="DF600" s="644"/>
      <c r="DG600" s="101"/>
      <c r="DH600" s="644"/>
      <c r="DI600" s="644"/>
      <c r="DJ600" s="644"/>
      <c r="DK600" s="644"/>
      <c r="DL600" s="644"/>
      <c r="DM600" s="101"/>
      <c r="DN600" s="644"/>
      <c r="DO600" s="644"/>
      <c r="DP600" s="644"/>
      <c r="DQ600" s="644"/>
      <c r="DR600" s="644"/>
      <c r="DS600" s="644"/>
      <c r="DT600" s="644"/>
      <c r="DU600" s="644"/>
      <c r="DV600" s="644"/>
      <c r="DW600" s="101"/>
      <c r="DX600" s="646"/>
      <c r="DY600" s="646"/>
      <c r="DZ600" s="646"/>
      <c r="EA600" s="646"/>
      <c r="EB600" s="646"/>
      <c r="EC600" s="646"/>
      <c r="ED600" s="646"/>
      <c r="EE600" s="646"/>
      <c r="EF600" s="646"/>
      <c r="EG600" s="646"/>
      <c r="EH600" s="646"/>
      <c r="EI600" s="646"/>
      <c r="EJ600" s="646"/>
      <c r="EK600" s="271"/>
      <c r="EL600" s="644"/>
      <c r="EM600" s="634"/>
      <c r="EN600" s="647"/>
      <c r="EO600" s="648"/>
      <c r="EP600" s="647"/>
      <c r="EQ600" s="647"/>
      <c r="ER600" s="647"/>
      <c r="ES600" s="139"/>
      <c r="EV600" s="647"/>
      <c r="EW600" s="647"/>
      <c r="EX600" s="647"/>
      <c r="EY600" s="647"/>
      <c r="EZ600" s="647"/>
      <c r="FA600" s="646"/>
      <c r="FB600" s="646"/>
      <c r="FC600" s="646"/>
      <c r="FD600" s="646"/>
      <c r="FE600" s="646"/>
      <c r="FF600" s="646"/>
      <c r="FG600" s="647"/>
      <c r="FH600" s="647"/>
      <c r="FI600" s="647"/>
      <c r="FJ600" s="647"/>
      <c r="FK600" s="647"/>
      <c r="FL600" s="647"/>
      <c r="FM600" s="647"/>
      <c r="FN600" s="647"/>
      <c r="FO600" s="647"/>
      <c r="FP600" s="647"/>
      <c r="FQ600" s="647"/>
      <c r="FR600" s="647"/>
      <c r="FS600" s="101"/>
      <c r="FT600" s="95"/>
      <c r="FV600" s="653"/>
      <c r="FW600" s="653"/>
      <c r="FX600" s="654"/>
      <c r="FY600" s="654"/>
      <c r="FZ600" s="654"/>
      <c r="GA600" s="654"/>
      <c r="GB600" s="654"/>
      <c r="GC600" s="654"/>
      <c r="GD600" s="654"/>
      <c r="GE600" s="654"/>
      <c r="GF600" s="654"/>
      <c r="GG600" s="654"/>
      <c r="GH600" s="654"/>
      <c r="GI600" s="654"/>
      <c r="GJ600" s="654"/>
      <c r="GK600" s="654"/>
      <c r="GL600" s="653"/>
      <c r="GM600" s="653"/>
      <c r="GN600" s="653"/>
      <c r="GO600" s="643"/>
      <c r="GP600" s="644"/>
      <c r="GQ600" s="643"/>
      <c r="GR600" s="644"/>
      <c r="GS600" s="643"/>
      <c r="GT600" s="644"/>
      <c r="GU600" s="644"/>
      <c r="GV600" s="644"/>
      <c r="GW600" s="644"/>
      <c r="GX600" s="644"/>
      <c r="GY600" s="644"/>
      <c r="GZ600" s="644"/>
      <c r="HA600" s="644"/>
    </row>
    <row r="601" spans="1:209">
      <c r="A601" s="638"/>
      <c r="B601" s="95"/>
      <c r="C601" s="95"/>
      <c r="D601" s="95"/>
      <c r="E601" s="650"/>
      <c r="F601" s="95"/>
      <c r="G601" s="98"/>
      <c r="H601" s="99"/>
      <c r="I601" s="95"/>
      <c r="J601" s="95"/>
      <c r="K601" s="95"/>
      <c r="L601" s="95"/>
      <c r="M601" s="95"/>
      <c r="N601" s="95"/>
      <c r="O601" s="95"/>
      <c r="P601" s="95"/>
      <c r="Q601" s="95"/>
      <c r="R601" s="98"/>
      <c r="S601" s="101"/>
      <c r="T601" s="644"/>
      <c r="U601" s="101"/>
      <c r="V601" s="647"/>
      <c r="W601" s="643"/>
      <c r="X601" s="644"/>
      <c r="Y601" s="101"/>
      <c r="Z601" s="644"/>
      <c r="AA601" s="101"/>
      <c r="AB601" s="644"/>
      <c r="AC601" s="101"/>
      <c r="AD601" s="646"/>
      <c r="AE601" s="271"/>
      <c r="AF601" s="646"/>
      <c r="AG601" s="646"/>
      <c r="AH601" s="646"/>
      <c r="AI601" s="646"/>
      <c r="AJ601" s="646"/>
      <c r="AK601" s="646"/>
      <c r="AL601" s="646"/>
      <c r="AM601" s="271"/>
      <c r="AN601" s="646"/>
      <c r="AO601" s="646"/>
      <c r="AP601" s="646"/>
      <c r="AQ601" s="271"/>
      <c r="AR601" s="646"/>
      <c r="AS601" s="270"/>
      <c r="AT601" s="646"/>
      <c r="AU601" s="646"/>
      <c r="AV601" s="646"/>
      <c r="AW601" s="270"/>
      <c r="AX601" s="646"/>
      <c r="AY601" s="270"/>
      <c r="AZ601" s="646"/>
      <c r="BA601" s="646"/>
      <c r="BB601" s="644"/>
      <c r="BC601" s="644"/>
      <c r="BD601" s="644"/>
      <c r="BE601" s="644"/>
      <c r="BF601" s="644"/>
      <c r="BG601" s="644"/>
      <c r="BH601" s="644"/>
      <c r="BI601" s="644"/>
      <c r="BJ601" s="644"/>
      <c r="BK601" s="644"/>
      <c r="BL601" s="644"/>
      <c r="BM601" s="95"/>
      <c r="BN601" s="644"/>
      <c r="BO601" s="95"/>
      <c r="BP601" s="644"/>
      <c r="BQ601" s="644"/>
      <c r="BR601" s="644"/>
      <c r="BS601" s="644"/>
      <c r="BT601" s="644"/>
      <c r="BU601" s="644"/>
      <c r="BV601" s="644"/>
      <c r="BW601" s="644"/>
      <c r="BX601" s="644"/>
      <c r="BY601" s="644"/>
      <c r="BZ601" s="644"/>
      <c r="CA601" s="644"/>
      <c r="CB601" s="644"/>
      <c r="CC601" s="644"/>
      <c r="CD601" s="644"/>
      <c r="CE601" s="644"/>
      <c r="CF601" s="644"/>
      <c r="CG601" s="644"/>
      <c r="CH601" s="644"/>
      <c r="CI601" s="644"/>
      <c r="CJ601" s="644"/>
      <c r="CK601" s="644"/>
      <c r="CL601" s="644"/>
      <c r="CM601" s="95"/>
      <c r="CN601" s="644"/>
      <c r="CO601" s="644"/>
      <c r="CP601" s="95"/>
      <c r="CQ601" s="98"/>
      <c r="CR601" s="95"/>
      <c r="CS601" s="95"/>
      <c r="CT601" s="95"/>
      <c r="CU601" s="108"/>
      <c r="CV601" s="109"/>
      <c r="CW601" s="644"/>
      <c r="CX601" s="496"/>
      <c r="CY601" s="637"/>
      <c r="CZ601" s="644"/>
      <c r="DA601" s="644"/>
      <c r="DB601" s="644"/>
      <c r="DC601" s="496"/>
      <c r="DD601" s="644"/>
      <c r="DE601" s="101"/>
      <c r="DF601" s="644"/>
      <c r="DG601" s="101"/>
      <c r="DH601" s="644"/>
      <c r="DI601" s="644"/>
      <c r="DJ601" s="644"/>
      <c r="DK601" s="644"/>
      <c r="DL601" s="644"/>
      <c r="DM601" s="101"/>
      <c r="DN601" s="644"/>
      <c r="DO601" s="644"/>
      <c r="DP601" s="644"/>
      <c r="DQ601" s="644"/>
      <c r="DR601" s="644"/>
      <c r="DS601" s="644"/>
      <c r="DT601" s="644"/>
      <c r="DU601" s="644"/>
      <c r="DV601" s="644"/>
      <c r="DW601" s="101"/>
      <c r="DX601" s="646"/>
      <c r="DY601" s="646"/>
      <c r="DZ601" s="646"/>
      <c r="EA601" s="646"/>
      <c r="EB601" s="646"/>
      <c r="EC601" s="646"/>
      <c r="ED601" s="646"/>
      <c r="EE601" s="646"/>
      <c r="EF601" s="646"/>
      <c r="EG601" s="646"/>
      <c r="EH601" s="646"/>
      <c r="EI601" s="646"/>
      <c r="EJ601" s="646"/>
      <c r="EK601" s="271"/>
      <c r="EL601" s="644"/>
      <c r="EM601" s="634"/>
      <c r="EN601" s="647"/>
      <c r="EO601" s="648"/>
      <c r="EP601" s="647"/>
      <c r="EQ601" s="647"/>
      <c r="ER601" s="647"/>
      <c r="ES601" s="139"/>
      <c r="EV601" s="647"/>
      <c r="EW601" s="647"/>
      <c r="EX601" s="647"/>
      <c r="EY601" s="647"/>
      <c r="EZ601" s="647"/>
      <c r="FA601" s="646"/>
      <c r="FB601" s="646"/>
      <c r="FC601" s="646"/>
      <c r="FD601" s="646"/>
      <c r="FE601" s="646"/>
      <c r="FF601" s="646"/>
      <c r="FG601" s="647"/>
      <c r="FH601" s="647"/>
      <c r="FI601" s="647"/>
      <c r="FJ601" s="647"/>
      <c r="FK601" s="647"/>
      <c r="FL601" s="647"/>
      <c r="FM601" s="647"/>
      <c r="FN601" s="647"/>
      <c r="FO601" s="647"/>
      <c r="FP601" s="647"/>
      <c r="FQ601" s="647"/>
      <c r="FR601" s="647"/>
      <c r="FS601" s="101"/>
      <c r="FT601" s="95"/>
      <c r="FV601" s="653"/>
      <c r="FW601" s="653"/>
      <c r="FX601" s="654"/>
      <c r="FY601" s="654"/>
      <c r="FZ601" s="654"/>
      <c r="GA601" s="654"/>
      <c r="GB601" s="654"/>
      <c r="GC601" s="654"/>
      <c r="GD601" s="654"/>
      <c r="GE601" s="654"/>
      <c r="GF601" s="654"/>
      <c r="GG601" s="654"/>
      <c r="GH601" s="654"/>
      <c r="GI601" s="654"/>
      <c r="GJ601" s="654"/>
      <c r="GK601" s="654"/>
      <c r="GL601" s="653"/>
      <c r="GM601" s="653"/>
      <c r="GN601" s="653"/>
      <c r="GO601" s="643"/>
      <c r="GP601" s="644"/>
      <c r="GQ601" s="643"/>
      <c r="GR601" s="644"/>
      <c r="GS601" s="643"/>
      <c r="GT601" s="644"/>
      <c r="GU601" s="644"/>
      <c r="GV601" s="644"/>
      <c r="GW601" s="644"/>
      <c r="GX601" s="644"/>
      <c r="GY601" s="644"/>
      <c r="GZ601" s="644"/>
      <c r="HA601" s="644"/>
    </row>
    <row r="602" spans="1:209">
      <c r="A602" s="638"/>
      <c r="B602" s="95"/>
      <c r="C602" s="95"/>
      <c r="D602" s="95"/>
      <c r="E602" s="650"/>
      <c r="F602" s="95"/>
      <c r="G602" s="98"/>
      <c r="H602" s="99"/>
      <c r="I602" s="95"/>
      <c r="J602" s="95"/>
      <c r="K602" s="95"/>
      <c r="L602" s="95"/>
      <c r="M602" s="95"/>
      <c r="N602" s="95"/>
      <c r="O602" s="95"/>
      <c r="P602" s="95"/>
      <c r="Q602" s="95"/>
      <c r="R602" s="98"/>
      <c r="S602" s="101"/>
      <c r="T602" s="644"/>
      <c r="U602" s="101"/>
      <c r="V602" s="647"/>
      <c r="W602" s="643"/>
      <c r="X602" s="644"/>
      <c r="Y602" s="101"/>
      <c r="Z602" s="644"/>
      <c r="AA602" s="101"/>
      <c r="AB602" s="644"/>
      <c r="AC602" s="101"/>
      <c r="AD602" s="646"/>
      <c r="AE602" s="271"/>
      <c r="AF602" s="646"/>
      <c r="AG602" s="646"/>
      <c r="AH602" s="646"/>
      <c r="AI602" s="646"/>
      <c r="AJ602" s="646"/>
      <c r="AK602" s="646"/>
      <c r="AL602" s="646"/>
      <c r="AM602" s="271"/>
      <c r="AN602" s="646"/>
      <c r="AO602" s="646"/>
      <c r="AP602" s="646"/>
      <c r="AQ602" s="271"/>
      <c r="AR602" s="646"/>
      <c r="AS602" s="270"/>
      <c r="AT602" s="646"/>
      <c r="AU602" s="646"/>
      <c r="AV602" s="646"/>
      <c r="AW602" s="270"/>
      <c r="AX602" s="646"/>
      <c r="AY602" s="270"/>
      <c r="AZ602" s="646"/>
      <c r="BA602" s="646"/>
      <c r="BB602" s="644"/>
      <c r="BC602" s="644"/>
      <c r="BD602" s="644"/>
      <c r="BE602" s="644"/>
      <c r="BF602" s="644"/>
      <c r="BG602" s="644"/>
      <c r="BH602" s="644"/>
      <c r="BI602" s="644"/>
      <c r="BJ602" s="644"/>
      <c r="BK602" s="644"/>
      <c r="BL602" s="644"/>
      <c r="BM602" s="95"/>
      <c r="BN602" s="644"/>
      <c r="BO602" s="95"/>
      <c r="BP602" s="644"/>
      <c r="BQ602" s="644"/>
      <c r="BR602" s="644"/>
      <c r="BS602" s="644"/>
      <c r="BT602" s="644"/>
      <c r="BU602" s="644"/>
      <c r="BV602" s="644"/>
      <c r="BW602" s="644"/>
      <c r="BX602" s="644"/>
      <c r="BY602" s="644"/>
      <c r="BZ602" s="644"/>
      <c r="CA602" s="644"/>
      <c r="CB602" s="644"/>
      <c r="CC602" s="644"/>
      <c r="CD602" s="644"/>
      <c r="CE602" s="644"/>
      <c r="CF602" s="644"/>
      <c r="CG602" s="644"/>
      <c r="CH602" s="644"/>
      <c r="CI602" s="644"/>
      <c r="CJ602" s="644"/>
      <c r="CK602" s="644"/>
      <c r="CL602" s="644"/>
      <c r="CM602" s="95"/>
      <c r="CN602" s="644"/>
      <c r="CO602" s="644"/>
      <c r="CP602" s="95"/>
      <c r="CQ602" s="98"/>
      <c r="CR602" s="95"/>
      <c r="CS602" s="95"/>
      <c r="CT602" s="95"/>
      <c r="CU602" s="108"/>
      <c r="CV602" s="109"/>
      <c r="CW602" s="644"/>
      <c r="CX602" s="496"/>
      <c r="CY602" s="637"/>
      <c r="CZ602" s="644"/>
      <c r="DA602" s="644"/>
      <c r="DB602" s="644"/>
      <c r="DC602" s="496"/>
      <c r="DD602" s="644"/>
      <c r="DE602" s="101"/>
      <c r="DF602" s="644"/>
      <c r="DG602" s="101"/>
      <c r="DH602" s="644"/>
      <c r="DI602" s="644"/>
      <c r="DJ602" s="644"/>
      <c r="DK602" s="644"/>
      <c r="DL602" s="644"/>
      <c r="DM602" s="101"/>
      <c r="DN602" s="644"/>
      <c r="DO602" s="644"/>
      <c r="DP602" s="644"/>
      <c r="DQ602" s="644"/>
      <c r="DR602" s="644"/>
      <c r="DS602" s="644"/>
      <c r="DT602" s="644"/>
      <c r="DU602" s="644"/>
      <c r="DV602" s="644"/>
      <c r="DW602" s="101"/>
      <c r="DX602" s="646"/>
      <c r="DY602" s="646"/>
      <c r="DZ602" s="646"/>
      <c r="EA602" s="646"/>
      <c r="EB602" s="646"/>
      <c r="EC602" s="646"/>
      <c r="ED602" s="646"/>
      <c r="EE602" s="646"/>
      <c r="EF602" s="646"/>
      <c r="EG602" s="646"/>
      <c r="EH602" s="646"/>
      <c r="EI602" s="646"/>
      <c r="EJ602" s="646"/>
      <c r="EK602" s="271"/>
      <c r="EL602" s="644"/>
      <c r="EM602" s="634"/>
      <c r="EN602" s="647"/>
      <c r="EO602" s="648"/>
      <c r="EP602" s="647"/>
      <c r="EQ602" s="647"/>
      <c r="ER602" s="647"/>
      <c r="ES602" s="139"/>
      <c r="EV602" s="647"/>
      <c r="EW602" s="647"/>
      <c r="EX602" s="647"/>
      <c r="EY602" s="647"/>
      <c r="EZ602" s="647"/>
      <c r="FA602" s="646"/>
      <c r="FB602" s="646"/>
      <c r="FC602" s="646"/>
      <c r="FD602" s="646"/>
      <c r="FE602" s="646"/>
      <c r="FF602" s="646"/>
      <c r="FG602" s="647"/>
      <c r="FH602" s="647"/>
      <c r="FI602" s="647"/>
      <c r="FJ602" s="647"/>
      <c r="FK602" s="647"/>
      <c r="FL602" s="647"/>
      <c r="FM602" s="647"/>
      <c r="FN602" s="647"/>
      <c r="FO602" s="647"/>
      <c r="FP602" s="647"/>
      <c r="FQ602" s="647"/>
      <c r="FR602" s="647"/>
      <c r="FS602" s="101"/>
      <c r="FT602" s="95"/>
      <c r="FV602" s="653"/>
      <c r="FW602" s="653"/>
      <c r="FX602" s="654"/>
      <c r="FY602" s="654"/>
      <c r="FZ602" s="654"/>
      <c r="GA602" s="654"/>
      <c r="GB602" s="654"/>
      <c r="GC602" s="654"/>
      <c r="GD602" s="654"/>
      <c r="GE602" s="654"/>
      <c r="GF602" s="654"/>
      <c r="GG602" s="654"/>
      <c r="GH602" s="654"/>
      <c r="GI602" s="654"/>
      <c r="GJ602" s="654"/>
      <c r="GK602" s="654"/>
      <c r="GL602" s="653"/>
      <c r="GM602" s="653"/>
      <c r="GN602" s="653"/>
      <c r="GO602" s="643"/>
      <c r="GP602" s="644"/>
      <c r="GQ602" s="643"/>
      <c r="GR602" s="644"/>
      <c r="GS602" s="643"/>
      <c r="GT602" s="644"/>
      <c r="GU602" s="644"/>
      <c r="GV602" s="644"/>
      <c r="GW602" s="644"/>
      <c r="GX602" s="644"/>
      <c r="GY602" s="644"/>
      <c r="GZ602" s="644"/>
      <c r="HA602" s="644"/>
    </row>
    <row r="603" spans="1:209">
      <c r="A603" s="638"/>
      <c r="B603" s="95"/>
      <c r="C603" s="95"/>
      <c r="D603" s="95"/>
      <c r="E603" s="650"/>
      <c r="F603" s="95"/>
      <c r="G603" s="98"/>
      <c r="H603" s="99"/>
      <c r="I603" s="95"/>
      <c r="J603" s="95"/>
      <c r="K603" s="95"/>
      <c r="L603" s="95"/>
      <c r="M603" s="95"/>
      <c r="N603" s="95"/>
      <c r="O603" s="95"/>
      <c r="P603" s="95"/>
      <c r="Q603" s="95"/>
      <c r="R603" s="98"/>
      <c r="S603" s="101"/>
      <c r="T603" s="644"/>
      <c r="U603" s="101"/>
      <c r="V603" s="647"/>
      <c r="W603" s="643"/>
      <c r="X603" s="644"/>
      <c r="Y603" s="101"/>
      <c r="Z603" s="644"/>
      <c r="AA603" s="101"/>
      <c r="AB603" s="644"/>
      <c r="AC603" s="101"/>
      <c r="AD603" s="646"/>
      <c r="AE603" s="271"/>
      <c r="AF603" s="646"/>
      <c r="AG603" s="646"/>
      <c r="AH603" s="646"/>
      <c r="AI603" s="646"/>
      <c r="AJ603" s="646"/>
      <c r="AK603" s="646"/>
      <c r="AL603" s="646"/>
      <c r="AM603" s="271"/>
      <c r="AN603" s="646"/>
      <c r="AO603" s="646"/>
      <c r="AP603" s="646"/>
      <c r="AQ603" s="271"/>
      <c r="AR603" s="646"/>
      <c r="AS603" s="270"/>
      <c r="AT603" s="646"/>
      <c r="AU603" s="646"/>
      <c r="AV603" s="646"/>
      <c r="AW603" s="270"/>
      <c r="AX603" s="646"/>
      <c r="AY603" s="270"/>
      <c r="AZ603" s="646"/>
      <c r="BA603" s="646"/>
      <c r="BB603" s="644"/>
      <c r="BC603" s="644"/>
      <c r="BD603" s="644"/>
      <c r="BE603" s="644"/>
      <c r="BF603" s="644"/>
      <c r="BG603" s="644"/>
      <c r="BH603" s="644"/>
      <c r="BI603" s="644"/>
      <c r="BJ603" s="644"/>
      <c r="BK603" s="644"/>
      <c r="BL603" s="644"/>
      <c r="BM603" s="95"/>
      <c r="BN603" s="644"/>
      <c r="BO603" s="95"/>
      <c r="BP603" s="644"/>
      <c r="BQ603" s="644"/>
      <c r="BR603" s="644"/>
      <c r="BS603" s="644"/>
      <c r="BT603" s="644"/>
      <c r="BU603" s="644"/>
      <c r="BV603" s="644"/>
      <c r="BW603" s="644"/>
      <c r="BX603" s="644"/>
      <c r="BY603" s="644"/>
      <c r="BZ603" s="644"/>
      <c r="CA603" s="644"/>
      <c r="CB603" s="644"/>
      <c r="CC603" s="644"/>
      <c r="CD603" s="644"/>
      <c r="CE603" s="644"/>
      <c r="CF603" s="644"/>
      <c r="CG603" s="644"/>
      <c r="CH603" s="644"/>
      <c r="CI603" s="644"/>
      <c r="CJ603" s="644"/>
      <c r="CK603" s="644"/>
      <c r="CL603" s="644"/>
      <c r="CM603" s="95"/>
      <c r="CN603" s="644"/>
      <c r="CO603" s="644"/>
      <c r="CP603" s="95"/>
      <c r="CQ603" s="98"/>
      <c r="CR603" s="95"/>
      <c r="CS603" s="95"/>
      <c r="CT603" s="95"/>
      <c r="CU603" s="108"/>
      <c r="CV603" s="109"/>
      <c r="CW603" s="644"/>
      <c r="CX603" s="496"/>
      <c r="CY603" s="637"/>
      <c r="CZ603" s="644"/>
      <c r="DA603" s="644"/>
      <c r="DB603" s="644"/>
      <c r="DC603" s="496"/>
      <c r="DD603" s="644"/>
      <c r="DE603" s="101"/>
      <c r="DF603" s="644"/>
      <c r="DG603" s="101"/>
      <c r="DH603" s="644"/>
      <c r="DI603" s="644"/>
      <c r="DJ603" s="644"/>
      <c r="DK603" s="644"/>
      <c r="DL603" s="644"/>
      <c r="DM603" s="101"/>
      <c r="DN603" s="644"/>
      <c r="DO603" s="644"/>
      <c r="DP603" s="644"/>
      <c r="DQ603" s="644"/>
      <c r="DR603" s="644"/>
      <c r="DS603" s="644"/>
      <c r="DT603" s="644"/>
      <c r="DU603" s="644"/>
      <c r="DV603" s="644"/>
      <c r="DW603" s="101"/>
      <c r="DX603" s="646"/>
      <c r="DY603" s="646"/>
      <c r="DZ603" s="646"/>
      <c r="EA603" s="646"/>
      <c r="EB603" s="646"/>
      <c r="EC603" s="646"/>
      <c r="ED603" s="646"/>
      <c r="EE603" s="646"/>
      <c r="EF603" s="646"/>
      <c r="EG603" s="646"/>
      <c r="EH603" s="646"/>
      <c r="EI603" s="646"/>
      <c r="EJ603" s="646"/>
      <c r="EK603" s="271"/>
      <c r="EL603" s="644"/>
      <c r="EM603" s="634"/>
      <c r="EN603" s="647"/>
      <c r="EO603" s="648"/>
      <c r="EP603" s="647"/>
      <c r="EQ603" s="647"/>
      <c r="ER603" s="647"/>
      <c r="ES603" s="139"/>
      <c r="EV603" s="647"/>
      <c r="EW603" s="647"/>
      <c r="EX603" s="647"/>
      <c r="EY603" s="647"/>
      <c r="EZ603" s="647"/>
      <c r="FA603" s="646"/>
      <c r="FB603" s="646"/>
      <c r="FC603" s="646"/>
      <c r="FD603" s="646"/>
      <c r="FE603" s="646"/>
      <c r="FF603" s="646"/>
      <c r="FG603" s="647"/>
      <c r="FH603" s="647"/>
      <c r="FI603" s="647"/>
      <c r="FJ603" s="647"/>
      <c r="FK603" s="647"/>
      <c r="FL603" s="647"/>
      <c r="FM603" s="647"/>
      <c r="FN603" s="647"/>
      <c r="FO603" s="647"/>
      <c r="FP603" s="647"/>
      <c r="FQ603" s="647"/>
      <c r="FR603" s="647"/>
      <c r="FS603" s="101"/>
      <c r="FT603" s="95"/>
      <c r="FV603" s="653"/>
      <c r="FW603" s="653"/>
      <c r="FX603" s="654"/>
      <c r="FY603" s="654"/>
      <c r="FZ603" s="654"/>
      <c r="GA603" s="654"/>
      <c r="GB603" s="654"/>
      <c r="GC603" s="654"/>
      <c r="GD603" s="654"/>
      <c r="GE603" s="654"/>
      <c r="GF603" s="654"/>
      <c r="GG603" s="654"/>
      <c r="GH603" s="654"/>
      <c r="GI603" s="654"/>
      <c r="GJ603" s="654"/>
      <c r="GK603" s="654"/>
      <c r="GL603" s="653"/>
      <c r="GM603" s="653"/>
      <c r="GN603" s="653"/>
      <c r="GO603" s="643"/>
      <c r="GP603" s="644"/>
      <c r="GQ603" s="643"/>
      <c r="GR603" s="644"/>
      <c r="GS603" s="643"/>
      <c r="GT603" s="644"/>
      <c r="GU603" s="644"/>
      <c r="GV603" s="644"/>
      <c r="GW603" s="644"/>
      <c r="GX603" s="644"/>
      <c r="GY603" s="644"/>
      <c r="GZ603" s="644"/>
      <c r="HA603" s="644"/>
    </row>
    <row r="604" spans="1:209">
      <c r="A604" s="638"/>
      <c r="B604" s="95"/>
      <c r="C604" s="95"/>
      <c r="D604" s="95"/>
      <c r="E604" s="650"/>
      <c r="F604" s="95"/>
      <c r="G604" s="98"/>
      <c r="H604" s="99"/>
      <c r="I604" s="95"/>
      <c r="J604" s="95"/>
      <c r="K604" s="95"/>
      <c r="L604" s="95"/>
      <c r="M604" s="95"/>
      <c r="N604" s="95"/>
      <c r="O604" s="95"/>
      <c r="P604" s="95"/>
      <c r="Q604" s="95"/>
      <c r="R604" s="98"/>
      <c r="S604" s="101"/>
      <c r="T604" s="644"/>
      <c r="U604" s="101"/>
      <c r="V604" s="647"/>
      <c r="W604" s="643"/>
      <c r="X604" s="644"/>
      <c r="Y604" s="101"/>
      <c r="Z604" s="644"/>
      <c r="AA604" s="101"/>
      <c r="AB604" s="644"/>
      <c r="AC604" s="101"/>
      <c r="AD604" s="646"/>
      <c r="AE604" s="271"/>
      <c r="AF604" s="646"/>
      <c r="AG604" s="646"/>
      <c r="AH604" s="646"/>
      <c r="AI604" s="646"/>
      <c r="AJ604" s="646"/>
      <c r="AK604" s="646"/>
      <c r="AL604" s="646"/>
      <c r="AM604" s="271"/>
      <c r="AN604" s="646"/>
      <c r="AO604" s="646"/>
      <c r="AP604" s="646"/>
      <c r="AQ604" s="271"/>
      <c r="AR604" s="646"/>
      <c r="AS604" s="270"/>
      <c r="AT604" s="646"/>
      <c r="AU604" s="646"/>
      <c r="AV604" s="646"/>
      <c r="AW604" s="270"/>
      <c r="AX604" s="646"/>
      <c r="AY604" s="270"/>
      <c r="AZ604" s="646"/>
      <c r="BA604" s="646"/>
      <c r="BB604" s="644"/>
      <c r="BC604" s="644"/>
      <c r="BD604" s="644"/>
      <c r="BE604" s="644"/>
      <c r="BF604" s="644"/>
      <c r="BG604" s="644"/>
      <c r="BH604" s="644"/>
      <c r="BI604" s="644"/>
      <c r="BJ604" s="644"/>
      <c r="BK604" s="644"/>
      <c r="BL604" s="644"/>
      <c r="BM604" s="95"/>
      <c r="BN604" s="644"/>
      <c r="BO604" s="95"/>
      <c r="BP604" s="644"/>
      <c r="BQ604" s="644"/>
      <c r="BR604" s="644"/>
      <c r="BS604" s="644"/>
      <c r="BT604" s="644"/>
      <c r="BU604" s="644"/>
      <c r="BV604" s="644"/>
      <c r="BW604" s="644"/>
      <c r="BX604" s="644"/>
      <c r="BY604" s="644"/>
      <c r="BZ604" s="644"/>
      <c r="CA604" s="644"/>
      <c r="CB604" s="644"/>
      <c r="CC604" s="644"/>
      <c r="CD604" s="644"/>
      <c r="CE604" s="644"/>
      <c r="CF604" s="644"/>
      <c r="CG604" s="644"/>
      <c r="CH604" s="644"/>
      <c r="CI604" s="644"/>
      <c r="CJ604" s="644"/>
      <c r="CK604" s="644"/>
      <c r="CL604" s="644"/>
      <c r="CM604" s="95"/>
      <c r="CN604" s="644"/>
      <c r="CO604" s="644"/>
      <c r="CP604" s="95"/>
      <c r="CQ604" s="98"/>
      <c r="CR604" s="95"/>
      <c r="CS604" s="95"/>
      <c r="CT604" s="95"/>
      <c r="CU604" s="108"/>
      <c r="CV604" s="109"/>
      <c r="CW604" s="644"/>
      <c r="CX604" s="496"/>
      <c r="CY604" s="637"/>
      <c r="CZ604" s="644"/>
      <c r="DA604" s="644"/>
      <c r="DB604" s="644"/>
      <c r="DC604" s="496"/>
      <c r="DD604" s="644"/>
      <c r="DE604" s="101"/>
      <c r="DF604" s="644"/>
      <c r="DG604" s="101"/>
      <c r="DH604" s="644"/>
      <c r="DI604" s="644"/>
      <c r="DJ604" s="644"/>
      <c r="DK604" s="644"/>
      <c r="DL604" s="644"/>
      <c r="DM604" s="101"/>
      <c r="DN604" s="644"/>
      <c r="DO604" s="644"/>
      <c r="DP604" s="644"/>
      <c r="DQ604" s="644"/>
      <c r="DR604" s="644"/>
      <c r="DS604" s="644"/>
      <c r="DT604" s="644"/>
      <c r="DU604" s="644"/>
      <c r="DV604" s="644"/>
      <c r="DW604" s="101"/>
      <c r="DX604" s="646"/>
      <c r="DY604" s="646"/>
      <c r="DZ604" s="646"/>
      <c r="EA604" s="646"/>
      <c r="EB604" s="646"/>
      <c r="EC604" s="646"/>
      <c r="ED604" s="646"/>
      <c r="EE604" s="646"/>
      <c r="EF604" s="646"/>
      <c r="EG604" s="646"/>
      <c r="EH604" s="646"/>
      <c r="EI604" s="646"/>
      <c r="EJ604" s="646"/>
      <c r="EK604" s="271"/>
      <c r="EL604" s="644"/>
      <c r="EM604" s="634"/>
      <c r="EN604" s="647"/>
      <c r="EO604" s="648"/>
      <c r="EP604" s="647"/>
      <c r="EQ604" s="647"/>
      <c r="ER604" s="647"/>
      <c r="ES604" s="139"/>
      <c r="EV604" s="647"/>
      <c r="EW604" s="647"/>
      <c r="EX604" s="647"/>
      <c r="EY604" s="647"/>
      <c r="EZ604" s="647"/>
      <c r="FA604" s="646"/>
      <c r="FB604" s="646"/>
      <c r="FC604" s="646"/>
      <c r="FD604" s="646"/>
      <c r="FE604" s="646"/>
      <c r="FF604" s="646"/>
      <c r="FG604" s="647"/>
      <c r="FH604" s="647"/>
      <c r="FI604" s="647"/>
      <c r="FJ604" s="647"/>
      <c r="FK604" s="647"/>
      <c r="FL604" s="647"/>
      <c r="FM604" s="647"/>
      <c r="FN604" s="647"/>
      <c r="FO604" s="647"/>
      <c r="FP604" s="647"/>
      <c r="FQ604" s="647"/>
      <c r="FR604" s="647"/>
      <c r="FS604" s="101"/>
      <c r="FT604" s="95"/>
      <c r="FV604" s="653"/>
      <c r="FW604" s="653"/>
      <c r="FX604" s="654"/>
      <c r="FY604" s="654"/>
      <c r="FZ604" s="654"/>
      <c r="GA604" s="654"/>
      <c r="GB604" s="654"/>
      <c r="GC604" s="654"/>
      <c r="GD604" s="654"/>
      <c r="GE604" s="654"/>
      <c r="GF604" s="654"/>
      <c r="GG604" s="654"/>
      <c r="GH604" s="654"/>
      <c r="GI604" s="654"/>
      <c r="GJ604" s="654"/>
      <c r="GK604" s="654"/>
      <c r="GL604" s="653"/>
      <c r="GM604" s="653"/>
      <c r="GN604" s="653"/>
      <c r="GO604" s="643"/>
      <c r="GP604" s="644"/>
      <c r="GQ604" s="643"/>
      <c r="GR604" s="644"/>
      <c r="GS604" s="643"/>
      <c r="GT604" s="644"/>
      <c r="GU604" s="644"/>
      <c r="GV604" s="644"/>
      <c r="GW604" s="644"/>
      <c r="GX604" s="644"/>
      <c r="GY604" s="644"/>
      <c r="GZ604" s="644"/>
      <c r="HA604" s="644"/>
    </row>
    <row r="605" spans="1:209">
      <c r="A605" s="638"/>
      <c r="B605" s="95"/>
      <c r="C605" s="95"/>
      <c r="D605" s="95"/>
      <c r="E605" s="650"/>
      <c r="F605" s="95"/>
      <c r="G605" s="98"/>
      <c r="H605" s="99"/>
      <c r="I605" s="95"/>
      <c r="J605" s="95"/>
      <c r="K605" s="95"/>
      <c r="L605" s="95"/>
      <c r="M605" s="95"/>
      <c r="N605" s="95"/>
      <c r="O605" s="95"/>
      <c r="P605" s="95"/>
      <c r="Q605" s="95"/>
      <c r="R605" s="98"/>
      <c r="S605" s="101"/>
      <c r="T605" s="644"/>
      <c r="U605" s="101"/>
      <c r="V605" s="647"/>
      <c r="W605" s="643"/>
      <c r="X605" s="644"/>
      <c r="Y605" s="101"/>
      <c r="Z605" s="644"/>
      <c r="AA605" s="101"/>
      <c r="AB605" s="644"/>
      <c r="AC605" s="101"/>
      <c r="AD605" s="646"/>
      <c r="AE605" s="271"/>
      <c r="AF605" s="646"/>
      <c r="AG605" s="646"/>
      <c r="AH605" s="646"/>
      <c r="AI605" s="646"/>
      <c r="AJ605" s="646"/>
      <c r="AK605" s="646"/>
      <c r="AL605" s="646"/>
      <c r="AM605" s="271"/>
      <c r="AN605" s="646"/>
      <c r="AO605" s="646"/>
      <c r="AP605" s="646"/>
      <c r="AQ605" s="271"/>
      <c r="AR605" s="646"/>
      <c r="AS605" s="270"/>
      <c r="AT605" s="646"/>
      <c r="AU605" s="646"/>
      <c r="AV605" s="646"/>
      <c r="AW605" s="270"/>
      <c r="AX605" s="646"/>
      <c r="AY605" s="270"/>
      <c r="AZ605" s="646"/>
      <c r="BA605" s="646"/>
      <c r="BB605" s="644"/>
      <c r="BC605" s="644"/>
      <c r="BD605" s="644"/>
      <c r="BE605" s="644"/>
      <c r="BF605" s="644"/>
      <c r="BG605" s="644"/>
      <c r="BH605" s="644"/>
      <c r="BI605" s="644"/>
      <c r="BJ605" s="644"/>
      <c r="BK605" s="644"/>
      <c r="BL605" s="644"/>
      <c r="BM605" s="95"/>
      <c r="BN605" s="644"/>
      <c r="BO605" s="95"/>
      <c r="BP605" s="644"/>
      <c r="BQ605" s="644"/>
      <c r="BR605" s="644"/>
      <c r="BS605" s="644"/>
      <c r="BT605" s="644"/>
      <c r="BU605" s="644"/>
      <c r="BV605" s="644"/>
      <c r="BW605" s="644"/>
      <c r="BX605" s="644"/>
      <c r="BY605" s="644"/>
      <c r="BZ605" s="644"/>
      <c r="CA605" s="644"/>
      <c r="CB605" s="644"/>
      <c r="CC605" s="644"/>
      <c r="CD605" s="644"/>
      <c r="CE605" s="644"/>
      <c r="CF605" s="644"/>
      <c r="CG605" s="644"/>
      <c r="CH605" s="644"/>
      <c r="CI605" s="644"/>
      <c r="CJ605" s="644"/>
      <c r="CK605" s="644"/>
      <c r="CL605" s="644"/>
      <c r="CM605" s="95"/>
      <c r="CN605" s="644"/>
      <c r="CO605" s="644"/>
      <c r="CP605" s="95"/>
      <c r="CQ605" s="98"/>
      <c r="CR605" s="95"/>
      <c r="CS605" s="95"/>
      <c r="CT605" s="95"/>
      <c r="CU605" s="108"/>
      <c r="CV605" s="109"/>
      <c r="CW605" s="644"/>
      <c r="CX605" s="496"/>
      <c r="CY605" s="637"/>
      <c r="CZ605" s="644"/>
      <c r="DA605" s="644"/>
      <c r="DB605" s="644"/>
      <c r="DC605" s="496"/>
      <c r="DD605" s="644"/>
      <c r="DE605" s="101"/>
      <c r="DF605" s="644"/>
      <c r="DG605" s="101"/>
      <c r="DH605" s="644"/>
      <c r="DI605" s="644"/>
      <c r="DJ605" s="644"/>
      <c r="DK605" s="644"/>
      <c r="DL605" s="644"/>
      <c r="DM605" s="101"/>
      <c r="DN605" s="644"/>
      <c r="DO605" s="644"/>
      <c r="DP605" s="644"/>
      <c r="DQ605" s="644"/>
      <c r="DR605" s="644"/>
      <c r="DS605" s="644"/>
      <c r="DT605" s="644"/>
      <c r="DU605" s="644"/>
      <c r="DV605" s="644"/>
      <c r="DW605" s="101"/>
      <c r="DX605" s="646"/>
      <c r="DY605" s="646"/>
      <c r="DZ605" s="646"/>
      <c r="EA605" s="646"/>
      <c r="EB605" s="646"/>
      <c r="EC605" s="646"/>
      <c r="ED605" s="646"/>
      <c r="EE605" s="646"/>
      <c r="EF605" s="646"/>
      <c r="EG605" s="646"/>
      <c r="EH605" s="646"/>
      <c r="EI605" s="646"/>
      <c r="EJ605" s="646"/>
      <c r="EK605" s="271"/>
      <c r="EL605" s="644"/>
      <c r="EM605" s="634"/>
      <c r="EN605" s="647"/>
      <c r="EO605" s="648"/>
      <c r="EP605" s="647"/>
      <c r="EQ605" s="647"/>
      <c r="ER605" s="647"/>
      <c r="ES605" s="139"/>
      <c r="EV605" s="647"/>
      <c r="EW605" s="647"/>
      <c r="EX605" s="647"/>
      <c r="EY605" s="647"/>
      <c r="EZ605" s="647"/>
      <c r="FA605" s="646"/>
      <c r="FB605" s="646"/>
      <c r="FC605" s="646"/>
      <c r="FD605" s="646"/>
      <c r="FE605" s="646"/>
      <c r="FF605" s="646"/>
      <c r="FG605" s="647"/>
      <c r="FH605" s="647"/>
      <c r="FI605" s="647"/>
      <c r="FJ605" s="647"/>
      <c r="FK605" s="647"/>
      <c r="FL605" s="647"/>
      <c r="FM605" s="647"/>
      <c r="FN605" s="647"/>
      <c r="FO605" s="647"/>
      <c r="FP605" s="647"/>
      <c r="FQ605" s="647"/>
      <c r="FR605" s="647"/>
      <c r="FS605" s="101"/>
      <c r="FT605" s="95"/>
      <c r="FV605" s="653"/>
      <c r="FW605" s="653"/>
      <c r="FX605" s="654"/>
      <c r="FY605" s="654"/>
      <c r="FZ605" s="654"/>
      <c r="GA605" s="654"/>
      <c r="GB605" s="654"/>
      <c r="GC605" s="654"/>
      <c r="GD605" s="654"/>
      <c r="GE605" s="654"/>
      <c r="GF605" s="654"/>
      <c r="GG605" s="654"/>
      <c r="GH605" s="654"/>
      <c r="GI605" s="654"/>
      <c r="GJ605" s="654"/>
      <c r="GK605" s="654"/>
      <c r="GL605" s="653"/>
      <c r="GM605" s="653"/>
      <c r="GN605" s="653"/>
      <c r="GO605" s="643"/>
      <c r="GP605" s="644"/>
      <c r="GQ605" s="643"/>
      <c r="GR605" s="644"/>
      <c r="GS605" s="643"/>
      <c r="GT605" s="644"/>
      <c r="GU605" s="644"/>
      <c r="GV605" s="644"/>
      <c r="GW605" s="644"/>
      <c r="GX605" s="644"/>
      <c r="GY605" s="644"/>
      <c r="GZ605" s="644"/>
      <c r="HA605" s="644"/>
    </row>
    <row r="606" spans="1:209">
      <c r="A606" s="638"/>
      <c r="B606" s="95"/>
      <c r="C606" s="95"/>
      <c r="D606" s="95"/>
      <c r="E606" s="650"/>
      <c r="F606" s="95"/>
      <c r="G606" s="98"/>
      <c r="H606" s="99"/>
      <c r="I606" s="95"/>
      <c r="J606" s="95"/>
      <c r="K606" s="95"/>
      <c r="L606" s="95"/>
      <c r="M606" s="95"/>
      <c r="N606" s="95"/>
      <c r="O606" s="95"/>
      <c r="P606" s="95"/>
      <c r="Q606" s="95"/>
      <c r="R606" s="98"/>
      <c r="S606" s="101"/>
      <c r="T606" s="644"/>
      <c r="U606" s="101"/>
      <c r="V606" s="647"/>
      <c r="W606" s="643"/>
      <c r="X606" s="644"/>
      <c r="Y606" s="101"/>
      <c r="Z606" s="644"/>
      <c r="AA606" s="101"/>
      <c r="AB606" s="644"/>
      <c r="AC606" s="101"/>
      <c r="AD606" s="646"/>
      <c r="AE606" s="271"/>
      <c r="AF606" s="646"/>
      <c r="AG606" s="646"/>
      <c r="AH606" s="646"/>
      <c r="AI606" s="646"/>
      <c r="AJ606" s="646"/>
      <c r="AK606" s="646"/>
      <c r="AL606" s="646"/>
      <c r="AM606" s="271"/>
      <c r="AN606" s="646"/>
      <c r="AO606" s="646"/>
      <c r="AP606" s="646"/>
      <c r="AQ606" s="271"/>
      <c r="AR606" s="646"/>
      <c r="AS606" s="270"/>
      <c r="AT606" s="646"/>
      <c r="AU606" s="646"/>
      <c r="AV606" s="646"/>
      <c r="AW606" s="270"/>
      <c r="AX606" s="646"/>
      <c r="AY606" s="270"/>
      <c r="AZ606" s="646"/>
      <c r="BA606" s="646"/>
      <c r="BB606" s="644"/>
      <c r="BC606" s="644"/>
      <c r="BD606" s="644"/>
      <c r="BE606" s="644"/>
      <c r="BF606" s="644"/>
      <c r="BG606" s="644"/>
      <c r="BH606" s="644"/>
      <c r="BI606" s="644"/>
      <c r="BJ606" s="644"/>
      <c r="BK606" s="644"/>
      <c r="BL606" s="644"/>
      <c r="BM606" s="95"/>
      <c r="BN606" s="644"/>
      <c r="BO606" s="95"/>
      <c r="BP606" s="644"/>
      <c r="BQ606" s="644"/>
      <c r="BR606" s="644"/>
      <c r="BS606" s="644"/>
      <c r="BT606" s="644"/>
      <c r="BU606" s="644"/>
      <c r="BV606" s="644"/>
      <c r="BW606" s="644"/>
      <c r="BX606" s="644"/>
      <c r="BY606" s="644"/>
      <c r="BZ606" s="644"/>
      <c r="CA606" s="644"/>
      <c r="CB606" s="644"/>
      <c r="CC606" s="644"/>
      <c r="CD606" s="644"/>
      <c r="CE606" s="644"/>
      <c r="CF606" s="644"/>
      <c r="CG606" s="644"/>
      <c r="CH606" s="644"/>
      <c r="CI606" s="644"/>
      <c r="CJ606" s="644"/>
      <c r="CK606" s="644"/>
      <c r="CL606" s="644"/>
      <c r="CM606" s="95"/>
      <c r="CN606" s="644"/>
      <c r="CO606" s="644"/>
      <c r="CP606" s="95"/>
      <c r="CQ606" s="98"/>
      <c r="CR606" s="95"/>
      <c r="CS606" s="95"/>
      <c r="CT606" s="95"/>
      <c r="CU606" s="108"/>
      <c r="CV606" s="109"/>
      <c r="CW606" s="644"/>
      <c r="CX606" s="496"/>
      <c r="CY606" s="637"/>
      <c r="CZ606" s="644"/>
      <c r="DA606" s="644"/>
      <c r="DB606" s="644"/>
      <c r="DC606" s="496"/>
      <c r="DD606" s="644"/>
      <c r="DE606" s="101"/>
      <c r="DF606" s="644"/>
      <c r="DG606" s="101"/>
      <c r="DH606" s="644"/>
      <c r="DI606" s="644"/>
      <c r="DJ606" s="644"/>
      <c r="DK606" s="644"/>
      <c r="DL606" s="644"/>
      <c r="DM606" s="101"/>
      <c r="DN606" s="644"/>
      <c r="DO606" s="644"/>
      <c r="DP606" s="644"/>
      <c r="DQ606" s="644"/>
      <c r="DR606" s="644"/>
      <c r="DS606" s="644"/>
      <c r="DT606" s="644"/>
      <c r="DU606" s="644"/>
      <c r="DV606" s="644"/>
      <c r="DW606" s="101"/>
      <c r="DX606" s="646"/>
      <c r="DY606" s="646"/>
      <c r="DZ606" s="646"/>
      <c r="EA606" s="646"/>
      <c r="EB606" s="646"/>
      <c r="EC606" s="646"/>
      <c r="ED606" s="646"/>
      <c r="EE606" s="646"/>
      <c r="EF606" s="646"/>
      <c r="EG606" s="646"/>
      <c r="EH606" s="646"/>
      <c r="EI606" s="646"/>
      <c r="EJ606" s="646"/>
      <c r="EK606" s="271"/>
      <c r="EL606" s="644"/>
      <c r="EM606" s="634"/>
      <c r="EN606" s="647"/>
      <c r="EO606" s="648"/>
      <c r="EP606" s="647"/>
      <c r="EQ606" s="647"/>
      <c r="ER606" s="647"/>
      <c r="ES606" s="139"/>
      <c r="EV606" s="647"/>
      <c r="EW606" s="647"/>
      <c r="EX606" s="647"/>
      <c r="EY606" s="647"/>
      <c r="EZ606" s="647"/>
      <c r="FA606" s="646"/>
      <c r="FB606" s="646"/>
      <c r="FC606" s="646"/>
      <c r="FD606" s="646"/>
      <c r="FE606" s="646"/>
      <c r="FF606" s="646"/>
      <c r="FG606" s="647"/>
      <c r="FH606" s="647"/>
      <c r="FI606" s="647"/>
      <c r="FJ606" s="647"/>
      <c r="FK606" s="647"/>
      <c r="FL606" s="647"/>
      <c r="FM606" s="647"/>
      <c r="FN606" s="647"/>
      <c r="FO606" s="647"/>
      <c r="FP606" s="647"/>
      <c r="FQ606" s="647"/>
      <c r="FR606" s="647"/>
      <c r="FS606" s="101"/>
      <c r="FT606" s="95"/>
      <c r="FV606" s="653"/>
      <c r="FW606" s="653"/>
      <c r="FX606" s="654"/>
      <c r="FY606" s="654"/>
      <c r="FZ606" s="654"/>
      <c r="GA606" s="654"/>
      <c r="GB606" s="654"/>
      <c r="GC606" s="654"/>
      <c r="GD606" s="654"/>
      <c r="GE606" s="654"/>
      <c r="GF606" s="654"/>
      <c r="GG606" s="654"/>
      <c r="GH606" s="654"/>
      <c r="GI606" s="654"/>
      <c r="GJ606" s="654"/>
      <c r="GK606" s="654"/>
      <c r="GL606" s="653"/>
      <c r="GM606" s="653"/>
      <c r="GN606" s="653"/>
      <c r="GO606" s="643"/>
      <c r="GP606" s="644"/>
      <c r="GQ606" s="643"/>
      <c r="GR606" s="644"/>
      <c r="GS606" s="643"/>
      <c r="GT606" s="644"/>
      <c r="GU606" s="644"/>
      <c r="GV606" s="644"/>
      <c r="GW606" s="644"/>
      <c r="GX606" s="644"/>
      <c r="GY606" s="644"/>
      <c r="GZ606" s="644"/>
      <c r="HA606" s="644"/>
    </row>
    <row r="607" spans="1:209">
      <c r="A607" s="638"/>
      <c r="B607" s="95"/>
      <c r="C607" s="95"/>
      <c r="D607" s="95"/>
      <c r="E607" s="650"/>
      <c r="F607" s="95"/>
      <c r="G607" s="98"/>
      <c r="H607" s="99"/>
      <c r="I607" s="95"/>
      <c r="J607" s="95"/>
      <c r="K607" s="95"/>
      <c r="L607" s="95"/>
      <c r="M607" s="95"/>
      <c r="N607" s="95"/>
      <c r="O607" s="95"/>
      <c r="P607" s="95"/>
      <c r="Q607" s="95"/>
      <c r="R607" s="98"/>
      <c r="S607" s="101"/>
      <c r="T607" s="644"/>
      <c r="U607" s="101"/>
      <c r="V607" s="647"/>
      <c r="W607" s="643"/>
      <c r="X607" s="644"/>
      <c r="Y607" s="101"/>
      <c r="Z607" s="644"/>
      <c r="AA607" s="101"/>
      <c r="AB607" s="644"/>
      <c r="AC607" s="101"/>
      <c r="AD607" s="646"/>
      <c r="AE607" s="271"/>
      <c r="AF607" s="646"/>
      <c r="AG607" s="646"/>
      <c r="AH607" s="646"/>
      <c r="AI607" s="646"/>
      <c r="AJ607" s="646"/>
      <c r="AK607" s="646"/>
      <c r="AL607" s="646"/>
      <c r="AM607" s="271"/>
      <c r="AN607" s="646"/>
      <c r="AO607" s="646"/>
      <c r="AP607" s="646"/>
      <c r="AQ607" s="271"/>
      <c r="AR607" s="646"/>
      <c r="AS607" s="270"/>
      <c r="AT607" s="646"/>
      <c r="AU607" s="646"/>
      <c r="AV607" s="646"/>
      <c r="AW607" s="270"/>
      <c r="AX607" s="646"/>
      <c r="AY607" s="270"/>
      <c r="AZ607" s="646"/>
      <c r="BA607" s="646"/>
      <c r="BB607" s="644"/>
      <c r="BC607" s="644"/>
      <c r="BD607" s="644"/>
      <c r="BE607" s="644"/>
      <c r="BF607" s="644"/>
      <c r="BG607" s="644"/>
      <c r="BH607" s="644"/>
      <c r="BI607" s="644"/>
      <c r="BJ607" s="644"/>
      <c r="BK607" s="644"/>
      <c r="BL607" s="644"/>
      <c r="BM607" s="95"/>
      <c r="BN607" s="644"/>
      <c r="BO607" s="95"/>
      <c r="BP607" s="644"/>
      <c r="BQ607" s="644"/>
      <c r="BR607" s="644"/>
      <c r="BS607" s="644"/>
      <c r="BT607" s="644"/>
      <c r="BU607" s="644"/>
      <c r="BV607" s="644"/>
      <c r="BW607" s="644"/>
      <c r="BX607" s="644"/>
      <c r="BY607" s="644"/>
      <c r="BZ607" s="644"/>
      <c r="CA607" s="644"/>
      <c r="CB607" s="644"/>
      <c r="CC607" s="644"/>
      <c r="CD607" s="644"/>
      <c r="CE607" s="644"/>
      <c r="CF607" s="644"/>
      <c r="CG607" s="644"/>
      <c r="CH607" s="644"/>
      <c r="CI607" s="644"/>
      <c r="CJ607" s="644"/>
      <c r="CK607" s="644"/>
      <c r="CL607" s="644"/>
      <c r="CM607" s="95"/>
      <c r="CN607" s="644"/>
      <c r="CO607" s="644"/>
      <c r="CP607" s="95"/>
      <c r="CQ607" s="98"/>
      <c r="CR607" s="95"/>
      <c r="CS607" s="95"/>
      <c r="CT607" s="95"/>
      <c r="CU607" s="108"/>
      <c r="CV607" s="109"/>
      <c r="CW607" s="644"/>
      <c r="CX607" s="496"/>
      <c r="CY607" s="637"/>
      <c r="CZ607" s="644"/>
      <c r="DA607" s="644"/>
      <c r="DB607" s="644"/>
      <c r="DC607" s="496"/>
      <c r="DD607" s="644"/>
      <c r="DE607" s="101"/>
      <c r="DF607" s="644"/>
      <c r="DG607" s="101"/>
      <c r="DH607" s="644"/>
      <c r="DI607" s="644"/>
      <c r="DJ607" s="644"/>
      <c r="DK607" s="644"/>
      <c r="DL607" s="644"/>
      <c r="DM607" s="101"/>
      <c r="DN607" s="644"/>
      <c r="DO607" s="644"/>
      <c r="DP607" s="644"/>
      <c r="DQ607" s="644"/>
      <c r="DR607" s="644"/>
      <c r="DS607" s="644"/>
      <c r="DT607" s="644"/>
      <c r="DU607" s="644"/>
      <c r="DV607" s="644"/>
      <c r="DW607" s="101"/>
      <c r="DX607" s="646"/>
      <c r="DY607" s="646"/>
      <c r="DZ607" s="646"/>
      <c r="EA607" s="646"/>
      <c r="EB607" s="646"/>
      <c r="EC607" s="646"/>
      <c r="ED607" s="646"/>
      <c r="EE607" s="646"/>
      <c r="EF607" s="646"/>
      <c r="EG607" s="646"/>
      <c r="EH607" s="646"/>
      <c r="EI607" s="646"/>
      <c r="EJ607" s="646"/>
      <c r="EK607" s="271"/>
      <c r="EL607" s="644"/>
      <c r="EM607" s="634"/>
      <c r="EN607" s="647"/>
      <c r="EO607" s="648"/>
      <c r="EP607" s="647"/>
      <c r="EQ607" s="647"/>
      <c r="ER607" s="647"/>
      <c r="ES607" s="139"/>
      <c r="EV607" s="647"/>
      <c r="EW607" s="647"/>
      <c r="EX607" s="647"/>
      <c r="EY607" s="647"/>
      <c r="EZ607" s="647"/>
      <c r="FA607" s="646"/>
      <c r="FB607" s="646"/>
      <c r="FC607" s="646"/>
      <c r="FD607" s="646"/>
      <c r="FE607" s="646"/>
      <c r="FF607" s="646"/>
      <c r="FG607" s="647"/>
      <c r="FH607" s="647"/>
      <c r="FI607" s="647"/>
      <c r="FJ607" s="647"/>
      <c r="FK607" s="647"/>
      <c r="FL607" s="647"/>
      <c r="FM607" s="647"/>
      <c r="FN607" s="647"/>
      <c r="FO607" s="647"/>
      <c r="FP607" s="647"/>
      <c r="FQ607" s="647"/>
      <c r="FR607" s="647"/>
      <c r="FS607" s="101"/>
      <c r="FT607" s="95"/>
      <c r="FV607" s="653"/>
      <c r="FW607" s="653"/>
      <c r="FX607" s="654"/>
      <c r="FY607" s="654"/>
      <c r="FZ607" s="654"/>
      <c r="GA607" s="654"/>
      <c r="GB607" s="654"/>
      <c r="GC607" s="654"/>
      <c r="GD607" s="654"/>
      <c r="GE607" s="654"/>
      <c r="GF607" s="654"/>
      <c r="GG607" s="654"/>
      <c r="GH607" s="654"/>
      <c r="GI607" s="654"/>
      <c r="GJ607" s="654"/>
      <c r="GK607" s="654"/>
      <c r="GL607" s="653"/>
      <c r="GM607" s="653"/>
      <c r="GN607" s="653"/>
      <c r="GO607" s="643"/>
      <c r="GP607" s="644"/>
      <c r="GQ607" s="643"/>
      <c r="GR607" s="644"/>
      <c r="GS607" s="643"/>
      <c r="GT607" s="644"/>
      <c r="GU607" s="644"/>
      <c r="GV607" s="644"/>
      <c r="GW607" s="644"/>
      <c r="GX607" s="644"/>
      <c r="GY607" s="644"/>
      <c r="GZ607" s="644"/>
      <c r="HA607" s="644"/>
    </row>
    <row r="608" spans="1:209">
      <c r="A608" s="638"/>
      <c r="B608" s="95"/>
      <c r="C608" s="95"/>
      <c r="D608" s="95"/>
      <c r="E608" s="650"/>
      <c r="F608" s="95"/>
      <c r="G608" s="98"/>
      <c r="H608" s="99"/>
      <c r="I608" s="95"/>
      <c r="J608" s="95"/>
      <c r="K608" s="95"/>
      <c r="L608" s="95"/>
      <c r="M608" s="95"/>
      <c r="N608" s="95"/>
      <c r="O608" s="95"/>
      <c r="P608" s="95"/>
      <c r="Q608" s="95"/>
      <c r="R608" s="98"/>
      <c r="S608" s="101"/>
      <c r="T608" s="644"/>
      <c r="U608" s="101"/>
      <c r="V608" s="647"/>
      <c r="W608" s="643"/>
      <c r="X608" s="644"/>
      <c r="Y608" s="101"/>
      <c r="Z608" s="644"/>
      <c r="AA608" s="101"/>
      <c r="AB608" s="644"/>
      <c r="AC608" s="101"/>
      <c r="AD608" s="646"/>
      <c r="AE608" s="271"/>
      <c r="AF608" s="646"/>
      <c r="AG608" s="646"/>
      <c r="AH608" s="646"/>
      <c r="AI608" s="646"/>
      <c r="AJ608" s="646"/>
      <c r="AK608" s="646"/>
      <c r="AL608" s="646"/>
      <c r="AM608" s="271"/>
      <c r="AN608" s="646"/>
      <c r="AO608" s="646"/>
      <c r="AP608" s="646"/>
      <c r="AQ608" s="271"/>
      <c r="AR608" s="646"/>
      <c r="AS608" s="270"/>
      <c r="AT608" s="646"/>
      <c r="AU608" s="646"/>
      <c r="AV608" s="646"/>
      <c r="AW608" s="270"/>
      <c r="AX608" s="646"/>
      <c r="AY608" s="270"/>
      <c r="AZ608" s="646"/>
      <c r="BA608" s="646"/>
      <c r="BB608" s="644"/>
      <c r="BC608" s="644"/>
      <c r="BD608" s="644"/>
      <c r="BE608" s="644"/>
      <c r="BF608" s="644"/>
      <c r="BG608" s="644"/>
      <c r="BH608" s="644"/>
      <c r="BI608" s="644"/>
      <c r="BJ608" s="644"/>
      <c r="BK608" s="644"/>
      <c r="BL608" s="644"/>
      <c r="BM608" s="95"/>
      <c r="BN608" s="644"/>
      <c r="BO608" s="95"/>
      <c r="BP608" s="644"/>
      <c r="BQ608" s="644"/>
      <c r="BR608" s="644"/>
      <c r="BS608" s="644"/>
      <c r="BT608" s="644"/>
      <c r="BU608" s="644"/>
      <c r="BV608" s="644"/>
      <c r="BW608" s="644"/>
      <c r="BX608" s="644"/>
      <c r="BY608" s="644"/>
      <c r="BZ608" s="644"/>
      <c r="CA608" s="644"/>
      <c r="CB608" s="644"/>
      <c r="CC608" s="644"/>
      <c r="CD608" s="644"/>
      <c r="CE608" s="644"/>
      <c r="CF608" s="644"/>
      <c r="CG608" s="644"/>
      <c r="CH608" s="644"/>
      <c r="CI608" s="644"/>
      <c r="CJ608" s="644"/>
      <c r="CK608" s="644"/>
      <c r="CL608" s="644"/>
      <c r="CM608" s="95"/>
      <c r="CN608" s="644"/>
      <c r="CO608" s="644"/>
      <c r="CP608" s="95"/>
      <c r="CQ608" s="98"/>
      <c r="CR608" s="95"/>
      <c r="CS608" s="95"/>
      <c r="CT608" s="95"/>
      <c r="CU608" s="108"/>
      <c r="CV608" s="109"/>
      <c r="CW608" s="644"/>
      <c r="CX608" s="496"/>
      <c r="CY608" s="637"/>
      <c r="CZ608" s="644"/>
      <c r="DA608" s="644"/>
      <c r="DB608" s="644"/>
      <c r="DC608" s="496"/>
      <c r="DD608" s="644"/>
      <c r="DE608" s="101"/>
      <c r="DF608" s="644"/>
      <c r="DG608" s="101"/>
      <c r="DH608" s="644"/>
      <c r="DI608" s="644"/>
      <c r="DJ608" s="644"/>
      <c r="DK608" s="644"/>
      <c r="DL608" s="644"/>
      <c r="DM608" s="101"/>
      <c r="DN608" s="644"/>
      <c r="DO608" s="644"/>
      <c r="DP608" s="644"/>
      <c r="DQ608" s="644"/>
      <c r="DR608" s="644"/>
      <c r="DS608" s="644"/>
      <c r="DT608" s="644"/>
      <c r="DU608" s="644"/>
      <c r="DV608" s="644"/>
      <c r="DW608" s="101"/>
      <c r="DX608" s="646"/>
      <c r="DY608" s="646"/>
      <c r="DZ608" s="646"/>
      <c r="EA608" s="646"/>
      <c r="EB608" s="646"/>
      <c r="EC608" s="646"/>
      <c r="ED608" s="646"/>
      <c r="EE608" s="646"/>
      <c r="EF608" s="646"/>
      <c r="EG608" s="646"/>
      <c r="EH608" s="646"/>
      <c r="EI608" s="646"/>
      <c r="EJ608" s="646"/>
      <c r="EK608" s="271"/>
      <c r="EL608" s="644"/>
      <c r="EM608" s="634"/>
      <c r="EN608" s="647"/>
      <c r="EO608" s="648"/>
      <c r="EP608" s="647"/>
      <c r="EQ608" s="647"/>
      <c r="ER608" s="647"/>
      <c r="ES608" s="139"/>
      <c r="EV608" s="647"/>
      <c r="EW608" s="647"/>
      <c r="EX608" s="647"/>
      <c r="EY608" s="647"/>
      <c r="EZ608" s="647"/>
      <c r="FA608" s="646"/>
      <c r="FB608" s="646"/>
      <c r="FC608" s="646"/>
      <c r="FD608" s="646"/>
      <c r="FE608" s="646"/>
      <c r="FF608" s="646"/>
      <c r="FG608" s="647"/>
      <c r="FH608" s="647"/>
      <c r="FI608" s="647"/>
      <c r="FJ608" s="647"/>
      <c r="FK608" s="647"/>
      <c r="FL608" s="647"/>
      <c r="FM608" s="647"/>
      <c r="FN608" s="647"/>
      <c r="FO608" s="647"/>
      <c r="FP608" s="647"/>
      <c r="FQ608" s="647"/>
      <c r="FR608" s="647"/>
      <c r="FS608" s="101"/>
      <c r="FT608" s="95"/>
      <c r="FV608" s="653"/>
      <c r="FW608" s="653"/>
      <c r="FX608" s="654"/>
      <c r="FY608" s="654"/>
      <c r="FZ608" s="654"/>
      <c r="GA608" s="654"/>
      <c r="GB608" s="654"/>
      <c r="GC608" s="654"/>
      <c r="GD608" s="654"/>
      <c r="GE608" s="654"/>
      <c r="GF608" s="654"/>
      <c r="GG608" s="654"/>
      <c r="GH608" s="654"/>
      <c r="GI608" s="654"/>
      <c r="GJ608" s="654"/>
      <c r="GK608" s="654"/>
      <c r="GL608" s="653"/>
      <c r="GM608" s="653"/>
      <c r="GN608" s="653"/>
      <c r="GO608" s="643"/>
      <c r="GP608" s="644"/>
      <c r="GQ608" s="643"/>
      <c r="GR608" s="644"/>
      <c r="GS608" s="643"/>
      <c r="GT608" s="644"/>
      <c r="GU608" s="644"/>
      <c r="GV608" s="644"/>
      <c r="GW608" s="644"/>
      <c r="GX608" s="644"/>
      <c r="GY608" s="644"/>
      <c r="GZ608" s="644"/>
      <c r="HA608" s="644"/>
    </row>
    <row r="609" spans="1:209">
      <c r="A609" s="638"/>
      <c r="B609" s="95"/>
      <c r="C609" s="95"/>
      <c r="D609" s="95"/>
      <c r="E609" s="650"/>
      <c r="F609" s="95"/>
      <c r="G609" s="98"/>
      <c r="H609" s="99"/>
      <c r="I609" s="95"/>
      <c r="J609" s="95"/>
      <c r="K609" s="95"/>
      <c r="L609" s="95"/>
      <c r="M609" s="95"/>
      <c r="N609" s="95"/>
      <c r="O609" s="95"/>
      <c r="P609" s="95"/>
      <c r="Q609" s="95"/>
      <c r="R609" s="98"/>
      <c r="S609" s="101"/>
      <c r="T609" s="644"/>
      <c r="U609" s="101"/>
      <c r="V609" s="647"/>
      <c r="W609" s="643"/>
      <c r="X609" s="644"/>
      <c r="Y609" s="101"/>
      <c r="Z609" s="644"/>
      <c r="AA609" s="101"/>
      <c r="AB609" s="644"/>
      <c r="AC609" s="101"/>
      <c r="AD609" s="646"/>
      <c r="AE609" s="271"/>
      <c r="AF609" s="646"/>
      <c r="AG609" s="646"/>
      <c r="AH609" s="646"/>
      <c r="AI609" s="646"/>
      <c r="AJ609" s="646"/>
      <c r="AK609" s="646"/>
      <c r="AL609" s="646"/>
      <c r="AM609" s="271"/>
      <c r="AN609" s="646"/>
      <c r="AO609" s="646"/>
      <c r="AP609" s="646"/>
      <c r="AQ609" s="271"/>
      <c r="AR609" s="646"/>
      <c r="AS609" s="270"/>
      <c r="AT609" s="646"/>
      <c r="AU609" s="646"/>
      <c r="AV609" s="646"/>
      <c r="AW609" s="270"/>
      <c r="AX609" s="646"/>
      <c r="AY609" s="270"/>
      <c r="AZ609" s="646"/>
      <c r="BA609" s="646"/>
      <c r="BB609" s="644"/>
      <c r="BC609" s="644"/>
      <c r="BD609" s="644"/>
      <c r="BE609" s="644"/>
      <c r="BF609" s="644"/>
      <c r="BG609" s="644"/>
      <c r="BH609" s="644"/>
      <c r="BI609" s="644"/>
      <c r="BJ609" s="644"/>
      <c r="BK609" s="644"/>
      <c r="BL609" s="644"/>
      <c r="BM609" s="95"/>
      <c r="BN609" s="644"/>
      <c r="BO609" s="95"/>
      <c r="BP609" s="644"/>
      <c r="BQ609" s="644"/>
      <c r="BR609" s="644"/>
      <c r="BS609" s="644"/>
      <c r="BT609" s="644"/>
      <c r="BU609" s="644"/>
      <c r="BV609" s="644"/>
      <c r="BW609" s="644"/>
      <c r="BX609" s="644"/>
      <c r="BY609" s="644"/>
      <c r="BZ609" s="644"/>
      <c r="CA609" s="644"/>
      <c r="CB609" s="644"/>
      <c r="CC609" s="644"/>
      <c r="CD609" s="644"/>
      <c r="CE609" s="644"/>
      <c r="CF609" s="644"/>
      <c r="CG609" s="644"/>
      <c r="CH609" s="644"/>
      <c r="CI609" s="644"/>
      <c r="CJ609" s="644"/>
      <c r="CK609" s="644"/>
      <c r="CL609" s="644"/>
      <c r="CM609" s="95"/>
      <c r="CN609" s="644"/>
      <c r="CO609" s="644"/>
      <c r="CP609" s="95"/>
      <c r="CQ609" s="98"/>
      <c r="CR609" s="95"/>
      <c r="CS609" s="95"/>
      <c r="CT609" s="95"/>
      <c r="CU609" s="108"/>
      <c r="CV609" s="109"/>
      <c r="CW609" s="644"/>
      <c r="CX609" s="496"/>
      <c r="CY609" s="637"/>
      <c r="CZ609" s="644"/>
      <c r="DA609" s="644"/>
      <c r="DB609" s="644"/>
      <c r="DC609" s="496"/>
      <c r="DD609" s="644"/>
      <c r="DE609" s="101"/>
      <c r="DF609" s="644"/>
      <c r="DG609" s="101"/>
      <c r="DH609" s="644"/>
      <c r="DI609" s="644"/>
      <c r="DJ609" s="644"/>
      <c r="DK609" s="644"/>
      <c r="DL609" s="644"/>
      <c r="DM609" s="101"/>
      <c r="DN609" s="644"/>
      <c r="DO609" s="644"/>
      <c r="DP609" s="644"/>
      <c r="DQ609" s="644"/>
      <c r="DR609" s="644"/>
      <c r="DS609" s="644"/>
      <c r="DT609" s="644"/>
      <c r="DU609" s="644"/>
      <c r="DV609" s="644"/>
      <c r="DW609" s="101"/>
      <c r="DX609" s="646"/>
      <c r="DY609" s="646"/>
      <c r="DZ609" s="646"/>
      <c r="EA609" s="646"/>
      <c r="EB609" s="646"/>
      <c r="EC609" s="646"/>
      <c r="ED609" s="646"/>
      <c r="EE609" s="646"/>
      <c r="EF609" s="646"/>
      <c r="EG609" s="646"/>
      <c r="EH609" s="646"/>
      <c r="EI609" s="646"/>
      <c r="EJ609" s="646"/>
      <c r="EK609" s="271"/>
      <c r="EL609" s="644"/>
      <c r="EM609" s="634"/>
      <c r="EN609" s="647"/>
      <c r="EO609" s="648"/>
      <c r="EP609" s="647"/>
      <c r="EQ609" s="647"/>
      <c r="ER609" s="647"/>
      <c r="ES609" s="139"/>
      <c r="EV609" s="647"/>
      <c r="EW609" s="647"/>
      <c r="EX609" s="647"/>
      <c r="EY609" s="647"/>
      <c r="EZ609" s="647"/>
      <c r="FA609" s="646"/>
      <c r="FB609" s="646"/>
      <c r="FC609" s="646"/>
      <c r="FD609" s="646"/>
      <c r="FE609" s="646"/>
      <c r="FF609" s="646"/>
      <c r="FG609" s="647"/>
      <c r="FH609" s="647"/>
      <c r="FI609" s="647"/>
      <c r="FJ609" s="647"/>
      <c r="FK609" s="647"/>
      <c r="FL609" s="647"/>
      <c r="FM609" s="647"/>
      <c r="FN609" s="647"/>
      <c r="FO609" s="647"/>
      <c r="FP609" s="647"/>
      <c r="FQ609" s="647"/>
      <c r="FR609" s="647"/>
      <c r="FS609" s="101"/>
      <c r="FT609" s="95"/>
      <c r="FV609" s="653"/>
      <c r="FW609" s="653"/>
      <c r="FX609" s="654"/>
      <c r="FY609" s="654"/>
      <c r="FZ609" s="654"/>
      <c r="GA609" s="654"/>
      <c r="GB609" s="654"/>
      <c r="GC609" s="654"/>
      <c r="GD609" s="654"/>
      <c r="GE609" s="654"/>
      <c r="GF609" s="654"/>
      <c r="GG609" s="654"/>
      <c r="GH609" s="654"/>
      <c r="GI609" s="654"/>
      <c r="GJ609" s="654"/>
      <c r="GK609" s="654"/>
      <c r="GL609" s="653"/>
      <c r="GM609" s="653"/>
      <c r="GN609" s="653"/>
      <c r="GO609" s="643"/>
      <c r="GP609" s="644"/>
      <c r="GQ609" s="643"/>
      <c r="GR609" s="644"/>
      <c r="GS609" s="643"/>
      <c r="GT609" s="644"/>
      <c r="GU609" s="644"/>
      <c r="GV609" s="644"/>
      <c r="GW609" s="644"/>
      <c r="GX609" s="644"/>
      <c r="GY609" s="644"/>
      <c r="GZ609" s="644"/>
      <c r="HA609" s="644"/>
    </row>
    <row r="610" spans="1:209">
      <c r="A610" s="638"/>
      <c r="B610" s="95"/>
      <c r="C610" s="95"/>
      <c r="D610" s="95"/>
      <c r="E610" s="650"/>
      <c r="F610" s="95"/>
      <c r="G610" s="98"/>
      <c r="H610" s="99"/>
      <c r="I610" s="95"/>
      <c r="J610" s="95"/>
      <c r="K610" s="95"/>
      <c r="L610" s="95"/>
      <c r="M610" s="95"/>
      <c r="N610" s="95"/>
      <c r="O610" s="95"/>
      <c r="P610" s="95"/>
      <c r="Q610" s="95"/>
      <c r="R610" s="98"/>
      <c r="S610" s="101"/>
      <c r="T610" s="644"/>
      <c r="U610" s="101"/>
      <c r="V610" s="647"/>
      <c r="W610" s="643"/>
      <c r="X610" s="644"/>
      <c r="Y610" s="101"/>
      <c r="Z610" s="644"/>
      <c r="AA610" s="101"/>
      <c r="AB610" s="644"/>
      <c r="AC610" s="101"/>
      <c r="AD610" s="646"/>
      <c r="AE610" s="271"/>
      <c r="AF610" s="646"/>
      <c r="AG610" s="646"/>
      <c r="AH610" s="646"/>
      <c r="AI610" s="646"/>
      <c r="AJ610" s="646"/>
      <c r="AK610" s="646"/>
      <c r="AL610" s="646"/>
      <c r="AM610" s="271"/>
      <c r="AN610" s="646"/>
      <c r="AO610" s="646"/>
      <c r="AP610" s="646"/>
      <c r="AQ610" s="271"/>
      <c r="AR610" s="646"/>
      <c r="AS610" s="270"/>
      <c r="AT610" s="646"/>
      <c r="AU610" s="646"/>
      <c r="AV610" s="646"/>
      <c r="AW610" s="270"/>
      <c r="AX610" s="646"/>
      <c r="AY610" s="270"/>
      <c r="AZ610" s="646"/>
      <c r="BA610" s="646"/>
      <c r="BB610" s="644"/>
      <c r="BC610" s="644"/>
      <c r="BD610" s="644"/>
      <c r="BE610" s="644"/>
      <c r="BF610" s="644"/>
      <c r="BG610" s="644"/>
      <c r="BH610" s="644"/>
      <c r="BI610" s="644"/>
      <c r="BJ610" s="644"/>
      <c r="BK610" s="644"/>
      <c r="BL610" s="644"/>
      <c r="BM610" s="95"/>
      <c r="BN610" s="644"/>
      <c r="BO610" s="95"/>
      <c r="BP610" s="644"/>
      <c r="BQ610" s="644"/>
      <c r="BR610" s="644"/>
      <c r="BS610" s="644"/>
      <c r="BT610" s="644"/>
      <c r="BU610" s="644"/>
      <c r="BV610" s="644"/>
      <c r="BW610" s="644"/>
      <c r="BX610" s="644"/>
      <c r="BY610" s="644"/>
      <c r="BZ610" s="644"/>
      <c r="CA610" s="644"/>
      <c r="CB610" s="644"/>
      <c r="CC610" s="644"/>
      <c r="CD610" s="644"/>
      <c r="CE610" s="644"/>
      <c r="CF610" s="644"/>
      <c r="CG610" s="644"/>
      <c r="CH610" s="644"/>
      <c r="CI610" s="644"/>
      <c r="CJ610" s="644"/>
      <c r="CK610" s="644"/>
      <c r="CL610" s="644"/>
      <c r="CM610" s="95"/>
      <c r="CN610" s="644"/>
      <c r="CO610" s="644"/>
      <c r="CP610" s="95"/>
      <c r="CQ610" s="98"/>
      <c r="CR610" s="95"/>
      <c r="CS610" s="95"/>
      <c r="CT610" s="95"/>
      <c r="CU610" s="108"/>
      <c r="CV610" s="109"/>
      <c r="CW610" s="644"/>
      <c r="CX610" s="496"/>
      <c r="CY610" s="637"/>
      <c r="CZ610" s="644"/>
      <c r="DA610" s="644"/>
      <c r="DB610" s="644"/>
      <c r="DC610" s="496"/>
      <c r="DD610" s="644"/>
      <c r="DE610" s="101"/>
      <c r="DF610" s="644"/>
      <c r="DG610" s="101"/>
      <c r="DH610" s="644"/>
      <c r="DI610" s="644"/>
      <c r="DJ610" s="644"/>
      <c r="DK610" s="644"/>
      <c r="DL610" s="644"/>
      <c r="DM610" s="101"/>
      <c r="DN610" s="644"/>
      <c r="DO610" s="644"/>
      <c r="DP610" s="644"/>
      <c r="DQ610" s="644"/>
      <c r="DR610" s="644"/>
      <c r="DS610" s="644"/>
      <c r="DT610" s="644"/>
      <c r="DU610" s="644"/>
      <c r="DV610" s="644"/>
      <c r="DW610" s="101"/>
      <c r="DX610" s="646"/>
      <c r="DY610" s="646"/>
      <c r="DZ610" s="646"/>
      <c r="EA610" s="646"/>
      <c r="EB610" s="646"/>
      <c r="EC610" s="646"/>
      <c r="ED610" s="646"/>
      <c r="EE610" s="646"/>
      <c r="EF610" s="646"/>
      <c r="EG610" s="646"/>
      <c r="EH610" s="646"/>
      <c r="EI610" s="646"/>
      <c r="EJ610" s="646"/>
      <c r="EK610" s="271"/>
      <c r="EL610" s="644"/>
      <c r="EM610" s="634"/>
      <c r="EN610" s="647"/>
      <c r="EO610" s="648"/>
      <c r="EP610" s="647"/>
      <c r="EQ610" s="647"/>
      <c r="ER610" s="647"/>
      <c r="ES610" s="139"/>
      <c r="EV610" s="647"/>
      <c r="EW610" s="647"/>
      <c r="EX610" s="647"/>
      <c r="EY610" s="647"/>
      <c r="EZ610" s="647"/>
      <c r="FA610" s="646"/>
      <c r="FB610" s="646"/>
      <c r="FC610" s="646"/>
      <c r="FD610" s="646"/>
      <c r="FE610" s="646"/>
      <c r="FF610" s="646"/>
      <c r="FG610" s="647"/>
      <c r="FH610" s="647"/>
      <c r="FI610" s="647"/>
      <c r="FJ610" s="647"/>
      <c r="FK610" s="647"/>
      <c r="FL610" s="647"/>
      <c r="FM610" s="647"/>
      <c r="FN610" s="647"/>
      <c r="FO610" s="647"/>
      <c r="FP610" s="647"/>
      <c r="FQ610" s="647"/>
      <c r="FR610" s="647"/>
      <c r="FS610" s="101"/>
      <c r="FT610" s="95"/>
      <c r="FV610" s="653"/>
      <c r="FW610" s="653"/>
      <c r="FX610" s="654"/>
      <c r="FY610" s="654"/>
      <c r="FZ610" s="654"/>
      <c r="GA610" s="654"/>
      <c r="GB610" s="654"/>
      <c r="GC610" s="654"/>
      <c r="GD610" s="654"/>
      <c r="GE610" s="654"/>
      <c r="GF610" s="654"/>
      <c r="GG610" s="654"/>
      <c r="GH610" s="654"/>
      <c r="GI610" s="654"/>
      <c r="GJ610" s="654"/>
      <c r="GK610" s="654"/>
      <c r="GL610" s="653"/>
      <c r="GM610" s="653"/>
      <c r="GN610" s="653"/>
      <c r="GO610" s="643"/>
      <c r="GP610" s="644"/>
      <c r="GQ610" s="643"/>
      <c r="GR610" s="644"/>
      <c r="GS610" s="643"/>
      <c r="GT610" s="644"/>
      <c r="GU610" s="644"/>
      <c r="GV610" s="644"/>
      <c r="GW610" s="644"/>
      <c r="GX610" s="644"/>
      <c r="GY610" s="644"/>
      <c r="GZ610" s="644"/>
      <c r="HA610" s="644"/>
    </row>
    <row r="611" spans="1:209">
      <c r="A611" s="638"/>
      <c r="B611" s="95"/>
      <c r="C611" s="95"/>
      <c r="D611" s="95"/>
      <c r="E611" s="650"/>
      <c r="F611" s="95"/>
      <c r="G611" s="98"/>
      <c r="H611" s="99"/>
      <c r="I611" s="95"/>
      <c r="J611" s="95"/>
      <c r="K611" s="95"/>
      <c r="L611" s="95"/>
      <c r="M611" s="95"/>
      <c r="N611" s="95"/>
      <c r="O611" s="95"/>
      <c r="P611" s="95"/>
      <c r="Q611" s="95"/>
      <c r="R611" s="98"/>
      <c r="S611" s="101"/>
      <c r="T611" s="644"/>
      <c r="U611" s="101"/>
      <c r="V611" s="647"/>
      <c r="W611" s="643"/>
      <c r="X611" s="644"/>
      <c r="Y611" s="101"/>
      <c r="Z611" s="644"/>
      <c r="AA611" s="101"/>
      <c r="AB611" s="644"/>
      <c r="AC611" s="101"/>
      <c r="AD611" s="646"/>
      <c r="AE611" s="271"/>
      <c r="AF611" s="646"/>
      <c r="AG611" s="646"/>
      <c r="AH611" s="646"/>
      <c r="AI611" s="646"/>
      <c r="AJ611" s="646"/>
      <c r="AK611" s="646"/>
      <c r="AL611" s="646"/>
      <c r="AM611" s="271"/>
      <c r="AN611" s="646"/>
      <c r="AO611" s="646"/>
      <c r="AP611" s="646"/>
      <c r="AQ611" s="271"/>
      <c r="AR611" s="646"/>
      <c r="AS611" s="270"/>
      <c r="AT611" s="646"/>
      <c r="AU611" s="646"/>
      <c r="AV611" s="646"/>
      <c r="AW611" s="270"/>
      <c r="AX611" s="646"/>
      <c r="AY611" s="270"/>
      <c r="AZ611" s="646"/>
      <c r="BA611" s="646"/>
      <c r="BB611" s="644"/>
      <c r="BC611" s="644"/>
      <c r="BD611" s="644"/>
      <c r="BE611" s="644"/>
      <c r="BF611" s="644"/>
      <c r="BG611" s="644"/>
      <c r="BH611" s="644"/>
      <c r="BI611" s="644"/>
      <c r="BJ611" s="644"/>
      <c r="BK611" s="644"/>
      <c r="BL611" s="644"/>
      <c r="BM611" s="95"/>
      <c r="BN611" s="644"/>
      <c r="BO611" s="95"/>
      <c r="BP611" s="644"/>
      <c r="BQ611" s="644"/>
      <c r="BR611" s="644"/>
      <c r="BS611" s="644"/>
      <c r="BT611" s="644"/>
      <c r="BU611" s="644"/>
      <c r="BV611" s="644"/>
      <c r="BW611" s="644"/>
      <c r="BX611" s="644"/>
      <c r="BY611" s="644"/>
      <c r="BZ611" s="644"/>
      <c r="CA611" s="644"/>
      <c r="CB611" s="644"/>
      <c r="CC611" s="644"/>
      <c r="CD611" s="644"/>
      <c r="CE611" s="644"/>
      <c r="CF611" s="644"/>
      <c r="CG611" s="644"/>
      <c r="CH611" s="644"/>
      <c r="CI611" s="644"/>
      <c r="CJ611" s="644"/>
      <c r="CK611" s="644"/>
      <c r="CL611" s="644"/>
      <c r="CM611" s="95"/>
      <c r="CN611" s="644"/>
      <c r="CO611" s="644"/>
      <c r="CP611" s="95"/>
      <c r="CQ611" s="98"/>
      <c r="CR611" s="95"/>
      <c r="CS611" s="95"/>
      <c r="CT611" s="95"/>
      <c r="CU611" s="108"/>
      <c r="CV611" s="109"/>
      <c r="CW611" s="644"/>
      <c r="CX611" s="496"/>
      <c r="CY611" s="637"/>
      <c r="CZ611" s="644"/>
      <c r="DA611" s="644"/>
      <c r="DB611" s="644"/>
      <c r="DC611" s="496"/>
      <c r="DD611" s="644"/>
      <c r="DE611" s="101"/>
      <c r="DF611" s="644"/>
      <c r="DG611" s="101"/>
      <c r="DH611" s="644"/>
      <c r="DI611" s="644"/>
      <c r="DJ611" s="644"/>
      <c r="DK611" s="644"/>
      <c r="DL611" s="644"/>
      <c r="DM611" s="101"/>
      <c r="DN611" s="644"/>
      <c r="DO611" s="644"/>
      <c r="DP611" s="644"/>
      <c r="DQ611" s="644"/>
      <c r="DR611" s="644"/>
      <c r="DS611" s="644"/>
      <c r="DT611" s="644"/>
      <c r="DU611" s="644"/>
      <c r="DV611" s="644"/>
      <c r="DW611" s="101"/>
      <c r="DX611" s="646"/>
      <c r="DY611" s="646"/>
      <c r="DZ611" s="646"/>
      <c r="EA611" s="646"/>
      <c r="EB611" s="646"/>
      <c r="EC611" s="646"/>
      <c r="ED611" s="646"/>
      <c r="EE611" s="646"/>
      <c r="EF611" s="646"/>
      <c r="EG611" s="646"/>
      <c r="EH611" s="646"/>
      <c r="EI611" s="646"/>
      <c r="EJ611" s="646"/>
      <c r="EK611" s="271"/>
      <c r="EL611" s="644"/>
      <c r="EM611" s="634"/>
      <c r="EN611" s="647"/>
      <c r="EO611" s="648"/>
      <c r="EP611" s="647"/>
      <c r="EQ611" s="647"/>
      <c r="ER611" s="647"/>
      <c r="ES611" s="139"/>
      <c r="EV611" s="647"/>
      <c r="EW611" s="647"/>
      <c r="EX611" s="647"/>
      <c r="EY611" s="647"/>
      <c r="EZ611" s="647"/>
      <c r="FA611" s="646"/>
      <c r="FB611" s="646"/>
      <c r="FC611" s="646"/>
      <c r="FD611" s="646"/>
      <c r="FE611" s="646"/>
      <c r="FF611" s="646"/>
      <c r="FG611" s="647"/>
      <c r="FH611" s="647"/>
      <c r="FI611" s="647"/>
      <c r="FJ611" s="647"/>
      <c r="FK611" s="647"/>
      <c r="FL611" s="647"/>
      <c r="FM611" s="647"/>
      <c r="FN611" s="647"/>
      <c r="FO611" s="647"/>
      <c r="FP611" s="647"/>
      <c r="FQ611" s="647"/>
      <c r="FR611" s="647"/>
      <c r="FS611" s="101"/>
      <c r="FT611" s="95"/>
      <c r="FV611" s="653"/>
      <c r="FW611" s="653"/>
      <c r="FX611" s="654"/>
      <c r="FY611" s="654"/>
      <c r="FZ611" s="654"/>
      <c r="GA611" s="654"/>
      <c r="GB611" s="654"/>
      <c r="GC611" s="654"/>
      <c r="GD611" s="654"/>
      <c r="GE611" s="654"/>
      <c r="GF611" s="654"/>
      <c r="GG611" s="654"/>
      <c r="GH611" s="654"/>
      <c r="GI611" s="654"/>
      <c r="GJ611" s="654"/>
      <c r="GK611" s="654"/>
      <c r="GL611" s="653"/>
      <c r="GM611" s="653"/>
      <c r="GN611" s="653"/>
      <c r="GO611" s="643"/>
      <c r="GP611" s="644"/>
      <c r="GQ611" s="643"/>
      <c r="GR611" s="644"/>
      <c r="GS611" s="643"/>
      <c r="GT611" s="644"/>
      <c r="GU611" s="644"/>
      <c r="GV611" s="644"/>
      <c r="GW611" s="644"/>
      <c r="GX611" s="644"/>
      <c r="GY611" s="644"/>
      <c r="GZ611" s="644"/>
      <c r="HA611" s="644"/>
    </row>
    <row r="612" spans="1:209">
      <c r="A612" s="638"/>
      <c r="B612" s="95"/>
      <c r="C612" s="95"/>
      <c r="D612" s="95"/>
      <c r="E612" s="650"/>
      <c r="F612" s="95"/>
      <c r="G612" s="98"/>
      <c r="H612" s="99"/>
      <c r="I612" s="95"/>
      <c r="J612" s="95"/>
      <c r="K612" s="95"/>
      <c r="L612" s="95"/>
      <c r="M612" s="95"/>
      <c r="N612" s="95"/>
      <c r="O612" s="95"/>
      <c r="P612" s="95"/>
      <c r="Q612" s="95"/>
      <c r="R612" s="98"/>
      <c r="S612" s="101"/>
      <c r="T612" s="644"/>
      <c r="U612" s="101"/>
      <c r="V612" s="647"/>
      <c r="W612" s="643"/>
      <c r="X612" s="644"/>
      <c r="Y612" s="101"/>
      <c r="Z612" s="644"/>
      <c r="AA612" s="101"/>
      <c r="AB612" s="644"/>
      <c r="AC612" s="101"/>
      <c r="AD612" s="646"/>
      <c r="AE612" s="271"/>
      <c r="AF612" s="646"/>
      <c r="AG612" s="646"/>
      <c r="AH612" s="646"/>
      <c r="AI612" s="646"/>
      <c r="AJ612" s="646"/>
      <c r="AK612" s="646"/>
      <c r="AL612" s="646"/>
      <c r="AM612" s="271"/>
      <c r="AN612" s="646"/>
      <c r="AO612" s="646"/>
      <c r="AP612" s="646"/>
      <c r="AQ612" s="271"/>
      <c r="AR612" s="646"/>
      <c r="AS612" s="270"/>
      <c r="AT612" s="646"/>
      <c r="AU612" s="646"/>
      <c r="AV612" s="646"/>
      <c r="AW612" s="270"/>
      <c r="AX612" s="646"/>
      <c r="AY612" s="270"/>
      <c r="AZ612" s="646"/>
      <c r="BA612" s="646"/>
      <c r="BB612" s="644"/>
      <c r="BC612" s="644"/>
      <c r="BD612" s="644"/>
      <c r="BE612" s="644"/>
      <c r="BF612" s="644"/>
      <c r="BG612" s="644"/>
      <c r="BH612" s="644"/>
      <c r="BI612" s="644"/>
      <c r="BJ612" s="644"/>
      <c r="BK612" s="644"/>
      <c r="BL612" s="644"/>
      <c r="BM612" s="95"/>
      <c r="BN612" s="644"/>
      <c r="BO612" s="95"/>
      <c r="BP612" s="644"/>
      <c r="BQ612" s="644"/>
      <c r="BR612" s="644"/>
      <c r="BS612" s="644"/>
      <c r="BT612" s="644"/>
      <c r="BU612" s="644"/>
      <c r="BV612" s="644"/>
      <c r="BW612" s="644"/>
      <c r="BX612" s="644"/>
      <c r="BY612" s="644"/>
      <c r="BZ612" s="644"/>
      <c r="CA612" s="644"/>
      <c r="CB612" s="644"/>
      <c r="CC612" s="644"/>
      <c r="CD612" s="644"/>
      <c r="CE612" s="644"/>
      <c r="CF612" s="644"/>
      <c r="CG612" s="644"/>
      <c r="CH612" s="644"/>
      <c r="CI612" s="644"/>
      <c r="CJ612" s="644"/>
      <c r="CK612" s="644"/>
      <c r="CL612" s="644"/>
      <c r="CM612" s="95"/>
      <c r="CN612" s="644"/>
      <c r="CO612" s="644"/>
      <c r="CP612" s="95"/>
      <c r="CQ612" s="98"/>
      <c r="CR612" s="95"/>
      <c r="CS612" s="95"/>
      <c r="CT612" s="95"/>
      <c r="CU612" s="108"/>
      <c r="CV612" s="109"/>
      <c r="CW612" s="644"/>
      <c r="CX612" s="496"/>
      <c r="CY612" s="637"/>
      <c r="CZ612" s="644"/>
      <c r="DA612" s="644"/>
      <c r="DB612" s="644"/>
      <c r="DC612" s="496"/>
      <c r="DD612" s="644"/>
      <c r="DE612" s="101"/>
      <c r="DF612" s="644"/>
      <c r="DG612" s="101"/>
      <c r="DH612" s="644"/>
      <c r="DI612" s="644"/>
      <c r="DJ612" s="644"/>
      <c r="DK612" s="644"/>
      <c r="DL612" s="644"/>
      <c r="DM612" s="101"/>
      <c r="DN612" s="644"/>
      <c r="DO612" s="644"/>
      <c r="DP612" s="644"/>
      <c r="DQ612" s="644"/>
      <c r="DR612" s="644"/>
      <c r="DS612" s="644"/>
      <c r="DT612" s="644"/>
      <c r="DU612" s="644"/>
      <c r="DV612" s="644"/>
      <c r="DW612" s="101"/>
      <c r="DX612" s="646"/>
      <c r="DY612" s="646"/>
      <c r="DZ612" s="646"/>
      <c r="EA612" s="646"/>
      <c r="EB612" s="646"/>
      <c r="EC612" s="646"/>
      <c r="ED612" s="646"/>
      <c r="EE612" s="646"/>
      <c r="EF612" s="646"/>
      <c r="EG612" s="646"/>
      <c r="EH612" s="646"/>
      <c r="EI612" s="646"/>
      <c r="EJ612" s="646"/>
      <c r="EK612" s="271"/>
      <c r="EL612" s="644"/>
      <c r="EM612" s="634"/>
      <c r="EN612" s="647"/>
      <c r="EO612" s="648"/>
      <c r="EP612" s="647"/>
      <c r="EQ612" s="647"/>
      <c r="ER612" s="647"/>
      <c r="ES612" s="139"/>
      <c r="EV612" s="647"/>
      <c r="EW612" s="647"/>
      <c r="EX612" s="647"/>
      <c r="EY612" s="647"/>
      <c r="EZ612" s="647"/>
      <c r="FA612" s="646"/>
      <c r="FB612" s="646"/>
      <c r="FC612" s="646"/>
      <c r="FD612" s="646"/>
      <c r="FE612" s="646"/>
      <c r="FF612" s="646"/>
      <c r="FG612" s="647"/>
      <c r="FH612" s="647"/>
      <c r="FI612" s="647"/>
      <c r="FJ612" s="647"/>
      <c r="FK612" s="647"/>
      <c r="FL612" s="647"/>
      <c r="FM612" s="647"/>
      <c r="FN612" s="647"/>
      <c r="FO612" s="647"/>
      <c r="FP612" s="647"/>
      <c r="FQ612" s="647"/>
      <c r="FR612" s="647"/>
      <c r="FS612" s="101"/>
      <c r="FT612" s="95"/>
      <c r="FV612" s="653"/>
      <c r="FW612" s="653"/>
      <c r="FX612" s="654"/>
      <c r="FY612" s="654"/>
      <c r="FZ612" s="654"/>
      <c r="GA612" s="654"/>
      <c r="GB612" s="654"/>
      <c r="GC612" s="654"/>
      <c r="GD612" s="654"/>
      <c r="GE612" s="654"/>
      <c r="GF612" s="654"/>
      <c r="GG612" s="654"/>
      <c r="GH612" s="654"/>
      <c r="GI612" s="654"/>
      <c r="GJ612" s="654"/>
      <c r="GK612" s="654"/>
      <c r="GL612" s="653"/>
      <c r="GM612" s="653"/>
      <c r="GN612" s="653"/>
      <c r="GO612" s="643"/>
      <c r="GP612" s="644"/>
      <c r="GQ612" s="643"/>
      <c r="GR612" s="644"/>
      <c r="GS612" s="643"/>
      <c r="GT612" s="644"/>
      <c r="GU612" s="644"/>
      <c r="GV612" s="644"/>
      <c r="GW612" s="644"/>
      <c r="GX612" s="644"/>
      <c r="GY612" s="644"/>
      <c r="GZ612" s="644"/>
      <c r="HA612" s="644"/>
    </row>
    <row r="613" spans="1:209">
      <c r="A613" s="638"/>
      <c r="B613" s="95"/>
      <c r="C613" s="95"/>
      <c r="D613" s="95"/>
      <c r="E613" s="650"/>
      <c r="F613" s="95"/>
      <c r="G613" s="98"/>
      <c r="H613" s="99"/>
      <c r="I613" s="95"/>
      <c r="J613" s="95"/>
      <c r="K613" s="95"/>
      <c r="L613" s="95"/>
      <c r="M613" s="95"/>
      <c r="N613" s="95"/>
      <c r="O613" s="95"/>
      <c r="P613" s="95"/>
      <c r="Q613" s="95"/>
      <c r="R613" s="98"/>
      <c r="S613" s="101"/>
      <c r="T613" s="644"/>
      <c r="U613" s="101"/>
      <c r="V613" s="647"/>
      <c r="W613" s="643"/>
      <c r="X613" s="644"/>
      <c r="Y613" s="101"/>
      <c r="Z613" s="644"/>
      <c r="AA613" s="101"/>
      <c r="AB613" s="644"/>
      <c r="AC613" s="101"/>
      <c r="AD613" s="646"/>
      <c r="AE613" s="271"/>
      <c r="AF613" s="646"/>
      <c r="AG613" s="646"/>
      <c r="AH613" s="646"/>
      <c r="AI613" s="646"/>
      <c r="AJ613" s="646"/>
      <c r="AK613" s="646"/>
      <c r="AL613" s="646"/>
      <c r="AM613" s="271"/>
      <c r="AN613" s="646"/>
      <c r="AO613" s="646"/>
      <c r="AP613" s="646"/>
      <c r="AQ613" s="271"/>
      <c r="AR613" s="646"/>
      <c r="AS613" s="270"/>
      <c r="AT613" s="646"/>
      <c r="AU613" s="646"/>
      <c r="AV613" s="646"/>
      <c r="AW613" s="270"/>
      <c r="AX613" s="646"/>
      <c r="AY613" s="270"/>
      <c r="AZ613" s="646"/>
      <c r="BA613" s="646"/>
      <c r="BB613" s="644"/>
      <c r="BC613" s="644"/>
      <c r="BD613" s="644"/>
      <c r="BE613" s="644"/>
      <c r="BF613" s="644"/>
      <c r="BG613" s="644"/>
      <c r="BH613" s="644"/>
      <c r="BI613" s="644"/>
      <c r="BJ613" s="644"/>
      <c r="BK613" s="644"/>
      <c r="BL613" s="644"/>
      <c r="BM613" s="95"/>
      <c r="BN613" s="644"/>
      <c r="BO613" s="95"/>
      <c r="BP613" s="644"/>
      <c r="BQ613" s="644"/>
      <c r="BR613" s="644"/>
      <c r="BS613" s="644"/>
      <c r="BT613" s="644"/>
      <c r="BU613" s="644"/>
      <c r="BV613" s="644"/>
      <c r="BW613" s="644"/>
      <c r="BX613" s="644"/>
      <c r="BY613" s="644"/>
      <c r="BZ613" s="644"/>
      <c r="CA613" s="644"/>
      <c r="CB613" s="644"/>
      <c r="CC613" s="644"/>
      <c r="CD613" s="644"/>
      <c r="CE613" s="644"/>
      <c r="CF613" s="644"/>
      <c r="CG613" s="644"/>
      <c r="CH613" s="644"/>
      <c r="CI613" s="644"/>
      <c r="CJ613" s="644"/>
      <c r="CK613" s="644"/>
      <c r="CL613" s="644"/>
      <c r="CM613" s="95"/>
      <c r="CN613" s="644"/>
      <c r="CO613" s="644"/>
      <c r="CP613" s="95"/>
      <c r="CQ613" s="98"/>
      <c r="CR613" s="95"/>
      <c r="CS613" s="95"/>
      <c r="CT613" s="95"/>
      <c r="CU613" s="108"/>
      <c r="CV613" s="109"/>
      <c r="CW613" s="644"/>
      <c r="CX613" s="496"/>
      <c r="CY613" s="637"/>
      <c r="CZ613" s="644"/>
      <c r="DA613" s="644"/>
      <c r="DB613" s="644"/>
      <c r="DC613" s="496"/>
      <c r="DD613" s="644"/>
      <c r="DE613" s="101"/>
      <c r="DF613" s="644"/>
      <c r="DG613" s="101"/>
      <c r="DH613" s="644"/>
      <c r="DI613" s="644"/>
      <c r="DJ613" s="644"/>
      <c r="DK613" s="644"/>
      <c r="DL613" s="644"/>
      <c r="DM613" s="101"/>
      <c r="DN613" s="644"/>
      <c r="DO613" s="644"/>
      <c r="DP613" s="644"/>
      <c r="DQ613" s="644"/>
      <c r="DR613" s="644"/>
      <c r="DS613" s="644"/>
      <c r="DT613" s="644"/>
      <c r="DU613" s="644"/>
      <c r="DV613" s="644"/>
      <c r="DW613" s="101"/>
      <c r="DX613" s="646"/>
      <c r="DY613" s="646"/>
      <c r="DZ613" s="646"/>
      <c r="EA613" s="646"/>
      <c r="EB613" s="646"/>
      <c r="EC613" s="646"/>
      <c r="ED613" s="646"/>
      <c r="EE613" s="646"/>
      <c r="EF613" s="646"/>
      <c r="EG613" s="646"/>
      <c r="EH613" s="646"/>
      <c r="EI613" s="646"/>
      <c r="EJ613" s="646"/>
      <c r="EK613" s="271"/>
      <c r="EL613" s="644"/>
      <c r="EM613" s="634"/>
      <c r="EN613" s="647"/>
      <c r="EO613" s="648"/>
      <c r="EP613" s="647"/>
      <c r="EQ613" s="647"/>
      <c r="ER613" s="647"/>
      <c r="ES613" s="139"/>
      <c r="EV613" s="647"/>
      <c r="EW613" s="647"/>
      <c r="EX613" s="647"/>
      <c r="EY613" s="647"/>
      <c r="EZ613" s="647"/>
      <c r="FA613" s="646"/>
      <c r="FB613" s="646"/>
      <c r="FC613" s="646"/>
      <c r="FD613" s="646"/>
      <c r="FE613" s="646"/>
      <c r="FF613" s="646"/>
      <c r="FG613" s="647"/>
      <c r="FH613" s="647"/>
      <c r="FI613" s="647"/>
      <c r="FJ613" s="647"/>
      <c r="FK613" s="647"/>
      <c r="FL613" s="647"/>
      <c r="FM613" s="647"/>
      <c r="FN613" s="647"/>
      <c r="FO613" s="647"/>
      <c r="FP613" s="647"/>
      <c r="FQ613" s="647"/>
      <c r="FR613" s="647"/>
      <c r="FS613" s="101"/>
      <c r="FT613" s="95"/>
      <c r="FV613" s="653"/>
      <c r="FW613" s="653"/>
      <c r="FX613" s="654"/>
      <c r="FY613" s="654"/>
      <c r="FZ613" s="654"/>
      <c r="GA613" s="654"/>
      <c r="GB613" s="654"/>
      <c r="GC613" s="654"/>
      <c r="GD613" s="654"/>
      <c r="GE613" s="654"/>
      <c r="GF613" s="654"/>
      <c r="GG613" s="654"/>
      <c r="GH613" s="654"/>
      <c r="GI613" s="654"/>
      <c r="GJ613" s="654"/>
      <c r="GK613" s="654"/>
      <c r="GL613" s="653"/>
      <c r="GM613" s="653"/>
      <c r="GN613" s="653"/>
      <c r="GO613" s="643"/>
      <c r="GP613" s="644"/>
      <c r="GQ613" s="643"/>
      <c r="GR613" s="644"/>
      <c r="GS613" s="643"/>
      <c r="GT613" s="644"/>
      <c r="GU613" s="644"/>
      <c r="GV613" s="644"/>
      <c r="GW613" s="644"/>
      <c r="GX613" s="644"/>
      <c r="GY613" s="644"/>
      <c r="GZ613" s="644"/>
      <c r="HA613" s="644"/>
    </row>
    <row r="614" spans="1:209">
      <c r="A614" s="638"/>
      <c r="B614" s="95"/>
      <c r="C614" s="95"/>
      <c r="D614" s="95"/>
      <c r="E614" s="650"/>
      <c r="F614" s="95"/>
      <c r="G614" s="98"/>
      <c r="H614" s="99"/>
      <c r="I614" s="95"/>
      <c r="J614" s="95"/>
      <c r="K614" s="95"/>
      <c r="L614" s="95"/>
      <c r="M614" s="95"/>
      <c r="N614" s="95"/>
      <c r="O614" s="95"/>
      <c r="P614" s="95"/>
      <c r="Q614" s="95"/>
      <c r="R614" s="98"/>
      <c r="S614" s="101"/>
      <c r="T614" s="644"/>
      <c r="U614" s="101"/>
      <c r="V614" s="647"/>
      <c r="W614" s="643"/>
      <c r="X614" s="644"/>
      <c r="Y614" s="101"/>
      <c r="Z614" s="644"/>
      <c r="AA614" s="101"/>
      <c r="AB614" s="644"/>
      <c r="AC614" s="101"/>
      <c r="AD614" s="646"/>
      <c r="AE614" s="271"/>
      <c r="AF614" s="646"/>
      <c r="AG614" s="646"/>
      <c r="AH614" s="646"/>
      <c r="AI614" s="646"/>
      <c r="AJ614" s="646"/>
      <c r="AK614" s="646"/>
      <c r="AL614" s="646"/>
      <c r="AM614" s="271"/>
      <c r="AN614" s="646"/>
      <c r="AO614" s="646"/>
      <c r="AP614" s="646"/>
      <c r="AQ614" s="271"/>
      <c r="AR614" s="646"/>
      <c r="AS614" s="270"/>
      <c r="AT614" s="646"/>
      <c r="AU614" s="646"/>
      <c r="AV614" s="646"/>
      <c r="AW614" s="270"/>
      <c r="AX614" s="646"/>
      <c r="AY614" s="270"/>
      <c r="AZ614" s="646"/>
      <c r="BA614" s="646"/>
      <c r="BB614" s="644"/>
      <c r="BC614" s="644"/>
      <c r="BD614" s="644"/>
      <c r="BE614" s="644"/>
      <c r="BF614" s="644"/>
      <c r="BG614" s="644"/>
      <c r="BH614" s="644"/>
      <c r="BI614" s="644"/>
      <c r="BJ614" s="644"/>
      <c r="BK614" s="644"/>
      <c r="BL614" s="644"/>
      <c r="BM614" s="95"/>
      <c r="BN614" s="644"/>
      <c r="BO614" s="95"/>
      <c r="BP614" s="644"/>
      <c r="BQ614" s="644"/>
      <c r="BR614" s="644"/>
      <c r="BS614" s="644"/>
      <c r="BT614" s="644"/>
      <c r="BU614" s="644"/>
      <c r="BV614" s="644"/>
      <c r="BW614" s="644"/>
      <c r="BX614" s="644"/>
      <c r="BY614" s="644"/>
      <c r="BZ614" s="644"/>
      <c r="CA614" s="644"/>
      <c r="CB614" s="644"/>
      <c r="CC614" s="644"/>
      <c r="CD614" s="644"/>
      <c r="CE614" s="644"/>
      <c r="CF614" s="644"/>
      <c r="CG614" s="644"/>
      <c r="CH614" s="644"/>
      <c r="CI614" s="644"/>
      <c r="CJ614" s="644"/>
      <c r="CK614" s="644"/>
      <c r="CL614" s="644"/>
      <c r="CM614" s="95"/>
      <c r="CN614" s="644"/>
      <c r="CO614" s="644"/>
      <c r="CP614" s="95"/>
      <c r="CQ614" s="98"/>
      <c r="CR614" s="95"/>
      <c r="CS614" s="95"/>
      <c r="CT614" s="95"/>
      <c r="CU614" s="108"/>
      <c r="CV614" s="109"/>
      <c r="CW614" s="644"/>
      <c r="CX614" s="496"/>
      <c r="CY614" s="637"/>
      <c r="CZ614" s="644"/>
      <c r="DA614" s="644"/>
      <c r="DB614" s="644"/>
      <c r="DC614" s="496"/>
      <c r="DD614" s="644"/>
      <c r="DE614" s="101"/>
      <c r="DF614" s="644"/>
      <c r="DG614" s="101"/>
      <c r="DH614" s="644"/>
      <c r="DI614" s="644"/>
      <c r="DJ614" s="644"/>
      <c r="DK614" s="644"/>
      <c r="DL614" s="644"/>
      <c r="DM614" s="101"/>
      <c r="DN614" s="644"/>
      <c r="DO614" s="644"/>
      <c r="DP614" s="644"/>
      <c r="DQ614" s="644"/>
      <c r="DR614" s="644"/>
      <c r="DS614" s="644"/>
      <c r="DT614" s="644"/>
      <c r="DU614" s="644"/>
      <c r="DV614" s="644"/>
      <c r="DW614" s="101"/>
      <c r="DX614" s="646"/>
      <c r="DY614" s="646"/>
      <c r="DZ614" s="646"/>
      <c r="EA614" s="646"/>
      <c r="EB614" s="646"/>
      <c r="EC614" s="646"/>
      <c r="ED614" s="646"/>
      <c r="EE614" s="646"/>
      <c r="EF614" s="646"/>
      <c r="EG614" s="646"/>
      <c r="EH614" s="646"/>
      <c r="EI614" s="646"/>
      <c r="EJ614" s="646"/>
      <c r="EK614" s="271"/>
      <c r="EL614" s="644"/>
      <c r="EM614" s="634"/>
      <c r="EN614" s="647"/>
      <c r="EO614" s="648"/>
      <c r="EP614" s="647"/>
      <c r="EQ614" s="647"/>
      <c r="ER614" s="647"/>
      <c r="ES614" s="139"/>
      <c r="EV614" s="647"/>
      <c r="EW614" s="647"/>
      <c r="EX614" s="647"/>
      <c r="EY614" s="647"/>
      <c r="EZ614" s="647"/>
      <c r="FA614" s="646"/>
      <c r="FB614" s="646"/>
      <c r="FC614" s="646"/>
      <c r="FD614" s="646"/>
      <c r="FE614" s="646"/>
      <c r="FF614" s="646"/>
      <c r="FG614" s="647"/>
      <c r="FH614" s="647"/>
      <c r="FI614" s="647"/>
      <c r="FJ614" s="647"/>
      <c r="FK614" s="647"/>
      <c r="FL614" s="647"/>
      <c r="FM614" s="647"/>
      <c r="FN614" s="647"/>
      <c r="FO614" s="647"/>
      <c r="FP614" s="647"/>
      <c r="FQ614" s="647"/>
      <c r="FR614" s="647"/>
      <c r="FS614" s="101"/>
      <c r="FT614" s="95"/>
      <c r="FV614" s="653"/>
      <c r="FW614" s="653"/>
      <c r="FX614" s="654"/>
      <c r="FY614" s="654"/>
      <c r="FZ614" s="654"/>
      <c r="GA614" s="654"/>
      <c r="GB614" s="654"/>
      <c r="GC614" s="654"/>
      <c r="GD614" s="654"/>
      <c r="GE614" s="654"/>
      <c r="GF614" s="654"/>
      <c r="GG614" s="654"/>
      <c r="GH614" s="654"/>
      <c r="GI614" s="654"/>
      <c r="GJ614" s="654"/>
      <c r="GK614" s="654"/>
      <c r="GL614" s="653"/>
      <c r="GM614" s="653"/>
      <c r="GN614" s="653"/>
      <c r="GO614" s="643"/>
      <c r="GP614" s="644"/>
      <c r="GQ614" s="643"/>
      <c r="GR614" s="644"/>
      <c r="GS614" s="643"/>
      <c r="GT614" s="644"/>
      <c r="GU614" s="644"/>
      <c r="GV614" s="644"/>
      <c r="GW614" s="644"/>
      <c r="GX614" s="644"/>
      <c r="GY614" s="644"/>
      <c r="GZ614" s="644"/>
      <c r="HA614" s="644"/>
    </row>
    <row r="615" spans="1:209">
      <c r="A615" s="638"/>
      <c r="B615" s="95"/>
      <c r="C615" s="95"/>
      <c r="D615" s="95"/>
      <c r="E615" s="650"/>
      <c r="F615" s="95"/>
      <c r="G615" s="98"/>
      <c r="H615" s="99"/>
      <c r="I615" s="95"/>
      <c r="J615" s="95"/>
      <c r="K615" s="95"/>
      <c r="L615" s="95"/>
      <c r="M615" s="95"/>
      <c r="N615" s="95"/>
      <c r="O615" s="95"/>
      <c r="P615" s="95"/>
      <c r="Q615" s="95"/>
      <c r="R615" s="98"/>
      <c r="S615" s="101"/>
      <c r="T615" s="644"/>
      <c r="U615" s="101"/>
      <c r="V615" s="647"/>
      <c r="W615" s="643"/>
      <c r="X615" s="644"/>
      <c r="Y615" s="101"/>
      <c r="Z615" s="644"/>
      <c r="AA615" s="101"/>
      <c r="AB615" s="644"/>
      <c r="AC615" s="101"/>
      <c r="AD615" s="646"/>
      <c r="AE615" s="271"/>
      <c r="AF615" s="646"/>
      <c r="AG615" s="646"/>
      <c r="AH615" s="646"/>
      <c r="AI615" s="646"/>
      <c r="AJ615" s="646"/>
      <c r="AK615" s="646"/>
      <c r="AL615" s="646"/>
      <c r="AM615" s="271"/>
      <c r="AN615" s="646"/>
      <c r="AO615" s="646"/>
      <c r="AP615" s="646"/>
      <c r="AQ615" s="271"/>
      <c r="AR615" s="646"/>
      <c r="AS615" s="270"/>
      <c r="AT615" s="646"/>
      <c r="AU615" s="646"/>
      <c r="AV615" s="646"/>
      <c r="AW615" s="270"/>
      <c r="AX615" s="646"/>
      <c r="AY615" s="270"/>
      <c r="AZ615" s="646"/>
      <c r="BA615" s="646"/>
      <c r="BB615" s="644"/>
      <c r="BC615" s="644"/>
      <c r="BD615" s="644"/>
      <c r="BE615" s="644"/>
      <c r="BF615" s="644"/>
      <c r="BG615" s="644"/>
      <c r="BH615" s="644"/>
      <c r="BI615" s="644"/>
      <c r="BJ615" s="644"/>
      <c r="BK615" s="644"/>
      <c r="BL615" s="644"/>
      <c r="BM615" s="95"/>
      <c r="BN615" s="644"/>
      <c r="BO615" s="95"/>
      <c r="BP615" s="644"/>
      <c r="BQ615" s="644"/>
      <c r="BR615" s="644"/>
      <c r="BS615" s="644"/>
      <c r="BT615" s="644"/>
      <c r="BU615" s="644"/>
      <c r="BV615" s="644"/>
      <c r="BW615" s="644"/>
      <c r="BX615" s="644"/>
      <c r="BY615" s="644"/>
      <c r="BZ615" s="644"/>
      <c r="CA615" s="644"/>
      <c r="CB615" s="644"/>
      <c r="CC615" s="644"/>
      <c r="CD615" s="644"/>
      <c r="CE615" s="644"/>
      <c r="CF615" s="644"/>
      <c r="CG615" s="644"/>
      <c r="CH615" s="644"/>
      <c r="CI615" s="644"/>
      <c r="CJ615" s="644"/>
      <c r="CK615" s="644"/>
      <c r="CL615" s="644"/>
      <c r="CM615" s="95"/>
      <c r="CN615" s="644"/>
      <c r="CO615" s="644"/>
      <c r="CP615" s="95"/>
      <c r="CQ615" s="98"/>
      <c r="CR615" s="95"/>
      <c r="CS615" s="95"/>
      <c r="CT615" s="95"/>
      <c r="CU615" s="108"/>
      <c r="CV615" s="109"/>
      <c r="CW615" s="644"/>
      <c r="CX615" s="496"/>
      <c r="CY615" s="637"/>
      <c r="CZ615" s="644"/>
      <c r="DA615" s="644"/>
      <c r="DB615" s="644"/>
      <c r="DC615" s="496"/>
      <c r="DD615" s="644"/>
      <c r="DE615" s="101"/>
      <c r="DF615" s="644"/>
      <c r="DG615" s="101"/>
      <c r="DH615" s="644"/>
      <c r="DI615" s="644"/>
      <c r="DJ615" s="644"/>
      <c r="DK615" s="644"/>
      <c r="DL615" s="644"/>
      <c r="DM615" s="101"/>
      <c r="DN615" s="644"/>
      <c r="DO615" s="644"/>
      <c r="DP615" s="644"/>
      <c r="DQ615" s="644"/>
      <c r="DR615" s="644"/>
      <c r="DS615" s="644"/>
      <c r="DT615" s="644"/>
      <c r="DU615" s="644"/>
      <c r="DV615" s="644"/>
      <c r="DW615" s="101"/>
      <c r="DX615" s="646"/>
      <c r="DY615" s="646"/>
      <c r="DZ615" s="646"/>
      <c r="EA615" s="646"/>
      <c r="EB615" s="646"/>
      <c r="EC615" s="646"/>
      <c r="ED615" s="646"/>
      <c r="EE615" s="646"/>
      <c r="EF615" s="646"/>
      <c r="EG615" s="646"/>
      <c r="EH615" s="646"/>
      <c r="EI615" s="646"/>
      <c r="EJ615" s="646"/>
      <c r="EK615" s="271"/>
      <c r="EL615" s="644"/>
      <c r="EM615" s="634"/>
      <c r="EN615" s="647"/>
      <c r="EO615" s="648"/>
      <c r="EP615" s="647"/>
      <c r="EQ615" s="647"/>
      <c r="ER615" s="647"/>
      <c r="ES615" s="139"/>
      <c r="EV615" s="647"/>
      <c r="EW615" s="647"/>
      <c r="EX615" s="647"/>
      <c r="EY615" s="647"/>
      <c r="EZ615" s="647"/>
      <c r="FA615" s="646"/>
      <c r="FB615" s="646"/>
      <c r="FC615" s="646"/>
      <c r="FD615" s="646"/>
      <c r="FE615" s="646"/>
      <c r="FF615" s="646"/>
      <c r="FG615" s="647"/>
      <c r="FH615" s="647"/>
      <c r="FI615" s="647"/>
      <c r="FJ615" s="647"/>
      <c r="FK615" s="647"/>
      <c r="FL615" s="647"/>
      <c r="FM615" s="647"/>
      <c r="FN615" s="647"/>
      <c r="FO615" s="647"/>
      <c r="FP615" s="647"/>
      <c r="FQ615" s="647"/>
      <c r="FR615" s="647"/>
      <c r="FS615" s="101"/>
      <c r="FT615" s="95"/>
      <c r="FV615" s="653"/>
      <c r="FW615" s="653"/>
      <c r="FX615" s="654"/>
      <c r="FY615" s="654"/>
      <c r="FZ615" s="654"/>
      <c r="GA615" s="654"/>
      <c r="GB615" s="654"/>
      <c r="GC615" s="654"/>
      <c r="GD615" s="654"/>
      <c r="GE615" s="654"/>
      <c r="GF615" s="654"/>
      <c r="GG615" s="654"/>
      <c r="GH615" s="654"/>
      <c r="GI615" s="654"/>
      <c r="GJ615" s="654"/>
      <c r="GK615" s="654"/>
      <c r="GL615" s="653"/>
      <c r="GM615" s="653"/>
      <c r="GN615" s="653"/>
      <c r="GO615" s="643"/>
      <c r="GP615" s="644"/>
      <c r="GQ615" s="643"/>
      <c r="GR615" s="644"/>
      <c r="GS615" s="643"/>
      <c r="GT615" s="644"/>
      <c r="GU615" s="644"/>
      <c r="GV615" s="644"/>
      <c r="GW615" s="644"/>
      <c r="GX615" s="644"/>
      <c r="GY615" s="644"/>
      <c r="GZ615" s="644"/>
      <c r="HA615" s="644"/>
    </row>
    <row r="616" spans="1:209">
      <c r="A616" s="638"/>
      <c r="B616" s="95"/>
      <c r="C616" s="95"/>
      <c r="D616" s="95"/>
      <c r="E616" s="650"/>
      <c r="F616" s="95"/>
      <c r="G616" s="98"/>
      <c r="H616" s="99"/>
      <c r="I616" s="95"/>
      <c r="J616" s="95"/>
      <c r="K616" s="95"/>
      <c r="L616" s="95"/>
      <c r="M616" s="95"/>
      <c r="N616" s="95"/>
      <c r="O616" s="95"/>
      <c r="P616" s="95"/>
      <c r="Q616" s="95"/>
      <c r="R616" s="98"/>
      <c r="S616" s="101"/>
      <c r="T616" s="644"/>
      <c r="U616" s="101"/>
      <c r="V616" s="647"/>
      <c r="W616" s="643"/>
      <c r="X616" s="644"/>
      <c r="Y616" s="101"/>
      <c r="Z616" s="644"/>
      <c r="AA616" s="101"/>
      <c r="AB616" s="644"/>
      <c r="AC616" s="101"/>
      <c r="AD616" s="646"/>
      <c r="AE616" s="271"/>
      <c r="AF616" s="646"/>
      <c r="AG616" s="646"/>
      <c r="AH616" s="646"/>
      <c r="AI616" s="646"/>
      <c r="AJ616" s="646"/>
      <c r="AK616" s="646"/>
      <c r="AL616" s="646"/>
      <c r="AM616" s="271"/>
      <c r="AN616" s="646"/>
      <c r="AO616" s="646"/>
      <c r="AP616" s="646"/>
      <c r="AQ616" s="271"/>
      <c r="AR616" s="646"/>
      <c r="AS616" s="270"/>
      <c r="AT616" s="646"/>
      <c r="AU616" s="646"/>
      <c r="AV616" s="646"/>
      <c r="AW616" s="270"/>
      <c r="AX616" s="646"/>
      <c r="AY616" s="270"/>
      <c r="AZ616" s="646"/>
      <c r="BA616" s="646"/>
      <c r="BB616" s="644"/>
      <c r="BC616" s="644"/>
      <c r="BD616" s="644"/>
      <c r="BE616" s="644"/>
      <c r="BF616" s="644"/>
      <c r="BG616" s="644"/>
      <c r="BH616" s="644"/>
      <c r="BI616" s="644"/>
      <c r="BJ616" s="644"/>
      <c r="BK616" s="644"/>
      <c r="BL616" s="644"/>
      <c r="BM616" s="95"/>
      <c r="BN616" s="644"/>
      <c r="BO616" s="95"/>
      <c r="BP616" s="644"/>
      <c r="BQ616" s="644"/>
      <c r="BR616" s="644"/>
      <c r="BS616" s="644"/>
      <c r="BT616" s="644"/>
      <c r="BU616" s="644"/>
      <c r="BV616" s="644"/>
      <c r="BW616" s="644"/>
      <c r="BX616" s="644"/>
      <c r="BY616" s="644"/>
      <c r="BZ616" s="644"/>
      <c r="CA616" s="644"/>
      <c r="CB616" s="644"/>
      <c r="CC616" s="644"/>
      <c r="CD616" s="644"/>
      <c r="CE616" s="644"/>
      <c r="CF616" s="644"/>
      <c r="CG616" s="644"/>
      <c r="CH616" s="644"/>
      <c r="CI616" s="644"/>
      <c r="CJ616" s="644"/>
      <c r="CK616" s="644"/>
      <c r="CL616" s="644"/>
      <c r="CM616" s="95"/>
      <c r="CN616" s="644"/>
      <c r="CO616" s="644"/>
      <c r="CP616" s="95"/>
      <c r="CQ616" s="98"/>
      <c r="CR616" s="95"/>
      <c r="CS616" s="95"/>
      <c r="CT616" s="95"/>
      <c r="CU616" s="108"/>
      <c r="CV616" s="109"/>
      <c r="CW616" s="644"/>
      <c r="CX616" s="496"/>
      <c r="CY616" s="637"/>
      <c r="CZ616" s="644"/>
      <c r="DA616" s="644"/>
      <c r="DB616" s="644"/>
      <c r="DC616" s="496"/>
      <c r="DD616" s="644"/>
      <c r="DE616" s="101"/>
      <c r="DF616" s="644"/>
      <c r="DG616" s="101"/>
      <c r="DH616" s="644"/>
      <c r="DI616" s="644"/>
      <c r="DJ616" s="644"/>
      <c r="DK616" s="644"/>
      <c r="DL616" s="644"/>
      <c r="DM616" s="101"/>
      <c r="DN616" s="644"/>
      <c r="DO616" s="644"/>
      <c r="DP616" s="644"/>
      <c r="DQ616" s="644"/>
      <c r="DR616" s="644"/>
      <c r="DS616" s="644"/>
      <c r="DT616" s="644"/>
      <c r="DU616" s="644"/>
      <c r="DV616" s="644"/>
      <c r="DW616" s="101"/>
      <c r="DX616" s="646"/>
      <c r="DY616" s="646"/>
      <c r="DZ616" s="646"/>
      <c r="EA616" s="646"/>
      <c r="EB616" s="646"/>
      <c r="EC616" s="646"/>
      <c r="ED616" s="646"/>
      <c r="EE616" s="646"/>
      <c r="EF616" s="646"/>
      <c r="EG616" s="646"/>
      <c r="EH616" s="646"/>
      <c r="EI616" s="646"/>
      <c r="EJ616" s="646"/>
      <c r="EK616" s="271"/>
      <c r="EL616" s="644"/>
      <c r="EM616" s="634"/>
      <c r="EN616" s="647"/>
      <c r="EO616" s="648"/>
      <c r="EP616" s="647"/>
      <c r="EQ616" s="647"/>
      <c r="ER616" s="647"/>
      <c r="ES616" s="139"/>
      <c r="EV616" s="647"/>
      <c r="EW616" s="647"/>
      <c r="EX616" s="647"/>
      <c r="EY616" s="647"/>
      <c r="EZ616" s="647"/>
      <c r="FA616" s="646"/>
      <c r="FB616" s="646"/>
      <c r="FC616" s="646"/>
      <c r="FD616" s="646"/>
      <c r="FE616" s="646"/>
      <c r="FF616" s="646"/>
      <c r="FG616" s="647"/>
      <c r="FH616" s="647"/>
      <c r="FI616" s="647"/>
      <c r="FJ616" s="647"/>
      <c r="FK616" s="647"/>
      <c r="FL616" s="647"/>
      <c r="FM616" s="647"/>
      <c r="FN616" s="647"/>
      <c r="FO616" s="647"/>
      <c r="FP616" s="647"/>
      <c r="FQ616" s="647"/>
      <c r="FR616" s="647"/>
      <c r="FS616" s="101"/>
      <c r="FT616" s="95"/>
      <c r="FV616" s="653"/>
      <c r="FW616" s="653"/>
      <c r="FX616" s="654"/>
      <c r="FY616" s="654"/>
      <c r="FZ616" s="654"/>
      <c r="GA616" s="654"/>
      <c r="GB616" s="654"/>
      <c r="GC616" s="654"/>
      <c r="GD616" s="654"/>
      <c r="GE616" s="654"/>
      <c r="GF616" s="654"/>
      <c r="GG616" s="654"/>
      <c r="GH616" s="654"/>
      <c r="GI616" s="654"/>
      <c r="GJ616" s="654"/>
      <c r="GK616" s="654"/>
      <c r="GL616" s="653"/>
      <c r="GM616" s="653"/>
      <c r="GN616" s="653"/>
      <c r="GO616" s="643"/>
      <c r="GP616" s="644"/>
      <c r="GQ616" s="643"/>
      <c r="GR616" s="644"/>
      <c r="GS616" s="643"/>
      <c r="GT616" s="644"/>
      <c r="GU616" s="644"/>
      <c r="GV616" s="644"/>
      <c r="GW616" s="644"/>
      <c r="GX616" s="644"/>
      <c r="GY616" s="644"/>
      <c r="GZ616" s="644"/>
      <c r="HA616" s="644"/>
    </row>
    <row r="617" spans="1:209">
      <c r="A617" s="638"/>
      <c r="B617" s="95"/>
      <c r="C617" s="95"/>
      <c r="D617" s="95"/>
      <c r="E617" s="650"/>
      <c r="F617" s="95"/>
      <c r="G617" s="98"/>
      <c r="H617" s="99"/>
      <c r="I617" s="95"/>
      <c r="J617" s="95"/>
      <c r="K617" s="95"/>
      <c r="L617" s="95"/>
      <c r="M617" s="95"/>
      <c r="N617" s="95"/>
      <c r="O617" s="95"/>
      <c r="P617" s="95"/>
      <c r="Q617" s="95"/>
      <c r="R617" s="98"/>
      <c r="S617" s="101"/>
      <c r="T617" s="644"/>
      <c r="U617" s="101"/>
      <c r="V617" s="647"/>
      <c r="W617" s="643"/>
      <c r="X617" s="644"/>
      <c r="Y617" s="101"/>
      <c r="Z617" s="644"/>
      <c r="AA617" s="101"/>
      <c r="AB617" s="644"/>
      <c r="AC617" s="101"/>
      <c r="AD617" s="646"/>
      <c r="AE617" s="271"/>
      <c r="AF617" s="646"/>
      <c r="AG617" s="646"/>
      <c r="AH617" s="646"/>
      <c r="AI617" s="646"/>
      <c r="AJ617" s="646"/>
      <c r="AK617" s="646"/>
      <c r="AL617" s="646"/>
      <c r="AM617" s="271"/>
      <c r="AN617" s="646"/>
      <c r="AO617" s="646"/>
      <c r="AP617" s="646"/>
      <c r="AQ617" s="271"/>
      <c r="AR617" s="646"/>
      <c r="AS617" s="270"/>
      <c r="AT617" s="646"/>
      <c r="AU617" s="646"/>
      <c r="AV617" s="646"/>
      <c r="AW617" s="270"/>
      <c r="AX617" s="646"/>
      <c r="AY617" s="270"/>
      <c r="AZ617" s="646"/>
      <c r="BA617" s="646"/>
      <c r="BB617" s="644"/>
      <c r="BC617" s="644"/>
      <c r="BD617" s="644"/>
      <c r="BE617" s="644"/>
      <c r="BF617" s="644"/>
      <c r="BG617" s="644"/>
      <c r="BH617" s="644"/>
      <c r="BI617" s="644"/>
      <c r="BJ617" s="644"/>
      <c r="BK617" s="644"/>
      <c r="BL617" s="644"/>
      <c r="BM617" s="95"/>
      <c r="BN617" s="644"/>
      <c r="BO617" s="95"/>
      <c r="BP617" s="644"/>
      <c r="BQ617" s="644"/>
      <c r="BR617" s="644"/>
      <c r="BS617" s="644"/>
      <c r="BT617" s="644"/>
      <c r="BU617" s="644"/>
      <c r="BV617" s="644"/>
      <c r="BW617" s="644"/>
      <c r="BX617" s="644"/>
      <c r="BY617" s="644"/>
      <c r="BZ617" s="644"/>
      <c r="CA617" s="644"/>
      <c r="CB617" s="644"/>
      <c r="CC617" s="644"/>
      <c r="CD617" s="644"/>
      <c r="CE617" s="644"/>
      <c r="CF617" s="644"/>
      <c r="CG617" s="644"/>
      <c r="CH617" s="644"/>
      <c r="CI617" s="644"/>
      <c r="CJ617" s="644"/>
      <c r="CK617" s="644"/>
      <c r="CL617" s="644"/>
      <c r="CM617" s="95"/>
      <c r="CN617" s="644"/>
      <c r="CO617" s="644"/>
      <c r="CP617" s="95"/>
      <c r="CQ617" s="98"/>
      <c r="CR617" s="95"/>
      <c r="CS617" s="95"/>
      <c r="CT617" s="95"/>
      <c r="CU617" s="108"/>
      <c r="CV617" s="109"/>
      <c r="CW617" s="644"/>
      <c r="CX617" s="496"/>
      <c r="CY617" s="637"/>
      <c r="CZ617" s="644"/>
      <c r="DA617" s="644"/>
      <c r="DB617" s="644"/>
      <c r="DC617" s="496"/>
      <c r="DD617" s="644"/>
      <c r="DE617" s="101"/>
      <c r="DF617" s="644"/>
      <c r="DG617" s="101"/>
      <c r="DH617" s="644"/>
      <c r="DI617" s="644"/>
      <c r="DJ617" s="644"/>
      <c r="DK617" s="644"/>
      <c r="DL617" s="644"/>
      <c r="DM617" s="101"/>
      <c r="DN617" s="644"/>
      <c r="DO617" s="644"/>
      <c r="DP617" s="644"/>
      <c r="DQ617" s="644"/>
      <c r="DR617" s="644"/>
      <c r="DS617" s="644"/>
      <c r="DT617" s="644"/>
      <c r="DU617" s="644"/>
      <c r="DV617" s="644"/>
      <c r="DW617" s="101"/>
      <c r="DX617" s="646"/>
      <c r="DY617" s="646"/>
      <c r="DZ617" s="646"/>
      <c r="EA617" s="646"/>
      <c r="EB617" s="646"/>
      <c r="EC617" s="646"/>
      <c r="ED617" s="646"/>
      <c r="EE617" s="646"/>
      <c r="EF617" s="646"/>
      <c r="EG617" s="646"/>
      <c r="EH617" s="646"/>
      <c r="EI617" s="646"/>
      <c r="EJ617" s="646"/>
      <c r="EK617" s="271"/>
      <c r="EL617" s="644"/>
      <c r="EM617" s="634"/>
      <c r="EN617" s="647"/>
      <c r="EO617" s="648"/>
      <c r="EP617" s="647"/>
      <c r="EQ617" s="647"/>
      <c r="ER617" s="647"/>
      <c r="ES617" s="139"/>
      <c r="EV617" s="647"/>
      <c r="EW617" s="647"/>
      <c r="EX617" s="647"/>
      <c r="EY617" s="647"/>
      <c r="EZ617" s="647"/>
      <c r="FA617" s="646"/>
      <c r="FB617" s="646"/>
      <c r="FC617" s="646"/>
      <c r="FD617" s="646"/>
      <c r="FE617" s="646"/>
      <c r="FF617" s="646"/>
      <c r="FG617" s="647"/>
      <c r="FH617" s="647"/>
      <c r="FI617" s="647"/>
      <c r="FJ617" s="647"/>
      <c r="FK617" s="647"/>
      <c r="FL617" s="647"/>
      <c r="FM617" s="647"/>
      <c r="FN617" s="647"/>
      <c r="FO617" s="647"/>
      <c r="FP617" s="647"/>
      <c r="FQ617" s="647"/>
      <c r="FR617" s="647"/>
      <c r="FS617" s="101"/>
      <c r="FT617" s="95"/>
      <c r="FV617" s="653"/>
      <c r="FW617" s="653"/>
      <c r="FX617" s="654"/>
      <c r="FY617" s="654"/>
      <c r="FZ617" s="654"/>
      <c r="GA617" s="654"/>
      <c r="GB617" s="654"/>
      <c r="GC617" s="654"/>
      <c r="GD617" s="654"/>
      <c r="GE617" s="654"/>
      <c r="GF617" s="654"/>
      <c r="GG617" s="654"/>
      <c r="GH617" s="654"/>
      <c r="GI617" s="654"/>
      <c r="GJ617" s="654"/>
      <c r="GK617" s="654"/>
      <c r="GL617" s="653"/>
      <c r="GM617" s="653"/>
      <c r="GN617" s="653"/>
      <c r="GO617" s="643"/>
      <c r="GP617" s="644"/>
      <c r="GQ617" s="643"/>
      <c r="GR617" s="644"/>
      <c r="GS617" s="643"/>
      <c r="GT617" s="644"/>
      <c r="GU617" s="644"/>
      <c r="GV617" s="644"/>
      <c r="GW617" s="644"/>
      <c r="GX617" s="644"/>
      <c r="GY617" s="644"/>
      <c r="GZ617" s="644"/>
      <c r="HA617" s="644"/>
    </row>
    <row r="618" spans="1:209">
      <c r="A618" s="638"/>
      <c r="B618" s="95"/>
      <c r="C618" s="95"/>
      <c r="D618" s="95"/>
      <c r="E618" s="650"/>
      <c r="F618" s="95"/>
      <c r="G618" s="98"/>
      <c r="H618" s="99"/>
      <c r="I618" s="95"/>
      <c r="J618" s="95"/>
      <c r="K618" s="95"/>
      <c r="L618" s="95"/>
      <c r="M618" s="95"/>
      <c r="N618" s="95"/>
      <c r="O618" s="95"/>
      <c r="P618" s="95"/>
      <c r="Q618" s="95"/>
      <c r="R618" s="98"/>
      <c r="S618" s="101"/>
      <c r="T618" s="644"/>
      <c r="U618" s="101"/>
      <c r="V618" s="647"/>
      <c r="W618" s="643"/>
      <c r="X618" s="644"/>
      <c r="Y618" s="101"/>
      <c r="Z618" s="644"/>
      <c r="AA618" s="101"/>
      <c r="AB618" s="644"/>
      <c r="AC618" s="101"/>
      <c r="AD618" s="646"/>
      <c r="AE618" s="271"/>
      <c r="AF618" s="646"/>
      <c r="AG618" s="646"/>
      <c r="AH618" s="646"/>
      <c r="AI618" s="646"/>
      <c r="AJ618" s="646"/>
      <c r="AK618" s="646"/>
      <c r="AL618" s="646"/>
      <c r="AM618" s="271"/>
      <c r="AN618" s="646"/>
      <c r="AO618" s="646"/>
      <c r="AP618" s="646"/>
      <c r="AQ618" s="271"/>
      <c r="AR618" s="646"/>
      <c r="AS618" s="270"/>
      <c r="AT618" s="646"/>
      <c r="AU618" s="646"/>
      <c r="AV618" s="646"/>
      <c r="AW618" s="270"/>
      <c r="AX618" s="646"/>
      <c r="AY618" s="270"/>
      <c r="AZ618" s="646"/>
      <c r="BA618" s="646"/>
      <c r="BB618" s="644"/>
      <c r="BC618" s="644"/>
      <c r="BD618" s="644"/>
      <c r="BE618" s="644"/>
      <c r="BF618" s="644"/>
      <c r="BG618" s="644"/>
      <c r="BH618" s="644"/>
      <c r="BI618" s="644"/>
      <c r="BJ618" s="644"/>
      <c r="BK618" s="644"/>
      <c r="BL618" s="644"/>
      <c r="BM618" s="95"/>
      <c r="BN618" s="644"/>
      <c r="BO618" s="95"/>
      <c r="BP618" s="644"/>
      <c r="BQ618" s="644"/>
      <c r="BR618" s="644"/>
      <c r="BS618" s="644"/>
      <c r="BT618" s="644"/>
      <c r="BU618" s="644"/>
      <c r="BV618" s="644"/>
      <c r="BW618" s="644"/>
      <c r="BX618" s="644"/>
      <c r="BY618" s="644"/>
      <c r="BZ618" s="644"/>
      <c r="CA618" s="644"/>
      <c r="CB618" s="644"/>
      <c r="CC618" s="644"/>
      <c r="CD618" s="644"/>
      <c r="CE618" s="644"/>
      <c r="CF618" s="644"/>
      <c r="CG618" s="644"/>
      <c r="CH618" s="644"/>
      <c r="CI618" s="644"/>
      <c r="CJ618" s="644"/>
      <c r="CK618" s="644"/>
      <c r="CL618" s="644"/>
      <c r="CM618" s="95"/>
      <c r="CN618" s="644"/>
      <c r="CO618" s="644"/>
      <c r="CP618" s="95"/>
      <c r="CQ618" s="98"/>
      <c r="CR618" s="95"/>
      <c r="CS618" s="95"/>
      <c r="CT618" s="95"/>
      <c r="CU618" s="108"/>
      <c r="CV618" s="109"/>
      <c r="CW618" s="644"/>
      <c r="CX618" s="496"/>
      <c r="CY618" s="637"/>
      <c r="CZ618" s="644"/>
      <c r="DA618" s="644"/>
      <c r="DB618" s="644"/>
      <c r="DC618" s="496"/>
      <c r="DD618" s="644"/>
      <c r="DE618" s="101"/>
      <c r="DF618" s="644"/>
      <c r="DG618" s="101"/>
      <c r="DH618" s="644"/>
      <c r="DI618" s="644"/>
      <c r="DJ618" s="644"/>
      <c r="DK618" s="644"/>
      <c r="DL618" s="644"/>
      <c r="DM618" s="101"/>
      <c r="DN618" s="644"/>
      <c r="DO618" s="644"/>
      <c r="DP618" s="644"/>
      <c r="DQ618" s="644"/>
      <c r="DR618" s="644"/>
      <c r="DS618" s="644"/>
      <c r="DT618" s="644"/>
      <c r="DU618" s="644"/>
      <c r="DV618" s="644"/>
      <c r="DW618" s="101"/>
      <c r="DX618" s="646"/>
      <c r="DY618" s="646"/>
      <c r="DZ618" s="646"/>
      <c r="EA618" s="646"/>
      <c r="EB618" s="646"/>
      <c r="EC618" s="646"/>
      <c r="ED618" s="646"/>
      <c r="EE618" s="646"/>
      <c r="EF618" s="646"/>
      <c r="EG618" s="646"/>
      <c r="EH618" s="646"/>
      <c r="EI618" s="646"/>
      <c r="EJ618" s="646"/>
      <c r="EK618" s="271"/>
      <c r="EL618" s="644"/>
      <c r="EM618" s="634"/>
      <c r="EN618" s="647"/>
      <c r="EO618" s="648"/>
      <c r="EP618" s="647"/>
      <c r="EQ618" s="647"/>
      <c r="ER618" s="647"/>
      <c r="ES618" s="139"/>
      <c r="EV618" s="647"/>
      <c r="EW618" s="647"/>
      <c r="EX618" s="647"/>
      <c r="EY618" s="647"/>
      <c r="EZ618" s="647"/>
      <c r="FA618" s="646"/>
      <c r="FB618" s="646"/>
      <c r="FC618" s="646"/>
      <c r="FD618" s="646"/>
      <c r="FE618" s="646"/>
      <c r="FF618" s="646"/>
      <c r="FG618" s="647"/>
      <c r="FH618" s="647"/>
      <c r="FI618" s="647"/>
      <c r="FJ618" s="647"/>
      <c r="FK618" s="647"/>
      <c r="FL618" s="647"/>
      <c r="FM618" s="647"/>
      <c r="FN618" s="647"/>
      <c r="FO618" s="647"/>
      <c r="FP618" s="647"/>
      <c r="FQ618" s="647"/>
      <c r="FR618" s="647"/>
      <c r="FS618" s="101"/>
      <c r="FT618" s="95"/>
      <c r="FV618" s="653"/>
      <c r="FW618" s="653"/>
      <c r="FX618" s="654"/>
      <c r="FY618" s="654"/>
      <c r="FZ618" s="654"/>
      <c r="GA618" s="654"/>
      <c r="GB618" s="654"/>
      <c r="GC618" s="654"/>
      <c r="GD618" s="654"/>
      <c r="GE618" s="654"/>
      <c r="GF618" s="654"/>
      <c r="GG618" s="654"/>
      <c r="GH618" s="654"/>
      <c r="GI618" s="654"/>
      <c r="GJ618" s="654"/>
      <c r="GK618" s="654"/>
      <c r="GL618" s="653"/>
      <c r="GM618" s="653"/>
      <c r="GN618" s="653"/>
      <c r="GO618" s="643"/>
      <c r="GP618" s="644"/>
      <c r="GQ618" s="643"/>
      <c r="GR618" s="644"/>
      <c r="GS618" s="643"/>
      <c r="GT618" s="644"/>
      <c r="GU618" s="644"/>
      <c r="GV618" s="644"/>
      <c r="GW618" s="644"/>
      <c r="GX618" s="644"/>
      <c r="GY618" s="644"/>
      <c r="GZ618" s="644"/>
      <c r="HA618" s="644"/>
    </row>
    <row r="619" spans="1:209">
      <c r="A619" s="638"/>
      <c r="B619" s="95"/>
      <c r="C619" s="95"/>
      <c r="D619" s="95"/>
      <c r="E619" s="650"/>
      <c r="F619" s="95"/>
      <c r="G619" s="98"/>
      <c r="H619" s="99"/>
      <c r="I619" s="95"/>
      <c r="J619" s="95"/>
      <c r="K619" s="95"/>
      <c r="L619" s="95"/>
      <c r="M619" s="95"/>
      <c r="N619" s="95"/>
      <c r="O619" s="95"/>
      <c r="P619" s="95"/>
      <c r="Q619" s="95"/>
      <c r="R619" s="98"/>
      <c r="S619" s="101"/>
      <c r="T619" s="644"/>
      <c r="U619" s="101"/>
      <c r="V619" s="647"/>
      <c r="W619" s="643"/>
      <c r="X619" s="644"/>
      <c r="Y619" s="101"/>
      <c r="Z619" s="644"/>
      <c r="AA619" s="101"/>
      <c r="AB619" s="644"/>
      <c r="AC619" s="101"/>
      <c r="AD619" s="646"/>
      <c r="AE619" s="271"/>
      <c r="AF619" s="646"/>
      <c r="AG619" s="646"/>
      <c r="AH619" s="646"/>
      <c r="AI619" s="646"/>
      <c r="AJ619" s="646"/>
      <c r="AK619" s="646"/>
      <c r="AL619" s="646"/>
      <c r="AM619" s="271"/>
      <c r="AN619" s="646"/>
      <c r="AO619" s="646"/>
      <c r="AP619" s="646"/>
      <c r="AQ619" s="271"/>
      <c r="AR619" s="646"/>
      <c r="AS619" s="270"/>
      <c r="AT619" s="646"/>
      <c r="AU619" s="646"/>
      <c r="AV619" s="646"/>
      <c r="AW619" s="270"/>
      <c r="AX619" s="646"/>
      <c r="AY619" s="270"/>
      <c r="AZ619" s="646"/>
      <c r="BA619" s="646"/>
      <c r="BB619" s="644"/>
      <c r="BC619" s="644"/>
      <c r="BD619" s="644"/>
      <c r="BE619" s="644"/>
      <c r="BF619" s="644"/>
      <c r="BG619" s="644"/>
      <c r="BH619" s="644"/>
      <c r="BI619" s="644"/>
      <c r="BJ619" s="644"/>
      <c r="BK619" s="644"/>
      <c r="BL619" s="644"/>
      <c r="BM619" s="95"/>
      <c r="BN619" s="644"/>
      <c r="BO619" s="95"/>
      <c r="BP619" s="644"/>
      <c r="BQ619" s="644"/>
      <c r="BR619" s="644"/>
      <c r="BS619" s="644"/>
      <c r="BT619" s="644"/>
      <c r="BU619" s="644"/>
      <c r="BV619" s="644"/>
      <c r="BW619" s="644"/>
      <c r="BX619" s="644"/>
      <c r="BY619" s="644"/>
      <c r="BZ619" s="644"/>
      <c r="CA619" s="644"/>
      <c r="CB619" s="644"/>
      <c r="CC619" s="644"/>
      <c r="CD619" s="644"/>
      <c r="CE619" s="644"/>
      <c r="CF619" s="644"/>
      <c r="CG619" s="644"/>
      <c r="CH619" s="644"/>
      <c r="CI619" s="644"/>
      <c r="CJ619" s="644"/>
      <c r="CK619" s="644"/>
      <c r="CL619" s="644"/>
      <c r="CM619" s="95"/>
      <c r="CN619" s="644"/>
      <c r="CO619" s="644"/>
      <c r="CP619" s="95"/>
      <c r="CQ619" s="98"/>
      <c r="CR619" s="95"/>
      <c r="CS619" s="95"/>
      <c r="CT619" s="95"/>
      <c r="CU619" s="108"/>
      <c r="CV619" s="109"/>
      <c r="CW619" s="644"/>
      <c r="CX619" s="496"/>
      <c r="CY619" s="637"/>
      <c r="CZ619" s="644"/>
      <c r="DA619" s="644"/>
      <c r="DB619" s="644"/>
      <c r="DC619" s="496"/>
      <c r="DD619" s="644"/>
      <c r="DE619" s="101"/>
      <c r="DF619" s="644"/>
      <c r="DG619" s="101"/>
      <c r="DH619" s="644"/>
      <c r="DI619" s="644"/>
      <c r="DJ619" s="644"/>
      <c r="DK619" s="644"/>
      <c r="DL619" s="644"/>
      <c r="DM619" s="101"/>
      <c r="DN619" s="644"/>
      <c r="DO619" s="644"/>
      <c r="DP619" s="644"/>
      <c r="DQ619" s="644"/>
      <c r="DR619" s="644"/>
      <c r="DS619" s="644"/>
      <c r="DT619" s="644"/>
      <c r="DU619" s="644"/>
      <c r="DV619" s="644"/>
      <c r="DW619" s="101"/>
      <c r="DX619" s="646"/>
      <c r="DY619" s="646"/>
      <c r="DZ619" s="646"/>
      <c r="EA619" s="646"/>
      <c r="EB619" s="646"/>
      <c r="EC619" s="646"/>
      <c r="ED619" s="646"/>
      <c r="EE619" s="646"/>
      <c r="EF619" s="646"/>
      <c r="EG619" s="646"/>
      <c r="EH619" s="646"/>
      <c r="EI619" s="646"/>
      <c r="EJ619" s="646"/>
      <c r="EK619" s="271"/>
      <c r="EL619" s="644"/>
      <c r="EM619" s="634"/>
      <c r="EN619" s="647"/>
      <c r="EO619" s="648"/>
      <c r="EP619" s="647"/>
      <c r="EQ619" s="647"/>
      <c r="ER619" s="647"/>
      <c r="ES619" s="139"/>
      <c r="EV619" s="647"/>
      <c r="EW619" s="647"/>
      <c r="EX619" s="647"/>
      <c r="EY619" s="647"/>
      <c r="EZ619" s="647"/>
      <c r="FA619" s="646"/>
      <c r="FB619" s="646"/>
      <c r="FC619" s="646"/>
      <c r="FD619" s="646"/>
      <c r="FE619" s="646"/>
      <c r="FF619" s="646"/>
      <c r="FG619" s="647"/>
      <c r="FH619" s="647"/>
      <c r="FI619" s="647"/>
      <c r="FJ619" s="647"/>
      <c r="FK619" s="647"/>
      <c r="FL619" s="647"/>
      <c r="FM619" s="647"/>
      <c r="FN619" s="647"/>
      <c r="FO619" s="647"/>
      <c r="FP619" s="647"/>
      <c r="FQ619" s="647"/>
      <c r="FR619" s="647"/>
      <c r="FS619" s="101"/>
      <c r="FT619" s="95"/>
      <c r="FV619" s="653"/>
      <c r="FW619" s="653"/>
      <c r="FX619" s="654"/>
      <c r="FY619" s="654"/>
      <c r="FZ619" s="654"/>
      <c r="GA619" s="654"/>
      <c r="GB619" s="654"/>
      <c r="GC619" s="654"/>
      <c r="GD619" s="654"/>
      <c r="GE619" s="654"/>
      <c r="GF619" s="654"/>
      <c r="GG619" s="654"/>
      <c r="GH619" s="654"/>
      <c r="GI619" s="654"/>
      <c r="GJ619" s="654"/>
      <c r="GK619" s="654"/>
      <c r="GL619" s="653"/>
      <c r="GM619" s="653"/>
      <c r="GN619" s="653"/>
      <c r="GO619" s="643"/>
      <c r="GP619" s="644"/>
      <c r="GQ619" s="643"/>
      <c r="GR619" s="644"/>
      <c r="GS619" s="643"/>
      <c r="GT619" s="644"/>
      <c r="GU619" s="644"/>
      <c r="GV619" s="644"/>
      <c r="GW619" s="644"/>
      <c r="GX619" s="644"/>
      <c r="GY619" s="644"/>
      <c r="GZ619" s="644"/>
      <c r="HA619" s="644"/>
    </row>
    <row r="620" spans="1:209">
      <c r="A620" s="638"/>
      <c r="B620" s="95"/>
      <c r="C620" s="95"/>
      <c r="D620" s="95"/>
      <c r="E620" s="650"/>
      <c r="F620" s="95"/>
      <c r="G620" s="98"/>
      <c r="H620" s="99"/>
      <c r="I620" s="95"/>
      <c r="J620" s="95"/>
      <c r="K620" s="95"/>
      <c r="L620" s="95"/>
      <c r="M620" s="95"/>
      <c r="N620" s="95"/>
      <c r="O620" s="95"/>
      <c r="P620" s="95"/>
      <c r="Q620" s="95"/>
      <c r="R620" s="98"/>
      <c r="S620" s="101"/>
      <c r="T620" s="644"/>
      <c r="U620" s="101"/>
      <c r="V620" s="647"/>
      <c r="W620" s="643"/>
      <c r="X620" s="644"/>
      <c r="Y620" s="101"/>
      <c r="Z620" s="644"/>
      <c r="AA620" s="101"/>
      <c r="AB620" s="644"/>
      <c r="AC620" s="101"/>
      <c r="AD620" s="646"/>
      <c r="AE620" s="271"/>
      <c r="AF620" s="646"/>
      <c r="AG620" s="646"/>
      <c r="AH620" s="646"/>
      <c r="AI620" s="646"/>
      <c r="AJ620" s="646"/>
      <c r="AK620" s="646"/>
      <c r="AL620" s="646"/>
      <c r="AM620" s="271"/>
      <c r="AN620" s="646"/>
      <c r="AO620" s="646"/>
      <c r="AP620" s="646"/>
      <c r="AQ620" s="271"/>
      <c r="AR620" s="646"/>
      <c r="AS620" s="270"/>
      <c r="AT620" s="646"/>
      <c r="AU620" s="646"/>
      <c r="AV620" s="646"/>
      <c r="AW620" s="270"/>
      <c r="AX620" s="646"/>
      <c r="AY620" s="270"/>
      <c r="AZ620" s="646"/>
      <c r="BA620" s="646"/>
      <c r="BB620" s="644"/>
      <c r="BC620" s="644"/>
      <c r="BD620" s="644"/>
      <c r="BE620" s="644"/>
      <c r="BF620" s="644"/>
      <c r="BG620" s="644"/>
      <c r="BH620" s="644"/>
      <c r="BI620" s="644"/>
      <c r="BJ620" s="644"/>
      <c r="BK620" s="644"/>
      <c r="BL620" s="644"/>
      <c r="BM620" s="95"/>
      <c r="BN620" s="644"/>
      <c r="BO620" s="95"/>
      <c r="BP620" s="644"/>
      <c r="BQ620" s="644"/>
      <c r="BR620" s="644"/>
      <c r="BS620" s="644"/>
      <c r="BT620" s="644"/>
      <c r="BU620" s="644"/>
      <c r="BV620" s="644"/>
      <c r="BW620" s="644"/>
      <c r="BX620" s="644"/>
      <c r="BY620" s="644"/>
      <c r="BZ620" s="644"/>
      <c r="CA620" s="644"/>
      <c r="CB620" s="644"/>
      <c r="CC620" s="644"/>
      <c r="CD620" s="644"/>
      <c r="CE620" s="644"/>
      <c r="CF620" s="644"/>
      <c r="CG620" s="644"/>
      <c r="CH620" s="644"/>
      <c r="CI620" s="644"/>
      <c r="CJ620" s="644"/>
      <c r="CK620" s="644"/>
      <c r="CL620" s="644"/>
      <c r="CM620" s="95"/>
      <c r="CN620" s="644"/>
      <c r="CO620" s="644"/>
      <c r="CP620" s="95"/>
      <c r="CQ620" s="98"/>
      <c r="CR620" s="95"/>
      <c r="CS620" s="95"/>
      <c r="CT620" s="95"/>
      <c r="CU620" s="108"/>
      <c r="CV620" s="109"/>
      <c r="CW620" s="644"/>
      <c r="CX620" s="496"/>
      <c r="CY620" s="637"/>
      <c r="CZ620" s="644"/>
      <c r="DA620" s="644"/>
      <c r="DB620" s="644"/>
      <c r="DC620" s="496"/>
      <c r="DD620" s="644"/>
      <c r="DE620" s="101"/>
      <c r="DF620" s="644"/>
      <c r="DG620" s="101"/>
      <c r="DH620" s="644"/>
      <c r="DI620" s="644"/>
      <c r="DJ620" s="644"/>
      <c r="DK620" s="644"/>
      <c r="DL620" s="644"/>
      <c r="DM620" s="101"/>
      <c r="DN620" s="644"/>
      <c r="DO620" s="644"/>
      <c r="DP620" s="644"/>
      <c r="DQ620" s="644"/>
      <c r="DR620" s="644"/>
      <c r="DS620" s="644"/>
      <c r="DT620" s="644"/>
      <c r="DU620" s="644"/>
      <c r="DV620" s="644"/>
      <c r="DW620" s="101"/>
      <c r="DX620" s="646"/>
      <c r="DY620" s="646"/>
      <c r="DZ620" s="646"/>
      <c r="EA620" s="646"/>
      <c r="EB620" s="646"/>
      <c r="EC620" s="646"/>
      <c r="ED620" s="646"/>
      <c r="EE620" s="646"/>
      <c r="EF620" s="646"/>
      <c r="EG620" s="646"/>
      <c r="EH620" s="646"/>
      <c r="EI620" s="646"/>
      <c r="EJ620" s="646"/>
      <c r="EK620" s="271"/>
      <c r="EL620" s="644"/>
      <c r="EM620" s="634"/>
      <c r="EN620" s="647"/>
      <c r="EO620" s="648"/>
      <c r="EP620" s="647"/>
      <c r="EQ620" s="647"/>
      <c r="ER620" s="647"/>
      <c r="ES620" s="139"/>
      <c r="EV620" s="647"/>
      <c r="EW620" s="647"/>
      <c r="EX620" s="647"/>
      <c r="EY620" s="647"/>
      <c r="EZ620" s="647"/>
      <c r="FA620" s="646"/>
      <c r="FB620" s="646"/>
      <c r="FC620" s="646"/>
      <c r="FD620" s="646"/>
      <c r="FE620" s="646"/>
      <c r="FF620" s="646"/>
      <c r="FG620" s="647"/>
      <c r="FH620" s="647"/>
      <c r="FI620" s="647"/>
      <c r="FJ620" s="647"/>
      <c r="FK620" s="647"/>
      <c r="FL620" s="647"/>
      <c r="FM620" s="647"/>
      <c r="FN620" s="647"/>
      <c r="FO620" s="647"/>
      <c r="FP620" s="647"/>
      <c r="FQ620" s="647"/>
      <c r="FR620" s="647"/>
      <c r="FS620" s="101"/>
      <c r="FT620" s="95"/>
      <c r="FV620" s="653"/>
      <c r="FW620" s="653"/>
      <c r="FX620" s="654"/>
      <c r="FY620" s="654"/>
      <c r="FZ620" s="654"/>
      <c r="GA620" s="654"/>
      <c r="GB620" s="654"/>
      <c r="GC620" s="654"/>
      <c r="GD620" s="654"/>
      <c r="GE620" s="654"/>
      <c r="GF620" s="654"/>
      <c r="GG620" s="654"/>
      <c r="GH620" s="654"/>
      <c r="GI620" s="654"/>
      <c r="GJ620" s="654"/>
      <c r="GK620" s="654"/>
      <c r="GL620" s="653"/>
      <c r="GM620" s="653"/>
      <c r="GN620" s="653"/>
      <c r="GO620" s="643"/>
      <c r="GP620" s="644"/>
      <c r="GQ620" s="643"/>
      <c r="GR620" s="644"/>
      <c r="GS620" s="643"/>
      <c r="GT620" s="644"/>
      <c r="GU620" s="644"/>
      <c r="GV620" s="644"/>
      <c r="GW620" s="644"/>
      <c r="GX620" s="644"/>
      <c r="GY620" s="644"/>
      <c r="GZ620" s="644"/>
      <c r="HA620" s="644"/>
    </row>
    <row r="621" spans="1:209">
      <c r="A621" s="638"/>
      <c r="B621" s="95"/>
      <c r="C621" s="95"/>
      <c r="D621" s="95"/>
      <c r="E621" s="650"/>
      <c r="F621" s="95"/>
      <c r="G621" s="98"/>
      <c r="H621" s="99"/>
      <c r="I621" s="95"/>
      <c r="J621" s="95"/>
      <c r="K621" s="95"/>
      <c r="L621" s="95"/>
      <c r="M621" s="95"/>
      <c r="N621" s="95"/>
      <c r="O621" s="95"/>
      <c r="P621" s="95"/>
      <c r="Q621" s="95"/>
      <c r="R621" s="98"/>
      <c r="S621" s="101"/>
      <c r="T621" s="644"/>
      <c r="U621" s="101"/>
      <c r="V621" s="647"/>
      <c r="W621" s="643"/>
      <c r="X621" s="644"/>
      <c r="Y621" s="101"/>
      <c r="Z621" s="644"/>
      <c r="AA621" s="101"/>
      <c r="AB621" s="644"/>
      <c r="AC621" s="101"/>
      <c r="AD621" s="646"/>
      <c r="AE621" s="271"/>
      <c r="AF621" s="646"/>
      <c r="AG621" s="646"/>
      <c r="AH621" s="646"/>
      <c r="AI621" s="646"/>
      <c r="AJ621" s="646"/>
      <c r="AK621" s="646"/>
      <c r="AL621" s="646"/>
      <c r="AM621" s="271"/>
      <c r="AN621" s="646"/>
      <c r="AO621" s="646"/>
      <c r="AP621" s="646"/>
      <c r="AQ621" s="271"/>
      <c r="AR621" s="646"/>
      <c r="AS621" s="270"/>
      <c r="AT621" s="646"/>
      <c r="AU621" s="646"/>
      <c r="AV621" s="646"/>
      <c r="AW621" s="270"/>
      <c r="AX621" s="646"/>
      <c r="AY621" s="270"/>
      <c r="AZ621" s="646"/>
      <c r="BA621" s="646"/>
      <c r="BB621" s="644"/>
      <c r="BC621" s="644"/>
      <c r="BD621" s="644"/>
      <c r="BE621" s="644"/>
      <c r="BF621" s="644"/>
      <c r="BG621" s="644"/>
      <c r="BH621" s="644"/>
      <c r="BI621" s="644"/>
      <c r="BJ621" s="644"/>
      <c r="BK621" s="644"/>
      <c r="BL621" s="644"/>
      <c r="BM621" s="95"/>
      <c r="BN621" s="644"/>
      <c r="BO621" s="95"/>
      <c r="BP621" s="644"/>
      <c r="BQ621" s="644"/>
      <c r="BR621" s="644"/>
      <c r="BS621" s="644"/>
      <c r="BT621" s="644"/>
      <c r="BU621" s="644"/>
      <c r="BV621" s="644"/>
      <c r="BW621" s="644"/>
      <c r="BX621" s="644"/>
      <c r="BY621" s="644"/>
      <c r="BZ621" s="644"/>
      <c r="CA621" s="644"/>
      <c r="CB621" s="644"/>
      <c r="CC621" s="644"/>
      <c r="CD621" s="644"/>
      <c r="CE621" s="644"/>
      <c r="CF621" s="644"/>
      <c r="CG621" s="644"/>
      <c r="CH621" s="644"/>
      <c r="CI621" s="644"/>
      <c r="CJ621" s="644"/>
      <c r="CK621" s="644"/>
      <c r="CL621" s="644"/>
      <c r="CM621" s="95"/>
      <c r="CN621" s="644"/>
      <c r="CO621" s="644"/>
      <c r="CP621" s="95"/>
      <c r="CQ621" s="98"/>
      <c r="CR621" s="95"/>
      <c r="CS621" s="95"/>
      <c r="CT621" s="95"/>
      <c r="CU621" s="108"/>
      <c r="CV621" s="109"/>
      <c r="CW621" s="644"/>
      <c r="CX621" s="496"/>
      <c r="CY621" s="637"/>
      <c r="CZ621" s="644"/>
      <c r="DA621" s="644"/>
      <c r="DB621" s="644"/>
      <c r="DC621" s="496"/>
      <c r="DD621" s="644"/>
      <c r="DE621" s="101"/>
      <c r="DF621" s="644"/>
      <c r="DG621" s="101"/>
      <c r="DH621" s="644"/>
      <c r="DI621" s="644"/>
      <c r="DJ621" s="644"/>
      <c r="DK621" s="644"/>
      <c r="DL621" s="644"/>
      <c r="DM621" s="101"/>
      <c r="DN621" s="644"/>
      <c r="DO621" s="644"/>
      <c r="DP621" s="644"/>
      <c r="DQ621" s="644"/>
      <c r="DR621" s="644"/>
      <c r="DS621" s="644"/>
      <c r="DT621" s="644"/>
      <c r="DU621" s="644"/>
      <c r="DV621" s="644"/>
      <c r="DW621" s="101"/>
      <c r="DX621" s="646"/>
      <c r="DY621" s="646"/>
      <c r="DZ621" s="646"/>
      <c r="EA621" s="646"/>
      <c r="EB621" s="646"/>
      <c r="EC621" s="646"/>
      <c r="ED621" s="646"/>
      <c r="EE621" s="646"/>
      <c r="EF621" s="646"/>
      <c r="EG621" s="646"/>
      <c r="EH621" s="646"/>
      <c r="EI621" s="646"/>
      <c r="EJ621" s="646"/>
      <c r="EK621" s="271"/>
      <c r="EL621" s="644"/>
      <c r="EM621" s="634"/>
      <c r="EN621" s="647"/>
      <c r="EO621" s="648"/>
      <c r="EP621" s="647"/>
      <c r="EQ621" s="647"/>
      <c r="ER621" s="647"/>
      <c r="ES621" s="139"/>
      <c r="EV621" s="647"/>
      <c r="EW621" s="647"/>
      <c r="EX621" s="647"/>
      <c r="EY621" s="647"/>
      <c r="EZ621" s="647"/>
      <c r="FA621" s="646"/>
      <c r="FB621" s="646"/>
      <c r="FC621" s="646"/>
      <c r="FD621" s="646"/>
      <c r="FE621" s="646"/>
      <c r="FF621" s="646"/>
      <c r="FG621" s="647"/>
      <c r="FH621" s="647"/>
      <c r="FI621" s="647"/>
      <c r="FJ621" s="647"/>
      <c r="FK621" s="647"/>
      <c r="FL621" s="647"/>
      <c r="FM621" s="647"/>
      <c r="FN621" s="647"/>
      <c r="FO621" s="647"/>
      <c r="FP621" s="647"/>
      <c r="FQ621" s="647"/>
      <c r="FR621" s="647"/>
      <c r="FS621" s="101"/>
      <c r="FT621" s="95"/>
      <c r="FV621" s="653"/>
      <c r="FW621" s="653"/>
      <c r="FX621" s="654"/>
      <c r="FY621" s="654"/>
      <c r="FZ621" s="654"/>
      <c r="GA621" s="654"/>
      <c r="GB621" s="654"/>
      <c r="GC621" s="654"/>
      <c r="GD621" s="654"/>
      <c r="GE621" s="654"/>
      <c r="GF621" s="654"/>
      <c r="GG621" s="654"/>
      <c r="GH621" s="654"/>
      <c r="GI621" s="654"/>
      <c r="GJ621" s="654"/>
      <c r="GK621" s="654"/>
      <c r="GL621" s="653"/>
      <c r="GM621" s="653"/>
      <c r="GN621" s="653"/>
      <c r="GO621" s="643"/>
      <c r="GP621" s="644"/>
      <c r="GQ621" s="643"/>
      <c r="GR621" s="644"/>
      <c r="GS621" s="643"/>
      <c r="GT621" s="644"/>
      <c r="GU621" s="644"/>
      <c r="GV621" s="644"/>
      <c r="GW621" s="644"/>
      <c r="GX621" s="644"/>
      <c r="GY621" s="644"/>
      <c r="GZ621" s="644"/>
      <c r="HA621" s="644"/>
    </row>
    <row r="622" spans="1:209">
      <c r="A622" s="638"/>
      <c r="B622" s="95"/>
      <c r="C622" s="95"/>
      <c r="D622" s="95"/>
      <c r="E622" s="650"/>
      <c r="F622" s="95"/>
      <c r="G622" s="98"/>
      <c r="H622" s="99"/>
      <c r="I622" s="95"/>
      <c r="J622" s="95"/>
      <c r="K622" s="95"/>
      <c r="L622" s="95"/>
      <c r="M622" s="95"/>
      <c r="N622" s="95"/>
      <c r="O622" s="95"/>
      <c r="P622" s="95"/>
      <c r="Q622" s="95"/>
      <c r="R622" s="98"/>
      <c r="S622" s="101"/>
      <c r="T622" s="644"/>
      <c r="U622" s="101"/>
      <c r="V622" s="647"/>
      <c r="W622" s="643"/>
      <c r="X622" s="644"/>
      <c r="Y622" s="101"/>
      <c r="Z622" s="644"/>
      <c r="AA622" s="101"/>
      <c r="AB622" s="644"/>
      <c r="AC622" s="101"/>
      <c r="AD622" s="646"/>
      <c r="AE622" s="271"/>
      <c r="AF622" s="646"/>
      <c r="AG622" s="646"/>
      <c r="AH622" s="646"/>
      <c r="AI622" s="646"/>
      <c r="AJ622" s="646"/>
      <c r="AK622" s="646"/>
      <c r="AL622" s="646"/>
      <c r="AM622" s="271"/>
      <c r="AN622" s="646"/>
      <c r="AO622" s="646"/>
      <c r="AP622" s="646"/>
      <c r="AQ622" s="271"/>
      <c r="AR622" s="646"/>
      <c r="AS622" s="270"/>
      <c r="AT622" s="646"/>
      <c r="AU622" s="646"/>
      <c r="AV622" s="646"/>
      <c r="AW622" s="270"/>
      <c r="AX622" s="646"/>
      <c r="AY622" s="270"/>
      <c r="AZ622" s="646"/>
      <c r="BA622" s="646"/>
      <c r="BB622" s="644"/>
      <c r="BC622" s="644"/>
      <c r="BD622" s="644"/>
      <c r="BE622" s="644"/>
      <c r="BF622" s="644"/>
      <c r="BG622" s="644"/>
      <c r="BH622" s="644"/>
      <c r="BI622" s="644"/>
      <c r="BJ622" s="644"/>
      <c r="BK622" s="644"/>
      <c r="BL622" s="644"/>
      <c r="BM622" s="95"/>
      <c r="BN622" s="644"/>
      <c r="BO622" s="95"/>
      <c r="BP622" s="644"/>
      <c r="BQ622" s="644"/>
      <c r="BR622" s="644"/>
      <c r="BS622" s="644"/>
      <c r="BT622" s="644"/>
      <c r="BU622" s="644"/>
      <c r="BV622" s="644"/>
      <c r="BW622" s="644"/>
      <c r="BX622" s="644"/>
      <c r="BY622" s="644"/>
      <c r="BZ622" s="644"/>
      <c r="CA622" s="644"/>
      <c r="CB622" s="644"/>
      <c r="CC622" s="644"/>
      <c r="CD622" s="644"/>
      <c r="CE622" s="644"/>
      <c r="CF622" s="644"/>
      <c r="CG622" s="644"/>
      <c r="CH622" s="644"/>
      <c r="CI622" s="644"/>
      <c r="CJ622" s="644"/>
      <c r="CK622" s="644"/>
      <c r="CL622" s="644"/>
      <c r="CM622" s="95"/>
      <c r="CN622" s="644"/>
      <c r="CO622" s="644"/>
      <c r="CP622" s="95"/>
      <c r="CQ622" s="98"/>
      <c r="CR622" s="95"/>
      <c r="CS622" s="95"/>
      <c r="CT622" s="95"/>
      <c r="CU622" s="108"/>
      <c r="CV622" s="109"/>
      <c r="CW622" s="644"/>
      <c r="CX622" s="496"/>
      <c r="CY622" s="637"/>
      <c r="CZ622" s="644"/>
      <c r="DA622" s="644"/>
      <c r="DB622" s="644"/>
      <c r="DC622" s="496"/>
      <c r="DD622" s="644"/>
      <c r="DE622" s="101"/>
      <c r="DF622" s="644"/>
      <c r="DG622" s="101"/>
      <c r="DH622" s="644"/>
      <c r="DI622" s="644"/>
      <c r="DJ622" s="644"/>
      <c r="DK622" s="644"/>
      <c r="DL622" s="644"/>
      <c r="DM622" s="101"/>
      <c r="DN622" s="644"/>
      <c r="DO622" s="644"/>
      <c r="DP622" s="644"/>
      <c r="DQ622" s="644"/>
      <c r="DR622" s="644"/>
      <c r="DS622" s="644"/>
      <c r="DT622" s="644"/>
      <c r="DU622" s="644"/>
      <c r="DV622" s="644"/>
      <c r="DW622" s="101"/>
      <c r="DX622" s="646"/>
      <c r="DY622" s="646"/>
      <c r="DZ622" s="646"/>
      <c r="EA622" s="646"/>
      <c r="EB622" s="646"/>
      <c r="EC622" s="646"/>
      <c r="ED622" s="646"/>
      <c r="EE622" s="646"/>
      <c r="EF622" s="646"/>
      <c r="EG622" s="646"/>
      <c r="EH622" s="646"/>
      <c r="EI622" s="646"/>
      <c r="EJ622" s="646"/>
      <c r="EK622" s="271"/>
      <c r="EL622" s="644"/>
      <c r="EM622" s="634"/>
      <c r="EN622" s="647"/>
      <c r="EO622" s="648"/>
      <c r="EP622" s="647"/>
      <c r="EQ622" s="647"/>
      <c r="ER622" s="647"/>
      <c r="ES622" s="139"/>
      <c r="EV622" s="647"/>
      <c r="EW622" s="647"/>
      <c r="EX622" s="647"/>
      <c r="EY622" s="647"/>
      <c r="EZ622" s="647"/>
      <c r="FA622" s="646"/>
      <c r="FB622" s="646"/>
      <c r="FC622" s="646"/>
      <c r="FD622" s="646"/>
      <c r="FE622" s="646"/>
      <c r="FF622" s="646"/>
      <c r="FG622" s="647"/>
      <c r="FH622" s="647"/>
      <c r="FI622" s="647"/>
      <c r="FJ622" s="647"/>
      <c r="FK622" s="647"/>
      <c r="FL622" s="647"/>
      <c r="FM622" s="647"/>
      <c r="FN622" s="647"/>
      <c r="FO622" s="647"/>
      <c r="FP622" s="647"/>
      <c r="FQ622" s="647"/>
      <c r="FR622" s="647"/>
      <c r="FS622" s="101"/>
      <c r="FT622" s="95"/>
      <c r="FV622" s="653"/>
      <c r="FW622" s="653"/>
      <c r="FX622" s="654"/>
      <c r="FY622" s="654"/>
      <c r="FZ622" s="654"/>
      <c r="GA622" s="654"/>
      <c r="GB622" s="654"/>
      <c r="GC622" s="654"/>
      <c r="GD622" s="654"/>
      <c r="GE622" s="654"/>
      <c r="GF622" s="654"/>
      <c r="GG622" s="654"/>
      <c r="GH622" s="654"/>
      <c r="GI622" s="654"/>
      <c r="GJ622" s="654"/>
      <c r="GK622" s="654"/>
      <c r="GL622" s="653"/>
      <c r="GM622" s="653"/>
      <c r="GN622" s="653"/>
      <c r="GO622" s="643"/>
      <c r="GP622" s="644"/>
      <c r="GQ622" s="643"/>
      <c r="GR622" s="644"/>
      <c r="GS622" s="643"/>
      <c r="GT622" s="644"/>
      <c r="GU622" s="644"/>
      <c r="GV622" s="644"/>
      <c r="GW622" s="644"/>
      <c r="GX622" s="644"/>
      <c r="GY622" s="644"/>
      <c r="GZ622" s="644"/>
      <c r="HA622" s="644"/>
    </row>
    <row r="623" spans="1:209">
      <c r="A623" s="638"/>
      <c r="B623" s="95"/>
      <c r="C623" s="95"/>
      <c r="D623" s="95"/>
      <c r="E623" s="650"/>
      <c r="F623" s="95"/>
      <c r="G623" s="98"/>
      <c r="H623" s="99"/>
      <c r="I623" s="95"/>
      <c r="J623" s="95"/>
      <c r="K623" s="95"/>
      <c r="L623" s="95"/>
      <c r="M623" s="95"/>
      <c r="N623" s="95"/>
      <c r="O623" s="95"/>
      <c r="P623" s="95"/>
      <c r="Q623" s="95"/>
      <c r="R623" s="98"/>
      <c r="S623" s="101"/>
      <c r="T623" s="644"/>
      <c r="U623" s="101"/>
      <c r="V623" s="647"/>
      <c r="W623" s="643"/>
      <c r="X623" s="644"/>
      <c r="Y623" s="101"/>
      <c r="Z623" s="644"/>
      <c r="AA623" s="101"/>
      <c r="AB623" s="644"/>
      <c r="AC623" s="101"/>
      <c r="AD623" s="646"/>
      <c r="AE623" s="271"/>
      <c r="AF623" s="646"/>
      <c r="AG623" s="646"/>
      <c r="AH623" s="646"/>
      <c r="AI623" s="646"/>
      <c r="AJ623" s="646"/>
      <c r="AK623" s="646"/>
      <c r="AL623" s="646"/>
      <c r="AM623" s="271"/>
      <c r="AN623" s="646"/>
      <c r="AO623" s="646"/>
      <c r="AP623" s="646"/>
      <c r="AQ623" s="271"/>
      <c r="AR623" s="646"/>
      <c r="AS623" s="270"/>
      <c r="AT623" s="646"/>
      <c r="AU623" s="646"/>
      <c r="AV623" s="646"/>
      <c r="AW623" s="270"/>
      <c r="AX623" s="646"/>
      <c r="AY623" s="270"/>
      <c r="AZ623" s="646"/>
      <c r="BA623" s="646"/>
      <c r="BB623" s="644"/>
      <c r="BC623" s="644"/>
      <c r="BD623" s="644"/>
      <c r="BE623" s="644"/>
      <c r="BF623" s="644"/>
      <c r="BG623" s="644"/>
      <c r="BH623" s="644"/>
      <c r="BI623" s="644"/>
      <c r="BJ623" s="644"/>
      <c r="BK623" s="644"/>
      <c r="BL623" s="644"/>
      <c r="BM623" s="95"/>
      <c r="BN623" s="644"/>
      <c r="BO623" s="95"/>
      <c r="BP623" s="644"/>
      <c r="BQ623" s="644"/>
      <c r="BR623" s="644"/>
      <c r="BS623" s="644"/>
      <c r="BT623" s="644"/>
      <c r="BU623" s="644"/>
      <c r="BV623" s="644"/>
      <c r="BW623" s="644"/>
      <c r="BX623" s="644"/>
      <c r="BY623" s="644"/>
      <c r="BZ623" s="644"/>
      <c r="CA623" s="644"/>
      <c r="CB623" s="644"/>
      <c r="CC623" s="644"/>
      <c r="CD623" s="644"/>
      <c r="CE623" s="644"/>
      <c r="CF623" s="644"/>
      <c r="CG623" s="644"/>
      <c r="CH623" s="644"/>
      <c r="CI623" s="644"/>
      <c r="CJ623" s="644"/>
      <c r="CK623" s="644"/>
      <c r="CL623" s="644"/>
      <c r="CM623" s="95"/>
      <c r="CN623" s="644"/>
      <c r="CO623" s="644"/>
      <c r="CP623" s="95"/>
      <c r="CQ623" s="98"/>
      <c r="CR623" s="95"/>
      <c r="CS623" s="95"/>
      <c r="CT623" s="95"/>
      <c r="CU623" s="108"/>
      <c r="CV623" s="109"/>
      <c r="CW623" s="644"/>
      <c r="CX623" s="496"/>
      <c r="CY623" s="637"/>
      <c r="CZ623" s="644"/>
      <c r="DA623" s="644"/>
      <c r="DB623" s="644"/>
      <c r="DC623" s="496"/>
      <c r="DD623" s="644"/>
      <c r="DE623" s="101"/>
      <c r="DF623" s="644"/>
      <c r="DG623" s="101"/>
      <c r="DH623" s="644"/>
      <c r="DI623" s="644"/>
      <c r="DJ623" s="644"/>
      <c r="DK623" s="644"/>
      <c r="DL623" s="644"/>
      <c r="DM623" s="101"/>
      <c r="DN623" s="644"/>
      <c r="DO623" s="644"/>
      <c r="DP623" s="644"/>
      <c r="DQ623" s="644"/>
      <c r="DR623" s="644"/>
      <c r="DS623" s="644"/>
      <c r="DT623" s="644"/>
      <c r="DU623" s="644"/>
      <c r="DV623" s="644"/>
      <c r="DW623" s="101"/>
      <c r="DX623" s="646"/>
      <c r="DY623" s="646"/>
      <c r="DZ623" s="646"/>
      <c r="EA623" s="646"/>
      <c r="EB623" s="646"/>
      <c r="EC623" s="646"/>
      <c r="ED623" s="646"/>
      <c r="EE623" s="646"/>
      <c r="EF623" s="646"/>
      <c r="EG623" s="646"/>
      <c r="EH623" s="646"/>
      <c r="EI623" s="646"/>
      <c r="EJ623" s="646"/>
      <c r="EK623" s="271"/>
      <c r="EL623" s="644"/>
      <c r="EM623" s="634"/>
      <c r="EN623" s="647"/>
      <c r="EO623" s="648"/>
      <c r="EP623" s="647"/>
      <c r="EQ623" s="647"/>
      <c r="ER623" s="647"/>
      <c r="ES623" s="139"/>
      <c r="EV623" s="647"/>
      <c r="EW623" s="647"/>
      <c r="EX623" s="647"/>
      <c r="EY623" s="647"/>
      <c r="EZ623" s="647"/>
      <c r="FA623" s="646"/>
      <c r="FB623" s="646"/>
      <c r="FC623" s="646"/>
      <c r="FD623" s="646"/>
      <c r="FE623" s="646"/>
      <c r="FF623" s="646"/>
      <c r="FG623" s="647"/>
      <c r="FH623" s="647"/>
      <c r="FI623" s="647"/>
      <c r="FJ623" s="647"/>
      <c r="FK623" s="647"/>
      <c r="FL623" s="647"/>
      <c r="FM623" s="647"/>
      <c r="FN623" s="647"/>
      <c r="FO623" s="647"/>
      <c r="FP623" s="647"/>
      <c r="FQ623" s="647"/>
      <c r="FR623" s="647"/>
      <c r="FS623" s="101"/>
      <c r="FT623" s="95"/>
      <c r="FV623" s="653"/>
      <c r="FW623" s="653"/>
      <c r="FX623" s="654"/>
      <c r="FY623" s="654"/>
      <c r="FZ623" s="654"/>
      <c r="GA623" s="654"/>
      <c r="GB623" s="654"/>
      <c r="GC623" s="654"/>
      <c r="GD623" s="654"/>
      <c r="GE623" s="654"/>
      <c r="GF623" s="654"/>
      <c r="GG623" s="654"/>
      <c r="GH623" s="654"/>
      <c r="GI623" s="654"/>
      <c r="GJ623" s="654"/>
      <c r="GK623" s="654"/>
      <c r="GL623" s="653"/>
      <c r="GM623" s="653"/>
      <c r="GN623" s="653"/>
      <c r="GO623" s="643"/>
      <c r="GP623" s="644"/>
      <c r="GQ623" s="643"/>
      <c r="GR623" s="644"/>
      <c r="GS623" s="643"/>
      <c r="GT623" s="644"/>
      <c r="GU623" s="644"/>
      <c r="GV623" s="644"/>
      <c r="GW623" s="644"/>
      <c r="GX623" s="644"/>
      <c r="GY623" s="644"/>
      <c r="GZ623" s="644"/>
      <c r="HA623" s="644"/>
    </row>
    <row r="624" spans="1:209">
      <c r="A624" s="638"/>
      <c r="B624" s="95"/>
      <c r="C624" s="95"/>
      <c r="D624" s="95"/>
      <c r="E624" s="650"/>
      <c r="F624" s="95"/>
      <c r="G624" s="98"/>
      <c r="H624" s="99"/>
      <c r="I624" s="95"/>
      <c r="J624" s="95"/>
      <c r="K624" s="95"/>
      <c r="L624" s="95"/>
      <c r="M624" s="95"/>
      <c r="N624" s="95"/>
      <c r="O624" s="95"/>
      <c r="P624" s="95"/>
      <c r="Q624" s="95"/>
      <c r="R624" s="98"/>
      <c r="S624" s="101"/>
      <c r="T624" s="644"/>
      <c r="U624" s="101"/>
      <c r="V624" s="647"/>
      <c r="W624" s="643"/>
      <c r="X624" s="644"/>
      <c r="Y624" s="101"/>
      <c r="Z624" s="644"/>
      <c r="AA624" s="101"/>
      <c r="AB624" s="644"/>
      <c r="AC624" s="101"/>
      <c r="AD624" s="646"/>
      <c r="AE624" s="271"/>
      <c r="AF624" s="646"/>
      <c r="AG624" s="646"/>
      <c r="AH624" s="646"/>
      <c r="AI624" s="646"/>
      <c r="AJ624" s="646"/>
      <c r="AK624" s="646"/>
      <c r="AL624" s="646"/>
      <c r="AM624" s="271"/>
      <c r="AN624" s="646"/>
      <c r="AO624" s="646"/>
      <c r="AP624" s="646"/>
      <c r="AQ624" s="271"/>
      <c r="AR624" s="646"/>
      <c r="AS624" s="270"/>
      <c r="AT624" s="646"/>
      <c r="AU624" s="646"/>
      <c r="AV624" s="646"/>
      <c r="AW624" s="270"/>
      <c r="AX624" s="646"/>
      <c r="AY624" s="270"/>
      <c r="AZ624" s="646"/>
      <c r="BA624" s="646"/>
      <c r="BB624" s="644"/>
      <c r="BC624" s="644"/>
      <c r="BD624" s="644"/>
      <c r="BE624" s="644"/>
      <c r="BF624" s="644"/>
      <c r="BG624" s="644"/>
      <c r="BH624" s="644"/>
      <c r="BI624" s="644"/>
      <c r="BJ624" s="644"/>
      <c r="BK624" s="644"/>
      <c r="BL624" s="644"/>
      <c r="BM624" s="95"/>
      <c r="BN624" s="644"/>
      <c r="BO624" s="95"/>
      <c r="BP624" s="644"/>
      <c r="BQ624" s="644"/>
      <c r="BR624" s="644"/>
      <c r="BS624" s="644"/>
      <c r="BT624" s="644"/>
      <c r="BU624" s="644"/>
      <c r="BV624" s="644"/>
      <c r="BW624" s="644"/>
      <c r="BX624" s="644"/>
      <c r="BY624" s="644"/>
      <c r="BZ624" s="644"/>
      <c r="CA624" s="644"/>
      <c r="CB624" s="644"/>
      <c r="CC624" s="644"/>
      <c r="CD624" s="644"/>
      <c r="CE624" s="644"/>
      <c r="CF624" s="644"/>
      <c r="CG624" s="644"/>
      <c r="CH624" s="644"/>
      <c r="CI624" s="644"/>
      <c r="CJ624" s="644"/>
      <c r="CK624" s="644"/>
      <c r="CL624" s="644"/>
      <c r="CM624" s="95"/>
      <c r="CN624" s="644"/>
      <c r="CO624" s="644"/>
      <c r="CP624" s="95"/>
      <c r="CQ624" s="98"/>
      <c r="CR624" s="95"/>
      <c r="CS624" s="95"/>
      <c r="CT624" s="95"/>
      <c r="CU624" s="108"/>
      <c r="CV624" s="109"/>
      <c r="CW624" s="644"/>
      <c r="CX624" s="496"/>
      <c r="CY624" s="637"/>
      <c r="CZ624" s="644"/>
      <c r="DA624" s="644"/>
      <c r="DB624" s="644"/>
      <c r="DC624" s="496"/>
      <c r="DD624" s="644"/>
      <c r="DE624" s="101"/>
      <c r="DF624" s="644"/>
      <c r="DG624" s="101"/>
      <c r="DH624" s="644"/>
      <c r="DI624" s="644"/>
      <c r="DJ624" s="644"/>
      <c r="DK624" s="644"/>
      <c r="DL624" s="644"/>
      <c r="DM624" s="101"/>
      <c r="DN624" s="644"/>
      <c r="DO624" s="644"/>
      <c r="DP624" s="644"/>
      <c r="DQ624" s="644"/>
      <c r="DR624" s="644"/>
      <c r="DS624" s="644"/>
      <c r="DT624" s="644"/>
      <c r="DU624" s="644"/>
      <c r="DV624" s="644"/>
      <c r="DW624" s="101"/>
      <c r="DX624" s="646"/>
      <c r="DY624" s="646"/>
      <c r="DZ624" s="646"/>
      <c r="EA624" s="646"/>
      <c r="EB624" s="646"/>
      <c r="EC624" s="646"/>
      <c r="ED624" s="646"/>
      <c r="EE624" s="646"/>
      <c r="EF624" s="646"/>
      <c r="EG624" s="646"/>
      <c r="EH624" s="646"/>
      <c r="EI624" s="646"/>
      <c r="EJ624" s="646"/>
      <c r="EK624" s="271"/>
      <c r="EL624" s="644"/>
      <c r="EM624" s="634"/>
      <c r="EN624" s="647"/>
      <c r="EO624" s="648"/>
      <c r="EP624" s="647"/>
      <c r="EQ624" s="647"/>
      <c r="ER624" s="647"/>
      <c r="ES624" s="139"/>
      <c r="EV624" s="647"/>
      <c r="EW624" s="647"/>
      <c r="EX624" s="647"/>
      <c r="EY624" s="647"/>
      <c r="EZ624" s="647"/>
      <c r="FA624" s="646"/>
      <c r="FB624" s="646"/>
      <c r="FC624" s="646"/>
      <c r="FD624" s="646"/>
      <c r="FE624" s="646"/>
      <c r="FF624" s="646"/>
      <c r="FG624" s="647"/>
      <c r="FH624" s="647"/>
      <c r="FI624" s="647"/>
      <c r="FJ624" s="647"/>
      <c r="FK624" s="647"/>
      <c r="FL624" s="647"/>
      <c r="FM624" s="647"/>
      <c r="FN624" s="647"/>
      <c r="FO624" s="647"/>
      <c r="FP624" s="647"/>
      <c r="FQ624" s="647"/>
      <c r="FR624" s="647"/>
      <c r="FS624" s="101"/>
      <c r="FT624" s="95"/>
      <c r="FV624" s="653"/>
      <c r="FW624" s="653"/>
      <c r="FX624" s="654"/>
      <c r="FY624" s="654"/>
      <c r="FZ624" s="654"/>
      <c r="GA624" s="654"/>
      <c r="GB624" s="654"/>
      <c r="GC624" s="654"/>
      <c r="GD624" s="654"/>
      <c r="GE624" s="654"/>
      <c r="GF624" s="654"/>
      <c r="GG624" s="654"/>
      <c r="GH624" s="654"/>
      <c r="GI624" s="654"/>
      <c r="GJ624" s="654"/>
      <c r="GK624" s="654"/>
      <c r="GL624" s="653"/>
      <c r="GM624" s="653"/>
      <c r="GN624" s="653"/>
      <c r="GO624" s="643"/>
      <c r="GP624" s="644"/>
      <c r="GQ624" s="643"/>
      <c r="GR624" s="644"/>
      <c r="GS624" s="643"/>
      <c r="GT624" s="644"/>
      <c r="GU624" s="644"/>
      <c r="GV624" s="644"/>
      <c r="GW624" s="644"/>
      <c r="GX624" s="644"/>
      <c r="GY624" s="644"/>
      <c r="GZ624" s="644"/>
      <c r="HA624" s="644"/>
    </row>
    <row r="625" spans="1:209">
      <c r="A625" s="638"/>
      <c r="B625" s="95"/>
      <c r="C625" s="95"/>
      <c r="D625" s="95"/>
      <c r="E625" s="650"/>
      <c r="F625" s="95"/>
      <c r="G625" s="98"/>
      <c r="H625" s="99"/>
      <c r="I625" s="95"/>
      <c r="J625" s="95"/>
      <c r="K625" s="95"/>
      <c r="L625" s="95"/>
      <c r="M625" s="95"/>
      <c r="N625" s="95"/>
      <c r="O625" s="95"/>
      <c r="P625" s="95"/>
      <c r="Q625" s="95"/>
      <c r="R625" s="98"/>
      <c r="S625" s="101"/>
      <c r="T625" s="644"/>
      <c r="U625" s="101"/>
      <c r="V625" s="647"/>
      <c r="W625" s="643"/>
      <c r="X625" s="644"/>
      <c r="Y625" s="101"/>
      <c r="Z625" s="644"/>
      <c r="AA625" s="101"/>
      <c r="AB625" s="644"/>
      <c r="AC625" s="101"/>
      <c r="AD625" s="646"/>
      <c r="AE625" s="271"/>
      <c r="AF625" s="646"/>
      <c r="AG625" s="646"/>
      <c r="AH625" s="646"/>
      <c r="AI625" s="646"/>
      <c r="AJ625" s="646"/>
      <c r="AK625" s="646"/>
      <c r="AL625" s="646"/>
      <c r="AM625" s="271"/>
      <c r="AN625" s="646"/>
      <c r="AO625" s="646"/>
      <c r="AP625" s="646"/>
      <c r="AQ625" s="271"/>
      <c r="AR625" s="646"/>
      <c r="AS625" s="270"/>
      <c r="AT625" s="646"/>
      <c r="AU625" s="646"/>
      <c r="AV625" s="646"/>
      <c r="AW625" s="270"/>
      <c r="AX625" s="646"/>
      <c r="AY625" s="270"/>
      <c r="AZ625" s="646"/>
      <c r="BA625" s="646"/>
      <c r="BB625" s="644"/>
      <c r="BC625" s="644"/>
      <c r="BD625" s="644"/>
      <c r="BE625" s="644"/>
      <c r="BF625" s="644"/>
      <c r="BG625" s="644"/>
      <c r="BH625" s="644"/>
      <c r="BI625" s="644"/>
      <c r="BJ625" s="644"/>
      <c r="BK625" s="644"/>
      <c r="BL625" s="644"/>
      <c r="BM625" s="95"/>
      <c r="BN625" s="644"/>
      <c r="BO625" s="95"/>
      <c r="BP625" s="644"/>
      <c r="BQ625" s="644"/>
      <c r="BR625" s="644"/>
      <c r="BS625" s="644"/>
      <c r="BT625" s="644"/>
      <c r="BU625" s="644"/>
      <c r="BV625" s="644"/>
      <c r="BW625" s="644"/>
      <c r="BX625" s="644"/>
      <c r="BY625" s="644"/>
      <c r="BZ625" s="644"/>
      <c r="CA625" s="644"/>
      <c r="CB625" s="644"/>
      <c r="CC625" s="644"/>
      <c r="CD625" s="644"/>
      <c r="CE625" s="644"/>
      <c r="CF625" s="644"/>
      <c r="CG625" s="644"/>
      <c r="CH625" s="644"/>
      <c r="CI625" s="644"/>
      <c r="CJ625" s="644"/>
      <c r="CK625" s="644"/>
      <c r="CL625" s="644"/>
      <c r="CM625" s="95"/>
      <c r="CN625" s="644"/>
      <c r="CO625" s="644"/>
      <c r="CP625" s="95"/>
      <c r="CQ625" s="98"/>
      <c r="CR625" s="95"/>
      <c r="CS625" s="95"/>
      <c r="CT625" s="95"/>
      <c r="CU625" s="108"/>
      <c r="CV625" s="109"/>
      <c r="CW625" s="644"/>
      <c r="CX625" s="496"/>
      <c r="CY625" s="637"/>
      <c r="CZ625" s="644"/>
      <c r="DA625" s="644"/>
      <c r="DB625" s="644"/>
      <c r="DC625" s="496"/>
      <c r="DD625" s="644"/>
      <c r="DE625" s="101"/>
      <c r="DF625" s="644"/>
      <c r="DG625" s="101"/>
      <c r="DH625" s="644"/>
      <c r="DI625" s="644"/>
      <c r="DJ625" s="644"/>
      <c r="DK625" s="644"/>
      <c r="DL625" s="644"/>
      <c r="DM625" s="101"/>
      <c r="DN625" s="644"/>
      <c r="DO625" s="644"/>
      <c r="DP625" s="644"/>
      <c r="DQ625" s="644"/>
      <c r="DR625" s="644"/>
      <c r="DS625" s="644"/>
      <c r="DT625" s="644"/>
      <c r="DU625" s="644"/>
      <c r="DV625" s="644"/>
      <c r="DW625" s="101"/>
      <c r="DX625" s="646"/>
      <c r="DY625" s="646"/>
      <c r="DZ625" s="646"/>
      <c r="EA625" s="646"/>
      <c r="EB625" s="646"/>
      <c r="EC625" s="646"/>
      <c r="ED625" s="646"/>
      <c r="EE625" s="646"/>
      <c r="EF625" s="646"/>
      <c r="EG625" s="646"/>
      <c r="EH625" s="646"/>
      <c r="EI625" s="646"/>
      <c r="EJ625" s="646"/>
      <c r="EK625" s="271"/>
      <c r="EL625" s="644"/>
      <c r="EM625" s="634"/>
      <c r="EN625" s="647"/>
      <c r="EO625" s="648"/>
      <c r="EP625" s="647"/>
      <c r="EQ625" s="647"/>
      <c r="ER625" s="647"/>
      <c r="ES625" s="139"/>
      <c r="EV625" s="647"/>
      <c r="EW625" s="647"/>
      <c r="EX625" s="647"/>
      <c r="EY625" s="647"/>
      <c r="EZ625" s="647"/>
      <c r="FA625" s="646"/>
      <c r="FB625" s="646"/>
      <c r="FC625" s="646"/>
      <c r="FD625" s="646"/>
      <c r="FE625" s="646"/>
      <c r="FF625" s="646"/>
      <c r="FG625" s="647"/>
      <c r="FH625" s="647"/>
      <c r="FI625" s="647"/>
      <c r="FJ625" s="647"/>
      <c r="FK625" s="647"/>
      <c r="FL625" s="647"/>
      <c r="FM625" s="647"/>
      <c r="FN625" s="647"/>
      <c r="FO625" s="647"/>
      <c r="FP625" s="647"/>
      <c r="FQ625" s="647"/>
      <c r="FR625" s="647"/>
      <c r="FS625" s="101"/>
      <c r="FT625" s="95"/>
      <c r="FV625" s="653"/>
      <c r="FW625" s="653"/>
      <c r="FX625" s="654"/>
      <c r="FY625" s="654"/>
      <c r="FZ625" s="654"/>
      <c r="GA625" s="654"/>
      <c r="GB625" s="654"/>
      <c r="GC625" s="654"/>
      <c r="GD625" s="654"/>
      <c r="GE625" s="654"/>
      <c r="GF625" s="654"/>
      <c r="GG625" s="654"/>
      <c r="GH625" s="654"/>
      <c r="GI625" s="654"/>
      <c r="GJ625" s="654"/>
      <c r="GK625" s="654"/>
      <c r="GL625" s="653"/>
      <c r="GM625" s="653"/>
      <c r="GN625" s="653"/>
      <c r="GO625" s="643"/>
      <c r="GP625" s="644"/>
      <c r="GQ625" s="643"/>
      <c r="GR625" s="644"/>
      <c r="GS625" s="643"/>
      <c r="GT625" s="644"/>
      <c r="GU625" s="644"/>
      <c r="GV625" s="644"/>
      <c r="GW625" s="644"/>
      <c r="GX625" s="644"/>
      <c r="GY625" s="644"/>
      <c r="GZ625" s="644"/>
      <c r="HA625" s="644"/>
    </row>
    <row r="626" spans="1:209">
      <c r="A626" s="638"/>
      <c r="B626" s="95"/>
      <c r="C626" s="95"/>
      <c r="D626" s="95"/>
      <c r="E626" s="650"/>
      <c r="F626" s="95"/>
      <c r="G626" s="98"/>
      <c r="H626" s="99"/>
      <c r="I626" s="95"/>
      <c r="J626" s="95"/>
      <c r="K626" s="95"/>
      <c r="L626" s="95"/>
      <c r="M626" s="95"/>
      <c r="N626" s="95"/>
      <c r="O626" s="95"/>
      <c r="P626" s="95"/>
      <c r="Q626" s="95"/>
      <c r="R626" s="98"/>
      <c r="S626" s="101"/>
      <c r="T626" s="644"/>
      <c r="U626" s="101"/>
      <c r="V626" s="647"/>
      <c r="W626" s="643"/>
      <c r="X626" s="644"/>
      <c r="Y626" s="101"/>
      <c r="Z626" s="644"/>
      <c r="AA626" s="101"/>
      <c r="AB626" s="644"/>
      <c r="AC626" s="101"/>
      <c r="AD626" s="646"/>
      <c r="AE626" s="271"/>
      <c r="AF626" s="646"/>
      <c r="AG626" s="646"/>
      <c r="AH626" s="646"/>
      <c r="AI626" s="646"/>
      <c r="AJ626" s="646"/>
      <c r="AK626" s="646"/>
      <c r="AL626" s="646"/>
      <c r="AM626" s="271"/>
      <c r="AN626" s="646"/>
      <c r="AO626" s="646"/>
      <c r="AP626" s="646"/>
      <c r="AQ626" s="271"/>
      <c r="AR626" s="646"/>
      <c r="AS626" s="270"/>
      <c r="AT626" s="646"/>
      <c r="AU626" s="646"/>
      <c r="AV626" s="646"/>
      <c r="AW626" s="270"/>
      <c r="AX626" s="646"/>
      <c r="AY626" s="270"/>
      <c r="AZ626" s="646"/>
      <c r="BA626" s="646"/>
      <c r="BB626" s="644"/>
      <c r="BC626" s="644"/>
      <c r="BD626" s="644"/>
      <c r="BE626" s="644"/>
      <c r="BF626" s="644"/>
      <c r="BG626" s="644"/>
      <c r="BH626" s="644"/>
      <c r="BI626" s="644"/>
      <c r="BJ626" s="644"/>
      <c r="BK626" s="644"/>
      <c r="BL626" s="644"/>
      <c r="BM626" s="95"/>
      <c r="BN626" s="644"/>
      <c r="BO626" s="95"/>
      <c r="BP626" s="644"/>
      <c r="BQ626" s="644"/>
      <c r="BR626" s="644"/>
      <c r="BS626" s="644"/>
      <c r="BT626" s="644"/>
      <c r="BU626" s="644"/>
      <c r="BV626" s="644"/>
      <c r="BW626" s="644"/>
      <c r="BX626" s="644"/>
      <c r="BY626" s="644"/>
      <c r="BZ626" s="644"/>
      <c r="CA626" s="644"/>
      <c r="CB626" s="644"/>
      <c r="CC626" s="644"/>
      <c r="CD626" s="644"/>
      <c r="CE626" s="644"/>
      <c r="CF626" s="644"/>
      <c r="CG626" s="644"/>
      <c r="CH626" s="644"/>
      <c r="CI626" s="644"/>
      <c r="CJ626" s="644"/>
      <c r="CK626" s="644"/>
      <c r="CL626" s="644"/>
      <c r="CM626" s="95"/>
      <c r="CN626" s="644"/>
      <c r="CO626" s="644"/>
      <c r="CP626" s="95"/>
      <c r="CQ626" s="98"/>
      <c r="CR626" s="95"/>
      <c r="CS626" s="95"/>
      <c r="CT626" s="95"/>
      <c r="CU626" s="108"/>
      <c r="CV626" s="109"/>
      <c r="CW626" s="644"/>
      <c r="CX626" s="496"/>
      <c r="CY626" s="637"/>
      <c r="CZ626" s="644"/>
      <c r="DA626" s="644"/>
      <c r="DB626" s="644"/>
      <c r="DC626" s="496"/>
      <c r="DD626" s="644"/>
      <c r="DE626" s="101"/>
      <c r="DF626" s="644"/>
      <c r="DG626" s="101"/>
      <c r="DH626" s="644"/>
      <c r="DI626" s="644"/>
      <c r="DJ626" s="644"/>
      <c r="DK626" s="644"/>
      <c r="DL626" s="644"/>
      <c r="DM626" s="101"/>
      <c r="DN626" s="644"/>
      <c r="DO626" s="644"/>
      <c r="DP626" s="644"/>
      <c r="DQ626" s="644"/>
      <c r="DR626" s="644"/>
      <c r="DS626" s="644"/>
      <c r="DT626" s="644"/>
      <c r="DU626" s="644"/>
      <c r="DV626" s="644"/>
      <c r="DW626" s="101"/>
      <c r="DX626" s="646"/>
      <c r="DY626" s="646"/>
      <c r="DZ626" s="646"/>
      <c r="EA626" s="646"/>
      <c r="EB626" s="646"/>
      <c r="EC626" s="646"/>
      <c r="ED626" s="646"/>
      <c r="EE626" s="646"/>
      <c r="EF626" s="646"/>
      <c r="EG626" s="646"/>
      <c r="EH626" s="646"/>
      <c r="EI626" s="646"/>
      <c r="EJ626" s="646"/>
      <c r="EK626" s="271"/>
      <c r="EL626" s="644"/>
      <c r="EM626" s="634"/>
      <c r="EN626" s="647"/>
      <c r="EO626" s="648"/>
      <c r="EP626" s="647"/>
      <c r="EQ626" s="647"/>
      <c r="ER626" s="647"/>
      <c r="ES626" s="139"/>
      <c r="EV626" s="647"/>
      <c r="EW626" s="647"/>
      <c r="EX626" s="647"/>
      <c r="EY626" s="647"/>
      <c r="EZ626" s="647"/>
      <c r="FA626" s="646"/>
      <c r="FB626" s="646"/>
      <c r="FC626" s="646"/>
      <c r="FD626" s="646"/>
      <c r="FE626" s="646"/>
      <c r="FF626" s="646"/>
      <c r="FG626" s="647"/>
      <c r="FH626" s="647"/>
      <c r="FI626" s="647"/>
      <c r="FJ626" s="647"/>
      <c r="FK626" s="647"/>
      <c r="FL626" s="647"/>
      <c r="FM626" s="647"/>
      <c r="FN626" s="647"/>
      <c r="FO626" s="647"/>
      <c r="FP626" s="647"/>
      <c r="FQ626" s="647"/>
      <c r="FR626" s="647"/>
      <c r="FS626" s="101"/>
      <c r="FT626" s="95"/>
      <c r="FV626" s="653"/>
      <c r="FW626" s="653"/>
      <c r="FX626" s="654"/>
      <c r="FY626" s="654"/>
      <c r="FZ626" s="654"/>
      <c r="GA626" s="654"/>
      <c r="GB626" s="654"/>
      <c r="GC626" s="654"/>
      <c r="GD626" s="654"/>
      <c r="GE626" s="654"/>
      <c r="GF626" s="654"/>
      <c r="GG626" s="654"/>
      <c r="GH626" s="654"/>
      <c r="GI626" s="654"/>
      <c r="GJ626" s="654"/>
      <c r="GK626" s="654"/>
      <c r="GL626" s="653"/>
      <c r="GM626" s="653"/>
      <c r="GN626" s="653"/>
      <c r="GO626" s="643"/>
      <c r="GP626" s="644"/>
      <c r="GQ626" s="643"/>
      <c r="GR626" s="644"/>
      <c r="GS626" s="643"/>
      <c r="GT626" s="644"/>
      <c r="GU626" s="644"/>
      <c r="GV626" s="644"/>
      <c r="GW626" s="644"/>
      <c r="GX626" s="644"/>
      <c r="GY626" s="644"/>
      <c r="GZ626" s="644"/>
      <c r="HA626" s="644"/>
    </row>
    <row r="627" spans="1:209">
      <c r="A627" s="638"/>
      <c r="B627" s="95"/>
      <c r="C627" s="95"/>
      <c r="D627" s="95"/>
      <c r="E627" s="650"/>
      <c r="F627" s="95"/>
      <c r="G627" s="98"/>
      <c r="H627" s="99"/>
      <c r="I627" s="95"/>
      <c r="J627" s="95"/>
      <c r="K627" s="95"/>
      <c r="L627" s="95"/>
      <c r="M627" s="95"/>
      <c r="N627" s="95"/>
      <c r="O627" s="95"/>
      <c r="P627" s="95"/>
      <c r="Q627" s="95"/>
      <c r="R627" s="98"/>
      <c r="S627" s="101"/>
      <c r="T627" s="644"/>
      <c r="U627" s="101"/>
      <c r="V627" s="647"/>
      <c r="W627" s="643"/>
      <c r="X627" s="644"/>
      <c r="Y627" s="101"/>
      <c r="Z627" s="644"/>
      <c r="AA627" s="101"/>
      <c r="AB627" s="644"/>
      <c r="AC627" s="101"/>
      <c r="AD627" s="646"/>
      <c r="AE627" s="271"/>
      <c r="AF627" s="646"/>
      <c r="AG627" s="646"/>
      <c r="AH627" s="646"/>
      <c r="AI627" s="646"/>
      <c r="AJ627" s="646"/>
      <c r="AK627" s="646"/>
      <c r="AL627" s="646"/>
      <c r="AM627" s="271"/>
      <c r="AN627" s="646"/>
      <c r="AO627" s="646"/>
      <c r="AP627" s="646"/>
      <c r="AQ627" s="271"/>
      <c r="AR627" s="646"/>
      <c r="AS627" s="270"/>
      <c r="AT627" s="646"/>
      <c r="AU627" s="646"/>
      <c r="AV627" s="646"/>
      <c r="AW627" s="270"/>
      <c r="AX627" s="646"/>
      <c r="AY627" s="270"/>
      <c r="AZ627" s="646"/>
      <c r="BA627" s="646"/>
      <c r="BB627" s="644"/>
      <c r="BC627" s="644"/>
      <c r="BD627" s="644"/>
      <c r="BE627" s="644"/>
      <c r="BF627" s="644"/>
      <c r="BG627" s="644"/>
      <c r="BH627" s="644"/>
      <c r="BI627" s="644"/>
      <c r="BJ627" s="644"/>
      <c r="BK627" s="644"/>
      <c r="BL627" s="644"/>
      <c r="BM627" s="95"/>
      <c r="BN627" s="644"/>
      <c r="BO627" s="95"/>
      <c r="BP627" s="644"/>
      <c r="BQ627" s="644"/>
      <c r="BR627" s="644"/>
      <c r="BS627" s="644"/>
      <c r="BT627" s="644"/>
      <c r="BU627" s="644"/>
      <c r="BV627" s="644"/>
      <c r="BW627" s="644"/>
      <c r="BX627" s="644"/>
      <c r="BY627" s="644"/>
      <c r="BZ627" s="644"/>
      <c r="CA627" s="644"/>
      <c r="CB627" s="644"/>
      <c r="CC627" s="644"/>
      <c r="CD627" s="644"/>
      <c r="CE627" s="644"/>
      <c r="CF627" s="644"/>
      <c r="CG627" s="644"/>
      <c r="CH627" s="644"/>
      <c r="CI627" s="644"/>
      <c r="CJ627" s="644"/>
      <c r="CK627" s="644"/>
      <c r="CL627" s="644"/>
      <c r="CM627" s="95"/>
      <c r="CN627" s="644"/>
      <c r="CO627" s="644"/>
      <c r="CP627" s="95"/>
      <c r="CQ627" s="98"/>
      <c r="CR627" s="95"/>
      <c r="CS627" s="95"/>
      <c r="CT627" s="95"/>
      <c r="CU627" s="108"/>
      <c r="CV627" s="109"/>
      <c r="CW627" s="644"/>
      <c r="CX627" s="496"/>
      <c r="CY627" s="637"/>
      <c r="CZ627" s="644"/>
      <c r="DA627" s="644"/>
      <c r="DB627" s="644"/>
      <c r="DC627" s="496"/>
      <c r="DD627" s="644"/>
      <c r="DE627" s="101"/>
      <c r="DF627" s="644"/>
      <c r="DG627" s="101"/>
      <c r="DH627" s="644"/>
      <c r="DI627" s="644"/>
      <c r="DJ627" s="644"/>
      <c r="DK627" s="644"/>
      <c r="DL627" s="644"/>
      <c r="DM627" s="101"/>
      <c r="DN627" s="644"/>
      <c r="DO627" s="644"/>
      <c r="DP627" s="644"/>
      <c r="DQ627" s="644"/>
      <c r="DR627" s="644"/>
      <c r="DS627" s="644"/>
      <c r="DT627" s="644"/>
      <c r="DU627" s="644"/>
      <c r="DV627" s="644"/>
      <c r="DW627" s="101"/>
      <c r="DX627" s="646"/>
      <c r="DY627" s="646"/>
      <c r="DZ627" s="646"/>
      <c r="EA627" s="646"/>
      <c r="EB627" s="646"/>
      <c r="EC627" s="646"/>
      <c r="ED627" s="646"/>
      <c r="EE627" s="646"/>
      <c r="EF627" s="646"/>
      <c r="EG627" s="646"/>
      <c r="EH627" s="646"/>
      <c r="EI627" s="646"/>
      <c r="EJ627" s="646"/>
      <c r="EK627" s="271"/>
      <c r="EL627" s="644"/>
      <c r="EM627" s="634"/>
      <c r="EN627" s="647"/>
      <c r="EO627" s="648"/>
      <c r="EP627" s="647"/>
      <c r="EQ627" s="647"/>
      <c r="ER627" s="647"/>
      <c r="ES627" s="139"/>
      <c r="EV627" s="647"/>
      <c r="EW627" s="647"/>
      <c r="EX627" s="647"/>
      <c r="EY627" s="647"/>
      <c r="EZ627" s="647"/>
      <c r="FA627" s="646"/>
      <c r="FB627" s="646"/>
      <c r="FC627" s="646"/>
      <c r="FD627" s="646"/>
      <c r="FE627" s="646"/>
      <c r="FF627" s="646"/>
      <c r="FG627" s="647"/>
      <c r="FH627" s="647"/>
      <c r="FI627" s="647"/>
      <c r="FJ627" s="647"/>
      <c r="FK627" s="647"/>
      <c r="FL627" s="647"/>
      <c r="FM627" s="647"/>
      <c r="FN627" s="647"/>
      <c r="FO627" s="647"/>
      <c r="FP627" s="647"/>
      <c r="FQ627" s="647"/>
      <c r="FR627" s="647"/>
      <c r="FS627" s="101"/>
      <c r="FT627" s="95"/>
      <c r="FV627" s="653"/>
      <c r="FW627" s="653"/>
      <c r="FX627" s="654"/>
      <c r="FY627" s="654"/>
      <c r="FZ627" s="654"/>
      <c r="GA627" s="654"/>
      <c r="GB627" s="654"/>
      <c r="GC627" s="654"/>
      <c r="GD627" s="654"/>
      <c r="GE627" s="654"/>
      <c r="GF627" s="654"/>
      <c r="GG627" s="654"/>
      <c r="GH627" s="654"/>
      <c r="GI627" s="654"/>
      <c r="GJ627" s="654"/>
      <c r="GK627" s="654"/>
      <c r="GL627" s="653"/>
      <c r="GM627" s="653"/>
      <c r="GN627" s="653"/>
      <c r="GO627" s="643"/>
      <c r="GP627" s="644"/>
      <c r="GQ627" s="643"/>
      <c r="GR627" s="644"/>
      <c r="GS627" s="643"/>
      <c r="GT627" s="644"/>
      <c r="GU627" s="644"/>
      <c r="GV627" s="644"/>
      <c r="GW627" s="644"/>
      <c r="GX627" s="644"/>
      <c r="GY627" s="644"/>
      <c r="GZ627" s="644"/>
      <c r="HA627" s="644"/>
    </row>
    <row r="628" spans="1:209">
      <c r="A628" s="638"/>
      <c r="B628" s="95"/>
      <c r="C628" s="95"/>
      <c r="D628" s="95"/>
      <c r="E628" s="650"/>
      <c r="F628" s="95"/>
      <c r="G628" s="98"/>
      <c r="H628" s="99"/>
      <c r="I628" s="95"/>
      <c r="J628" s="95"/>
      <c r="K628" s="95"/>
      <c r="L628" s="95"/>
      <c r="M628" s="95"/>
      <c r="N628" s="95"/>
      <c r="O628" s="95"/>
      <c r="P628" s="95"/>
      <c r="Q628" s="95"/>
      <c r="R628" s="98"/>
      <c r="S628" s="101"/>
      <c r="T628" s="644"/>
      <c r="U628" s="101"/>
      <c r="V628" s="647"/>
      <c r="W628" s="643"/>
      <c r="X628" s="644"/>
      <c r="Y628" s="101"/>
      <c r="Z628" s="644"/>
      <c r="AA628" s="101"/>
      <c r="AB628" s="644"/>
      <c r="AC628" s="101"/>
      <c r="AD628" s="646"/>
      <c r="AE628" s="271"/>
      <c r="AF628" s="646"/>
      <c r="AG628" s="646"/>
      <c r="AH628" s="646"/>
      <c r="AI628" s="646"/>
      <c r="AJ628" s="646"/>
      <c r="AK628" s="646"/>
      <c r="AL628" s="646"/>
      <c r="AM628" s="271"/>
      <c r="AN628" s="646"/>
      <c r="AO628" s="646"/>
      <c r="AP628" s="646"/>
      <c r="AQ628" s="271"/>
      <c r="AR628" s="646"/>
      <c r="AS628" s="270"/>
      <c r="AT628" s="646"/>
      <c r="AU628" s="646"/>
      <c r="AV628" s="646"/>
      <c r="AW628" s="270"/>
      <c r="AX628" s="646"/>
      <c r="AY628" s="270"/>
      <c r="AZ628" s="646"/>
      <c r="BA628" s="646"/>
      <c r="BB628" s="644"/>
      <c r="BC628" s="644"/>
      <c r="BD628" s="644"/>
      <c r="BE628" s="644"/>
      <c r="BF628" s="644"/>
      <c r="BG628" s="644"/>
      <c r="BH628" s="644"/>
      <c r="BI628" s="644"/>
      <c r="BJ628" s="644"/>
      <c r="BK628" s="644"/>
      <c r="BL628" s="644"/>
      <c r="BM628" s="95"/>
      <c r="BN628" s="644"/>
      <c r="BO628" s="95"/>
      <c r="BP628" s="644"/>
      <c r="BQ628" s="644"/>
      <c r="BR628" s="644"/>
      <c r="BS628" s="644"/>
      <c r="BT628" s="644"/>
      <c r="BU628" s="644"/>
      <c r="BV628" s="644"/>
      <c r="BW628" s="644"/>
      <c r="BX628" s="644"/>
      <c r="BY628" s="644"/>
      <c r="BZ628" s="644"/>
      <c r="CA628" s="644"/>
      <c r="CB628" s="644"/>
      <c r="CC628" s="644"/>
      <c r="CD628" s="644"/>
      <c r="CE628" s="644"/>
      <c r="CF628" s="644"/>
      <c r="CG628" s="644"/>
      <c r="CH628" s="644"/>
      <c r="CI628" s="644"/>
      <c r="CJ628" s="644"/>
      <c r="CK628" s="644"/>
      <c r="CL628" s="644"/>
      <c r="CM628" s="95"/>
      <c r="CN628" s="644"/>
      <c r="CO628" s="644"/>
      <c r="CP628" s="95"/>
      <c r="CQ628" s="98"/>
      <c r="CR628" s="95"/>
      <c r="CS628" s="95"/>
      <c r="CT628" s="95"/>
      <c r="CU628" s="108"/>
      <c r="CV628" s="109"/>
      <c r="CW628" s="644"/>
      <c r="CX628" s="496"/>
      <c r="CY628" s="637"/>
      <c r="CZ628" s="644"/>
      <c r="DA628" s="644"/>
      <c r="DB628" s="644"/>
      <c r="DC628" s="496"/>
      <c r="DD628" s="644"/>
      <c r="DE628" s="101"/>
      <c r="DF628" s="644"/>
      <c r="DG628" s="101"/>
      <c r="DH628" s="644"/>
      <c r="DI628" s="644"/>
      <c r="DJ628" s="644"/>
      <c r="DK628" s="644"/>
      <c r="DL628" s="644"/>
      <c r="DM628" s="101"/>
      <c r="DN628" s="644"/>
      <c r="DO628" s="644"/>
      <c r="DP628" s="644"/>
      <c r="DQ628" s="644"/>
      <c r="DR628" s="644"/>
      <c r="DS628" s="644"/>
      <c r="DT628" s="644"/>
      <c r="DU628" s="644"/>
      <c r="DV628" s="644"/>
      <c r="DW628" s="101"/>
      <c r="DX628" s="646"/>
      <c r="DY628" s="646"/>
      <c r="DZ628" s="646"/>
      <c r="EA628" s="646"/>
      <c r="EB628" s="646"/>
      <c r="EC628" s="646"/>
      <c r="ED628" s="646"/>
      <c r="EE628" s="646"/>
      <c r="EF628" s="646"/>
      <c r="EG628" s="646"/>
      <c r="EH628" s="646"/>
      <c r="EI628" s="646"/>
      <c r="EJ628" s="646"/>
      <c r="EK628" s="271"/>
      <c r="EL628" s="644"/>
      <c r="EM628" s="634"/>
      <c r="EN628" s="647"/>
      <c r="EO628" s="648"/>
      <c r="EP628" s="647"/>
      <c r="EQ628" s="647"/>
      <c r="ER628" s="647"/>
      <c r="ES628" s="139"/>
      <c r="EV628" s="647"/>
      <c r="EW628" s="647"/>
      <c r="EX628" s="647"/>
      <c r="EY628" s="647"/>
      <c r="EZ628" s="647"/>
      <c r="FA628" s="646"/>
      <c r="FB628" s="646"/>
      <c r="FC628" s="646"/>
      <c r="FD628" s="646"/>
      <c r="FE628" s="646"/>
      <c r="FF628" s="646"/>
      <c r="FG628" s="647"/>
      <c r="FH628" s="647"/>
      <c r="FI628" s="647"/>
      <c r="FJ628" s="647"/>
      <c r="FK628" s="647"/>
      <c r="FL628" s="647"/>
      <c r="FM628" s="647"/>
      <c r="FN628" s="647"/>
      <c r="FO628" s="647"/>
      <c r="FP628" s="647"/>
      <c r="FQ628" s="647"/>
      <c r="FR628" s="647"/>
      <c r="FS628" s="101"/>
      <c r="FT628" s="95"/>
      <c r="FV628" s="653"/>
      <c r="FW628" s="653"/>
      <c r="FX628" s="654"/>
      <c r="FY628" s="654"/>
      <c r="FZ628" s="654"/>
      <c r="GA628" s="654"/>
      <c r="GB628" s="654"/>
      <c r="GC628" s="654"/>
      <c r="GD628" s="654"/>
      <c r="GE628" s="654"/>
      <c r="GF628" s="654"/>
      <c r="GG628" s="654"/>
      <c r="GH628" s="654"/>
      <c r="GI628" s="654"/>
      <c r="GJ628" s="654"/>
      <c r="GK628" s="654"/>
      <c r="GL628" s="653"/>
      <c r="GM628" s="653"/>
      <c r="GN628" s="653"/>
      <c r="GO628" s="643"/>
      <c r="GP628" s="644"/>
      <c r="GQ628" s="643"/>
      <c r="GR628" s="644"/>
      <c r="GS628" s="643"/>
      <c r="GT628" s="644"/>
      <c r="GU628" s="644"/>
      <c r="GV628" s="644"/>
      <c r="GW628" s="644"/>
      <c r="GX628" s="644"/>
      <c r="GY628" s="644"/>
      <c r="GZ628" s="644"/>
      <c r="HA628" s="644"/>
    </row>
    <row r="629" spans="1:209">
      <c r="A629" s="638"/>
      <c r="B629" s="95"/>
      <c r="C629" s="95"/>
      <c r="D629" s="95"/>
      <c r="E629" s="650"/>
      <c r="F629" s="95"/>
      <c r="G629" s="98"/>
      <c r="H629" s="99"/>
      <c r="I629" s="95"/>
      <c r="J629" s="95"/>
      <c r="K629" s="95"/>
      <c r="L629" s="95"/>
      <c r="M629" s="95"/>
      <c r="N629" s="95"/>
      <c r="O629" s="95"/>
      <c r="P629" s="95"/>
      <c r="Q629" s="95"/>
      <c r="R629" s="98"/>
      <c r="S629" s="101"/>
      <c r="T629" s="644"/>
      <c r="U629" s="101"/>
      <c r="V629" s="647"/>
      <c r="W629" s="643"/>
      <c r="X629" s="644"/>
      <c r="Y629" s="101"/>
      <c r="Z629" s="644"/>
      <c r="AA629" s="101"/>
      <c r="AB629" s="644"/>
      <c r="AC629" s="101"/>
      <c r="AD629" s="646"/>
      <c r="AE629" s="271"/>
      <c r="AF629" s="646"/>
      <c r="AG629" s="646"/>
      <c r="AH629" s="646"/>
      <c r="AI629" s="646"/>
      <c r="AJ629" s="646"/>
      <c r="AK629" s="646"/>
      <c r="AL629" s="646"/>
      <c r="AM629" s="271"/>
      <c r="AN629" s="646"/>
      <c r="AO629" s="646"/>
      <c r="AP629" s="646"/>
      <c r="AQ629" s="271"/>
      <c r="AR629" s="646"/>
      <c r="AS629" s="270"/>
      <c r="AT629" s="646"/>
      <c r="AU629" s="646"/>
      <c r="AV629" s="646"/>
      <c r="AW629" s="270"/>
      <c r="AX629" s="646"/>
      <c r="AY629" s="270"/>
      <c r="AZ629" s="646"/>
      <c r="BA629" s="646"/>
      <c r="BB629" s="644"/>
      <c r="BC629" s="644"/>
      <c r="BD629" s="644"/>
      <c r="BE629" s="644"/>
      <c r="BF629" s="644"/>
      <c r="BG629" s="644"/>
      <c r="BH629" s="644"/>
      <c r="BI629" s="644"/>
      <c r="BJ629" s="644"/>
      <c r="BK629" s="644"/>
      <c r="BL629" s="644"/>
      <c r="BM629" s="95"/>
      <c r="BN629" s="644"/>
      <c r="BO629" s="95"/>
      <c r="BP629" s="644"/>
      <c r="BQ629" s="644"/>
      <c r="BR629" s="644"/>
      <c r="BS629" s="644"/>
      <c r="BT629" s="644"/>
      <c r="BU629" s="644"/>
      <c r="BV629" s="644"/>
      <c r="BW629" s="644"/>
      <c r="BX629" s="644"/>
      <c r="BY629" s="644"/>
      <c r="BZ629" s="644"/>
      <c r="CA629" s="644"/>
      <c r="CB629" s="644"/>
      <c r="CC629" s="644"/>
      <c r="CD629" s="644"/>
      <c r="CE629" s="644"/>
      <c r="CF629" s="644"/>
      <c r="CG629" s="644"/>
      <c r="CH629" s="644"/>
      <c r="CI629" s="644"/>
      <c r="CJ629" s="644"/>
      <c r="CK629" s="644"/>
      <c r="CL629" s="644"/>
      <c r="CM629" s="95"/>
      <c r="CN629" s="644"/>
      <c r="CO629" s="644"/>
      <c r="CP629" s="95"/>
      <c r="CQ629" s="98"/>
      <c r="CR629" s="95"/>
      <c r="CS629" s="95"/>
      <c r="CT629" s="95"/>
      <c r="CU629" s="108"/>
      <c r="CV629" s="109"/>
      <c r="CW629" s="644"/>
      <c r="CX629" s="496"/>
      <c r="CY629" s="637"/>
      <c r="CZ629" s="644"/>
      <c r="DA629" s="644"/>
      <c r="DB629" s="644"/>
      <c r="DC629" s="496"/>
      <c r="DD629" s="644"/>
      <c r="DE629" s="101"/>
      <c r="DF629" s="644"/>
      <c r="DG629" s="101"/>
      <c r="DH629" s="644"/>
      <c r="DI629" s="644"/>
      <c r="DJ629" s="644"/>
      <c r="DK629" s="644"/>
      <c r="DL629" s="644"/>
      <c r="DM629" s="101"/>
      <c r="DN629" s="644"/>
      <c r="DO629" s="644"/>
      <c r="DP629" s="644"/>
      <c r="DQ629" s="644"/>
      <c r="DR629" s="644"/>
      <c r="DS629" s="644"/>
      <c r="DT629" s="644"/>
      <c r="DU629" s="644"/>
      <c r="DV629" s="644"/>
      <c r="DW629" s="101"/>
      <c r="DX629" s="646"/>
      <c r="DY629" s="646"/>
      <c r="DZ629" s="646"/>
      <c r="EA629" s="646"/>
      <c r="EB629" s="646"/>
      <c r="EC629" s="646"/>
      <c r="ED629" s="646"/>
      <c r="EE629" s="646"/>
      <c r="EF629" s="646"/>
      <c r="EG629" s="646"/>
      <c r="EH629" s="646"/>
      <c r="EI629" s="646"/>
      <c r="EJ629" s="646"/>
      <c r="EK629" s="271"/>
      <c r="EL629" s="644"/>
      <c r="EM629" s="634"/>
      <c r="EN629" s="647"/>
      <c r="EO629" s="648"/>
      <c r="EP629" s="647"/>
      <c r="EQ629" s="647"/>
      <c r="ER629" s="647"/>
      <c r="ES629" s="139"/>
      <c r="EV629" s="647"/>
      <c r="EW629" s="647"/>
      <c r="EX629" s="647"/>
      <c r="EY629" s="647"/>
      <c r="EZ629" s="647"/>
      <c r="FA629" s="646"/>
      <c r="FB629" s="646"/>
      <c r="FC629" s="646"/>
      <c r="FD629" s="646"/>
      <c r="FE629" s="646"/>
      <c r="FF629" s="646"/>
      <c r="FG629" s="647"/>
      <c r="FH629" s="647"/>
      <c r="FI629" s="647"/>
      <c r="FJ629" s="647"/>
      <c r="FK629" s="647"/>
      <c r="FL629" s="647"/>
      <c r="FM629" s="647"/>
      <c r="FN629" s="647"/>
      <c r="FO629" s="647"/>
      <c r="FP629" s="647"/>
      <c r="FQ629" s="647"/>
      <c r="FR629" s="647"/>
      <c r="FS629" s="101"/>
      <c r="FT629" s="95"/>
      <c r="FV629" s="653"/>
      <c r="FW629" s="653"/>
      <c r="FX629" s="654"/>
      <c r="FY629" s="654"/>
      <c r="FZ629" s="654"/>
      <c r="GA629" s="654"/>
      <c r="GB629" s="654"/>
      <c r="GC629" s="654"/>
      <c r="GD629" s="654"/>
      <c r="GE629" s="654"/>
      <c r="GF629" s="654"/>
      <c r="GG629" s="654"/>
      <c r="GH629" s="654"/>
      <c r="GI629" s="654"/>
      <c r="GJ629" s="654"/>
      <c r="GK629" s="654"/>
      <c r="GL629" s="653"/>
      <c r="GM629" s="653"/>
      <c r="GN629" s="653"/>
      <c r="GO629" s="643"/>
      <c r="GP629" s="644"/>
      <c r="GQ629" s="643"/>
      <c r="GR629" s="644"/>
      <c r="GS629" s="643"/>
      <c r="GT629" s="644"/>
      <c r="GU629" s="644"/>
      <c r="GV629" s="644"/>
      <c r="GW629" s="644"/>
      <c r="GX629" s="644"/>
      <c r="GY629" s="644"/>
      <c r="GZ629" s="644"/>
      <c r="HA629" s="644"/>
    </row>
    <row r="630" spans="1:209">
      <c r="A630" s="638"/>
      <c r="B630" s="95"/>
      <c r="C630" s="95"/>
      <c r="D630" s="95"/>
      <c r="E630" s="650"/>
      <c r="F630" s="95"/>
      <c r="G630" s="98"/>
      <c r="H630" s="99"/>
      <c r="I630" s="95"/>
      <c r="J630" s="95"/>
      <c r="K630" s="95"/>
      <c r="L630" s="95"/>
      <c r="M630" s="95"/>
      <c r="N630" s="95"/>
      <c r="O630" s="95"/>
      <c r="P630" s="95"/>
      <c r="Q630" s="95"/>
      <c r="R630" s="98"/>
      <c r="S630" s="101"/>
      <c r="T630" s="644"/>
      <c r="U630" s="101"/>
      <c r="V630" s="647"/>
      <c r="W630" s="643"/>
      <c r="X630" s="644"/>
      <c r="Y630" s="101"/>
      <c r="Z630" s="644"/>
      <c r="AA630" s="101"/>
      <c r="AB630" s="644"/>
      <c r="AC630" s="101"/>
      <c r="AD630" s="646"/>
      <c r="AE630" s="271"/>
      <c r="AF630" s="646"/>
      <c r="AG630" s="646"/>
      <c r="AH630" s="646"/>
      <c r="AI630" s="646"/>
      <c r="AJ630" s="646"/>
      <c r="AK630" s="646"/>
      <c r="AL630" s="646"/>
      <c r="AM630" s="271"/>
      <c r="AN630" s="646"/>
      <c r="AO630" s="646"/>
      <c r="AP630" s="646"/>
      <c r="AQ630" s="271"/>
      <c r="AR630" s="646"/>
      <c r="AS630" s="270"/>
      <c r="AT630" s="646"/>
      <c r="AU630" s="646"/>
      <c r="AV630" s="646"/>
      <c r="AW630" s="270"/>
      <c r="AX630" s="646"/>
      <c r="AY630" s="270"/>
      <c r="AZ630" s="646"/>
      <c r="BA630" s="646"/>
      <c r="BB630" s="644"/>
      <c r="BC630" s="644"/>
      <c r="BD630" s="644"/>
      <c r="BE630" s="644"/>
      <c r="BF630" s="644"/>
      <c r="BG630" s="644"/>
      <c r="BH630" s="644"/>
      <c r="BI630" s="644"/>
      <c r="BJ630" s="644"/>
      <c r="BK630" s="644"/>
      <c r="BL630" s="644"/>
      <c r="BM630" s="95"/>
      <c r="BN630" s="644"/>
      <c r="BO630" s="95"/>
      <c r="BP630" s="644"/>
      <c r="BQ630" s="644"/>
      <c r="BR630" s="644"/>
      <c r="BS630" s="644"/>
      <c r="BT630" s="644"/>
      <c r="BU630" s="644"/>
      <c r="BV630" s="644"/>
      <c r="BW630" s="644"/>
      <c r="BX630" s="644"/>
      <c r="BY630" s="644"/>
      <c r="BZ630" s="644"/>
      <c r="CA630" s="644"/>
      <c r="CB630" s="644"/>
      <c r="CC630" s="644"/>
      <c r="CD630" s="644"/>
      <c r="CE630" s="644"/>
      <c r="CF630" s="644"/>
      <c r="CG630" s="644"/>
      <c r="CH630" s="644"/>
      <c r="CI630" s="644"/>
      <c r="CJ630" s="644"/>
      <c r="CK630" s="644"/>
      <c r="CL630" s="644"/>
      <c r="CM630" s="95"/>
      <c r="CN630" s="644"/>
      <c r="CO630" s="644"/>
      <c r="CP630" s="95"/>
      <c r="CQ630" s="98"/>
      <c r="CR630" s="95"/>
      <c r="CS630" s="95"/>
      <c r="CT630" s="95"/>
      <c r="CU630" s="108"/>
      <c r="CV630" s="109"/>
      <c r="CW630" s="644"/>
      <c r="CX630" s="496"/>
      <c r="CY630" s="637"/>
      <c r="CZ630" s="644"/>
      <c r="DA630" s="644"/>
      <c r="DB630" s="644"/>
      <c r="DC630" s="496"/>
      <c r="DD630" s="644"/>
      <c r="DE630" s="101"/>
      <c r="DF630" s="644"/>
      <c r="DG630" s="101"/>
      <c r="DH630" s="644"/>
      <c r="DI630" s="644"/>
      <c r="DJ630" s="644"/>
      <c r="DK630" s="644"/>
      <c r="DL630" s="644"/>
      <c r="DM630" s="101"/>
      <c r="DN630" s="644"/>
      <c r="DO630" s="644"/>
      <c r="DP630" s="644"/>
      <c r="DQ630" s="644"/>
      <c r="DR630" s="644"/>
      <c r="DS630" s="644"/>
      <c r="DT630" s="644"/>
      <c r="DU630" s="644"/>
      <c r="DV630" s="644"/>
      <c r="DW630" s="101"/>
      <c r="DX630" s="646"/>
      <c r="DY630" s="646"/>
      <c r="DZ630" s="646"/>
      <c r="EA630" s="646"/>
      <c r="EB630" s="646"/>
      <c r="EC630" s="646"/>
      <c r="ED630" s="646"/>
      <c r="EE630" s="646"/>
      <c r="EF630" s="646"/>
      <c r="EG630" s="646"/>
      <c r="EH630" s="646"/>
      <c r="EI630" s="646"/>
      <c r="EJ630" s="646"/>
      <c r="EK630" s="271"/>
      <c r="EL630" s="644"/>
      <c r="EM630" s="634"/>
      <c r="EN630" s="647"/>
      <c r="EO630" s="648"/>
      <c r="EP630" s="647"/>
      <c r="EQ630" s="647"/>
      <c r="ER630" s="647"/>
      <c r="ES630" s="139"/>
      <c r="EV630" s="647"/>
      <c r="EW630" s="647"/>
      <c r="EX630" s="647"/>
      <c r="EY630" s="647"/>
      <c r="EZ630" s="647"/>
      <c r="FA630" s="646"/>
      <c r="FB630" s="646"/>
      <c r="FC630" s="646"/>
      <c r="FD630" s="646"/>
      <c r="FE630" s="646"/>
      <c r="FF630" s="646"/>
      <c r="FG630" s="647"/>
      <c r="FH630" s="647"/>
      <c r="FI630" s="647"/>
      <c r="FJ630" s="647"/>
      <c r="FK630" s="647"/>
      <c r="FL630" s="647"/>
      <c r="FM630" s="647"/>
      <c r="FN630" s="647"/>
      <c r="FO630" s="647"/>
      <c r="FP630" s="647"/>
      <c r="FQ630" s="647"/>
      <c r="FR630" s="647"/>
      <c r="FS630" s="101"/>
      <c r="FT630" s="95"/>
      <c r="FV630" s="653"/>
      <c r="FW630" s="653"/>
      <c r="FX630" s="654"/>
      <c r="FY630" s="654"/>
      <c r="FZ630" s="654"/>
      <c r="GA630" s="654"/>
      <c r="GB630" s="654"/>
      <c r="GC630" s="654"/>
      <c r="GD630" s="654"/>
      <c r="GE630" s="654"/>
      <c r="GF630" s="654"/>
      <c r="GG630" s="654"/>
      <c r="GH630" s="654"/>
      <c r="GI630" s="654"/>
      <c r="GJ630" s="654"/>
      <c r="GK630" s="654"/>
      <c r="GL630" s="653"/>
      <c r="GM630" s="653"/>
      <c r="GN630" s="653"/>
      <c r="GO630" s="643"/>
      <c r="GP630" s="644"/>
      <c r="GQ630" s="643"/>
      <c r="GR630" s="644"/>
      <c r="GS630" s="643"/>
      <c r="GT630" s="644"/>
      <c r="GU630" s="644"/>
      <c r="GV630" s="644"/>
      <c r="GW630" s="644"/>
      <c r="GX630" s="644"/>
      <c r="GY630" s="644"/>
      <c r="GZ630" s="644"/>
      <c r="HA630" s="644"/>
    </row>
    <row r="631" spans="1:209">
      <c r="A631" s="638"/>
      <c r="B631" s="95"/>
      <c r="C631" s="95"/>
      <c r="D631" s="95"/>
      <c r="E631" s="650"/>
      <c r="F631" s="95"/>
      <c r="G631" s="98"/>
      <c r="H631" s="99"/>
      <c r="I631" s="95"/>
      <c r="J631" s="95"/>
      <c r="K631" s="95"/>
      <c r="L631" s="95"/>
      <c r="M631" s="95"/>
      <c r="N631" s="95"/>
      <c r="O631" s="95"/>
      <c r="P631" s="95"/>
      <c r="Q631" s="95"/>
      <c r="R631" s="98"/>
      <c r="S631" s="101"/>
      <c r="T631" s="644"/>
      <c r="U631" s="101"/>
      <c r="V631" s="647"/>
      <c r="W631" s="643"/>
      <c r="X631" s="644"/>
      <c r="Y631" s="101"/>
      <c r="Z631" s="644"/>
      <c r="AA631" s="101"/>
      <c r="AB631" s="644"/>
      <c r="AC631" s="101"/>
      <c r="AD631" s="646"/>
      <c r="AE631" s="271"/>
      <c r="AF631" s="646"/>
      <c r="AG631" s="646"/>
      <c r="AH631" s="646"/>
      <c r="AI631" s="646"/>
      <c r="AJ631" s="646"/>
      <c r="AK631" s="646"/>
      <c r="AL631" s="646"/>
      <c r="AM631" s="271"/>
      <c r="AN631" s="646"/>
      <c r="AO631" s="646"/>
      <c r="AP631" s="646"/>
      <c r="AQ631" s="271"/>
      <c r="AR631" s="646"/>
      <c r="AS631" s="270"/>
      <c r="AT631" s="646"/>
      <c r="AU631" s="646"/>
      <c r="AV631" s="646"/>
      <c r="AW631" s="270"/>
      <c r="AX631" s="646"/>
      <c r="AY631" s="270"/>
      <c r="AZ631" s="646"/>
      <c r="BA631" s="646"/>
      <c r="BB631" s="644"/>
      <c r="BC631" s="644"/>
      <c r="BD631" s="644"/>
      <c r="BE631" s="644"/>
      <c r="BF631" s="644"/>
      <c r="BG631" s="644"/>
      <c r="BH631" s="644"/>
      <c r="BI631" s="644"/>
      <c r="BJ631" s="644"/>
      <c r="BK631" s="644"/>
      <c r="BL631" s="644"/>
      <c r="BM631" s="95"/>
      <c r="BN631" s="644"/>
      <c r="BO631" s="95"/>
      <c r="BP631" s="644"/>
      <c r="BQ631" s="644"/>
      <c r="BR631" s="644"/>
      <c r="BS631" s="644"/>
      <c r="BT631" s="644"/>
      <c r="BU631" s="644"/>
      <c r="BV631" s="644"/>
      <c r="BW631" s="644"/>
      <c r="BX631" s="644"/>
      <c r="BY631" s="644"/>
      <c r="BZ631" s="644"/>
      <c r="CA631" s="644"/>
      <c r="CB631" s="644"/>
      <c r="CC631" s="644"/>
      <c r="CD631" s="644"/>
      <c r="CE631" s="644"/>
      <c r="CF631" s="644"/>
      <c r="CG631" s="644"/>
      <c r="CH631" s="644"/>
      <c r="CI631" s="644"/>
      <c r="CJ631" s="644"/>
      <c r="CK631" s="644"/>
      <c r="CL631" s="644"/>
      <c r="CM631" s="95"/>
      <c r="CN631" s="644"/>
      <c r="CO631" s="644"/>
      <c r="CP631" s="95"/>
      <c r="CQ631" s="98"/>
      <c r="CR631" s="95"/>
      <c r="CS631" s="95"/>
      <c r="CT631" s="95"/>
      <c r="CU631" s="108"/>
      <c r="CV631" s="109"/>
      <c r="CW631" s="644"/>
      <c r="CX631" s="496"/>
      <c r="CY631" s="637"/>
      <c r="CZ631" s="644"/>
      <c r="DA631" s="644"/>
      <c r="DB631" s="644"/>
      <c r="DC631" s="496"/>
      <c r="DD631" s="644"/>
      <c r="DE631" s="101"/>
      <c r="DF631" s="644"/>
      <c r="DG631" s="101"/>
      <c r="DH631" s="644"/>
      <c r="DI631" s="644"/>
      <c r="DJ631" s="644"/>
      <c r="DK631" s="644"/>
      <c r="DL631" s="644"/>
      <c r="DM631" s="101"/>
      <c r="DN631" s="644"/>
      <c r="DO631" s="644"/>
      <c r="DP631" s="644"/>
      <c r="DQ631" s="644"/>
      <c r="DR631" s="644"/>
      <c r="DS631" s="644"/>
      <c r="DT631" s="644"/>
      <c r="DU631" s="644"/>
      <c r="DV631" s="644"/>
      <c r="DW631" s="101"/>
      <c r="DX631" s="646"/>
      <c r="DY631" s="646"/>
      <c r="DZ631" s="646"/>
      <c r="EA631" s="646"/>
      <c r="EB631" s="646"/>
      <c r="EC631" s="646"/>
      <c r="ED631" s="646"/>
      <c r="EE631" s="646"/>
      <c r="EF631" s="646"/>
      <c r="EG631" s="646"/>
      <c r="EH631" s="646"/>
      <c r="EI631" s="646"/>
      <c r="EJ631" s="646"/>
      <c r="EK631" s="271"/>
      <c r="EL631" s="644"/>
      <c r="EM631" s="634"/>
      <c r="EN631" s="647"/>
      <c r="EO631" s="648"/>
      <c r="EP631" s="647"/>
      <c r="EQ631" s="647"/>
      <c r="ER631" s="647"/>
      <c r="ES631" s="139"/>
      <c r="EV631" s="647"/>
      <c r="EW631" s="647"/>
      <c r="EX631" s="647"/>
      <c r="EY631" s="647"/>
      <c r="EZ631" s="647"/>
      <c r="FA631" s="646"/>
      <c r="FB631" s="646"/>
      <c r="FC631" s="646"/>
      <c r="FD631" s="646"/>
      <c r="FE631" s="646"/>
      <c r="FF631" s="646"/>
      <c r="FG631" s="647"/>
      <c r="FH631" s="647"/>
      <c r="FI631" s="647"/>
      <c r="FJ631" s="647"/>
      <c r="FK631" s="647"/>
      <c r="FL631" s="647"/>
      <c r="FM631" s="647"/>
      <c r="FN631" s="647"/>
      <c r="FO631" s="647"/>
      <c r="FP631" s="647"/>
      <c r="FQ631" s="647"/>
      <c r="FR631" s="647"/>
      <c r="FS631" s="101"/>
      <c r="FT631" s="95"/>
      <c r="FV631" s="653"/>
      <c r="FW631" s="653"/>
      <c r="FX631" s="654"/>
      <c r="FY631" s="654"/>
      <c r="FZ631" s="654"/>
      <c r="GA631" s="654"/>
      <c r="GB631" s="654"/>
      <c r="GC631" s="654"/>
      <c r="GD631" s="654"/>
      <c r="GE631" s="654"/>
      <c r="GF631" s="654"/>
      <c r="GG631" s="654"/>
      <c r="GH631" s="654"/>
      <c r="GI631" s="654"/>
      <c r="GJ631" s="654"/>
      <c r="GK631" s="654"/>
      <c r="GL631" s="653"/>
      <c r="GM631" s="653"/>
      <c r="GN631" s="653"/>
      <c r="GO631" s="643"/>
      <c r="GP631" s="644"/>
      <c r="GQ631" s="643"/>
      <c r="GR631" s="644"/>
      <c r="GS631" s="643"/>
      <c r="GT631" s="644"/>
      <c r="GU631" s="644"/>
      <c r="GV631" s="644"/>
      <c r="GW631" s="644"/>
      <c r="GX631" s="644"/>
      <c r="GY631" s="644"/>
      <c r="GZ631" s="644"/>
      <c r="HA631" s="644"/>
    </row>
    <row r="632" spans="1:209">
      <c r="A632" s="638"/>
      <c r="B632" s="95"/>
      <c r="C632" s="95"/>
      <c r="D632" s="95"/>
      <c r="E632" s="650"/>
      <c r="F632" s="95"/>
      <c r="G632" s="98"/>
      <c r="H632" s="99"/>
      <c r="I632" s="95"/>
      <c r="J632" s="95"/>
      <c r="K632" s="95"/>
      <c r="L632" s="95"/>
      <c r="M632" s="95"/>
      <c r="N632" s="95"/>
      <c r="O632" s="95"/>
      <c r="P632" s="95"/>
      <c r="Q632" s="95"/>
      <c r="R632" s="98"/>
      <c r="S632" s="101"/>
      <c r="T632" s="644"/>
      <c r="U632" s="101"/>
      <c r="V632" s="647"/>
      <c r="W632" s="643"/>
      <c r="X632" s="644"/>
      <c r="Y632" s="101"/>
      <c r="Z632" s="644"/>
      <c r="AA632" s="101"/>
      <c r="AB632" s="644"/>
      <c r="AC632" s="101"/>
      <c r="AD632" s="646"/>
      <c r="AE632" s="271"/>
      <c r="AF632" s="646"/>
      <c r="AG632" s="646"/>
      <c r="AH632" s="646"/>
      <c r="AI632" s="646"/>
      <c r="AJ632" s="646"/>
      <c r="AK632" s="646"/>
      <c r="AL632" s="646"/>
      <c r="AM632" s="271"/>
      <c r="AN632" s="646"/>
      <c r="AO632" s="646"/>
      <c r="AP632" s="646"/>
      <c r="AQ632" s="271"/>
      <c r="AR632" s="646"/>
      <c r="AS632" s="270"/>
      <c r="AT632" s="646"/>
      <c r="AU632" s="646"/>
      <c r="AV632" s="646"/>
      <c r="AW632" s="270"/>
      <c r="AX632" s="646"/>
      <c r="AY632" s="270"/>
      <c r="AZ632" s="646"/>
      <c r="BA632" s="646"/>
      <c r="BB632" s="644"/>
      <c r="BC632" s="644"/>
      <c r="BD632" s="644"/>
      <c r="BE632" s="644"/>
      <c r="BF632" s="644"/>
      <c r="BG632" s="644"/>
      <c r="BH632" s="644"/>
      <c r="BI632" s="644"/>
      <c r="BJ632" s="644"/>
      <c r="BK632" s="644"/>
      <c r="BL632" s="644"/>
      <c r="BM632" s="95"/>
      <c r="BN632" s="644"/>
      <c r="BO632" s="95"/>
      <c r="BP632" s="644"/>
      <c r="BQ632" s="644"/>
      <c r="BR632" s="644"/>
      <c r="BS632" s="644"/>
      <c r="BT632" s="644"/>
      <c r="BU632" s="644"/>
      <c r="BV632" s="644"/>
      <c r="BW632" s="644"/>
      <c r="BX632" s="644"/>
      <c r="BY632" s="644"/>
      <c r="BZ632" s="644"/>
      <c r="CA632" s="644"/>
      <c r="CB632" s="644"/>
      <c r="CC632" s="644"/>
      <c r="CD632" s="644"/>
      <c r="CE632" s="644"/>
      <c r="CF632" s="644"/>
      <c r="CG632" s="644"/>
      <c r="CH632" s="644"/>
      <c r="CI632" s="644"/>
      <c r="CJ632" s="644"/>
      <c r="CK632" s="644"/>
      <c r="CL632" s="644"/>
      <c r="CM632" s="95"/>
      <c r="CN632" s="644"/>
      <c r="CO632" s="644"/>
      <c r="CP632" s="95"/>
      <c r="CQ632" s="98"/>
      <c r="CR632" s="95"/>
      <c r="CS632" s="95"/>
      <c r="CT632" s="95"/>
      <c r="CU632" s="108"/>
      <c r="CV632" s="109"/>
      <c r="CW632" s="644"/>
      <c r="CX632" s="496"/>
      <c r="CY632" s="637"/>
      <c r="CZ632" s="644"/>
      <c r="DA632" s="644"/>
      <c r="DB632" s="644"/>
      <c r="DC632" s="496"/>
      <c r="DD632" s="644"/>
      <c r="DE632" s="101"/>
      <c r="DF632" s="644"/>
      <c r="DG632" s="101"/>
      <c r="DH632" s="644"/>
      <c r="DI632" s="644"/>
      <c r="DJ632" s="644"/>
      <c r="DK632" s="644"/>
      <c r="DL632" s="644"/>
      <c r="DM632" s="101"/>
      <c r="DN632" s="644"/>
      <c r="DO632" s="644"/>
      <c r="DP632" s="644"/>
      <c r="DQ632" s="644"/>
      <c r="DR632" s="644"/>
      <c r="DS632" s="644"/>
      <c r="DT632" s="644"/>
      <c r="DU632" s="644"/>
      <c r="DV632" s="644"/>
      <c r="DW632" s="101"/>
      <c r="DX632" s="646"/>
      <c r="DY632" s="646"/>
      <c r="DZ632" s="646"/>
      <c r="EA632" s="646"/>
      <c r="EB632" s="646"/>
      <c r="EC632" s="646"/>
      <c r="ED632" s="646"/>
      <c r="EE632" s="646"/>
      <c r="EF632" s="646"/>
      <c r="EG632" s="646"/>
      <c r="EH632" s="646"/>
      <c r="EI632" s="646"/>
      <c r="EJ632" s="646"/>
      <c r="EK632" s="271"/>
      <c r="EL632" s="644"/>
      <c r="EM632" s="634"/>
      <c r="EN632" s="647"/>
      <c r="EO632" s="648"/>
      <c r="EP632" s="647"/>
      <c r="EQ632" s="647"/>
      <c r="ER632" s="647"/>
      <c r="ES632" s="139"/>
      <c r="EV632" s="647"/>
      <c r="EW632" s="647"/>
      <c r="EX632" s="647"/>
      <c r="EY632" s="647"/>
      <c r="EZ632" s="647"/>
      <c r="FA632" s="646"/>
      <c r="FB632" s="646"/>
      <c r="FC632" s="646"/>
      <c r="FD632" s="646"/>
      <c r="FE632" s="646"/>
      <c r="FF632" s="646"/>
      <c r="FG632" s="647"/>
      <c r="FH632" s="647"/>
      <c r="FI632" s="647"/>
      <c r="FJ632" s="647"/>
      <c r="FK632" s="647"/>
      <c r="FL632" s="647"/>
      <c r="FM632" s="647"/>
      <c r="FN632" s="647"/>
      <c r="FO632" s="647"/>
      <c r="FP632" s="647"/>
      <c r="FQ632" s="647"/>
      <c r="FR632" s="647"/>
      <c r="FS632" s="101"/>
      <c r="FT632" s="95"/>
      <c r="FV632" s="653"/>
      <c r="FW632" s="653"/>
      <c r="FX632" s="654"/>
      <c r="FY632" s="654"/>
      <c r="FZ632" s="654"/>
      <c r="GA632" s="654"/>
      <c r="GB632" s="654"/>
      <c r="GC632" s="654"/>
      <c r="GD632" s="654"/>
      <c r="GE632" s="654"/>
      <c r="GF632" s="654"/>
      <c r="GG632" s="654"/>
      <c r="GH632" s="654"/>
      <c r="GI632" s="654"/>
      <c r="GJ632" s="654"/>
      <c r="GK632" s="654"/>
      <c r="GL632" s="653"/>
      <c r="GM632" s="653"/>
      <c r="GN632" s="653"/>
      <c r="GO632" s="643"/>
      <c r="GP632" s="644"/>
      <c r="GQ632" s="643"/>
      <c r="GR632" s="644"/>
      <c r="GS632" s="643"/>
      <c r="GT632" s="644"/>
      <c r="GU632" s="644"/>
      <c r="GV632" s="644"/>
      <c r="GW632" s="644"/>
      <c r="GX632" s="644"/>
      <c r="GY632" s="644"/>
      <c r="GZ632" s="644"/>
      <c r="HA632" s="644"/>
    </row>
    <row r="633" spans="1:209">
      <c r="A633" s="638"/>
      <c r="B633" s="95"/>
      <c r="C633" s="95"/>
      <c r="D633" s="95"/>
      <c r="E633" s="650"/>
      <c r="F633" s="95"/>
      <c r="G633" s="98"/>
      <c r="H633" s="99"/>
      <c r="I633" s="95"/>
      <c r="J633" s="95"/>
      <c r="K633" s="95"/>
      <c r="L633" s="95"/>
      <c r="M633" s="95"/>
      <c r="N633" s="95"/>
      <c r="O633" s="95"/>
      <c r="P633" s="95"/>
      <c r="Q633" s="95"/>
      <c r="R633" s="98"/>
      <c r="S633" s="101"/>
      <c r="T633" s="644"/>
      <c r="U633" s="101"/>
      <c r="V633" s="647"/>
      <c r="W633" s="643"/>
      <c r="X633" s="644"/>
      <c r="Y633" s="101"/>
      <c r="Z633" s="644"/>
      <c r="AA633" s="101"/>
      <c r="AB633" s="644"/>
      <c r="AC633" s="101"/>
      <c r="AD633" s="646"/>
      <c r="AE633" s="271"/>
      <c r="AF633" s="646"/>
      <c r="AG633" s="646"/>
      <c r="AH633" s="646"/>
      <c r="AI633" s="646"/>
      <c r="AJ633" s="646"/>
      <c r="AK633" s="646"/>
      <c r="AL633" s="646"/>
      <c r="AM633" s="271"/>
      <c r="AN633" s="646"/>
      <c r="AO633" s="646"/>
      <c r="AP633" s="646"/>
      <c r="AQ633" s="271"/>
      <c r="AR633" s="646"/>
      <c r="AS633" s="270"/>
      <c r="AT633" s="646"/>
      <c r="AU633" s="646"/>
      <c r="AV633" s="646"/>
      <c r="AW633" s="270"/>
      <c r="AX633" s="646"/>
      <c r="AY633" s="270"/>
      <c r="AZ633" s="646"/>
      <c r="BA633" s="646"/>
      <c r="BB633" s="644"/>
      <c r="BC633" s="644"/>
      <c r="BD633" s="644"/>
      <c r="BE633" s="644"/>
      <c r="BF633" s="644"/>
      <c r="BG633" s="644"/>
      <c r="BH633" s="644"/>
      <c r="BI633" s="644"/>
      <c r="BJ633" s="644"/>
      <c r="BK633" s="644"/>
      <c r="BL633" s="644"/>
      <c r="BM633" s="95"/>
      <c r="BN633" s="644"/>
      <c r="BO633" s="95"/>
      <c r="BP633" s="644"/>
      <c r="BQ633" s="644"/>
      <c r="BR633" s="644"/>
      <c r="BS633" s="644"/>
      <c r="BT633" s="644"/>
      <c r="BU633" s="644"/>
      <c r="BV633" s="644"/>
      <c r="BW633" s="644"/>
      <c r="BX633" s="644"/>
      <c r="BY633" s="644"/>
      <c r="BZ633" s="644"/>
      <c r="CA633" s="644"/>
      <c r="CB633" s="644"/>
      <c r="CC633" s="644"/>
      <c r="CD633" s="644"/>
      <c r="CE633" s="644"/>
      <c r="CF633" s="644"/>
      <c r="CG633" s="644"/>
      <c r="CH633" s="644"/>
      <c r="CI633" s="644"/>
      <c r="CJ633" s="644"/>
      <c r="CK633" s="644"/>
      <c r="CL633" s="644"/>
      <c r="CM633" s="95"/>
      <c r="CN633" s="644"/>
      <c r="CO633" s="644"/>
      <c r="CP633" s="95"/>
      <c r="CQ633" s="98"/>
      <c r="CR633" s="95"/>
      <c r="CS633" s="95"/>
      <c r="CT633" s="95"/>
      <c r="CU633" s="108"/>
      <c r="CV633" s="109"/>
      <c r="CW633" s="644"/>
      <c r="CX633" s="496"/>
      <c r="CY633" s="637"/>
      <c r="CZ633" s="644"/>
      <c r="DA633" s="644"/>
      <c r="DB633" s="644"/>
      <c r="DC633" s="496"/>
      <c r="DD633" s="644"/>
      <c r="DE633" s="101"/>
      <c r="DF633" s="644"/>
      <c r="DG633" s="101"/>
      <c r="DH633" s="644"/>
      <c r="DI633" s="644"/>
      <c r="DJ633" s="644"/>
      <c r="DK633" s="644"/>
      <c r="DL633" s="644"/>
      <c r="DM633" s="101"/>
      <c r="DN633" s="644"/>
      <c r="DO633" s="644"/>
      <c r="DP633" s="644"/>
      <c r="DQ633" s="644"/>
      <c r="DR633" s="644"/>
      <c r="DS633" s="644"/>
      <c r="DT633" s="644"/>
      <c r="DU633" s="644"/>
      <c r="DV633" s="644"/>
      <c r="DW633" s="101"/>
      <c r="DX633" s="646"/>
      <c r="DY633" s="646"/>
      <c r="DZ633" s="646"/>
      <c r="EA633" s="646"/>
      <c r="EB633" s="646"/>
      <c r="EC633" s="646"/>
      <c r="ED633" s="646"/>
      <c r="EE633" s="646"/>
      <c r="EF633" s="646"/>
      <c r="EG633" s="646"/>
      <c r="EH633" s="646"/>
      <c r="EI633" s="646"/>
      <c r="EJ633" s="646"/>
      <c r="EK633" s="271"/>
      <c r="EL633" s="644"/>
      <c r="EM633" s="634"/>
      <c r="EN633" s="647"/>
      <c r="EO633" s="648"/>
      <c r="EP633" s="647"/>
      <c r="EQ633" s="647"/>
      <c r="ER633" s="647"/>
      <c r="ES633" s="139"/>
      <c r="EV633" s="647"/>
      <c r="EW633" s="647"/>
      <c r="EX633" s="647"/>
      <c r="EY633" s="647"/>
      <c r="EZ633" s="647"/>
      <c r="FA633" s="646"/>
      <c r="FB633" s="646"/>
      <c r="FC633" s="646"/>
      <c r="FD633" s="646"/>
      <c r="FE633" s="646"/>
      <c r="FF633" s="646"/>
      <c r="FG633" s="647"/>
      <c r="FH633" s="647"/>
      <c r="FI633" s="647"/>
      <c r="FJ633" s="647"/>
      <c r="FK633" s="647"/>
      <c r="FL633" s="647"/>
      <c r="FM633" s="647"/>
      <c r="FN633" s="647"/>
      <c r="FO633" s="647"/>
      <c r="FP633" s="647"/>
      <c r="FQ633" s="647"/>
      <c r="FR633" s="647"/>
      <c r="FS633" s="101"/>
      <c r="FT633" s="95"/>
      <c r="FV633" s="653"/>
      <c r="FW633" s="653"/>
      <c r="FX633" s="654"/>
      <c r="FY633" s="654"/>
      <c r="FZ633" s="654"/>
      <c r="GA633" s="654"/>
      <c r="GB633" s="654"/>
      <c r="GC633" s="654"/>
      <c r="GD633" s="654"/>
      <c r="GE633" s="654"/>
      <c r="GF633" s="654"/>
      <c r="GG633" s="654"/>
      <c r="GH633" s="654"/>
      <c r="GI633" s="654"/>
      <c r="GJ633" s="654"/>
      <c r="GK633" s="654"/>
      <c r="GL633" s="653"/>
      <c r="GM633" s="653"/>
      <c r="GN633" s="653"/>
      <c r="GO633" s="643"/>
      <c r="GP633" s="644"/>
      <c r="GQ633" s="643"/>
      <c r="GR633" s="644"/>
      <c r="GS633" s="643"/>
      <c r="GT633" s="644"/>
      <c r="GU633" s="644"/>
      <c r="GV633" s="644"/>
      <c r="GW633" s="644"/>
      <c r="GX633" s="644"/>
      <c r="GY633" s="644"/>
      <c r="GZ633" s="644"/>
      <c r="HA633" s="644"/>
    </row>
    <row r="634" spans="1:209">
      <c r="A634" s="638"/>
      <c r="B634" s="95"/>
      <c r="C634" s="95"/>
      <c r="D634" s="95"/>
      <c r="E634" s="650"/>
      <c r="F634" s="95"/>
      <c r="G634" s="98"/>
      <c r="H634" s="99"/>
      <c r="I634" s="95"/>
      <c r="J634" s="95"/>
      <c r="K634" s="95"/>
      <c r="L634" s="95"/>
      <c r="M634" s="95"/>
      <c r="N634" s="95"/>
      <c r="O634" s="95"/>
      <c r="P634" s="95"/>
      <c r="Q634" s="95"/>
      <c r="R634" s="98"/>
      <c r="S634" s="101"/>
      <c r="T634" s="644"/>
      <c r="U634" s="101"/>
      <c r="V634" s="647"/>
      <c r="W634" s="643"/>
      <c r="X634" s="644"/>
      <c r="Y634" s="101"/>
      <c r="Z634" s="644"/>
      <c r="AA634" s="101"/>
      <c r="AB634" s="644"/>
      <c r="AC634" s="101"/>
      <c r="AD634" s="646"/>
      <c r="AE634" s="271"/>
      <c r="AF634" s="646"/>
      <c r="AG634" s="646"/>
      <c r="AH634" s="646"/>
      <c r="AI634" s="646"/>
      <c r="AJ634" s="646"/>
      <c r="AK634" s="646"/>
      <c r="AL634" s="646"/>
      <c r="AM634" s="271"/>
      <c r="AN634" s="646"/>
      <c r="AO634" s="646"/>
      <c r="AP634" s="646"/>
      <c r="AQ634" s="271"/>
      <c r="AR634" s="646"/>
      <c r="AS634" s="270"/>
      <c r="AT634" s="646"/>
      <c r="AU634" s="646"/>
      <c r="AV634" s="646"/>
      <c r="AW634" s="270"/>
      <c r="AX634" s="646"/>
      <c r="AY634" s="270"/>
      <c r="AZ634" s="646"/>
      <c r="BA634" s="646"/>
      <c r="BB634" s="644"/>
      <c r="BC634" s="644"/>
      <c r="BD634" s="644"/>
      <c r="BE634" s="644"/>
      <c r="BF634" s="644"/>
      <c r="BG634" s="644"/>
      <c r="BH634" s="644"/>
      <c r="BI634" s="644"/>
      <c r="BJ634" s="644"/>
      <c r="BK634" s="644"/>
      <c r="BL634" s="644"/>
      <c r="BM634" s="95"/>
      <c r="BN634" s="644"/>
      <c r="BO634" s="95"/>
      <c r="BP634" s="644"/>
      <c r="BQ634" s="644"/>
      <c r="BR634" s="644"/>
      <c r="BS634" s="644"/>
      <c r="BT634" s="644"/>
      <c r="BU634" s="644"/>
      <c r="BV634" s="644"/>
      <c r="BW634" s="644"/>
      <c r="BX634" s="644"/>
      <c r="BY634" s="644"/>
      <c r="BZ634" s="644"/>
      <c r="CA634" s="644"/>
      <c r="CB634" s="644"/>
      <c r="CC634" s="644"/>
      <c r="CD634" s="644"/>
      <c r="CE634" s="644"/>
      <c r="CF634" s="644"/>
      <c r="CG634" s="644"/>
      <c r="CH634" s="644"/>
      <c r="CI634" s="644"/>
      <c r="CJ634" s="644"/>
      <c r="CK634" s="644"/>
      <c r="CL634" s="644"/>
      <c r="CM634" s="95"/>
      <c r="CN634" s="644"/>
      <c r="CO634" s="644"/>
      <c r="CP634" s="95"/>
      <c r="CQ634" s="98"/>
      <c r="CR634" s="95"/>
      <c r="CS634" s="95"/>
      <c r="CT634" s="95"/>
      <c r="CU634" s="108"/>
      <c r="CV634" s="109"/>
      <c r="CW634" s="644"/>
      <c r="CX634" s="496"/>
      <c r="CY634" s="637"/>
      <c r="CZ634" s="644"/>
      <c r="DA634" s="644"/>
      <c r="DB634" s="644"/>
      <c r="DC634" s="496"/>
      <c r="DD634" s="644"/>
      <c r="DE634" s="101"/>
      <c r="DF634" s="644"/>
      <c r="DG634" s="101"/>
      <c r="DH634" s="644"/>
      <c r="DI634" s="644"/>
      <c r="DJ634" s="644"/>
      <c r="DK634" s="644"/>
      <c r="DL634" s="644"/>
      <c r="DM634" s="101"/>
      <c r="DN634" s="644"/>
      <c r="DO634" s="644"/>
      <c r="DP634" s="644"/>
      <c r="DQ634" s="644"/>
      <c r="DR634" s="644"/>
      <c r="DS634" s="644"/>
      <c r="DT634" s="644"/>
      <c r="DU634" s="644"/>
      <c r="DV634" s="644"/>
      <c r="DW634" s="101"/>
      <c r="DX634" s="646"/>
      <c r="DY634" s="646"/>
      <c r="DZ634" s="646"/>
      <c r="EA634" s="646"/>
      <c r="EB634" s="646"/>
      <c r="EC634" s="646"/>
      <c r="ED634" s="646"/>
      <c r="EE634" s="646"/>
      <c r="EF634" s="646"/>
      <c r="EG634" s="646"/>
      <c r="EH634" s="646"/>
      <c r="EI634" s="646"/>
      <c r="EJ634" s="646"/>
      <c r="EK634" s="271"/>
      <c r="EL634" s="644"/>
      <c r="EM634" s="634"/>
      <c r="EN634" s="647"/>
      <c r="EO634" s="648"/>
      <c r="EP634" s="647"/>
      <c r="EQ634" s="647"/>
      <c r="ER634" s="647"/>
      <c r="ES634" s="139"/>
      <c r="EV634" s="647"/>
      <c r="EW634" s="647"/>
      <c r="EX634" s="647"/>
      <c r="EY634" s="647"/>
      <c r="EZ634" s="647"/>
      <c r="FA634" s="646"/>
      <c r="FB634" s="646"/>
      <c r="FC634" s="646"/>
      <c r="FD634" s="646"/>
      <c r="FE634" s="646"/>
      <c r="FF634" s="646"/>
      <c r="FG634" s="647"/>
      <c r="FH634" s="647"/>
      <c r="FI634" s="647"/>
      <c r="FJ634" s="647"/>
      <c r="FK634" s="647"/>
      <c r="FL634" s="647"/>
      <c r="FM634" s="647"/>
      <c r="FN634" s="647"/>
      <c r="FO634" s="647"/>
      <c r="FP634" s="647"/>
      <c r="FQ634" s="647"/>
      <c r="FR634" s="647"/>
      <c r="FS634" s="101"/>
      <c r="FT634" s="95"/>
      <c r="FV634" s="653"/>
      <c r="FW634" s="653"/>
      <c r="FX634" s="654"/>
      <c r="FY634" s="654"/>
      <c r="FZ634" s="654"/>
      <c r="GA634" s="654"/>
      <c r="GB634" s="654"/>
      <c r="GC634" s="654"/>
      <c r="GD634" s="654"/>
      <c r="GE634" s="654"/>
      <c r="GF634" s="654"/>
      <c r="GG634" s="654"/>
      <c r="GH634" s="654"/>
      <c r="GI634" s="654"/>
      <c r="GJ634" s="654"/>
      <c r="GK634" s="654"/>
      <c r="GL634" s="653"/>
      <c r="GM634" s="653"/>
      <c r="GN634" s="653"/>
      <c r="GO634" s="643"/>
      <c r="GP634" s="644"/>
      <c r="GQ634" s="643"/>
      <c r="GR634" s="644"/>
      <c r="GS634" s="643"/>
      <c r="GT634" s="644"/>
      <c r="GU634" s="644"/>
      <c r="GV634" s="644"/>
      <c r="GW634" s="644"/>
      <c r="GX634" s="644"/>
      <c r="GY634" s="644"/>
      <c r="GZ634" s="644"/>
      <c r="HA634" s="644"/>
    </row>
    <row r="635" spans="1:209">
      <c r="A635" s="638"/>
      <c r="B635" s="95"/>
      <c r="C635" s="95"/>
      <c r="D635" s="95"/>
      <c r="E635" s="650"/>
      <c r="F635" s="95"/>
      <c r="G635" s="98"/>
      <c r="H635" s="99"/>
      <c r="I635" s="95"/>
      <c r="J635" s="95"/>
      <c r="K635" s="95"/>
      <c r="L635" s="95"/>
      <c r="M635" s="95"/>
      <c r="N635" s="95"/>
      <c r="O635" s="95"/>
      <c r="P635" s="95"/>
      <c r="Q635" s="95"/>
      <c r="R635" s="98"/>
      <c r="S635" s="101"/>
      <c r="T635" s="644"/>
      <c r="U635" s="101"/>
      <c r="V635" s="647"/>
      <c r="W635" s="643"/>
      <c r="X635" s="644"/>
      <c r="Y635" s="101"/>
      <c r="Z635" s="644"/>
      <c r="AA635" s="101"/>
      <c r="AB635" s="644"/>
      <c r="AC635" s="101"/>
      <c r="AD635" s="646"/>
      <c r="AE635" s="271"/>
      <c r="AF635" s="646"/>
      <c r="AG635" s="646"/>
      <c r="AH635" s="646"/>
      <c r="AI635" s="646"/>
      <c r="AJ635" s="646"/>
      <c r="AK635" s="646"/>
      <c r="AL635" s="646"/>
      <c r="AM635" s="271"/>
      <c r="AN635" s="646"/>
      <c r="AO635" s="646"/>
      <c r="AP635" s="646"/>
      <c r="AQ635" s="271"/>
      <c r="AR635" s="646"/>
      <c r="AS635" s="270"/>
      <c r="AT635" s="646"/>
      <c r="AU635" s="646"/>
      <c r="AV635" s="646"/>
      <c r="AW635" s="270"/>
      <c r="AX635" s="646"/>
      <c r="AY635" s="270"/>
      <c r="AZ635" s="646"/>
      <c r="BA635" s="646"/>
      <c r="BB635" s="644"/>
      <c r="BC635" s="644"/>
      <c r="BD635" s="644"/>
      <c r="BE635" s="644"/>
      <c r="BF635" s="644"/>
      <c r="BG635" s="644"/>
      <c r="BH635" s="644"/>
      <c r="BI635" s="644"/>
      <c r="BJ635" s="644"/>
      <c r="BK635" s="644"/>
      <c r="BL635" s="644"/>
      <c r="BM635" s="95"/>
      <c r="BN635" s="644"/>
      <c r="BO635" s="95"/>
      <c r="BP635" s="644"/>
      <c r="BQ635" s="644"/>
      <c r="BR635" s="644"/>
      <c r="BS635" s="644"/>
      <c r="BT635" s="644"/>
      <c r="BU635" s="644"/>
      <c r="BV635" s="644"/>
      <c r="BW635" s="644"/>
      <c r="BX635" s="644"/>
      <c r="BY635" s="644"/>
      <c r="BZ635" s="644"/>
      <c r="CA635" s="644"/>
      <c r="CB635" s="644"/>
      <c r="CC635" s="644"/>
      <c r="CD635" s="644"/>
      <c r="CE635" s="644"/>
      <c r="CF635" s="644"/>
      <c r="CG635" s="644"/>
      <c r="CH635" s="644"/>
      <c r="CI635" s="644"/>
      <c r="CJ635" s="644"/>
      <c r="CK635" s="644"/>
      <c r="CL635" s="644"/>
      <c r="CM635" s="95"/>
      <c r="CN635" s="644"/>
      <c r="CO635" s="644"/>
      <c r="CP635" s="95"/>
      <c r="CQ635" s="98"/>
      <c r="CR635" s="95"/>
      <c r="CS635" s="95"/>
      <c r="CT635" s="95"/>
      <c r="CU635" s="108"/>
      <c r="CV635" s="109"/>
      <c r="CW635" s="644"/>
      <c r="CX635" s="496"/>
      <c r="CY635" s="637"/>
      <c r="CZ635" s="644"/>
      <c r="DA635" s="644"/>
      <c r="DB635" s="644"/>
      <c r="DC635" s="496"/>
      <c r="DD635" s="644"/>
      <c r="DE635" s="101"/>
      <c r="DF635" s="644"/>
      <c r="DG635" s="101"/>
      <c r="DH635" s="644"/>
      <c r="DI635" s="644"/>
      <c r="DJ635" s="644"/>
      <c r="DK635" s="644"/>
      <c r="DL635" s="644"/>
      <c r="DM635" s="101"/>
      <c r="DN635" s="644"/>
      <c r="DO635" s="644"/>
      <c r="DP635" s="644"/>
      <c r="DQ635" s="644"/>
      <c r="DR635" s="644"/>
      <c r="DS635" s="644"/>
      <c r="DT635" s="644"/>
      <c r="DU635" s="644"/>
      <c r="DV635" s="644"/>
      <c r="DW635" s="101"/>
      <c r="DX635" s="646"/>
      <c r="DY635" s="646"/>
      <c r="DZ635" s="646"/>
      <c r="EA635" s="646"/>
      <c r="EB635" s="646"/>
      <c r="EC635" s="646"/>
      <c r="ED635" s="646"/>
      <c r="EE635" s="646"/>
      <c r="EF635" s="646"/>
      <c r="EG635" s="646"/>
      <c r="EH635" s="646"/>
      <c r="EI635" s="646"/>
      <c r="EJ635" s="646"/>
      <c r="EK635" s="271"/>
      <c r="EL635" s="644"/>
      <c r="EM635" s="634"/>
      <c r="EN635" s="647"/>
      <c r="EO635" s="648"/>
      <c r="EP635" s="647"/>
      <c r="EQ635" s="647"/>
      <c r="ER635" s="647"/>
      <c r="ES635" s="139"/>
      <c r="EV635" s="647"/>
      <c r="EW635" s="647"/>
      <c r="EX635" s="647"/>
      <c r="EY635" s="647"/>
      <c r="EZ635" s="647"/>
      <c r="FA635" s="646"/>
      <c r="FB635" s="646"/>
      <c r="FC635" s="646"/>
      <c r="FD635" s="646"/>
      <c r="FE635" s="646"/>
      <c r="FF635" s="646"/>
      <c r="FG635" s="647"/>
      <c r="FH635" s="647"/>
      <c r="FI635" s="647"/>
      <c r="FJ635" s="647"/>
      <c r="FK635" s="647"/>
      <c r="FL635" s="647"/>
      <c r="FM635" s="647"/>
      <c r="FN635" s="647"/>
      <c r="FO635" s="647"/>
      <c r="FP635" s="647"/>
      <c r="FQ635" s="647"/>
      <c r="FR635" s="647"/>
      <c r="FS635" s="101"/>
      <c r="FT635" s="95"/>
      <c r="FV635" s="653"/>
      <c r="FW635" s="653"/>
      <c r="FX635" s="654"/>
      <c r="FY635" s="654"/>
      <c r="FZ635" s="654"/>
      <c r="GA635" s="654"/>
      <c r="GB635" s="654"/>
      <c r="GC635" s="654"/>
      <c r="GD635" s="654"/>
      <c r="GE635" s="654"/>
      <c r="GF635" s="654"/>
      <c r="GG635" s="654"/>
      <c r="GH635" s="654"/>
      <c r="GI635" s="654"/>
      <c r="GJ635" s="654"/>
      <c r="GK635" s="654"/>
      <c r="GL635" s="653"/>
      <c r="GM635" s="653"/>
      <c r="GN635" s="653"/>
      <c r="GO635" s="643"/>
      <c r="GP635" s="644"/>
      <c r="GQ635" s="643"/>
      <c r="GR635" s="644"/>
      <c r="GS635" s="643"/>
      <c r="GT635" s="644"/>
      <c r="GU635" s="644"/>
      <c r="GV635" s="644"/>
      <c r="GW635" s="644"/>
      <c r="GX635" s="644"/>
      <c r="GY635" s="644"/>
      <c r="GZ635" s="644"/>
      <c r="HA635" s="644"/>
    </row>
    <row r="636" spans="1:209">
      <c r="A636" s="638"/>
      <c r="B636" s="95"/>
      <c r="C636" s="95"/>
      <c r="D636" s="95"/>
      <c r="E636" s="650"/>
      <c r="F636" s="95"/>
      <c r="G636" s="98"/>
      <c r="H636" s="99"/>
      <c r="I636" s="95"/>
      <c r="J636" s="95"/>
      <c r="K636" s="95"/>
      <c r="L636" s="95"/>
      <c r="M636" s="95"/>
      <c r="N636" s="95"/>
      <c r="O636" s="95"/>
      <c r="P636" s="95"/>
      <c r="Q636" s="95"/>
      <c r="R636" s="98"/>
      <c r="S636" s="101"/>
      <c r="T636" s="644"/>
      <c r="U636" s="101"/>
      <c r="V636" s="647"/>
      <c r="W636" s="643"/>
      <c r="X636" s="644"/>
      <c r="Y636" s="101"/>
      <c r="Z636" s="644"/>
      <c r="AA636" s="101"/>
      <c r="AB636" s="644"/>
      <c r="AC636" s="101"/>
      <c r="AD636" s="646"/>
      <c r="AE636" s="271"/>
      <c r="AF636" s="646"/>
      <c r="AG636" s="646"/>
      <c r="AH636" s="646"/>
      <c r="AI636" s="646"/>
      <c r="AJ636" s="646"/>
      <c r="AK636" s="646"/>
      <c r="AL636" s="646"/>
      <c r="AM636" s="271"/>
      <c r="AN636" s="646"/>
      <c r="AO636" s="646"/>
      <c r="AP636" s="646"/>
      <c r="AQ636" s="271"/>
      <c r="AR636" s="646"/>
      <c r="AS636" s="270"/>
      <c r="AT636" s="646"/>
      <c r="AU636" s="646"/>
      <c r="AV636" s="646"/>
      <c r="AW636" s="270"/>
      <c r="AX636" s="646"/>
      <c r="AY636" s="270"/>
      <c r="AZ636" s="646"/>
      <c r="BA636" s="646"/>
      <c r="BB636" s="644"/>
      <c r="BC636" s="644"/>
      <c r="BD636" s="644"/>
      <c r="BE636" s="644"/>
      <c r="BF636" s="644"/>
      <c r="BG636" s="644"/>
      <c r="BH636" s="644"/>
      <c r="BI636" s="644"/>
      <c r="BJ636" s="644"/>
      <c r="BK636" s="644"/>
      <c r="BL636" s="644"/>
      <c r="BM636" s="95"/>
      <c r="BN636" s="644"/>
      <c r="BO636" s="95"/>
      <c r="BP636" s="644"/>
      <c r="BQ636" s="644"/>
      <c r="BR636" s="644"/>
      <c r="BS636" s="644"/>
      <c r="BT636" s="644"/>
      <c r="BU636" s="644"/>
      <c r="BV636" s="644"/>
      <c r="BW636" s="644"/>
      <c r="BX636" s="644"/>
      <c r="BY636" s="644"/>
      <c r="BZ636" s="644"/>
      <c r="CA636" s="644"/>
      <c r="CB636" s="644"/>
      <c r="CC636" s="644"/>
      <c r="CD636" s="644"/>
      <c r="CE636" s="644"/>
      <c r="CF636" s="644"/>
      <c r="CG636" s="644"/>
      <c r="CH636" s="644"/>
      <c r="CI636" s="644"/>
      <c r="CJ636" s="644"/>
      <c r="CK636" s="644"/>
      <c r="CL636" s="644"/>
      <c r="CM636" s="95"/>
      <c r="CN636" s="644"/>
      <c r="CO636" s="644"/>
      <c r="CP636" s="95"/>
      <c r="CQ636" s="98"/>
      <c r="CR636" s="95"/>
      <c r="CS636" s="95"/>
      <c r="CT636" s="95"/>
      <c r="CU636" s="108"/>
      <c r="CV636" s="109"/>
      <c r="CW636" s="644"/>
      <c r="CZ636" s="644"/>
      <c r="DA636" s="644"/>
      <c r="DB636" s="644"/>
      <c r="DC636" s="496"/>
      <c r="DD636" s="644"/>
      <c r="DE636" s="101"/>
      <c r="DF636" s="644"/>
      <c r="DG636" s="101"/>
      <c r="DH636" s="644"/>
      <c r="DI636" s="644"/>
      <c r="DJ636" s="644"/>
      <c r="DK636" s="644"/>
      <c r="DL636" s="644"/>
      <c r="DM636" s="101"/>
      <c r="DN636" s="644"/>
      <c r="DO636" s="644"/>
      <c r="DP636" s="644"/>
      <c r="DQ636" s="644"/>
      <c r="DR636" s="644"/>
      <c r="DS636" s="644"/>
      <c r="DT636" s="644"/>
      <c r="DU636" s="644"/>
      <c r="DV636" s="644"/>
      <c r="DW636" s="101"/>
      <c r="DX636" s="646"/>
      <c r="DY636" s="646"/>
      <c r="DZ636" s="646"/>
      <c r="EA636" s="646"/>
      <c r="EB636" s="646"/>
      <c r="EC636" s="646"/>
      <c r="ED636" s="646"/>
      <c r="EE636" s="646"/>
      <c r="EF636" s="646"/>
      <c r="EG636" s="646"/>
      <c r="EH636" s="646"/>
      <c r="EI636" s="646"/>
      <c r="EJ636" s="646"/>
      <c r="EK636" s="271"/>
      <c r="EL636" s="644"/>
      <c r="EM636" s="634"/>
      <c r="EN636" s="647"/>
      <c r="EO636" s="648"/>
      <c r="EP636" s="647"/>
      <c r="EQ636" s="647"/>
      <c r="ER636" s="647"/>
      <c r="ES636" s="139"/>
      <c r="EV636" s="647"/>
      <c r="EW636" s="647"/>
      <c r="EX636" s="647"/>
      <c r="EY636" s="647"/>
      <c r="EZ636" s="647"/>
      <c r="FA636" s="646"/>
      <c r="FB636" s="646"/>
      <c r="FC636" s="646"/>
      <c r="FD636" s="646"/>
      <c r="FE636" s="646"/>
      <c r="FF636" s="646"/>
      <c r="FG636" s="647"/>
      <c r="FH636" s="647"/>
      <c r="FI636" s="647"/>
      <c r="FJ636" s="647"/>
      <c r="FK636" s="647"/>
      <c r="FL636" s="647"/>
      <c r="FM636" s="647"/>
      <c r="FN636" s="647"/>
      <c r="FO636" s="647"/>
      <c r="FP636" s="647"/>
      <c r="FQ636" s="647"/>
      <c r="FR636" s="647"/>
      <c r="FS636" s="101"/>
      <c r="FT636" s="95"/>
      <c r="FV636" s="653"/>
      <c r="FW636" s="653"/>
      <c r="FX636" s="654"/>
      <c r="FY636" s="654"/>
      <c r="FZ636" s="654"/>
      <c r="GA636" s="654"/>
      <c r="GB636" s="654"/>
      <c r="GC636" s="654"/>
      <c r="GD636" s="654"/>
      <c r="GE636" s="654"/>
      <c r="GF636" s="654"/>
      <c r="GG636" s="654"/>
      <c r="GH636" s="654"/>
      <c r="GI636" s="654"/>
      <c r="GJ636" s="654"/>
      <c r="GK636" s="654"/>
      <c r="GL636" s="653"/>
      <c r="GM636" s="653"/>
      <c r="GN636" s="653"/>
      <c r="GO636" s="643"/>
      <c r="GP636" s="644"/>
      <c r="GQ636" s="643"/>
      <c r="GR636" s="644"/>
      <c r="GS636" s="643"/>
      <c r="GT636" s="644"/>
      <c r="GU636" s="644"/>
      <c r="GV636" s="644"/>
      <c r="GW636" s="644"/>
      <c r="GX636" s="644"/>
      <c r="GY636" s="644"/>
      <c r="GZ636" s="644"/>
      <c r="HA636" s="644"/>
    </row>
    <row r="637" spans="1:209">
      <c r="E637" s="657"/>
      <c r="CU637" s="665"/>
    </row>
  </sheetData>
  <mergeCells count="2293">
    <mergeCell ref="IF133:IF135"/>
    <mergeCell ref="HT133:HT135"/>
    <mergeCell ref="HV133:HV135"/>
    <mergeCell ref="HX133:HX135"/>
    <mergeCell ref="HZ133:HZ135"/>
    <mergeCell ref="IB133:IB135"/>
    <mergeCell ref="ID133:ID135"/>
    <mergeCell ref="HH133:HH135"/>
    <mergeCell ref="HJ133:HJ135"/>
    <mergeCell ref="HL133:HL135"/>
    <mergeCell ref="HN133:HN135"/>
    <mergeCell ref="HP133:HP135"/>
    <mergeCell ref="HR133:HR135"/>
    <mergeCell ref="GO133:GO135"/>
    <mergeCell ref="GQ133:GQ135"/>
    <mergeCell ref="GS133:GS135"/>
    <mergeCell ref="HC133:HC135"/>
    <mergeCell ref="HD133:HD135"/>
    <mergeCell ref="HF133:HF135"/>
    <mergeCell ref="GI133:GI135"/>
    <mergeCell ref="GJ133:GJ135"/>
    <mergeCell ref="GK133:GK135"/>
    <mergeCell ref="GL133:GL135"/>
    <mergeCell ref="GM133:GM135"/>
    <mergeCell ref="GN133:GN135"/>
    <mergeCell ref="GC133:GC135"/>
    <mergeCell ref="GD133:GD135"/>
    <mergeCell ref="GE133:GE135"/>
    <mergeCell ref="GF133:GF135"/>
    <mergeCell ref="GG133:GG135"/>
    <mergeCell ref="GH133:GH135"/>
    <mergeCell ref="FW133:FW135"/>
    <mergeCell ref="FX133:FX135"/>
    <mergeCell ref="FY133:FY135"/>
    <mergeCell ref="FZ133:FZ135"/>
    <mergeCell ref="GA133:GA135"/>
    <mergeCell ref="GB133:GB135"/>
    <mergeCell ref="FN133:FN135"/>
    <mergeCell ref="FP133:FP135"/>
    <mergeCell ref="FR133:FR135"/>
    <mergeCell ref="FT133:FT135"/>
    <mergeCell ref="FU133:FU135"/>
    <mergeCell ref="FV133:FV135"/>
    <mergeCell ref="FB133:FB135"/>
    <mergeCell ref="FD133:FD135"/>
    <mergeCell ref="FF133:FF135"/>
    <mergeCell ref="FH133:FH135"/>
    <mergeCell ref="FJ133:FJ135"/>
    <mergeCell ref="FL133:FL135"/>
    <mergeCell ref="EO133:EO135"/>
    <mergeCell ref="EQ133:EQ135"/>
    <mergeCell ref="ES133:ES135"/>
    <mergeCell ref="EU133:EU135"/>
    <mergeCell ref="EW133:EW135"/>
    <mergeCell ref="EY133:EY135"/>
    <mergeCell ref="EC133:EC135"/>
    <mergeCell ref="EE133:EE135"/>
    <mergeCell ref="EG133:EG135"/>
    <mergeCell ref="EI133:EI135"/>
    <mergeCell ref="EK133:EK135"/>
    <mergeCell ref="EM133:EM135"/>
    <mergeCell ref="DQ133:DQ135"/>
    <mergeCell ref="DS133:DS135"/>
    <mergeCell ref="DU133:DU135"/>
    <mergeCell ref="DW133:DW135"/>
    <mergeCell ref="DY133:DY135"/>
    <mergeCell ref="EA133:EA135"/>
    <mergeCell ref="DE133:DE135"/>
    <mergeCell ref="DG133:DG135"/>
    <mergeCell ref="DI133:DI135"/>
    <mergeCell ref="DK133:DK135"/>
    <mergeCell ref="DM133:DM135"/>
    <mergeCell ref="DO133:DO135"/>
    <mergeCell ref="CO133:CO135"/>
    <mergeCell ref="CV133:CV134"/>
    <mergeCell ref="CW133:CW135"/>
    <mergeCell ref="CY133:CY135"/>
    <mergeCell ref="DA133:DA135"/>
    <mergeCell ref="DC133:DC135"/>
    <mergeCell ref="CC133:CC135"/>
    <mergeCell ref="CE133:CE135"/>
    <mergeCell ref="CG133:CG135"/>
    <mergeCell ref="CI133:CI135"/>
    <mergeCell ref="CK133:CK135"/>
    <mergeCell ref="CM133:CM135"/>
    <mergeCell ref="BQ133:BQ135"/>
    <mergeCell ref="BS133:BS135"/>
    <mergeCell ref="BU133:BU135"/>
    <mergeCell ref="BW133:BW135"/>
    <mergeCell ref="BY133:BY135"/>
    <mergeCell ref="CA133:CA135"/>
    <mergeCell ref="BE133:BE135"/>
    <mergeCell ref="BG133:BG135"/>
    <mergeCell ref="BI133:BI135"/>
    <mergeCell ref="BK133:BK135"/>
    <mergeCell ref="BM133:BM135"/>
    <mergeCell ref="BO133:BO135"/>
    <mergeCell ref="AS133:AS135"/>
    <mergeCell ref="AU133:AU135"/>
    <mergeCell ref="AW133:AW135"/>
    <mergeCell ref="AY133:AY135"/>
    <mergeCell ref="BA133:BA135"/>
    <mergeCell ref="BC133:BC135"/>
    <mergeCell ref="AG133:AG135"/>
    <mergeCell ref="AI133:AI135"/>
    <mergeCell ref="AK133:AK135"/>
    <mergeCell ref="AM133:AM135"/>
    <mergeCell ref="AO133:AO135"/>
    <mergeCell ref="AQ133:AQ135"/>
    <mergeCell ref="GS125:GS127"/>
    <mergeCell ref="HC125:HC127"/>
    <mergeCell ref="A133:A135"/>
    <mergeCell ref="S133:S135"/>
    <mergeCell ref="U133:U135"/>
    <mergeCell ref="W133:W135"/>
    <mergeCell ref="Y133:Y135"/>
    <mergeCell ref="AA133:AA135"/>
    <mergeCell ref="AC133:AC135"/>
    <mergeCell ref="AE133:AE135"/>
    <mergeCell ref="GK125:GK127"/>
    <mergeCell ref="GL125:GL127"/>
    <mergeCell ref="GM125:GM127"/>
    <mergeCell ref="GN125:GN127"/>
    <mergeCell ref="GO125:GO127"/>
    <mergeCell ref="GQ125:GQ127"/>
    <mergeCell ref="GE125:GE127"/>
    <mergeCell ref="GF125:GF127"/>
    <mergeCell ref="GG125:GG127"/>
    <mergeCell ref="GH125:GH127"/>
    <mergeCell ref="GI125:GI127"/>
    <mergeCell ref="GJ125:GJ127"/>
    <mergeCell ref="FY125:FY127"/>
    <mergeCell ref="FZ125:FZ127"/>
    <mergeCell ref="GA125:GA127"/>
    <mergeCell ref="GB125:GB127"/>
    <mergeCell ref="GC125:GC127"/>
    <mergeCell ref="GD125:GD127"/>
    <mergeCell ref="FS125:FS127"/>
    <mergeCell ref="FT125:FT127"/>
    <mergeCell ref="FU125:FU127"/>
    <mergeCell ref="FV125:FV127"/>
    <mergeCell ref="FW125:FW127"/>
    <mergeCell ref="FX125:FX127"/>
    <mergeCell ref="FH125:FH127"/>
    <mergeCell ref="FJ125:FJ127"/>
    <mergeCell ref="FL125:FL127"/>
    <mergeCell ref="FN125:FN127"/>
    <mergeCell ref="FP125:FP127"/>
    <mergeCell ref="FR125:FR127"/>
    <mergeCell ref="EW125:EW127"/>
    <mergeCell ref="EY125:EY127"/>
    <mergeCell ref="EZ125:EZ127"/>
    <mergeCell ref="FB125:FB127"/>
    <mergeCell ref="FD125:FD127"/>
    <mergeCell ref="FF125:FF127"/>
    <mergeCell ref="EK125:EK127"/>
    <mergeCell ref="EM125:EM127"/>
    <mergeCell ref="EO125:EO127"/>
    <mergeCell ref="EQ125:EQ127"/>
    <mergeCell ref="ES125:ES127"/>
    <mergeCell ref="EU125:EU127"/>
    <mergeCell ref="DY125:DY127"/>
    <mergeCell ref="EA125:EA127"/>
    <mergeCell ref="EC125:EC127"/>
    <mergeCell ref="EE125:EE127"/>
    <mergeCell ref="EG125:EG127"/>
    <mergeCell ref="EI125:EI127"/>
    <mergeCell ref="DM125:DM127"/>
    <mergeCell ref="DO125:DO127"/>
    <mergeCell ref="DQ125:DQ127"/>
    <mergeCell ref="DS125:DS127"/>
    <mergeCell ref="DU125:DU127"/>
    <mergeCell ref="DW125:DW127"/>
    <mergeCell ref="DA125:DA127"/>
    <mergeCell ref="DC125:DC127"/>
    <mergeCell ref="DE125:DE127"/>
    <mergeCell ref="DG125:DG127"/>
    <mergeCell ref="DI125:DI127"/>
    <mergeCell ref="DK125:DK127"/>
    <mergeCell ref="CK125:CK127"/>
    <mergeCell ref="CM125:CM127"/>
    <mergeCell ref="CP125:CP127"/>
    <mergeCell ref="CV125:CV127"/>
    <mergeCell ref="CX125:CX127"/>
    <mergeCell ref="CY125:CY127"/>
    <mergeCell ref="BY125:BY127"/>
    <mergeCell ref="CA125:CA127"/>
    <mergeCell ref="CC125:CC127"/>
    <mergeCell ref="CE125:CE127"/>
    <mergeCell ref="CG125:CG127"/>
    <mergeCell ref="CI125:CI127"/>
    <mergeCell ref="BM125:BM127"/>
    <mergeCell ref="BO125:BO127"/>
    <mergeCell ref="BQ125:BQ127"/>
    <mergeCell ref="BS125:BS127"/>
    <mergeCell ref="BU125:BU127"/>
    <mergeCell ref="BW125:BW127"/>
    <mergeCell ref="BA125:BA127"/>
    <mergeCell ref="BC125:BC127"/>
    <mergeCell ref="BE125:BE127"/>
    <mergeCell ref="BG125:BG127"/>
    <mergeCell ref="BI125:BI127"/>
    <mergeCell ref="BK125:BK127"/>
    <mergeCell ref="AO125:AO127"/>
    <mergeCell ref="AQ125:AQ127"/>
    <mergeCell ref="AS125:AS127"/>
    <mergeCell ref="AU125:AU127"/>
    <mergeCell ref="AW125:AW127"/>
    <mergeCell ref="AY125:AY127"/>
    <mergeCell ref="AC125:AC127"/>
    <mergeCell ref="AE125:AE127"/>
    <mergeCell ref="AH125:AH127"/>
    <mergeCell ref="AJ125:AJ127"/>
    <mergeCell ref="AK125:AK127"/>
    <mergeCell ref="AM125:AM127"/>
    <mergeCell ref="GO114:GO115"/>
    <mergeCell ref="GQ114:GQ115"/>
    <mergeCell ref="GS114:GS115"/>
    <mergeCell ref="HC114:HC115"/>
    <mergeCell ref="A125:A127"/>
    <mergeCell ref="S125:S127"/>
    <mergeCell ref="U125:U127"/>
    <mergeCell ref="W125:W127"/>
    <mergeCell ref="Y125:Y127"/>
    <mergeCell ref="AA125:AA127"/>
    <mergeCell ref="GI114:GI115"/>
    <mergeCell ref="GJ114:GJ115"/>
    <mergeCell ref="GK114:GK115"/>
    <mergeCell ref="GL114:GL115"/>
    <mergeCell ref="GM114:GM115"/>
    <mergeCell ref="GN114:GN115"/>
    <mergeCell ref="GC114:GC115"/>
    <mergeCell ref="GD114:GD115"/>
    <mergeCell ref="GE114:GE115"/>
    <mergeCell ref="GF114:GF115"/>
    <mergeCell ref="GG114:GG115"/>
    <mergeCell ref="GH114:GH115"/>
    <mergeCell ref="FW114:FW115"/>
    <mergeCell ref="FX114:FX115"/>
    <mergeCell ref="FY114:FY115"/>
    <mergeCell ref="FZ114:FZ115"/>
    <mergeCell ref="GA114:GA115"/>
    <mergeCell ref="GB114:GB115"/>
    <mergeCell ref="FP114:FP115"/>
    <mergeCell ref="FR114:FR115"/>
    <mergeCell ref="FS114:FS115"/>
    <mergeCell ref="FT114:FT115"/>
    <mergeCell ref="FU114:FU115"/>
    <mergeCell ref="FV114:FV115"/>
    <mergeCell ref="FD114:FD115"/>
    <mergeCell ref="FF114:FF115"/>
    <mergeCell ref="FH114:FH115"/>
    <mergeCell ref="FJ114:FJ115"/>
    <mergeCell ref="FL114:FL115"/>
    <mergeCell ref="FN114:FN115"/>
    <mergeCell ref="ES114:ES115"/>
    <mergeCell ref="EU114:EU115"/>
    <mergeCell ref="EW114:EW115"/>
    <mergeCell ref="EY114:EY115"/>
    <mergeCell ref="EZ114:EZ115"/>
    <mergeCell ref="FB114:FB115"/>
    <mergeCell ref="EG114:EG115"/>
    <mergeCell ref="EI114:EI115"/>
    <mergeCell ref="EK114:EK115"/>
    <mergeCell ref="EM114:EM115"/>
    <mergeCell ref="EO114:EO115"/>
    <mergeCell ref="EQ114:EQ115"/>
    <mergeCell ref="DU114:DU115"/>
    <mergeCell ref="DW114:DW115"/>
    <mergeCell ref="DY114:DY115"/>
    <mergeCell ref="EA114:EA115"/>
    <mergeCell ref="EC114:EC115"/>
    <mergeCell ref="EE114:EE115"/>
    <mergeCell ref="DI114:DI115"/>
    <mergeCell ref="DK114:DK115"/>
    <mergeCell ref="DM114:DM115"/>
    <mergeCell ref="DO114:DO115"/>
    <mergeCell ref="DQ114:DQ115"/>
    <mergeCell ref="DS114:DS115"/>
    <mergeCell ref="CX114:CX115"/>
    <mergeCell ref="CY114:CY115"/>
    <mergeCell ref="DA114:DA115"/>
    <mergeCell ref="DC114:DC115"/>
    <mergeCell ref="DE114:DE115"/>
    <mergeCell ref="DG114:DG115"/>
    <mergeCell ref="CE114:CE115"/>
    <mergeCell ref="CG114:CG115"/>
    <mergeCell ref="CI114:CI115"/>
    <mergeCell ref="CK114:CK115"/>
    <mergeCell ref="CM114:CM115"/>
    <mergeCell ref="CV114:CV115"/>
    <mergeCell ref="BS114:BS115"/>
    <mergeCell ref="BU114:BU115"/>
    <mergeCell ref="BW114:BW115"/>
    <mergeCell ref="BY114:BY115"/>
    <mergeCell ref="CA114:CA115"/>
    <mergeCell ref="CC114:CC115"/>
    <mergeCell ref="BG114:BG115"/>
    <mergeCell ref="BI114:BI115"/>
    <mergeCell ref="BK114:BK115"/>
    <mergeCell ref="BM114:BM115"/>
    <mergeCell ref="BO114:BO115"/>
    <mergeCell ref="BQ114:BQ115"/>
    <mergeCell ref="AU114:AU115"/>
    <mergeCell ref="AW114:AW115"/>
    <mergeCell ref="AY114:AY115"/>
    <mergeCell ref="BA114:BA115"/>
    <mergeCell ref="BC114:BC115"/>
    <mergeCell ref="BE114:BE115"/>
    <mergeCell ref="AJ114:AJ115"/>
    <mergeCell ref="AK114:AK115"/>
    <mergeCell ref="AM114:AM115"/>
    <mergeCell ref="AO114:AO115"/>
    <mergeCell ref="AQ114:AQ115"/>
    <mergeCell ref="AS114:AS115"/>
    <mergeCell ref="HC104:HC106"/>
    <mergeCell ref="A114:A115"/>
    <mergeCell ref="S114:S115"/>
    <mergeCell ref="U114:U115"/>
    <mergeCell ref="W114:W115"/>
    <mergeCell ref="Y114:Y115"/>
    <mergeCell ref="AA114:AA115"/>
    <mergeCell ref="AC114:AC115"/>
    <mergeCell ref="AE114:AE115"/>
    <mergeCell ref="AH114:AH115"/>
    <mergeCell ref="GL104:GL106"/>
    <mergeCell ref="GM104:GM106"/>
    <mergeCell ref="GN104:GN106"/>
    <mergeCell ref="GO104:GO106"/>
    <mergeCell ref="GQ104:GQ106"/>
    <mergeCell ref="GS104:GS106"/>
    <mergeCell ref="GF104:GF106"/>
    <mergeCell ref="GG104:GG106"/>
    <mergeCell ref="GH104:GH106"/>
    <mergeCell ref="GI104:GI106"/>
    <mergeCell ref="GJ104:GJ106"/>
    <mergeCell ref="GK104:GK106"/>
    <mergeCell ref="FZ104:FZ106"/>
    <mergeCell ref="GA104:GA106"/>
    <mergeCell ref="GB104:GB106"/>
    <mergeCell ref="GC104:GC106"/>
    <mergeCell ref="GD104:GD106"/>
    <mergeCell ref="GE104:GE106"/>
    <mergeCell ref="FT104:FT106"/>
    <mergeCell ref="FU104:FU106"/>
    <mergeCell ref="FV104:FV106"/>
    <mergeCell ref="FW104:FW106"/>
    <mergeCell ref="FX104:FX106"/>
    <mergeCell ref="FY104:FY106"/>
    <mergeCell ref="FJ104:FJ106"/>
    <mergeCell ref="FL104:FL106"/>
    <mergeCell ref="FN104:FN106"/>
    <mergeCell ref="FP104:FP106"/>
    <mergeCell ref="FR104:FR106"/>
    <mergeCell ref="FS104:FS106"/>
    <mergeCell ref="EY104:EY106"/>
    <mergeCell ref="EZ104:EZ106"/>
    <mergeCell ref="FB104:FB106"/>
    <mergeCell ref="FD104:FD106"/>
    <mergeCell ref="FF104:FF106"/>
    <mergeCell ref="FH104:FH106"/>
    <mergeCell ref="EM104:EM106"/>
    <mergeCell ref="EO104:EO106"/>
    <mergeCell ref="EQ104:EQ106"/>
    <mergeCell ref="ES104:ES106"/>
    <mergeCell ref="EU104:EU106"/>
    <mergeCell ref="EW104:EW106"/>
    <mergeCell ref="EA104:EA106"/>
    <mergeCell ref="EC104:EC106"/>
    <mergeCell ref="EE104:EE106"/>
    <mergeCell ref="EG104:EG106"/>
    <mergeCell ref="EI104:EI106"/>
    <mergeCell ref="EK104:EK106"/>
    <mergeCell ref="DO104:DO106"/>
    <mergeCell ref="DQ104:DQ106"/>
    <mergeCell ref="DS104:DS106"/>
    <mergeCell ref="DU104:DU106"/>
    <mergeCell ref="DW104:DW106"/>
    <mergeCell ref="DY104:DY106"/>
    <mergeCell ref="DC104:DC106"/>
    <mergeCell ref="DE104:DE106"/>
    <mergeCell ref="DG104:DG106"/>
    <mergeCell ref="DI104:DI106"/>
    <mergeCell ref="DK104:DK106"/>
    <mergeCell ref="DM104:DM106"/>
    <mergeCell ref="CK104:CK106"/>
    <mergeCell ref="CM104:CM106"/>
    <mergeCell ref="CV104:CV106"/>
    <mergeCell ref="CX104:CX106"/>
    <mergeCell ref="CY104:CY106"/>
    <mergeCell ref="DA104:DA106"/>
    <mergeCell ref="BY104:BY106"/>
    <mergeCell ref="CA104:CA106"/>
    <mergeCell ref="CC104:CC106"/>
    <mergeCell ref="CE104:CE106"/>
    <mergeCell ref="CG104:CG106"/>
    <mergeCell ref="CI104:CI106"/>
    <mergeCell ref="BM104:BM106"/>
    <mergeCell ref="BO104:BO106"/>
    <mergeCell ref="BQ104:BQ106"/>
    <mergeCell ref="BS104:BS106"/>
    <mergeCell ref="BU104:BU106"/>
    <mergeCell ref="BW104:BW106"/>
    <mergeCell ref="BA104:BA106"/>
    <mergeCell ref="BC104:BC106"/>
    <mergeCell ref="BE104:BE106"/>
    <mergeCell ref="BG104:BG106"/>
    <mergeCell ref="BI104:BI106"/>
    <mergeCell ref="BK104:BK106"/>
    <mergeCell ref="AO104:AO106"/>
    <mergeCell ref="AQ104:AQ106"/>
    <mergeCell ref="AS104:AS106"/>
    <mergeCell ref="AU104:AU106"/>
    <mergeCell ref="AW104:AW106"/>
    <mergeCell ref="AY104:AY106"/>
    <mergeCell ref="AC104:AC106"/>
    <mergeCell ref="AE104:AE106"/>
    <mergeCell ref="AH104:AH106"/>
    <mergeCell ref="AJ104:AJ106"/>
    <mergeCell ref="AK104:AK106"/>
    <mergeCell ref="AM104:AM106"/>
    <mergeCell ref="A104:A106"/>
    <mergeCell ref="S104:S106"/>
    <mergeCell ref="U104:U106"/>
    <mergeCell ref="W104:W106"/>
    <mergeCell ref="Y104:Y106"/>
    <mergeCell ref="AA104:AA106"/>
    <mergeCell ref="GM97:GM98"/>
    <mergeCell ref="GN97:GN98"/>
    <mergeCell ref="GO97:GO98"/>
    <mergeCell ref="GQ97:GQ98"/>
    <mergeCell ref="GS97:GS98"/>
    <mergeCell ref="HC97:HC98"/>
    <mergeCell ref="GG97:GG98"/>
    <mergeCell ref="GH97:GH98"/>
    <mergeCell ref="GI97:GI98"/>
    <mergeCell ref="GJ97:GJ98"/>
    <mergeCell ref="GK97:GK98"/>
    <mergeCell ref="GL97:GL98"/>
    <mergeCell ref="GA97:GA98"/>
    <mergeCell ref="GB97:GB98"/>
    <mergeCell ref="GC97:GC98"/>
    <mergeCell ref="GD97:GD98"/>
    <mergeCell ref="GE97:GE98"/>
    <mergeCell ref="GF97:GF98"/>
    <mergeCell ref="FU97:FU98"/>
    <mergeCell ref="FV97:FV98"/>
    <mergeCell ref="FW97:FW98"/>
    <mergeCell ref="FX97:FX98"/>
    <mergeCell ref="FY97:FY98"/>
    <mergeCell ref="FZ97:FZ98"/>
    <mergeCell ref="FL97:FL98"/>
    <mergeCell ref="FN97:FN98"/>
    <mergeCell ref="FP97:FP98"/>
    <mergeCell ref="FR97:FR98"/>
    <mergeCell ref="FS97:FS98"/>
    <mergeCell ref="FT97:FT98"/>
    <mergeCell ref="EZ97:EZ98"/>
    <mergeCell ref="FB97:FB98"/>
    <mergeCell ref="FD97:FD98"/>
    <mergeCell ref="FF97:FF98"/>
    <mergeCell ref="FH97:FH98"/>
    <mergeCell ref="FJ97:FJ98"/>
    <mergeCell ref="EO97:EO98"/>
    <mergeCell ref="EQ97:EQ98"/>
    <mergeCell ref="ES97:ES98"/>
    <mergeCell ref="EU97:EU98"/>
    <mergeCell ref="EW97:EW98"/>
    <mergeCell ref="EY97:EY98"/>
    <mergeCell ref="EC97:EC98"/>
    <mergeCell ref="EE97:EE98"/>
    <mergeCell ref="EG97:EG98"/>
    <mergeCell ref="EI97:EI98"/>
    <mergeCell ref="EK97:EK98"/>
    <mergeCell ref="EM97:EM98"/>
    <mergeCell ref="DQ97:DQ98"/>
    <mergeCell ref="DS97:DS98"/>
    <mergeCell ref="DU97:DU98"/>
    <mergeCell ref="DW97:DW98"/>
    <mergeCell ref="DY97:DY98"/>
    <mergeCell ref="EA97:EA98"/>
    <mergeCell ref="DE97:DE98"/>
    <mergeCell ref="DG97:DG98"/>
    <mergeCell ref="DI97:DI98"/>
    <mergeCell ref="DK97:DK98"/>
    <mergeCell ref="DM97:DM98"/>
    <mergeCell ref="DO97:DO98"/>
    <mergeCell ref="CP97:CP98"/>
    <mergeCell ref="CV97:CV98"/>
    <mergeCell ref="CX97:CX98"/>
    <mergeCell ref="CY97:CY98"/>
    <mergeCell ref="DA97:DA98"/>
    <mergeCell ref="DC97:DC98"/>
    <mergeCell ref="CC97:CC98"/>
    <mergeCell ref="CE97:CE98"/>
    <mergeCell ref="CG97:CG98"/>
    <mergeCell ref="CI97:CI98"/>
    <mergeCell ref="CK97:CK98"/>
    <mergeCell ref="CM97:CM98"/>
    <mergeCell ref="BQ97:BQ98"/>
    <mergeCell ref="BS97:BS98"/>
    <mergeCell ref="BU97:BU98"/>
    <mergeCell ref="BW97:BW98"/>
    <mergeCell ref="BY97:BY98"/>
    <mergeCell ref="CA97:CA98"/>
    <mergeCell ref="BE97:BE98"/>
    <mergeCell ref="BG97:BG98"/>
    <mergeCell ref="BI97:BI98"/>
    <mergeCell ref="BK97:BK98"/>
    <mergeCell ref="BM97:BM98"/>
    <mergeCell ref="BO97:BO98"/>
    <mergeCell ref="AS97:AS98"/>
    <mergeCell ref="AU97:AU98"/>
    <mergeCell ref="AW97:AW98"/>
    <mergeCell ref="AY97:AY98"/>
    <mergeCell ref="BA97:BA98"/>
    <mergeCell ref="BC97:BC98"/>
    <mergeCell ref="AH97:AH98"/>
    <mergeCell ref="AJ97:AJ98"/>
    <mergeCell ref="AK97:AK98"/>
    <mergeCell ref="AM97:AM98"/>
    <mergeCell ref="AO97:AO98"/>
    <mergeCell ref="AQ97:AQ98"/>
    <mergeCell ref="GS92:GS95"/>
    <mergeCell ref="HC92:HC95"/>
    <mergeCell ref="A97:A98"/>
    <mergeCell ref="S97:S98"/>
    <mergeCell ref="U97:U98"/>
    <mergeCell ref="W97:W98"/>
    <mergeCell ref="Y97:Y98"/>
    <mergeCell ref="AA97:AA98"/>
    <mergeCell ref="AC97:AC98"/>
    <mergeCell ref="AE97:AE98"/>
    <mergeCell ref="GK92:GK95"/>
    <mergeCell ref="GL92:GL95"/>
    <mergeCell ref="GM92:GM95"/>
    <mergeCell ref="GN92:GN95"/>
    <mergeCell ref="GO92:GO95"/>
    <mergeCell ref="GQ92:GQ95"/>
    <mergeCell ref="GE92:GE95"/>
    <mergeCell ref="GF92:GF95"/>
    <mergeCell ref="GG92:GG95"/>
    <mergeCell ref="GH92:GH95"/>
    <mergeCell ref="GI92:GI95"/>
    <mergeCell ref="GJ92:GJ95"/>
    <mergeCell ref="FY92:FY95"/>
    <mergeCell ref="FZ92:FZ95"/>
    <mergeCell ref="GA92:GA95"/>
    <mergeCell ref="GB92:GB95"/>
    <mergeCell ref="GC92:GC95"/>
    <mergeCell ref="GD92:GD95"/>
    <mergeCell ref="FS92:FS95"/>
    <mergeCell ref="FT92:FT95"/>
    <mergeCell ref="FU92:FU95"/>
    <mergeCell ref="FV92:FV95"/>
    <mergeCell ref="FW92:FW95"/>
    <mergeCell ref="FX92:FX95"/>
    <mergeCell ref="FH92:FH95"/>
    <mergeCell ref="FJ92:FJ95"/>
    <mergeCell ref="FL92:FL95"/>
    <mergeCell ref="FN92:FN95"/>
    <mergeCell ref="FP92:FP95"/>
    <mergeCell ref="FR92:FR95"/>
    <mergeCell ref="EW92:EW95"/>
    <mergeCell ref="EY92:EY95"/>
    <mergeCell ref="EZ92:EZ95"/>
    <mergeCell ref="FB92:FB95"/>
    <mergeCell ref="FD92:FD95"/>
    <mergeCell ref="FF92:FF95"/>
    <mergeCell ref="EK92:EK95"/>
    <mergeCell ref="EM92:EM95"/>
    <mergeCell ref="EO92:EO95"/>
    <mergeCell ref="EQ92:EQ95"/>
    <mergeCell ref="ES92:ES95"/>
    <mergeCell ref="EU92:EU95"/>
    <mergeCell ref="DY92:DY95"/>
    <mergeCell ref="EA92:EA95"/>
    <mergeCell ref="EC92:EC95"/>
    <mergeCell ref="EE92:EE95"/>
    <mergeCell ref="EG92:EG95"/>
    <mergeCell ref="EI92:EI95"/>
    <mergeCell ref="DM92:DM95"/>
    <mergeCell ref="DO92:DO95"/>
    <mergeCell ref="DQ92:DQ95"/>
    <mergeCell ref="DS92:DS95"/>
    <mergeCell ref="DU92:DU95"/>
    <mergeCell ref="DW92:DW95"/>
    <mergeCell ref="DA92:DA95"/>
    <mergeCell ref="DC92:DC95"/>
    <mergeCell ref="DE92:DE95"/>
    <mergeCell ref="DG92:DG95"/>
    <mergeCell ref="DI92:DI95"/>
    <mergeCell ref="DK92:DK95"/>
    <mergeCell ref="CI92:CI95"/>
    <mergeCell ref="CK92:CK95"/>
    <mergeCell ref="CM92:CM95"/>
    <mergeCell ref="CV92:CV95"/>
    <mergeCell ref="CX92:CX95"/>
    <mergeCell ref="CY92:CY95"/>
    <mergeCell ref="BW92:BW95"/>
    <mergeCell ref="BY92:BY95"/>
    <mergeCell ref="CA92:CA95"/>
    <mergeCell ref="CC92:CC95"/>
    <mergeCell ref="CE92:CE95"/>
    <mergeCell ref="CG92:CG95"/>
    <mergeCell ref="BK92:BK95"/>
    <mergeCell ref="BM92:BM95"/>
    <mergeCell ref="BO92:BO95"/>
    <mergeCell ref="BQ92:BQ95"/>
    <mergeCell ref="BS92:BS95"/>
    <mergeCell ref="BU92:BU95"/>
    <mergeCell ref="AY92:AY95"/>
    <mergeCell ref="BA92:BA95"/>
    <mergeCell ref="BC92:BC95"/>
    <mergeCell ref="BE92:BE95"/>
    <mergeCell ref="BG92:BG95"/>
    <mergeCell ref="BI92:BI95"/>
    <mergeCell ref="AM92:AM95"/>
    <mergeCell ref="AO92:AO95"/>
    <mergeCell ref="AQ92:AQ95"/>
    <mergeCell ref="AS92:AS95"/>
    <mergeCell ref="AU92:AU95"/>
    <mergeCell ref="AW92:AW95"/>
    <mergeCell ref="AA92:AA95"/>
    <mergeCell ref="AC92:AC95"/>
    <mergeCell ref="AE92:AE95"/>
    <mergeCell ref="AH92:AH95"/>
    <mergeCell ref="AJ92:AJ95"/>
    <mergeCell ref="AK92:AK95"/>
    <mergeCell ref="GN87:GN88"/>
    <mergeCell ref="GO87:GO88"/>
    <mergeCell ref="GQ87:GQ88"/>
    <mergeCell ref="GS87:GS88"/>
    <mergeCell ref="HC87:HC88"/>
    <mergeCell ref="A92:A95"/>
    <mergeCell ref="S92:S95"/>
    <mergeCell ref="U92:U95"/>
    <mergeCell ref="W92:W95"/>
    <mergeCell ref="Y92:Y95"/>
    <mergeCell ref="GH87:GH88"/>
    <mergeCell ref="GI87:GI88"/>
    <mergeCell ref="GJ87:GJ88"/>
    <mergeCell ref="GK87:GK88"/>
    <mergeCell ref="GL87:GL88"/>
    <mergeCell ref="GM87:GM88"/>
    <mergeCell ref="GB87:GB88"/>
    <mergeCell ref="GC87:GC88"/>
    <mergeCell ref="GD87:GD88"/>
    <mergeCell ref="GE87:GE88"/>
    <mergeCell ref="GF87:GF88"/>
    <mergeCell ref="GG87:GG88"/>
    <mergeCell ref="FV87:FV88"/>
    <mergeCell ref="FW87:FW88"/>
    <mergeCell ref="FX87:FX88"/>
    <mergeCell ref="FY87:FY88"/>
    <mergeCell ref="FZ87:FZ88"/>
    <mergeCell ref="GA87:GA88"/>
    <mergeCell ref="FN87:FN88"/>
    <mergeCell ref="FP87:FP88"/>
    <mergeCell ref="FR87:FR88"/>
    <mergeCell ref="FS87:FS88"/>
    <mergeCell ref="FT87:FT88"/>
    <mergeCell ref="FU87:FU88"/>
    <mergeCell ref="FB87:FB88"/>
    <mergeCell ref="FD87:FD88"/>
    <mergeCell ref="FF87:FF88"/>
    <mergeCell ref="FH87:FH88"/>
    <mergeCell ref="FJ87:FJ88"/>
    <mergeCell ref="FL87:FL88"/>
    <mergeCell ref="EQ87:EQ88"/>
    <mergeCell ref="ES87:ES88"/>
    <mergeCell ref="EU87:EU88"/>
    <mergeCell ref="EW87:EW88"/>
    <mergeCell ref="EY87:EY88"/>
    <mergeCell ref="EZ87:EZ88"/>
    <mergeCell ref="EE87:EE88"/>
    <mergeCell ref="EG87:EG88"/>
    <mergeCell ref="EI87:EI88"/>
    <mergeCell ref="EK87:EK88"/>
    <mergeCell ref="EM87:EM88"/>
    <mergeCell ref="EO87:EO88"/>
    <mergeCell ref="DS87:DS88"/>
    <mergeCell ref="DU87:DU88"/>
    <mergeCell ref="DW87:DW88"/>
    <mergeCell ref="DY87:DY88"/>
    <mergeCell ref="EA87:EA88"/>
    <mergeCell ref="EC87:EC88"/>
    <mergeCell ref="DG87:DG88"/>
    <mergeCell ref="DI87:DI88"/>
    <mergeCell ref="DK87:DK88"/>
    <mergeCell ref="DM87:DM88"/>
    <mergeCell ref="DO87:DO88"/>
    <mergeCell ref="DQ87:DQ88"/>
    <mergeCell ref="CV87:CV88"/>
    <mergeCell ref="CX87:CX88"/>
    <mergeCell ref="CY87:CY88"/>
    <mergeCell ref="DA87:DA88"/>
    <mergeCell ref="DC87:DC88"/>
    <mergeCell ref="DE87:DE88"/>
    <mergeCell ref="CE87:CE88"/>
    <mergeCell ref="CG87:CG88"/>
    <mergeCell ref="CI87:CI88"/>
    <mergeCell ref="CK87:CK88"/>
    <mergeCell ref="CM87:CM88"/>
    <mergeCell ref="CP87:CP88"/>
    <mergeCell ref="BS87:BS88"/>
    <mergeCell ref="BU87:BU88"/>
    <mergeCell ref="BW87:BW88"/>
    <mergeCell ref="BY87:BY88"/>
    <mergeCell ref="CA87:CA88"/>
    <mergeCell ref="CC87:CC88"/>
    <mergeCell ref="BG87:BG88"/>
    <mergeCell ref="BI87:BI88"/>
    <mergeCell ref="BK87:BK88"/>
    <mergeCell ref="BM87:BM88"/>
    <mergeCell ref="BO87:BO88"/>
    <mergeCell ref="BQ87:BQ88"/>
    <mergeCell ref="AU87:AU88"/>
    <mergeCell ref="AW87:AW88"/>
    <mergeCell ref="AY87:AY88"/>
    <mergeCell ref="BA87:BA88"/>
    <mergeCell ref="BC87:BC88"/>
    <mergeCell ref="BE87:BE88"/>
    <mergeCell ref="AJ87:AJ88"/>
    <mergeCell ref="AK87:AK88"/>
    <mergeCell ref="AM87:AM88"/>
    <mergeCell ref="AO87:AO88"/>
    <mergeCell ref="AQ87:AQ88"/>
    <mergeCell ref="AS87:AS88"/>
    <mergeCell ref="HC82:HC83"/>
    <mergeCell ref="A87:A88"/>
    <mergeCell ref="S87:S88"/>
    <mergeCell ref="U87:U88"/>
    <mergeCell ref="W87:W88"/>
    <mergeCell ref="Y87:Y88"/>
    <mergeCell ref="AA87:AA88"/>
    <mergeCell ref="AC87:AC88"/>
    <mergeCell ref="AE87:AE88"/>
    <mergeCell ref="AH87:AH88"/>
    <mergeCell ref="GL82:GL83"/>
    <mergeCell ref="GM82:GM83"/>
    <mergeCell ref="GN82:GN83"/>
    <mergeCell ref="GO82:GO83"/>
    <mergeCell ref="GQ82:GQ83"/>
    <mergeCell ref="GS82:GS83"/>
    <mergeCell ref="GF82:GF83"/>
    <mergeCell ref="GG82:GG83"/>
    <mergeCell ref="GH82:GH83"/>
    <mergeCell ref="GI82:GI83"/>
    <mergeCell ref="GJ82:GJ83"/>
    <mergeCell ref="GK82:GK83"/>
    <mergeCell ref="FZ82:FZ83"/>
    <mergeCell ref="GA82:GA83"/>
    <mergeCell ref="GB82:GB83"/>
    <mergeCell ref="GC82:GC83"/>
    <mergeCell ref="GD82:GD83"/>
    <mergeCell ref="GE82:GE83"/>
    <mergeCell ref="FT82:FT83"/>
    <mergeCell ref="FU82:FU83"/>
    <mergeCell ref="FV82:FV83"/>
    <mergeCell ref="FW82:FW83"/>
    <mergeCell ref="FX82:FX83"/>
    <mergeCell ref="FY82:FY83"/>
    <mergeCell ref="FJ82:FJ83"/>
    <mergeCell ref="FL82:FL83"/>
    <mergeCell ref="FN82:FN83"/>
    <mergeCell ref="FP82:FP83"/>
    <mergeCell ref="FR82:FR83"/>
    <mergeCell ref="FS82:FS83"/>
    <mergeCell ref="EY82:EY83"/>
    <mergeCell ref="EZ82:EZ83"/>
    <mergeCell ref="FB82:FB83"/>
    <mergeCell ref="FD82:FD83"/>
    <mergeCell ref="FF82:FF83"/>
    <mergeCell ref="FH82:FH83"/>
    <mergeCell ref="EM82:EM83"/>
    <mergeCell ref="EO82:EO83"/>
    <mergeCell ref="EQ82:EQ83"/>
    <mergeCell ref="ES82:ES83"/>
    <mergeCell ref="EU82:EU83"/>
    <mergeCell ref="EW82:EW83"/>
    <mergeCell ref="EA82:EA83"/>
    <mergeCell ref="EC82:EC83"/>
    <mergeCell ref="EE82:EE83"/>
    <mergeCell ref="EG82:EG83"/>
    <mergeCell ref="EI82:EI83"/>
    <mergeCell ref="EK82:EK83"/>
    <mergeCell ref="DO82:DO83"/>
    <mergeCell ref="DQ82:DQ83"/>
    <mergeCell ref="DS82:DS83"/>
    <mergeCell ref="DU82:DU83"/>
    <mergeCell ref="DW82:DW83"/>
    <mergeCell ref="DY82:DY83"/>
    <mergeCell ref="DC82:DC83"/>
    <mergeCell ref="DE82:DE83"/>
    <mergeCell ref="DG82:DG83"/>
    <mergeCell ref="DI82:DI83"/>
    <mergeCell ref="DK82:DK83"/>
    <mergeCell ref="DM82:DM83"/>
    <mergeCell ref="CK82:CK83"/>
    <mergeCell ref="CM82:CM83"/>
    <mergeCell ref="CV82:CV83"/>
    <mergeCell ref="CX82:CX83"/>
    <mergeCell ref="CY82:CY83"/>
    <mergeCell ref="DA82:DA83"/>
    <mergeCell ref="BY82:BY83"/>
    <mergeCell ref="CA82:CA83"/>
    <mergeCell ref="CC82:CC83"/>
    <mergeCell ref="CE82:CE83"/>
    <mergeCell ref="CG82:CG83"/>
    <mergeCell ref="CI82:CI83"/>
    <mergeCell ref="BM82:BM83"/>
    <mergeCell ref="BO82:BO83"/>
    <mergeCell ref="BQ82:BQ83"/>
    <mergeCell ref="BS82:BS83"/>
    <mergeCell ref="BU82:BU83"/>
    <mergeCell ref="BW82:BW83"/>
    <mergeCell ref="BA82:BA83"/>
    <mergeCell ref="BC82:BC83"/>
    <mergeCell ref="BE82:BE83"/>
    <mergeCell ref="BG82:BG83"/>
    <mergeCell ref="BI82:BI83"/>
    <mergeCell ref="BK82:BK83"/>
    <mergeCell ref="AO82:AO83"/>
    <mergeCell ref="AQ82:AQ83"/>
    <mergeCell ref="AS82:AS83"/>
    <mergeCell ref="AU82:AU83"/>
    <mergeCell ref="AW82:AW83"/>
    <mergeCell ref="AY82:AY83"/>
    <mergeCell ref="AC82:AC83"/>
    <mergeCell ref="AE82:AE83"/>
    <mergeCell ref="AH82:AH83"/>
    <mergeCell ref="AJ82:AJ83"/>
    <mergeCell ref="AK82:AK83"/>
    <mergeCell ref="AM82:AM83"/>
    <mergeCell ref="A82:A83"/>
    <mergeCell ref="S82:S83"/>
    <mergeCell ref="U82:U83"/>
    <mergeCell ref="W82:W83"/>
    <mergeCell ref="Y82:Y83"/>
    <mergeCell ref="AA82:AA83"/>
    <mergeCell ref="GN75:GN78"/>
    <mergeCell ref="GO75:GO78"/>
    <mergeCell ref="GQ75:GQ78"/>
    <mergeCell ref="GS75:GS78"/>
    <mergeCell ref="HC75:HC78"/>
    <mergeCell ref="CR77:CU78"/>
    <mergeCell ref="GH75:GH78"/>
    <mergeCell ref="GI75:GI78"/>
    <mergeCell ref="GJ75:GJ78"/>
    <mergeCell ref="GK75:GK78"/>
    <mergeCell ref="GL75:GL78"/>
    <mergeCell ref="GM75:GM78"/>
    <mergeCell ref="GB75:GB78"/>
    <mergeCell ref="GC75:GC78"/>
    <mergeCell ref="GD75:GD78"/>
    <mergeCell ref="GE75:GE78"/>
    <mergeCell ref="GF75:GF78"/>
    <mergeCell ref="GG75:GG78"/>
    <mergeCell ref="FV75:FV78"/>
    <mergeCell ref="FW75:FW78"/>
    <mergeCell ref="FX75:FX78"/>
    <mergeCell ref="FY75:FY78"/>
    <mergeCell ref="FZ75:FZ78"/>
    <mergeCell ref="GA75:GA78"/>
    <mergeCell ref="FN75:FN78"/>
    <mergeCell ref="FP75:FP78"/>
    <mergeCell ref="FR75:FR78"/>
    <mergeCell ref="FS75:FS78"/>
    <mergeCell ref="FT75:FT78"/>
    <mergeCell ref="FU75:FU78"/>
    <mergeCell ref="FB75:FB78"/>
    <mergeCell ref="FD75:FD78"/>
    <mergeCell ref="FF75:FF78"/>
    <mergeCell ref="FH75:FH78"/>
    <mergeCell ref="FJ75:FJ78"/>
    <mergeCell ref="FL75:FL78"/>
    <mergeCell ref="EQ75:EQ78"/>
    <mergeCell ref="ES75:ES78"/>
    <mergeCell ref="EU75:EU78"/>
    <mergeCell ref="EW75:EW78"/>
    <mergeCell ref="EY75:EY78"/>
    <mergeCell ref="EZ75:EZ78"/>
    <mergeCell ref="EE75:EE78"/>
    <mergeCell ref="EG75:EG78"/>
    <mergeCell ref="EI75:EI78"/>
    <mergeCell ref="EK75:EK78"/>
    <mergeCell ref="EM75:EM78"/>
    <mergeCell ref="EO75:EO78"/>
    <mergeCell ref="DS75:DS78"/>
    <mergeCell ref="DU75:DU78"/>
    <mergeCell ref="DW75:DW78"/>
    <mergeCell ref="DY75:DY78"/>
    <mergeCell ref="EA75:EA78"/>
    <mergeCell ref="EC75:EC78"/>
    <mergeCell ref="DG75:DG78"/>
    <mergeCell ref="DI75:DI78"/>
    <mergeCell ref="DK75:DK78"/>
    <mergeCell ref="DM75:DM78"/>
    <mergeCell ref="DO75:DO78"/>
    <mergeCell ref="DQ75:DQ78"/>
    <mergeCell ref="CV75:CV78"/>
    <mergeCell ref="CX75:CX78"/>
    <mergeCell ref="CY75:CY78"/>
    <mergeCell ref="DA75:DA78"/>
    <mergeCell ref="DC75:DC78"/>
    <mergeCell ref="DE75:DE78"/>
    <mergeCell ref="CC75:CC78"/>
    <mergeCell ref="CE75:CE78"/>
    <mergeCell ref="CG75:CG78"/>
    <mergeCell ref="CI75:CI78"/>
    <mergeCell ref="CK75:CK78"/>
    <mergeCell ref="CM75:CM78"/>
    <mergeCell ref="BQ75:BQ78"/>
    <mergeCell ref="BS75:BS78"/>
    <mergeCell ref="BU75:BU78"/>
    <mergeCell ref="BW75:BW78"/>
    <mergeCell ref="BY75:BY78"/>
    <mergeCell ref="CA75:CA78"/>
    <mergeCell ref="BE75:BE78"/>
    <mergeCell ref="BG75:BG78"/>
    <mergeCell ref="BI75:BI78"/>
    <mergeCell ref="BK75:BK78"/>
    <mergeCell ref="BM75:BM78"/>
    <mergeCell ref="BO75:BO78"/>
    <mergeCell ref="AS75:AS78"/>
    <mergeCell ref="AU75:AU78"/>
    <mergeCell ref="AW75:AW78"/>
    <mergeCell ref="AY75:AY78"/>
    <mergeCell ref="BA75:BA78"/>
    <mergeCell ref="BC75:BC78"/>
    <mergeCell ref="AH75:AH78"/>
    <mergeCell ref="AJ75:AJ78"/>
    <mergeCell ref="AK75:AK78"/>
    <mergeCell ref="AM75:AM78"/>
    <mergeCell ref="AO75:AO78"/>
    <mergeCell ref="AQ75:AQ78"/>
    <mergeCell ref="GS72:GS73"/>
    <mergeCell ref="HC72:HC73"/>
    <mergeCell ref="A75:A78"/>
    <mergeCell ref="S75:S78"/>
    <mergeCell ref="U75:U78"/>
    <mergeCell ref="W75:W78"/>
    <mergeCell ref="Y75:Y78"/>
    <mergeCell ref="AA75:AA78"/>
    <mergeCell ref="AC75:AC78"/>
    <mergeCell ref="AE75:AE78"/>
    <mergeCell ref="GK72:GK73"/>
    <mergeCell ref="GL72:GL73"/>
    <mergeCell ref="GM72:GM73"/>
    <mergeCell ref="GN72:GN73"/>
    <mergeCell ref="GO72:GO73"/>
    <mergeCell ref="GQ72:GQ73"/>
    <mergeCell ref="GE72:GE73"/>
    <mergeCell ref="GF72:GF73"/>
    <mergeCell ref="GG72:GG73"/>
    <mergeCell ref="GH72:GH73"/>
    <mergeCell ref="GI72:GI73"/>
    <mergeCell ref="GJ72:GJ73"/>
    <mergeCell ref="FY72:FY73"/>
    <mergeCell ref="FZ72:FZ73"/>
    <mergeCell ref="GA72:GA73"/>
    <mergeCell ref="GB72:GB73"/>
    <mergeCell ref="GC72:GC73"/>
    <mergeCell ref="GD72:GD73"/>
    <mergeCell ref="FS72:FS73"/>
    <mergeCell ref="FT72:FT73"/>
    <mergeCell ref="FU72:FU73"/>
    <mergeCell ref="FV72:FV73"/>
    <mergeCell ref="FW72:FW73"/>
    <mergeCell ref="FX72:FX73"/>
    <mergeCell ref="FH72:FH73"/>
    <mergeCell ref="FJ72:FJ73"/>
    <mergeCell ref="FL72:FL73"/>
    <mergeCell ref="FN72:FN73"/>
    <mergeCell ref="FP72:FP73"/>
    <mergeCell ref="FR72:FR73"/>
    <mergeCell ref="EW72:EW73"/>
    <mergeCell ref="EY72:EY73"/>
    <mergeCell ref="EZ72:EZ73"/>
    <mergeCell ref="FB72:FB73"/>
    <mergeCell ref="FD72:FD73"/>
    <mergeCell ref="FF72:FF73"/>
    <mergeCell ref="EK72:EK73"/>
    <mergeCell ref="EM72:EM73"/>
    <mergeCell ref="EO72:EO73"/>
    <mergeCell ref="EQ72:EQ73"/>
    <mergeCell ref="ES72:ES73"/>
    <mergeCell ref="EU72:EU73"/>
    <mergeCell ref="DY72:DY73"/>
    <mergeCell ref="EA72:EA73"/>
    <mergeCell ref="EC72:EC73"/>
    <mergeCell ref="EE72:EE73"/>
    <mergeCell ref="EG72:EG73"/>
    <mergeCell ref="EI72:EI73"/>
    <mergeCell ref="DM72:DM73"/>
    <mergeCell ref="DO72:DO73"/>
    <mergeCell ref="DQ72:DQ73"/>
    <mergeCell ref="DS72:DS73"/>
    <mergeCell ref="DU72:DU73"/>
    <mergeCell ref="DW72:DW73"/>
    <mergeCell ref="DA72:DA73"/>
    <mergeCell ref="DC72:DC73"/>
    <mergeCell ref="DE72:DE73"/>
    <mergeCell ref="DG72:DG73"/>
    <mergeCell ref="DI72:DI73"/>
    <mergeCell ref="DK72:DK73"/>
    <mergeCell ref="CK72:CK73"/>
    <mergeCell ref="CM72:CM73"/>
    <mergeCell ref="CP72:CP73"/>
    <mergeCell ref="CV72:CV73"/>
    <mergeCell ref="CX72:CX73"/>
    <mergeCell ref="CY72:CY73"/>
    <mergeCell ref="BY72:BY73"/>
    <mergeCell ref="CA72:CA73"/>
    <mergeCell ref="CC72:CC73"/>
    <mergeCell ref="CE72:CE73"/>
    <mergeCell ref="CG72:CG73"/>
    <mergeCell ref="CI72:CI73"/>
    <mergeCell ref="BM72:BM73"/>
    <mergeCell ref="BO72:BO73"/>
    <mergeCell ref="BQ72:BQ73"/>
    <mergeCell ref="BS72:BS73"/>
    <mergeCell ref="BU72:BU73"/>
    <mergeCell ref="BW72:BW73"/>
    <mergeCell ref="BA72:BA73"/>
    <mergeCell ref="BC72:BC73"/>
    <mergeCell ref="BE72:BE73"/>
    <mergeCell ref="BG72:BG73"/>
    <mergeCell ref="BI72:BI73"/>
    <mergeCell ref="BK72:BK73"/>
    <mergeCell ref="AO72:AO73"/>
    <mergeCell ref="AQ72:AQ73"/>
    <mergeCell ref="AS72:AS73"/>
    <mergeCell ref="AU72:AU73"/>
    <mergeCell ref="AW72:AW73"/>
    <mergeCell ref="AY72:AY73"/>
    <mergeCell ref="AC72:AC73"/>
    <mergeCell ref="AE72:AE73"/>
    <mergeCell ref="AH72:AH73"/>
    <mergeCell ref="AJ72:AJ73"/>
    <mergeCell ref="AK72:AK73"/>
    <mergeCell ref="AM72:AM73"/>
    <mergeCell ref="GO68:GO70"/>
    <mergeCell ref="GQ68:GQ70"/>
    <mergeCell ref="GS68:GS70"/>
    <mergeCell ref="HC68:HC70"/>
    <mergeCell ref="A72:A73"/>
    <mergeCell ref="S72:S73"/>
    <mergeCell ref="U72:U73"/>
    <mergeCell ref="W72:W73"/>
    <mergeCell ref="Y72:Y73"/>
    <mergeCell ref="AA72:AA73"/>
    <mergeCell ref="GI68:GI70"/>
    <mergeCell ref="GJ68:GJ70"/>
    <mergeCell ref="GK68:GK70"/>
    <mergeCell ref="GL68:GL70"/>
    <mergeCell ref="GM68:GM70"/>
    <mergeCell ref="GN68:GN70"/>
    <mergeCell ref="GC68:GC70"/>
    <mergeCell ref="GD68:GD70"/>
    <mergeCell ref="GE68:GE70"/>
    <mergeCell ref="GF68:GF70"/>
    <mergeCell ref="GG68:GG70"/>
    <mergeCell ref="GH68:GH70"/>
    <mergeCell ref="FW68:FW70"/>
    <mergeCell ref="FX68:FX70"/>
    <mergeCell ref="FY68:FY70"/>
    <mergeCell ref="FZ68:FZ70"/>
    <mergeCell ref="GA68:GA70"/>
    <mergeCell ref="GB68:GB70"/>
    <mergeCell ref="FP68:FP70"/>
    <mergeCell ref="FR68:FR70"/>
    <mergeCell ref="FS68:FS70"/>
    <mergeCell ref="FT68:FT70"/>
    <mergeCell ref="FU68:FU70"/>
    <mergeCell ref="FV68:FV70"/>
    <mergeCell ref="FD68:FD70"/>
    <mergeCell ref="FF68:FF70"/>
    <mergeCell ref="FH68:FH70"/>
    <mergeCell ref="FJ68:FJ70"/>
    <mergeCell ref="FL68:FL70"/>
    <mergeCell ref="FN68:FN70"/>
    <mergeCell ref="ES68:ES70"/>
    <mergeCell ref="EU68:EU70"/>
    <mergeCell ref="EW68:EW70"/>
    <mergeCell ref="EY68:EY70"/>
    <mergeCell ref="EZ68:EZ70"/>
    <mergeCell ref="FB68:FB70"/>
    <mergeCell ref="EG68:EG70"/>
    <mergeCell ref="EI68:EI70"/>
    <mergeCell ref="EK68:EK70"/>
    <mergeCell ref="EM68:EM70"/>
    <mergeCell ref="EO68:EO70"/>
    <mergeCell ref="EQ68:EQ70"/>
    <mergeCell ref="DU68:DU70"/>
    <mergeCell ref="DW68:DW70"/>
    <mergeCell ref="DY68:DY70"/>
    <mergeCell ref="EA68:EA70"/>
    <mergeCell ref="EC68:EC70"/>
    <mergeCell ref="EE68:EE70"/>
    <mergeCell ref="DI68:DI70"/>
    <mergeCell ref="DK68:DK70"/>
    <mergeCell ref="DM68:DM70"/>
    <mergeCell ref="DO68:DO70"/>
    <mergeCell ref="DQ68:DQ70"/>
    <mergeCell ref="DS68:DS70"/>
    <mergeCell ref="CX68:CX70"/>
    <mergeCell ref="CY68:CY70"/>
    <mergeCell ref="DA68:DA70"/>
    <mergeCell ref="DC68:DC70"/>
    <mergeCell ref="DE68:DE70"/>
    <mergeCell ref="DG68:DG70"/>
    <mergeCell ref="CE68:CE70"/>
    <mergeCell ref="CG68:CG70"/>
    <mergeCell ref="CI68:CI70"/>
    <mergeCell ref="CK68:CK70"/>
    <mergeCell ref="CM68:CM70"/>
    <mergeCell ref="CV68:CV70"/>
    <mergeCell ref="BS68:BS70"/>
    <mergeCell ref="BU68:BU70"/>
    <mergeCell ref="BW68:BW70"/>
    <mergeCell ref="BY68:BY70"/>
    <mergeCell ref="CA68:CA70"/>
    <mergeCell ref="CC68:CC70"/>
    <mergeCell ref="BG68:BG70"/>
    <mergeCell ref="BI68:BI70"/>
    <mergeCell ref="BK68:BK70"/>
    <mergeCell ref="BM68:BM70"/>
    <mergeCell ref="BO68:BO70"/>
    <mergeCell ref="BQ68:BQ70"/>
    <mergeCell ref="AU68:AU70"/>
    <mergeCell ref="AW68:AW70"/>
    <mergeCell ref="AY68:AY70"/>
    <mergeCell ref="BA68:BA70"/>
    <mergeCell ref="BC68:BC70"/>
    <mergeCell ref="BE68:BE70"/>
    <mergeCell ref="AJ68:AJ70"/>
    <mergeCell ref="AK68:AK70"/>
    <mergeCell ref="AM68:AM70"/>
    <mergeCell ref="AO68:AO70"/>
    <mergeCell ref="AQ68:AQ70"/>
    <mergeCell ref="AS68:AS70"/>
    <mergeCell ref="HC65:HC66"/>
    <mergeCell ref="A68:A70"/>
    <mergeCell ref="S68:S70"/>
    <mergeCell ref="U68:U70"/>
    <mergeCell ref="W68:W70"/>
    <mergeCell ref="Y68:Y70"/>
    <mergeCell ref="AA68:AA70"/>
    <mergeCell ref="AC68:AC70"/>
    <mergeCell ref="AE68:AE70"/>
    <mergeCell ref="AH68:AH70"/>
    <mergeCell ref="GL65:GL66"/>
    <mergeCell ref="GM65:GM66"/>
    <mergeCell ref="GN65:GN66"/>
    <mergeCell ref="GO65:GO66"/>
    <mergeCell ref="GQ65:GQ66"/>
    <mergeCell ref="GS65:GS66"/>
    <mergeCell ref="GF65:GF66"/>
    <mergeCell ref="GG65:GG66"/>
    <mergeCell ref="GH65:GH66"/>
    <mergeCell ref="GI65:GI66"/>
    <mergeCell ref="GJ65:GJ66"/>
    <mergeCell ref="GK65:GK66"/>
    <mergeCell ref="FZ65:FZ66"/>
    <mergeCell ref="GA65:GA66"/>
    <mergeCell ref="GB65:GB66"/>
    <mergeCell ref="GC65:GC66"/>
    <mergeCell ref="GD65:GD66"/>
    <mergeCell ref="GE65:GE66"/>
    <mergeCell ref="FT65:FT66"/>
    <mergeCell ref="FU65:FU66"/>
    <mergeCell ref="FV65:FV66"/>
    <mergeCell ref="FW65:FW66"/>
    <mergeCell ref="FX65:FX66"/>
    <mergeCell ref="FY65:FY66"/>
    <mergeCell ref="FJ65:FJ66"/>
    <mergeCell ref="FL65:FL66"/>
    <mergeCell ref="FN65:FN66"/>
    <mergeCell ref="FP65:FP66"/>
    <mergeCell ref="FR65:FR66"/>
    <mergeCell ref="FS65:FS66"/>
    <mergeCell ref="EY65:EY66"/>
    <mergeCell ref="EZ65:EZ66"/>
    <mergeCell ref="FB65:FB66"/>
    <mergeCell ref="FD65:FD66"/>
    <mergeCell ref="FF65:FF66"/>
    <mergeCell ref="FH65:FH66"/>
    <mergeCell ref="EM65:EM66"/>
    <mergeCell ref="EO65:EO66"/>
    <mergeCell ref="EQ65:EQ66"/>
    <mergeCell ref="ES65:ES66"/>
    <mergeCell ref="EU65:EU66"/>
    <mergeCell ref="EW65:EW66"/>
    <mergeCell ref="EA65:EA66"/>
    <mergeCell ref="EC65:EC66"/>
    <mergeCell ref="EE65:EE66"/>
    <mergeCell ref="EG65:EG66"/>
    <mergeCell ref="EI65:EI66"/>
    <mergeCell ref="EK65:EK66"/>
    <mergeCell ref="DO65:DO66"/>
    <mergeCell ref="DQ65:DQ66"/>
    <mergeCell ref="DS65:DS66"/>
    <mergeCell ref="DU65:DU66"/>
    <mergeCell ref="DW65:DW66"/>
    <mergeCell ref="DY65:DY66"/>
    <mergeCell ref="DC65:DC66"/>
    <mergeCell ref="DE65:DE66"/>
    <mergeCell ref="DG65:DG66"/>
    <mergeCell ref="DI65:DI66"/>
    <mergeCell ref="DK65:DK66"/>
    <mergeCell ref="DM65:DM66"/>
    <mergeCell ref="CK65:CK66"/>
    <mergeCell ref="CM65:CM66"/>
    <mergeCell ref="CV65:CV66"/>
    <mergeCell ref="CX65:CX66"/>
    <mergeCell ref="CY65:CY66"/>
    <mergeCell ref="DA65:DA66"/>
    <mergeCell ref="BY65:BY66"/>
    <mergeCell ref="CA65:CA66"/>
    <mergeCell ref="CC65:CC66"/>
    <mergeCell ref="CE65:CE66"/>
    <mergeCell ref="CG65:CG66"/>
    <mergeCell ref="CI65:CI66"/>
    <mergeCell ref="BM65:BM66"/>
    <mergeCell ref="BO65:BO66"/>
    <mergeCell ref="BQ65:BQ66"/>
    <mergeCell ref="BS65:BS66"/>
    <mergeCell ref="BU65:BU66"/>
    <mergeCell ref="BW65:BW66"/>
    <mergeCell ref="BA65:BA66"/>
    <mergeCell ref="BC65:BC66"/>
    <mergeCell ref="BE65:BE66"/>
    <mergeCell ref="BG65:BG66"/>
    <mergeCell ref="BI65:BI66"/>
    <mergeCell ref="BK65:BK66"/>
    <mergeCell ref="AO65:AO66"/>
    <mergeCell ref="AQ65:AQ66"/>
    <mergeCell ref="AS65:AS66"/>
    <mergeCell ref="AU65:AU66"/>
    <mergeCell ref="AW65:AW66"/>
    <mergeCell ref="AY65:AY66"/>
    <mergeCell ref="AC65:AC66"/>
    <mergeCell ref="AE65:AE66"/>
    <mergeCell ref="AH65:AH66"/>
    <mergeCell ref="AJ65:AJ66"/>
    <mergeCell ref="AK65:AK66"/>
    <mergeCell ref="AM65:AM66"/>
    <mergeCell ref="A65:A66"/>
    <mergeCell ref="S65:S66"/>
    <mergeCell ref="U65:U66"/>
    <mergeCell ref="W65:W66"/>
    <mergeCell ref="Y65:Y66"/>
    <mergeCell ref="AA65:AA66"/>
    <mergeCell ref="GM62:GM63"/>
    <mergeCell ref="GN62:GN63"/>
    <mergeCell ref="GO62:GO63"/>
    <mergeCell ref="GQ62:GQ63"/>
    <mergeCell ref="GS62:GS63"/>
    <mergeCell ref="FL62:FL63"/>
    <mergeCell ref="FN62:FN63"/>
    <mergeCell ref="FP62:FP63"/>
    <mergeCell ref="FR62:FR63"/>
    <mergeCell ref="FS62:FS63"/>
    <mergeCell ref="FT62:FT63"/>
    <mergeCell ref="EZ62:EZ63"/>
    <mergeCell ref="FB62:FB63"/>
    <mergeCell ref="FD62:FD63"/>
    <mergeCell ref="FF62:FF63"/>
    <mergeCell ref="FH62:FH63"/>
    <mergeCell ref="FJ62:FJ63"/>
    <mergeCell ref="EO62:EO63"/>
    <mergeCell ref="EQ62:EQ63"/>
    <mergeCell ref="ES62:ES63"/>
    <mergeCell ref="HC62:HC63"/>
    <mergeCell ref="GG62:GG63"/>
    <mergeCell ref="GH62:GH63"/>
    <mergeCell ref="GI62:GI63"/>
    <mergeCell ref="GJ62:GJ63"/>
    <mergeCell ref="GK62:GK63"/>
    <mergeCell ref="GL62:GL63"/>
    <mergeCell ref="GA62:GA63"/>
    <mergeCell ref="GB62:GB63"/>
    <mergeCell ref="GC62:GC63"/>
    <mergeCell ref="GD62:GD63"/>
    <mergeCell ref="GE62:GE63"/>
    <mergeCell ref="GF62:GF63"/>
    <mergeCell ref="FU62:FU63"/>
    <mergeCell ref="FV62:FV63"/>
    <mergeCell ref="FW62:FW63"/>
    <mergeCell ref="FX62:FX63"/>
    <mergeCell ref="FY62:FY63"/>
    <mergeCell ref="FZ62:FZ63"/>
    <mergeCell ref="EU62:EU63"/>
    <mergeCell ref="EW62:EW63"/>
    <mergeCell ref="EY62:EY63"/>
    <mergeCell ref="EC62:EC63"/>
    <mergeCell ref="EE62:EE63"/>
    <mergeCell ref="EG62:EG63"/>
    <mergeCell ref="EI62:EI63"/>
    <mergeCell ref="EK62:EK63"/>
    <mergeCell ref="EM62:EM63"/>
    <mergeCell ref="DQ62:DQ63"/>
    <mergeCell ref="DS62:DS63"/>
    <mergeCell ref="DU62:DU63"/>
    <mergeCell ref="DW62:DW63"/>
    <mergeCell ref="DY62:DY63"/>
    <mergeCell ref="EA62:EA63"/>
    <mergeCell ref="DE62:DE63"/>
    <mergeCell ref="DG62:DG63"/>
    <mergeCell ref="DI62:DI63"/>
    <mergeCell ref="DK62:DK63"/>
    <mergeCell ref="DM62:DM63"/>
    <mergeCell ref="DO62:DO63"/>
    <mergeCell ref="CP62:CP63"/>
    <mergeCell ref="CV62:CV63"/>
    <mergeCell ref="CX62:CX63"/>
    <mergeCell ref="CY62:CY63"/>
    <mergeCell ref="DA62:DA63"/>
    <mergeCell ref="DC62:DC63"/>
    <mergeCell ref="CC62:CC63"/>
    <mergeCell ref="CE62:CE63"/>
    <mergeCell ref="CG62:CG63"/>
    <mergeCell ref="CI62:CI63"/>
    <mergeCell ref="CK62:CK63"/>
    <mergeCell ref="CM62:CM63"/>
    <mergeCell ref="BQ62:BQ63"/>
    <mergeCell ref="BS62:BS63"/>
    <mergeCell ref="BU62:BU63"/>
    <mergeCell ref="BW62:BW63"/>
    <mergeCell ref="BY62:BY63"/>
    <mergeCell ref="CA62:CA63"/>
    <mergeCell ref="BE62:BE63"/>
    <mergeCell ref="BG62:BG63"/>
    <mergeCell ref="BI62:BI63"/>
    <mergeCell ref="BK62:BK63"/>
    <mergeCell ref="BM62:BM63"/>
    <mergeCell ref="BO62:BO63"/>
    <mergeCell ref="AS62:AS63"/>
    <mergeCell ref="AU62:AU63"/>
    <mergeCell ref="AW62:AW63"/>
    <mergeCell ref="AY62:AY63"/>
    <mergeCell ref="BA62:BA63"/>
    <mergeCell ref="BC62:BC63"/>
    <mergeCell ref="AH62:AH63"/>
    <mergeCell ref="AJ62:AJ63"/>
    <mergeCell ref="AK62:AK63"/>
    <mergeCell ref="AM62:AM63"/>
    <mergeCell ref="AO62:AO63"/>
    <mergeCell ref="AQ62:AQ63"/>
    <mergeCell ref="GS56:GS60"/>
    <mergeCell ref="HC56:HC60"/>
    <mergeCell ref="A62:A63"/>
    <mergeCell ref="S62:S63"/>
    <mergeCell ref="U62:U63"/>
    <mergeCell ref="W62:W63"/>
    <mergeCell ref="Y62:Y63"/>
    <mergeCell ref="AA62:AA63"/>
    <mergeCell ref="AC62:AC63"/>
    <mergeCell ref="AE62:AE63"/>
    <mergeCell ref="GK56:GK60"/>
    <mergeCell ref="GL56:GL60"/>
    <mergeCell ref="GM56:GM60"/>
    <mergeCell ref="GN56:GN60"/>
    <mergeCell ref="GO56:GO60"/>
    <mergeCell ref="GQ56:GQ60"/>
    <mergeCell ref="GE56:GE60"/>
    <mergeCell ref="GF56:GF60"/>
    <mergeCell ref="GG56:GG60"/>
    <mergeCell ref="GH56:GH60"/>
    <mergeCell ref="GI56:GI60"/>
    <mergeCell ref="GJ56:GJ60"/>
    <mergeCell ref="FY56:FY60"/>
    <mergeCell ref="FZ56:FZ60"/>
    <mergeCell ref="GA56:GA60"/>
    <mergeCell ref="GB56:GB60"/>
    <mergeCell ref="GC56:GC60"/>
    <mergeCell ref="GD56:GD60"/>
    <mergeCell ref="FS56:FS60"/>
    <mergeCell ref="FT56:FT60"/>
    <mergeCell ref="FU56:FU60"/>
    <mergeCell ref="FV56:FV60"/>
    <mergeCell ref="FW56:FW60"/>
    <mergeCell ref="FX56:FX60"/>
    <mergeCell ref="FH56:FH60"/>
    <mergeCell ref="FJ56:FJ60"/>
    <mergeCell ref="FL56:FL60"/>
    <mergeCell ref="FN56:FN60"/>
    <mergeCell ref="FP56:FP60"/>
    <mergeCell ref="FR56:FR60"/>
    <mergeCell ref="EW56:EW60"/>
    <mergeCell ref="EY56:EY60"/>
    <mergeCell ref="EZ56:EZ60"/>
    <mergeCell ref="FB56:FB60"/>
    <mergeCell ref="FD56:FD60"/>
    <mergeCell ref="FF56:FF60"/>
    <mergeCell ref="EK56:EK60"/>
    <mergeCell ref="EM56:EM60"/>
    <mergeCell ref="EO56:EO60"/>
    <mergeCell ref="EQ56:EQ60"/>
    <mergeCell ref="ES56:ES60"/>
    <mergeCell ref="EU56:EU60"/>
    <mergeCell ref="DY56:DY60"/>
    <mergeCell ref="EA56:EA60"/>
    <mergeCell ref="EC56:EC60"/>
    <mergeCell ref="EE56:EE60"/>
    <mergeCell ref="EG56:EG60"/>
    <mergeCell ref="EI56:EI60"/>
    <mergeCell ref="DM56:DM60"/>
    <mergeCell ref="DO56:DO60"/>
    <mergeCell ref="DQ56:DQ60"/>
    <mergeCell ref="DS56:DS60"/>
    <mergeCell ref="DU56:DU60"/>
    <mergeCell ref="DW56:DW60"/>
    <mergeCell ref="DA56:DA60"/>
    <mergeCell ref="DC56:DC60"/>
    <mergeCell ref="DE56:DE60"/>
    <mergeCell ref="DG56:DG60"/>
    <mergeCell ref="DI56:DI60"/>
    <mergeCell ref="DK56:DK60"/>
    <mergeCell ref="CI56:CI60"/>
    <mergeCell ref="CK56:CK60"/>
    <mergeCell ref="CM56:CM60"/>
    <mergeCell ref="CV56:CV60"/>
    <mergeCell ref="CX56:CX60"/>
    <mergeCell ref="CY56:CY60"/>
    <mergeCell ref="BW56:BW60"/>
    <mergeCell ref="BY56:BY60"/>
    <mergeCell ref="CA56:CA60"/>
    <mergeCell ref="CC56:CC60"/>
    <mergeCell ref="CE56:CE60"/>
    <mergeCell ref="CG56:CG60"/>
    <mergeCell ref="BK56:BK60"/>
    <mergeCell ref="BM56:BM60"/>
    <mergeCell ref="BO56:BO60"/>
    <mergeCell ref="BQ56:BQ60"/>
    <mergeCell ref="BS56:BS60"/>
    <mergeCell ref="BU56:BU60"/>
    <mergeCell ref="AY56:AY60"/>
    <mergeCell ref="BA56:BA60"/>
    <mergeCell ref="BC56:BC60"/>
    <mergeCell ref="BE56:BE60"/>
    <mergeCell ref="BG56:BG60"/>
    <mergeCell ref="BI56:BI60"/>
    <mergeCell ref="AM56:AM60"/>
    <mergeCell ref="AO56:AO60"/>
    <mergeCell ref="AQ56:AQ60"/>
    <mergeCell ref="AS56:AS60"/>
    <mergeCell ref="AU56:AU60"/>
    <mergeCell ref="AW56:AW60"/>
    <mergeCell ref="AA56:AA60"/>
    <mergeCell ref="AC56:AC60"/>
    <mergeCell ref="AE56:AE60"/>
    <mergeCell ref="AH56:AH60"/>
    <mergeCell ref="AJ56:AJ60"/>
    <mergeCell ref="AK56:AK60"/>
    <mergeCell ref="GN53:GN54"/>
    <mergeCell ref="GO53:GO54"/>
    <mergeCell ref="GQ53:GQ54"/>
    <mergeCell ref="GS53:GS54"/>
    <mergeCell ref="HC53:HC54"/>
    <mergeCell ref="A56:A60"/>
    <mergeCell ref="S56:S60"/>
    <mergeCell ref="U56:U60"/>
    <mergeCell ref="W56:W60"/>
    <mergeCell ref="Y56:Y60"/>
    <mergeCell ref="GH53:GH54"/>
    <mergeCell ref="GI53:GI54"/>
    <mergeCell ref="GJ53:GJ54"/>
    <mergeCell ref="GK53:GK54"/>
    <mergeCell ref="GL53:GL54"/>
    <mergeCell ref="GM53:GM54"/>
    <mergeCell ref="GB53:GB54"/>
    <mergeCell ref="GC53:GC54"/>
    <mergeCell ref="GD53:GD54"/>
    <mergeCell ref="GE53:GE54"/>
    <mergeCell ref="GF53:GF54"/>
    <mergeCell ref="GG53:GG54"/>
    <mergeCell ref="FV53:FV54"/>
    <mergeCell ref="FW53:FW54"/>
    <mergeCell ref="FX53:FX54"/>
    <mergeCell ref="FY53:FY54"/>
    <mergeCell ref="FZ53:FZ54"/>
    <mergeCell ref="GA53:GA54"/>
    <mergeCell ref="FN53:FN54"/>
    <mergeCell ref="FP53:FP54"/>
    <mergeCell ref="FR53:FR54"/>
    <mergeCell ref="FS53:FS54"/>
    <mergeCell ref="FT53:FT54"/>
    <mergeCell ref="FU53:FU54"/>
    <mergeCell ref="FB53:FB54"/>
    <mergeCell ref="FD53:FD54"/>
    <mergeCell ref="FF53:FF54"/>
    <mergeCell ref="FH53:FH54"/>
    <mergeCell ref="FJ53:FJ54"/>
    <mergeCell ref="FL53:FL54"/>
    <mergeCell ref="EQ53:EQ54"/>
    <mergeCell ref="ES53:ES54"/>
    <mergeCell ref="EU53:EU54"/>
    <mergeCell ref="EW53:EW54"/>
    <mergeCell ref="EY53:EY54"/>
    <mergeCell ref="EZ53:EZ54"/>
    <mergeCell ref="EE53:EE54"/>
    <mergeCell ref="EG53:EG54"/>
    <mergeCell ref="EI53:EI54"/>
    <mergeCell ref="EK53:EK54"/>
    <mergeCell ref="EM53:EM54"/>
    <mergeCell ref="EO53:EO54"/>
    <mergeCell ref="DS53:DS54"/>
    <mergeCell ref="DU53:DU54"/>
    <mergeCell ref="DW53:DW54"/>
    <mergeCell ref="DY53:DY54"/>
    <mergeCell ref="EA53:EA54"/>
    <mergeCell ref="EC53:EC54"/>
    <mergeCell ref="DG53:DG54"/>
    <mergeCell ref="DI53:DI54"/>
    <mergeCell ref="DK53:DK54"/>
    <mergeCell ref="DM53:DM54"/>
    <mergeCell ref="DO53:DO54"/>
    <mergeCell ref="DQ53:DQ54"/>
    <mergeCell ref="CV53:CV54"/>
    <mergeCell ref="CX53:CX54"/>
    <mergeCell ref="CY53:CY54"/>
    <mergeCell ref="DA53:DA54"/>
    <mergeCell ref="DC53:DC54"/>
    <mergeCell ref="DE53:DE54"/>
    <mergeCell ref="CC53:CC54"/>
    <mergeCell ref="CE53:CE54"/>
    <mergeCell ref="CG53:CG54"/>
    <mergeCell ref="CI53:CI54"/>
    <mergeCell ref="CK53:CK54"/>
    <mergeCell ref="CM53:CM54"/>
    <mergeCell ref="BQ53:BQ54"/>
    <mergeCell ref="BS53:BS54"/>
    <mergeCell ref="BU53:BU54"/>
    <mergeCell ref="BW53:BW54"/>
    <mergeCell ref="BY53:BY54"/>
    <mergeCell ref="CA53:CA54"/>
    <mergeCell ref="BE53:BE54"/>
    <mergeCell ref="BG53:BG54"/>
    <mergeCell ref="BI53:BI54"/>
    <mergeCell ref="BK53:BK54"/>
    <mergeCell ref="BM53:BM54"/>
    <mergeCell ref="BO53:BO54"/>
    <mergeCell ref="AS53:AS54"/>
    <mergeCell ref="AU53:AU54"/>
    <mergeCell ref="AW53:AW54"/>
    <mergeCell ref="AY53:AY54"/>
    <mergeCell ref="BA53:BA54"/>
    <mergeCell ref="BC53:BC54"/>
    <mergeCell ref="AH53:AH54"/>
    <mergeCell ref="AJ53:AJ54"/>
    <mergeCell ref="AK53:AK54"/>
    <mergeCell ref="AM53:AM54"/>
    <mergeCell ref="AO53:AO54"/>
    <mergeCell ref="AQ53:AQ54"/>
    <mergeCell ref="GS49:GS51"/>
    <mergeCell ref="HC49:HC51"/>
    <mergeCell ref="A53:A54"/>
    <mergeCell ref="S53:S54"/>
    <mergeCell ref="U53:U54"/>
    <mergeCell ref="W53:W54"/>
    <mergeCell ref="Y53:Y54"/>
    <mergeCell ref="AA53:AA54"/>
    <mergeCell ref="AC53:AC54"/>
    <mergeCell ref="AE53:AE54"/>
    <mergeCell ref="GK49:GK51"/>
    <mergeCell ref="GL49:GL51"/>
    <mergeCell ref="GM49:GM51"/>
    <mergeCell ref="GN49:GN51"/>
    <mergeCell ref="GO49:GO51"/>
    <mergeCell ref="GQ49:GQ51"/>
    <mergeCell ref="GE49:GE51"/>
    <mergeCell ref="GF49:GF51"/>
    <mergeCell ref="GG49:GG51"/>
    <mergeCell ref="GH49:GH51"/>
    <mergeCell ref="GI49:GI51"/>
    <mergeCell ref="GJ49:GJ51"/>
    <mergeCell ref="FY49:FY51"/>
    <mergeCell ref="FZ49:FZ51"/>
    <mergeCell ref="GA49:GA51"/>
    <mergeCell ref="GB49:GB51"/>
    <mergeCell ref="GC49:GC51"/>
    <mergeCell ref="GD49:GD51"/>
    <mergeCell ref="FS49:FS51"/>
    <mergeCell ref="FT49:FT51"/>
    <mergeCell ref="FU49:FU51"/>
    <mergeCell ref="FV49:FV51"/>
    <mergeCell ref="FW49:FW51"/>
    <mergeCell ref="FX49:FX51"/>
    <mergeCell ref="FH49:FH51"/>
    <mergeCell ref="FJ49:FJ51"/>
    <mergeCell ref="FL49:FL51"/>
    <mergeCell ref="FN49:FN51"/>
    <mergeCell ref="FP49:FP51"/>
    <mergeCell ref="FR49:FR51"/>
    <mergeCell ref="EW49:EW51"/>
    <mergeCell ref="EY49:EY51"/>
    <mergeCell ref="EZ49:EZ51"/>
    <mergeCell ref="FB49:FB51"/>
    <mergeCell ref="FD49:FD51"/>
    <mergeCell ref="FF49:FF51"/>
    <mergeCell ref="EK49:EK51"/>
    <mergeCell ref="EM49:EM51"/>
    <mergeCell ref="EO49:EO51"/>
    <mergeCell ref="EQ49:EQ51"/>
    <mergeCell ref="ES49:ES51"/>
    <mergeCell ref="EU49:EU51"/>
    <mergeCell ref="DY49:DY51"/>
    <mergeCell ref="EA49:EA51"/>
    <mergeCell ref="EC49:EC51"/>
    <mergeCell ref="EE49:EE51"/>
    <mergeCell ref="EG49:EG51"/>
    <mergeCell ref="EI49:EI51"/>
    <mergeCell ref="DM49:DM51"/>
    <mergeCell ref="DO49:DO51"/>
    <mergeCell ref="DQ49:DQ51"/>
    <mergeCell ref="DS49:DS51"/>
    <mergeCell ref="DU49:DU51"/>
    <mergeCell ref="DW49:DW51"/>
    <mergeCell ref="DA49:DA51"/>
    <mergeCell ref="DC49:DC51"/>
    <mergeCell ref="DE49:DE51"/>
    <mergeCell ref="DG49:DG51"/>
    <mergeCell ref="DI49:DI51"/>
    <mergeCell ref="DK49:DK51"/>
    <mergeCell ref="CI49:CI51"/>
    <mergeCell ref="CK49:CK51"/>
    <mergeCell ref="CM49:CM51"/>
    <mergeCell ref="CV49:CV51"/>
    <mergeCell ref="CX49:CX51"/>
    <mergeCell ref="CY49:CY51"/>
    <mergeCell ref="BW49:BW51"/>
    <mergeCell ref="BY49:BY51"/>
    <mergeCell ref="CA49:CA51"/>
    <mergeCell ref="CC49:CC51"/>
    <mergeCell ref="CE49:CE51"/>
    <mergeCell ref="CG49:CG51"/>
    <mergeCell ref="BK49:BK51"/>
    <mergeCell ref="BM49:BM51"/>
    <mergeCell ref="BO49:BO51"/>
    <mergeCell ref="BQ49:BQ51"/>
    <mergeCell ref="BS49:BS51"/>
    <mergeCell ref="BU49:BU51"/>
    <mergeCell ref="AY49:AY51"/>
    <mergeCell ref="BA49:BA51"/>
    <mergeCell ref="BC49:BC51"/>
    <mergeCell ref="BE49:BE51"/>
    <mergeCell ref="BG49:BG51"/>
    <mergeCell ref="BI49:BI51"/>
    <mergeCell ref="AM49:AM51"/>
    <mergeCell ref="AO49:AO51"/>
    <mergeCell ref="AQ49:AQ51"/>
    <mergeCell ref="AS49:AS51"/>
    <mergeCell ref="AU49:AU51"/>
    <mergeCell ref="AW49:AW51"/>
    <mergeCell ref="AA49:AA51"/>
    <mergeCell ref="AC49:AC51"/>
    <mergeCell ref="AE49:AE51"/>
    <mergeCell ref="AH49:AH51"/>
    <mergeCell ref="AJ49:AJ51"/>
    <mergeCell ref="AK49:AK51"/>
    <mergeCell ref="GN24:GN27"/>
    <mergeCell ref="GO24:GO27"/>
    <mergeCell ref="GQ24:GQ27"/>
    <mergeCell ref="GS24:GS27"/>
    <mergeCell ref="HC24:HC27"/>
    <mergeCell ref="FH24:FH27"/>
    <mergeCell ref="FJ24:FJ27"/>
    <mergeCell ref="FL24:FL27"/>
    <mergeCell ref="EQ24:EQ27"/>
    <mergeCell ref="ES24:ES27"/>
    <mergeCell ref="EU24:EU27"/>
    <mergeCell ref="EW24:EW27"/>
    <mergeCell ref="EY24:EY27"/>
    <mergeCell ref="EZ24:EZ27"/>
    <mergeCell ref="EE24:EE27"/>
    <mergeCell ref="EG24:EG27"/>
    <mergeCell ref="EI24:EI27"/>
    <mergeCell ref="EK24:EK27"/>
    <mergeCell ref="EM24:EM27"/>
    <mergeCell ref="EO24:EO27"/>
    <mergeCell ref="A49:A51"/>
    <mergeCell ref="S49:S51"/>
    <mergeCell ref="U49:U51"/>
    <mergeCell ref="W49:W51"/>
    <mergeCell ref="Y49:Y51"/>
    <mergeCell ref="GH24:GH27"/>
    <mergeCell ref="GI24:GI27"/>
    <mergeCell ref="GJ24:GJ27"/>
    <mergeCell ref="GK24:GK27"/>
    <mergeCell ref="GL24:GL27"/>
    <mergeCell ref="GM24:GM27"/>
    <mergeCell ref="GB24:GB27"/>
    <mergeCell ref="GC24:GC27"/>
    <mergeCell ref="GD24:GD27"/>
    <mergeCell ref="GE24:GE27"/>
    <mergeCell ref="GF24:GF27"/>
    <mergeCell ref="GG24:GG27"/>
    <mergeCell ref="FV24:FV27"/>
    <mergeCell ref="FW24:FW27"/>
    <mergeCell ref="FX24:FX27"/>
    <mergeCell ref="FY24:FY27"/>
    <mergeCell ref="FZ24:FZ27"/>
    <mergeCell ref="GA24:GA27"/>
    <mergeCell ref="FN24:FN27"/>
    <mergeCell ref="FP24:FP27"/>
    <mergeCell ref="FR24:FR27"/>
    <mergeCell ref="FS24:FS27"/>
    <mergeCell ref="FT24:FT27"/>
    <mergeCell ref="FU24:FU27"/>
    <mergeCell ref="FB24:FB27"/>
    <mergeCell ref="FD24:FD27"/>
    <mergeCell ref="FF24:FF27"/>
    <mergeCell ref="DS24:DS27"/>
    <mergeCell ref="DU24:DU27"/>
    <mergeCell ref="DW24:DW27"/>
    <mergeCell ref="DY24:DY27"/>
    <mergeCell ref="EA24:EA27"/>
    <mergeCell ref="EC24:EC27"/>
    <mergeCell ref="DG24:DG27"/>
    <mergeCell ref="DI24:DI27"/>
    <mergeCell ref="DK24:DK27"/>
    <mergeCell ref="DM24:DM27"/>
    <mergeCell ref="DO24:DO27"/>
    <mergeCell ref="DQ24:DQ27"/>
    <mergeCell ref="CV24:CV27"/>
    <mergeCell ref="CX24:CX27"/>
    <mergeCell ref="CY24:CY27"/>
    <mergeCell ref="DA24:DA27"/>
    <mergeCell ref="DC24:DC27"/>
    <mergeCell ref="DE24:DE27"/>
    <mergeCell ref="CC24:CC27"/>
    <mergeCell ref="CE24:CE27"/>
    <mergeCell ref="CG24:CG27"/>
    <mergeCell ref="CI24:CI27"/>
    <mergeCell ref="CK24:CK27"/>
    <mergeCell ref="CM24:CM27"/>
    <mergeCell ref="BQ24:BQ27"/>
    <mergeCell ref="BS24:BS27"/>
    <mergeCell ref="BU24:BU27"/>
    <mergeCell ref="BW24:BW27"/>
    <mergeCell ref="BY24:BY27"/>
    <mergeCell ref="CA24:CA27"/>
    <mergeCell ref="BE24:BE27"/>
    <mergeCell ref="BG24:BG27"/>
    <mergeCell ref="BI24:BI27"/>
    <mergeCell ref="BK24:BK27"/>
    <mergeCell ref="BM24:BM27"/>
    <mergeCell ref="BO24:BO27"/>
    <mergeCell ref="AS24:AS27"/>
    <mergeCell ref="AU24:AU27"/>
    <mergeCell ref="AW24:AW27"/>
    <mergeCell ref="AY24:AY27"/>
    <mergeCell ref="BA24:BA27"/>
    <mergeCell ref="BC24:BC27"/>
    <mergeCell ref="AH24:AH27"/>
    <mergeCell ref="AJ24:AJ27"/>
    <mergeCell ref="AK24:AK27"/>
    <mergeCell ref="AM24:AM27"/>
    <mergeCell ref="AO24:AO27"/>
    <mergeCell ref="AQ24:AQ27"/>
    <mergeCell ref="GS18:GS20"/>
    <mergeCell ref="HC18:HC20"/>
    <mergeCell ref="A24:A27"/>
    <mergeCell ref="S24:S27"/>
    <mergeCell ref="U24:U27"/>
    <mergeCell ref="W24:W27"/>
    <mergeCell ref="Y24:Y27"/>
    <mergeCell ref="AA24:AA27"/>
    <mergeCell ref="AC24:AC27"/>
    <mergeCell ref="AE24:AE27"/>
    <mergeCell ref="GK18:GK20"/>
    <mergeCell ref="GL18:GL20"/>
    <mergeCell ref="GM18:GM20"/>
    <mergeCell ref="GN18:GN20"/>
    <mergeCell ref="GO18:GO20"/>
    <mergeCell ref="GQ18:GQ20"/>
    <mergeCell ref="GE18:GE20"/>
    <mergeCell ref="GF18:GF20"/>
    <mergeCell ref="GG18:GG20"/>
    <mergeCell ref="GH18:GH20"/>
    <mergeCell ref="GI18:GI20"/>
    <mergeCell ref="GJ18:GJ20"/>
    <mergeCell ref="FY18:FY20"/>
    <mergeCell ref="FZ18:FZ20"/>
    <mergeCell ref="GA18:GA20"/>
    <mergeCell ref="GB18:GB20"/>
    <mergeCell ref="GC18:GC20"/>
    <mergeCell ref="GD18:GD20"/>
    <mergeCell ref="FS18:FS20"/>
    <mergeCell ref="FT18:FT20"/>
    <mergeCell ref="FU18:FU20"/>
    <mergeCell ref="FV18:FV20"/>
    <mergeCell ref="FW18:FW20"/>
    <mergeCell ref="FX18:FX20"/>
    <mergeCell ref="FH18:FH20"/>
    <mergeCell ref="FJ18:FJ20"/>
    <mergeCell ref="FL18:FL20"/>
    <mergeCell ref="FN18:FN20"/>
    <mergeCell ref="FP18:FP20"/>
    <mergeCell ref="FR18:FR20"/>
    <mergeCell ref="EW18:EW20"/>
    <mergeCell ref="EY18:EY20"/>
    <mergeCell ref="EZ18:EZ20"/>
    <mergeCell ref="FB18:FB20"/>
    <mergeCell ref="FD18:FD20"/>
    <mergeCell ref="FF18:FF20"/>
    <mergeCell ref="EK18:EK20"/>
    <mergeCell ref="EM18:EM20"/>
    <mergeCell ref="EO18:EO20"/>
    <mergeCell ref="EQ18:EQ20"/>
    <mergeCell ref="ES18:ES20"/>
    <mergeCell ref="EU18:EU20"/>
    <mergeCell ref="DY18:DY20"/>
    <mergeCell ref="EA18:EA20"/>
    <mergeCell ref="EC18:EC20"/>
    <mergeCell ref="EE18:EE20"/>
    <mergeCell ref="EG18:EG20"/>
    <mergeCell ref="EI18:EI20"/>
    <mergeCell ref="DM18:DM20"/>
    <mergeCell ref="DO18:DO20"/>
    <mergeCell ref="DQ18:DQ20"/>
    <mergeCell ref="DS18:DS20"/>
    <mergeCell ref="DU18:DU20"/>
    <mergeCell ref="DW18:DW20"/>
    <mergeCell ref="DA18:DA20"/>
    <mergeCell ref="DC18:DC20"/>
    <mergeCell ref="DE18:DE20"/>
    <mergeCell ref="DG18:DG20"/>
    <mergeCell ref="DI18:DI20"/>
    <mergeCell ref="DK18:DK20"/>
    <mergeCell ref="CI18:CI20"/>
    <mergeCell ref="CK18:CK20"/>
    <mergeCell ref="CM18:CM20"/>
    <mergeCell ref="CV18:CV20"/>
    <mergeCell ref="CX18:CX20"/>
    <mergeCell ref="CY18:CY20"/>
    <mergeCell ref="BW18:BW20"/>
    <mergeCell ref="BY18:BY20"/>
    <mergeCell ref="CA18:CA20"/>
    <mergeCell ref="CC18:CC20"/>
    <mergeCell ref="CE18:CE20"/>
    <mergeCell ref="CG18:CG20"/>
    <mergeCell ref="BK18:BK20"/>
    <mergeCell ref="BM18:BM20"/>
    <mergeCell ref="BO18:BO20"/>
    <mergeCell ref="BQ18:BQ20"/>
    <mergeCell ref="BS18:BS20"/>
    <mergeCell ref="BU18:BU20"/>
    <mergeCell ref="AY18:AY20"/>
    <mergeCell ref="BA18:BA20"/>
    <mergeCell ref="BC18:BC20"/>
    <mergeCell ref="BE18:BE20"/>
    <mergeCell ref="BG18:BG20"/>
    <mergeCell ref="BI18:BI20"/>
    <mergeCell ref="AM18:AM20"/>
    <mergeCell ref="AO18:AO20"/>
    <mergeCell ref="AQ18:AQ20"/>
    <mergeCell ref="AS18:AS20"/>
    <mergeCell ref="AU18:AU20"/>
    <mergeCell ref="AW18:AW20"/>
    <mergeCell ref="AA18:AA20"/>
    <mergeCell ref="AC18:AC20"/>
    <mergeCell ref="AE18:AE20"/>
    <mergeCell ref="AH18:AH20"/>
    <mergeCell ref="AJ18:AJ20"/>
    <mergeCell ref="AK18:AK20"/>
    <mergeCell ref="GN15:GN16"/>
    <mergeCell ref="GO15:GO16"/>
    <mergeCell ref="GQ15:GQ16"/>
    <mergeCell ref="GS15:GS16"/>
    <mergeCell ref="HC15:HC16"/>
    <mergeCell ref="FH15:FH16"/>
    <mergeCell ref="FJ15:FJ16"/>
    <mergeCell ref="FL15:FL16"/>
    <mergeCell ref="EQ15:EQ16"/>
    <mergeCell ref="ES15:ES16"/>
    <mergeCell ref="EU15:EU16"/>
    <mergeCell ref="EW15:EW16"/>
    <mergeCell ref="EY15:EY16"/>
    <mergeCell ref="EZ15:EZ16"/>
    <mergeCell ref="EE15:EE16"/>
    <mergeCell ref="EG15:EG16"/>
    <mergeCell ref="EI15:EI16"/>
    <mergeCell ref="EK15:EK16"/>
    <mergeCell ref="EM15:EM16"/>
    <mergeCell ref="EO15:EO16"/>
    <mergeCell ref="A18:A20"/>
    <mergeCell ref="S18:S20"/>
    <mergeCell ref="U18:U20"/>
    <mergeCell ref="W18:W20"/>
    <mergeCell ref="Y18:Y20"/>
    <mergeCell ref="GH15:GH16"/>
    <mergeCell ref="GI15:GI16"/>
    <mergeCell ref="GJ15:GJ16"/>
    <mergeCell ref="GK15:GK16"/>
    <mergeCell ref="GL15:GL16"/>
    <mergeCell ref="GM15:GM16"/>
    <mergeCell ref="GB15:GB16"/>
    <mergeCell ref="GC15:GC16"/>
    <mergeCell ref="GD15:GD16"/>
    <mergeCell ref="GE15:GE16"/>
    <mergeCell ref="GF15:GF16"/>
    <mergeCell ref="GG15:GG16"/>
    <mergeCell ref="FV15:FV16"/>
    <mergeCell ref="FW15:FW16"/>
    <mergeCell ref="FX15:FX16"/>
    <mergeCell ref="FY15:FY16"/>
    <mergeCell ref="FZ15:FZ16"/>
    <mergeCell ref="GA15:GA16"/>
    <mergeCell ref="FN15:FN16"/>
    <mergeCell ref="FP15:FP16"/>
    <mergeCell ref="FR15:FR16"/>
    <mergeCell ref="FS15:FS16"/>
    <mergeCell ref="FT15:FT16"/>
    <mergeCell ref="FU15:FU16"/>
    <mergeCell ref="FB15:FB16"/>
    <mergeCell ref="FD15:FD16"/>
    <mergeCell ref="FF15:FF16"/>
    <mergeCell ref="DS15:DS16"/>
    <mergeCell ref="DU15:DU16"/>
    <mergeCell ref="DW15:DW16"/>
    <mergeCell ref="DY15:DY16"/>
    <mergeCell ref="EA15:EA16"/>
    <mergeCell ref="EC15:EC16"/>
    <mergeCell ref="DG15:DG16"/>
    <mergeCell ref="DI15:DI16"/>
    <mergeCell ref="DK15:DK16"/>
    <mergeCell ref="DM15:DM16"/>
    <mergeCell ref="DO15:DO16"/>
    <mergeCell ref="DQ15:DQ16"/>
    <mergeCell ref="CV15:CV16"/>
    <mergeCell ref="CX15:CX16"/>
    <mergeCell ref="CY15:CY16"/>
    <mergeCell ref="DA15:DA16"/>
    <mergeCell ref="DC15:DC16"/>
    <mergeCell ref="DE15:DE16"/>
    <mergeCell ref="CC15:CC16"/>
    <mergeCell ref="CE15:CE16"/>
    <mergeCell ref="CG15:CG16"/>
    <mergeCell ref="CI15:CI16"/>
    <mergeCell ref="CK15:CK16"/>
    <mergeCell ref="CM15:CM16"/>
    <mergeCell ref="BQ15:BQ16"/>
    <mergeCell ref="BS15:BS16"/>
    <mergeCell ref="BU15:BU16"/>
    <mergeCell ref="BW15:BW16"/>
    <mergeCell ref="BY15:BY16"/>
    <mergeCell ref="CA15:CA16"/>
    <mergeCell ref="BE15:BE16"/>
    <mergeCell ref="BG15:BG16"/>
    <mergeCell ref="BI15:BI16"/>
    <mergeCell ref="BK15:BK16"/>
    <mergeCell ref="BM15:BM16"/>
    <mergeCell ref="BO15:BO16"/>
    <mergeCell ref="AS15:AS16"/>
    <mergeCell ref="AU15:AU16"/>
    <mergeCell ref="AW15:AW16"/>
    <mergeCell ref="AY15:AY16"/>
    <mergeCell ref="BA15:BA16"/>
    <mergeCell ref="BC15:BC16"/>
    <mergeCell ref="AH15:AH16"/>
    <mergeCell ref="AJ15:AJ16"/>
    <mergeCell ref="AK15:AK16"/>
    <mergeCell ref="AM15:AM16"/>
    <mergeCell ref="AO15:AO16"/>
    <mergeCell ref="AQ15:AQ16"/>
    <mergeCell ref="GS12:GS13"/>
    <mergeCell ref="HC12:HC13"/>
    <mergeCell ref="A15:A16"/>
    <mergeCell ref="S15:S16"/>
    <mergeCell ref="U15:U16"/>
    <mergeCell ref="W15:W16"/>
    <mergeCell ref="Y15:Y16"/>
    <mergeCell ref="AA15:AA16"/>
    <mergeCell ref="AC15:AC16"/>
    <mergeCell ref="AE15:AE16"/>
    <mergeCell ref="GK12:GK13"/>
    <mergeCell ref="GL12:GL13"/>
    <mergeCell ref="GM12:GM13"/>
    <mergeCell ref="GN12:GN13"/>
    <mergeCell ref="GO12:GO13"/>
    <mergeCell ref="GQ12:GQ13"/>
    <mergeCell ref="GE12:GE13"/>
    <mergeCell ref="GF12:GF13"/>
    <mergeCell ref="GG12:GG13"/>
    <mergeCell ref="GH12:GH13"/>
    <mergeCell ref="GI12:GI13"/>
    <mergeCell ref="GJ12:GJ13"/>
    <mergeCell ref="FY12:FY13"/>
    <mergeCell ref="FZ12:FZ13"/>
    <mergeCell ref="GA12:GA13"/>
    <mergeCell ref="GB12:GB13"/>
    <mergeCell ref="GC12:GC13"/>
    <mergeCell ref="GD12:GD13"/>
    <mergeCell ref="FS12:FS13"/>
    <mergeCell ref="FT12:FT13"/>
    <mergeCell ref="FU12:FU13"/>
    <mergeCell ref="FV12:FV13"/>
    <mergeCell ref="FW12:FW13"/>
    <mergeCell ref="FX12:FX13"/>
    <mergeCell ref="FH12:FH13"/>
    <mergeCell ref="FJ12:FJ13"/>
    <mergeCell ref="FL12:FL13"/>
    <mergeCell ref="FN12:FN13"/>
    <mergeCell ref="FP12:FP13"/>
    <mergeCell ref="FR12:FR13"/>
    <mergeCell ref="EW12:EW13"/>
    <mergeCell ref="EY12:EY13"/>
    <mergeCell ref="EZ12:EZ13"/>
    <mergeCell ref="FB12:FB13"/>
    <mergeCell ref="FD12:FD13"/>
    <mergeCell ref="FF12:FF13"/>
    <mergeCell ref="EK12:EK13"/>
    <mergeCell ref="EM12:EM13"/>
    <mergeCell ref="EO12:EO13"/>
    <mergeCell ref="EQ12:EQ13"/>
    <mergeCell ref="ES12:ES13"/>
    <mergeCell ref="EU12:EU13"/>
    <mergeCell ref="DY12:DY13"/>
    <mergeCell ref="EA12:EA13"/>
    <mergeCell ref="EC12:EC13"/>
    <mergeCell ref="EE12:EE13"/>
    <mergeCell ref="EG12:EG13"/>
    <mergeCell ref="EI12:EI13"/>
    <mergeCell ref="DM12:DM13"/>
    <mergeCell ref="DO12:DO13"/>
    <mergeCell ref="DQ12:DQ13"/>
    <mergeCell ref="DS12:DS13"/>
    <mergeCell ref="DU12:DU13"/>
    <mergeCell ref="DW12:DW13"/>
    <mergeCell ref="DA12:DA13"/>
    <mergeCell ref="DC12:DC13"/>
    <mergeCell ref="DE12:DE13"/>
    <mergeCell ref="DG12:DG13"/>
    <mergeCell ref="DI12:DI13"/>
    <mergeCell ref="DK12:DK13"/>
    <mergeCell ref="CI12:CI13"/>
    <mergeCell ref="CK12:CK13"/>
    <mergeCell ref="CM12:CM13"/>
    <mergeCell ref="CV12:CV13"/>
    <mergeCell ref="CX12:CX13"/>
    <mergeCell ref="CY12:CY13"/>
    <mergeCell ref="BW12:BW13"/>
    <mergeCell ref="BY12:BY13"/>
    <mergeCell ref="CA12:CA13"/>
    <mergeCell ref="CC12:CC13"/>
    <mergeCell ref="CE12:CE13"/>
    <mergeCell ref="CG12:CG13"/>
    <mergeCell ref="BK12:BK13"/>
    <mergeCell ref="BM12:BM13"/>
    <mergeCell ref="BO12:BO13"/>
    <mergeCell ref="BQ12:BQ13"/>
    <mergeCell ref="BS12:BS13"/>
    <mergeCell ref="BU12:BU13"/>
    <mergeCell ref="AY12:AY13"/>
    <mergeCell ref="BA12:BA13"/>
    <mergeCell ref="BC12:BC13"/>
    <mergeCell ref="BE12:BE13"/>
    <mergeCell ref="BG12:BG13"/>
    <mergeCell ref="BI12:BI13"/>
    <mergeCell ref="AO12:AO13"/>
    <mergeCell ref="AQ12:AQ13"/>
    <mergeCell ref="AR12:AR13"/>
    <mergeCell ref="AS12:AS13"/>
    <mergeCell ref="AU12:AU13"/>
    <mergeCell ref="AW12:AW13"/>
    <mergeCell ref="AC12:AC13"/>
    <mergeCell ref="AE12:AE13"/>
    <mergeCell ref="AH12:AH13"/>
    <mergeCell ref="AJ12:AJ13"/>
    <mergeCell ref="AK12:AK13"/>
    <mergeCell ref="AM12:AM13"/>
    <mergeCell ref="A12:A13"/>
    <mergeCell ref="S12:S13"/>
    <mergeCell ref="U12:U13"/>
    <mergeCell ref="W12:W13"/>
    <mergeCell ref="Y12:Y13"/>
    <mergeCell ref="AA12:AA13"/>
    <mergeCell ref="GM9:GM10"/>
    <mergeCell ref="GN9:GN10"/>
    <mergeCell ref="GO9:GO10"/>
    <mergeCell ref="GQ9:GQ10"/>
    <mergeCell ref="GS9:GS10"/>
    <mergeCell ref="HC9:HC10"/>
    <mergeCell ref="GG9:GG10"/>
    <mergeCell ref="GH9:GH10"/>
    <mergeCell ref="GI9:GI10"/>
    <mergeCell ref="GJ9:GJ10"/>
    <mergeCell ref="GK9:GK10"/>
    <mergeCell ref="GL9:GL10"/>
    <mergeCell ref="GA9:GA10"/>
    <mergeCell ref="GB9:GB10"/>
    <mergeCell ref="GC9:GC10"/>
    <mergeCell ref="GD9:GD10"/>
    <mergeCell ref="GE9:GE10"/>
    <mergeCell ref="GF9:GF10"/>
    <mergeCell ref="FU9:FU10"/>
    <mergeCell ref="FV9:FV10"/>
    <mergeCell ref="FW9:FW10"/>
    <mergeCell ref="FX9:FX10"/>
    <mergeCell ref="FY9:FY10"/>
    <mergeCell ref="FZ9:FZ10"/>
    <mergeCell ref="FL9:FL10"/>
    <mergeCell ref="FN9:FN10"/>
    <mergeCell ref="FP9:FP10"/>
    <mergeCell ref="FR9:FR10"/>
    <mergeCell ref="FS9:FS10"/>
    <mergeCell ref="FT9:FT10"/>
    <mergeCell ref="EZ9:EZ10"/>
    <mergeCell ref="FB9:FB10"/>
    <mergeCell ref="FD9:FD10"/>
    <mergeCell ref="FF9:FF10"/>
    <mergeCell ref="FH9:FH10"/>
    <mergeCell ref="FJ9:FJ10"/>
    <mergeCell ref="EO9:EO10"/>
    <mergeCell ref="EQ9:EQ10"/>
    <mergeCell ref="ES9:ES10"/>
    <mergeCell ref="EU9:EU10"/>
    <mergeCell ref="EW9:EW10"/>
    <mergeCell ref="EY9:EY10"/>
    <mergeCell ref="EC9:EC10"/>
    <mergeCell ref="EE9:EE10"/>
    <mergeCell ref="EG9:EG10"/>
    <mergeCell ref="EI9:EI10"/>
    <mergeCell ref="EK9:EK10"/>
    <mergeCell ref="EM9:EM10"/>
    <mergeCell ref="DQ9:DQ10"/>
    <mergeCell ref="DS9:DS10"/>
    <mergeCell ref="DU9:DU10"/>
    <mergeCell ref="DW9:DW10"/>
    <mergeCell ref="DY9:DY10"/>
    <mergeCell ref="EA9:EA10"/>
    <mergeCell ref="DE9:DE10"/>
    <mergeCell ref="DG9:DG10"/>
    <mergeCell ref="DI9:DI10"/>
    <mergeCell ref="DK9:DK10"/>
    <mergeCell ref="DM9:DM10"/>
    <mergeCell ref="DO9:DO10"/>
    <mergeCell ref="CM9:CM10"/>
    <mergeCell ref="CV9:CV10"/>
    <mergeCell ref="CX9:CX10"/>
    <mergeCell ref="CY9:CY10"/>
    <mergeCell ref="DA9:DA10"/>
    <mergeCell ref="DC9:DC10"/>
    <mergeCell ref="CA9:CA10"/>
    <mergeCell ref="CC9:CC10"/>
    <mergeCell ref="CE9:CE10"/>
    <mergeCell ref="CG9:CG10"/>
    <mergeCell ref="CI9:CI10"/>
    <mergeCell ref="CK9:CK10"/>
    <mergeCell ref="BO9:BO10"/>
    <mergeCell ref="BQ9:BQ10"/>
    <mergeCell ref="BS9:BS10"/>
    <mergeCell ref="BU9:BU10"/>
    <mergeCell ref="BW9:BW10"/>
    <mergeCell ref="BY9:BY10"/>
    <mergeCell ref="BC9:BC10"/>
    <mergeCell ref="BE9:BE10"/>
    <mergeCell ref="BG9:BG10"/>
    <mergeCell ref="BI9:BI10"/>
    <mergeCell ref="BK9:BK10"/>
    <mergeCell ref="BM9:BM10"/>
    <mergeCell ref="AR9:AR10"/>
    <mergeCell ref="AS9:AS10"/>
    <mergeCell ref="AU9:AU10"/>
    <mergeCell ref="AW9:AW10"/>
    <mergeCell ref="AY9:AY10"/>
    <mergeCell ref="BA9:BA10"/>
    <mergeCell ref="AH9:AH10"/>
    <mergeCell ref="AJ9:AJ10"/>
    <mergeCell ref="AK9:AK10"/>
    <mergeCell ref="AM9:AM10"/>
    <mergeCell ref="AO9:AO10"/>
    <mergeCell ref="AQ9:AQ10"/>
    <mergeCell ref="GS6:GS7"/>
    <mergeCell ref="HC6:HC7"/>
    <mergeCell ref="A9:A10"/>
    <mergeCell ref="S9:S10"/>
    <mergeCell ref="U9:U10"/>
    <mergeCell ref="W9:W10"/>
    <mergeCell ref="Y9:Y10"/>
    <mergeCell ref="AA9:AA10"/>
    <mergeCell ref="AC9:AC10"/>
    <mergeCell ref="AE9:AE10"/>
    <mergeCell ref="GK6:GK7"/>
    <mergeCell ref="GL6:GL7"/>
    <mergeCell ref="GM6:GM7"/>
    <mergeCell ref="GN6:GN7"/>
    <mergeCell ref="GO6:GO7"/>
    <mergeCell ref="GQ6:GQ7"/>
    <mergeCell ref="GE6:GE7"/>
    <mergeCell ref="GF6:GF7"/>
    <mergeCell ref="GG6:GG7"/>
    <mergeCell ref="GH6:GH7"/>
    <mergeCell ref="GI6:GI7"/>
    <mergeCell ref="GJ6:GJ7"/>
    <mergeCell ref="FY6:FY7"/>
    <mergeCell ref="FZ6:FZ7"/>
    <mergeCell ref="GA6:GA7"/>
    <mergeCell ref="GB6:GB7"/>
    <mergeCell ref="GC6:GC7"/>
    <mergeCell ref="GD6:GD7"/>
    <mergeCell ref="FS6:FS7"/>
    <mergeCell ref="FT6:FT7"/>
    <mergeCell ref="FU6:FU7"/>
    <mergeCell ref="FV6:FV7"/>
    <mergeCell ref="FW6:FW7"/>
    <mergeCell ref="FX6:FX7"/>
    <mergeCell ref="FH6:FH7"/>
    <mergeCell ref="FJ6:FJ7"/>
    <mergeCell ref="FL6:FL7"/>
    <mergeCell ref="FN6:FN7"/>
    <mergeCell ref="FP6:FP7"/>
    <mergeCell ref="FR6:FR7"/>
    <mergeCell ref="EW6:EW7"/>
    <mergeCell ref="EY6:EY7"/>
    <mergeCell ref="EZ6:EZ7"/>
    <mergeCell ref="FB6:FB7"/>
    <mergeCell ref="FD6:FD7"/>
    <mergeCell ref="FF6:FF7"/>
    <mergeCell ref="EK6:EK7"/>
    <mergeCell ref="EM6:EM7"/>
    <mergeCell ref="EO6:EO7"/>
    <mergeCell ref="EQ6:EQ7"/>
    <mergeCell ref="ES6:ES7"/>
    <mergeCell ref="EU6:EU7"/>
    <mergeCell ref="DY6:DY7"/>
    <mergeCell ref="EA6:EA7"/>
    <mergeCell ref="EC6:EC7"/>
    <mergeCell ref="EE6:EE7"/>
    <mergeCell ref="EG6:EG7"/>
    <mergeCell ref="EI6:EI7"/>
    <mergeCell ref="DM6:DM7"/>
    <mergeCell ref="DO6:DO7"/>
    <mergeCell ref="DQ6:DQ7"/>
    <mergeCell ref="DS6:DS7"/>
    <mergeCell ref="DU6:DU7"/>
    <mergeCell ref="DW6:DW7"/>
    <mergeCell ref="AW6:AW7"/>
    <mergeCell ref="AY6:AY7"/>
    <mergeCell ref="DA6:DA7"/>
    <mergeCell ref="DC6:DC7"/>
    <mergeCell ref="DE6:DE7"/>
    <mergeCell ref="DG6:DG7"/>
    <mergeCell ref="DI6:DI7"/>
    <mergeCell ref="DK6:DK7"/>
    <mergeCell ref="CK6:CK7"/>
    <mergeCell ref="CM6:CM7"/>
    <mergeCell ref="CP6:CP7"/>
    <mergeCell ref="CV6:CV7"/>
    <mergeCell ref="CX6:CX7"/>
    <mergeCell ref="CY6:CY7"/>
    <mergeCell ref="BY6:BY7"/>
    <mergeCell ref="CA6:CA7"/>
    <mergeCell ref="CC6:CC7"/>
    <mergeCell ref="CE6:CE7"/>
    <mergeCell ref="CG6:CG7"/>
    <mergeCell ref="CI6:CI7"/>
    <mergeCell ref="AE6:AE7"/>
    <mergeCell ref="AH6:AH7"/>
    <mergeCell ref="AJ6:AJ7"/>
    <mergeCell ref="AK6:AK7"/>
    <mergeCell ref="AM6:AM7"/>
    <mergeCell ref="AO6:AO7"/>
    <mergeCell ref="R1:AR1"/>
    <mergeCell ref="CQ1:DL1"/>
    <mergeCell ref="R2:CP2"/>
    <mergeCell ref="A6:A7"/>
    <mergeCell ref="S6:S7"/>
    <mergeCell ref="U6:U7"/>
    <mergeCell ref="W6:W7"/>
    <mergeCell ref="Y6:Y7"/>
    <mergeCell ref="AA6:AA7"/>
    <mergeCell ref="AC6:AC7"/>
    <mergeCell ref="BM6:BM7"/>
    <mergeCell ref="BO6:BO7"/>
    <mergeCell ref="BQ6:BQ7"/>
    <mergeCell ref="BS6:BS7"/>
    <mergeCell ref="BU6:BU7"/>
    <mergeCell ref="BW6:BW7"/>
    <mergeCell ref="BA6:BA7"/>
    <mergeCell ref="BC6:BC7"/>
    <mergeCell ref="BE6:BE7"/>
    <mergeCell ref="BG6:BG7"/>
    <mergeCell ref="BI6:BI7"/>
    <mergeCell ref="BK6:BK7"/>
    <mergeCell ref="AQ6:AQ7"/>
    <mergeCell ref="AR6:AR7"/>
    <mergeCell ref="AS6:AS7"/>
    <mergeCell ref="AU6:AU7"/>
  </mergeCells>
  <printOptions horizontalCentered="1" verticalCentered="1" gridLines="1"/>
  <pageMargins left="0.25" right="0.25" top="0.75" bottom="0.75" header="0.3" footer="0.3"/>
  <pageSetup scale="56" fitToHeight="0" orientation="landscape" r:id="rId1"/>
  <colBreaks count="3" manualBreakCount="3">
    <brk id="17" max="134" man="1"/>
    <brk id="94" max="134" man="1"/>
    <brk id="175" max="134"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W867"/>
  <sheetViews>
    <sheetView zoomScaleNormal="100" zoomScaleSheetLayoutView="65" zoomScalePageLayoutView="50" workbookViewId="0">
      <pane xSplit="2" ySplit="3" topLeftCell="C283" activePane="bottomRight" state="frozen"/>
      <selection pane="bottomRight" activeCell="F5" sqref="F5:F283"/>
      <selection pane="bottomLeft"/>
      <selection pane="topRight"/>
    </sheetView>
  </sheetViews>
  <sheetFormatPr defaultColWidth="9.140625" defaultRowHeight="15"/>
  <cols>
    <col min="1" max="1" width="7.5703125" style="738" hidden="1" customWidth="1"/>
    <col min="2" max="2" width="9.140625" style="317" customWidth="1"/>
    <col min="3" max="3" width="3.140625" style="322" customWidth="1"/>
    <col min="4" max="5" width="9.140625" style="322" customWidth="1"/>
    <col min="6" max="6" width="11.5703125" style="1128" customWidth="1"/>
    <col min="7" max="7" width="9.140625" style="322" customWidth="1"/>
    <col min="8" max="8" width="9.140625" style="975" customWidth="1"/>
    <col min="9" max="9" width="9.140625" style="1037" customWidth="1"/>
    <col min="10" max="13" width="9.140625" style="322" customWidth="1"/>
    <col min="14" max="14" width="9.85546875" style="322" customWidth="1"/>
    <col min="15" max="16" width="9.140625" style="322" customWidth="1"/>
    <col min="17" max="17" width="9.85546875" style="322" customWidth="1"/>
    <col min="18" max="18" width="9.140625" style="322" customWidth="1"/>
    <col min="19" max="19" width="46" style="1127" bestFit="1" customWidth="1"/>
    <col min="20" max="20" width="8.85546875" style="634" customWidth="1"/>
    <col min="21" max="21" width="11" style="649" customWidth="1"/>
    <col min="22" max="22" width="10" style="322" customWidth="1"/>
    <col min="23" max="24" width="8.85546875" style="649" customWidth="1"/>
    <col min="25" max="25" width="9.140625" style="649" customWidth="1"/>
    <col min="26" max="26" width="9.140625" style="322" customWidth="1"/>
    <col min="27" max="27" width="9.140625" style="649" customWidth="1"/>
    <col min="28" max="28" width="9.140625" style="322" customWidth="1"/>
    <col min="29" max="29" width="9.140625" style="649" customWidth="1"/>
    <col min="30" max="30" width="10.7109375" style="322" customWidth="1"/>
    <col min="31" max="34" width="9.140625" style="649" customWidth="1"/>
    <col min="35" max="35" width="8.42578125" style="322" customWidth="1"/>
    <col min="36" max="36" width="9.140625" style="649" customWidth="1"/>
    <col min="37" max="37" width="10.5703125" style="649" customWidth="1"/>
    <col min="38" max="38" width="9.140625" style="649" customWidth="1"/>
    <col min="39" max="39" width="9.7109375" style="1114" customWidth="1"/>
    <col min="40" max="40" width="10.85546875" style="322" customWidth="1"/>
    <col min="41" max="41" width="9.140625" style="649" customWidth="1"/>
    <col min="42" max="42" width="10.5703125" style="322" customWidth="1"/>
    <col min="43" max="45" width="9.140625" style="649" customWidth="1"/>
    <col min="46" max="46" width="8" style="322" customWidth="1"/>
    <col min="47" max="47" width="9.140625" style="649" customWidth="1"/>
    <col min="48" max="48" width="10.5703125" style="322" customWidth="1"/>
    <col min="49" max="55" width="9.140625" style="649" customWidth="1"/>
    <col min="56" max="56" width="12.7109375" style="322" customWidth="1"/>
    <col min="57" max="57" width="9.140625" style="649" customWidth="1"/>
    <col min="58" max="58" width="8.85546875" style="322" customWidth="1"/>
    <col min="59" max="59" width="9.140625" style="649" customWidth="1"/>
    <col min="60" max="60" width="6.85546875" style="649" customWidth="1"/>
    <col min="61" max="62" width="9.140625" style="649" customWidth="1"/>
    <col min="63" max="63" width="10.7109375" style="649" customWidth="1"/>
    <col min="64" max="65" width="9.140625" style="649" customWidth="1"/>
    <col min="66" max="66" width="8.5703125" style="649" customWidth="1"/>
    <col min="67" max="68" width="6.7109375" style="649" customWidth="1"/>
    <col min="69" max="69" width="12" style="649" customWidth="1"/>
    <col min="70" max="71" width="6.7109375" style="649" customWidth="1"/>
    <col min="72" max="72" width="7.42578125" style="322" customWidth="1"/>
    <col min="73" max="73" width="6.7109375" style="649" customWidth="1"/>
    <col min="74" max="74" width="6.42578125" style="322" customWidth="1"/>
    <col min="75" max="75" width="9.140625" style="780" customWidth="1"/>
    <col min="76" max="78" width="9.140625" style="322" customWidth="1"/>
    <col min="79" max="79" width="9.140625" style="1126" customWidth="1"/>
    <col min="80" max="80" width="28.140625" style="1090" customWidth="1"/>
    <col min="81" max="81" width="13.140625" style="1115" customWidth="1"/>
    <col min="82" max="82" width="13.85546875" style="1039" customWidth="1"/>
    <col min="83" max="83" width="12" style="322" customWidth="1"/>
    <col min="84" max="86" width="10" style="649" customWidth="1"/>
    <col min="87" max="87" width="9.140625" style="322" customWidth="1"/>
    <col min="88" max="88" width="8.85546875" style="649" customWidth="1"/>
    <col min="89" max="89" width="10.28515625" style="322" customWidth="1"/>
    <col min="90" max="90" width="9.5703125" style="649" customWidth="1"/>
    <col min="91" max="91" width="11.28515625" style="322" customWidth="1"/>
    <col min="92" max="92" width="11" style="1116" customWidth="1"/>
    <col min="93" max="93" width="9.140625" style="1116" customWidth="1"/>
    <col min="94" max="94" width="10.42578125" style="1116" customWidth="1"/>
    <col min="95" max="95" width="9.140625" style="322" customWidth="1"/>
    <col min="96" max="100" width="9.140625" style="1116" customWidth="1"/>
    <col min="101" max="101" width="10.85546875" style="322" customWidth="1"/>
    <col min="102" max="102" width="8.5703125" style="1116" customWidth="1"/>
    <col min="103" max="104" width="8.140625" style="1116" customWidth="1"/>
    <col min="105" max="105" width="8.85546875" style="1116" customWidth="1"/>
    <col min="106" max="106" width="6" style="1116" customWidth="1"/>
    <col min="107" max="108" width="9.28515625" style="1116" customWidth="1"/>
    <col min="109" max="109" width="11" style="322" customWidth="1"/>
    <col min="110" max="110" width="11" style="1116" customWidth="1"/>
    <col min="111" max="111" width="8.85546875" style="322" customWidth="1"/>
    <col min="112" max="112" width="8.140625" style="649" customWidth="1"/>
    <col min="113" max="113" width="6.28515625" style="322" customWidth="1"/>
    <col min="114" max="114" width="6.5703125" style="322" customWidth="1"/>
    <col min="115" max="115" width="7.7109375" style="322" hidden="1" customWidth="1"/>
    <col min="116" max="116" width="7" style="322" hidden="1" customWidth="1"/>
    <col min="117" max="117" width="7.42578125" style="322" hidden="1" customWidth="1"/>
    <col min="118" max="118" width="8.5703125" style="322" hidden="1" customWidth="1"/>
    <col min="119" max="119" width="8.42578125" style="322" hidden="1" customWidth="1"/>
    <col min="120" max="120" width="11" style="322" hidden="1" customWidth="1"/>
    <col min="121" max="121" width="9" style="322" hidden="1" customWidth="1"/>
    <col min="122" max="125" width="6.7109375" style="322" hidden="1" customWidth="1"/>
    <col min="126" max="126" width="7" style="322" hidden="1" customWidth="1"/>
    <col min="127" max="127" width="9.28515625" style="322" hidden="1" customWidth="1"/>
    <col min="128" max="128" width="8.5703125" style="647" hidden="1" customWidth="1"/>
    <col min="129" max="129" width="9.140625" style="651" customWidth="1"/>
    <col min="130" max="130" width="13.42578125" style="329" customWidth="1"/>
    <col min="131" max="131" width="12.28515625" style="329" customWidth="1"/>
    <col min="132" max="132" width="9.140625" style="322" customWidth="1"/>
    <col min="133" max="133" width="11.7109375" style="322" customWidth="1"/>
    <col min="134" max="134" width="9.140625" style="322" customWidth="1"/>
    <col min="135" max="135" width="10.140625" style="322" customWidth="1"/>
    <col min="136" max="136" width="11.7109375" style="322" customWidth="1"/>
    <col min="137" max="137" width="9.5703125" style="322" customWidth="1"/>
    <col min="138" max="138" width="9.42578125" style="322" customWidth="1"/>
    <col min="139" max="139" width="9.140625" style="322" customWidth="1"/>
    <col min="140" max="140" width="9.42578125" style="322" customWidth="1"/>
    <col min="141" max="141" width="9.140625" style="322" customWidth="1"/>
    <col min="142" max="142" width="11.85546875" style="322" customWidth="1"/>
    <col min="143" max="143" width="9.140625" style="322" customWidth="1"/>
    <col min="144" max="144" width="9.42578125" style="322" customWidth="1"/>
    <col min="145" max="145" width="9.140625" style="322" customWidth="1"/>
    <col min="146" max="146" width="10.7109375" style="322" customWidth="1"/>
    <col min="147" max="147" width="9.140625" style="322" customWidth="1"/>
    <col min="148" max="148" width="11.7109375" style="322" customWidth="1"/>
    <col min="149" max="149" width="9.85546875" style="322" customWidth="1"/>
    <col min="150" max="150" width="10.85546875" style="322" customWidth="1"/>
    <col min="151" max="151" width="9.140625" style="322" customWidth="1"/>
    <col min="152" max="152" width="10.5703125" style="322" customWidth="1"/>
    <col min="153" max="153" width="9.140625" style="322" customWidth="1"/>
    <col min="154" max="154" width="9.42578125" style="322" customWidth="1"/>
    <col min="155" max="155" width="9.140625" style="322" customWidth="1"/>
    <col min="156" max="156" width="7.85546875" style="322" customWidth="1"/>
    <col min="157" max="157" width="9.140625" style="322" customWidth="1"/>
    <col min="158" max="158" width="9.42578125" style="322" customWidth="1"/>
    <col min="159" max="159" width="9.140625" style="322" customWidth="1"/>
    <col min="160" max="160" width="7.28515625" style="322" customWidth="1"/>
    <col min="161" max="161" width="9.140625" style="322" customWidth="1"/>
    <col min="162" max="162" width="6.5703125" style="322" customWidth="1"/>
    <col min="163" max="163" width="9.140625" style="322" customWidth="1"/>
    <col min="164" max="164" width="9.85546875" style="322" customWidth="1"/>
    <col min="165" max="165" width="9.140625" style="322" customWidth="1"/>
    <col min="166" max="166" width="8.5703125" style="322" customWidth="1"/>
    <col min="167" max="167" width="9.140625" style="322" customWidth="1"/>
    <col min="168" max="168" width="12.42578125" style="322" customWidth="1"/>
    <col min="169" max="169" width="9.42578125" style="322" customWidth="1"/>
    <col min="170" max="170" width="12.28515625" style="322" customWidth="1"/>
    <col min="171" max="171" width="9.140625" style="322" customWidth="1"/>
    <col min="172" max="172" width="8.28515625" style="649" customWidth="1"/>
    <col min="173" max="174" width="9.140625" style="649" customWidth="1"/>
    <col min="175" max="175" width="10.7109375" style="649" customWidth="1"/>
    <col min="176" max="176" width="9.140625" style="649" customWidth="1"/>
    <col min="177" max="177" width="6.7109375" style="649" customWidth="1"/>
    <col min="178" max="178" width="8.42578125" style="649" customWidth="1"/>
    <col min="179" max="179" width="8.5703125" style="649" customWidth="1"/>
    <col min="180" max="181" width="6.7109375" style="649" customWidth="1"/>
    <col min="182" max="182" width="6.7109375" style="1129" customWidth="1"/>
    <col min="183" max="183" width="6.7109375" style="649" customWidth="1"/>
    <col min="184" max="184" width="7.28515625" style="322" customWidth="1"/>
    <col min="185" max="185" width="6.7109375" style="322" customWidth="1"/>
    <col min="186" max="186" width="9.28515625" style="322" customWidth="1"/>
    <col min="187" max="187" width="12.28515625" style="322" customWidth="1"/>
    <col min="188" max="188" width="23.140625" style="322" customWidth="1"/>
    <col min="189" max="189" width="14" style="322" customWidth="1"/>
    <col min="190" max="190" width="15.28515625" style="322" customWidth="1"/>
    <col min="191" max="191" width="15.140625" style="322" customWidth="1"/>
    <col min="192" max="245" width="9.140625" style="322" customWidth="1"/>
    <col min="246" max="16384" width="9.140625" style="322"/>
  </cols>
  <sheetData>
    <row r="1" spans="1:205" s="693" customFormat="1">
      <c r="A1" s="672"/>
      <c r="B1" s="673"/>
      <c r="C1" s="674"/>
      <c r="D1" s="675"/>
      <c r="E1" s="676"/>
      <c r="F1" s="677"/>
      <c r="G1" s="678"/>
      <c r="H1" s="679" t="s">
        <v>815</v>
      </c>
      <c r="I1" s="680"/>
      <c r="J1" s="674"/>
      <c r="K1" s="674"/>
      <c r="L1" s="674"/>
      <c r="M1" s="674"/>
      <c r="N1" s="674"/>
      <c r="O1" s="674"/>
      <c r="P1" s="674"/>
      <c r="Q1" s="674"/>
      <c r="R1" s="681"/>
      <c r="S1" s="2716" t="s">
        <v>815</v>
      </c>
      <c r="T1" s="2716"/>
      <c r="U1" s="2716"/>
      <c r="V1" s="2716"/>
      <c r="W1" s="2716"/>
      <c r="X1" s="2716"/>
      <c r="Y1" s="2716"/>
      <c r="Z1" s="2716"/>
      <c r="AA1" s="2716"/>
      <c r="AB1" s="2716"/>
      <c r="AC1" s="2716"/>
      <c r="AD1" s="2716"/>
      <c r="AE1" s="2716"/>
      <c r="AF1" s="2716"/>
      <c r="AG1" s="2716"/>
      <c r="AH1" s="2716"/>
      <c r="AI1" s="2716"/>
      <c r="AJ1" s="2716"/>
      <c r="AK1" s="2716"/>
      <c r="AL1" s="2716"/>
      <c r="AM1" s="2716"/>
      <c r="AN1" s="2716"/>
      <c r="AO1" s="2716"/>
      <c r="AP1" s="682"/>
      <c r="AQ1" s="14"/>
      <c r="AR1" s="682"/>
      <c r="AS1" s="14"/>
      <c r="AT1" s="682"/>
      <c r="AU1" s="14"/>
      <c r="AV1" s="682"/>
      <c r="AW1" s="14"/>
      <c r="AX1" s="14"/>
      <c r="AY1" s="14"/>
      <c r="AZ1" s="14"/>
      <c r="BA1" s="14"/>
      <c r="BB1" s="14"/>
      <c r="BC1" s="14"/>
      <c r="BD1" s="682"/>
      <c r="BE1" s="14"/>
      <c r="BF1" s="682"/>
      <c r="BG1" s="14"/>
      <c r="BH1" s="682"/>
      <c r="BI1" s="14"/>
      <c r="BJ1" s="14"/>
      <c r="BK1" s="14"/>
      <c r="BL1" s="14"/>
      <c r="BM1" s="14"/>
      <c r="BN1" s="14"/>
      <c r="BO1" s="14"/>
      <c r="BP1" s="14"/>
      <c r="BQ1" s="14"/>
      <c r="BR1" s="14"/>
      <c r="BS1" s="14"/>
      <c r="BT1" s="682"/>
      <c r="BU1" s="14"/>
      <c r="BV1" s="683"/>
      <c r="BW1" s="2717" t="s">
        <v>815</v>
      </c>
      <c r="BX1" s="2716"/>
      <c r="BY1" s="2716"/>
      <c r="BZ1" s="2716"/>
      <c r="CA1" s="2716"/>
      <c r="CB1" s="2716"/>
      <c r="CC1" s="2716"/>
      <c r="CD1" s="2716"/>
      <c r="CE1" s="2716"/>
      <c r="CF1" s="2716"/>
      <c r="CG1" s="2716"/>
      <c r="CH1" s="2716"/>
      <c r="CI1" s="2716"/>
      <c r="CJ1" s="2716"/>
      <c r="CK1" s="2716"/>
      <c r="CL1" s="2716"/>
      <c r="CM1" s="2716"/>
      <c r="CN1" s="2716"/>
      <c r="CO1" s="2716"/>
      <c r="CP1" s="684"/>
      <c r="CQ1" s="684"/>
      <c r="CR1" s="685"/>
      <c r="CS1" s="685"/>
      <c r="CT1" s="685"/>
      <c r="CU1" s="685"/>
      <c r="CV1" s="685"/>
      <c r="CW1" s="684"/>
      <c r="CX1" s="685"/>
      <c r="CY1" s="685"/>
      <c r="CZ1" s="685"/>
      <c r="DA1" s="685"/>
      <c r="DB1" s="685"/>
      <c r="DC1" s="685"/>
      <c r="DD1" s="685"/>
      <c r="DE1" s="684"/>
      <c r="DF1" s="685"/>
      <c r="DG1" s="684"/>
      <c r="DH1" s="676"/>
      <c r="DI1" s="684"/>
      <c r="DJ1" s="676"/>
      <c r="DK1" s="676"/>
      <c r="DL1" s="686"/>
      <c r="DM1" s="686"/>
      <c r="DN1" s="686"/>
      <c r="DO1" s="686"/>
      <c r="DP1" s="686"/>
      <c r="DQ1" s="686"/>
      <c r="DR1" s="686"/>
      <c r="DS1" s="686"/>
      <c r="DT1" s="686"/>
      <c r="DU1" s="686"/>
      <c r="DV1" s="676"/>
      <c r="DW1" s="684"/>
      <c r="DX1" s="676"/>
      <c r="DY1" s="687"/>
      <c r="DZ1" s="688" t="s">
        <v>815</v>
      </c>
      <c r="EA1" s="687"/>
      <c r="EB1" s="689"/>
      <c r="EC1" s="684"/>
      <c r="ED1" s="689"/>
      <c r="EE1" s="689"/>
      <c r="EF1" s="684"/>
      <c r="EG1" s="689"/>
      <c r="EH1" s="684"/>
      <c r="EI1" s="689"/>
      <c r="EJ1" s="684"/>
      <c r="EK1" s="689"/>
      <c r="EL1" s="684"/>
      <c r="EM1" s="689"/>
      <c r="EN1" s="684"/>
      <c r="EO1" s="689"/>
      <c r="EP1" s="684"/>
      <c r="EQ1" s="689"/>
      <c r="ER1" s="684"/>
      <c r="ES1" s="689"/>
      <c r="ET1" s="684"/>
      <c r="EU1" s="689"/>
      <c r="EV1" s="684"/>
      <c r="EW1" s="676"/>
      <c r="EX1" s="684"/>
      <c r="EY1" s="676"/>
      <c r="EZ1" s="684"/>
      <c r="FA1" s="676"/>
      <c r="FB1" s="684"/>
      <c r="FC1" s="676"/>
      <c r="FD1" s="684"/>
      <c r="FE1" s="676"/>
      <c r="FF1" s="684"/>
      <c r="FG1" s="676"/>
      <c r="FH1" s="684"/>
      <c r="FI1" s="676"/>
      <c r="FJ1" s="684"/>
      <c r="FK1" s="676"/>
      <c r="FL1" s="684"/>
      <c r="FM1" s="690"/>
      <c r="FN1" s="684"/>
      <c r="FO1" s="676"/>
      <c r="FP1" s="684"/>
      <c r="FQ1" s="676"/>
      <c r="FR1" s="676"/>
      <c r="FS1" s="676"/>
      <c r="FT1" s="676"/>
      <c r="FU1" s="676"/>
      <c r="FV1" s="676"/>
      <c r="FW1" s="676"/>
      <c r="FX1" s="691"/>
      <c r="FY1" s="691"/>
      <c r="FZ1" s="686"/>
      <c r="GA1" s="686"/>
      <c r="GB1" s="684"/>
      <c r="GC1" s="692"/>
      <c r="GD1" s="139"/>
      <c r="GE1" s="139"/>
      <c r="GF1" s="139"/>
      <c r="GG1" s="139"/>
      <c r="GH1" s="139"/>
      <c r="GI1" s="139"/>
      <c r="GJ1" s="139"/>
      <c r="GK1" s="139"/>
      <c r="GL1" s="139"/>
      <c r="GM1" s="139"/>
      <c r="GN1" s="139"/>
      <c r="GO1" s="139"/>
      <c r="GP1" s="139"/>
      <c r="GQ1" s="139"/>
      <c r="GR1" s="139"/>
      <c r="GS1" s="139"/>
      <c r="GT1" s="139"/>
      <c r="GU1" s="139"/>
      <c r="GV1" s="139"/>
      <c r="GW1" s="322"/>
    </row>
    <row r="2" spans="1:205" s="693" customFormat="1">
      <c r="A2" s="672"/>
      <c r="B2" s="3692" t="s">
        <v>614</v>
      </c>
      <c r="C2" s="694"/>
      <c r="D2" s="695" t="s">
        <v>609</v>
      </c>
      <c r="E2" s="696"/>
      <c r="F2" s="697"/>
      <c r="G2" s="698"/>
      <c r="H2" s="699" t="s">
        <v>610</v>
      </c>
      <c r="I2" s="700"/>
      <c r="J2" s="699"/>
      <c r="K2" s="699"/>
      <c r="L2" s="699"/>
      <c r="M2" s="699"/>
      <c r="N2" s="699"/>
      <c r="O2" s="699"/>
      <c r="P2" s="699"/>
      <c r="Q2" s="699"/>
      <c r="R2" s="701"/>
      <c r="S2" s="2719" t="s">
        <v>611</v>
      </c>
      <c r="T2" s="2720"/>
      <c r="U2" s="2720"/>
      <c r="V2" s="2720"/>
      <c r="W2" s="2720"/>
      <c r="X2" s="2720"/>
      <c r="Y2" s="2720"/>
      <c r="Z2" s="2720"/>
      <c r="AA2" s="2720"/>
      <c r="AB2" s="2720"/>
      <c r="AC2" s="2720"/>
      <c r="AD2" s="2720"/>
      <c r="AE2" s="2720"/>
      <c r="AF2" s="2720"/>
      <c r="AG2" s="2720"/>
      <c r="AH2" s="2720"/>
      <c r="AI2" s="2720"/>
      <c r="AJ2" s="2720"/>
      <c r="AK2" s="2720"/>
      <c r="AL2" s="2720"/>
      <c r="AM2" s="2720"/>
      <c r="AN2" s="2720"/>
      <c r="AO2" s="2720"/>
      <c r="AP2" s="2720"/>
      <c r="AQ2" s="2720"/>
      <c r="AR2" s="2720"/>
      <c r="AS2" s="2720"/>
      <c r="AT2" s="2720"/>
      <c r="AU2" s="2720"/>
      <c r="AV2" s="2720"/>
      <c r="AW2" s="2720"/>
      <c r="AX2" s="2720"/>
      <c r="AY2" s="2720"/>
      <c r="AZ2" s="2720"/>
      <c r="BA2" s="2720"/>
      <c r="BB2" s="2720"/>
      <c r="BC2" s="2720"/>
      <c r="BD2" s="2720"/>
      <c r="BE2" s="2720"/>
      <c r="BF2" s="2720"/>
      <c r="BG2" s="2720"/>
      <c r="BH2" s="2720"/>
      <c r="BI2" s="2720"/>
      <c r="BJ2" s="2720"/>
      <c r="BK2" s="2720"/>
      <c r="BL2" s="2720"/>
      <c r="BM2" s="2720"/>
      <c r="BN2" s="2720"/>
      <c r="BO2" s="2720"/>
      <c r="BP2" s="2720"/>
      <c r="BQ2" s="2720"/>
      <c r="BR2" s="2720"/>
      <c r="BS2" s="2720"/>
      <c r="BT2" s="2720"/>
      <c r="BU2" s="2720"/>
      <c r="BV2" s="2721"/>
      <c r="BW2" s="2296" t="s">
        <v>612</v>
      </c>
      <c r="BX2" s="2296"/>
      <c r="BY2" s="2296"/>
      <c r="BZ2" s="2296"/>
      <c r="CA2" s="2296"/>
      <c r="CB2" s="2296"/>
      <c r="CC2" s="702"/>
      <c r="CD2" s="702"/>
      <c r="CE2" s="2296"/>
      <c r="CF2" s="2296"/>
      <c r="CG2" s="2296"/>
      <c r="CH2" s="2296"/>
      <c r="CI2" s="2296"/>
      <c r="CJ2" s="2296"/>
      <c r="CK2" s="2296"/>
      <c r="CL2" s="2296"/>
      <c r="CM2" s="2296"/>
      <c r="CN2" s="2296"/>
      <c r="CO2" s="2296"/>
      <c r="CP2" s="2296"/>
      <c r="CQ2" s="2296"/>
      <c r="CR2" s="2296"/>
      <c r="CS2" s="2296"/>
      <c r="CT2" s="2296"/>
      <c r="CU2" s="2296"/>
      <c r="CV2" s="2296"/>
      <c r="CW2" s="2296"/>
      <c r="CX2" s="2296"/>
      <c r="CY2" s="2296"/>
      <c r="CZ2" s="2296"/>
      <c r="DA2" s="2296"/>
      <c r="DB2" s="2296"/>
      <c r="DC2" s="2296"/>
      <c r="DD2" s="2296"/>
      <c r="DE2" s="2296"/>
      <c r="DF2" s="2296"/>
      <c r="DG2" s="2296"/>
      <c r="DH2" s="2296"/>
      <c r="DI2" s="2285"/>
      <c r="DJ2" s="2285"/>
      <c r="DK2" s="2296"/>
      <c r="DL2" s="2296"/>
      <c r="DM2" s="2296"/>
      <c r="DN2" s="2296"/>
      <c r="DO2" s="2296"/>
      <c r="DP2" s="2296"/>
      <c r="DQ2" s="2296"/>
      <c r="DR2" s="2296"/>
      <c r="DS2" s="2296"/>
      <c r="DT2" s="2296"/>
      <c r="DU2" s="2296"/>
      <c r="DV2" s="2296"/>
      <c r="DW2" s="703"/>
      <c r="DX2" s="703"/>
      <c r="DY2" s="704"/>
      <c r="DZ2" s="705" t="s">
        <v>613</v>
      </c>
      <c r="EA2" s="704"/>
      <c r="EB2" s="2296"/>
      <c r="EC2" s="2296"/>
      <c r="ED2" s="2296"/>
      <c r="EE2" s="2296"/>
      <c r="EF2" s="2296"/>
      <c r="EG2" s="2296"/>
      <c r="EH2" s="2296"/>
      <c r="EI2" s="2296"/>
      <c r="EJ2" s="2296"/>
      <c r="EK2" s="2296"/>
      <c r="EL2" s="2296"/>
      <c r="EM2" s="2296"/>
      <c r="EN2" s="2296"/>
      <c r="EO2" s="2296"/>
      <c r="EP2" s="2296"/>
      <c r="EQ2" s="2296"/>
      <c r="ER2" s="2296"/>
      <c r="ES2" s="2296"/>
      <c r="ET2" s="2296"/>
      <c r="EU2" s="2296"/>
      <c r="EV2" s="2296"/>
      <c r="EW2" s="2296"/>
      <c r="EX2" s="2296"/>
      <c r="EY2" s="2296"/>
      <c r="EZ2" s="2296"/>
      <c r="FA2" s="2296"/>
      <c r="FB2" s="2296"/>
      <c r="FC2" s="2296"/>
      <c r="FD2" s="2296"/>
      <c r="FE2" s="2296"/>
      <c r="FF2" s="2296"/>
      <c r="FG2" s="2296"/>
      <c r="FH2" s="2296"/>
      <c r="FI2" s="2296"/>
      <c r="FJ2" s="2296"/>
      <c r="FK2" s="2296"/>
      <c r="FL2" s="2296"/>
      <c r="FM2" s="2296"/>
      <c r="FN2" s="2296"/>
      <c r="FO2" s="2296"/>
      <c r="FP2" s="2296"/>
      <c r="FQ2" s="2296"/>
      <c r="FR2" s="2296"/>
      <c r="FS2" s="2296"/>
      <c r="FT2" s="2296"/>
      <c r="FU2" s="2296"/>
      <c r="FV2" s="2296"/>
      <c r="FW2" s="2296"/>
      <c r="FX2" s="2296"/>
      <c r="FY2" s="2296"/>
      <c r="FZ2" s="2296"/>
      <c r="GA2" s="2296"/>
      <c r="GB2" s="2296"/>
      <c r="GC2" s="706"/>
      <c r="GD2" s="139"/>
      <c r="GE2" s="139"/>
      <c r="GF2" s="139"/>
      <c r="GG2" s="139"/>
      <c r="GH2" s="139"/>
      <c r="GI2" s="139"/>
      <c r="GJ2" s="139"/>
      <c r="GK2" s="139"/>
      <c r="GL2" s="139"/>
      <c r="GM2" s="139"/>
      <c r="GN2" s="139"/>
      <c r="GO2" s="139"/>
      <c r="GP2" s="139"/>
      <c r="GQ2" s="139"/>
      <c r="GR2" s="139"/>
      <c r="GS2" s="139"/>
      <c r="GT2" s="139"/>
      <c r="GU2" s="139"/>
      <c r="GV2" s="139"/>
      <c r="GW2" s="322"/>
    </row>
    <row r="3" spans="1:205" s="737" customFormat="1" ht="49.5" customHeight="1" thickBot="1">
      <c r="A3" s="707" t="s">
        <v>816</v>
      </c>
      <c r="B3" s="2718"/>
      <c r="C3" s="708"/>
      <c r="D3" s="709" t="s">
        <v>615</v>
      </c>
      <c r="E3" s="710" t="s">
        <v>616</v>
      </c>
      <c r="F3" s="711" t="s">
        <v>1</v>
      </c>
      <c r="G3" s="712" t="s">
        <v>617</v>
      </c>
      <c r="H3" s="710" t="s">
        <v>618</v>
      </c>
      <c r="I3" s="53" t="s">
        <v>619</v>
      </c>
      <c r="J3" s="710" t="s">
        <v>620</v>
      </c>
      <c r="K3" s="710" t="s">
        <v>621</v>
      </c>
      <c r="L3" s="57" t="s">
        <v>622</v>
      </c>
      <c r="M3" s="710" t="s">
        <v>623</v>
      </c>
      <c r="N3" s="53" t="s">
        <v>624</v>
      </c>
      <c r="O3" s="57" t="s">
        <v>625</v>
      </c>
      <c r="P3" s="57" t="s">
        <v>626</v>
      </c>
      <c r="Q3" s="53" t="s">
        <v>627</v>
      </c>
      <c r="R3" s="712" t="s">
        <v>628</v>
      </c>
      <c r="S3" s="713"/>
      <c r="T3" s="53" t="s">
        <v>629</v>
      </c>
      <c r="U3" s="53" t="s">
        <v>629</v>
      </c>
      <c r="V3" s="53" t="s">
        <v>817</v>
      </c>
      <c r="W3" s="53" t="s">
        <v>817</v>
      </c>
      <c r="X3" s="53" t="s">
        <v>818</v>
      </c>
      <c r="Y3" s="53" t="s">
        <v>818</v>
      </c>
      <c r="Z3" s="53" t="s">
        <v>634</v>
      </c>
      <c r="AA3" s="53" t="s">
        <v>634</v>
      </c>
      <c r="AB3" s="53" t="s">
        <v>635</v>
      </c>
      <c r="AC3" s="53" t="s">
        <v>635</v>
      </c>
      <c r="AD3" s="53" t="s">
        <v>638</v>
      </c>
      <c r="AE3" s="53" t="s">
        <v>638</v>
      </c>
      <c r="AF3" s="53" t="s">
        <v>640</v>
      </c>
      <c r="AG3" s="53" t="s">
        <v>641</v>
      </c>
      <c r="AH3" s="53" t="s">
        <v>643</v>
      </c>
      <c r="AI3" s="53" t="s">
        <v>644</v>
      </c>
      <c r="AJ3" s="53" t="s">
        <v>644</v>
      </c>
      <c r="AK3" s="53" t="s">
        <v>819</v>
      </c>
      <c r="AL3" s="53" t="s">
        <v>819</v>
      </c>
      <c r="AM3" s="714" t="s">
        <v>645</v>
      </c>
      <c r="AN3" s="53" t="s">
        <v>646</v>
      </c>
      <c r="AO3" s="53" t="s">
        <v>646</v>
      </c>
      <c r="AP3" s="53" t="s">
        <v>647</v>
      </c>
      <c r="AQ3" s="53" t="s">
        <v>647</v>
      </c>
      <c r="AR3" s="53" t="s">
        <v>648</v>
      </c>
      <c r="AS3" s="53" t="s">
        <v>648</v>
      </c>
      <c r="AT3" s="53" t="s">
        <v>649</v>
      </c>
      <c r="AU3" s="53" t="s">
        <v>649</v>
      </c>
      <c r="AV3" s="53" t="s">
        <v>820</v>
      </c>
      <c r="AW3" s="53" t="s">
        <v>820</v>
      </c>
      <c r="AX3" s="53" t="s">
        <v>651</v>
      </c>
      <c r="AY3" s="53" t="s">
        <v>652</v>
      </c>
      <c r="AZ3" s="53" t="s">
        <v>653</v>
      </c>
      <c r="BA3" s="53" t="s">
        <v>654</v>
      </c>
      <c r="BB3" s="53" t="s">
        <v>655</v>
      </c>
      <c r="BC3" s="49" t="s">
        <v>656</v>
      </c>
      <c r="BD3" s="53" t="s">
        <v>627</v>
      </c>
      <c r="BE3" s="53" t="s">
        <v>627</v>
      </c>
      <c r="BF3" s="53" t="s">
        <v>821</v>
      </c>
      <c r="BG3" s="53" t="s">
        <v>821</v>
      </c>
      <c r="BH3" s="53" t="s">
        <v>822</v>
      </c>
      <c r="BI3" s="53" t="s">
        <v>823</v>
      </c>
      <c r="BJ3" s="53" t="s">
        <v>659</v>
      </c>
      <c r="BK3" s="53" t="s">
        <v>660</v>
      </c>
      <c r="BL3" s="54" t="s">
        <v>661</v>
      </c>
      <c r="BM3" s="54" t="s">
        <v>662</v>
      </c>
      <c r="BN3" s="54" t="s">
        <v>663</v>
      </c>
      <c r="BO3" s="54" t="s">
        <v>690</v>
      </c>
      <c r="BP3" s="54" t="s">
        <v>665</v>
      </c>
      <c r="BQ3" s="54" t="s">
        <v>824</v>
      </c>
      <c r="BR3" s="54" t="s">
        <v>667</v>
      </c>
      <c r="BS3" s="54" t="s">
        <v>668</v>
      </c>
      <c r="BT3" s="55" t="s">
        <v>669</v>
      </c>
      <c r="BU3" s="55" t="s">
        <v>669</v>
      </c>
      <c r="BV3" s="715" t="s">
        <v>670</v>
      </c>
      <c r="BW3" s="716" t="s">
        <v>671</v>
      </c>
      <c r="BX3" s="717" t="s">
        <v>825</v>
      </c>
      <c r="BY3" s="710" t="s">
        <v>673</v>
      </c>
      <c r="BZ3" s="713" t="s">
        <v>674</v>
      </c>
      <c r="CA3" s="710" t="s">
        <v>675</v>
      </c>
      <c r="CB3" s="718"/>
      <c r="CC3" s="719" t="s">
        <v>629</v>
      </c>
      <c r="CD3" s="720" t="s">
        <v>826</v>
      </c>
      <c r="CE3" s="710" t="s">
        <v>677</v>
      </c>
      <c r="CF3" s="710" t="s">
        <v>677</v>
      </c>
      <c r="CG3" s="53" t="s">
        <v>827</v>
      </c>
      <c r="CH3" s="53" t="s">
        <v>827</v>
      </c>
      <c r="CI3" s="57" t="s">
        <v>634</v>
      </c>
      <c r="CJ3" s="57" t="s">
        <v>634</v>
      </c>
      <c r="CK3" s="57" t="s">
        <v>635</v>
      </c>
      <c r="CL3" s="57" t="s">
        <v>635</v>
      </c>
      <c r="CM3" s="721" t="s">
        <v>828</v>
      </c>
      <c r="CN3" s="721" t="s">
        <v>828</v>
      </c>
      <c r="CO3" s="722" t="s">
        <v>638</v>
      </c>
      <c r="CP3" s="722" t="s">
        <v>643</v>
      </c>
      <c r="CQ3" s="723" t="s">
        <v>682</v>
      </c>
      <c r="CR3" s="723" t="s">
        <v>682</v>
      </c>
      <c r="CS3" s="722" t="s">
        <v>646</v>
      </c>
      <c r="CT3" s="722" t="s">
        <v>647</v>
      </c>
      <c r="CU3" s="722" t="s">
        <v>648</v>
      </c>
      <c r="CV3" s="722" t="s">
        <v>649</v>
      </c>
      <c r="CW3" s="723" t="s">
        <v>697</v>
      </c>
      <c r="CX3" s="723" t="s">
        <v>697</v>
      </c>
      <c r="CY3" s="722" t="s">
        <v>651</v>
      </c>
      <c r="CZ3" s="722" t="s">
        <v>652</v>
      </c>
      <c r="DA3" s="722" t="s">
        <v>653</v>
      </c>
      <c r="DB3" s="722" t="s">
        <v>654</v>
      </c>
      <c r="DC3" s="722" t="s">
        <v>655</v>
      </c>
      <c r="DD3" s="722" t="s">
        <v>829</v>
      </c>
      <c r="DE3" s="723" t="s">
        <v>627</v>
      </c>
      <c r="DF3" s="723" t="s">
        <v>627</v>
      </c>
      <c r="DG3" s="717" t="s">
        <v>683</v>
      </c>
      <c r="DH3" s="54" t="s">
        <v>683</v>
      </c>
      <c r="DI3" s="724" t="s">
        <v>830</v>
      </c>
      <c r="DJ3" s="725" t="s">
        <v>830</v>
      </c>
      <c r="DK3" s="726" t="s">
        <v>659</v>
      </c>
      <c r="DL3" s="714" t="s">
        <v>660</v>
      </c>
      <c r="DM3" s="725" t="s">
        <v>661</v>
      </c>
      <c r="DN3" s="725" t="s">
        <v>687</v>
      </c>
      <c r="DO3" s="727" t="s">
        <v>688</v>
      </c>
      <c r="DP3" s="727" t="s">
        <v>689</v>
      </c>
      <c r="DQ3" s="728" t="s">
        <v>663</v>
      </c>
      <c r="DR3" s="725" t="s">
        <v>690</v>
      </c>
      <c r="DS3" s="727" t="s">
        <v>665</v>
      </c>
      <c r="DT3" s="728" t="s">
        <v>701</v>
      </c>
      <c r="DU3" s="725" t="s">
        <v>667</v>
      </c>
      <c r="DV3" s="725" t="s">
        <v>668</v>
      </c>
      <c r="DW3" s="725" t="s">
        <v>669</v>
      </c>
      <c r="DX3" s="725" t="s">
        <v>669</v>
      </c>
      <c r="DY3" s="729" t="s">
        <v>692</v>
      </c>
      <c r="DZ3" s="730" t="s">
        <v>629</v>
      </c>
      <c r="EA3" s="710" t="s">
        <v>831</v>
      </c>
      <c r="EB3" s="710" t="s">
        <v>831</v>
      </c>
      <c r="EC3" s="57" t="s">
        <v>694</v>
      </c>
      <c r="ED3" s="57" t="s">
        <v>694</v>
      </c>
      <c r="EE3" s="57" t="s">
        <v>694</v>
      </c>
      <c r="EF3" s="53" t="s">
        <v>832</v>
      </c>
      <c r="EG3" s="53" t="s">
        <v>832</v>
      </c>
      <c r="EH3" s="57" t="s">
        <v>696</v>
      </c>
      <c r="EI3" s="57" t="s">
        <v>696</v>
      </c>
      <c r="EJ3" s="57" t="s">
        <v>634</v>
      </c>
      <c r="EK3" s="57" t="s">
        <v>634</v>
      </c>
      <c r="EL3" s="53" t="s">
        <v>638</v>
      </c>
      <c r="EM3" s="53" t="s">
        <v>638</v>
      </c>
      <c r="EN3" s="710" t="s">
        <v>643</v>
      </c>
      <c r="EO3" s="710" t="s">
        <v>643</v>
      </c>
      <c r="EP3" s="53" t="s">
        <v>682</v>
      </c>
      <c r="EQ3" s="53" t="s">
        <v>682</v>
      </c>
      <c r="ER3" s="710" t="s">
        <v>646</v>
      </c>
      <c r="ES3" s="710" t="s">
        <v>646</v>
      </c>
      <c r="ET3" s="57" t="s">
        <v>647</v>
      </c>
      <c r="EU3" s="57" t="s">
        <v>647</v>
      </c>
      <c r="EV3" s="53" t="s">
        <v>648</v>
      </c>
      <c r="EW3" s="53" t="s">
        <v>648</v>
      </c>
      <c r="EX3" s="53" t="s">
        <v>649</v>
      </c>
      <c r="EY3" s="53" t="s">
        <v>649</v>
      </c>
      <c r="EZ3" s="53" t="s">
        <v>651</v>
      </c>
      <c r="FA3" s="53" t="s">
        <v>651</v>
      </c>
      <c r="FB3" s="57" t="s">
        <v>652</v>
      </c>
      <c r="FC3" s="57" t="s">
        <v>652</v>
      </c>
      <c r="FD3" s="53" t="s">
        <v>653</v>
      </c>
      <c r="FE3" s="53" t="s">
        <v>653</v>
      </c>
      <c r="FF3" s="53" t="s">
        <v>654</v>
      </c>
      <c r="FG3" s="53" t="s">
        <v>654</v>
      </c>
      <c r="FH3" s="710" t="s">
        <v>655</v>
      </c>
      <c r="FI3" s="710" t="s">
        <v>655</v>
      </c>
      <c r="FJ3" s="57" t="s">
        <v>697</v>
      </c>
      <c r="FK3" s="57" t="s">
        <v>697</v>
      </c>
      <c r="FL3" s="53" t="s">
        <v>627</v>
      </c>
      <c r="FM3" s="53" t="s">
        <v>627</v>
      </c>
      <c r="FN3" s="731" t="s">
        <v>833</v>
      </c>
      <c r="FO3" s="731" t="s">
        <v>833</v>
      </c>
      <c r="FP3" s="732" t="s">
        <v>834</v>
      </c>
      <c r="FQ3" s="732" t="s">
        <v>834</v>
      </c>
      <c r="FR3" s="710" t="s">
        <v>659</v>
      </c>
      <c r="FS3" s="710" t="s">
        <v>660</v>
      </c>
      <c r="FT3" s="728" t="s">
        <v>661</v>
      </c>
      <c r="FU3" s="728" t="s">
        <v>699</v>
      </c>
      <c r="FV3" s="728" t="s">
        <v>688</v>
      </c>
      <c r="FW3" s="728" t="s">
        <v>663</v>
      </c>
      <c r="FX3" s="728" t="s">
        <v>665</v>
      </c>
      <c r="FY3" s="728" t="s">
        <v>701</v>
      </c>
      <c r="FZ3" s="728" t="s">
        <v>667</v>
      </c>
      <c r="GA3" s="728" t="s">
        <v>668</v>
      </c>
      <c r="GB3" s="728" t="s">
        <v>835</v>
      </c>
      <c r="GC3" s="733" t="s">
        <v>835</v>
      </c>
      <c r="GD3" s="734"/>
      <c r="GE3" s="735"/>
      <c r="GF3" s="735"/>
      <c r="GG3" s="735"/>
      <c r="GH3" s="735"/>
      <c r="GI3" s="735"/>
      <c r="GJ3" s="735"/>
      <c r="GK3" s="735"/>
      <c r="GL3" s="735"/>
      <c r="GM3" s="735"/>
      <c r="GN3" s="735"/>
      <c r="GO3" s="735"/>
      <c r="GP3" s="735"/>
      <c r="GQ3" s="735"/>
      <c r="GR3" s="735"/>
      <c r="GS3" s="735"/>
      <c r="GT3" s="735"/>
      <c r="GU3" s="735"/>
      <c r="GV3" s="735"/>
      <c r="GW3" s="736"/>
    </row>
    <row r="4" spans="1:205">
      <c r="B4" s="739"/>
      <c r="C4" s="740"/>
      <c r="D4" s="741"/>
      <c r="E4" s="741"/>
      <c r="F4" s="742"/>
      <c r="G4" s="743"/>
      <c r="H4" s="741"/>
      <c r="I4" s="741"/>
      <c r="J4" s="741"/>
      <c r="K4" s="741"/>
      <c r="L4" s="741"/>
      <c r="M4" s="741"/>
      <c r="N4" s="741"/>
      <c r="O4" s="741"/>
      <c r="P4" s="741"/>
      <c r="Q4" s="741"/>
      <c r="R4" s="744"/>
      <c r="S4" s="741"/>
      <c r="T4" s="745"/>
      <c r="U4" s="741"/>
      <c r="V4" s="741"/>
      <c r="W4" s="741"/>
      <c r="X4" s="741"/>
      <c r="Y4" s="741"/>
      <c r="Z4" s="741"/>
      <c r="AA4" s="741"/>
      <c r="AB4" s="741"/>
      <c r="AC4" s="741"/>
      <c r="AD4" s="741"/>
      <c r="AE4" s="741"/>
      <c r="AF4" s="741"/>
      <c r="AG4" s="741"/>
      <c r="AH4" s="741"/>
      <c r="AI4" s="741"/>
      <c r="AJ4" s="741"/>
      <c r="AK4" s="741"/>
      <c r="AL4" s="741"/>
      <c r="AM4" s="746"/>
      <c r="AN4" s="741"/>
      <c r="AO4" s="741"/>
      <c r="AP4" s="741"/>
      <c r="AQ4" s="741"/>
      <c r="AR4" s="741"/>
      <c r="AS4" s="741"/>
      <c r="AT4" s="741"/>
      <c r="AU4" s="741"/>
      <c r="AV4" s="741"/>
      <c r="AW4" s="741"/>
      <c r="AX4" s="741"/>
      <c r="AY4" s="741"/>
      <c r="AZ4" s="741"/>
      <c r="BA4" s="741"/>
      <c r="BB4" s="741"/>
      <c r="BC4" s="741"/>
      <c r="BD4" s="741"/>
      <c r="BE4" s="741"/>
      <c r="BF4" s="741"/>
      <c r="BG4" s="741"/>
      <c r="BH4" s="741"/>
      <c r="BI4" s="741"/>
      <c r="BJ4" s="741"/>
      <c r="BK4" s="741"/>
      <c r="BL4" s="747"/>
      <c r="BM4" s="747"/>
      <c r="BN4" s="747"/>
      <c r="BO4" s="747"/>
      <c r="BP4" s="747"/>
      <c r="BQ4" s="747"/>
      <c r="BR4" s="747"/>
      <c r="BS4" s="747"/>
      <c r="BT4" s="741"/>
      <c r="BU4" s="747"/>
      <c r="BV4" s="741"/>
      <c r="BW4" s="748"/>
      <c r="BX4" s="747"/>
      <c r="BY4" s="741"/>
      <c r="BZ4" s="741"/>
      <c r="CA4" s="749"/>
      <c r="CB4" s="750"/>
      <c r="CC4" s="751"/>
      <c r="CD4" s="751"/>
      <c r="CE4" s="741"/>
      <c r="CF4" s="741"/>
      <c r="CG4" s="741"/>
      <c r="CH4" s="741"/>
      <c r="CI4" s="741"/>
      <c r="CJ4" s="741"/>
      <c r="CK4" s="741"/>
      <c r="CL4" s="741"/>
      <c r="CM4" s="741"/>
      <c r="CN4" s="752"/>
      <c r="CO4" s="752"/>
      <c r="CP4" s="752"/>
      <c r="CQ4" s="741"/>
      <c r="CR4" s="752"/>
      <c r="CS4" s="752"/>
      <c r="CT4" s="752"/>
      <c r="CU4" s="752"/>
      <c r="CV4" s="752"/>
      <c r="CW4" s="741"/>
      <c r="CX4" s="752"/>
      <c r="CY4" s="752"/>
      <c r="CZ4" s="752"/>
      <c r="DA4" s="752"/>
      <c r="DB4" s="752"/>
      <c r="DC4" s="752"/>
      <c r="DD4" s="752"/>
      <c r="DE4" s="741"/>
      <c r="DF4" s="752"/>
      <c r="DG4" s="741"/>
      <c r="DH4" s="753"/>
      <c r="DI4" s="746"/>
      <c r="DJ4" s="754"/>
      <c r="DK4" s="741"/>
      <c r="DL4" s="741"/>
      <c r="DM4" s="747"/>
      <c r="DN4" s="747"/>
      <c r="DO4" s="747"/>
      <c r="DP4" s="747"/>
      <c r="DQ4" s="747"/>
      <c r="DR4" s="747"/>
      <c r="DS4" s="747"/>
      <c r="DT4" s="747"/>
      <c r="DU4" s="747"/>
      <c r="DV4" s="747"/>
      <c r="DW4" s="741"/>
      <c r="DX4" s="747"/>
      <c r="DY4" s="755"/>
      <c r="DZ4" s="756"/>
      <c r="EA4" s="756"/>
      <c r="EB4" s="757"/>
      <c r="EC4" s="741"/>
      <c r="ED4" s="757"/>
      <c r="EE4" s="757"/>
      <c r="EF4" s="741"/>
      <c r="EG4" s="757"/>
      <c r="EH4" s="741"/>
      <c r="EI4" s="757"/>
      <c r="EJ4" s="741"/>
      <c r="EK4" s="757"/>
      <c r="EL4" s="741"/>
      <c r="EM4" s="757"/>
      <c r="EN4" s="741"/>
      <c r="EO4" s="757"/>
      <c r="EP4" s="741"/>
      <c r="EQ4" s="757"/>
      <c r="ER4" s="741"/>
      <c r="ES4" s="757"/>
      <c r="ET4" s="741"/>
      <c r="EU4" s="757"/>
      <c r="EV4" s="741"/>
      <c r="EW4" s="757"/>
      <c r="EX4" s="741"/>
      <c r="EY4" s="757"/>
      <c r="EZ4" s="741"/>
      <c r="FA4" s="757"/>
      <c r="FB4" s="741"/>
      <c r="FC4" s="757"/>
      <c r="FD4" s="741"/>
      <c r="FE4" s="757"/>
      <c r="FF4" s="741"/>
      <c r="FG4" s="757"/>
      <c r="FH4" s="741"/>
      <c r="FI4" s="757"/>
      <c r="FJ4" s="741"/>
      <c r="FK4" s="757"/>
      <c r="FL4" s="741"/>
      <c r="FM4" s="757"/>
      <c r="FN4" s="741"/>
      <c r="FO4" s="758"/>
      <c r="FP4" s="741"/>
      <c r="FQ4" s="758"/>
      <c r="FR4" s="757"/>
      <c r="FS4" s="757"/>
      <c r="FT4" s="759"/>
      <c r="FU4" s="759"/>
      <c r="FV4" s="759"/>
      <c r="FW4" s="759"/>
      <c r="FX4" s="759"/>
      <c r="FY4" s="759"/>
      <c r="FZ4" s="759"/>
      <c r="GA4" s="760"/>
      <c r="GB4" s="761"/>
      <c r="GC4" s="762"/>
      <c r="GD4" s="747"/>
      <c r="GE4" s="139"/>
      <c r="GF4" s="139"/>
      <c r="GG4" s="139"/>
      <c r="GH4" s="139"/>
      <c r="GI4" s="139"/>
      <c r="GJ4" s="139"/>
      <c r="GK4" s="139"/>
      <c r="GL4" s="139"/>
      <c r="GM4" s="139"/>
      <c r="GN4" s="139"/>
      <c r="GO4" s="139"/>
      <c r="GP4" s="139"/>
      <c r="GQ4" s="139"/>
      <c r="GR4" s="139"/>
      <c r="GS4" s="139"/>
      <c r="GT4" s="139"/>
      <c r="GU4" s="139"/>
      <c r="GV4" s="139"/>
    </row>
    <row r="5" spans="1:205" s="127" customFormat="1" ht="15" customHeight="1">
      <c r="A5" s="2588"/>
      <c r="B5" s="2588">
        <v>1</v>
      </c>
      <c r="C5" s="115" t="s">
        <v>703</v>
      </c>
      <c r="D5" s="115">
        <v>3198</v>
      </c>
      <c r="E5" s="115">
        <v>77</v>
      </c>
      <c r="F5" s="763">
        <v>2031980077</v>
      </c>
      <c r="G5" s="120">
        <v>1745</v>
      </c>
      <c r="H5" s="115" t="s">
        <v>704</v>
      </c>
      <c r="I5" s="119"/>
      <c r="J5" s="115">
        <v>1.22</v>
      </c>
      <c r="K5" s="115">
        <v>0</v>
      </c>
      <c r="L5" s="115">
        <v>2</v>
      </c>
      <c r="M5" s="115">
        <v>6.5</v>
      </c>
      <c r="N5" s="117">
        <v>0</v>
      </c>
      <c r="O5" s="117">
        <v>0</v>
      </c>
      <c r="P5" s="117">
        <v>0</v>
      </c>
      <c r="Q5" s="117">
        <v>2136</v>
      </c>
      <c r="R5" s="120">
        <v>2</v>
      </c>
      <c r="S5" s="764" t="s">
        <v>836</v>
      </c>
      <c r="T5" s="2600">
        <f>SUM(U5:U7)</f>
        <v>4836</v>
      </c>
      <c r="U5" s="122">
        <v>2136</v>
      </c>
      <c r="V5" s="2600">
        <f>SUM(W5:W7)</f>
        <v>4268</v>
      </c>
      <c r="W5" s="122">
        <f>N5</f>
        <v>0</v>
      </c>
      <c r="X5" s="122"/>
      <c r="Y5" s="122">
        <f>W5-AA5</f>
        <v>0</v>
      </c>
      <c r="Z5" s="2600">
        <f>SUM(AA5:AA7)</f>
        <v>0</v>
      </c>
      <c r="AA5" s="122">
        <v>0</v>
      </c>
      <c r="AB5" s="2600">
        <f>SUM(AC5:AC7)</f>
        <v>0</v>
      </c>
      <c r="AC5" s="122">
        <v>0</v>
      </c>
      <c r="AD5" s="2600">
        <f>SUM(AE5:AE7)</f>
        <v>0</v>
      </c>
      <c r="AE5" s="122">
        <f>AG5+AF5</f>
        <v>0</v>
      </c>
      <c r="AF5" s="122">
        <v>0</v>
      </c>
      <c r="AG5" s="122">
        <v>0</v>
      </c>
      <c r="AH5" s="122">
        <v>0</v>
      </c>
      <c r="AI5" s="2600">
        <f>SUM(AJ5:AJ7)</f>
        <v>0</v>
      </c>
      <c r="AJ5" s="122">
        <v>0</v>
      </c>
      <c r="AK5" s="2600">
        <f>SUM(AL5:AL7)</f>
        <v>4268</v>
      </c>
      <c r="AL5" s="122">
        <f>W5-(AA5+AC5+AE5+AH5+AJ5+AM5+AW5+AO5+AQ5+AS5+AU5)</f>
        <v>0</v>
      </c>
      <c r="AM5" s="765"/>
      <c r="AN5" s="2600">
        <f>SUM(AO5:AO7)</f>
        <v>0</v>
      </c>
      <c r="AO5" s="122">
        <v>0</v>
      </c>
      <c r="AP5" s="2600">
        <f>SUM(AQ5:AQ7)</f>
        <v>0</v>
      </c>
      <c r="AQ5" s="122">
        <v>0</v>
      </c>
      <c r="AR5" s="2600">
        <f>SUM(AS5:AS7)</f>
        <v>0</v>
      </c>
      <c r="AS5" s="122">
        <v>0</v>
      </c>
      <c r="AT5" s="2600">
        <f>SUM(AU5:AU7)</f>
        <v>0</v>
      </c>
      <c r="AU5" s="122">
        <v>0</v>
      </c>
      <c r="AV5" s="2600">
        <f>SUM(AW5:AW7)</f>
        <v>0</v>
      </c>
      <c r="AW5" s="122">
        <f>AX5+AY5+AZ5+BA5+BB5</f>
        <v>0</v>
      </c>
      <c r="AX5" s="122">
        <v>0</v>
      </c>
      <c r="AY5" s="122">
        <v>0</v>
      </c>
      <c r="AZ5" s="122">
        <v>0</v>
      </c>
      <c r="BA5" s="122">
        <v>0</v>
      </c>
      <c r="BB5" s="122">
        <v>0</v>
      </c>
      <c r="BC5" s="122">
        <v>0</v>
      </c>
      <c r="BD5" s="2600">
        <f>SUM(BE5:BE7)</f>
        <v>9104</v>
      </c>
      <c r="BE5" s="122">
        <f>U5+W5</f>
        <v>2136</v>
      </c>
      <c r="BF5" s="2600">
        <f>SUM(BG5:BG7)</f>
        <v>3</v>
      </c>
      <c r="BG5" s="122">
        <f>R5</f>
        <v>2</v>
      </c>
      <c r="BH5" s="2600">
        <f>SUM(BI5:BI7)</f>
        <v>0</v>
      </c>
      <c r="BI5" s="122">
        <v>0</v>
      </c>
      <c r="BJ5" s="122">
        <f>ROUND(BG5*2.92,0)</f>
        <v>6</v>
      </c>
      <c r="BK5" s="129">
        <f>ROUND((Y5+AC5+AA5)/1000*3,0)+ROUND((AE5+AU5)/1000,0)+ROUND((ROUND(AH5/400,0))/2.67,0)+ROUND(AM5/250,0)+ROUND(AO5/15000,0)+ROUND((AX5+AY5+AZ5+BB5)/1000*3,0)+ROUND(BG5/25,0)+ROUND(BU276/50,0)</f>
        <v>0</v>
      </c>
      <c r="BL5" s="122">
        <v>0</v>
      </c>
      <c r="BM5" s="122">
        <v>0</v>
      </c>
      <c r="BN5" s="122">
        <v>0</v>
      </c>
      <c r="BO5" s="122">
        <f>AC5/1000</f>
        <v>0</v>
      </c>
      <c r="BP5" s="122">
        <f>AH5/1000</f>
        <v>0</v>
      </c>
      <c r="BQ5" s="122">
        <v>0</v>
      </c>
      <c r="BR5" s="122">
        <v>0</v>
      </c>
      <c r="BS5" s="122">
        <v>0</v>
      </c>
      <c r="BT5" s="2600">
        <f>SUM(BU5:BU7)</f>
        <v>0</v>
      </c>
      <c r="BU5" s="122">
        <f>SUM(BL5:BS5)</f>
        <v>0</v>
      </c>
      <c r="BV5" s="127">
        <v>25</v>
      </c>
      <c r="BW5" s="766" t="s">
        <v>705</v>
      </c>
      <c r="BX5" s="127">
        <v>4.5999999999999996</v>
      </c>
      <c r="BY5" s="127">
        <v>2</v>
      </c>
      <c r="BZ5" s="127">
        <v>4.5999999999999996</v>
      </c>
      <c r="CA5" s="767" t="s">
        <v>706</v>
      </c>
      <c r="CB5" s="2596" t="s">
        <v>716</v>
      </c>
      <c r="CC5" s="768">
        <f>(BX5*G5)-CF5</f>
        <v>6543.7499999999991</v>
      </c>
      <c r="CD5" s="2731">
        <f>SUM(CC5:CC7)</f>
        <v>33007.5</v>
      </c>
      <c r="CE5" s="2600">
        <f>SUM(CF5:CF7)</f>
        <v>7481.7000000000007</v>
      </c>
      <c r="CF5" s="769">
        <f>1*(G5)-(0.15*1*(G5))</f>
        <v>1483.25</v>
      </c>
      <c r="CG5" s="2600">
        <f>SUM(CH5:CH7)</f>
        <v>7481.7000000000007</v>
      </c>
      <c r="CH5" s="769">
        <f>CF5-CJ5</f>
        <v>1483.25</v>
      </c>
      <c r="CI5" s="2600">
        <f>SUM(CJ5:CJ7)</f>
        <v>0</v>
      </c>
      <c r="CJ5" s="127">
        <v>0</v>
      </c>
      <c r="CK5" s="2600">
        <f>SUM(CL5:CL7)</f>
        <v>0</v>
      </c>
      <c r="CL5" s="127">
        <v>0</v>
      </c>
      <c r="CM5" s="2600">
        <f>SUM(CN5:CN7)</f>
        <v>7481.7000000000007</v>
      </c>
      <c r="CN5" s="770">
        <f>CF5-(CJ5+CL5+CO5+CP5+CR5+CU5+CV5+CX5)</f>
        <v>1483.25</v>
      </c>
      <c r="CO5" s="770">
        <v>0</v>
      </c>
      <c r="CP5" s="770">
        <v>0</v>
      </c>
      <c r="CQ5" s="2600">
        <f>SUM(CR5:CR7)</f>
        <v>0</v>
      </c>
      <c r="CR5" s="122">
        <v>0</v>
      </c>
      <c r="CS5" s="122">
        <v>0</v>
      </c>
      <c r="CT5" s="122">
        <v>0</v>
      </c>
      <c r="CU5" s="122">
        <v>0</v>
      </c>
      <c r="CV5" s="122">
        <v>0</v>
      </c>
      <c r="CW5" s="2600">
        <f>SUM(CX5:CX7)</f>
        <v>0</v>
      </c>
      <c r="CX5" s="122">
        <f>SUM(CY5:DC5)</f>
        <v>0</v>
      </c>
      <c r="CY5" s="122">
        <f t="shared" ref="CY5:DC6" si="0">AX5</f>
        <v>0</v>
      </c>
      <c r="CZ5" s="122">
        <f t="shared" si="0"/>
        <v>0</v>
      </c>
      <c r="DA5" s="122">
        <f t="shared" si="0"/>
        <v>0</v>
      </c>
      <c r="DB5" s="122">
        <f t="shared" si="0"/>
        <v>0</v>
      </c>
      <c r="DC5" s="122">
        <f t="shared" si="0"/>
        <v>0</v>
      </c>
      <c r="DD5" s="122"/>
      <c r="DE5" s="2600">
        <f>SUM(DF5:DF7)</f>
        <v>40489.199999999997</v>
      </c>
      <c r="DF5" s="122">
        <f>CC5+CF5</f>
        <v>8026.9999999999991</v>
      </c>
      <c r="DG5" s="2600">
        <f>SUM(DH5:DH7)</f>
        <v>33.0075</v>
      </c>
      <c r="DH5" s="293">
        <f>CC5/'[1]Projected Development Sites'!DF$134</f>
        <v>6.5437499999999993</v>
      </c>
      <c r="DI5" s="2722">
        <f>SUM(DJ5:DJ7)</f>
        <v>33.0075</v>
      </c>
      <c r="DJ5" s="771">
        <f>'[1]Projected Development Sites'!DK$136*DH5</f>
        <v>6.5437499999999993</v>
      </c>
      <c r="DK5" s="771">
        <f>2.92*DH5</f>
        <v>19.107749999999996</v>
      </c>
      <c r="DL5" s="772">
        <f>ROUND((CN5+CL5+CJ5)/1000*3,0)+ROUND((ROUND(CP5/400,0))/2.67,0)+ROUND(CV5/1000,0)+ROUND((CY5+CZ5+DA5+DC5)/1000*3,0)+ROUND(DH5/25,0)+ROUND(DX5/50,0)</f>
        <v>4</v>
      </c>
      <c r="DM5" s="773">
        <v>0</v>
      </c>
      <c r="DN5" s="773"/>
      <c r="DO5" s="773">
        <v>0</v>
      </c>
      <c r="DP5" s="773">
        <f>0.25*DJ5</f>
        <v>1.6359374999999998</v>
      </c>
      <c r="DQ5" s="773">
        <f>SUM(CO5,CJ5,CN5,CR5,CU5)/1000</f>
        <v>1.48325</v>
      </c>
      <c r="DR5" s="773">
        <f>CL5/1000</f>
        <v>0</v>
      </c>
      <c r="DS5" s="773">
        <f>((CP5/400)/12)</f>
        <v>0</v>
      </c>
      <c r="DT5" s="773">
        <v>0</v>
      </c>
      <c r="DU5" s="773">
        <v>0</v>
      </c>
      <c r="DV5" s="773">
        <f>CX5/1000</f>
        <v>0</v>
      </c>
      <c r="DW5" s="2722">
        <f>SUM(DX5:DX7)</f>
        <v>7.4817</v>
      </c>
      <c r="DX5" s="774">
        <f>SUM(DM5,DO5,DQ5:DV5)</f>
        <v>1.48325</v>
      </c>
      <c r="DY5" s="2725">
        <v>115</v>
      </c>
      <c r="DZ5" s="2728">
        <f>CD5-T5</f>
        <v>28171.5</v>
      </c>
      <c r="EA5" s="2602">
        <f>CE5-V5</f>
        <v>3213.7000000000007</v>
      </c>
      <c r="EB5" s="187">
        <f>CF5-W5</f>
        <v>1483.25</v>
      </c>
      <c r="EC5" s="2602">
        <f>SUM(ED5:ED7)</f>
        <v>3213.7000000000003</v>
      </c>
      <c r="ED5" s="187">
        <v>1483.25</v>
      </c>
      <c r="EE5" s="187">
        <f>(CI5+CK5+CM5)-(Z5+AB5+AD5+AK5)</f>
        <v>3213.7000000000007</v>
      </c>
      <c r="EF5" s="2602">
        <f>SUM(EG5:EG7)</f>
        <v>3213.7000000000003</v>
      </c>
      <c r="EG5" s="187">
        <v>1483.25</v>
      </c>
      <c r="EH5" s="2602">
        <f>SUM(EI5:EI7)</f>
        <v>0</v>
      </c>
      <c r="EI5" s="187">
        <f>CL5-AC5</f>
        <v>0</v>
      </c>
      <c r="EJ5" s="2602">
        <f>SUM(EK5:EK7)</f>
        <v>0</v>
      </c>
      <c r="EK5" s="187">
        <f>CJ5-AA5</f>
        <v>0</v>
      </c>
      <c r="EL5" s="2602">
        <f>SUM(EM5:EM7)</f>
        <v>0</v>
      </c>
      <c r="EM5" s="187">
        <f>CO5-AE5</f>
        <v>0</v>
      </c>
      <c r="EN5" s="2602">
        <f>SUM(EO5:EO7)</f>
        <v>0</v>
      </c>
      <c r="EO5" s="187">
        <f>CP5-AH5</f>
        <v>0</v>
      </c>
      <c r="EP5" s="2602">
        <f>SUM(EQ5:EQ7)</f>
        <v>0</v>
      </c>
      <c r="EQ5" s="187">
        <f>CR5-AJ5</f>
        <v>0</v>
      </c>
      <c r="ER5" s="2602">
        <f>SUM(ES5:ES7)</f>
        <v>0</v>
      </c>
      <c r="ES5" s="187">
        <f>CS5-AO5</f>
        <v>0</v>
      </c>
      <c r="ET5" s="2602">
        <f>SUM(EU5:EU7)</f>
        <v>0</v>
      </c>
      <c r="EU5" s="187">
        <f t="shared" ref="EU5:EU68" si="1">CT5-AQ5</f>
        <v>0</v>
      </c>
      <c r="EV5" s="2602">
        <f>SUM(EW5:EW7)</f>
        <v>0</v>
      </c>
      <c r="EW5" s="187">
        <f>CU5-AS5</f>
        <v>0</v>
      </c>
      <c r="EX5" s="2602">
        <f>SUM(EY5:EY7)</f>
        <v>0</v>
      </c>
      <c r="EY5" s="187">
        <f>CV5-AU5</f>
        <v>0</v>
      </c>
      <c r="EZ5" s="2602">
        <f>SUM(FA5:FA7)</f>
        <v>0</v>
      </c>
      <c r="FA5" s="187">
        <f>CY5-AX5</f>
        <v>0</v>
      </c>
      <c r="FB5" s="2602">
        <f>SUM(FC5:FC7)</f>
        <v>0</v>
      </c>
      <c r="FC5" s="187">
        <f>CZ5-AY5</f>
        <v>0</v>
      </c>
      <c r="FD5" s="2602">
        <f>SUM(FE5:FE7)</f>
        <v>0</v>
      </c>
      <c r="FE5" s="187">
        <f>DA5-AZ5</f>
        <v>0</v>
      </c>
      <c r="FF5" s="2602">
        <f>SUM(FG5:FG7)</f>
        <v>0</v>
      </c>
      <c r="FG5" s="187">
        <f>DB5-BA5</f>
        <v>0</v>
      </c>
      <c r="FH5" s="2602">
        <f>SUM(FI5:FI7)</f>
        <v>0</v>
      </c>
      <c r="FI5" s="187">
        <f>DC5-BB5</f>
        <v>0</v>
      </c>
      <c r="FJ5" s="2602">
        <f>SUM(FK5:FK7)</f>
        <v>0</v>
      </c>
      <c r="FK5" s="187">
        <f>CX5-AW5</f>
        <v>0</v>
      </c>
      <c r="FL5" s="2602">
        <f>SUM(FM5:FM7)</f>
        <v>31385.199999999997</v>
      </c>
      <c r="FM5" s="187">
        <f>DF5-BE5</f>
        <v>5890.9999999999991</v>
      </c>
      <c r="FN5" s="2602">
        <f>SUM(FO5:FO7)</f>
        <v>30.0075</v>
      </c>
      <c r="FO5" s="187">
        <f>DH5-BG5</f>
        <v>4.5437499999999993</v>
      </c>
      <c r="FP5" s="2602">
        <f>SUM(FQ5:FQ7)</f>
        <v>33.0075</v>
      </c>
      <c r="FQ5" s="187">
        <f t="shared" ref="FQ5:FT7" si="2">DJ5-BI5</f>
        <v>6.5437499999999993</v>
      </c>
      <c r="FR5" s="187">
        <f t="shared" si="2"/>
        <v>13.107749999999996</v>
      </c>
      <c r="FS5" s="187">
        <f t="shared" si="2"/>
        <v>4</v>
      </c>
      <c r="FT5" s="775">
        <f t="shared" si="2"/>
        <v>0</v>
      </c>
      <c r="FU5" s="775">
        <f>DR5-BO5</f>
        <v>0</v>
      </c>
      <c r="FV5" s="775">
        <f>DO5-BM5</f>
        <v>0</v>
      </c>
      <c r="FW5" s="775">
        <f>DQ5-BN5</f>
        <v>1.48325</v>
      </c>
      <c r="FX5" s="775">
        <f t="shared" ref="FX5:GA7" si="3">DS5-BP5</f>
        <v>0</v>
      </c>
      <c r="FY5" s="775">
        <f t="shared" si="3"/>
        <v>0</v>
      </c>
      <c r="FZ5" s="775">
        <f t="shared" si="3"/>
        <v>0</v>
      </c>
      <c r="GA5" s="775">
        <f t="shared" si="3"/>
        <v>0</v>
      </c>
      <c r="GB5" s="2734">
        <f>SUM(GC5:GC7)</f>
        <v>7.4817</v>
      </c>
      <c r="GC5" s="776">
        <f>SUM(FT5:GA5)</f>
        <v>1.48325</v>
      </c>
      <c r="GD5" s="139"/>
      <c r="GE5" s="139"/>
      <c r="GF5" s="139"/>
      <c r="GG5" s="139"/>
      <c r="GH5" s="139"/>
      <c r="GI5" s="139"/>
      <c r="GJ5" s="139"/>
      <c r="GK5" s="139"/>
      <c r="GL5" s="139"/>
      <c r="GM5" s="139"/>
      <c r="GN5" s="139"/>
      <c r="GO5" s="139"/>
      <c r="GP5" s="139"/>
      <c r="GQ5" s="139"/>
      <c r="GR5" s="139"/>
      <c r="GS5" s="139"/>
      <c r="GT5" s="139"/>
      <c r="GU5" s="139"/>
      <c r="GV5" s="139"/>
    </row>
    <row r="6" spans="1:205" s="139" customFormat="1" ht="15" customHeight="1">
      <c r="A6" s="2660"/>
      <c r="B6" s="2660"/>
      <c r="C6" s="132" t="s">
        <v>710</v>
      </c>
      <c r="D6" s="132">
        <v>3198</v>
      </c>
      <c r="E6" s="132">
        <v>78</v>
      </c>
      <c r="F6" s="777">
        <v>2031980078</v>
      </c>
      <c r="G6" s="137">
        <v>4278</v>
      </c>
      <c r="H6" s="132" t="s">
        <v>704</v>
      </c>
      <c r="I6" s="136"/>
      <c r="J6" s="132">
        <v>1</v>
      </c>
      <c r="K6" s="132">
        <v>0</v>
      </c>
      <c r="L6" s="132">
        <v>2</v>
      </c>
      <c r="M6" s="132">
        <v>6.5</v>
      </c>
      <c r="N6" s="134">
        <v>4268</v>
      </c>
      <c r="O6" s="134">
        <v>0</v>
      </c>
      <c r="P6" s="134">
        <v>0</v>
      </c>
      <c r="Q6" s="134">
        <v>4268</v>
      </c>
      <c r="R6" s="137">
        <v>0</v>
      </c>
      <c r="S6" s="778" t="s">
        <v>722</v>
      </c>
      <c r="T6" s="2643"/>
      <c r="U6" s="102">
        <v>0</v>
      </c>
      <c r="V6" s="2643"/>
      <c r="W6" s="102">
        <f>N6</f>
        <v>4268</v>
      </c>
      <c r="X6" s="102"/>
      <c r="Y6" s="102">
        <f>W6-AA6</f>
        <v>4268</v>
      </c>
      <c r="Z6" s="2643"/>
      <c r="AA6" s="102">
        <v>0</v>
      </c>
      <c r="AB6" s="2643"/>
      <c r="AC6" s="102">
        <v>0</v>
      </c>
      <c r="AD6" s="2643"/>
      <c r="AE6" s="102">
        <f>AG6+AF6</f>
        <v>0</v>
      </c>
      <c r="AF6" s="102">
        <v>0</v>
      </c>
      <c r="AG6" s="102">
        <v>0</v>
      </c>
      <c r="AH6" s="102">
        <v>0</v>
      </c>
      <c r="AI6" s="2643"/>
      <c r="AJ6" s="102">
        <v>0</v>
      </c>
      <c r="AK6" s="2643"/>
      <c r="AL6" s="102">
        <f>W6-(AA6+AC6+AE6+AH6+AJ6+AM6+AW6+AO6+AQ6+AS6+AU6)</f>
        <v>4268</v>
      </c>
      <c r="AM6" s="779"/>
      <c r="AN6" s="2643"/>
      <c r="AO6" s="102">
        <v>0</v>
      </c>
      <c r="AP6" s="2643"/>
      <c r="AQ6" s="102">
        <v>0</v>
      </c>
      <c r="AR6" s="2643"/>
      <c r="AS6" s="102">
        <v>0</v>
      </c>
      <c r="AT6" s="2643"/>
      <c r="AU6" s="102">
        <v>0</v>
      </c>
      <c r="AV6" s="2643"/>
      <c r="AW6" s="102">
        <f>AX6+AY6+AZ6+BA6+BB6</f>
        <v>0</v>
      </c>
      <c r="AX6" s="102">
        <v>0</v>
      </c>
      <c r="AY6" s="102">
        <v>0</v>
      </c>
      <c r="AZ6" s="102">
        <v>0</v>
      </c>
      <c r="BA6" s="102">
        <v>0</v>
      </c>
      <c r="BB6" s="102">
        <v>0</v>
      </c>
      <c r="BC6" s="102">
        <v>0</v>
      </c>
      <c r="BD6" s="2643"/>
      <c r="BE6" s="102">
        <f>U6+W6</f>
        <v>4268</v>
      </c>
      <c r="BF6" s="2643"/>
      <c r="BG6" s="102">
        <f>U6/1000</f>
        <v>0</v>
      </c>
      <c r="BH6" s="2643"/>
      <c r="BI6" s="102">
        <v>0</v>
      </c>
      <c r="BJ6" s="102">
        <f>ROUND(BG6*2.92,0)</f>
        <v>0</v>
      </c>
      <c r="BK6" s="186">
        <f>ROUND((Y6+AC6+AA6)/1000*3,0)+ROUND((AE6+AU6)/1000,0)+ROUND((ROUND(AH6/400,0))/2.67,0)+ROUND(AM6/250,0)+ROUND(AO6/15000,0)+ROUND((AX6+AY6+AZ6+BB6)/1000*3,0)+ROUND(BG6/25,0)+ROUND(BU277/50,0)</f>
        <v>13</v>
      </c>
      <c r="BL6" s="102">
        <v>0</v>
      </c>
      <c r="BM6" s="102">
        <v>0</v>
      </c>
      <c r="BN6" s="102">
        <v>0</v>
      </c>
      <c r="BO6" s="102">
        <f>AC6/1000</f>
        <v>0</v>
      </c>
      <c r="BP6" s="102">
        <f>AH6/1000</f>
        <v>0</v>
      </c>
      <c r="BQ6" s="102">
        <v>0</v>
      </c>
      <c r="BR6" s="102">
        <v>0</v>
      </c>
      <c r="BS6" s="102">
        <v>0</v>
      </c>
      <c r="BT6" s="2643"/>
      <c r="BU6" s="102">
        <f>SUM(BL6:BS6)</f>
        <v>0</v>
      </c>
      <c r="BV6" s="139">
        <v>15</v>
      </c>
      <c r="BW6" s="780" t="s">
        <v>705</v>
      </c>
      <c r="BX6" s="139">
        <v>4.5999999999999996</v>
      </c>
      <c r="BY6" s="139">
        <v>2</v>
      </c>
      <c r="BZ6" s="139">
        <v>4.5999999999999996</v>
      </c>
      <c r="CA6" s="781" t="s">
        <v>706</v>
      </c>
      <c r="CB6" s="2662"/>
      <c r="CC6" s="782">
        <f>(BX6*G6)-CF6</f>
        <v>16042.5</v>
      </c>
      <c r="CD6" s="2732"/>
      <c r="CE6" s="2643"/>
      <c r="CF6" s="783">
        <f>1*(G6)-(0.15*1*(G6))</f>
        <v>3636.3</v>
      </c>
      <c r="CG6" s="2643"/>
      <c r="CH6" s="783">
        <f>CF6-CJ6</f>
        <v>3636.3</v>
      </c>
      <c r="CI6" s="2643"/>
      <c r="CJ6" s="139">
        <v>0</v>
      </c>
      <c r="CK6" s="2643"/>
      <c r="CL6" s="139">
        <v>0</v>
      </c>
      <c r="CM6" s="2643"/>
      <c r="CN6" s="784">
        <f>CF6-(CJ6+CL6+CO6+CP6+CR6+CU6+CV6+CX6)</f>
        <v>3636.3</v>
      </c>
      <c r="CO6" s="784">
        <v>0</v>
      </c>
      <c r="CP6" s="784">
        <v>0</v>
      </c>
      <c r="CQ6" s="2643"/>
      <c r="CR6" s="102">
        <v>0</v>
      </c>
      <c r="CS6" s="102">
        <v>0</v>
      </c>
      <c r="CT6" s="102">
        <v>0</v>
      </c>
      <c r="CU6" s="102">
        <v>0</v>
      </c>
      <c r="CV6" s="102">
        <v>0</v>
      </c>
      <c r="CW6" s="2643"/>
      <c r="CX6" s="102">
        <f>SUM(CY6:DC6)</f>
        <v>0</v>
      </c>
      <c r="CY6" s="102">
        <f t="shared" si="0"/>
        <v>0</v>
      </c>
      <c r="CZ6" s="102">
        <f t="shared" si="0"/>
        <v>0</v>
      </c>
      <c r="DA6" s="102">
        <f t="shared" si="0"/>
        <v>0</v>
      </c>
      <c r="DB6" s="102">
        <f t="shared" si="0"/>
        <v>0</v>
      </c>
      <c r="DC6" s="102">
        <f t="shared" si="0"/>
        <v>0</v>
      </c>
      <c r="DD6" s="102"/>
      <c r="DE6" s="2643"/>
      <c r="DF6" s="102">
        <f>CC6+CF6</f>
        <v>19678.8</v>
      </c>
      <c r="DG6" s="2643"/>
      <c r="DH6" s="296">
        <f>CC6/'[1]Projected Development Sites'!DF$134</f>
        <v>16.0425</v>
      </c>
      <c r="DI6" s="2723"/>
      <c r="DJ6" s="785">
        <f>'[1]Projected Development Sites'!DK$136*DH6</f>
        <v>16.0425</v>
      </c>
      <c r="DK6" s="785">
        <f>2.92*DH6</f>
        <v>46.844099999999997</v>
      </c>
      <c r="DL6" s="786">
        <f>ROUND((CN6+CL6+CJ6)/1000*3,0)+ROUND((ROUND(CP6/400,0))/2.67,0)+ROUND(CV6/1000,0)+ROUND((CY6+CZ6+DA6+DC6)/1000*3,0)+ROUND(DH6/25,0)+ROUND(DX6/50,0)</f>
        <v>12</v>
      </c>
      <c r="DM6" s="787">
        <v>0</v>
      </c>
      <c r="DN6" s="787"/>
      <c r="DO6" s="787">
        <v>0</v>
      </c>
      <c r="DP6" s="787">
        <f>0.25*DJ6</f>
        <v>4.0106250000000001</v>
      </c>
      <c r="DQ6" s="787">
        <f>SUM(CO6,CJ6,CN6,CR6,CU6)/1000</f>
        <v>3.6363000000000003</v>
      </c>
      <c r="DR6" s="787">
        <f>CL6/1000</f>
        <v>0</v>
      </c>
      <c r="DS6" s="787">
        <f>((CP6/400)/12)</f>
        <v>0</v>
      </c>
      <c r="DT6" s="787">
        <v>0</v>
      </c>
      <c r="DU6" s="787">
        <v>0</v>
      </c>
      <c r="DV6" s="787">
        <f>CX6/1000</f>
        <v>0</v>
      </c>
      <c r="DW6" s="2723"/>
      <c r="DX6" s="788">
        <f>SUM(DM6,DO6,DQ6:DV6)</f>
        <v>3.6363000000000003</v>
      </c>
      <c r="DY6" s="2726"/>
      <c r="DZ6" s="2729"/>
      <c r="EA6" s="2665"/>
      <c r="EB6" s="195">
        <f>CF6-W6</f>
        <v>-631.69999999999982</v>
      </c>
      <c r="EC6" s="2665"/>
      <c r="ED6" s="195">
        <v>-631.69999999999982</v>
      </c>
      <c r="EE6" s="195">
        <f>(CI6+CK6+CM6)-(Z6+AB6+AD6+AK6)</f>
        <v>0</v>
      </c>
      <c r="EF6" s="2665"/>
      <c r="EG6" s="195">
        <v>-631.69999999999982</v>
      </c>
      <c r="EH6" s="2665"/>
      <c r="EI6" s="195">
        <f>CL6-AC6</f>
        <v>0</v>
      </c>
      <c r="EJ6" s="2665"/>
      <c r="EK6" s="195">
        <f>CJ6-AA6</f>
        <v>0</v>
      </c>
      <c r="EL6" s="2665"/>
      <c r="EM6" s="195">
        <f>CO6-AE6</f>
        <v>0</v>
      </c>
      <c r="EN6" s="2665"/>
      <c r="EO6" s="195">
        <f>CP6-AH6</f>
        <v>0</v>
      </c>
      <c r="EP6" s="2665"/>
      <c r="EQ6" s="195">
        <f>CR6-AJ6</f>
        <v>0</v>
      </c>
      <c r="ER6" s="2665"/>
      <c r="ES6" s="195">
        <f>CS6-AO6</f>
        <v>0</v>
      </c>
      <c r="ET6" s="2665"/>
      <c r="EU6" s="195">
        <f t="shared" si="1"/>
        <v>0</v>
      </c>
      <c r="EV6" s="2665"/>
      <c r="EW6" s="195">
        <f>CU6-AS6</f>
        <v>0</v>
      </c>
      <c r="EX6" s="2665"/>
      <c r="EY6" s="195">
        <f>CV6-AU6</f>
        <v>0</v>
      </c>
      <c r="EZ6" s="2665"/>
      <c r="FA6" s="195">
        <f>CY6-AX6</f>
        <v>0</v>
      </c>
      <c r="FB6" s="2665"/>
      <c r="FC6" s="195">
        <f>CZ6-AY6</f>
        <v>0</v>
      </c>
      <c r="FD6" s="2665"/>
      <c r="FE6" s="195">
        <f>DA6-AZ6</f>
        <v>0</v>
      </c>
      <c r="FF6" s="2665"/>
      <c r="FG6" s="195">
        <f>DB6-BA6</f>
        <v>0</v>
      </c>
      <c r="FH6" s="2665"/>
      <c r="FI6" s="195">
        <f>DC6-BB6</f>
        <v>0</v>
      </c>
      <c r="FJ6" s="2665"/>
      <c r="FK6" s="195">
        <f>CX6-AW6</f>
        <v>0</v>
      </c>
      <c r="FL6" s="2665"/>
      <c r="FM6" s="195">
        <f>DF6-BE6</f>
        <v>15410.8</v>
      </c>
      <c r="FN6" s="2665"/>
      <c r="FO6" s="195">
        <f>DH6-BG6</f>
        <v>16.0425</v>
      </c>
      <c r="FP6" s="2665"/>
      <c r="FQ6" s="195">
        <f t="shared" si="2"/>
        <v>16.0425</v>
      </c>
      <c r="FR6" s="195">
        <f t="shared" si="2"/>
        <v>46.844099999999997</v>
      </c>
      <c r="FS6" s="195">
        <f t="shared" si="2"/>
        <v>-1</v>
      </c>
      <c r="FT6" s="789">
        <f t="shared" si="2"/>
        <v>0</v>
      </c>
      <c r="FU6" s="789">
        <f>DR6-BO6</f>
        <v>0</v>
      </c>
      <c r="FV6" s="789">
        <f>DO6-BM6</f>
        <v>0</v>
      </c>
      <c r="FW6" s="789">
        <f>DQ6-BN6</f>
        <v>3.6363000000000003</v>
      </c>
      <c r="FX6" s="789">
        <f t="shared" si="3"/>
        <v>0</v>
      </c>
      <c r="FY6" s="789">
        <f t="shared" si="3"/>
        <v>0</v>
      </c>
      <c r="FZ6" s="789">
        <f t="shared" si="3"/>
        <v>0</v>
      </c>
      <c r="GA6" s="789">
        <f t="shared" si="3"/>
        <v>0</v>
      </c>
      <c r="GB6" s="2735"/>
      <c r="GC6" s="790">
        <f t="shared" ref="GC6:GC69" si="4">SUM(FT6:GA6)</f>
        <v>3.6363000000000003</v>
      </c>
    </row>
    <row r="7" spans="1:205" s="81" customFormat="1" ht="15" customHeight="1">
      <c r="A7" s="2589"/>
      <c r="B7" s="2589"/>
      <c r="C7" s="66" t="s">
        <v>721</v>
      </c>
      <c r="D7" s="66">
        <v>3198</v>
      </c>
      <c r="E7" s="66">
        <v>76</v>
      </c>
      <c r="F7" s="66">
        <v>2031980076</v>
      </c>
      <c r="G7" s="71">
        <v>2779</v>
      </c>
      <c r="H7" s="66" t="s">
        <v>726</v>
      </c>
      <c r="I7" s="70"/>
      <c r="J7" s="66">
        <v>0.97</v>
      </c>
      <c r="K7" s="66">
        <v>3.44</v>
      </c>
      <c r="L7" s="66">
        <v>0</v>
      </c>
      <c r="M7" s="66">
        <v>4.8</v>
      </c>
      <c r="N7" s="68">
        <v>0</v>
      </c>
      <c r="O7" s="68">
        <v>0</v>
      </c>
      <c r="P7" s="68">
        <v>0</v>
      </c>
      <c r="Q7" s="68">
        <v>2700</v>
      </c>
      <c r="R7" s="71">
        <v>1</v>
      </c>
      <c r="S7" s="791" t="s">
        <v>836</v>
      </c>
      <c r="T7" s="2601"/>
      <c r="U7" s="74">
        <f>Q7</f>
        <v>2700</v>
      </c>
      <c r="V7" s="2601"/>
      <c r="W7" s="74">
        <f>N7</f>
        <v>0</v>
      </c>
      <c r="X7" s="74"/>
      <c r="Y7" s="74">
        <f>W7-AA7</f>
        <v>0</v>
      </c>
      <c r="Z7" s="2601"/>
      <c r="AA7" s="74">
        <v>0</v>
      </c>
      <c r="AB7" s="2601"/>
      <c r="AC7" s="74">
        <v>0</v>
      </c>
      <c r="AD7" s="2601"/>
      <c r="AE7" s="74">
        <f>AG7+AF7</f>
        <v>0</v>
      </c>
      <c r="AF7" s="74">
        <v>0</v>
      </c>
      <c r="AG7" s="74">
        <v>0</v>
      </c>
      <c r="AH7" s="74">
        <v>0</v>
      </c>
      <c r="AI7" s="2601"/>
      <c r="AJ7" s="74">
        <v>0</v>
      </c>
      <c r="AK7" s="2601"/>
      <c r="AL7" s="74">
        <f>W7-(AA7+AC7+AE7+AH7+AJ7+AM7+AW7+AO7+AQ7+AS7+AU7)</f>
        <v>0</v>
      </c>
      <c r="AM7" s="792"/>
      <c r="AN7" s="2601"/>
      <c r="AO7" s="74">
        <v>0</v>
      </c>
      <c r="AP7" s="2601"/>
      <c r="AQ7" s="74">
        <v>0</v>
      </c>
      <c r="AR7" s="2601"/>
      <c r="AS7" s="74">
        <v>0</v>
      </c>
      <c r="AT7" s="2601"/>
      <c r="AU7" s="74">
        <v>0</v>
      </c>
      <c r="AV7" s="2601"/>
      <c r="AW7" s="74">
        <f>AX7+AY7+AZ7+BA7+BB7</f>
        <v>0</v>
      </c>
      <c r="AX7" s="74">
        <v>0</v>
      </c>
      <c r="AY7" s="74">
        <v>0</v>
      </c>
      <c r="AZ7" s="74">
        <v>0</v>
      </c>
      <c r="BA7" s="74">
        <v>0</v>
      </c>
      <c r="BB7" s="74">
        <v>0</v>
      </c>
      <c r="BC7" s="74">
        <v>0</v>
      </c>
      <c r="BD7" s="2601"/>
      <c r="BE7" s="74">
        <f>U7+W7</f>
        <v>2700</v>
      </c>
      <c r="BF7" s="2601"/>
      <c r="BG7" s="74">
        <v>1</v>
      </c>
      <c r="BH7" s="2601"/>
      <c r="BI7" s="74">
        <v>0</v>
      </c>
      <c r="BJ7" s="74">
        <f>ROUND(BG7*2.92,0)</f>
        <v>3</v>
      </c>
      <c r="BK7" s="88">
        <f>ROUND((Y7+AC7+AA7)/1000*3,0)+ROUND((AE7+AU7)/1000,0)+ROUND((ROUND(AH7/400,0))/2.67,0)+ROUND(AM7/250,0)+ROUND(AO7/15000,0)+ROUND((AX7+AY7+AZ7+BB7)/1000*3,0)+ROUND(BG7/25,0)+ROUND(BU278/50,0)</f>
        <v>0</v>
      </c>
      <c r="BL7" s="74">
        <v>0</v>
      </c>
      <c r="BM7" s="74">
        <v>0</v>
      </c>
      <c r="BN7" s="74">
        <v>0</v>
      </c>
      <c r="BO7" s="74">
        <v>0</v>
      </c>
      <c r="BP7" s="74">
        <v>0</v>
      </c>
      <c r="BQ7" s="74">
        <v>0</v>
      </c>
      <c r="BR7" s="74">
        <v>0</v>
      </c>
      <c r="BS7" s="74">
        <v>0</v>
      </c>
      <c r="BT7" s="2601"/>
      <c r="BU7" s="74">
        <f>SUM(BL7:BS7)</f>
        <v>0</v>
      </c>
      <c r="BV7" s="81">
        <v>25</v>
      </c>
      <c r="BW7" s="793" t="s">
        <v>705</v>
      </c>
      <c r="BX7" s="81">
        <v>4.5999999999999996</v>
      </c>
      <c r="BY7" s="81">
        <v>2</v>
      </c>
      <c r="BZ7" s="81">
        <v>4.5999999999999996</v>
      </c>
      <c r="CA7" s="794" t="s">
        <v>706</v>
      </c>
      <c r="CB7" s="2597"/>
      <c r="CC7" s="795">
        <f>(BX7*G7)-CF7</f>
        <v>10421.25</v>
      </c>
      <c r="CD7" s="2733"/>
      <c r="CE7" s="2601"/>
      <c r="CF7" s="796">
        <f>1*(G7)-(0.15*1*(G7))</f>
        <v>2362.15</v>
      </c>
      <c r="CG7" s="2601"/>
      <c r="CH7" s="796">
        <f>CF7-CJ7</f>
        <v>2362.15</v>
      </c>
      <c r="CI7" s="2601"/>
      <c r="CJ7" s="81">
        <v>0</v>
      </c>
      <c r="CK7" s="2601"/>
      <c r="CL7" s="81">
        <v>0</v>
      </c>
      <c r="CM7" s="2601"/>
      <c r="CN7" s="797">
        <f>CF7-(CJ7+CL7+CO7+CP7+CR7+CU7+CV7+CX7)</f>
        <v>2362.15</v>
      </c>
      <c r="CO7" s="797">
        <v>0</v>
      </c>
      <c r="CP7" s="797">
        <v>0</v>
      </c>
      <c r="CQ7" s="2601"/>
      <c r="CR7" s="74">
        <v>0</v>
      </c>
      <c r="CS7" s="74">
        <v>0</v>
      </c>
      <c r="CT7" s="74">
        <v>0</v>
      </c>
      <c r="CU7" s="74">
        <v>0</v>
      </c>
      <c r="CV7" s="74">
        <v>0</v>
      </c>
      <c r="CW7" s="2601"/>
      <c r="CX7" s="74">
        <v>0</v>
      </c>
      <c r="CY7" s="74">
        <v>0</v>
      </c>
      <c r="CZ7" s="74">
        <v>0</v>
      </c>
      <c r="DA7" s="74">
        <v>0</v>
      </c>
      <c r="DB7" s="74">
        <v>0</v>
      </c>
      <c r="DC7" s="74">
        <v>0</v>
      </c>
      <c r="DD7" s="74"/>
      <c r="DE7" s="2601"/>
      <c r="DF7" s="74">
        <f>CC7+CF7</f>
        <v>12783.4</v>
      </c>
      <c r="DG7" s="2601"/>
      <c r="DH7" s="303">
        <f>CC7/'[1]Projected Development Sites'!DF$134</f>
        <v>10.421250000000001</v>
      </c>
      <c r="DI7" s="2724"/>
      <c r="DJ7" s="798">
        <f>'[1]Projected Development Sites'!DK$136*DH7</f>
        <v>10.421250000000001</v>
      </c>
      <c r="DK7" s="798">
        <f>2.92*DH7</f>
        <v>30.430050000000001</v>
      </c>
      <c r="DL7" s="786">
        <f>ROUND((CN7+CL7+CJ7)/1000*3,0)+ROUND((ROUND(CP7/400,0))/2.67,0)+ROUND(CV7/1000,0)+ROUND((CY7+CZ7+DA7+DC7)/1000*3,0)+ROUND(DH7/25,0)+ROUND(DX7/50,0)</f>
        <v>7</v>
      </c>
      <c r="DM7" s="799">
        <v>0</v>
      </c>
      <c r="DN7" s="799"/>
      <c r="DO7" s="799">
        <v>0</v>
      </c>
      <c r="DP7" s="799">
        <f>0.25*DJ7</f>
        <v>2.6053125000000001</v>
      </c>
      <c r="DQ7" s="799">
        <f>SUM(CO7,CJ7,CN7,CR7,CU7)/1000</f>
        <v>2.3621500000000002</v>
      </c>
      <c r="DR7" s="799">
        <f>CL7/1000</f>
        <v>0</v>
      </c>
      <c r="DS7" s="799">
        <f>((CP7/400)/12)</f>
        <v>0</v>
      </c>
      <c r="DT7" s="799">
        <v>0</v>
      </c>
      <c r="DU7" s="799">
        <v>0</v>
      </c>
      <c r="DV7" s="799">
        <f>CX7/1000</f>
        <v>0</v>
      </c>
      <c r="DW7" s="2724"/>
      <c r="DX7" s="800">
        <f>SUM(DM7,DO7,DQ7:DV7)</f>
        <v>2.3621500000000002</v>
      </c>
      <c r="DY7" s="2727"/>
      <c r="DZ7" s="2730"/>
      <c r="EA7" s="2603"/>
      <c r="EB7" s="195">
        <f>CF7-W7</f>
        <v>2362.15</v>
      </c>
      <c r="EC7" s="2603"/>
      <c r="ED7" s="195">
        <v>2362.15</v>
      </c>
      <c r="EE7" s="195">
        <f>(CI7+CK7+CM7)-(Z7+AB7+AD7+AK7)</f>
        <v>0</v>
      </c>
      <c r="EF7" s="2603"/>
      <c r="EG7" s="195">
        <v>2362.15</v>
      </c>
      <c r="EH7" s="2603"/>
      <c r="EI7" s="195">
        <f>CL7-AC7</f>
        <v>0</v>
      </c>
      <c r="EJ7" s="2603"/>
      <c r="EK7" s="195">
        <f>CJ7-AA7</f>
        <v>0</v>
      </c>
      <c r="EL7" s="2603"/>
      <c r="EM7" s="190">
        <f>CO7-AE7</f>
        <v>0</v>
      </c>
      <c r="EN7" s="2603"/>
      <c r="EO7" s="190">
        <f>CP7-AH7</f>
        <v>0</v>
      </c>
      <c r="EP7" s="2603"/>
      <c r="EQ7" s="195">
        <f>CR7-AJ7</f>
        <v>0</v>
      </c>
      <c r="ER7" s="2603"/>
      <c r="ES7" s="195">
        <f>CS7-AO7</f>
        <v>0</v>
      </c>
      <c r="ET7" s="2603"/>
      <c r="EU7" s="190">
        <f t="shared" si="1"/>
        <v>0</v>
      </c>
      <c r="EV7" s="2603"/>
      <c r="EW7" s="195">
        <f>CU7-AS7</f>
        <v>0</v>
      </c>
      <c r="EX7" s="2603"/>
      <c r="EY7" s="190">
        <f>CV7-AU7</f>
        <v>0</v>
      </c>
      <c r="EZ7" s="2603"/>
      <c r="FA7" s="190">
        <f>CY7-AX7</f>
        <v>0</v>
      </c>
      <c r="FB7" s="2603"/>
      <c r="FC7" s="190">
        <f>CZ7-AY7</f>
        <v>0</v>
      </c>
      <c r="FD7" s="2603"/>
      <c r="FE7" s="190">
        <f>DA7-AZ7</f>
        <v>0</v>
      </c>
      <c r="FF7" s="2603"/>
      <c r="FG7" s="190">
        <f>DB7-BA7</f>
        <v>0</v>
      </c>
      <c r="FH7" s="2603"/>
      <c r="FI7" s="190">
        <f>DC7-BB7</f>
        <v>0</v>
      </c>
      <c r="FJ7" s="2603"/>
      <c r="FK7" s="190">
        <f>CX7-AW7</f>
        <v>0</v>
      </c>
      <c r="FL7" s="2603"/>
      <c r="FM7" s="190">
        <f>DF7-BE7</f>
        <v>10083.4</v>
      </c>
      <c r="FN7" s="2603"/>
      <c r="FO7" s="190">
        <f>DH7-BG7</f>
        <v>9.4212500000000006</v>
      </c>
      <c r="FP7" s="2603"/>
      <c r="FQ7" s="190">
        <f t="shared" si="2"/>
        <v>10.421250000000001</v>
      </c>
      <c r="FR7" s="190">
        <f t="shared" si="2"/>
        <v>27.430050000000001</v>
      </c>
      <c r="FS7" s="190">
        <f t="shared" si="2"/>
        <v>7</v>
      </c>
      <c r="FT7" s="801">
        <f t="shared" si="2"/>
        <v>0</v>
      </c>
      <c r="FU7" s="801">
        <f>DR7-BO7</f>
        <v>0</v>
      </c>
      <c r="FV7" s="801">
        <f>DO7-BM7</f>
        <v>0</v>
      </c>
      <c r="FW7" s="801">
        <f>DQ7-BN7</f>
        <v>2.3621500000000002</v>
      </c>
      <c r="FX7" s="801">
        <f t="shared" si="3"/>
        <v>0</v>
      </c>
      <c r="FY7" s="801">
        <f t="shared" si="3"/>
        <v>0</v>
      </c>
      <c r="FZ7" s="801">
        <f t="shared" si="3"/>
        <v>0</v>
      </c>
      <c r="GA7" s="801">
        <f t="shared" si="3"/>
        <v>0</v>
      </c>
      <c r="GB7" s="2736"/>
      <c r="GC7" s="790">
        <f t="shared" si="4"/>
        <v>2.3621500000000002</v>
      </c>
      <c r="GD7" s="139"/>
      <c r="GE7" s="139"/>
      <c r="GF7" s="139"/>
      <c r="GG7" s="139"/>
      <c r="GH7" s="139"/>
      <c r="GI7" s="139"/>
      <c r="GJ7" s="139"/>
      <c r="GK7" s="139"/>
      <c r="GL7" s="139"/>
      <c r="GM7" s="139"/>
      <c r="GN7" s="139"/>
      <c r="GO7" s="139"/>
      <c r="GP7" s="139"/>
      <c r="GQ7" s="139"/>
      <c r="GR7" s="139"/>
      <c r="GS7" s="139"/>
      <c r="GT7" s="139"/>
      <c r="GU7" s="139"/>
      <c r="GV7" s="139"/>
    </row>
    <row r="8" spans="1:205" s="139" customFormat="1" ht="18.75">
      <c r="A8" s="2263"/>
      <c r="B8" s="2263"/>
      <c r="C8" s="132"/>
      <c r="D8" s="132"/>
      <c r="E8" s="132"/>
      <c r="F8" s="132"/>
      <c r="G8" s="137"/>
      <c r="H8" s="132"/>
      <c r="I8" s="136"/>
      <c r="J8" s="132"/>
      <c r="K8" s="132"/>
      <c r="L8" s="132"/>
      <c r="M8" s="132"/>
      <c r="N8" s="134"/>
      <c r="O8" s="134"/>
      <c r="P8" s="134"/>
      <c r="Q8" s="134"/>
      <c r="R8" s="137"/>
      <c r="S8" s="778"/>
      <c r="T8" s="634"/>
      <c r="U8" s="102"/>
      <c r="V8" s="634"/>
      <c r="W8" s="102"/>
      <c r="X8" s="102"/>
      <c r="Y8" s="102"/>
      <c r="Z8" s="634"/>
      <c r="AA8" s="102"/>
      <c r="AB8" s="634"/>
      <c r="AC8" s="102"/>
      <c r="AD8" s="634"/>
      <c r="AE8" s="102"/>
      <c r="AF8" s="102"/>
      <c r="AG8" s="102"/>
      <c r="AH8" s="102"/>
      <c r="AI8" s="634"/>
      <c r="AJ8" s="102"/>
      <c r="AK8" s="634"/>
      <c r="AL8" s="102"/>
      <c r="AM8" s="779"/>
      <c r="AN8" s="634"/>
      <c r="AO8" s="102"/>
      <c r="AP8" s="634"/>
      <c r="AQ8" s="102"/>
      <c r="AR8" s="634"/>
      <c r="AS8" s="102"/>
      <c r="AT8" s="634"/>
      <c r="AU8" s="102"/>
      <c r="AV8" s="634"/>
      <c r="AW8" s="102"/>
      <c r="AX8" s="102"/>
      <c r="AY8" s="102"/>
      <c r="AZ8" s="102"/>
      <c r="BA8" s="102"/>
      <c r="BB8" s="102"/>
      <c r="BC8" s="102"/>
      <c r="BD8" s="634"/>
      <c r="BE8" s="102"/>
      <c r="BF8" s="634"/>
      <c r="BG8" s="102"/>
      <c r="BH8" s="634"/>
      <c r="BI8" s="102"/>
      <c r="BJ8" s="102"/>
      <c r="BK8" s="88"/>
      <c r="BL8" s="102"/>
      <c r="BM8" s="102"/>
      <c r="BN8" s="102"/>
      <c r="BO8" s="102"/>
      <c r="BP8" s="102"/>
      <c r="BQ8" s="102"/>
      <c r="BR8" s="102"/>
      <c r="BS8" s="102"/>
      <c r="BT8" s="634"/>
      <c r="BU8" s="102"/>
      <c r="BW8" s="780"/>
      <c r="CA8" s="781"/>
      <c r="CB8" s="2258"/>
      <c r="CC8" s="782"/>
      <c r="CD8" s="782"/>
      <c r="CE8" s="634"/>
      <c r="CF8" s="783"/>
      <c r="CG8" s="634"/>
      <c r="CH8" s="783"/>
      <c r="CI8" s="634"/>
      <c r="CK8" s="634"/>
      <c r="CM8" s="634"/>
      <c r="CN8" s="784"/>
      <c r="CO8" s="784"/>
      <c r="CP8" s="784"/>
      <c r="CQ8" s="634"/>
      <c r="CR8" s="102"/>
      <c r="CS8" s="102"/>
      <c r="CT8" s="102"/>
      <c r="CU8" s="102"/>
      <c r="CV8" s="102"/>
      <c r="CW8" s="634"/>
      <c r="CX8" s="102"/>
      <c r="CY8" s="102"/>
      <c r="CZ8" s="102"/>
      <c r="DA8" s="102"/>
      <c r="DB8" s="102"/>
      <c r="DC8" s="102"/>
      <c r="DD8" s="102"/>
      <c r="DE8" s="634"/>
      <c r="DF8" s="784"/>
      <c r="DG8" s="634"/>
      <c r="DH8" s="296"/>
      <c r="DI8" s="802"/>
      <c r="DJ8" s="785"/>
      <c r="DK8" s="803"/>
      <c r="DL8" s="772"/>
      <c r="DM8" s="787"/>
      <c r="DN8" s="787"/>
      <c r="DO8" s="787"/>
      <c r="DP8" s="787"/>
      <c r="DQ8" s="787"/>
      <c r="DR8" s="787"/>
      <c r="DS8" s="787"/>
      <c r="DT8" s="787"/>
      <c r="DU8" s="787"/>
      <c r="DV8" s="787"/>
      <c r="DW8" s="802"/>
      <c r="DX8" s="788"/>
      <c r="DY8" s="634"/>
      <c r="DZ8" s="2288"/>
      <c r="EA8" s="2231"/>
      <c r="EB8" s="187"/>
      <c r="EC8" s="2232"/>
      <c r="ED8" s="187"/>
      <c r="EE8" s="187"/>
      <c r="EF8" s="2232"/>
      <c r="EG8" s="245"/>
      <c r="EH8" s="2232"/>
      <c r="EI8" s="187"/>
      <c r="EJ8" s="2232"/>
      <c r="EK8" s="187"/>
      <c r="EL8" s="2232"/>
      <c r="EM8" s="195"/>
      <c r="EN8" s="2232"/>
      <c r="EO8" s="195"/>
      <c r="EP8" s="2232"/>
      <c r="EQ8" s="187"/>
      <c r="ER8" s="2232"/>
      <c r="ES8" s="187"/>
      <c r="ET8" s="2232"/>
      <c r="EU8" s="187">
        <f t="shared" si="1"/>
        <v>0</v>
      </c>
      <c r="EV8" s="2232"/>
      <c r="EW8" s="187"/>
      <c r="EX8" s="2232"/>
      <c r="EY8" s="195"/>
      <c r="EZ8" s="2232"/>
      <c r="FA8" s="195"/>
      <c r="FB8" s="2232"/>
      <c r="FC8" s="195"/>
      <c r="FD8" s="2232"/>
      <c r="FE8" s="195"/>
      <c r="FF8" s="2232"/>
      <c r="FG8" s="195"/>
      <c r="FH8" s="2232"/>
      <c r="FI8" s="195"/>
      <c r="FJ8" s="2232"/>
      <c r="FK8" s="195"/>
      <c r="FL8" s="2232"/>
      <c r="FM8" s="245"/>
      <c r="FN8" s="2232"/>
      <c r="FO8" s="245"/>
      <c r="FP8" s="2232"/>
      <c r="FQ8" s="187"/>
      <c r="FR8" s="195"/>
      <c r="FS8" s="195"/>
      <c r="FT8" s="789"/>
      <c r="FU8" s="789"/>
      <c r="FV8" s="789"/>
      <c r="FW8" s="789"/>
      <c r="FX8" s="789"/>
      <c r="FY8" s="789"/>
      <c r="FZ8" s="789"/>
      <c r="GA8" s="789"/>
      <c r="GB8" s="2286"/>
      <c r="GC8" s="776"/>
    </row>
    <row r="9" spans="1:205" s="156" customFormat="1" ht="15" customHeight="1">
      <c r="A9" s="2588"/>
      <c r="B9" s="2618">
        <v>2</v>
      </c>
      <c r="C9" s="140" t="s">
        <v>703</v>
      </c>
      <c r="D9" s="140">
        <v>3187</v>
      </c>
      <c r="E9" s="140">
        <v>25</v>
      </c>
      <c r="F9" s="804">
        <v>2031870025</v>
      </c>
      <c r="G9" s="145">
        <v>9120</v>
      </c>
      <c r="H9" s="140" t="s">
        <v>704</v>
      </c>
      <c r="I9" s="144"/>
      <c r="J9" s="140">
        <v>1</v>
      </c>
      <c r="K9" s="140">
        <v>0</v>
      </c>
      <c r="L9" s="140">
        <v>2</v>
      </c>
      <c r="M9" s="140">
        <v>6.5</v>
      </c>
      <c r="N9" s="142">
        <v>9120</v>
      </c>
      <c r="O9" s="142">
        <v>0</v>
      </c>
      <c r="P9" s="142">
        <v>0</v>
      </c>
      <c r="Q9" s="142">
        <v>9120</v>
      </c>
      <c r="R9" s="145">
        <v>0</v>
      </c>
      <c r="S9" s="805" t="s">
        <v>637</v>
      </c>
      <c r="T9" s="2628">
        <f>SUM(U9:U10)</f>
        <v>0</v>
      </c>
      <c r="U9" s="148">
        <v>0</v>
      </c>
      <c r="V9" s="2628">
        <f>SUM(W9:W10)</f>
        <v>11220</v>
      </c>
      <c r="W9" s="148">
        <f>N9</f>
        <v>9120</v>
      </c>
      <c r="X9" s="148"/>
      <c r="Y9" s="148">
        <f>W9-AA9</f>
        <v>9120</v>
      </c>
      <c r="Z9" s="2628">
        <f>SUM(AA9:AA10)</f>
        <v>0</v>
      </c>
      <c r="AA9" s="148">
        <v>0</v>
      </c>
      <c r="AB9" s="2628">
        <f>SUM(AC9:AC10)</f>
        <v>0</v>
      </c>
      <c r="AC9" s="148">
        <v>0</v>
      </c>
      <c r="AD9" s="2628">
        <f>SUM(AE9:AE10)</f>
        <v>0</v>
      </c>
      <c r="AE9" s="148">
        <f>AG9+AF9</f>
        <v>0</v>
      </c>
      <c r="AF9" s="148">
        <v>0</v>
      </c>
      <c r="AG9" s="148">
        <v>0</v>
      </c>
      <c r="AH9" s="148">
        <v>0</v>
      </c>
      <c r="AI9" s="2628">
        <f>SUM(AJ9:AJ10)</f>
        <v>0</v>
      </c>
      <c r="AJ9" s="148">
        <v>0</v>
      </c>
      <c r="AK9" s="2628">
        <f>SUM(AL9:AL10)</f>
        <v>9120</v>
      </c>
      <c r="AL9" s="148">
        <f>W9-(AA9+AC9+AE9+AH9+AJ9+AM9+AW9+AO9+AQ9+AS9+AU9)</f>
        <v>9120</v>
      </c>
      <c r="AM9" s="806"/>
      <c r="AN9" s="2628">
        <f>SUM(AO9:AO10)</f>
        <v>0</v>
      </c>
      <c r="AO9" s="148">
        <v>0</v>
      </c>
      <c r="AP9" s="2628">
        <f>SUM(AQ9:AQ10)</f>
        <v>0</v>
      </c>
      <c r="AQ9" s="148">
        <v>0</v>
      </c>
      <c r="AR9" s="2628">
        <f>SUM(AS9:AS10)</f>
        <v>2100</v>
      </c>
      <c r="AS9" s="148">
        <v>0</v>
      </c>
      <c r="AT9" s="2628">
        <f>SUM(AU9:AU10)</f>
        <v>0</v>
      </c>
      <c r="AU9" s="148">
        <v>0</v>
      </c>
      <c r="AV9" s="2628">
        <f>SUM(AW9:AW10)</f>
        <v>0</v>
      </c>
      <c r="AW9" s="148">
        <f>AX9+AY9+AZ9+BA9+BB9</f>
        <v>0</v>
      </c>
      <c r="AX9" s="148">
        <v>0</v>
      </c>
      <c r="AY9" s="148">
        <v>0</v>
      </c>
      <c r="AZ9" s="148">
        <v>0</v>
      </c>
      <c r="BA9" s="148">
        <v>0</v>
      </c>
      <c r="BB9" s="148">
        <v>0</v>
      </c>
      <c r="BC9" s="148">
        <v>0</v>
      </c>
      <c r="BD9" s="2628">
        <f>SUM(BE9:BE10)</f>
        <v>11220</v>
      </c>
      <c r="BE9" s="148">
        <f>U9+W9</f>
        <v>9120</v>
      </c>
      <c r="BF9" s="2628">
        <f>SUM(BG9:BG10)</f>
        <v>0</v>
      </c>
      <c r="BG9" s="148">
        <f>U9/1000</f>
        <v>0</v>
      </c>
      <c r="BH9" s="2628">
        <f>SUM(BI9:BI10)</f>
        <v>0</v>
      </c>
      <c r="BI9" s="148">
        <v>0</v>
      </c>
      <c r="BJ9" s="148">
        <f>ROUND(BG9*3.06,0)</f>
        <v>0</v>
      </c>
      <c r="BK9" s="807">
        <f>ROUND((Y9+AC9+AA9)/1000*3,0)+ROUND((AE9+AU9)/1000,0)+ROUND((ROUND(AH9/400,0))/2.67,0)+ROUND(AM9/250,0)+ROUND(AO9/15000,0)+ROUND((AX9+AY9+AZ9+BB9)/1000*3,0)+ROUND(BG9/25,0)+ROUND(BU280/50,0)</f>
        <v>27</v>
      </c>
      <c r="BL9" s="148">
        <v>0</v>
      </c>
      <c r="BM9" s="148">
        <v>0</v>
      </c>
      <c r="BN9" s="148">
        <v>0</v>
      </c>
      <c r="BO9" s="148">
        <f>AC9/1000</f>
        <v>0</v>
      </c>
      <c r="BP9" s="148">
        <f>AH9/1000</f>
        <v>0</v>
      </c>
      <c r="BQ9" s="148">
        <v>0</v>
      </c>
      <c r="BR9" s="148">
        <v>0</v>
      </c>
      <c r="BS9" s="148">
        <v>0</v>
      </c>
      <c r="BT9" s="2628">
        <f>SUM(BU9:BU10)</f>
        <v>40</v>
      </c>
      <c r="BU9" s="148">
        <f>SUM(BL9:BS9)</f>
        <v>0</v>
      </c>
      <c r="BV9" s="156">
        <v>15</v>
      </c>
      <c r="BW9" s="808" t="s">
        <v>705</v>
      </c>
      <c r="BX9" s="156">
        <v>4.5999999999999996</v>
      </c>
      <c r="BY9" s="156">
        <v>2</v>
      </c>
      <c r="BZ9" s="156">
        <v>4.5999999999999996</v>
      </c>
      <c r="CA9" s="809" t="s">
        <v>706</v>
      </c>
      <c r="CB9" s="2622" t="s">
        <v>719</v>
      </c>
      <c r="CC9" s="810">
        <f>(BX9*G9)-CF9</f>
        <v>25080</v>
      </c>
      <c r="CD9" s="2743">
        <f>SUM(CC9:CC10)</f>
        <v>73205</v>
      </c>
      <c r="CE9" s="2628">
        <f>SUM(CF9:CF10)</f>
        <v>49247</v>
      </c>
      <c r="CF9" s="811">
        <f>2*(G9)-(0.15*1*(G9))</f>
        <v>16872</v>
      </c>
      <c r="CG9" s="2628">
        <f>SUM(CH9:CH10)</f>
        <v>49247</v>
      </c>
      <c r="CH9" s="811">
        <f>CF9-CJ9</f>
        <v>16872</v>
      </c>
      <c r="CI9" s="2628">
        <f>SUM(CJ9:CJ10)</f>
        <v>0</v>
      </c>
      <c r="CJ9" s="156">
        <v>0</v>
      </c>
      <c r="CK9" s="2628">
        <f>SUM(CL9:CL10)</f>
        <v>0</v>
      </c>
      <c r="CL9" s="156">
        <v>0</v>
      </c>
      <c r="CM9" s="2628">
        <f>SUM(CN9:CN10)</f>
        <v>49247</v>
      </c>
      <c r="CN9" s="148">
        <f>CF9-(CJ9+CL9+CO9+CP9+CR9+CU9+CV9+CX9)</f>
        <v>16872</v>
      </c>
      <c r="CO9" s="812">
        <v>0</v>
      </c>
      <c r="CP9" s="812">
        <v>0</v>
      </c>
      <c r="CQ9" s="2628">
        <f>SUM(CR9:CR10)</f>
        <v>0</v>
      </c>
      <c r="CR9" s="148">
        <v>0</v>
      </c>
      <c r="CS9" s="148">
        <v>0</v>
      </c>
      <c r="CT9" s="148">
        <v>0</v>
      </c>
      <c r="CU9" s="148">
        <v>0</v>
      </c>
      <c r="CV9" s="148">
        <v>0</v>
      </c>
      <c r="CW9" s="2628">
        <f>SUM(CX9:CX10)</f>
        <v>0</v>
      </c>
      <c r="CX9" s="148">
        <f>SUM(CY9:DC9)</f>
        <v>0</v>
      </c>
      <c r="CY9" s="148">
        <f>AX9</f>
        <v>0</v>
      </c>
      <c r="CZ9" s="148">
        <f>AY9</f>
        <v>0</v>
      </c>
      <c r="DA9" s="148">
        <f>AZ9</f>
        <v>0</v>
      </c>
      <c r="DB9" s="148">
        <f>BA9</f>
        <v>0</v>
      </c>
      <c r="DC9" s="148">
        <f>BB9</f>
        <v>0</v>
      </c>
      <c r="DD9" s="148"/>
      <c r="DE9" s="2628">
        <f>SUM(DF9:DF10)</f>
        <v>122452</v>
      </c>
      <c r="DF9" s="148">
        <f>CC9+CF9</f>
        <v>41952</v>
      </c>
      <c r="DG9" s="2628">
        <f>SUM(DH9:DH10)</f>
        <v>73.204999999999998</v>
      </c>
      <c r="DH9" s="813">
        <f>CC9/'[1]Projected Development Sites'!DF$134</f>
        <v>25.08</v>
      </c>
      <c r="DI9" s="2737">
        <f>SUM(DJ9:DJ10)</f>
        <v>73.204999999999998</v>
      </c>
      <c r="DJ9" s="814">
        <f>'[1]Projected Development Sites'!DK$136*DH9</f>
        <v>25.08</v>
      </c>
      <c r="DK9" s="814">
        <f>3.06*DH9</f>
        <v>76.744799999999998</v>
      </c>
      <c r="DL9" s="815">
        <f>ROUND((CN9+CL9+CJ9)/1000*3,0)+ROUND((ROUND(CP9/400,0))/2.67,0)+ROUND(CV9/1000,0)+ROUND((CY9+CZ9+DA9+DC9)/1000*3,0)+ROUND(DH9/25,0)+ROUND(DX9/50,0)</f>
        <v>52</v>
      </c>
      <c r="DM9" s="816">
        <v>0</v>
      </c>
      <c r="DN9" s="816"/>
      <c r="DO9" s="816">
        <v>0</v>
      </c>
      <c r="DP9" s="816">
        <f>0.25*DJ9</f>
        <v>6.27</v>
      </c>
      <c r="DQ9" s="816">
        <f>SUM(CO9,CJ9,CN9,CR9,CU9)/1000</f>
        <v>16.872</v>
      </c>
      <c r="DR9" s="816">
        <f>CL9/1000</f>
        <v>0</v>
      </c>
      <c r="DS9" s="816">
        <f>((CP9/400)/12)</f>
        <v>0</v>
      </c>
      <c r="DT9" s="816">
        <v>0</v>
      </c>
      <c r="DU9" s="816">
        <v>0</v>
      </c>
      <c r="DV9" s="816">
        <f>CX9/1000</f>
        <v>0</v>
      </c>
      <c r="DW9" s="2737">
        <f>SUM(DX9:DX10)</f>
        <v>49.247</v>
      </c>
      <c r="DX9" s="817">
        <f>SUM(DM9,DO9,DQ9:DV9)</f>
        <v>16.872</v>
      </c>
      <c r="DY9" s="2739">
        <v>115</v>
      </c>
      <c r="DZ9" s="2741">
        <f>CD9-T9</f>
        <v>73205</v>
      </c>
      <c r="EA9" s="2630">
        <f>CE9-V9</f>
        <v>38027</v>
      </c>
      <c r="EB9" s="281">
        <f>CF9-W9</f>
        <v>7752</v>
      </c>
      <c r="EC9" s="2630">
        <f>SUM(ED9:ED10)</f>
        <v>-1368</v>
      </c>
      <c r="ED9" s="281">
        <v>-1368</v>
      </c>
      <c r="EE9" s="281">
        <f>(SUM(CJ9:CO9))-(SUM(AA9:AE9,AL9))</f>
        <v>56999</v>
      </c>
      <c r="EF9" s="2630">
        <f>SUM(EG9:EG10)</f>
        <v>-1368</v>
      </c>
      <c r="EG9" s="281">
        <v>-1368</v>
      </c>
      <c r="EH9" s="2630">
        <f>SUM(EI9:EI10)</f>
        <v>0</v>
      </c>
      <c r="EI9" s="281">
        <f>CL9-AC9</f>
        <v>0</v>
      </c>
      <c r="EJ9" s="2630">
        <f>SUM(EK9:EK10)</f>
        <v>0</v>
      </c>
      <c r="EK9" s="281">
        <f>CJ9-AA9</f>
        <v>0</v>
      </c>
      <c r="EL9" s="2630">
        <f>SUM(EM9:EM10)</f>
        <v>0</v>
      </c>
      <c r="EM9" s="281">
        <f>CO9-AE9</f>
        <v>0</v>
      </c>
      <c r="EN9" s="2630">
        <f>SUM(EO9:EO10)</f>
        <v>0</v>
      </c>
      <c r="EO9" s="281">
        <f>CP9-AH9</f>
        <v>0</v>
      </c>
      <c r="EP9" s="2630">
        <f>SUM(EQ9:EQ10)</f>
        <v>0</v>
      </c>
      <c r="EQ9" s="281">
        <f>CR9-AJ9</f>
        <v>0</v>
      </c>
      <c r="ER9" s="2630">
        <f>SUM(ES9:ES10)</f>
        <v>0</v>
      </c>
      <c r="ES9" s="281">
        <f>CS9-AO9</f>
        <v>0</v>
      </c>
      <c r="ET9" s="2630">
        <f>SUM(EU9:EU10)</f>
        <v>0</v>
      </c>
      <c r="EU9" s="281">
        <f t="shared" si="1"/>
        <v>0</v>
      </c>
      <c r="EV9" s="2630">
        <f>SUM(EW9:EW10)</f>
        <v>-2100</v>
      </c>
      <c r="EW9" s="281">
        <f>CU9-AS9</f>
        <v>0</v>
      </c>
      <c r="EX9" s="2630">
        <f>SUM(EY9:EY10)</f>
        <v>0</v>
      </c>
      <c r="EY9" s="281">
        <f>CV9-AU9</f>
        <v>0</v>
      </c>
      <c r="EZ9" s="2630">
        <f>SUM(FA9:FA10)</f>
        <v>0</v>
      </c>
      <c r="FA9" s="281">
        <f>CY9-AX9</f>
        <v>0</v>
      </c>
      <c r="FB9" s="2630">
        <f>SUM(FC9:FC10)</f>
        <v>0</v>
      </c>
      <c r="FC9" s="281">
        <f>CZ9-AY9</f>
        <v>0</v>
      </c>
      <c r="FD9" s="2630">
        <f>SUM(FE9:FE10)</f>
        <v>0</v>
      </c>
      <c r="FE9" s="281">
        <f>DA9-AZ9</f>
        <v>0</v>
      </c>
      <c r="FF9" s="2630">
        <f>SUM(FG9:FG10)</f>
        <v>0</v>
      </c>
      <c r="FG9" s="281">
        <f>DB9-BA9</f>
        <v>0</v>
      </c>
      <c r="FH9" s="2630">
        <f>SUM(FI9:FI10)</f>
        <v>0</v>
      </c>
      <c r="FI9" s="281">
        <f>DC9-BB9</f>
        <v>0</v>
      </c>
      <c r="FJ9" s="2630">
        <f>SUM(FK9:FK10)</f>
        <v>0</v>
      </c>
      <c r="FK9" s="281">
        <f>CX9-AW9</f>
        <v>0</v>
      </c>
      <c r="FL9" s="2630">
        <f>SUM(FM9:FM10)</f>
        <v>111232</v>
      </c>
      <c r="FM9" s="281">
        <f>DF9-BE9</f>
        <v>32832</v>
      </c>
      <c r="FN9" s="2630">
        <f>SUM(FO9:FO10)</f>
        <v>73.204999999999998</v>
      </c>
      <c r="FO9" s="281">
        <f>DH9-BG9</f>
        <v>25.08</v>
      </c>
      <c r="FP9" s="2630">
        <f>SUM(FQ9:FQ10)</f>
        <v>73.204999999999998</v>
      </c>
      <c r="FQ9" s="281">
        <f t="shared" ref="FQ9:FT10" si="5">DJ9-BI9</f>
        <v>25.08</v>
      </c>
      <c r="FR9" s="281">
        <f t="shared" si="5"/>
        <v>76.744799999999998</v>
      </c>
      <c r="FS9" s="281">
        <f t="shared" si="5"/>
        <v>25</v>
      </c>
      <c r="FT9" s="818">
        <f t="shared" si="5"/>
        <v>0</v>
      </c>
      <c r="FU9" s="818">
        <f>DR9-BO9</f>
        <v>0</v>
      </c>
      <c r="FV9" s="818">
        <f>DO9-BM9</f>
        <v>0</v>
      </c>
      <c r="FW9" s="818">
        <f>DQ9-BN9</f>
        <v>16.872</v>
      </c>
      <c r="FX9" s="818">
        <f t="shared" ref="FX9:GA10" si="6">DS9-BP9</f>
        <v>0</v>
      </c>
      <c r="FY9" s="818">
        <f t="shared" si="6"/>
        <v>0</v>
      </c>
      <c r="FZ9" s="818">
        <f t="shared" si="6"/>
        <v>0</v>
      </c>
      <c r="GA9" s="818">
        <f t="shared" si="6"/>
        <v>0</v>
      </c>
      <c r="GB9" s="2734">
        <f>SUM(GC9:GC10)</f>
        <v>9.2469999999999999</v>
      </c>
      <c r="GC9" s="819">
        <f t="shared" si="4"/>
        <v>16.872</v>
      </c>
      <c r="GD9" s="139"/>
      <c r="GE9" s="139"/>
      <c r="GF9" s="139"/>
      <c r="GG9" s="139"/>
      <c r="GH9" s="139"/>
      <c r="GI9" s="139"/>
      <c r="GJ9" s="139"/>
      <c r="GK9" s="139"/>
      <c r="GL9" s="139"/>
      <c r="GM9" s="139"/>
      <c r="GN9" s="139"/>
      <c r="GO9" s="139"/>
      <c r="GP9" s="139"/>
      <c r="GQ9" s="139"/>
      <c r="GR9" s="139"/>
      <c r="GS9" s="139"/>
      <c r="GT9" s="210"/>
      <c r="GU9" s="210"/>
      <c r="GV9" s="210"/>
    </row>
    <row r="10" spans="1:205" s="176" customFormat="1" ht="15" customHeight="1">
      <c r="A10" s="2589"/>
      <c r="B10" s="2619"/>
      <c r="C10" s="162" t="s">
        <v>710</v>
      </c>
      <c r="D10" s="162">
        <v>3187</v>
      </c>
      <c r="E10" s="162">
        <v>18</v>
      </c>
      <c r="F10" s="162">
        <v>2031870018</v>
      </c>
      <c r="G10" s="167">
        <v>17500</v>
      </c>
      <c r="H10" s="162" t="s">
        <v>704</v>
      </c>
      <c r="I10" s="166"/>
      <c r="J10" s="162">
        <v>0.12</v>
      </c>
      <c r="K10" s="162">
        <v>0</v>
      </c>
      <c r="L10" s="162">
        <v>2</v>
      </c>
      <c r="M10" s="162">
        <v>6.5</v>
      </c>
      <c r="N10" s="164">
        <v>2100</v>
      </c>
      <c r="O10" s="164">
        <f>N10</f>
        <v>2100</v>
      </c>
      <c r="P10" s="164">
        <v>0</v>
      </c>
      <c r="Q10" s="164">
        <v>2100</v>
      </c>
      <c r="R10" s="167">
        <v>0</v>
      </c>
      <c r="S10" s="820" t="s">
        <v>837</v>
      </c>
      <c r="T10" s="2629"/>
      <c r="U10" s="170">
        <v>0</v>
      </c>
      <c r="V10" s="2629"/>
      <c r="W10" s="170">
        <f>N10</f>
        <v>2100</v>
      </c>
      <c r="X10" s="170"/>
      <c r="Y10" s="170">
        <f>W10-AA10</f>
        <v>2100</v>
      </c>
      <c r="Z10" s="2629"/>
      <c r="AA10" s="170">
        <v>0</v>
      </c>
      <c r="AB10" s="2629"/>
      <c r="AC10" s="170">
        <v>0</v>
      </c>
      <c r="AD10" s="2629"/>
      <c r="AE10" s="170">
        <f>AG10+AF10</f>
        <v>0</v>
      </c>
      <c r="AF10" s="170">
        <v>0</v>
      </c>
      <c r="AG10" s="170">
        <v>0</v>
      </c>
      <c r="AH10" s="170">
        <v>0</v>
      </c>
      <c r="AI10" s="2629"/>
      <c r="AJ10" s="170">
        <v>0</v>
      </c>
      <c r="AK10" s="2629"/>
      <c r="AL10" s="170">
        <f>W10-(AA10+AC10+AE10+AH10+AJ10+AM10+AW10+AO10+AQ10+AS10+AU10)</f>
        <v>0</v>
      </c>
      <c r="AM10" s="821"/>
      <c r="AN10" s="2629"/>
      <c r="AO10" s="170">
        <v>0</v>
      </c>
      <c r="AP10" s="2629"/>
      <c r="AQ10" s="170">
        <v>0</v>
      </c>
      <c r="AR10" s="2629"/>
      <c r="AS10" s="170">
        <v>2100</v>
      </c>
      <c r="AT10" s="2629"/>
      <c r="AU10" s="170">
        <v>0</v>
      </c>
      <c r="AV10" s="2629"/>
      <c r="AW10" s="170">
        <f>AX10+AY10+AZ10+BA10+BB10</f>
        <v>0</v>
      </c>
      <c r="AX10" s="170">
        <v>0</v>
      </c>
      <c r="AY10" s="170">
        <v>0</v>
      </c>
      <c r="AZ10" s="170">
        <v>0</v>
      </c>
      <c r="BA10" s="170">
        <v>0</v>
      </c>
      <c r="BB10" s="170">
        <v>0</v>
      </c>
      <c r="BC10" s="170">
        <v>0</v>
      </c>
      <c r="BD10" s="2629"/>
      <c r="BE10" s="170">
        <f>U10+W10</f>
        <v>2100</v>
      </c>
      <c r="BF10" s="2629"/>
      <c r="BG10" s="170">
        <v>0</v>
      </c>
      <c r="BH10" s="2629"/>
      <c r="BI10" s="170">
        <v>0</v>
      </c>
      <c r="BJ10" s="170">
        <f>ROUND(BG10*3.06,0)</f>
        <v>0</v>
      </c>
      <c r="BK10" s="822">
        <f>ROUND((Y10+AC10+AA10)/1000*3,0)+ROUND((AE10+AU10)/1000,0)+ROUND((ROUND(AH10/400,0))/2.67,0)+ROUND(AM10/250,0)+ROUND(AO10/15000,0)+ROUND((AX10+AY10+AZ10+BB10)/1000*3,0)+ROUND(BG10/25,0)+ROUND(BU281/50,0)</f>
        <v>6</v>
      </c>
      <c r="BL10" s="170">
        <v>0</v>
      </c>
      <c r="BM10" s="170">
        <v>0</v>
      </c>
      <c r="BN10" s="170">
        <v>0</v>
      </c>
      <c r="BO10" s="170">
        <v>0</v>
      </c>
      <c r="BP10" s="170">
        <v>0</v>
      </c>
      <c r="BQ10" s="170">
        <v>40</v>
      </c>
      <c r="BR10" s="170">
        <v>0</v>
      </c>
      <c r="BS10" s="170">
        <v>0</v>
      </c>
      <c r="BT10" s="2629"/>
      <c r="BU10" s="170">
        <f>SUM(BL10:BS10)</f>
        <v>40</v>
      </c>
      <c r="BV10" s="176">
        <v>15</v>
      </c>
      <c r="BW10" s="823" t="s">
        <v>705</v>
      </c>
      <c r="BX10" s="176">
        <v>4.5999999999999996</v>
      </c>
      <c r="BY10" s="176">
        <v>2</v>
      </c>
      <c r="BZ10" s="176">
        <v>4.5999999999999996</v>
      </c>
      <c r="CA10" s="824" t="s">
        <v>706</v>
      </c>
      <c r="CB10" s="2623"/>
      <c r="CC10" s="825">
        <f>(BX10*G10)-CF10</f>
        <v>48125</v>
      </c>
      <c r="CD10" s="2744"/>
      <c r="CE10" s="2629"/>
      <c r="CF10" s="826">
        <f>2*(G10)-(0.15*1*(G10))</f>
        <v>32375</v>
      </c>
      <c r="CG10" s="2629"/>
      <c r="CH10" s="827">
        <f>CF10-CJ10</f>
        <v>32375</v>
      </c>
      <c r="CI10" s="2629"/>
      <c r="CJ10" s="176">
        <v>0</v>
      </c>
      <c r="CK10" s="2629"/>
      <c r="CL10" s="176">
        <v>0</v>
      </c>
      <c r="CM10" s="2629"/>
      <c r="CN10" s="170">
        <f>CF10-(CJ10+CL10+CO10+CP10+CR10+CU10+CV10+CX10)</f>
        <v>32375</v>
      </c>
      <c r="CO10" s="828">
        <v>0</v>
      </c>
      <c r="CP10" s="828">
        <v>0</v>
      </c>
      <c r="CQ10" s="2629"/>
      <c r="CR10" s="170">
        <v>0</v>
      </c>
      <c r="CS10" s="170">
        <v>0</v>
      </c>
      <c r="CT10" s="170">
        <v>0</v>
      </c>
      <c r="CU10" s="170">
        <v>0</v>
      </c>
      <c r="CV10" s="170">
        <v>0</v>
      </c>
      <c r="CW10" s="2629"/>
      <c r="CX10" s="170">
        <v>0</v>
      </c>
      <c r="CY10" s="170">
        <v>0</v>
      </c>
      <c r="CZ10" s="170">
        <v>0</v>
      </c>
      <c r="DA10" s="170">
        <v>0</v>
      </c>
      <c r="DB10" s="170">
        <v>0</v>
      </c>
      <c r="DC10" s="170">
        <v>0</v>
      </c>
      <c r="DD10" s="170"/>
      <c r="DE10" s="2629"/>
      <c r="DF10" s="170">
        <f>CC10+CF10</f>
        <v>80500</v>
      </c>
      <c r="DG10" s="2629"/>
      <c r="DH10" s="829">
        <f>CC10/'[1]Projected Development Sites'!DF$134</f>
        <v>48.125</v>
      </c>
      <c r="DI10" s="2738"/>
      <c r="DJ10" s="830">
        <f>'[1]Projected Development Sites'!DK$136*DH10</f>
        <v>48.125</v>
      </c>
      <c r="DK10" s="830">
        <f>3.06*DH10</f>
        <v>147.26249999999999</v>
      </c>
      <c r="DL10" s="831">
        <f>ROUND((CN10+CL10+CJ10)/1000*3,0)+ROUND((ROUND(CP10/400,0))/2.67,0)+ROUND(CV10/1000,0)+ROUND((CY10+CZ10+DA10+DC10)/1000*3,0)+ROUND(DH10/25,0)+ROUND(DX10/50,0)</f>
        <v>100</v>
      </c>
      <c r="DM10" s="832">
        <v>0</v>
      </c>
      <c r="DN10" s="832"/>
      <c r="DO10" s="832">
        <v>0</v>
      </c>
      <c r="DP10" s="832">
        <f>0.25*DJ10</f>
        <v>12.03125</v>
      </c>
      <c r="DQ10" s="832">
        <f>SUM(CO10,CJ10,CN10,CR10,CU10)/1000</f>
        <v>32.375</v>
      </c>
      <c r="DR10" s="832">
        <f>CL10/1000</f>
        <v>0</v>
      </c>
      <c r="DS10" s="832">
        <f>((CP10/400)/12)</f>
        <v>0</v>
      </c>
      <c r="DT10" s="832">
        <v>0</v>
      </c>
      <c r="DU10" s="832">
        <v>0</v>
      </c>
      <c r="DV10" s="832">
        <f>CX10/1000</f>
        <v>0</v>
      </c>
      <c r="DW10" s="2738"/>
      <c r="DX10" s="833">
        <f>SUM(DM10,DO10,DQ10:DV10)</f>
        <v>32.375</v>
      </c>
      <c r="DY10" s="2740"/>
      <c r="DZ10" s="2742"/>
      <c r="EA10" s="2631"/>
      <c r="EB10" s="284">
        <f>CF10-W10</f>
        <v>30275</v>
      </c>
      <c r="EC10" s="2631"/>
      <c r="ED10" s="287">
        <v>0</v>
      </c>
      <c r="EE10" s="284">
        <f>(SUM(CJ10:CO10))-(SUM(AA10:AE10,AL10))</f>
        <v>32375</v>
      </c>
      <c r="EF10" s="2631"/>
      <c r="EG10" s="284">
        <v>0</v>
      </c>
      <c r="EH10" s="2631"/>
      <c r="EI10" s="284">
        <f>CL10-AC10</f>
        <v>0</v>
      </c>
      <c r="EJ10" s="2631"/>
      <c r="EK10" s="284">
        <f>CJ10-AA10</f>
        <v>0</v>
      </c>
      <c r="EL10" s="2631"/>
      <c r="EM10" s="287">
        <f>CO10-AE10</f>
        <v>0</v>
      </c>
      <c r="EN10" s="2631"/>
      <c r="EO10" s="287">
        <f>CP10-AH10</f>
        <v>0</v>
      </c>
      <c r="EP10" s="2631"/>
      <c r="EQ10" s="284">
        <f>CR10-AJ10</f>
        <v>0</v>
      </c>
      <c r="ER10" s="2631"/>
      <c r="ES10" s="284">
        <f>CS10-AO10</f>
        <v>0</v>
      </c>
      <c r="ET10" s="2631"/>
      <c r="EU10" s="284">
        <f t="shared" si="1"/>
        <v>0</v>
      </c>
      <c r="EV10" s="2631"/>
      <c r="EW10" s="284">
        <f>CU10-AS10</f>
        <v>-2100</v>
      </c>
      <c r="EX10" s="2631"/>
      <c r="EY10" s="287">
        <f>CV10-AU10</f>
        <v>0</v>
      </c>
      <c r="EZ10" s="2631"/>
      <c r="FA10" s="287">
        <f>CY10-AX10</f>
        <v>0</v>
      </c>
      <c r="FB10" s="2631"/>
      <c r="FC10" s="287">
        <f>CZ10-AY10</f>
        <v>0</v>
      </c>
      <c r="FD10" s="2631"/>
      <c r="FE10" s="287">
        <f>DA10-AZ10</f>
        <v>0</v>
      </c>
      <c r="FF10" s="2631"/>
      <c r="FG10" s="287">
        <f>DB10-BA10</f>
        <v>0</v>
      </c>
      <c r="FH10" s="2631"/>
      <c r="FI10" s="287">
        <f>DC10-BB10</f>
        <v>0</v>
      </c>
      <c r="FJ10" s="2631"/>
      <c r="FK10" s="287">
        <f>CX10-AW10</f>
        <v>0</v>
      </c>
      <c r="FL10" s="2631"/>
      <c r="FM10" s="287">
        <f>DF10-BE10</f>
        <v>78400</v>
      </c>
      <c r="FN10" s="2631"/>
      <c r="FO10" s="287">
        <f>DH10-BG10</f>
        <v>48.125</v>
      </c>
      <c r="FP10" s="2631"/>
      <c r="FQ10" s="287">
        <f t="shared" si="5"/>
        <v>48.125</v>
      </c>
      <c r="FR10" s="287">
        <f t="shared" si="5"/>
        <v>147.26249999999999</v>
      </c>
      <c r="FS10" s="287">
        <f t="shared" si="5"/>
        <v>94</v>
      </c>
      <c r="FT10" s="834">
        <f t="shared" si="5"/>
        <v>0</v>
      </c>
      <c r="FU10" s="834">
        <f>DR10-BO10</f>
        <v>0</v>
      </c>
      <c r="FV10" s="834">
        <f>DO10-BM10</f>
        <v>0</v>
      </c>
      <c r="FW10" s="834">
        <f>DQ10-BN10</f>
        <v>32.375</v>
      </c>
      <c r="FX10" s="834">
        <f t="shared" si="6"/>
        <v>0</v>
      </c>
      <c r="FY10" s="834">
        <f t="shared" si="6"/>
        <v>-40</v>
      </c>
      <c r="FZ10" s="834">
        <f t="shared" si="6"/>
        <v>0</v>
      </c>
      <c r="GA10" s="834">
        <f t="shared" si="6"/>
        <v>0</v>
      </c>
      <c r="GB10" s="2736"/>
      <c r="GC10" s="835">
        <f t="shared" si="4"/>
        <v>-7.625</v>
      </c>
      <c r="GD10" s="139"/>
      <c r="GE10" s="139"/>
      <c r="GF10" s="139"/>
      <c r="GG10" s="139"/>
      <c r="GH10" s="139"/>
      <c r="GI10" s="139"/>
      <c r="GJ10" s="139"/>
      <c r="GK10" s="139"/>
      <c r="GL10" s="139"/>
      <c r="GM10" s="139"/>
      <c r="GN10" s="139"/>
      <c r="GO10" s="139"/>
      <c r="GP10" s="139"/>
      <c r="GQ10" s="139"/>
      <c r="GR10" s="139"/>
      <c r="GS10" s="139"/>
      <c r="GT10" s="210"/>
      <c r="GU10" s="210"/>
      <c r="GV10" s="210"/>
    </row>
    <row r="11" spans="1:205" s="139" customFormat="1" ht="18.75">
      <c r="A11" s="2263"/>
      <c r="B11" s="2263"/>
      <c r="C11" s="132"/>
      <c r="D11" s="132"/>
      <c r="E11" s="132"/>
      <c r="F11" s="132"/>
      <c r="G11" s="137"/>
      <c r="H11" s="132"/>
      <c r="I11" s="136"/>
      <c r="J11" s="132"/>
      <c r="K11" s="132"/>
      <c r="L11" s="132"/>
      <c r="M11" s="132"/>
      <c r="N11" s="134"/>
      <c r="O11" s="134"/>
      <c r="P11" s="134"/>
      <c r="Q11" s="134"/>
      <c r="R11" s="137"/>
      <c r="S11" s="778"/>
      <c r="T11" s="634"/>
      <c r="U11" s="102"/>
      <c r="V11" s="634"/>
      <c r="W11" s="102"/>
      <c r="X11" s="102"/>
      <c r="Y11" s="102"/>
      <c r="Z11" s="634"/>
      <c r="AA11" s="102"/>
      <c r="AB11" s="634"/>
      <c r="AC11" s="102"/>
      <c r="AD11" s="634"/>
      <c r="AE11" s="102"/>
      <c r="AF11" s="102"/>
      <c r="AG11" s="102"/>
      <c r="AH11" s="102"/>
      <c r="AI11" s="634"/>
      <c r="AJ11" s="102"/>
      <c r="AK11" s="634"/>
      <c r="AL11" s="102"/>
      <c r="AM11" s="779"/>
      <c r="AN11" s="634"/>
      <c r="AO11" s="102"/>
      <c r="AP11" s="634"/>
      <c r="AQ11" s="102"/>
      <c r="AR11" s="634"/>
      <c r="AS11" s="102"/>
      <c r="AT11" s="634"/>
      <c r="AU11" s="102"/>
      <c r="AV11" s="634"/>
      <c r="AW11" s="102"/>
      <c r="AX11" s="102"/>
      <c r="AY11" s="102"/>
      <c r="AZ11" s="102"/>
      <c r="BA11" s="102"/>
      <c r="BB11" s="102"/>
      <c r="BC11" s="102"/>
      <c r="BD11" s="634"/>
      <c r="BE11" s="102"/>
      <c r="BF11" s="634"/>
      <c r="BG11" s="102"/>
      <c r="BH11" s="634"/>
      <c r="BI11" s="102"/>
      <c r="BJ11" s="122"/>
      <c r="BK11" s="88"/>
      <c r="BL11" s="102"/>
      <c r="BM11" s="102"/>
      <c r="BN11" s="102"/>
      <c r="BO11" s="102"/>
      <c r="BP11" s="102"/>
      <c r="BQ11" s="102"/>
      <c r="BR11" s="102"/>
      <c r="BS11" s="102"/>
      <c r="BT11" s="634"/>
      <c r="BU11" s="102"/>
      <c r="BW11" s="780"/>
      <c r="CA11" s="781"/>
      <c r="CB11" s="2258"/>
      <c r="CC11" s="782"/>
      <c r="CD11" s="782"/>
      <c r="CE11" s="634"/>
      <c r="CF11" s="836"/>
      <c r="CG11" s="837"/>
      <c r="CH11" s="783"/>
      <c r="CI11" s="634"/>
      <c r="CK11" s="634"/>
      <c r="CM11" s="634"/>
      <c r="CN11" s="784"/>
      <c r="CO11" s="784"/>
      <c r="CP11" s="784"/>
      <c r="CQ11" s="634"/>
      <c r="CR11" s="102"/>
      <c r="CS11" s="102"/>
      <c r="CT11" s="102"/>
      <c r="CU11" s="102"/>
      <c r="CV11" s="102"/>
      <c r="CW11" s="634"/>
      <c r="CX11" s="102"/>
      <c r="CY11" s="784"/>
      <c r="CZ11" s="784"/>
      <c r="DA11" s="784"/>
      <c r="DB11" s="784"/>
      <c r="DC11" s="784"/>
      <c r="DD11" s="784"/>
      <c r="DE11" s="634"/>
      <c r="DF11" s="784"/>
      <c r="DG11" s="634"/>
      <c r="DH11" s="296"/>
      <c r="DI11" s="802"/>
      <c r="DJ11" s="785"/>
      <c r="DK11" s="771"/>
      <c r="DL11" s="786"/>
      <c r="DM11" s="787"/>
      <c r="DN11" s="787"/>
      <c r="DO11" s="787"/>
      <c r="DP11" s="787"/>
      <c r="DQ11" s="787"/>
      <c r="DR11" s="787"/>
      <c r="DS11" s="787"/>
      <c r="DT11" s="787"/>
      <c r="DU11" s="787"/>
      <c r="DV11" s="787"/>
      <c r="DW11" s="802"/>
      <c r="DX11" s="788"/>
      <c r="DY11" s="634"/>
      <c r="DZ11" s="2288"/>
      <c r="EA11" s="2231"/>
      <c r="EB11" s="187"/>
      <c r="EC11" s="2232"/>
      <c r="ED11" s="187"/>
      <c r="EE11" s="187"/>
      <c r="EF11" s="2232"/>
      <c r="EG11" s="245"/>
      <c r="EH11" s="2232"/>
      <c r="EI11" s="187"/>
      <c r="EJ11" s="2232"/>
      <c r="EK11" s="187"/>
      <c r="EL11" s="2232"/>
      <c r="EM11" s="195"/>
      <c r="EN11" s="2232"/>
      <c r="EO11" s="195"/>
      <c r="EP11" s="2232"/>
      <c r="EQ11" s="187"/>
      <c r="ER11" s="2232"/>
      <c r="ES11" s="187"/>
      <c r="ET11" s="2232"/>
      <c r="EU11" s="187">
        <f t="shared" si="1"/>
        <v>0</v>
      </c>
      <c r="EV11" s="2232"/>
      <c r="EW11" s="187"/>
      <c r="EX11" s="2232"/>
      <c r="EY11" s="195"/>
      <c r="EZ11" s="2232"/>
      <c r="FA11" s="195"/>
      <c r="FB11" s="2232"/>
      <c r="FC11" s="195"/>
      <c r="FD11" s="2232"/>
      <c r="FE11" s="195"/>
      <c r="FF11" s="2232"/>
      <c r="FG11" s="195"/>
      <c r="FH11" s="2232"/>
      <c r="FI11" s="195"/>
      <c r="FJ11" s="2232"/>
      <c r="FK11" s="195"/>
      <c r="FL11" s="2232"/>
      <c r="FM11" s="187"/>
      <c r="FN11" s="2232"/>
      <c r="FO11" s="187"/>
      <c r="FP11" s="2232"/>
      <c r="FQ11" s="187"/>
      <c r="FR11" s="195"/>
      <c r="FS11" s="195"/>
      <c r="FT11" s="789"/>
      <c r="FU11" s="789"/>
      <c r="FV11" s="789"/>
      <c r="FW11" s="789"/>
      <c r="FX11" s="789"/>
      <c r="FY11" s="789"/>
      <c r="FZ11" s="789"/>
      <c r="GA11" s="789"/>
      <c r="GB11" s="2286"/>
      <c r="GC11" s="776"/>
    </row>
    <row r="12" spans="1:205" s="127" customFormat="1" ht="15" customHeight="1">
      <c r="A12" s="2588"/>
      <c r="B12" s="2588">
        <v>3</v>
      </c>
      <c r="C12" s="115" t="s">
        <v>703</v>
      </c>
      <c r="D12" s="115">
        <v>3187</v>
      </c>
      <c r="E12" s="115">
        <v>5</v>
      </c>
      <c r="F12" s="763">
        <v>2031870005</v>
      </c>
      <c r="G12" s="120">
        <v>2500</v>
      </c>
      <c r="H12" s="115" t="s">
        <v>704</v>
      </c>
      <c r="I12" s="119"/>
      <c r="J12" s="115">
        <v>0</v>
      </c>
      <c r="K12" s="115">
        <v>0</v>
      </c>
      <c r="L12" s="115">
        <v>2</v>
      </c>
      <c r="M12" s="115">
        <v>6.5</v>
      </c>
      <c r="N12" s="117">
        <v>0</v>
      </c>
      <c r="O12" s="117">
        <v>0</v>
      </c>
      <c r="P12" s="117">
        <v>0</v>
      </c>
      <c r="Q12" s="117">
        <v>0</v>
      </c>
      <c r="R12" s="120">
        <v>0</v>
      </c>
      <c r="S12" s="764" t="s">
        <v>723</v>
      </c>
      <c r="T12" s="2600">
        <f>SUM(U12:U15)</f>
        <v>0</v>
      </c>
      <c r="U12" s="122">
        <v>0</v>
      </c>
      <c r="V12" s="2600">
        <f>SUM(W12:W15)</f>
        <v>42590</v>
      </c>
      <c r="W12" s="122">
        <f>N12</f>
        <v>0</v>
      </c>
      <c r="X12" s="122"/>
      <c r="Y12" s="122">
        <f>W12-AA12</f>
        <v>0</v>
      </c>
      <c r="Z12" s="2600">
        <f>SUM(AA12:AA15)</f>
        <v>1218.75</v>
      </c>
      <c r="AA12" s="122">
        <v>0</v>
      </c>
      <c r="AB12" s="2600">
        <f>SUM(AC12:AC15)</f>
        <v>0</v>
      </c>
      <c r="AC12" s="122">
        <v>0</v>
      </c>
      <c r="AD12" s="2600">
        <f>SUM(AE12:AE15)</f>
        <v>0</v>
      </c>
      <c r="AE12" s="122">
        <f>AG12+AF12</f>
        <v>0</v>
      </c>
      <c r="AF12" s="122">
        <v>0</v>
      </c>
      <c r="AG12" s="122">
        <v>0</v>
      </c>
      <c r="AH12" s="122">
        <v>0</v>
      </c>
      <c r="AI12" s="2600">
        <f>SUM(AJ12:AJ15)</f>
        <v>0</v>
      </c>
      <c r="AJ12" s="122">
        <v>0</v>
      </c>
      <c r="AK12" s="2600">
        <f>SUM(AL12:AL15)</f>
        <v>3656.25</v>
      </c>
      <c r="AL12" s="122">
        <f>W12-(AA12+AC12+AE12+AH12+AJ12+AM12+AW12+AO12+AQ12+AS12+AU12)</f>
        <v>0</v>
      </c>
      <c r="AM12" s="765"/>
      <c r="AN12" s="2600">
        <f>SUM(AO12:AO15)</f>
        <v>33250</v>
      </c>
      <c r="AO12" s="122">
        <v>0</v>
      </c>
      <c r="AP12" s="2600">
        <f>SUM(AQ12:AQ15)</f>
        <v>0</v>
      </c>
      <c r="AQ12" s="122">
        <v>0</v>
      </c>
      <c r="AR12" s="2600">
        <f>SUM(AS12:AS15)</f>
        <v>4465</v>
      </c>
      <c r="AS12" s="122">
        <v>0</v>
      </c>
      <c r="AT12" s="2600">
        <f>SUM(AU12:AU15)</f>
        <v>0</v>
      </c>
      <c r="AU12" s="122">
        <v>0</v>
      </c>
      <c r="AV12" s="2600">
        <f>SUM(AW12:AW15)</f>
        <v>0</v>
      </c>
      <c r="AW12" s="122">
        <f>AX12+AY12+AZ12+BA12+BB12</f>
        <v>0</v>
      </c>
      <c r="AX12" s="122">
        <v>0</v>
      </c>
      <c r="AY12" s="122">
        <v>0</v>
      </c>
      <c r="AZ12" s="122">
        <v>0</v>
      </c>
      <c r="BA12" s="122">
        <v>0</v>
      </c>
      <c r="BB12" s="122">
        <v>0</v>
      </c>
      <c r="BC12" s="122">
        <v>0</v>
      </c>
      <c r="BD12" s="2600">
        <f>SUM(BE12:BE15)</f>
        <v>42590</v>
      </c>
      <c r="BE12" s="122">
        <f>U12+W12</f>
        <v>0</v>
      </c>
      <c r="BF12" s="2600">
        <f>SUM(BG12:BG15)</f>
        <v>0</v>
      </c>
      <c r="BG12" s="122">
        <f>U12/1000</f>
        <v>0</v>
      </c>
      <c r="BH12" s="2600">
        <f>SUM(BI12:BI15)</f>
        <v>0</v>
      </c>
      <c r="BI12" s="122">
        <v>0</v>
      </c>
      <c r="BJ12" s="122">
        <f>ROUND(BG12*3.06,0)</f>
        <v>0</v>
      </c>
      <c r="BK12" s="186">
        <f>ROUND((Y12+AC12+AA12)/1000*3,0)+ROUND((AE12+AU12)/1000,0)+ROUND((ROUND(AH12/400,0))/2.67,0)+ROUND(AM12/250,0)+ROUND(AO12/15000,0)+ROUND((AX12+AY12+AZ12+BB12)/1000*3,0)+ROUND(BG12/25,0)+ROUND(BU283/50,0)</f>
        <v>2</v>
      </c>
      <c r="BL12" s="122">
        <v>0</v>
      </c>
      <c r="BM12" s="122">
        <v>0</v>
      </c>
      <c r="BN12" s="122">
        <f>G12/300</f>
        <v>8.3333333333333339</v>
      </c>
      <c r="BO12" s="122">
        <f>AC12/1000</f>
        <v>0</v>
      </c>
      <c r="BP12" s="122">
        <f>AH12/1000</f>
        <v>0</v>
      </c>
      <c r="BQ12" s="122">
        <v>0</v>
      </c>
      <c r="BR12" s="122">
        <v>0</v>
      </c>
      <c r="BS12" s="122">
        <v>0</v>
      </c>
      <c r="BT12" s="2600">
        <f>SUM(BU12:BU15)</f>
        <v>8.3333333333333339</v>
      </c>
      <c r="BU12" s="122">
        <f>SUM(BL12:BS12)</f>
        <v>8.3333333333333339</v>
      </c>
      <c r="BV12" s="127">
        <v>0</v>
      </c>
      <c r="BW12" s="766" t="s">
        <v>705</v>
      </c>
      <c r="BX12" s="127">
        <v>4.5999999999999996</v>
      </c>
      <c r="BY12" s="127">
        <v>2</v>
      </c>
      <c r="BZ12" s="127">
        <v>4.5999999999999996</v>
      </c>
      <c r="CA12" s="767" t="s">
        <v>706</v>
      </c>
      <c r="CB12" s="2745" t="s">
        <v>838</v>
      </c>
      <c r="CC12" s="768">
        <f>(BX12*G12)-CF12</f>
        <v>9375</v>
      </c>
      <c r="CD12" s="2731">
        <f>SUM(CC12:CC15)</f>
        <v>77246.25</v>
      </c>
      <c r="CE12" s="2600">
        <f>SUM(CF12:CF15)</f>
        <v>10160.9</v>
      </c>
      <c r="CF12" s="838">
        <f>1*(G12)-(0.15*1*(G12))</f>
        <v>2125</v>
      </c>
      <c r="CG12" s="2600">
        <f>SUM(CH12:CH15)</f>
        <v>8942.15</v>
      </c>
      <c r="CH12" s="838">
        <f>CF12-CJ12</f>
        <v>2125</v>
      </c>
      <c r="CI12" s="2600">
        <f>SUM(CJ12:CJ15)</f>
        <v>1218.75</v>
      </c>
      <c r="CJ12" s="127">
        <v>0</v>
      </c>
      <c r="CK12" s="2600">
        <f>SUM(CL12:CL15)</f>
        <v>0</v>
      </c>
      <c r="CL12" s="127">
        <v>0</v>
      </c>
      <c r="CM12" s="2600">
        <f>SUM(CN12:CN15)</f>
        <v>8942.15</v>
      </c>
      <c r="CN12" s="122">
        <f>CF12-(CJ12+CL12+CO12+CP12+CR12+CU12+CV12+CX12)</f>
        <v>2125</v>
      </c>
      <c r="CO12" s="770">
        <v>0</v>
      </c>
      <c r="CP12" s="770">
        <v>0</v>
      </c>
      <c r="CQ12" s="2600">
        <f>SUM(CR12:CR15)</f>
        <v>0</v>
      </c>
      <c r="CR12" s="122">
        <v>0</v>
      </c>
      <c r="CS12" s="122">
        <v>0</v>
      </c>
      <c r="CT12" s="122">
        <v>0</v>
      </c>
      <c r="CU12" s="122">
        <v>0</v>
      </c>
      <c r="CV12" s="122">
        <v>0</v>
      </c>
      <c r="CW12" s="2600">
        <f>SUM(CX12:CX15)</f>
        <v>0</v>
      </c>
      <c r="CX12" s="122">
        <f>SUM(CY12:DC12)</f>
        <v>0</v>
      </c>
      <c r="CY12" s="122">
        <f t="shared" ref="CY12:DC15" si="7">AX12</f>
        <v>0</v>
      </c>
      <c r="CZ12" s="122">
        <f t="shared" si="7"/>
        <v>0</v>
      </c>
      <c r="DA12" s="122">
        <f t="shared" si="7"/>
        <v>0</v>
      </c>
      <c r="DB12" s="122">
        <f t="shared" si="7"/>
        <v>0</v>
      </c>
      <c r="DC12" s="122">
        <f t="shared" si="7"/>
        <v>0</v>
      </c>
      <c r="DD12" s="122"/>
      <c r="DE12" s="2600">
        <f>SUM(DF12:DF15)</f>
        <v>87407.15</v>
      </c>
      <c r="DF12" s="122">
        <f>CC12+CF12</f>
        <v>11500</v>
      </c>
      <c r="DG12" s="2600">
        <f>SUM(DH12:DH15)</f>
        <v>77.246250000000003</v>
      </c>
      <c r="DH12" s="293">
        <f>CC12/'[1]Projected Development Sites'!DF$134</f>
        <v>9.375</v>
      </c>
      <c r="DI12" s="2722">
        <f>SUM(DJ12:DJ15)</f>
        <v>77.246250000000003</v>
      </c>
      <c r="DJ12" s="771">
        <f>'[1]Projected Development Sites'!DK$136*DH12</f>
        <v>9.375</v>
      </c>
      <c r="DK12" s="771">
        <f>3.06*DH12</f>
        <v>28.6875</v>
      </c>
      <c r="DL12" s="772">
        <f>ROUND((CN12+CL12+CJ12)/1000*3,0)+ROUND((ROUND(CP12/400,0))/2.67,0)+ROUND(CV12/1000,0)+ROUND((CY12+CZ12+DA12+DC12)/1000*3,0)+ROUND(DH12/25,0)+ROUND(DX12/50,0)</f>
        <v>6</v>
      </c>
      <c r="DM12" s="773">
        <v>0</v>
      </c>
      <c r="DN12" s="773"/>
      <c r="DO12" s="773">
        <v>0</v>
      </c>
      <c r="DP12" s="773">
        <f>0.25*DJ12</f>
        <v>2.34375</v>
      </c>
      <c r="DQ12" s="773">
        <f>SUM(CO12,CJ12,CN12,CR12,CU12)/1000</f>
        <v>2.125</v>
      </c>
      <c r="DR12" s="773">
        <f>CL12/1000</f>
        <v>0</v>
      </c>
      <c r="DS12" s="773">
        <f>((CP12/400)/12)</f>
        <v>0</v>
      </c>
      <c r="DT12" s="773">
        <v>0</v>
      </c>
      <c r="DU12" s="773">
        <v>0</v>
      </c>
      <c r="DV12" s="773">
        <f>CX12/1000</f>
        <v>0</v>
      </c>
      <c r="DW12" s="2722">
        <f>SUM(DX12:DX15)</f>
        <v>10.1609</v>
      </c>
      <c r="DX12" s="774">
        <f>SUM(DM12,DO12,DQ12:DV12)</f>
        <v>2.125</v>
      </c>
      <c r="DY12" s="2725">
        <v>115</v>
      </c>
      <c r="DZ12" s="2728">
        <f>CD12-T12</f>
        <v>77246.25</v>
      </c>
      <c r="EA12" s="2602">
        <f>CE12-V12</f>
        <v>-32429.1</v>
      </c>
      <c r="EB12" s="187">
        <f>CF12-W12</f>
        <v>2125</v>
      </c>
      <c r="EC12" s="2602">
        <f>SUM(ED12:ED15)</f>
        <v>5285.9</v>
      </c>
      <c r="ED12" s="187">
        <v>2125</v>
      </c>
      <c r="EE12" s="187">
        <f>(SUM(CJ12:CO12))-(SUM(AA12:AE12,AL12))</f>
        <v>11067.15</v>
      </c>
      <c r="EF12" s="2602">
        <f>SUM(EG12:EG15)</f>
        <v>5285.9</v>
      </c>
      <c r="EG12" s="187">
        <v>2125</v>
      </c>
      <c r="EH12" s="2602">
        <f>SUM(EI12:EI15)</f>
        <v>0</v>
      </c>
      <c r="EI12" s="187">
        <f>CL12-AC12</f>
        <v>0</v>
      </c>
      <c r="EJ12" s="2602">
        <f>SUM(EK12:EK15)</f>
        <v>0</v>
      </c>
      <c r="EK12" s="187">
        <f>CJ12-AA12</f>
        <v>0</v>
      </c>
      <c r="EL12" s="2602">
        <f>SUM(EM12:EM15)</f>
        <v>0</v>
      </c>
      <c r="EM12" s="187">
        <f>CO12-AE12</f>
        <v>0</v>
      </c>
      <c r="EN12" s="2602">
        <f>SUM(EO12:EO15)</f>
        <v>0</v>
      </c>
      <c r="EO12" s="187">
        <f>CP12-AH12</f>
        <v>0</v>
      </c>
      <c r="EP12" s="2602">
        <f>SUM(EQ12:EQ15)</f>
        <v>0</v>
      </c>
      <c r="EQ12" s="187">
        <f>CR12-AJ12</f>
        <v>0</v>
      </c>
      <c r="ER12" s="2602">
        <f>SUM(ES12:ES15)</f>
        <v>-33250</v>
      </c>
      <c r="ES12" s="187">
        <f>CS12-AO12</f>
        <v>0</v>
      </c>
      <c r="ET12" s="2602">
        <f>SUM(EU12:EU15)</f>
        <v>0</v>
      </c>
      <c r="EU12" s="187">
        <f t="shared" si="1"/>
        <v>0</v>
      </c>
      <c r="EV12" s="2602">
        <f>SUM(EW12:EW15)</f>
        <v>-4465</v>
      </c>
      <c r="EW12" s="187">
        <f>CU12-AS12</f>
        <v>0</v>
      </c>
      <c r="EX12" s="2602">
        <f>SUM(EY12:EY15)</f>
        <v>0</v>
      </c>
      <c r="EY12" s="187">
        <f>CV12-AU12</f>
        <v>0</v>
      </c>
      <c r="EZ12" s="2602">
        <f>SUM(FA12:FA15)</f>
        <v>0</v>
      </c>
      <c r="FA12" s="187">
        <f>CY12-AX12</f>
        <v>0</v>
      </c>
      <c r="FB12" s="2602">
        <f>SUM(FC12:FC15)</f>
        <v>0</v>
      </c>
      <c r="FC12" s="187">
        <f>CZ12-AY12</f>
        <v>0</v>
      </c>
      <c r="FD12" s="2602">
        <f>SUM(FE12:FE15)</f>
        <v>0</v>
      </c>
      <c r="FE12" s="187">
        <f>DA12-AZ12</f>
        <v>0</v>
      </c>
      <c r="FF12" s="2602">
        <f>SUM(FG12:FG15)</f>
        <v>0</v>
      </c>
      <c r="FG12" s="187">
        <f>DB12-BA12</f>
        <v>0</v>
      </c>
      <c r="FH12" s="2602">
        <f>SUM(FI12:FI15)</f>
        <v>0</v>
      </c>
      <c r="FI12" s="187">
        <f>DC12-BB12</f>
        <v>0</v>
      </c>
      <c r="FJ12" s="2602">
        <f>SUM(FK12:FK15)</f>
        <v>0</v>
      </c>
      <c r="FK12" s="187">
        <f>CX12-AW12</f>
        <v>0</v>
      </c>
      <c r="FL12" s="2602">
        <f>SUM(FM12:FM15)</f>
        <v>44817.149999999994</v>
      </c>
      <c r="FM12" s="187">
        <f>DF12-BE12</f>
        <v>11500</v>
      </c>
      <c r="FN12" s="2602">
        <f>SUM(FO12:FO15)</f>
        <v>77.246250000000003</v>
      </c>
      <c r="FO12" s="187">
        <f>DH12-BG12</f>
        <v>9.375</v>
      </c>
      <c r="FP12" s="2602">
        <f>SUM(FQ12:FQ15)</f>
        <v>77.246250000000003</v>
      </c>
      <c r="FQ12" s="187">
        <f t="shared" ref="FQ12:FT15" si="8">DJ12-BI12</f>
        <v>9.375</v>
      </c>
      <c r="FR12" s="187">
        <f t="shared" si="8"/>
        <v>28.6875</v>
      </c>
      <c r="FS12" s="187">
        <f t="shared" si="8"/>
        <v>4</v>
      </c>
      <c r="FT12" s="775">
        <f t="shared" si="8"/>
        <v>0</v>
      </c>
      <c r="FU12" s="775">
        <f>DR12-BO12</f>
        <v>0</v>
      </c>
      <c r="FV12" s="775">
        <f>DO12-BM12</f>
        <v>0</v>
      </c>
      <c r="FW12" s="775">
        <f>DQ12-BN12</f>
        <v>-6.2083333333333339</v>
      </c>
      <c r="FX12" s="775">
        <f t="shared" ref="FX12:GA15" si="9">DS12-BP12</f>
        <v>0</v>
      </c>
      <c r="FY12" s="775">
        <f t="shared" si="9"/>
        <v>0</v>
      </c>
      <c r="FZ12" s="775">
        <f t="shared" si="9"/>
        <v>0</v>
      </c>
      <c r="GA12" s="775">
        <f t="shared" si="9"/>
        <v>0</v>
      </c>
      <c r="GB12" s="2734">
        <f>SUM(GC12:GC15)</f>
        <v>1.8275666666666659</v>
      </c>
      <c r="GC12" s="776">
        <f t="shared" si="4"/>
        <v>-6.2083333333333339</v>
      </c>
      <c r="GD12" s="139"/>
      <c r="GE12" s="139"/>
      <c r="GF12" s="139"/>
      <c r="GG12" s="139"/>
      <c r="GH12" s="139"/>
      <c r="GI12" s="139"/>
      <c r="GJ12" s="139"/>
      <c r="GK12" s="139"/>
      <c r="GL12" s="139"/>
      <c r="GM12" s="139"/>
      <c r="GN12" s="139"/>
      <c r="GO12" s="139"/>
      <c r="GP12" s="139"/>
      <c r="GQ12" s="139"/>
      <c r="GR12" s="139"/>
      <c r="GS12" s="139"/>
      <c r="GT12" s="139"/>
      <c r="GU12" s="139"/>
      <c r="GV12" s="139"/>
    </row>
    <row r="13" spans="1:205" s="139" customFormat="1" ht="15" customHeight="1">
      <c r="A13" s="2660"/>
      <c r="B13" s="2660"/>
      <c r="C13" s="132" t="s">
        <v>710</v>
      </c>
      <c r="D13" s="132">
        <v>3187</v>
      </c>
      <c r="E13" s="132">
        <v>3</v>
      </c>
      <c r="F13" s="777">
        <v>2031870003</v>
      </c>
      <c r="G13" s="137">
        <v>4579</v>
      </c>
      <c r="H13" s="132" t="s">
        <v>704</v>
      </c>
      <c r="I13" s="136"/>
      <c r="J13" s="132">
        <v>0.98</v>
      </c>
      <c r="K13" s="132">
        <v>0</v>
      </c>
      <c r="L13" s="132">
        <v>2</v>
      </c>
      <c r="M13" s="132">
        <v>6.5</v>
      </c>
      <c r="N13" s="134">
        <v>4465</v>
      </c>
      <c r="O13" s="134">
        <v>0</v>
      </c>
      <c r="P13" s="134">
        <v>0</v>
      </c>
      <c r="Q13" s="134">
        <v>4465</v>
      </c>
      <c r="R13" s="137">
        <v>0</v>
      </c>
      <c r="S13" s="778" t="s">
        <v>747</v>
      </c>
      <c r="T13" s="2643"/>
      <c r="U13" s="102">
        <v>0</v>
      </c>
      <c r="V13" s="2643"/>
      <c r="W13" s="102">
        <f>N13</f>
        <v>4465</v>
      </c>
      <c r="X13" s="102"/>
      <c r="Y13" s="102">
        <f>W13-AA13</f>
        <v>4465</v>
      </c>
      <c r="Z13" s="2643"/>
      <c r="AA13" s="102">
        <v>0</v>
      </c>
      <c r="AB13" s="2643"/>
      <c r="AC13" s="102">
        <v>0</v>
      </c>
      <c r="AD13" s="2643"/>
      <c r="AE13" s="102">
        <f>AG13+AF13</f>
        <v>0</v>
      </c>
      <c r="AF13" s="102">
        <v>0</v>
      </c>
      <c r="AG13" s="102">
        <v>0</v>
      </c>
      <c r="AH13" s="102">
        <v>0</v>
      </c>
      <c r="AI13" s="2643"/>
      <c r="AJ13" s="102">
        <v>0</v>
      </c>
      <c r="AK13" s="2643"/>
      <c r="AL13" s="102">
        <f>W13-(AA13+AC13+AE13+AH13+AJ13+AM13+AW13+AO13+AQ13+AS13+AU13)</f>
        <v>0</v>
      </c>
      <c r="AM13" s="779"/>
      <c r="AN13" s="2643"/>
      <c r="AO13" s="102">
        <v>0</v>
      </c>
      <c r="AP13" s="2643"/>
      <c r="AQ13" s="102">
        <v>0</v>
      </c>
      <c r="AR13" s="2643"/>
      <c r="AS13" s="102">
        <v>4465</v>
      </c>
      <c r="AT13" s="2643"/>
      <c r="AU13" s="102">
        <v>0</v>
      </c>
      <c r="AV13" s="2643"/>
      <c r="AW13" s="102">
        <f>AX13+AY13+AZ13+BA13+BB13</f>
        <v>0</v>
      </c>
      <c r="AX13" s="102">
        <v>0</v>
      </c>
      <c r="AY13" s="102">
        <v>0</v>
      </c>
      <c r="AZ13" s="102">
        <v>0</v>
      </c>
      <c r="BA13" s="102">
        <v>0</v>
      </c>
      <c r="BB13" s="102">
        <v>0</v>
      </c>
      <c r="BC13" s="102">
        <v>0</v>
      </c>
      <c r="BD13" s="2643"/>
      <c r="BE13" s="102">
        <f>U13+W13</f>
        <v>4465</v>
      </c>
      <c r="BF13" s="2643"/>
      <c r="BG13" s="102">
        <f>U13/1000</f>
        <v>0</v>
      </c>
      <c r="BH13" s="2643"/>
      <c r="BI13" s="102">
        <v>0</v>
      </c>
      <c r="BJ13" s="102">
        <f>ROUND(BG13*3.06,0)</f>
        <v>0</v>
      </c>
      <c r="BK13" s="186">
        <f>ROUND((Y13+AC13+AA13)/1000*3,0)+ROUND((AE13+AU13)/1000,0)+ROUND((ROUND(AH13/400,0))/2.67,0)+ROUND(AM13/250,0)+ROUND(AO13/15000,0)+ROUND((AX13+AY13+AZ13+BB13)/1000*3,0)+ROUND(BG13/25,0)+ROUND(BU292/50,0)</f>
        <v>13</v>
      </c>
      <c r="BL13" s="102">
        <v>0</v>
      </c>
      <c r="BM13" s="102">
        <v>0</v>
      </c>
      <c r="BN13" s="102">
        <v>0</v>
      </c>
      <c r="BO13" s="102">
        <f>AC13/1000</f>
        <v>0</v>
      </c>
      <c r="BP13" s="102">
        <f>AH13/1000</f>
        <v>0</v>
      </c>
      <c r="BQ13" s="102">
        <v>0</v>
      </c>
      <c r="BR13" s="102">
        <v>0</v>
      </c>
      <c r="BS13" s="102">
        <v>0</v>
      </c>
      <c r="BT13" s="2643"/>
      <c r="BU13" s="102">
        <f>SUM(BL13:BS13)</f>
        <v>0</v>
      </c>
      <c r="BV13" s="139">
        <v>15</v>
      </c>
      <c r="BW13" s="780" t="s">
        <v>705</v>
      </c>
      <c r="BX13" s="139">
        <v>4.5999999999999996</v>
      </c>
      <c r="BY13" s="139">
        <v>2</v>
      </c>
      <c r="BZ13" s="139">
        <v>4.5999999999999996</v>
      </c>
      <c r="CA13" s="781" t="s">
        <v>706</v>
      </c>
      <c r="CB13" s="2746"/>
      <c r="CC13" s="782">
        <f>(BX13*G13)-CF13</f>
        <v>17171.249999999996</v>
      </c>
      <c r="CD13" s="2732"/>
      <c r="CE13" s="2643"/>
      <c r="CF13" s="783">
        <f>1*(G13)-(0.15*1*(G13))</f>
        <v>3892.15</v>
      </c>
      <c r="CG13" s="2643"/>
      <c r="CH13" s="783">
        <f>CF13-CJ13</f>
        <v>3892.15</v>
      </c>
      <c r="CI13" s="2643"/>
      <c r="CJ13" s="139">
        <v>0</v>
      </c>
      <c r="CK13" s="2643"/>
      <c r="CL13" s="139">
        <v>0</v>
      </c>
      <c r="CM13" s="2643"/>
      <c r="CN13" s="784">
        <f>CF13-(CJ13+CL13+CO13+CP13+CR13+CU13+CV13+CX13)</f>
        <v>3892.15</v>
      </c>
      <c r="CO13" s="784">
        <v>0</v>
      </c>
      <c r="CP13" s="784">
        <v>0</v>
      </c>
      <c r="CQ13" s="2643"/>
      <c r="CR13" s="102">
        <v>0</v>
      </c>
      <c r="CS13" s="102">
        <v>0</v>
      </c>
      <c r="CT13" s="102">
        <v>0</v>
      </c>
      <c r="CU13" s="102">
        <v>0</v>
      </c>
      <c r="CV13" s="102">
        <v>0</v>
      </c>
      <c r="CW13" s="2643"/>
      <c r="CX13" s="102">
        <f>SUM(CY13:DC13)</f>
        <v>0</v>
      </c>
      <c r="CY13" s="102">
        <f t="shared" si="7"/>
        <v>0</v>
      </c>
      <c r="CZ13" s="102">
        <f t="shared" si="7"/>
        <v>0</v>
      </c>
      <c r="DA13" s="102">
        <f t="shared" si="7"/>
        <v>0</v>
      </c>
      <c r="DB13" s="102">
        <f t="shared" si="7"/>
        <v>0</v>
      </c>
      <c r="DC13" s="102">
        <f t="shared" si="7"/>
        <v>0</v>
      </c>
      <c r="DD13" s="102"/>
      <c r="DE13" s="2643"/>
      <c r="DF13" s="102">
        <f>CC13+CF13</f>
        <v>21063.399999999998</v>
      </c>
      <c r="DG13" s="2643"/>
      <c r="DH13" s="296">
        <f>CC13/'[1]Projected Development Sites'!DF$134</f>
        <v>17.171249999999997</v>
      </c>
      <c r="DI13" s="2723"/>
      <c r="DJ13" s="785">
        <f>'[1]Projected Development Sites'!DK$136*DH13</f>
        <v>17.171249999999997</v>
      </c>
      <c r="DK13" s="785">
        <f>3.06*DH13</f>
        <v>52.544024999999991</v>
      </c>
      <c r="DL13" s="786">
        <f>ROUND((CN13+CL13+CJ13)/1000*3,0)+ROUND((ROUND(CP13/400,0))/2.67,0)+ROUND(CV13/1000,0)+ROUND((CY13+CZ13+DA13+DC13)/1000*3,0)+ROUND(DH13/25,0)+ROUND(DX13/50,0)</f>
        <v>13</v>
      </c>
      <c r="DM13" s="787">
        <v>0</v>
      </c>
      <c r="DN13" s="787"/>
      <c r="DO13" s="787">
        <v>0</v>
      </c>
      <c r="DP13" s="787">
        <f>0.25*DJ13</f>
        <v>4.2928124999999993</v>
      </c>
      <c r="DQ13" s="787">
        <f>SUM(CO13,CJ13,CN13,CR13,CU13)/1000</f>
        <v>3.89215</v>
      </c>
      <c r="DR13" s="787">
        <f>CL13/1000</f>
        <v>0</v>
      </c>
      <c r="DS13" s="787">
        <f>((CP13/400)/12)</f>
        <v>0</v>
      </c>
      <c r="DT13" s="787">
        <v>0</v>
      </c>
      <c r="DU13" s="787">
        <v>0</v>
      </c>
      <c r="DV13" s="787">
        <f>CX13/1000</f>
        <v>0</v>
      </c>
      <c r="DW13" s="2723"/>
      <c r="DX13" s="788">
        <f>SUM(DM13,DO13,DQ13:DV13)</f>
        <v>3.89215</v>
      </c>
      <c r="DY13" s="2726"/>
      <c r="DZ13" s="2729"/>
      <c r="EA13" s="2665"/>
      <c r="EB13" s="195">
        <f>CF13-W13</f>
        <v>-572.84999999999991</v>
      </c>
      <c r="EC13" s="2665"/>
      <c r="ED13" s="195">
        <v>3892.15</v>
      </c>
      <c r="EE13" s="195">
        <f>(SUM(CJ13:CO13))-(SUM(AA13:AE13,AL13))</f>
        <v>3892.15</v>
      </c>
      <c r="EF13" s="2665"/>
      <c r="EG13" s="195">
        <v>3892.15</v>
      </c>
      <c r="EH13" s="2665"/>
      <c r="EI13" s="195">
        <f>CL13-AC13</f>
        <v>0</v>
      </c>
      <c r="EJ13" s="2665"/>
      <c r="EK13" s="195">
        <f>CJ13-AA13</f>
        <v>0</v>
      </c>
      <c r="EL13" s="2665"/>
      <c r="EM13" s="195">
        <f>CO13-AE13</f>
        <v>0</v>
      </c>
      <c r="EN13" s="2665"/>
      <c r="EO13" s="195">
        <f>CP13-AH13</f>
        <v>0</v>
      </c>
      <c r="EP13" s="2665"/>
      <c r="EQ13" s="195">
        <f>CR13-AJ13</f>
        <v>0</v>
      </c>
      <c r="ER13" s="2665"/>
      <c r="ES13" s="195">
        <f>CS13-AO13</f>
        <v>0</v>
      </c>
      <c r="ET13" s="2665"/>
      <c r="EU13" s="195">
        <f t="shared" si="1"/>
        <v>0</v>
      </c>
      <c r="EV13" s="2665"/>
      <c r="EW13" s="195">
        <f>CU13-AS13</f>
        <v>-4465</v>
      </c>
      <c r="EX13" s="2665"/>
      <c r="EY13" s="195">
        <f>CV13-AU13</f>
        <v>0</v>
      </c>
      <c r="EZ13" s="2665"/>
      <c r="FA13" s="195">
        <f>CY13-AX13</f>
        <v>0</v>
      </c>
      <c r="FB13" s="2665"/>
      <c r="FC13" s="195">
        <f>CZ13-AY13</f>
        <v>0</v>
      </c>
      <c r="FD13" s="2665"/>
      <c r="FE13" s="195">
        <f>DA13-AZ13</f>
        <v>0</v>
      </c>
      <c r="FF13" s="2665"/>
      <c r="FG13" s="195">
        <f>DB13-BA13</f>
        <v>0</v>
      </c>
      <c r="FH13" s="2665"/>
      <c r="FI13" s="195">
        <f>DC13-BB13</f>
        <v>0</v>
      </c>
      <c r="FJ13" s="2665"/>
      <c r="FK13" s="195">
        <f>CX13-AW13</f>
        <v>0</v>
      </c>
      <c r="FL13" s="2665"/>
      <c r="FM13" s="195">
        <f>DF13-BE13</f>
        <v>16598.399999999998</v>
      </c>
      <c r="FN13" s="2665"/>
      <c r="FO13" s="195">
        <f>DH13-BG13</f>
        <v>17.171249999999997</v>
      </c>
      <c r="FP13" s="2665"/>
      <c r="FQ13" s="195">
        <f t="shared" si="8"/>
        <v>17.171249999999997</v>
      </c>
      <c r="FR13" s="195">
        <f t="shared" si="8"/>
        <v>52.544024999999991</v>
      </c>
      <c r="FS13" s="195">
        <f t="shared" si="8"/>
        <v>0</v>
      </c>
      <c r="FT13" s="789">
        <f t="shared" si="8"/>
        <v>0</v>
      </c>
      <c r="FU13" s="789">
        <f>DR13-BO13</f>
        <v>0</v>
      </c>
      <c r="FV13" s="789">
        <f>DO13-BM13</f>
        <v>0</v>
      </c>
      <c r="FW13" s="789">
        <f>DQ13-BN13</f>
        <v>3.89215</v>
      </c>
      <c r="FX13" s="789">
        <f t="shared" si="9"/>
        <v>0</v>
      </c>
      <c r="FY13" s="789">
        <f t="shared" si="9"/>
        <v>0</v>
      </c>
      <c r="FZ13" s="789">
        <f t="shared" si="9"/>
        <v>0</v>
      </c>
      <c r="GA13" s="789">
        <f t="shared" si="9"/>
        <v>0</v>
      </c>
      <c r="GB13" s="2735"/>
      <c r="GC13" s="790">
        <f t="shared" si="4"/>
        <v>3.89215</v>
      </c>
    </row>
    <row r="14" spans="1:205" s="139" customFormat="1" ht="15" customHeight="1">
      <c r="A14" s="2660"/>
      <c r="B14" s="2660"/>
      <c r="C14" s="132" t="s">
        <v>721</v>
      </c>
      <c r="D14" s="132">
        <v>3187</v>
      </c>
      <c r="E14" s="132">
        <v>7</v>
      </c>
      <c r="F14" s="132">
        <v>2031870007</v>
      </c>
      <c r="G14" s="132">
        <v>7500</v>
      </c>
      <c r="H14" s="135" t="s">
        <v>704</v>
      </c>
      <c r="I14" s="136"/>
      <c r="J14" s="132">
        <v>4.43</v>
      </c>
      <c r="K14" s="132">
        <v>0</v>
      </c>
      <c r="L14" s="132">
        <v>2</v>
      </c>
      <c r="M14" s="132">
        <v>6.5</v>
      </c>
      <c r="N14" s="134">
        <v>33250</v>
      </c>
      <c r="O14" s="134">
        <v>0</v>
      </c>
      <c r="P14" s="134">
        <v>0</v>
      </c>
      <c r="Q14" s="134">
        <v>33250</v>
      </c>
      <c r="R14" s="137">
        <v>0</v>
      </c>
      <c r="S14" s="839" t="s">
        <v>839</v>
      </c>
      <c r="T14" s="2643"/>
      <c r="U14" s="102">
        <v>0</v>
      </c>
      <c r="V14" s="2643"/>
      <c r="W14" s="102">
        <f>Q14</f>
        <v>33250</v>
      </c>
      <c r="X14" s="102"/>
      <c r="Y14" s="102">
        <f>W14-AA14</f>
        <v>33250</v>
      </c>
      <c r="Z14" s="2643"/>
      <c r="AA14" s="102">
        <v>0</v>
      </c>
      <c r="AB14" s="2643"/>
      <c r="AC14" s="102">
        <v>0</v>
      </c>
      <c r="AD14" s="2643"/>
      <c r="AE14" s="102">
        <f>AG14+AF14</f>
        <v>0</v>
      </c>
      <c r="AF14" s="102">
        <v>0</v>
      </c>
      <c r="AG14" s="102">
        <v>0</v>
      </c>
      <c r="AH14" s="102">
        <v>0</v>
      </c>
      <c r="AI14" s="2643"/>
      <c r="AJ14" s="102">
        <v>0</v>
      </c>
      <c r="AK14" s="2643"/>
      <c r="AL14" s="102">
        <f>W14-(AA14+AC14+AE14+AH14+AJ14+AM14+AW14+AO14+AQ14+AS14+AU14)</f>
        <v>0</v>
      </c>
      <c r="AM14" s="779"/>
      <c r="AN14" s="2643"/>
      <c r="AO14" s="102">
        <v>33250</v>
      </c>
      <c r="AP14" s="2643"/>
      <c r="AQ14" s="102">
        <v>0</v>
      </c>
      <c r="AR14" s="2643"/>
      <c r="AS14" s="102">
        <v>0</v>
      </c>
      <c r="AT14" s="2643"/>
      <c r="AU14" s="102">
        <v>0</v>
      </c>
      <c r="AV14" s="2643"/>
      <c r="AW14" s="102">
        <f>AX14+AY14+AZ14+BA14+BB14</f>
        <v>0</v>
      </c>
      <c r="AX14" s="102">
        <v>0</v>
      </c>
      <c r="AY14" s="102">
        <v>0</v>
      </c>
      <c r="AZ14" s="102">
        <v>0</v>
      </c>
      <c r="BA14" s="102">
        <v>0</v>
      </c>
      <c r="BB14" s="102">
        <v>0</v>
      </c>
      <c r="BC14" s="102">
        <v>0</v>
      </c>
      <c r="BD14" s="2643"/>
      <c r="BE14" s="102">
        <f>U14+W14</f>
        <v>33250</v>
      </c>
      <c r="BF14" s="2643"/>
      <c r="BG14" s="102">
        <v>0</v>
      </c>
      <c r="BH14" s="2643"/>
      <c r="BI14" s="102">
        <v>0</v>
      </c>
      <c r="BJ14" s="102">
        <f>ROUND(BG14*3.06,0)</f>
        <v>0</v>
      </c>
      <c r="BK14" s="306">
        <f>ROUND((AL14+AC14+AA14)/1000*3,0)+ROUND((AE14+AU14)/1000,0)+ROUND((ROUND(AH14/400,0))/2.67,0)+ROUND(AJ14/250,0)+ROUND(AO14/15000,0)+ROUND((AX14+AY14+AZ14+BB14)/1000*3,0)+ROUND(BG14/25,0)+ROUND(BU14/50,0)</f>
        <v>2</v>
      </c>
      <c r="BL14" s="102">
        <v>0</v>
      </c>
      <c r="BM14" s="102">
        <v>0</v>
      </c>
      <c r="BN14" s="102">
        <v>0</v>
      </c>
      <c r="BO14" s="102">
        <f>AC14/1000</f>
        <v>0</v>
      </c>
      <c r="BP14" s="102">
        <f>AH14/1000</f>
        <v>0</v>
      </c>
      <c r="BQ14" s="102">
        <v>0</v>
      </c>
      <c r="BR14" s="102">
        <v>0</v>
      </c>
      <c r="BS14" s="102">
        <v>0</v>
      </c>
      <c r="BT14" s="2643"/>
      <c r="BU14" s="102">
        <f>SUM(BL14:BS14)</f>
        <v>0</v>
      </c>
      <c r="BV14" s="139">
        <v>83</v>
      </c>
      <c r="BW14" s="780" t="s">
        <v>705</v>
      </c>
      <c r="BX14" s="139">
        <v>4.5999999999999996</v>
      </c>
      <c r="BY14" s="139">
        <v>2</v>
      </c>
      <c r="BZ14" s="139">
        <v>4.5999999999999996</v>
      </c>
      <c r="CA14" s="781" t="s">
        <v>706</v>
      </c>
      <c r="CB14" s="2746"/>
      <c r="CC14" s="782">
        <f>(Q14)-(Q14/6*0.15)</f>
        <v>32418.75</v>
      </c>
      <c r="CD14" s="2732"/>
      <c r="CE14" s="2643"/>
      <c r="CF14" s="840">
        <v>0</v>
      </c>
      <c r="CG14" s="2643"/>
      <c r="CH14" s="840">
        <v>0</v>
      </c>
      <c r="CI14" s="2643"/>
      <c r="CJ14" s="139">
        <v>0</v>
      </c>
      <c r="CK14" s="2643"/>
      <c r="CL14" s="139">
        <v>0</v>
      </c>
      <c r="CM14" s="2643"/>
      <c r="CN14" s="102">
        <f>CF14-(CJ14+CL14+CO14+CP14+CR14+CU14+CV14+CX14)</f>
        <v>0</v>
      </c>
      <c r="CO14" s="784">
        <v>0</v>
      </c>
      <c r="CP14" s="784">
        <v>0</v>
      </c>
      <c r="CQ14" s="2643"/>
      <c r="CR14" s="102">
        <v>0</v>
      </c>
      <c r="CS14" s="102">
        <v>0</v>
      </c>
      <c r="CT14" s="102">
        <v>0</v>
      </c>
      <c r="CU14" s="102">
        <v>0</v>
      </c>
      <c r="CV14" s="102">
        <v>0</v>
      </c>
      <c r="CW14" s="2643"/>
      <c r="CX14" s="102">
        <f>SUM(CY14:DC14)</f>
        <v>0</v>
      </c>
      <c r="CY14" s="102">
        <f t="shared" si="7"/>
        <v>0</v>
      </c>
      <c r="CZ14" s="102">
        <f t="shared" si="7"/>
        <v>0</v>
      </c>
      <c r="DA14" s="102">
        <f t="shared" si="7"/>
        <v>0</v>
      </c>
      <c r="DB14" s="102">
        <f t="shared" si="7"/>
        <v>0</v>
      </c>
      <c r="DC14" s="102">
        <f t="shared" si="7"/>
        <v>0</v>
      </c>
      <c r="DD14" s="102"/>
      <c r="DE14" s="2643"/>
      <c r="DF14" s="102">
        <f>CC14+CF14</f>
        <v>32418.75</v>
      </c>
      <c r="DG14" s="2643"/>
      <c r="DH14" s="296">
        <f>CC14/'[1]Projected Development Sites'!DF$134</f>
        <v>32.418750000000003</v>
      </c>
      <c r="DI14" s="2723"/>
      <c r="DJ14" s="785">
        <f>'[1]Projected Development Sites'!DK$136*DH14</f>
        <v>32.418750000000003</v>
      </c>
      <c r="DK14" s="785">
        <f>3.06*DH14</f>
        <v>99.201375000000013</v>
      </c>
      <c r="DL14" s="786">
        <f>ROUND((CN14+CL14+CJ14)/1000*3,0)+ROUND((ROUND(CP14/400,0))/2.67,0)+ROUND(CV14/1000,0)+ROUND((CY14+CZ14+DA14+DC14)/1000*3,0)+ROUND(DH14/25,0)+ROUND(DX14/50,0)</f>
        <v>1</v>
      </c>
      <c r="DM14" s="787">
        <v>0</v>
      </c>
      <c r="DN14" s="787"/>
      <c r="DO14" s="787">
        <v>0</v>
      </c>
      <c r="DP14" s="787">
        <f>0.25*DJ14</f>
        <v>8.1046875000000007</v>
      </c>
      <c r="DQ14" s="787">
        <f>SUM(CO14,CJ14,CN14,CR14,CU14)/1000</f>
        <v>0</v>
      </c>
      <c r="DR14" s="787">
        <f>CL14/1000</f>
        <v>0</v>
      </c>
      <c r="DS14" s="787">
        <f>((CP14/400)/12)</f>
        <v>0</v>
      </c>
      <c r="DT14" s="787">
        <v>0</v>
      </c>
      <c r="DU14" s="787">
        <v>0</v>
      </c>
      <c r="DV14" s="787">
        <f>CX14/1000</f>
        <v>0</v>
      </c>
      <c r="DW14" s="2723"/>
      <c r="DX14" s="788">
        <f>SUM(DM14,DO14,DQ14:DV14)</f>
        <v>0</v>
      </c>
      <c r="DY14" s="2726"/>
      <c r="DZ14" s="2729"/>
      <c r="EA14" s="2665"/>
      <c r="EB14" s="195">
        <f>CF14-W14</f>
        <v>-33250</v>
      </c>
      <c r="EC14" s="2665"/>
      <c r="ED14" s="195">
        <v>0</v>
      </c>
      <c r="EE14" s="195">
        <f>(SUM(CJ14:CO14))-(SUM(AA14:AE14,AL14))</f>
        <v>0</v>
      </c>
      <c r="EF14" s="2665"/>
      <c r="EG14" s="195">
        <v>0</v>
      </c>
      <c r="EH14" s="2665"/>
      <c r="EI14" s="195">
        <f>CL14-AC14</f>
        <v>0</v>
      </c>
      <c r="EJ14" s="2665"/>
      <c r="EK14" s="195">
        <f>CJ14-AA14</f>
        <v>0</v>
      </c>
      <c r="EL14" s="2665"/>
      <c r="EM14" s="195">
        <f>CO14-AE14</f>
        <v>0</v>
      </c>
      <c r="EN14" s="2665"/>
      <c r="EO14" s="195">
        <f>CP14-AH14</f>
        <v>0</v>
      </c>
      <c r="EP14" s="2665"/>
      <c r="EQ14" s="195">
        <f>CR14-AJ14</f>
        <v>0</v>
      </c>
      <c r="ER14" s="2665"/>
      <c r="ES14" s="195">
        <f>CS14-AO14</f>
        <v>-33250</v>
      </c>
      <c r="ET14" s="2665"/>
      <c r="EU14" s="195">
        <f t="shared" si="1"/>
        <v>0</v>
      </c>
      <c r="EV14" s="2665"/>
      <c r="EW14" s="195">
        <f>CU14-AS14</f>
        <v>0</v>
      </c>
      <c r="EX14" s="2665"/>
      <c r="EY14" s="195">
        <f>CV14-AU14</f>
        <v>0</v>
      </c>
      <c r="EZ14" s="2665"/>
      <c r="FA14" s="195">
        <f>CY14-AX14</f>
        <v>0</v>
      </c>
      <c r="FB14" s="2665"/>
      <c r="FC14" s="195">
        <f>CZ14-AY14</f>
        <v>0</v>
      </c>
      <c r="FD14" s="2665"/>
      <c r="FE14" s="195">
        <f>DA14-AZ14</f>
        <v>0</v>
      </c>
      <c r="FF14" s="2665"/>
      <c r="FG14" s="195">
        <f>DB14-BA14</f>
        <v>0</v>
      </c>
      <c r="FH14" s="2665"/>
      <c r="FI14" s="195">
        <f>DC14-BB14</f>
        <v>0</v>
      </c>
      <c r="FJ14" s="2665"/>
      <c r="FK14" s="195">
        <f>CX14-AW14</f>
        <v>0</v>
      </c>
      <c r="FL14" s="2665"/>
      <c r="FM14" s="195">
        <f>DF14-BE14</f>
        <v>-831.25</v>
      </c>
      <c r="FN14" s="2665"/>
      <c r="FO14" s="195">
        <f>DH14-BG14</f>
        <v>32.418750000000003</v>
      </c>
      <c r="FP14" s="2665"/>
      <c r="FQ14" s="195">
        <f t="shared" si="8"/>
        <v>32.418750000000003</v>
      </c>
      <c r="FR14" s="195">
        <f t="shared" si="8"/>
        <v>99.201375000000013</v>
      </c>
      <c r="FS14" s="195">
        <f t="shared" si="8"/>
        <v>-1</v>
      </c>
      <c r="FT14" s="789">
        <f t="shared" si="8"/>
        <v>0</v>
      </c>
      <c r="FU14" s="789">
        <f>DR14-BO14</f>
        <v>0</v>
      </c>
      <c r="FV14" s="789">
        <f>DO14-BM14</f>
        <v>0</v>
      </c>
      <c r="FW14" s="789">
        <f>DQ14-BN14</f>
        <v>0</v>
      </c>
      <c r="FX14" s="789">
        <f t="shared" si="9"/>
        <v>0</v>
      </c>
      <c r="FY14" s="789">
        <f t="shared" si="9"/>
        <v>0</v>
      </c>
      <c r="FZ14" s="789">
        <f t="shared" si="9"/>
        <v>0</v>
      </c>
      <c r="GA14" s="789">
        <f t="shared" si="9"/>
        <v>0</v>
      </c>
      <c r="GB14" s="2735"/>
      <c r="GC14" s="790">
        <f t="shared" si="4"/>
        <v>0</v>
      </c>
    </row>
    <row r="15" spans="1:205" s="81" customFormat="1" ht="15" customHeight="1">
      <c r="A15" s="2589"/>
      <c r="B15" s="2589"/>
      <c r="C15" s="66" t="s">
        <v>724</v>
      </c>
      <c r="D15" s="66">
        <v>3187</v>
      </c>
      <c r="E15" s="66">
        <v>1</v>
      </c>
      <c r="F15" s="841">
        <v>2031870001</v>
      </c>
      <c r="G15" s="66">
        <v>4875</v>
      </c>
      <c r="H15" s="69" t="s">
        <v>704</v>
      </c>
      <c r="I15" s="70"/>
      <c r="J15" s="66">
        <v>1</v>
      </c>
      <c r="K15" s="66">
        <v>0</v>
      </c>
      <c r="L15" s="66">
        <v>2</v>
      </c>
      <c r="M15" s="66">
        <v>6.5</v>
      </c>
      <c r="N15" s="68">
        <v>4875</v>
      </c>
      <c r="O15" s="68">
        <v>0</v>
      </c>
      <c r="P15" s="68">
        <v>2437</v>
      </c>
      <c r="Q15" s="68">
        <v>4875</v>
      </c>
      <c r="R15" s="71">
        <v>0</v>
      </c>
      <c r="S15" s="842" t="s">
        <v>840</v>
      </c>
      <c r="T15" s="2601"/>
      <c r="U15" s="74">
        <v>0</v>
      </c>
      <c r="V15" s="2601"/>
      <c r="W15" s="74">
        <f>N15</f>
        <v>4875</v>
      </c>
      <c r="X15" s="74"/>
      <c r="Y15" s="74">
        <f>W15-AA15</f>
        <v>3656.25</v>
      </c>
      <c r="Z15" s="2601"/>
      <c r="AA15" s="74">
        <f>0.25*W15</f>
        <v>1218.75</v>
      </c>
      <c r="AB15" s="2601"/>
      <c r="AC15" s="74">
        <v>0</v>
      </c>
      <c r="AD15" s="2601"/>
      <c r="AE15" s="74">
        <f>AG15+AF15</f>
        <v>0</v>
      </c>
      <c r="AF15" s="74">
        <v>0</v>
      </c>
      <c r="AG15" s="74">
        <v>0</v>
      </c>
      <c r="AH15" s="74">
        <v>0</v>
      </c>
      <c r="AI15" s="2601"/>
      <c r="AJ15" s="74">
        <v>0</v>
      </c>
      <c r="AK15" s="2601"/>
      <c r="AL15" s="74">
        <f>W15-(AA15+AC15+AE15+AH15+AJ15+AM15+AW15+AO15+AQ15+AS15+AU15)</f>
        <v>3656.25</v>
      </c>
      <c r="AM15" s="792"/>
      <c r="AN15" s="2601"/>
      <c r="AO15" s="74">
        <v>0</v>
      </c>
      <c r="AP15" s="2601"/>
      <c r="AQ15" s="74">
        <v>0</v>
      </c>
      <c r="AR15" s="2601"/>
      <c r="AS15" s="74">
        <v>0</v>
      </c>
      <c r="AT15" s="2601"/>
      <c r="AU15" s="74">
        <v>0</v>
      </c>
      <c r="AV15" s="2601"/>
      <c r="AW15" s="74">
        <f>AX15+AY15+AZ15+BA15+BB15</f>
        <v>0</v>
      </c>
      <c r="AX15" s="74">
        <v>0</v>
      </c>
      <c r="AY15" s="74">
        <v>0</v>
      </c>
      <c r="AZ15" s="74">
        <v>0</v>
      </c>
      <c r="BA15" s="74">
        <v>0</v>
      </c>
      <c r="BB15" s="74">
        <v>0</v>
      </c>
      <c r="BC15" s="74">
        <v>0</v>
      </c>
      <c r="BD15" s="2601"/>
      <c r="BE15" s="74">
        <f>U15+W15</f>
        <v>4875</v>
      </c>
      <c r="BF15" s="2601"/>
      <c r="BG15" s="74">
        <f>U15/1000</f>
        <v>0</v>
      </c>
      <c r="BH15" s="2601"/>
      <c r="BI15" s="74">
        <v>0</v>
      </c>
      <c r="BJ15" s="74">
        <f>ROUND(BG15*3.06,0)</f>
        <v>0</v>
      </c>
      <c r="BK15" s="88">
        <f>ROUND((Y15+AC15+AA15)/1000*3,0)+ROUND((AE15+AU15)/1000,0)+ROUND((ROUND(AH15/400,0))/2.67,0)+ROUND(AM15/250,0)+ROUND(AO15/15000,0)+ROUND((AX15+AY15+AZ15+BB15)/1000*3,0)+ROUND(BG15/25,0)+ROUND(BU294/50,0)</f>
        <v>15</v>
      </c>
      <c r="BL15" s="74">
        <v>0</v>
      </c>
      <c r="BM15" s="74">
        <v>0</v>
      </c>
      <c r="BN15" s="74">
        <v>0</v>
      </c>
      <c r="BO15" s="74">
        <f>AC15/1000</f>
        <v>0</v>
      </c>
      <c r="BP15" s="74">
        <f>AH15/1000</f>
        <v>0</v>
      </c>
      <c r="BQ15" s="74">
        <v>0</v>
      </c>
      <c r="BR15" s="74">
        <v>0</v>
      </c>
      <c r="BS15" s="74">
        <v>0</v>
      </c>
      <c r="BT15" s="2601"/>
      <c r="BU15" s="74">
        <f>SUM(BL15:BS15)</f>
        <v>0</v>
      </c>
      <c r="BV15" s="81">
        <v>15</v>
      </c>
      <c r="BW15" s="793" t="s">
        <v>705</v>
      </c>
      <c r="BX15" s="81">
        <v>4.5999999999999996</v>
      </c>
      <c r="BY15" s="81">
        <v>2</v>
      </c>
      <c r="BZ15" s="81">
        <v>4.5999999999999996</v>
      </c>
      <c r="CA15" s="794" t="s">
        <v>706</v>
      </c>
      <c r="CB15" s="2747"/>
      <c r="CC15" s="795">
        <f>(BX15*G15)-CF15</f>
        <v>18281.25</v>
      </c>
      <c r="CD15" s="2733"/>
      <c r="CE15" s="2601"/>
      <c r="CF15" s="796">
        <f>1*(G15)-(0.15*1*(G15))</f>
        <v>4143.75</v>
      </c>
      <c r="CG15" s="2601"/>
      <c r="CH15" s="843">
        <f>CF15-CJ15</f>
        <v>2925</v>
      </c>
      <c r="CI15" s="2601"/>
      <c r="CJ15" s="844">
        <f>AA15</f>
        <v>1218.75</v>
      </c>
      <c r="CK15" s="2601"/>
      <c r="CL15" s="81">
        <v>0</v>
      </c>
      <c r="CM15" s="2601"/>
      <c r="CN15" s="74">
        <f>CF15-(CJ15+CL15+CO15+CP15+CR15+CU15+CV15+CX15)</f>
        <v>2925</v>
      </c>
      <c r="CO15" s="797">
        <v>0</v>
      </c>
      <c r="CP15" s="797">
        <v>0</v>
      </c>
      <c r="CQ15" s="2601"/>
      <c r="CR15" s="74">
        <v>0</v>
      </c>
      <c r="CS15" s="74">
        <v>0</v>
      </c>
      <c r="CT15" s="74">
        <v>0</v>
      </c>
      <c r="CU15" s="74">
        <v>0</v>
      </c>
      <c r="CV15" s="74">
        <v>0</v>
      </c>
      <c r="CW15" s="2601"/>
      <c r="CX15" s="74">
        <f>SUM(CY15:DC15)</f>
        <v>0</v>
      </c>
      <c r="CY15" s="74">
        <f t="shared" si="7"/>
        <v>0</v>
      </c>
      <c r="CZ15" s="74">
        <f t="shared" si="7"/>
        <v>0</v>
      </c>
      <c r="DA15" s="74">
        <f t="shared" si="7"/>
        <v>0</v>
      </c>
      <c r="DB15" s="74">
        <f t="shared" si="7"/>
        <v>0</v>
      </c>
      <c r="DC15" s="74">
        <f t="shared" si="7"/>
        <v>0</v>
      </c>
      <c r="DD15" s="74"/>
      <c r="DE15" s="2601"/>
      <c r="DF15" s="74">
        <f>CC15+CF15</f>
        <v>22425</v>
      </c>
      <c r="DG15" s="2601"/>
      <c r="DH15" s="303">
        <f>CC15/'[1]Projected Development Sites'!DF$134</f>
        <v>18.28125</v>
      </c>
      <c r="DI15" s="2724"/>
      <c r="DJ15" s="798">
        <f>'[1]Projected Development Sites'!DK$136*DH15</f>
        <v>18.28125</v>
      </c>
      <c r="DK15" s="785">
        <f>3.06*DH15</f>
        <v>55.940625000000004</v>
      </c>
      <c r="DL15" s="786">
        <f>ROUND((CN15+CL15+CJ15)/1000*3,0)+ROUND((ROUND(CP15/400,0))/2.67,0)+ROUND(CV15/1000,0)+ROUND((CY15+CZ15+DA15+DC15)/1000*3,0)+ROUND(DH15/25,0)+ROUND(DX15/50,0)</f>
        <v>13</v>
      </c>
      <c r="DM15" s="799">
        <v>0</v>
      </c>
      <c r="DN15" s="799"/>
      <c r="DO15" s="799">
        <v>0</v>
      </c>
      <c r="DP15" s="799">
        <f>0.25*DJ15</f>
        <v>4.5703125</v>
      </c>
      <c r="DQ15" s="799">
        <f>SUM(CO15,CJ15,CN15,CR15,CU15)/1000</f>
        <v>4.1437499999999998</v>
      </c>
      <c r="DR15" s="799">
        <f>CL15/1000</f>
        <v>0</v>
      </c>
      <c r="DS15" s="799">
        <f>((CP15/400)/12)</f>
        <v>0</v>
      </c>
      <c r="DT15" s="799">
        <v>0</v>
      </c>
      <c r="DU15" s="799">
        <v>0</v>
      </c>
      <c r="DV15" s="799">
        <f>CX15/1000</f>
        <v>0</v>
      </c>
      <c r="DW15" s="2724"/>
      <c r="DX15" s="800">
        <f>SUM(DM15,DO15,DQ15:DV15)</f>
        <v>4.1437499999999998</v>
      </c>
      <c r="DY15" s="2727"/>
      <c r="DZ15" s="2730"/>
      <c r="EA15" s="2603"/>
      <c r="EB15" s="195">
        <f>CF15-W15</f>
        <v>-731.25</v>
      </c>
      <c r="EC15" s="2603"/>
      <c r="ED15" s="195">
        <v>-731.25</v>
      </c>
      <c r="EE15" s="195">
        <f>(SUM(CJ15:CO15))-(SUM(AA15:AE15,AL15))</f>
        <v>-731.25</v>
      </c>
      <c r="EF15" s="2603"/>
      <c r="EG15" s="190">
        <v>-731.25</v>
      </c>
      <c r="EH15" s="2603"/>
      <c r="EI15" s="195">
        <f>CL15-AC15</f>
        <v>0</v>
      </c>
      <c r="EJ15" s="2603"/>
      <c r="EK15" s="195">
        <f>CJ15-AA15</f>
        <v>0</v>
      </c>
      <c r="EL15" s="2603"/>
      <c r="EM15" s="190">
        <f>CO15-AE15</f>
        <v>0</v>
      </c>
      <c r="EN15" s="2603"/>
      <c r="EO15" s="190">
        <f>CP15-AH15</f>
        <v>0</v>
      </c>
      <c r="EP15" s="2603"/>
      <c r="EQ15" s="195">
        <f>CR15-AJ15</f>
        <v>0</v>
      </c>
      <c r="ER15" s="2603"/>
      <c r="ES15" s="195">
        <f>CS15-AO15</f>
        <v>0</v>
      </c>
      <c r="ET15" s="2603"/>
      <c r="EU15" s="190">
        <f t="shared" si="1"/>
        <v>0</v>
      </c>
      <c r="EV15" s="2603"/>
      <c r="EW15" s="195">
        <f>CU15-AS15</f>
        <v>0</v>
      </c>
      <c r="EX15" s="2603"/>
      <c r="EY15" s="190">
        <f>CV15-AU15</f>
        <v>0</v>
      </c>
      <c r="EZ15" s="2603"/>
      <c r="FA15" s="190">
        <f>CY15-AX15</f>
        <v>0</v>
      </c>
      <c r="FB15" s="2603"/>
      <c r="FC15" s="190">
        <f>CZ15-AY15</f>
        <v>0</v>
      </c>
      <c r="FD15" s="2603"/>
      <c r="FE15" s="190">
        <f>DA15-AZ15</f>
        <v>0</v>
      </c>
      <c r="FF15" s="2603"/>
      <c r="FG15" s="190">
        <f>DB15-BA15</f>
        <v>0</v>
      </c>
      <c r="FH15" s="2603"/>
      <c r="FI15" s="190">
        <f>DC15-BB15</f>
        <v>0</v>
      </c>
      <c r="FJ15" s="2603"/>
      <c r="FK15" s="190">
        <f>CX15-AW15</f>
        <v>0</v>
      </c>
      <c r="FL15" s="2603"/>
      <c r="FM15" s="190">
        <f>DF15-BE15</f>
        <v>17550</v>
      </c>
      <c r="FN15" s="2603"/>
      <c r="FO15" s="195">
        <f>DH15-BG15</f>
        <v>18.28125</v>
      </c>
      <c r="FP15" s="2603"/>
      <c r="FQ15" s="190">
        <f t="shared" si="8"/>
        <v>18.28125</v>
      </c>
      <c r="FR15" s="190">
        <f t="shared" si="8"/>
        <v>55.940625000000004</v>
      </c>
      <c r="FS15" s="190">
        <f t="shared" si="8"/>
        <v>-2</v>
      </c>
      <c r="FT15" s="801">
        <f t="shared" si="8"/>
        <v>0</v>
      </c>
      <c r="FU15" s="801">
        <f>DR15-BO15</f>
        <v>0</v>
      </c>
      <c r="FV15" s="801">
        <f>DO15-BM15</f>
        <v>0</v>
      </c>
      <c r="FW15" s="801">
        <f>DQ15-BN15</f>
        <v>4.1437499999999998</v>
      </c>
      <c r="FX15" s="801">
        <f t="shared" si="9"/>
        <v>0</v>
      </c>
      <c r="FY15" s="801">
        <f t="shared" si="9"/>
        <v>0</v>
      </c>
      <c r="FZ15" s="801">
        <f t="shared" si="9"/>
        <v>0</v>
      </c>
      <c r="GA15" s="801">
        <f t="shared" si="9"/>
        <v>0</v>
      </c>
      <c r="GB15" s="2736"/>
      <c r="GC15" s="845">
        <f t="shared" si="4"/>
        <v>4.1437499999999998</v>
      </c>
      <c r="GD15" s="139"/>
      <c r="GE15" s="139"/>
      <c r="GF15" s="139"/>
      <c r="GG15" s="139"/>
      <c r="GH15" s="139"/>
      <c r="GI15" s="139"/>
      <c r="GJ15" s="139"/>
      <c r="GK15" s="139"/>
      <c r="GL15" s="139"/>
      <c r="GM15" s="139"/>
      <c r="GN15" s="139"/>
      <c r="GO15" s="139"/>
      <c r="GP15" s="139"/>
      <c r="GQ15" s="139"/>
      <c r="GR15" s="139"/>
      <c r="GS15" s="139"/>
      <c r="GT15" s="139"/>
      <c r="GU15" s="139"/>
      <c r="GV15" s="139"/>
    </row>
    <row r="16" spans="1:205" s="139" customFormat="1" ht="18.75">
      <c r="A16" s="2263"/>
      <c r="B16" s="846"/>
      <c r="C16" s="109"/>
      <c r="D16" s="2258"/>
      <c r="E16" s="2258"/>
      <c r="F16" s="847"/>
      <c r="G16" s="848"/>
      <c r="H16" s="849"/>
      <c r="I16" s="2258"/>
      <c r="J16" s="2258"/>
      <c r="K16" s="850"/>
      <c r="L16" s="850"/>
      <c r="M16" s="850"/>
      <c r="N16" s="186"/>
      <c r="O16" s="186"/>
      <c r="P16" s="186"/>
      <c r="Q16" s="186"/>
      <c r="R16" s="851"/>
      <c r="S16" s="852"/>
      <c r="T16" s="853"/>
      <c r="U16" s="186"/>
      <c r="V16" s="853"/>
      <c r="W16" s="186"/>
      <c r="X16" s="186"/>
      <c r="Y16" s="186"/>
      <c r="Z16" s="853"/>
      <c r="AA16" s="186"/>
      <c r="AB16" s="853"/>
      <c r="AC16" s="186"/>
      <c r="AD16" s="853"/>
      <c r="AE16" s="186"/>
      <c r="AF16" s="186"/>
      <c r="AG16" s="186"/>
      <c r="AH16" s="186"/>
      <c r="AI16" s="853"/>
      <c r="AJ16" s="186"/>
      <c r="AK16" s="853"/>
      <c r="AL16" s="186"/>
      <c r="AM16" s="854"/>
      <c r="AN16" s="853"/>
      <c r="AO16" s="186"/>
      <c r="AP16" s="853"/>
      <c r="AQ16" s="186"/>
      <c r="AR16" s="853"/>
      <c r="AS16" s="186"/>
      <c r="AT16" s="853"/>
      <c r="AU16" s="186"/>
      <c r="AV16" s="853"/>
      <c r="AW16" s="186"/>
      <c r="AX16" s="186"/>
      <c r="AY16" s="186"/>
      <c r="AZ16" s="186"/>
      <c r="BA16" s="186"/>
      <c r="BB16" s="186"/>
      <c r="BC16" s="186"/>
      <c r="BD16" s="853"/>
      <c r="BE16" s="186"/>
      <c r="BF16" s="853"/>
      <c r="BG16" s="186"/>
      <c r="BH16" s="853"/>
      <c r="BI16" s="186"/>
      <c r="BJ16" s="186"/>
      <c r="BK16" s="88"/>
      <c r="BL16" s="855"/>
      <c r="BM16" s="855"/>
      <c r="BN16" s="855"/>
      <c r="BO16" s="855"/>
      <c r="BP16" s="855"/>
      <c r="BQ16" s="855"/>
      <c r="BR16" s="855"/>
      <c r="BS16" s="855"/>
      <c r="BT16" s="853"/>
      <c r="BU16" s="855"/>
      <c r="BV16" s="848"/>
      <c r="BW16" s="856"/>
      <c r="BX16" s="2258"/>
      <c r="BY16" s="2258"/>
      <c r="BZ16" s="2258"/>
      <c r="CA16" s="847"/>
      <c r="CB16" s="857"/>
      <c r="CC16" s="858"/>
      <c r="CD16" s="858"/>
      <c r="CE16" s="853"/>
      <c r="CF16" s="859"/>
      <c r="CG16" s="853"/>
      <c r="CH16" s="859"/>
      <c r="CI16" s="853"/>
      <c r="CJ16" s="848"/>
      <c r="CK16" s="853"/>
      <c r="CL16" s="848"/>
      <c r="CM16" s="853"/>
      <c r="CN16" s="860"/>
      <c r="CO16" s="860"/>
      <c r="CP16" s="860"/>
      <c r="CQ16" s="853"/>
      <c r="CR16" s="860"/>
      <c r="CS16" s="860"/>
      <c r="CT16" s="860"/>
      <c r="CU16" s="860"/>
      <c r="CV16" s="860"/>
      <c r="CW16" s="853"/>
      <c r="CX16" s="860"/>
      <c r="CY16" s="186"/>
      <c r="CZ16" s="186"/>
      <c r="DA16" s="186"/>
      <c r="DB16" s="186"/>
      <c r="DC16" s="186"/>
      <c r="DD16" s="186"/>
      <c r="DE16" s="853"/>
      <c r="DF16" s="860"/>
      <c r="DG16" s="853"/>
      <c r="DH16" s="861"/>
      <c r="DI16" s="862"/>
      <c r="DJ16" s="863"/>
      <c r="DK16" s="864"/>
      <c r="DL16" s="772"/>
      <c r="DM16" s="787"/>
      <c r="DN16" s="787"/>
      <c r="DO16" s="787"/>
      <c r="DP16" s="787"/>
      <c r="DQ16" s="787"/>
      <c r="DR16" s="787"/>
      <c r="DS16" s="787"/>
      <c r="DT16" s="787"/>
      <c r="DU16" s="787"/>
      <c r="DV16" s="787"/>
      <c r="DW16" s="862"/>
      <c r="DX16" s="788"/>
      <c r="DY16" s="865"/>
      <c r="DZ16" s="2288"/>
      <c r="EA16" s="2231"/>
      <c r="EB16" s="187"/>
      <c r="EC16" s="865"/>
      <c r="ED16" s="187"/>
      <c r="EE16" s="187"/>
      <c r="EF16" s="865"/>
      <c r="EG16" s="187"/>
      <c r="EH16" s="865"/>
      <c r="EI16" s="187"/>
      <c r="EJ16" s="865"/>
      <c r="EK16" s="187"/>
      <c r="EL16" s="865"/>
      <c r="EM16" s="848"/>
      <c r="EN16" s="865"/>
      <c r="EO16" s="848"/>
      <c r="EP16" s="865"/>
      <c r="EQ16" s="187"/>
      <c r="ER16" s="865"/>
      <c r="ES16" s="187"/>
      <c r="ET16" s="865"/>
      <c r="EU16" s="187">
        <f t="shared" si="1"/>
        <v>0</v>
      </c>
      <c r="EV16" s="865"/>
      <c r="EW16" s="187"/>
      <c r="EX16" s="865"/>
      <c r="EY16" s="848"/>
      <c r="EZ16" s="865"/>
      <c r="FA16" s="848"/>
      <c r="FB16" s="865"/>
      <c r="FC16" s="848"/>
      <c r="FD16" s="865"/>
      <c r="FE16" s="848"/>
      <c r="FF16" s="865"/>
      <c r="FG16" s="848"/>
      <c r="FH16" s="865"/>
      <c r="FI16" s="848"/>
      <c r="FJ16" s="865"/>
      <c r="FK16" s="848"/>
      <c r="FL16" s="865"/>
      <c r="FM16" s="187"/>
      <c r="FN16" s="865"/>
      <c r="FO16" s="187"/>
      <c r="FP16" s="865"/>
      <c r="FQ16" s="187"/>
      <c r="FR16" s="848"/>
      <c r="FS16" s="848"/>
      <c r="FT16" s="866"/>
      <c r="FU16" s="866"/>
      <c r="FV16" s="866"/>
      <c r="FW16" s="866"/>
      <c r="FX16" s="866"/>
      <c r="FY16" s="866"/>
      <c r="FZ16" s="866"/>
      <c r="GA16" s="866"/>
      <c r="GB16" s="867"/>
      <c r="GC16" s="776"/>
      <c r="GD16" s="868"/>
      <c r="GE16" s="637"/>
      <c r="GF16" s="637"/>
      <c r="GG16" s="637"/>
      <c r="GH16" s="637"/>
      <c r="GI16" s="637"/>
      <c r="GJ16" s="637"/>
      <c r="GK16" s="637"/>
    </row>
    <row r="17" spans="1:204" s="878" customFormat="1" ht="25.5">
      <c r="A17" s="216"/>
      <c r="B17" s="216">
        <v>4</v>
      </c>
      <c r="C17" s="869" t="s">
        <v>703</v>
      </c>
      <c r="D17" s="869">
        <v>3197</v>
      </c>
      <c r="E17" s="869">
        <v>29</v>
      </c>
      <c r="F17" s="870">
        <v>2031970029</v>
      </c>
      <c r="G17" s="869">
        <v>10000</v>
      </c>
      <c r="H17" s="871" t="s">
        <v>704</v>
      </c>
      <c r="I17" s="872"/>
      <c r="J17" s="869">
        <v>2</v>
      </c>
      <c r="K17" s="869">
        <v>0</v>
      </c>
      <c r="L17" s="869">
        <v>2</v>
      </c>
      <c r="M17" s="869">
        <v>6.5</v>
      </c>
      <c r="N17" s="873">
        <v>20000</v>
      </c>
      <c r="O17" s="873">
        <v>0</v>
      </c>
      <c r="P17" s="873">
        <v>0</v>
      </c>
      <c r="Q17" s="873">
        <v>20000</v>
      </c>
      <c r="R17" s="874">
        <v>0</v>
      </c>
      <c r="S17" s="875" t="s">
        <v>841</v>
      </c>
      <c r="T17" s="234">
        <f>U17</f>
        <v>0</v>
      </c>
      <c r="U17" s="876">
        <v>0</v>
      </c>
      <c r="V17" s="234">
        <f>W17</f>
        <v>20000</v>
      </c>
      <c r="W17" s="876">
        <f>N17</f>
        <v>20000</v>
      </c>
      <c r="X17" s="876"/>
      <c r="Y17" s="876">
        <f>W17-AA17</f>
        <v>20000</v>
      </c>
      <c r="Z17" s="234">
        <f>AA17</f>
        <v>0</v>
      </c>
      <c r="AA17" s="876">
        <v>0</v>
      </c>
      <c r="AB17" s="234">
        <f>AC17</f>
        <v>6000</v>
      </c>
      <c r="AC17" s="876">
        <f>0.3*W17</f>
        <v>6000</v>
      </c>
      <c r="AD17" s="234">
        <f>AE17</f>
        <v>0</v>
      </c>
      <c r="AE17" s="876">
        <f>AG17+AF17</f>
        <v>0</v>
      </c>
      <c r="AF17" s="876">
        <v>0</v>
      </c>
      <c r="AG17" s="876">
        <v>0</v>
      </c>
      <c r="AH17" s="876">
        <v>0</v>
      </c>
      <c r="AI17" s="234">
        <f>AJ17</f>
        <v>0</v>
      </c>
      <c r="AJ17" s="876">
        <v>0</v>
      </c>
      <c r="AK17" s="234">
        <f>AL17</f>
        <v>4000</v>
      </c>
      <c r="AL17" s="876">
        <f>W17-(AA17+AC17+AE17+AH17+AJ17+AM17+AW17+AO17+AQ17+AS17+AU17)</f>
        <v>4000</v>
      </c>
      <c r="AM17" s="877"/>
      <c r="AN17" s="234">
        <f>AO17</f>
        <v>0</v>
      </c>
      <c r="AO17" s="876">
        <v>0</v>
      </c>
      <c r="AP17" s="234">
        <f>AQ17</f>
        <v>0</v>
      </c>
      <c r="AQ17" s="876">
        <v>0</v>
      </c>
      <c r="AR17" s="234">
        <f>AS17</f>
        <v>0</v>
      </c>
      <c r="AS17" s="876">
        <v>0</v>
      </c>
      <c r="AT17" s="234">
        <f>AU17</f>
        <v>0</v>
      </c>
      <c r="AU17" s="876">
        <v>0</v>
      </c>
      <c r="AV17" s="234">
        <f>AW17</f>
        <v>10000</v>
      </c>
      <c r="AW17" s="876">
        <f>AX17+AY17+AZ17+BA17+BB17</f>
        <v>10000</v>
      </c>
      <c r="AX17" s="876">
        <v>0</v>
      </c>
      <c r="AY17" s="876">
        <v>0</v>
      </c>
      <c r="AZ17" s="876">
        <v>0</v>
      </c>
      <c r="BA17" s="876">
        <v>0</v>
      </c>
      <c r="BB17" s="876">
        <f>0.5*W17</f>
        <v>10000</v>
      </c>
      <c r="BC17" s="876">
        <v>0</v>
      </c>
      <c r="BD17" s="234">
        <f>BE17</f>
        <v>20000</v>
      </c>
      <c r="BE17" s="876">
        <f>U17+W17</f>
        <v>20000</v>
      </c>
      <c r="BF17" s="234">
        <f>BG17</f>
        <v>0</v>
      </c>
      <c r="BG17" s="876">
        <f>U17/1000</f>
        <v>0</v>
      </c>
      <c r="BH17" s="234">
        <f>BI17</f>
        <v>0</v>
      </c>
      <c r="BI17" s="876">
        <v>0</v>
      </c>
      <c r="BJ17" s="876">
        <f>ROUND(BG17*2.92,0)</f>
        <v>0</v>
      </c>
      <c r="BK17" s="88">
        <f>ROUND((Y17+AC17+AA17)/1000*3,0)+ROUND((AE17+AU17)/1000,0)+ROUND((ROUND(AH17/400,0))/2.67,0)+ROUND(AM17/250,0)+ROUND(AO17/15000,0)+ROUND((AX17+AY17+AZ17+BB17)/1000*3,0)+ROUND(BG17/25,0)+ROUND(BU296/50,0)</f>
        <v>108</v>
      </c>
      <c r="BL17" s="876">
        <v>0</v>
      </c>
      <c r="BM17" s="876">
        <v>0</v>
      </c>
      <c r="BN17" s="876">
        <v>0</v>
      </c>
      <c r="BO17" s="876">
        <v>0</v>
      </c>
      <c r="BP17" s="876">
        <f>AH17/1000</f>
        <v>0</v>
      </c>
      <c r="BQ17" s="876">
        <v>0</v>
      </c>
      <c r="BR17" s="876">
        <v>0</v>
      </c>
      <c r="BS17" s="876">
        <v>0</v>
      </c>
      <c r="BT17" s="234">
        <f>BU17</f>
        <v>0</v>
      </c>
      <c r="BU17" s="876">
        <f>SUM(BL17:BS17)</f>
        <v>0</v>
      </c>
      <c r="BV17" s="878">
        <v>25</v>
      </c>
      <c r="BW17" s="879" t="s">
        <v>705</v>
      </c>
      <c r="BX17" s="878">
        <v>4.5999999999999996</v>
      </c>
      <c r="BY17" s="878">
        <v>2</v>
      </c>
      <c r="BZ17" s="878">
        <v>4.5999999999999996</v>
      </c>
      <c r="CA17" s="880" t="s">
        <v>706</v>
      </c>
      <c r="CB17" s="881" t="s">
        <v>842</v>
      </c>
      <c r="CC17" s="882">
        <f>((BX17*G17)-CF17)+CL17</f>
        <v>36000</v>
      </c>
      <c r="CD17" s="882">
        <v>36000</v>
      </c>
      <c r="CE17" s="234">
        <f>CF17</f>
        <v>20000</v>
      </c>
      <c r="CF17" s="883">
        <v>20000</v>
      </c>
      <c r="CG17" s="234">
        <f>CH17</f>
        <v>20000</v>
      </c>
      <c r="CH17" s="883">
        <f>CF17-CJ17</f>
        <v>20000</v>
      </c>
      <c r="CI17" s="234">
        <f>CJ17</f>
        <v>0</v>
      </c>
      <c r="CK17" s="234">
        <f>CL17</f>
        <v>10000</v>
      </c>
      <c r="CL17" s="882">
        <v>10000</v>
      </c>
      <c r="CM17" s="234">
        <f>CN17</f>
        <v>0</v>
      </c>
      <c r="CN17" s="876">
        <f>CF17-(CJ17+CL17+CO17+CP17+CR17+CU17+CV17+CX17)</f>
        <v>0</v>
      </c>
      <c r="CO17" s="884">
        <v>0</v>
      </c>
      <c r="CP17" s="884">
        <v>0</v>
      </c>
      <c r="CQ17" s="234">
        <f>CR17</f>
        <v>0</v>
      </c>
      <c r="CR17" s="876">
        <v>0</v>
      </c>
      <c r="CS17" s="884">
        <v>0</v>
      </c>
      <c r="CT17" s="884">
        <v>0</v>
      </c>
      <c r="CU17" s="884">
        <v>0</v>
      </c>
      <c r="CV17" s="884">
        <v>0</v>
      </c>
      <c r="CW17" s="234">
        <f>CX17</f>
        <v>10000</v>
      </c>
      <c r="CX17" s="876">
        <f>SUM(CY17:DC17)</f>
        <v>10000</v>
      </c>
      <c r="CY17" s="876">
        <f>AX17</f>
        <v>0</v>
      </c>
      <c r="CZ17" s="876">
        <f>AY17</f>
        <v>0</v>
      </c>
      <c r="DA17" s="876">
        <f>AZ17</f>
        <v>0</v>
      </c>
      <c r="DB17" s="876">
        <f>BA17</f>
        <v>0</v>
      </c>
      <c r="DC17" s="876">
        <f>BB17</f>
        <v>10000</v>
      </c>
      <c r="DD17" s="876"/>
      <c r="DE17" s="234">
        <f>DF17</f>
        <v>56000</v>
      </c>
      <c r="DF17" s="876">
        <f>CC17+CF17</f>
        <v>56000</v>
      </c>
      <c r="DG17" s="234">
        <f>DH17</f>
        <v>36</v>
      </c>
      <c r="DH17" s="885">
        <f>CC17/'[1]Projected Development Sites'!DF$134</f>
        <v>36</v>
      </c>
      <c r="DI17" s="886">
        <f>DJ17</f>
        <v>36</v>
      </c>
      <c r="DJ17" s="887">
        <f>'[1]Projected Development Sites'!DK$136*DH17</f>
        <v>36</v>
      </c>
      <c r="DK17" s="887">
        <f>2.92*DH17</f>
        <v>105.12</v>
      </c>
      <c r="DL17" s="772">
        <f>ROUND((CN17+CL17+CJ17)/1000*3,0)+ROUND((ROUND(CP17/400,0))/2.67,0)+ROUND(CV17/1000,0)+ROUND((CY17+CZ17+DA17+DC17)/1000*3,0)+ROUND(DH17/25,0)+ROUND(DX17/50,0)</f>
        <v>61</v>
      </c>
      <c r="DM17" s="888">
        <v>0</v>
      </c>
      <c r="DN17" s="888"/>
      <c r="DO17" s="888">
        <v>0</v>
      </c>
      <c r="DP17" s="888">
        <f>0.25*DJ17</f>
        <v>9</v>
      </c>
      <c r="DQ17" s="888">
        <f>SUM(CO17,CJ17,CN17,CR17,CU17)/1000</f>
        <v>0</v>
      </c>
      <c r="DR17" s="888">
        <v>0</v>
      </c>
      <c r="DS17" s="888">
        <f>((CP17/400)/12)</f>
        <v>0</v>
      </c>
      <c r="DT17" s="888">
        <v>0</v>
      </c>
      <c r="DU17" s="888">
        <v>0</v>
      </c>
      <c r="DV17" s="888">
        <f>CX17/1000</f>
        <v>10</v>
      </c>
      <c r="DW17" s="886">
        <f>DX17</f>
        <v>10</v>
      </c>
      <c r="DX17" s="889">
        <f>SUM(DM17,DO17,DQ17:DV17)</f>
        <v>10</v>
      </c>
      <c r="DY17" s="837">
        <v>115</v>
      </c>
      <c r="DZ17" s="2288">
        <f>CD17-T17</f>
        <v>36000</v>
      </c>
      <c r="EA17" s="2231">
        <f>CE17-V17</f>
        <v>0</v>
      </c>
      <c r="EB17" s="890">
        <f>CF17-W17</f>
        <v>0</v>
      </c>
      <c r="EC17" s="235">
        <f>ED17</f>
        <v>0</v>
      </c>
      <c r="ED17" s="890">
        <v>0</v>
      </c>
      <c r="EE17" s="890">
        <f>(SUM(CJ17:CO17))-(SUM(AA17:AE17,AL17))</f>
        <v>4000</v>
      </c>
      <c r="EF17" s="235">
        <f>EG17</f>
        <v>-4000</v>
      </c>
      <c r="EG17" s="891">
        <v>-4000</v>
      </c>
      <c r="EH17" s="235">
        <f>EI17</f>
        <v>4000</v>
      </c>
      <c r="EI17" s="890">
        <f>CL17-AC17</f>
        <v>4000</v>
      </c>
      <c r="EJ17" s="235">
        <f>EK17</f>
        <v>0</v>
      </c>
      <c r="EK17" s="890">
        <f>CJ17-AA17</f>
        <v>0</v>
      </c>
      <c r="EL17" s="235">
        <f>EM17</f>
        <v>0</v>
      </c>
      <c r="EM17" s="892">
        <f>CO17-AE17</f>
        <v>0</v>
      </c>
      <c r="EN17" s="235">
        <f>EO17</f>
        <v>0</v>
      </c>
      <c r="EO17" s="892">
        <f>CP17-AH17</f>
        <v>0</v>
      </c>
      <c r="EP17" s="235">
        <f>EQ17</f>
        <v>0</v>
      </c>
      <c r="EQ17" s="890">
        <f>CR17-AJ17</f>
        <v>0</v>
      </c>
      <c r="ER17" s="235">
        <f>ES17</f>
        <v>0</v>
      </c>
      <c r="ES17" s="890">
        <f>CS17-AO17</f>
        <v>0</v>
      </c>
      <c r="ET17" s="235">
        <f>EU17</f>
        <v>0</v>
      </c>
      <c r="EU17" s="890">
        <f t="shared" si="1"/>
        <v>0</v>
      </c>
      <c r="EV17" s="235">
        <f>EW17</f>
        <v>0</v>
      </c>
      <c r="EW17" s="890">
        <f>CU17-AS17</f>
        <v>0</v>
      </c>
      <c r="EX17" s="235">
        <f>EY17</f>
        <v>0</v>
      </c>
      <c r="EY17" s="892">
        <f>CV17-AU17</f>
        <v>0</v>
      </c>
      <c r="EZ17" s="235">
        <f>FA17</f>
        <v>0</v>
      </c>
      <c r="FA17" s="892">
        <f>CY17-AX17</f>
        <v>0</v>
      </c>
      <c r="FB17" s="235">
        <f>FC17</f>
        <v>0</v>
      </c>
      <c r="FC17" s="892">
        <f>CZ17-AY17</f>
        <v>0</v>
      </c>
      <c r="FD17" s="235">
        <f>FE17</f>
        <v>0</v>
      </c>
      <c r="FE17" s="892">
        <f>DA17-AZ17</f>
        <v>0</v>
      </c>
      <c r="FF17" s="235">
        <f>FG17</f>
        <v>0</v>
      </c>
      <c r="FG17" s="892">
        <f>DB17-BA17</f>
        <v>0</v>
      </c>
      <c r="FH17" s="235">
        <f>FI17</f>
        <v>0</v>
      </c>
      <c r="FI17" s="892">
        <f>DC17-BB17</f>
        <v>0</v>
      </c>
      <c r="FJ17" s="235">
        <f>FK17</f>
        <v>0</v>
      </c>
      <c r="FK17" s="892">
        <f>CX17-AW17</f>
        <v>0</v>
      </c>
      <c r="FL17" s="235">
        <f>FM17</f>
        <v>36000</v>
      </c>
      <c r="FM17" s="890">
        <f>DF17-BE17</f>
        <v>36000</v>
      </c>
      <c r="FN17" s="235">
        <f>FO17</f>
        <v>36</v>
      </c>
      <c r="FO17" s="890">
        <f>DH17-BG17</f>
        <v>36</v>
      </c>
      <c r="FP17" s="235">
        <f>FQ17</f>
        <v>36</v>
      </c>
      <c r="FQ17" s="890">
        <f>DJ17-BI17</f>
        <v>36</v>
      </c>
      <c r="FR17" s="892">
        <f>DK17-BJ17</f>
        <v>105.12</v>
      </c>
      <c r="FS17" s="892">
        <f>DL17-BK17</f>
        <v>-47</v>
      </c>
      <c r="FT17" s="893">
        <f>DM17-BL17</f>
        <v>0</v>
      </c>
      <c r="FU17" s="893">
        <f>DR17-BO17</f>
        <v>0</v>
      </c>
      <c r="FV17" s="893">
        <f>DO17-BM17</f>
        <v>0</v>
      </c>
      <c r="FW17" s="893">
        <f>DQ17-BN17</f>
        <v>0</v>
      </c>
      <c r="FX17" s="893">
        <f>DS17-BP17</f>
        <v>0</v>
      </c>
      <c r="FY17" s="893">
        <f>DT17-BQ17</f>
        <v>0</v>
      </c>
      <c r="FZ17" s="893">
        <f>DU17-BR17</f>
        <v>0</v>
      </c>
      <c r="GA17" s="893">
        <f>DV17-BS17</f>
        <v>10</v>
      </c>
      <c r="GB17" s="894">
        <f>GC17</f>
        <v>10</v>
      </c>
      <c r="GC17" s="895">
        <f t="shared" si="4"/>
        <v>10</v>
      </c>
      <c r="GD17" s="896"/>
      <c r="GE17" s="896"/>
      <c r="GF17" s="896"/>
      <c r="GG17" s="896"/>
      <c r="GH17" s="896"/>
      <c r="GI17" s="896"/>
      <c r="GJ17" s="896"/>
      <c r="GK17" s="896"/>
      <c r="GL17" s="896"/>
      <c r="GM17" s="896"/>
      <c r="GN17" s="896"/>
      <c r="GO17" s="896"/>
      <c r="GP17" s="896"/>
      <c r="GQ17" s="896"/>
      <c r="GR17" s="896"/>
      <c r="GS17" s="896"/>
      <c r="GT17" s="896"/>
      <c r="GU17" s="896"/>
      <c r="GV17" s="896"/>
    </row>
    <row r="18" spans="1:204" s="139" customFormat="1" ht="18.75">
      <c r="A18" s="2263"/>
      <c r="B18" s="2263"/>
      <c r="C18" s="132"/>
      <c r="D18" s="132"/>
      <c r="E18" s="132"/>
      <c r="F18" s="777"/>
      <c r="G18" s="132"/>
      <c r="H18" s="135"/>
      <c r="I18" s="136"/>
      <c r="J18" s="132"/>
      <c r="K18" s="132"/>
      <c r="L18" s="132"/>
      <c r="M18" s="132"/>
      <c r="N18" s="134"/>
      <c r="O18" s="134"/>
      <c r="P18" s="134"/>
      <c r="Q18" s="134"/>
      <c r="R18" s="137"/>
      <c r="S18" s="778"/>
      <c r="T18" s="634"/>
      <c r="U18" s="102"/>
      <c r="V18" s="634"/>
      <c r="W18" s="102"/>
      <c r="X18" s="102"/>
      <c r="Y18" s="102"/>
      <c r="Z18" s="634"/>
      <c r="AA18" s="102"/>
      <c r="AB18" s="634"/>
      <c r="AC18" s="102"/>
      <c r="AD18" s="634"/>
      <c r="AE18" s="102"/>
      <c r="AF18" s="102"/>
      <c r="AG18" s="102"/>
      <c r="AH18" s="102"/>
      <c r="AI18" s="634"/>
      <c r="AJ18" s="102"/>
      <c r="AK18" s="634"/>
      <c r="AL18" s="102"/>
      <c r="AM18" s="779"/>
      <c r="AN18" s="634"/>
      <c r="AO18" s="102"/>
      <c r="AP18" s="634"/>
      <c r="AQ18" s="102"/>
      <c r="AR18" s="634"/>
      <c r="AS18" s="102"/>
      <c r="AT18" s="634"/>
      <c r="AU18" s="102"/>
      <c r="AV18" s="634"/>
      <c r="AW18" s="102"/>
      <c r="AX18" s="102"/>
      <c r="AY18" s="102"/>
      <c r="AZ18" s="102"/>
      <c r="BA18" s="102"/>
      <c r="BB18" s="102"/>
      <c r="BC18" s="102"/>
      <c r="BD18" s="634"/>
      <c r="BE18" s="102"/>
      <c r="BF18" s="634"/>
      <c r="BG18" s="102"/>
      <c r="BH18" s="634"/>
      <c r="BI18" s="102"/>
      <c r="BJ18" s="102"/>
      <c r="BK18" s="88"/>
      <c r="BL18" s="102"/>
      <c r="BM18" s="102"/>
      <c r="BN18" s="102"/>
      <c r="BO18" s="102"/>
      <c r="BP18" s="102"/>
      <c r="BQ18" s="102"/>
      <c r="BR18" s="102"/>
      <c r="BS18" s="102"/>
      <c r="BT18" s="634"/>
      <c r="BU18" s="102"/>
      <c r="BW18" s="780"/>
      <c r="CA18" s="781"/>
      <c r="CB18" s="2258"/>
      <c r="CC18" s="782"/>
      <c r="CD18" s="782"/>
      <c r="CE18" s="634"/>
      <c r="CF18" s="783"/>
      <c r="CG18" s="634"/>
      <c r="CH18" s="783"/>
      <c r="CI18" s="634"/>
      <c r="CK18" s="634"/>
      <c r="CM18" s="634"/>
      <c r="CN18" s="784"/>
      <c r="CO18" s="784"/>
      <c r="CP18" s="784"/>
      <c r="CQ18" s="634"/>
      <c r="CR18" s="102"/>
      <c r="CS18" s="784"/>
      <c r="CT18" s="784"/>
      <c r="CU18" s="784"/>
      <c r="CV18" s="784"/>
      <c r="CW18" s="634"/>
      <c r="CX18" s="784"/>
      <c r="CY18" s="102"/>
      <c r="CZ18" s="102"/>
      <c r="DA18" s="102"/>
      <c r="DB18" s="102"/>
      <c r="DC18" s="102"/>
      <c r="DD18" s="102"/>
      <c r="DE18" s="634"/>
      <c r="DF18" s="102"/>
      <c r="DG18" s="634"/>
      <c r="DH18" s="296"/>
      <c r="DI18" s="802"/>
      <c r="DJ18" s="785"/>
      <c r="DK18" s="803"/>
      <c r="DL18" s="772"/>
      <c r="DM18" s="787"/>
      <c r="DN18" s="787"/>
      <c r="DO18" s="787"/>
      <c r="DP18" s="787"/>
      <c r="DQ18" s="787"/>
      <c r="DR18" s="787"/>
      <c r="DS18" s="787"/>
      <c r="DT18" s="787"/>
      <c r="DU18" s="787"/>
      <c r="DV18" s="787"/>
      <c r="DW18" s="802"/>
      <c r="DX18" s="788"/>
      <c r="DY18" s="634"/>
      <c r="DZ18" s="2288"/>
      <c r="EA18" s="2231"/>
      <c r="EB18" s="187"/>
      <c r="EC18" s="2232"/>
      <c r="ED18" s="187"/>
      <c r="EE18" s="187"/>
      <c r="EF18" s="2232"/>
      <c r="EG18" s="245"/>
      <c r="EH18" s="2232"/>
      <c r="EI18" s="187"/>
      <c r="EJ18" s="2232"/>
      <c r="EK18" s="187"/>
      <c r="EL18" s="2232"/>
      <c r="EM18" s="195"/>
      <c r="EN18" s="2232"/>
      <c r="EO18" s="195"/>
      <c r="EP18" s="2232"/>
      <c r="EQ18" s="187"/>
      <c r="ER18" s="2232"/>
      <c r="ES18" s="187"/>
      <c r="ET18" s="2232"/>
      <c r="EU18" s="187">
        <f t="shared" si="1"/>
        <v>0</v>
      </c>
      <c r="EV18" s="2232"/>
      <c r="EW18" s="187"/>
      <c r="EX18" s="2232"/>
      <c r="EY18" s="195"/>
      <c r="EZ18" s="2232"/>
      <c r="FA18" s="195"/>
      <c r="FB18" s="2232"/>
      <c r="FC18" s="195"/>
      <c r="FD18" s="2232"/>
      <c r="FE18" s="195"/>
      <c r="FF18" s="2232"/>
      <c r="FG18" s="195"/>
      <c r="FH18" s="2232"/>
      <c r="FI18" s="195"/>
      <c r="FJ18" s="2232"/>
      <c r="FK18" s="195"/>
      <c r="FL18" s="2232"/>
      <c r="FM18" s="187"/>
      <c r="FN18" s="2232"/>
      <c r="FO18" s="187"/>
      <c r="FP18" s="2232"/>
      <c r="FQ18" s="187"/>
      <c r="FR18" s="195"/>
      <c r="FS18" s="195"/>
      <c r="FT18" s="789"/>
      <c r="FU18" s="789"/>
      <c r="FV18" s="789"/>
      <c r="FW18" s="789"/>
      <c r="FX18" s="789"/>
      <c r="FY18" s="789"/>
      <c r="FZ18" s="789"/>
      <c r="GA18" s="789"/>
      <c r="GB18" s="2289"/>
      <c r="GC18" s="776"/>
    </row>
    <row r="19" spans="1:204" s="228" customFormat="1" ht="18.75">
      <c r="A19" s="216"/>
      <c r="B19" s="216">
        <v>5</v>
      </c>
      <c r="C19" s="218" t="s">
        <v>703</v>
      </c>
      <c r="D19" s="218">
        <v>3197</v>
      </c>
      <c r="E19" s="218">
        <v>35</v>
      </c>
      <c r="F19" s="897">
        <v>2031970035</v>
      </c>
      <c r="G19" s="218">
        <v>5000</v>
      </c>
      <c r="H19" s="221" t="s">
        <v>704</v>
      </c>
      <c r="I19" s="222"/>
      <c r="J19" s="218">
        <v>1</v>
      </c>
      <c r="K19" s="218">
        <v>0</v>
      </c>
      <c r="L19" s="218">
        <v>2</v>
      </c>
      <c r="M19" s="218">
        <v>6.5</v>
      </c>
      <c r="N19" s="220">
        <v>5000</v>
      </c>
      <c r="O19" s="220">
        <v>0</v>
      </c>
      <c r="P19" s="220">
        <v>0</v>
      </c>
      <c r="Q19" s="220">
        <v>5000</v>
      </c>
      <c r="R19" s="223">
        <v>0</v>
      </c>
      <c r="S19" s="898" t="s">
        <v>745</v>
      </c>
      <c r="T19" s="234">
        <f>U19</f>
        <v>0</v>
      </c>
      <c r="U19" s="111">
        <v>0</v>
      </c>
      <c r="V19" s="234">
        <f>W19</f>
        <v>5000</v>
      </c>
      <c r="W19" s="111">
        <f>N19</f>
        <v>5000</v>
      </c>
      <c r="X19" s="111"/>
      <c r="Y19" s="111">
        <f>W19-AA19</f>
        <v>2500</v>
      </c>
      <c r="Z19" s="234">
        <f>AA19</f>
        <v>2500</v>
      </c>
      <c r="AA19" s="111">
        <f>0.5*W19</f>
        <v>2500</v>
      </c>
      <c r="AB19" s="234">
        <f>AC19</f>
        <v>0</v>
      </c>
      <c r="AC19" s="111">
        <v>0</v>
      </c>
      <c r="AD19" s="234">
        <f>AE19</f>
        <v>0</v>
      </c>
      <c r="AE19" s="111">
        <f>AG19+AF19</f>
        <v>0</v>
      </c>
      <c r="AF19" s="111">
        <v>0</v>
      </c>
      <c r="AG19" s="111">
        <v>0</v>
      </c>
      <c r="AH19" s="111">
        <v>0</v>
      </c>
      <c r="AI19" s="234">
        <f>AJ19</f>
        <v>0</v>
      </c>
      <c r="AJ19" s="111">
        <v>0</v>
      </c>
      <c r="AK19" s="234">
        <f>AL19</f>
        <v>2500</v>
      </c>
      <c r="AL19" s="111">
        <f>W19-(AA19+AC19+AE19+AH19+AJ19+AM19+AW19+AO19+AQ19+AS19+AU19)</f>
        <v>2500</v>
      </c>
      <c r="AM19" s="899"/>
      <c r="AN19" s="234">
        <f>AO19</f>
        <v>0</v>
      </c>
      <c r="AO19" s="111">
        <v>0</v>
      </c>
      <c r="AP19" s="234">
        <f>AQ19</f>
        <v>0</v>
      </c>
      <c r="AQ19" s="111">
        <v>0</v>
      </c>
      <c r="AR19" s="234">
        <f>AS19</f>
        <v>0</v>
      </c>
      <c r="AS19" s="111">
        <v>0</v>
      </c>
      <c r="AT19" s="234">
        <f>AU19</f>
        <v>0</v>
      </c>
      <c r="AU19" s="111">
        <v>0</v>
      </c>
      <c r="AV19" s="234">
        <f>AW19</f>
        <v>0</v>
      </c>
      <c r="AW19" s="111">
        <f>AX19+AY19+AZ19+BA19+BB19</f>
        <v>0</v>
      </c>
      <c r="AX19" s="111">
        <v>0</v>
      </c>
      <c r="AY19" s="111">
        <v>0</v>
      </c>
      <c r="AZ19" s="111">
        <v>0</v>
      </c>
      <c r="BA19" s="111">
        <v>0</v>
      </c>
      <c r="BB19" s="111">
        <v>0</v>
      </c>
      <c r="BC19" s="111">
        <v>0</v>
      </c>
      <c r="BD19" s="234">
        <f>BE19</f>
        <v>5000</v>
      </c>
      <c r="BE19" s="111">
        <f>U19+W19</f>
        <v>5000</v>
      </c>
      <c r="BF19" s="234">
        <f>BG19</f>
        <v>0</v>
      </c>
      <c r="BG19" s="111">
        <f>U19/1000</f>
        <v>0</v>
      </c>
      <c r="BH19" s="234">
        <f>BI19</f>
        <v>0</v>
      </c>
      <c r="BI19" s="111">
        <v>0</v>
      </c>
      <c r="BJ19" s="111">
        <f>ROUND(BG19*2.92,0)</f>
        <v>0</v>
      </c>
      <c r="BK19" s="306">
        <f>ROUND((Y19+AC19+AA19)/1000*3,0)+ROUND((AE19+AU19)/1000,0)+ROUND((ROUND(AH19/400,0))/2.67,0)+ROUND(AM19/250,0)+ROUND(AO19/15000,0)+ROUND((AX19+AY19+AZ19+BB19)/1000*3,0)+ROUND(BG19/25,0)+ROUND(BU201/50,0)</f>
        <v>15</v>
      </c>
      <c r="BL19" s="111">
        <v>0</v>
      </c>
      <c r="BM19" s="111">
        <v>0</v>
      </c>
      <c r="BN19" s="111">
        <v>0</v>
      </c>
      <c r="BO19" s="111">
        <f>AC19/1000</f>
        <v>0</v>
      </c>
      <c r="BP19" s="111">
        <f>AH19/1000</f>
        <v>0</v>
      </c>
      <c r="BQ19" s="111">
        <v>0</v>
      </c>
      <c r="BR19" s="111">
        <v>0</v>
      </c>
      <c r="BS19" s="111">
        <v>0</v>
      </c>
      <c r="BT19" s="234">
        <f>BU19</f>
        <v>0</v>
      </c>
      <c r="BU19" s="111">
        <f>SUM(BL19:BS19)</f>
        <v>0</v>
      </c>
      <c r="BV19" s="228">
        <v>15</v>
      </c>
      <c r="BW19" s="900" t="s">
        <v>705</v>
      </c>
      <c r="BX19" s="228">
        <v>4.5999999999999996</v>
      </c>
      <c r="BY19" s="228">
        <v>2</v>
      </c>
      <c r="BZ19" s="228">
        <v>4.5999999999999996</v>
      </c>
      <c r="CA19" s="901" t="s">
        <v>706</v>
      </c>
      <c r="CB19" s="230" t="s">
        <v>843</v>
      </c>
      <c r="CC19" s="399">
        <f>(BX19*G19)-CF19</f>
        <v>18750</v>
      </c>
      <c r="CD19" s="399">
        <v>18750</v>
      </c>
      <c r="CE19" s="234">
        <f>CF19</f>
        <v>4250</v>
      </c>
      <c r="CF19" s="902">
        <f>1*(G19)-(0.15*1*(G19))</f>
        <v>4250</v>
      </c>
      <c r="CG19" s="234">
        <f>CH19</f>
        <v>1750</v>
      </c>
      <c r="CH19" s="902">
        <f>CF19-CJ19</f>
        <v>1750</v>
      </c>
      <c r="CI19" s="234">
        <f>CJ19</f>
        <v>2500</v>
      </c>
      <c r="CJ19" s="399">
        <f>AA19</f>
        <v>2500</v>
      </c>
      <c r="CK19" s="234">
        <f>CL19</f>
        <v>0</v>
      </c>
      <c r="CL19" s="228">
        <v>0</v>
      </c>
      <c r="CM19" s="234">
        <f>CN19</f>
        <v>1750</v>
      </c>
      <c r="CN19" s="111">
        <f>CF19-(CJ19+CL19+CO19+CP19+CR19+CU19+CV19+CX19)</f>
        <v>1750</v>
      </c>
      <c r="CO19" s="903">
        <v>0</v>
      </c>
      <c r="CP19" s="903">
        <v>0</v>
      </c>
      <c r="CQ19" s="234">
        <f>CR19</f>
        <v>0</v>
      </c>
      <c r="CR19" s="111">
        <v>0</v>
      </c>
      <c r="CS19" s="903">
        <v>0</v>
      </c>
      <c r="CT19" s="903">
        <v>0</v>
      </c>
      <c r="CU19" s="903">
        <v>0</v>
      </c>
      <c r="CV19" s="903">
        <v>0</v>
      </c>
      <c r="CW19" s="234">
        <f>CX19</f>
        <v>0</v>
      </c>
      <c r="CX19" s="111">
        <f>SUM(CY19:DC19)</f>
        <v>0</v>
      </c>
      <c r="CY19" s="111">
        <f>AX19</f>
        <v>0</v>
      </c>
      <c r="CZ19" s="111">
        <f>AY19</f>
        <v>0</v>
      </c>
      <c r="DA19" s="111">
        <f>AZ19</f>
        <v>0</v>
      </c>
      <c r="DB19" s="111">
        <f>BA19</f>
        <v>0</v>
      </c>
      <c r="DC19" s="111">
        <f>BB19</f>
        <v>0</v>
      </c>
      <c r="DD19" s="111"/>
      <c r="DE19" s="234">
        <f>DF19</f>
        <v>23000</v>
      </c>
      <c r="DF19" s="111">
        <f>CC19+CF19</f>
        <v>23000</v>
      </c>
      <c r="DG19" s="234">
        <f>DH19</f>
        <v>18.75</v>
      </c>
      <c r="DH19" s="904">
        <f>CC19/'[1]Projected Development Sites'!DF$134</f>
        <v>18.75</v>
      </c>
      <c r="DI19" s="886">
        <f>DJ19</f>
        <v>18.75</v>
      </c>
      <c r="DJ19" s="803">
        <f>'[1]Projected Development Sites'!DK$136*DH19</f>
        <v>18.75</v>
      </c>
      <c r="DK19" s="803">
        <f>2.92*DH19</f>
        <v>54.75</v>
      </c>
      <c r="DL19" s="772">
        <f>ROUND((CN19+CL19+CJ19)/1000*3,0)+ROUND((ROUND(CP19/400,0))/2.67,0)+ROUND(CV19/1000,0)+ROUND((CY19+CZ19+DA19+DC19)/1000*3,0)+ROUND(DH19/25,0)+ROUND(DX19/50,0)</f>
        <v>14</v>
      </c>
      <c r="DM19" s="905">
        <v>0</v>
      </c>
      <c r="DN19" s="905"/>
      <c r="DO19" s="905">
        <v>0</v>
      </c>
      <c r="DP19" s="905">
        <f>0.25*DJ19</f>
        <v>4.6875</v>
      </c>
      <c r="DQ19" s="905">
        <f>SUM(CO19,CJ19,CN19,CR19,CU19)/1000</f>
        <v>4.25</v>
      </c>
      <c r="DR19" s="905">
        <f>CL19/1000</f>
        <v>0</v>
      </c>
      <c r="DS19" s="905">
        <f>((CP19/400)/12)</f>
        <v>0</v>
      </c>
      <c r="DT19" s="905">
        <v>0</v>
      </c>
      <c r="DU19" s="905">
        <v>0</v>
      </c>
      <c r="DV19" s="905">
        <f>CX19/1000</f>
        <v>0</v>
      </c>
      <c r="DW19" s="886">
        <f>DX19</f>
        <v>4.25</v>
      </c>
      <c r="DX19" s="906">
        <f>SUM(DM19,DO19,DQ19:DV19)</f>
        <v>4.25</v>
      </c>
      <c r="DY19" s="837">
        <v>115</v>
      </c>
      <c r="DZ19" s="2288">
        <f>CD19-T19</f>
        <v>18750</v>
      </c>
      <c r="EA19" s="2231">
        <f>CE19-V19</f>
        <v>-750</v>
      </c>
      <c r="EB19" s="187">
        <f>CF19-W19</f>
        <v>-750</v>
      </c>
      <c r="EC19" s="235">
        <f>ED19</f>
        <v>-750</v>
      </c>
      <c r="ED19" s="187">
        <v>-750</v>
      </c>
      <c r="EE19" s="187">
        <f>(SUM(CJ19:CO19))-(SUM(AA19:AE19,AL19))</f>
        <v>1000</v>
      </c>
      <c r="EF19" s="235">
        <f>EG19</f>
        <v>-750</v>
      </c>
      <c r="EG19" s="187">
        <v>-750</v>
      </c>
      <c r="EH19" s="235">
        <f>EI19</f>
        <v>0</v>
      </c>
      <c r="EI19" s="187">
        <f>CL19-AC19</f>
        <v>0</v>
      </c>
      <c r="EJ19" s="235">
        <f>EK19</f>
        <v>0</v>
      </c>
      <c r="EK19" s="187">
        <f>CJ19-AA19</f>
        <v>0</v>
      </c>
      <c r="EL19" s="235">
        <f>EM19</f>
        <v>0</v>
      </c>
      <c r="EM19" s="245">
        <f>CO19-AE19</f>
        <v>0</v>
      </c>
      <c r="EN19" s="235">
        <f>EO19</f>
        <v>0</v>
      </c>
      <c r="EO19" s="245">
        <f>CP19-AH19</f>
        <v>0</v>
      </c>
      <c r="EP19" s="235">
        <f>EQ19</f>
        <v>0</v>
      </c>
      <c r="EQ19" s="187">
        <f>CR19-AJ19</f>
        <v>0</v>
      </c>
      <c r="ER19" s="235">
        <f>ES19</f>
        <v>0</v>
      </c>
      <c r="ES19" s="187">
        <f>CS19-AO19</f>
        <v>0</v>
      </c>
      <c r="ET19" s="235">
        <f>EU19</f>
        <v>0</v>
      </c>
      <c r="EU19" s="187">
        <f t="shared" si="1"/>
        <v>0</v>
      </c>
      <c r="EV19" s="235">
        <f>EW19</f>
        <v>0</v>
      </c>
      <c r="EW19" s="187">
        <f>CU19-AS19</f>
        <v>0</v>
      </c>
      <c r="EX19" s="235">
        <f>EY19</f>
        <v>0</v>
      </c>
      <c r="EY19" s="245">
        <f>CV19-AU19</f>
        <v>0</v>
      </c>
      <c r="EZ19" s="235">
        <f>FA19</f>
        <v>0</v>
      </c>
      <c r="FA19" s="245">
        <f>CY19-AX19</f>
        <v>0</v>
      </c>
      <c r="FB19" s="235">
        <f>FC19</f>
        <v>0</v>
      </c>
      <c r="FC19" s="245">
        <f>CZ19-AY19</f>
        <v>0</v>
      </c>
      <c r="FD19" s="235">
        <f>FE19</f>
        <v>0</v>
      </c>
      <c r="FE19" s="245">
        <f>DA19-AZ19</f>
        <v>0</v>
      </c>
      <c r="FF19" s="235">
        <f>FG19</f>
        <v>0</v>
      </c>
      <c r="FG19" s="245">
        <f>DB19-BA19</f>
        <v>0</v>
      </c>
      <c r="FH19" s="235">
        <f>FI19</f>
        <v>0</v>
      </c>
      <c r="FI19" s="245">
        <f>DC19-BB19</f>
        <v>0</v>
      </c>
      <c r="FJ19" s="235">
        <f>FK19</f>
        <v>0</v>
      </c>
      <c r="FK19" s="245">
        <f>CX19-AW19</f>
        <v>0</v>
      </c>
      <c r="FL19" s="235">
        <f>FM19</f>
        <v>18000</v>
      </c>
      <c r="FM19" s="187">
        <f>DF19-BE19</f>
        <v>18000</v>
      </c>
      <c r="FN19" s="235">
        <f>FO19</f>
        <v>18.75</v>
      </c>
      <c r="FO19" s="187">
        <f>DH19-BG19</f>
        <v>18.75</v>
      </c>
      <c r="FP19" s="235">
        <f>FQ19</f>
        <v>18.75</v>
      </c>
      <c r="FQ19" s="187">
        <f>DJ19-BI19</f>
        <v>18.75</v>
      </c>
      <c r="FR19" s="245">
        <f>DK19-BJ19</f>
        <v>54.75</v>
      </c>
      <c r="FS19" s="245">
        <f>DL19-BK19</f>
        <v>-1</v>
      </c>
      <c r="FT19" s="907">
        <f>DM19-BL19</f>
        <v>0</v>
      </c>
      <c r="FU19" s="907">
        <f>DR19-BO19</f>
        <v>0</v>
      </c>
      <c r="FV19" s="907">
        <f>DO19-BM19</f>
        <v>0</v>
      </c>
      <c r="FW19" s="907">
        <f>DQ19-BN19</f>
        <v>4.25</v>
      </c>
      <c r="FX19" s="907">
        <f>DS19-BP19</f>
        <v>0</v>
      </c>
      <c r="FY19" s="907">
        <f>DT19-BQ19</f>
        <v>0</v>
      </c>
      <c r="FZ19" s="907">
        <f>DU19-BR19</f>
        <v>0</v>
      </c>
      <c r="GA19" s="907">
        <f>DV19-BS19</f>
        <v>0</v>
      </c>
      <c r="GB19" s="894">
        <f>GC19</f>
        <v>4.25</v>
      </c>
      <c r="GC19" s="776">
        <f t="shared" si="4"/>
        <v>4.25</v>
      </c>
      <c r="GD19" s="139"/>
      <c r="GE19" s="139"/>
      <c r="GF19" s="139"/>
      <c r="GG19" s="139"/>
      <c r="GH19" s="139"/>
      <c r="GI19" s="139"/>
      <c r="GJ19" s="139"/>
      <c r="GK19" s="139"/>
      <c r="GL19" s="139"/>
      <c r="GM19" s="139"/>
      <c r="GN19" s="139"/>
      <c r="GO19" s="139"/>
      <c r="GP19" s="139"/>
      <c r="GQ19" s="139"/>
      <c r="GR19" s="139"/>
      <c r="GS19" s="139"/>
      <c r="GT19" s="139"/>
      <c r="GU19" s="139"/>
      <c r="GV19" s="139"/>
    </row>
    <row r="20" spans="1:204" s="139" customFormat="1" ht="18.75">
      <c r="A20" s="2263"/>
      <c r="B20" s="2263"/>
      <c r="C20" s="132"/>
      <c r="D20" s="132"/>
      <c r="E20" s="132"/>
      <c r="F20" s="777"/>
      <c r="G20" s="132"/>
      <c r="H20" s="135"/>
      <c r="I20" s="136"/>
      <c r="J20" s="132"/>
      <c r="K20" s="132"/>
      <c r="L20" s="132"/>
      <c r="M20" s="132"/>
      <c r="N20" s="134"/>
      <c r="O20" s="134"/>
      <c r="P20" s="134"/>
      <c r="Q20" s="134"/>
      <c r="R20" s="137"/>
      <c r="S20" s="778"/>
      <c r="T20" s="634"/>
      <c r="U20" s="102"/>
      <c r="V20" s="634"/>
      <c r="W20" s="102"/>
      <c r="X20" s="102"/>
      <c r="Y20" s="102"/>
      <c r="Z20" s="634"/>
      <c r="AA20" s="102"/>
      <c r="AB20" s="634"/>
      <c r="AC20" s="102"/>
      <c r="AD20" s="634"/>
      <c r="AE20" s="102"/>
      <c r="AF20" s="102"/>
      <c r="AG20" s="102"/>
      <c r="AH20" s="102"/>
      <c r="AI20" s="634"/>
      <c r="AJ20" s="102"/>
      <c r="AK20" s="634"/>
      <c r="AL20" s="102"/>
      <c r="AM20" s="779"/>
      <c r="AN20" s="634"/>
      <c r="AO20" s="102"/>
      <c r="AP20" s="634"/>
      <c r="AQ20" s="102"/>
      <c r="AR20" s="634"/>
      <c r="AS20" s="102"/>
      <c r="AT20" s="634"/>
      <c r="AU20" s="102"/>
      <c r="AV20" s="634"/>
      <c r="AW20" s="102"/>
      <c r="AX20" s="102"/>
      <c r="AY20" s="102"/>
      <c r="AZ20" s="102"/>
      <c r="BA20" s="102"/>
      <c r="BB20" s="102"/>
      <c r="BC20" s="102"/>
      <c r="BD20" s="634"/>
      <c r="BE20" s="102"/>
      <c r="BF20" s="634"/>
      <c r="BG20" s="102"/>
      <c r="BH20" s="634"/>
      <c r="BI20" s="102"/>
      <c r="BJ20" s="102"/>
      <c r="BK20" s="186"/>
      <c r="BL20" s="102"/>
      <c r="BM20" s="102"/>
      <c r="BN20" s="102"/>
      <c r="BO20" s="102"/>
      <c r="BP20" s="102"/>
      <c r="BQ20" s="102"/>
      <c r="BR20" s="102"/>
      <c r="BS20" s="102"/>
      <c r="BT20" s="634"/>
      <c r="BU20" s="102"/>
      <c r="BW20" s="780"/>
      <c r="CA20" s="781"/>
      <c r="CB20" s="2258"/>
      <c r="CC20" s="782"/>
      <c r="CD20" s="782"/>
      <c r="CE20" s="634"/>
      <c r="CF20" s="783"/>
      <c r="CG20" s="634"/>
      <c r="CH20" s="783"/>
      <c r="CI20" s="634"/>
      <c r="CK20" s="634"/>
      <c r="CM20" s="634"/>
      <c r="CN20" s="784"/>
      <c r="CO20" s="784"/>
      <c r="CP20" s="784"/>
      <c r="CQ20" s="634"/>
      <c r="CR20" s="102"/>
      <c r="CS20" s="784"/>
      <c r="CT20" s="784"/>
      <c r="CU20" s="784"/>
      <c r="CV20" s="784"/>
      <c r="CW20" s="634"/>
      <c r="CX20" s="102"/>
      <c r="CY20" s="102"/>
      <c r="CZ20" s="102"/>
      <c r="DA20" s="102"/>
      <c r="DB20" s="102"/>
      <c r="DC20" s="102"/>
      <c r="DD20" s="102"/>
      <c r="DE20" s="634"/>
      <c r="DF20" s="784"/>
      <c r="DG20" s="634"/>
      <c r="DH20" s="296"/>
      <c r="DI20" s="802"/>
      <c r="DJ20" s="785"/>
      <c r="DK20" s="785"/>
      <c r="DL20" s="772"/>
      <c r="DM20" s="787"/>
      <c r="DN20" s="787"/>
      <c r="DO20" s="787"/>
      <c r="DP20" s="787"/>
      <c r="DQ20" s="787"/>
      <c r="DR20" s="787"/>
      <c r="DS20" s="787"/>
      <c r="DT20" s="787"/>
      <c r="DU20" s="787"/>
      <c r="DV20" s="787"/>
      <c r="DW20" s="802"/>
      <c r="DX20" s="788"/>
      <c r="DY20" s="634"/>
      <c r="DZ20" s="2288"/>
      <c r="EA20" s="2231"/>
      <c r="EB20" s="187"/>
      <c r="EC20" s="2232"/>
      <c r="ED20" s="187"/>
      <c r="EE20" s="187"/>
      <c r="EF20" s="2232"/>
      <c r="EG20" s="195"/>
      <c r="EH20" s="2232"/>
      <c r="EI20" s="187"/>
      <c r="EJ20" s="2232"/>
      <c r="EK20" s="187"/>
      <c r="EL20" s="2232"/>
      <c r="EM20" s="195"/>
      <c r="EN20" s="2232"/>
      <c r="EO20" s="195"/>
      <c r="EP20" s="2232"/>
      <c r="EQ20" s="187"/>
      <c r="ER20" s="2232"/>
      <c r="ES20" s="187"/>
      <c r="ET20" s="2232"/>
      <c r="EU20" s="187">
        <f t="shared" si="1"/>
        <v>0</v>
      </c>
      <c r="EV20" s="2232"/>
      <c r="EW20" s="187"/>
      <c r="EX20" s="2232"/>
      <c r="EY20" s="195"/>
      <c r="EZ20" s="2232"/>
      <c r="FA20" s="195"/>
      <c r="FB20" s="2232"/>
      <c r="FC20" s="195"/>
      <c r="FD20" s="2232"/>
      <c r="FE20" s="195"/>
      <c r="FF20" s="2232"/>
      <c r="FG20" s="195"/>
      <c r="FH20" s="2232"/>
      <c r="FI20" s="195"/>
      <c r="FJ20" s="2232"/>
      <c r="FK20" s="195"/>
      <c r="FL20" s="2232"/>
      <c r="FM20" s="187"/>
      <c r="FN20" s="2232"/>
      <c r="FO20" s="187"/>
      <c r="FP20" s="2232"/>
      <c r="FQ20" s="187"/>
      <c r="FR20" s="195"/>
      <c r="FS20" s="195"/>
      <c r="FT20" s="789"/>
      <c r="FU20" s="789"/>
      <c r="FV20" s="789"/>
      <c r="FW20" s="789"/>
      <c r="FX20" s="789"/>
      <c r="FY20" s="789"/>
      <c r="FZ20" s="789"/>
      <c r="GA20" s="789"/>
      <c r="GB20" s="2286"/>
      <c r="GC20" s="776"/>
    </row>
    <row r="21" spans="1:204" s="156" customFormat="1" ht="15" customHeight="1">
      <c r="A21" s="2588"/>
      <c r="B21" s="2618">
        <v>6</v>
      </c>
      <c r="C21" s="140" t="s">
        <v>703</v>
      </c>
      <c r="D21" s="140">
        <v>3196</v>
      </c>
      <c r="E21" s="140">
        <v>81</v>
      </c>
      <c r="F21" s="804">
        <v>2031960081</v>
      </c>
      <c r="G21" s="140">
        <v>10000</v>
      </c>
      <c r="H21" s="143" t="s">
        <v>704</v>
      </c>
      <c r="I21" s="144"/>
      <c r="J21" s="140">
        <v>0.83</v>
      </c>
      <c r="K21" s="140">
        <v>0</v>
      </c>
      <c r="L21" s="140">
        <v>2</v>
      </c>
      <c r="M21" s="140">
        <v>6.5</v>
      </c>
      <c r="N21" s="142">
        <v>8340</v>
      </c>
      <c r="O21" s="142">
        <v>0</v>
      </c>
      <c r="P21" s="142">
        <v>0</v>
      </c>
      <c r="Q21" s="142">
        <v>8340</v>
      </c>
      <c r="R21" s="145">
        <v>0</v>
      </c>
      <c r="S21" s="805" t="s">
        <v>637</v>
      </c>
      <c r="T21" s="2628">
        <f>SUM(U21:U22)</f>
        <v>2000</v>
      </c>
      <c r="U21" s="148">
        <v>0</v>
      </c>
      <c r="V21" s="2628">
        <f>SUM(W21:W22)</f>
        <v>10340</v>
      </c>
      <c r="W21" s="148">
        <f>N21</f>
        <v>8340</v>
      </c>
      <c r="X21" s="148"/>
      <c r="Y21" s="148">
        <f>W21-AA21</f>
        <v>8340</v>
      </c>
      <c r="Z21" s="2628">
        <f>SUM(AA21:AA22)</f>
        <v>0</v>
      </c>
      <c r="AA21" s="148">
        <v>0</v>
      </c>
      <c r="AB21" s="2628">
        <f>SUM(AC21:AC22)</f>
        <v>0</v>
      </c>
      <c r="AC21" s="148">
        <v>0</v>
      </c>
      <c r="AD21" s="2628">
        <f>SUM(AE21:AE22)</f>
        <v>0</v>
      </c>
      <c r="AE21" s="148">
        <f>AG21+AF21</f>
        <v>0</v>
      </c>
      <c r="AF21" s="148">
        <v>0</v>
      </c>
      <c r="AG21" s="148">
        <v>0</v>
      </c>
      <c r="AH21" s="148">
        <v>0</v>
      </c>
      <c r="AI21" s="2628">
        <f>SUM(AJ21:AJ22)</f>
        <v>0</v>
      </c>
      <c r="AJ21" s="148">
        <v>0</v>
      </c>
      <c r="AK21" s="2628">
        <f>SUM(AL21:AL22)</f>
        <v>10340</v>
      </c>
      <c r="AL21" s="148">
        <f>W21-(AA21+AC21+AE21+AH21+AJ21+AM21+AW21+AO21+AQ21+AS21+AU21)</f>
        <v>8340</v>
      </c>
      <c r="AM21" s="806"/>
      <c r="AN21" s="2628">
        <f>SUM(AO21:AO22)</f>
        <v>0</v>
      </c>
      <c r="AO21" s="148">
        <v>0</v>
      </c>
      <c r="AP21" s="2628">
        <f>SUM(AQ21:AQ22)</f>
        <v>0</v>
      </c>
      <c r="AQ21" s="148">
        <v>0</v>
      </c>
      <c r="AR21" s="2628">
        <f>SUM(AS21:AS22)</f>
        <v>0</v>
      </c>
      <c r="AS21" s="148">
        <v>0</v>
      </c>
      <c r="AT21" s="2628">
        <f>SUM(AU21:AU22)</f>
        <v>0</v>
      </c>
      <c r="AU21" s="148">
        <v>0</v>
      </c>
      <c r="AV21" s="2628">
        <f>SUM(AW21:AW22)</f>
        <v>0</v>
      </c>
      <c r="AW21" s="148">
        <f>AX21+AY21+AZ21+BA21+BB21</f>
        <v>0</v>
      </c>
      <c r="AX21" s="148">
        <v>0</v>
      </c>
      <c r="AY21" s="148">
        <v>0</v>
      </c>
      <c r="AZ21" s="148">
        <v>0</v>
      </c>
      <c r="BA21" s="148">
        <v>0</v>
      </c>
      <c r="BB21" s="148">
        <v>0</v>
      </c>
      <c r="BC21" s="148">
        <v>0</v>
      </c>
      <c r="BD21" s="2628">
        <f>SUM(BE21:BE22)</f>
        <v>12340</v>
      </c>
      <c r="BE21" s="148">
        <f>U21+W21</f>
        <v>8340</v>
      </c>
      <c r="BF21" s="2628">
        <f>SUM(BG21:BG22)</f>
        <v>1</v>
      </c>
      <c r="BG21" s="148">
        <f>U21/1000</f>
        <v>0</v>
      </c>
      <c r="BH21" s="2628">
        <f>SUM(BI21:BI22)</f>
        <v>0</v>
      </c>
      <c r="BI21" s="148">
        <v>0</v>
      </c>
      <c r="BJ21" s="148">
        <f>ROUND(BG21*3.06,0)</f>
        <v>0</v>
      </c>
      <c r="BK21" s="908">
        <f>ROUND((Y21+AC21+AA21)/1000*3,0)+ROUND((AE21+AU21)/1000,0)+ROUND((ROUND(AH21/400,0))/2.67,0)+ROUND(AM21/250,0)+ROUND(AO21/15000,0)+ROUND((AX21+AY21+AZ21+BB21)/1000*3,0)+ROUND(BG21/25,0)+ROUND(BU310/50,0)</f>
        <v>25</v>
      </c>
      <c r="BL21" s="148">
        <v>0</v>
      </c>
      <c r="BM21" s="148">
        <v>0</v>
      </c>
      <c r="BN21" s="148">
        <v>0</v>
      </c>
      <c r="BO21" s="148">
        <f>AC21/1000</f>
        <v>0</v>
      </c>
      <c r="BP21" s="148">
        <f>AH21/1000</f>
        <v>0</v>
      </c>
      <c r="BQ21" s="148">
        <v>0</v>
      </c>
      <c r="BR21" s="148">
        <v>0</v>
      </c>
      <c r="BS21" s="148">
        <v>0</v>
      </c>
      <c r="BT21" s="2628">
        <f>SUM(BU21:BU22)</f>
        <v>0</v>
      </c>
      <c r="BU21" s="148">
        <f>SUM(BL21:BS21)</f>
        <v>0</v>
      </c>
      <c r="BV21" s="156">
        <v>15</v>
      </c>
      <c r="BW21" s="808" t="s">
        <v>705</v>
      </c>
      <c r="BX21" s="156">
        <v>4.5999999999999996</v>
      </c>
      <c r="BY21" s="156">
        <v>2</v>
      </c>
      <c r="BZ21" s="156">
        <v>4.5999999999999996</v>
      </c>
      <c r="CA21" s="809" t="s">
        <v>706</v>
      </c>
      <c r="CB21" s="2622" t="s">
        <v>719</v>
      </c>
      <c r="CC21" s="810">
        <f>(BX21*G21)-CF21</f>
        <v>27500</v>
      </c>
      <c r="CD21" s="2743">
        <f>SUM(CC21:CC22)</f>
        <v>34375</v>
      </c>
      <c r="CE21" s="2628">
        <f>SUM(CF21:CF22)</f>
        <v>23125</v>
      </c>
      <c r="CF21" s="811">
        <f>2*(G21)-(0.15*1*(G21))</f>
        <v>18500</v>
      </c>
      <c r="CG21" s="2628">
        <f>SUM(CH21:CH22)</f>
        <v>23125</v>
      </c>
      <c r="CH21" s="811">
        <f>CF21-CJ21</f>
        <v>18500</v>
      </c>
      <c r="CI21" s="2628">
        <f>SUM(CJ21:CJ22)</f>
        <v>0</v>
      </c>
      <c r="CJ21" s="156">
        <v>0</v>
      </c>
      <c r="CK21" s="2628">
        <f>SUM(CL21:CL22)</f>
        <v>0</v>
      </c>
      <c r="CL21" s="156">
        <v>0</v>
      </c>
      <c r="CM21" s="2628">
        <f>SUM(CN21:CN22)</f>
        <v>23125</v>
      </c>
      <c r="CN21" s="148">
        <f>CF21-(CJ21+CL21+CO21+CP21+CR21+CU21+CV21+CX21)</f>
        <v>18500</v>
      </c>
      <c r="CO21" s="812">
        <v>0</v>
      </c>
      <c r="CP21" s="812">
        <v>0</v>
      </c>
      <c r="CQ21" s="2628">
        <f>SUM(CR21:CR22)</f>
        <v>0</v>
      </c>
      <c r="CR21" s="148">
        <v>0</v>
      </c>
      <c r="CS21" s="812">
        <v>0</v>
      </c>
      <c r="CT21" s="812">
        <v>0</v>
      </c>
      <c r="CU21" s="812">
        <v>0</v>
      </c>
      <c r="CV21" s="812">
        <v>0</v>
      </c>
      <c r="CW21" s="2628">
        <f>SUM(CX21:CX22)</f>
        <v>0</v>
      </c>
      <c r="CX21" s="148">
        <f>SUM(CY21:DC21)</f>
        <v>0</v>
      </c>
      <c r="CY21" s="148">
        <f t="shared" ref="CY21:DC22" si="10">AX21</f>
        <v>0</v>
      </c>
      <c r="CZ21" s="148">
        <f t="shared" si="10"/>
        <v>0</v>
      </c>
      <c r="DA21" s="148">
        <f t="shared" si="10"/>
        <v>0</v>
      </c>
      <c r="DB21" s="148">
        <f t="shared" si="10"/>
        <v>0</v>
      </c>
      <c r="DC21" s="148">
        <f t="shared" si="10"/>
        <v>0</v>
      </c>
      <c r="DD21" s="148"/>
      <c r="DE21" s="2628">
        <f>SUM(DF21:DF22)</f>
        <v>57500</v>
      </c>
      <c r="DF21" s="148">
        <f>CC21+CF21</f>
        <v>46000</v>
      </c>
      <c r="DG21" s="2628">
        <f>SUM(DH21:DH22)</f>
        <v>34.375</v>
      </c>
      <c r="DH21" s="813">
        <f>CC21/'[1]Projected Development Sites'!DF$134</f>
        <v>27.5</v>
      </c>
      <c r="DI21" s="2737">
        <f>SUM(DJ21:DJ22)</f>
        <v>34.375</v>
      </c>
      <c r="DJ21" s="814">
        <f>'[1]Projected Development Sites'!DK$136*DH21</f>
        <v>27.5</v>
      </c>
      <c r="DK21" s="814">
        <f>3.06*DH21</f>
        <v>84.15</v>
      </c>
      <c r="DL21" s="815">
        <f>ROUND((CN21+CL21+CJ21)/1000*3,0)+ROUND((ROUND(CP21/400,0))/2.67,0)+ROUND(CV21/1000,0)+ROUND((CY21+CZ21+DA21+DC21)/1000*3,0)+ROUND(DH21/25,0)+ROUND(DX21/50,0)</f>
        <v>57</v>
      </c>
      <c r="DM21" s="816">
        <v>0</v>
      </c>
      <c r="DN21" s="816"/>
      <c r="DO21" s="816">
        <v>0</v>
      </c>
      <c r="DP21" s="816">
        <f>0.25*DJ21</f>
        <v>6.875</v>
      </c>
      <c r="DQ21" s="816">
        <f>SUM(CO21,CJ21,CN21,CR21,CU21)/1000</f>
        <v>18.5</v>
      </c>
      <c r="DR21" s="816">
        <f>CL21/1000</f>
        <v>0</v>
      </c>
      <c r="DS21" s="816">
        <f>((CP21/400)/12)</f>
        <v>0</v>
      </c>
      <c r="DT21" s="816">
        <v>0</v>
      </c>
      <c r="DU21" s="816">
        <v>0</v>
      </c>
      <c r="DV21" s="816">
        <f>CX21/1000</f>
        <v>0</v>
      </c>
      <c r="DW21" s="2737">
        <f>SUM(DX21:DX22)</f>
        <v>23.125</v>
      </c>
      <c r="DX21" s="817">
        <f>SUM(DM21,DO21,DQ21:DV21)</f>
        <v>18.5</v>
      </c>
      <c r="DY21" s="2739">
        <v>115</v>
      </c>
      <c r="DZ21" s="2741">
        <f>CD21-T21</f>
        <v>32375</v>
      </c>
      <c r="EA21" s="2630">
        <f>CE21-V21</f>
        <v>12785</v>
      </c>
      <c r="EB21" s="281">
        <f>CF21-W21</f>
        <v>10160</v>
      </c>
      <c r="EC21" s="2630">
        <f>SUM(ED21:ED22)</f>
        <v>285</v>
      </c>
      <c r="ED21" s="281">
        <v>160</v>
      </c>
      <c r="EE21" s="281">
        <f>(SUM(CJ21:CO21))-(SUM(AA21:AE21,AL21))</f>
        <v>33285</v>
      </c>
      <c r="EF21" s="2630">
        <f>SUM(EG21:EG22)</f>
        <v>285</v>
      </c>
      <c r="EG21" s="281">
        <v>160</v>
      </c>
      <c r="EH21" s="2630">
        <f>SUM(EI21:EI22)</f>
        <v>0</v>
      </c>
      <c r="EI21" s="281">
        <f>CL21-AC21</f>
        <v>0</v>
      </c>
      <c r="EJ21" s="2630">
        <f>SUM(EK21:EK22)</f>
        <v>0</v>
      </c>
      <c r="EK21" s="281">
        <f>CJ21-AA21</f>
        <v>0</v>
      </c>
      <c r="EL21" s="2630">
        <f>SUM(EM21:EM22)</f>
        <v>0</v>
      </c>
      <c r="EM21" s="281">
        <f>CO21-AE21</f>
        <v>0</v>
      </c>
      <c r="EN21" s="2630">
        <f>SUM(EO21:EO22)</f>
        <v>0</v>
      </c>
      <c r="EO21" s="281">
        <f>CP21-AH21</f>
        <v>0</v>
      </c>
      <c r="EP21" s="2630">
        <f>SUM(EQ21:EQ22)</f>
        <v>0</v>
      </c>
      <c r="EQ21" s="281">
        <f>CR21-AJ21</f>
        <v>0</v>
      </c>
      <c r="ER21" s="2630">
        <f>SUM(ES21:ES22)</f>
        <v>0</v>
      </c>
      <c r="ES21" s="281">
        <f>CS21-AO21</f>
        <v>0</v>
      </c>
      <c r="ET21" s="2630">
        <f>SUM(EU21:EU22)</f>
        <v>0</v>
      </c>
      <c r="EU21" s="281">
        <f t="shared" si="1"/>
        <v>0</v>
      </c>
      <c r="EV21" s="2630">
        <f>SUM(EW21:EW22)</f>
        <v>0</v>
      </c>
      <c r="EW21" s="281">
        <f>CU21-AS21</f>
        <v>0</v>
      </c>
      <c r="EX21" s="2630">
        <f>SUM(EY21:EY22)</f>
        <v>0</v>
      </c>
      <c r="EY21" s="281">
        <f>CV21-AU21</f>
        <v>0</v>
      </c>
      <c r="EZ21" s="2630">
        <f>SUM(FA21:FA22)</f>
        <v>0</v>
      </c>
      <c r="FA21" s="281">
        <f>CY21-AX21</f>
        <v>0</v>
      </c>
      <c r="FB21" s="2630">
        <f>SUM(FC21:FC22)</f>
        <v>0</v>
      </c>
      <c r="FC21" s="281">
        <f>CZ21-AY21</f>
        <v>0</v>
      </c>
      <c r="FD21" s="2630">
        <f>SUM(FE21:FE22)</f>
        <v>0</v>
      </c>
      <c r="FE21" s="281">
        <f>DA21-AZ21</f>
        <v>0</v>
      </c>
      <c r="FF21" s="2630">
        <f>SUM(FG21:FG22)</f>
        <v>0</v>
      </c>
      <c r="FG21" s="281">
        <f>DB21-BA21</f>
        <v>0</v>
      </c>
      <c r="FH21" s="2630">
        <f>SUM(FI21:FI22)</f>
        <v>0</v>
      </c>
      <c r="FI21" s="281">
        <f>DC21-BB21</f>
        <v>0</v>
      </c>
      <c r="FJ21" s="2630">
        <f>SUM(FK21:FK22)</f>
        <v>0</v>
      </c>
      <c r="FK21" s="281">
        <f>CX21-AW21</f>
        <v>0</v>
      </c>
      <c r="FL21" s="2630">
        <f>SUM(FM21:FM22)</f>
        <v>45160</v>
      </c>
      <c r="FM21" s="281">
        <f>DF21-BE21</f>
        <v>37660</v>
      </c>
      <c r="FN21" s="2630">
        <f>SUM(FO21:FO22)</f>
        <v>33.375</v>
      </c>
      <c r="FO21" s="281">
        <f>DH21-BG21</f>
        <v>27.5</v>
      </c>
      <c r="FP21" s="2630">
        <f>SUM(FQ21:FQ22)</f>
        <v>34.375</v>
      </c>
      <c r="FQ21" s="281">
        <f t="shared" ref="FQ21:FT22" si="11">DJ21-BI21</f>
        <v>27.5</v>
      </c>
      <c r="FR21" s="281">
        <f t="shared" si="11"/>
        <v>84.15</v>
      </c>
      <c r="FS21" s="281">
        <f t="shared" si="11"/>
        <v>32</v>
      </c>
      <c r="FT21" s="818">
        <f t="shared" si="11"/>
        <v>0</v>
      </c>
      <c r="FU21" s="818">
        <f>DR21-BO21</f>
        <v>0</v>
      </c>
      <c r="FV21" s="818">
        <f>DO21-BM21</f>
        <v>0</v>
      </c>
      <c r="FW21" s="818">
        <f>DQ21-BN21</f>
        <v>18.5</v>
      </c>
      <c r="FX21" s="818">
        <f t="shared" ref="FX21:GA22" si="12">DS21-BP21</f>
        <v>0</v>
      </c>
      <c r="FY21" s="818">
        <f t="shared" si="12"/>
        <v>0</v>
      </c>
      <c r="FZ21" s="818">
        <f t="shared" si="12"/>
        <v>0</v>
      </c>
      <c r="GA21" s="818">
        <f t="shared" si="12"/>
        <v>0</v>
      </c>
      <c r="GB21" s="2734">
        <f>SUM(GC21:GC22)</f>
        <v>23.125</v>
      </c>
      <c r="GC21" s="819">
        <f t="shared" si="4"/>
        <v>18.5</v>
      </c>
      <c r="GD21" s="139"/>
      <c r="GE21" s="139"/>
      <c r="GF21" s="139"/>
      <c r="GG21" s="139"/>
      <c r="GH21" s="139"/>
      <c r="GI21" s="139"/>
      <c r="GJ21" s="139"/>
      <c r="GK21" s="139"/>
      <c r="GL21" s="139"/>
      <c r="GM21" s="139"/>
      <c r="GN21" s="139"/>
      <c r="GO21" s="139"/>
      <c r="GP21" s="139"/>
      <c r="GQ21" s="139"/>
      <c r="GR21" s="139"/>
      <c r="GS21" s="139"/>
      <c r="GT21" s="210"/>
      <c r="GU21" s="210"/>
      <c r="GV21" s="210"/>
    </row>
    <row r="22" spans="1:204" s="176" customFormat="1" ht="15" customHeight="1">
      <c r="A22" s="2589"/>
      <c r="B22" s="2619"/>
      <c r="C22" s="162" t="s">
        <v>710</v>
      </c>
      <c r="D22" s="162">
        <v>3196</v>
      </c>
      <c r="E22" s="162">
        <v>79</v>
      </c>
      <c r="F22" s="909">
        <v>2031960079</v>
      </c>
      <c r="G22" s="162">
        <v>2500</v>
      </c>
      <c r="H22" s="165" t="s">
        <v>726</v>
      </c>
      <c r="I22" s="166" t="s">
        <v>727</v>
      </c>
      <c r="J22" s="162">
        <v>1.6</v>
      </c>
      <c r="K22" s="162">
        <v>3.44</v>
      </c>
      <c r="L22" s="162">
        <v>0</v>
      </c>
      <c r="M22" s="162">
        <v>4.8</v>
      </c>
      <c r="N22" s="164">
        <f>0.5*Q22</f>
        <v>2000</v>
      </c>
      <c r="O22" s="164">
        <v>0</v>
      </c>
      <c r="P22" s="164">
        <v>0</v>
      </c>
      <c r="Q22" s="164">
        <v>4000</v>
      </c>
      <c r="R22" s="167">
        <v>1</v>
      </c>
      <c r="S22" s="820" t="s">
        <v>735</v>
      </c>
      <c r="T22" s="2629"/>
      <c r="U22" s="170">
        <f>0.5*Q22</f>
        <v>2000</v>
      </c>
      <c r="V22" s="2629"/>
      <c r="W22" s="170">
        <f>N22</f>
        <v>2000</v>
      </c>
      <c r="X22" s="170"/>
      <c r="Y22" s="170">
        <f>W22-AA22</f>
        <v>2000</v>
      </c>
      <c r="Z22" s="2629"/>
      <c r="AA22" s="170">
        <v>0</v>
      </c>
      <c r="AB22" s="2629"/>
      <c r="AC22" s="170">
        <v>0</v>
      </c>
      <c r="AD22" s="2629"/>
      <c r="AE22" s="170">
        <f>AG22+AF22</f>
        <v>0</v>
      </c>
      <c r="AF22" s="170">
        <v>0</v>
      </c>
      <c r="AG22" s="170">
        <v>0</v>
      </c>
      <c r="AH22" s="170">
        <v>0</v>
      </c>
      <c r="AI22" s="2629"/>
      <c r="AJ22" s="170">
        <v>0</v>
      </c>
      <c r="AK22" s="2629"/>
      <c r="AL22" s="170">
        <f>W22-(AA22+AC22+AE22+AH22+AJ22+AM22+AW22+AO22+AQ22+AS22+AU22)</f>
        <v>2000</v>
      </c>
      <c r="AM22" s="821"/>
      <c r="AN22" s="2629"/>
      <c r="AO22" s="170">
        <v>0</v>
      </c>
      <c r="AP22" s="2629"/>
      <c r="AQ22" s="170">
        <v>0</v>
      </c>
      <c r="AR22" s="2629"/>
      <c r="AS22" s="170">
        <v>0</v>
      </c>
      <c r="AT22" s="2629"/>
      <c r="AU22" s="170">
        <v>0</v>
      </c>
      <c r="AV22" s="2629"/>
      <c r="AW22" s="170">
        <f>AX22+AY22+AZ22+BA22+BB22</f>
        <v>0</v>
      </c>
      <c r="AX22" s="170">
        <v>0</v>
      </c>
      <c r="AY22" s="170">
        <v>0</v>
      </c>
      <c r="AZ22" s="170">
        <v>0</v>
      </c>
      <c r="BA22" s="170">
        <v>0</v>
      </c>
      <c r="BB22" s="170">
        <v>0</v>
      </c>
      <c r="BC22" s="170">
        <v>0</v>
      </c>
      <c r="BD22" s="2629"/>
      <c r="BE22" s="170">
        <f>U22+W22</f>
        <v>4000</v>
      </c>
      <c r="BF22" s="2629"/>
      <c r="BG22" s="170">
        <f>R22</f>
        <v>1</v>
      </c>
      <c r="BH22" s="2629"/>
      <c r="BI22" s="170">
        <v>0</v>
      </c>
      <c r="BJ22" s="170">
        <f t="shared" ref="BJ22:BJ85" si="13">ROUND(BG22*3.06,0)</f>
        <v>3</v>
      </c>
      <c r="BK22" s="822">
        <f>ROUND((Y22+AC22+AA22)/1000*3,0)+ROUND((AE22+AU22)/1000,0)+ROUND((ROUND(AH22/400,0))/2.67,0)+ROUND(AM22/250,0)+ROUND(AO22/15000,0)+ROUND((AX22+AY22+AZ22+BB22)/1000*3,0)+ROUND(BG22/25,0)+ROUND(BU311/50,0)</f>
        <v>6</v>
      </c>
      <c r="BL22" s="170">
        <v>0</v>
      </c>
      <c r="BM22" s="170">
        <v>0</v>
      </c>
      <c r="BN22" s="170">
        <v>0</v>
      </c>
      <c r="BO22" s="170">
        <f>AC22/1000</f>
        <v>0</v>
      </c>
      <c r="BP22" s="170">
        <f>AH22/1000</f>
        <v>0</v>
      </c>
      <c r="BQ22" s="170">
        <v>0</v>
      </c>
      <c r="BR22" s="170">
        <v>0</v>
      </c>
      <c r="BS22" s="170">
        <v>0</v>
      </c>
      <c r="BT22" s="2629"/>
      <c r="BU22" s="170">
        <f>SUM(BL22:BS22)</f>
        <v>0</v>
      </c>
      <c r="BV22" s="176">
        <v>25</v>
      </c>
      <c r="BW22" s="823" t="s">
        <v>705</v>
      </c>
      <c r="BX22" s="176">
        <v>4.5999999999999996</v>
      </c>
      <c r="BY22" s="176">
        <v>2</v>
      </c>
      <c r="BZ22" s="176">
        <v>4.5999999999999996</v>
      </c>
      <c r="CA22" s="824" t="s">
        <v>706</v>
      </c>
      <c r="CB22" s="2623"/>
      <c r="CC22" s="825">
        <f>(BX22*G22)-CF22</f>
        <v>6875</v>
      </c>
      <c r="CD22" s="2744"/>
      <c r="CE22" s="2629"/>
      <c r="CF22" s="826">
        <f>2*(G22)-(0.15*1*(G22))</f>
        <v>4625</v>
      </c>
      <c r="CG22" s="2629"/>
      <c r="CH22" s="827">
        <f>CF22-CJ22</f>
        <v>4625</v>
      </c>
      <c r="CI22" s="2629"/>
      <c r="CJ22" s="176">
        <v>0</v>
      </c>
      <c r="CK22" s="2629"/>
      <c r="CL22" s="176">
        <v>0</v>
      </c>
      <c r="CM22" s="2629"/>
      <c r="CN22" s="170">
        <f>CF22-(CJ22+CL22+CO22+CP22+CR22+CU22+CV22+CX22)</f>
        <v>4625</v>
      </c>
      <c r="CO22" s="828">
        <v>0</v>
      </c>
      <c r="CP22" s="828">
        <v>0</v>
      </c>
      <c r="CQ22" s="2629"/>
      <c r="CR22" s="170">
        <v>0</v>
      </c>
      <c r="CS22" s="828">
        <v>0</v>
      </c>
      <c r="CT22" s="828">
        <v>0</v>
      </c>
      <c r="CU22" s="828">
        <v>0</v>
      </c>
      <c r="CV22" s="828">
        <v>0</v>
      </c>
      <c r="CW22" s="2629"/>
      <c r="CX22" s="170">
        <f>SUM(CY22:DC22)</f>
        <v>0</v>
      </c>
      <c r="CY22" s="170">
        <f t="shared" si="10"/>
        <v>0</v>
      </c>
      <c r="CZ22" s="170">
        <f t="shared" si="10"/>
        <v>0</v>
      </c>
      <c r="DA22" s="170">
        <f t="shared" si="10"/>
        <v>0</v>
      </c>
      <c r="DB22" s="170">
        <f t="shared" si="10"/>
        <v>0</v>
      </c>
      <c r="DC22" s="170">
        <f t="shared" si="10"/>
        <v>0</v>
      </c>
      <c r="DD22" s="170"/>
      <c r="DE22" s="2629"/>
      <c r="DF22" s="170">
        <f>CC22+CF22</f>
        <v>11500</v>
      </c>
      <c r="DG22" s="2629"/>
      <c r="DH22" s="829">
        <f>CC22/'[1]Projected Development Sites'!DF$134</f>
        <v>6.875</v>
      </c>
      <c r="DI22" s="2738"/>
      <c r="DJ22" s="830">
        <f>'[1]Projected Development Sites'!DK$136*DH22</f>
        <v>6.875</v>
      </c>
      <c r="DK22" s="830">
        <f>3.06*DH22</f>
        <v>21.037500000000001</v>
      </c>
      <c r="DL22" s="831">
        <f>ROUND((CN22+CL22+CJ22)/1000*3,0)+ROUND((ROUND(CP22/400,0))/2.67,0)+ROUND(CV22/1000,0)+ROUND((CY22+CZ22+DA22+DC22)/1000*3,0)+ROUND(DH22/25,0)+ROUND(DX22/50,0)</f>
        <v>14</v>
      </c>
      <c r="DM22" s="832">
        <v>0</v>
      </c>
      <c r="DN22" s="832"/>
      <c r="DO22" s="832">
        <v>0</v>
      </c>
      <c r="DP22" s="832">
        <f>0.25*DJ22</f>
        <v>1.71875</v>
      </c>
      <c r="DQ22" s="832">
        <f>SUM(CO22,CJ22,CN22,CR22,CU22)/1000</f>
        <v>4.625</v>
      </c>
      <c r="DR22" s="832">
        <f>CL22/1000</f>
        <v>0</v>
      </c>
      <c r="DS22" s="832">
        <f>((CP22/400)/12)</f>
        <v>0</v>
      </c>
      <c r="DT22" s="832">
        <v>0</v>
      </c>
      <c r="DU22" s="832">
        <v>0</v>
      </c>
      <c r="DV22" s="832">
        <f>CX22/1000</f>
        <v>0</v>
      </c>
      <c r="DW22" s="2738"/>
      <c r="DX22" s="910">
        <f>SUM(DM22,DO22,DQ22:DV22)</f>
        <v>4.625</v>
      </c>
      <c r="DY22" s="2740"/>
      <c r="DZ22" s="2742"/>
      <c r="EA22" s="2631"/>
      <c r="EB22" s="284">
        <f>CF22-W22</f>
        <v>2625</v>
      </c>
      <c r="EC22" s="2631"/>
      <c r="ED22" s="287">
        <v>125</v>
      </c>
      <c r="EE22" s="284">
        <f>(SUM(CJ22:CO22))-(SUM(AA22:AE22,AL22))</f>
        <v>2625</v>
      </c>
      <c r="EF22" s="2631"/>
      <c r="EG22" s="287">
        <v>125</v>
      </c>
      <c r="EH22" s="2631"/>
      <c r="EI22" s="284">
        <f>CL22-AC22</f>
        <v>0</v>
      </c>
      <c r="EJ22" s="2631"/>
      <c r="EK22" s="284">
        <f>CJ22-AA22</f>
        <v>0</v>
      </c>
      <c r="EL22" s="2631"/>
      <c r="EM22" s="287">
        <f>CO22-AE22</f>
        <v>0</v>
      </c>
      <c r="EN22" s="2631"/>
      <c r="EO22" s="287">
        <f>CP22-AH22</f>
        <v>0</v>
      </c>
      <c r="EP22" s="2631"/>
      <c r="EQ22" s="284">
        <f>CR22-AJ22</f>
        <v>0</v>
      </c>
      <c r="ER22" s="2631"/>
      <c r="ES22" s="284">
        <f>CS22-AO22</f>
        <v>0</v>
      </c>
      <c r="ET22" s="2631"/>
      <c r="EU22" s="287">
        <f t="shared" si="1"/>
        <v>0</v>
      </c>
      <c r="EV22" s="2631"/>
      <c r="EW22" s="284">
        <f>CU22-AS22</f>
        <v>0</v>
      </c>
      <c r="EX22" s="2631"/>
      <c r="EY22" s="287">
        <f>CV22-AU22</f>
        <v>0</v>
      </c>
      <c r="EZ22" s="2631"/>
      <c r="FA22" s="287">
        <f>CY22-AX22</f>
        <v>0</v>
      </c>
      <c r="FB22" s="2631"/>
      <c r="FC22" s="287">
        <f>CZ22-AY22</f>
        <v>0</v>
      </c>
      <c r="FD22" s="2631"/>
      <c r="FE22" s="287">
        <f>DA22-AZ22</f>
        <v>0</v>
      </c>
      <c r="FF22" s="2631"/>
      <c r="FG22" s="287">
        <f>DB22-BA22</f>
        <v>0</v>
      </c>
      <c r="FH22" s="2631"/>
      <c r="FI22" s="287">
        <f>DC22-BB22</f>
        <v>0</v>
      </c>
      <c r="FJ22" s="2631"/>
      <c r="FK22" s="287">
        <f>CX22-AW22</f>
        <v>0</v>
      </c>
      <c r="FL22" s="2631"/>
      <c r="FM22" s="284">
        <f>DF22-BE22</f>
        <v>7500</v>
      </c>
      <c r="FN22" s="2631"/>
      <c r="FO22" s="287">
        <f>DH22-BG22</f>
        <v>5.875</v>
      </c>
      <c r="FP22" s="2631"/>
      <c r="FQ22" s="287">
        <f t="shared" si="11"/>
        <v>6.875</v>
      </c>
      <c r="FR22" s="287">
        <f t="shared" si="11"/>
        <v>18.037500000000001</v>
      </c>
      <c r="FS22" s="287">
        <f t="shared" si="11"/>
        <v>8</v>
      </c>
      <c r="FT22" s="834">
        <f t="shared" si="11"/>
        <v>0</v>
      </c>
      <c r="FU22" s="834">
        <f>DR22-BO22</f>
        <v>0</v>
      </c>
      <c r="FV22" s="834">
        <f>DO22-BM22</f>
        <v>0</v>
      </c>
      <c r="FW22" s="834">
        <f>DQ22-BN22</f>
        <v>4.625</v>
      </c>
      <c r="FX22" s="834">
        <f t="shared" si="12"/>
        <v>0</v>
      </c>
      <c r="FY22" s="834">
        <f t="shared" si="12"/>
        <v>0</v>
      </c>
      <c r="FZ22" s="834">
        <f t="shared" si="12"/>
        <v>0</v>
      </c>
      <c r="GA22" s="834">
        <f t="shared" si="12"/>
        <v>0</v>
      </c>
      <c r="GB22" s="2736"/>
      <c r="GC22" s="835">
        <f t="shared" si="4"/>
        <v>4.625</v>
      </c>
      <c r="GD22" s="139"/>
      <c r="GE22" s="139"/>
      <c r="GF22" s="139"/>
      <c r="GG22" s="139"/>
      <c r="GH22" s="139"/>
      <c r="GI22" s="139"/>
      <c r="GJ22" s="139"/>
      <c r="GK22" s="139"/>
      <c r="GL22" s="139"/>
      <c r="GM22" s="139"/>
      <c r="GN22" s="139"/>
      <c r="GO22" s="139"/>
      <c r="GP22" s="139"/>
      <c r="GQ22" s="139"/>
      <c r="GR22" s="139"/>
      <c r="GS22" s="139"/>
      <c r="GT22" s="210"/>
      <c r="GU22" s="210"/>
      <c r="GV22" s="210"/>
    </row>
    <row r="23" spans="1:204" s="139" customFormat="1" ht="18.75">
      <c r="A23" s="2263"/>
      <c r="B23" s="2263"/>
      <c r="C23" s="132"/>
      <c r="D23" s="132"/>
      <c r="E23" s="132"/>
      <c r="F23" s="777"/>
      <c r="G23" s="132"/>
      <c r="H23" s="135"/>
      <c r="I23" s="136"/>
      <c r="J23" s="132"/>
      <c r="K23" s="132"/>
      <c r="L23" s="132"/>
      <c r="M23" s="132"/>
      <c r="N23" s="134"/>
      <c r="O23" s="134"/>
      <c r="P23" s="134"/>
      <c r="Q23" s="134"/>
      <c r="R23" s="137"/>
      <c r="S23" s="778"/>
      <c r="T23" s="634"/>
      <c r="U23" s="102"/>
      <c r="V23" s="634"/>
      <c r="W23" s="102"/>
      <c r="X23" s="102"/>
      <c r="Y23" s="102"/>
      <c r="Z23" s="634"/>
      <c r="AA23" s="102"/>
      <c r="AB23" s="634"/>
      <c r="AC23" s="102"/>
      <c r="AD23" s="634"/>
      <c r="AE23" s="102"/>
      <c r="AF23" s="102"/>
      <c r="AG23" s="102"/>
      <c r="AH23" s="102"/>
      <c r="AI23" s="634"/>
      <c r="AJ23" s="102"/>
      <c r="AK23" s="634"/>
      <c r="AL23" s="102"/>
      <c r="AM23" s="779"/>
      <c r="AN23" s="634"/>
      <c r="AO23" s="102"/>
      <c r="AP23" s="634"/>
      <c r="AQ23" s="102"/>
      <c r="AR23" s="634"/>
      <c r="AS23" s="102"/>
      <c r="AT23" s="634"/>
      <c r="AU23" s="102"/>
      <c r="AV23" s="634"/>
      <c r="AW23" s="102"/>
      <c r="AX23" s="102"/>
      <c r="AY23" s="102"/>
      <c r="AZ23" s="102"/>
      <c r="BA23" s="102"/>
      <c r="BB23" s="102"/>
      <c r="BC23" s="102"/>
      <c r="BD23" s="634"/>
      <c r="BE23" s="102"/>
      <c r="BF23" s="634"/>
      <c r="BG23" s="102"/>
      <c r="BH23" s="634"/>
      <c r="BI23" s="102"/>
      <c r="BJ23" s="122"/>
      <c r="BK23" s="186"/>
      <c r="BL23" s="111"/>
      <c r="BM23" s="111"/>
      <c r="BN23" s="111"/>
      <c r="BO23" s="111"/>
      <c r="BP23" s="111"/>
      <c r="BQ23" s="111"/>
      <c r="BR23" s="111"/>
      <c r="BS23" s="111"/>
      <c r="BT23" s="634"/>
      <c r="BU23" s="111"/>
      <c r="BW23" s="780"/>
      <c r="CA23" s="781"/>
      <c r="CB23" s="2258"/>
      <c r="CC23" s="782"/>
      <c r="CD23" s="782"/>
      <c r="CE23" s="634"/>
      <c r="CF23" s="902"/>
      <c r="CG23" s="634"/>
      <c r="CH23" s="840"/>
      <c r="CI23" s="634"/>
      <c r="CK23" s="634"/>
      <c r="CM23" s="634"/>
      <c r="CN23" s="102"/>
      <c r="CO23" s="784"/>
      <c r="CP23" s="784"/>
      <c r="CQ23" s="634"/>
      <c r="CR23" s="102"/>
      <c r="CS23" s="784"/>
      <c r="CT23" s="784"/>
      <c r="CU23" s="784"/>
      <c r="CV23" s="784"/>
      <c r="CW23" s="634"/>
      <c r="CX23" s="102"/>
      <c r="CY23" s="102"/>
      <c r="CZ23" s="102"/>
      <c r="DA23" s="102"/>
      <c r="DB23" s="102"/>
      <c r="DC23" s="102"/>
      <c r="DD23" s="102"/>
      <c r="DE23" s="634"/>
      <c r="DF23" s="784"/>
      <c r="DG23" s="634"/>
      <c r="DH23" s="296"/>
      <c r="DI23" s="802"/>
      <c r="DJ23" s="785"/>
      <c r="DK23" s="771"/>
      <c r="DL23" s="786"/>
      <c r="DM23" s="787"/>
      <c r="DN23" s="787"/>
      <c r="DO23" s="787"/>
      <c r="DP23" s="787"/>
      <c r="DQ23" s="787"/>
      <c r="DR23" s="787"/>
      <c r="DS23" s="787"/>
      <c r="DT23" s="787"/>
      <c r="DU23" s="787"/>
      <c r="DV23" s="787"/>
      <c r="DW23" s="802"/>
      <c r="DX23" s="788"/>
      <c r="DY23" s="634"/>
      <c r="DZ23" s="2288"/>
      <c r="EA23" s="2231"/>
      <c r="EB23" s="187"/>
      <c r="EC23" s="2232"/>
      <c r="ED23" s="187"/>
      <c r="EE23" s="187"/>
      <c r="EF23" s="2232"/>
      <c r="EG23" s="245"/>
      <c r="EH23" s="2232"/>
      <c r="EI23" s="187"/>
      <c r="EJ23" s="2232"/>
      <c r="EK23" s="187"/>
      <c r="EL23" s="2232"/>
      <c r="EM23" s="195"/>
      <c r="EN23" s="2232"/>
      <c r="EO23" s="195"/>
      <c r="EP23" s="2232"/>
      <c r="EQ23" s="187"/>
      <c r="ER23" s="2232"/>
      <c r="ES23" s="187"/>
      <c r="ET23" s="2232"/>
      <c r="EU23" s="187">
        <f t="shared" si="1"/>
        <v>0</v>
      </c>
      <c r="EV23" s="2232"/>
      <c r="EW23" s="187"/>
      <c r="EX23" s="2232"/>
      <c r="EY23" s="195"/>
      <c r="EZ23" s="2232"/>
      <c r="FA23" s="195"/>
      <c r="FB23" s="2232"/>
      <c r="FC23" s="195"/>
      <c r="FD23" s="2232"/>
      <c r="FE23" s="195"/>
      <c r="FF23" s="2232"/>
      <c r="FG23" s="195"/>
      <c r="FH23" s="2232"/>
      <c r="FI23" s="195"/>
      <c r="FJ23" s="2232"/>
      <c r="FK23" s="195"/>
      <c r="FL23" s="2232"/>
      <c r="FM23" s="187"/>
      <c r="FN23" s="2232"/>
      <c r="FO23" s="187"/>
      <c r="FP23" s="2232"/>
      <c r="FQ23" s="187"/>
      <c r="FR23" s="195"/>
      <c r="FS23" s="195"/>
      <c r="FT23" s="789"/>
      <c r="FU23" s="789"/>
      <c r="FV23" s="789"/>
      <c r="FW23" s="789"/>
      <c r="FX23" s="789"/>
      <c r="FY23" s="789"/>
      <c r="FZ23" s="789"/>
      <c r="GA23" s="789"/>
      <c r="GB23" s="2286"/>
      <c r="GC23" s="776"/>
    </row>
    <row r="24" spans="1:204" s="127" customFormat="1" ht="15" customHeight="1">
      <c r="A24" s="2588"/>
      <c r="B24" s="2588">
        <v>7</v>
      </c>
      <c r="C24" s="911" t="s">
        <v>703</v>
      </c>
      <c r="D24" s="115">
        <v>3208</v>
      </c>
      <c r="E24" s="115">
        <v>36</v>
      </c>
      <c r="F24" s="115">
        <v>2032080036</v>
      </c>
      <c r="G24" s="115">
        <v>6947</v>
      </c>
      <c r="H24" s="118" t="s">
        <v>726</v>
      </c>
      <c r="I24" s="119" t="s">
        <v>727</v>
      </c>
      <c r="J24" s="115">
        <v>0.78</v>
      </c>
      <c r="K24" s="115">
        <v>3.44</v>
      </c>
      <c r="L24" s="115">
        <v>0</v>
      </c>
      <c r="M24" s="115">
        <v>4.8</v>
      </c>
      <c r="N24" s="117">
        <v>5397</v>
      </c>
      <c r="O24" s="117">
        <v>0</v>
      </c>
      <c r="P24" s="117">
        <v>0</v>
      </c>
      <c r="Q24" s="117">
        <v>5397</v>
      </c>
      <c r="R24" s="120">
        <v>0</v>
      </c>
      <c r="S24" s="764" t="s">
        <v>637</v>
      </c>
      <c r="T24" s="2600">
        <f>SUM(U24:U26)</f>
        <v>0</v>
      </c>
      <c r="U24" s="122">
        <f>Q24-N24</f>
        <v>0</v>
      </c>
      <c r="V24" s="2600">
        <f>SUM(W24:W26)</f>
        <v>15147</v>
      </c>
      <c r="W24" s="122">
        <f>N24</f>
        <v>5397</v>
      </c>
      <c r="X24" s="122"/>
      <c r="Y24" s="122">
        <f>W24-AA24</f>
        <v>5397</v>
      </c>
      <c r="Z24" s="2600">
        <f>SUM(AA24:AA26)</f>
        <v>0</v>
      </c>
      <c r="AA24" s="122">
        <v>0</v>
      </c>
      <c r="AB24" s="2600">
        <f>SUM(AC24:AC26)</f>
        <v>9750</v>
      </c>
      <c r="AC24" s="122">
        <v>0</v>
      </c>
      <c r="AD24" s="2600">
        <f>SUM(AE24:AE26)</f>
        <v>0</v>
      </c>
      <c r="AE24" s="122">
        <f>AF24+AG24</f>
        <v>0</v>
      </c>
      <c r="AF24" s="122">
        <v>0</v>
      </c>
      <c r="AG24" s="122">
        <v>0</v>
      </c>
      <c r="AH24" s="122">
        <v>0</v>
      </c>
      <c r="AI24" s="2600">
        <f>SUM(AJ24:AJ26)</f>
        <v>0</v>
      </c>
      <c r="AJ24" s="122">
        <f>P24</f>
        <v>0</v>
      </c>
      <c r="AK24" s="2600">
        <f>SUM(AL24:AL26)</f>
        <v>5397</v>
      </c>
      <c r="AL24" s="122">
        <f>W24-(AA24+AC24+AE24+AH24+AJ24+AM24+AW24+AO24+AQ24+AS24+AU24)</f>
        <v>5397</v>
      </c>
      <c r="AM24" s="765"/>
      <c r="AN24" s="2600">
        <f>SUM(AO24:AO26)</f>
        <v>0</v>
      </c>
      <c r="AO24" s="122">
        <v>0</v>
      </c>
      <c r="AP24" s="2600">
        <f>SUM(AQ24:AQ26)</f>
        <v>0</v>
      </c>
      <c r="AQ24" s="122">
        <v>0</v>
      </c>
      <c r="AR24" s="2600">
        <f>SUM(AS24:AS26)</f>
        <v>0</v>
      </c>
      <c r="AS24" s="122">
        <v>0</v>
      </c>
      <c r="AT24" s="2600">
        <f>SUM(AU24:AU26)</f>
        <v>0</v>
      </c>
      <c r="AU24" s="122">
        <v>0</v>
      </c>
      <c r="AV24" s="2600">
        <f>SUM(AW24:AW26)</f>
        <v>0</v>
      </c>
      <c r="AW24" s="122">
        <f>AX24+AY24+AZ24+BA24+BB24</f>
        <v>0</v>
      </c>
      <c r="AX24" s="122">
        <v>0</v>
      </c>
      <c r="AY24" s="122">
        <v>0</v>
      </c>
      <c r="AZ24" s="122">
        <v>0</v>
      </c>
      <c r="BA24" s="122">
        <v>0</v>
      </c>
      <c r="BB24" s="122">
        <v>0</v>
      </c>
      <c r="BC24" s="122">
        <v>0</v>
      </c>
      <c r="BD24" s="2600">
        <f>SUM(BE24:BE26)</f>
        <v>15147</v>
      </c>
      <c r="BE24" s="122">
        <f>U24+W24</f>
        <v>5397</v>
      </c>
      <c r="BF24" s="2600">
        <f>SUM(BG24:BG26)</f>
        <v>0</v>
      </c>
      <c r="BG24" s="122">
        <v>0</v>
      </c>
      <c r="BH24" s="2600">
        <f>SUM(BI24:BI26)</f>
        <v>0</v>
      </c>
      <c r="BI24" s="122">
        <f>'[1]Projected Development Sites'!BG$135*BG24</f>
        <v>0</v>
      </c>
      <c r="BJ24" s="122">
        <f t="shared" si="13"/>
        <v>0</v>
      </c>
      <c r="BK24" s="129">
        <f>ROUND((AL24+AC24+AA24)/1000*3,0)+ROUND((AE24+AU24)/1000,0)+ROUND((ROUND(AH24/400,0))/2.67,0)+ROUND(AJ24/250,0)+ROUND(AO24/15000,0)+ROUND((AX24+AY24+AZ24+BB24)/1000*3,0)+ROUND(BG24/25,0)+ROUND(BU24/50,0)</f>
        <v>16</v>
      </c>
      <c r="BL24" s="102">
        <v>0</v>
      </c>
      <c r="BM24" s="102">
        <v>0</v>
      </c>
      <c r="BN24" s="102">
        <f>W24/1000</f>
        <v>5.3970000000000002</v>
      </c>
      <c r="BO24" s="102">
        <f>AC24/1000</f>
        <v>0</v>
      </c>
      <c r="BP24" s="102">
        <f>((AH24/400)/12)</f>
        <v>0</v>
      </c>
      <c r="BQ24" s="102">
        <f>IFERROR(VLOOKUP(F24,#REF!,3,FALSE),0)</f>
        <v>0</v>
      </c>
      <c r="BR24" s="102">
        <v>0</v>
      </c>
      <c r="BS24" s="102">
        <f>IF(BB24&gt;0,"Calculate",0)</f>
        <v>0</v>
      </c>
      <c r="BT24" s="2600">
        <f>SUM(BU24:BU26)</f>
        <v>24.896999999999998</v>
      </c>
      <c r="BU24" s="102">
        <f>SUM(BL24:BS24)</f>
        <v>5.3970000000000002</v>
      </c>
      <c r="BV24" s="127">
        <v>15</v>
      </c>
      <c r="BW24" s="766" t="s">
        <v>705</v>
      </c>
      <c r="BX24" s="127">
        <v>4.5999999999999996</v>
      </c>
      <c r="BY24" s="127">
        <v>2</v>
      </c>
      <c r="BZ24" s="127">
        <v>4.5999999999999996</v>
      </c>
      <c r="CA24" s="912" t="s">
        <v>706</v>
      </c>
      <c r="CB24" s="2596" t="s">
        <v>844</v>
      </c>
      <c r="CC24" s="768">
        <f>(BX24*G24)-CF24</f>
        <v>26051.249999999996</v>
      </c>
      <c r="CD24" s="2731">
        <f>SUM(CC24:CC26)</f>
        <v>91281.25</v>
      </c>
      <c r="CE24" s="2600">
        <f>SUM(CF24:CF26)</f>
        <v>17803.75</v>
      </c>
      <c r="CF24" s="838">
        <f>1*(G24)-(0.15*1*(G24))</f>
        <v>5904.95</v>
      </c>
      <c r="CG24" s="2600">
        <f>SUM(CH24:CH26)</f>
        <v>17803.75</v>
      </c>
      <c r="CH24" s="838">
        <f>CF24-CJ24</f>
        <v>5904.95</v>
      </c>
      <c r="CI24" s="2600">
        <f>SUM(CJ24:CJ26)</f>
        <v>0</v>
      </c>
      <c r="CJ24" s="127">
        <v>0</v>
      </c>
      <c r="CK24" s="2600">
        <f>SUM(CL24:CL26)</f>
        <v>9750</v>
      </c>
      <c r="CL24" s="127">
        <v>0</v>
      </c>
      <c r="CM24" s="2600">
        <f>SUM(CN24:CN26)</f>
        <v>8053.75</v>
      </c>
      <c r="CN24" s="122">
        <f>CF24-(CJ24+CL24+CO24+CP24+CR24+CU24+CV24+CX24)</f>
        <v>5904.95</v>
      </c>
      <c r="CO24" s="770">
        <v>0</v>
      </c>
      <c r="CP24" s="770">
        <v>0</v>
      </c>
      <c r="CQ24" s="2600">
        <f>SUM(CR24:CR26)</f>
        <v>0</v>
      </c>
      <c r="CR24" s="122">
        <v>0</v>
      </c>
      <c r="CS24" s="770">
        <v>0</v>
      </c>
      <c r="CT24" s="770">
        <v>0</v>
      </c>
      <c r="CU24" s="770">
        <v>0</v>
      </c>
      <c r="CV24" s="770">
        <v>0</v>
      </c>
      <c r="CW24" s="2600">
        <f>SUM(CX24:CX26)</f>
        <v>0</v>
      </c>
      <c r="CX24" s="122">
        <f>SUM(CY24:DC24)</f>
        <v>0</v>
      </c>
      <c r="CY24" s="122">
        <f t="shared" ref="CY24:DC26" si="14">AX24</f>
        <v>0</v>
      </c>
      <c r="CZ24" s="122">
        <f t="shared" si="14"/>
        <v>0</v>
      </c>
      <c r="DA24" s="122">
        <f t="shared" si="14"/>
        <v>0</v>
      </c>
      <c r="DB24" s="122">
        <f t="shared" si="14"/>
        <v>0</v>
      </c>
      <c r="DC24" s="122">
        <f t="shared" si="14"/>
        <v>0</v>
      </c>
      <c r="DD24" s="122"/>
      <c r="DE24" s="2600">
        <f>SUM(DF24:DF26)</f>
        <v>109085</v>
      </c>
      <c r="DF24" s="122">
        <f>CC24+CF24</f>
        <v>31956.199999999997</v>
      </c>
      <c r="DG24" s="2600">
        <f>SUM(DH24:DH26)</f>
        <v>91</v>
      </c>
      <c r="DH24" s="127">
        <f>ROUND(CC24/'[1]Projected Development Sites'!DF$134,0)</f>
        <v>26</v>
      </c>
      <c r="DI24" s="2722">
        <f>SUM(DJ24:DJ26)</f>
        <v>91</v>
      </c>
      <c r="DJ24" s="773">
        <f>'[1]Projected Development Sites'!DK$136*DH24</f>
        <v>26</v>
      </c>
      <c r="DK24" s="771">
        <f>3.06*DH24</f>
        <v>79.56</v>
      </c>
      <c r="DL24" s="772">
        <f>ROUND((CN24+CL24+CJ24)/1000*3,0)+ROUND((ROUND(CP24/400,0))/2.67,0)+ROUND(CV24/1000,0)+ROUND((CY24+CZ24+DA24+DC24)/1000*3,0)+ROUND(DH24/25,0)+ROUND(DX24/50,0)</f>
        <v>19</v>
      </c>
      <c r="DM24" s="773">
        <v>0</v>
      </c>
      <c r="DN24" s="773"/>
      <c r="DO24" s="773">
        <v>0</v>
      </c>
      <c r="DP24" s="773">
        <f>0.25*DJ24</f>
        <v>6.5</v>
      </c>
      <c r="DQ24" s="773">
        <f>SUM(CO24,CJ24,CN24,CR24,CU24)/1000</f>
        <v>5.9049499999999995</v>
      </c>
      <c r="DR24" s="773">
        <f>CL24/1000</f>
        <v>0</v>
      </c>
      <c r="DS24" s="773">
        <f>((CP24/400)/12)</f>
        <v>0</v>
      </c>
      <c r="DT24" s="773">
        <f>IF(CX24&gt;0,"Calculate",0)</f>
        <v>0</v>
      </c>
      <c r="DU24" s="773">
        <v>0</v>
      </c>
      <c r="DV24" s="773">
        <f>CX24/1000</f>
        <v>0</v>
      </c>
      <c r="DW24" s="2722">
        <f>SUM(DX24:DX26)</f>
        <v>8.0537499999999991</v>
      </c>
      <c r="DX24" s="774">
        <f>SUM(DM24,DO24,DQ24:DV24)</f>
        <v>5.9049499999999995</v>
      </c>
      <c r="DY24" s="2725">
        <v>95</v>
      </c>
      <c r="DZ24" s="2728">
        <f>CD24-T24</f>
        <v>91281.25</v>
      </c>
      <c r="EA24" s="2602">
        <f>CE24-V24</f>
        <v>2656.75</v>
      </c>
      <c r="EB24" s="187">
        <f>CF24-W24</f>
        <v>507.94999999999982</v>
      </c>
      <c r="EC24" s="2602">
        <f>SUM(ED24:ED26)</f>
        <v>2656.75</v>
      </c>
      <c r="ED24" s="187">
        <v>507.94999999999982</v>
      </c>
      <c r="EE24" s="187">
        <f>(SUM(CJ24:CO24))-(SUM(AA24:AE24,AL24))</f>
        <v>8561.7000000000007</v>
      </c>
      <c r="EF24" s="2602">
        <f>SUM(EG24:EG26)</f>
        <v>2656.75</v>
      </c>
      <c r="EG24" s="187">
        <v>507.94999999999982</v>
      </c>
      <c r="EH24" s="2602">
        <f>SUM(EI24:EI26)</f>
        <v>0</v>
      </c>
      <c r="EI24" s="187">
        <f>CL24-AC24</f>
        <v>0</v>
      </c>
      <c r="EJ24" s="2602">
        <f>SUM(EK24:EK26)</f>
        <v>0</v>
      </c>
      <c r="EK24" s="187">
        <f>CJ24-AA24</f>
        <v>0</v>
      </c>
      <c r="EL24" s="2602">
        <f>SUM(EM24:EM26)</f>
        <v>0</v>
      </c>
      <c r="EM24" s="187">
        <f>CO24-AE24</f>
        <v>0</v>
      </c>
      <c r="EN24" s="2602">
        <f>SUM(EO24:EO26)</f>
        <v>0</v>
      </c>
      <c r="EO24" s="187">
        <f>CP24-AH24</f>
        <v>0</v>
      </c>
      <c r="EP24" s="2602">
        <f>SUM(EQ24:EQ26)</f>
        <v>0</v>
      </c>
      <c r="EQ24" s="187">
        <f>CR24-AJ24</f>
        <v>0</v>
      </c>
      <c r="ER24" s="2602">
        <f>SUM(ES24:ES26)</f>
        <v>0</v>
      </c>
      <c r="ES24" s="187">
        <f>CS24-AO24</f>
        <v>0</v>
      </c>
      <c r="ET24" s="2602">
        <f>SUM(EU24:EU26)</f>
        <v>0</v>
      </c>
      <c r="EU24" s="187">
        <f t="shared" si="1"/>
        <v>0</v>
      </c>
      <c r="EV24" s="2602">
        <f>SUM(EW24:EW26)</f>
        <v>0</v>
      </c>
      <c r="EW24" s="187">
        <f>CU24-AS24</f>
        <v>0</v>
      </c>
      <c r="EX24" s="2602">
        <f>SUM(EY24:EY26)</f>
        <v>0</v>
      </c>
      <c r="EY24" s="187">
        <f>CV24-AU24</f>
        <v>0</v>
      </c>
      <c r="EZ24" s="2602">
        <f>SUM(FA24:FA26)</f>
        <v>0</v>
      </c>
      <c r="FA24" s="187">
        <f>CY24-AX24</f>
        <v>0</v>
      </c>
      <c r="FB24" s="2602">
        <f>SUM(FC24:FC26)</f>
        <v>0</v>
      </c>
      <c r="FC24" s="187">
        <f>CZ24-AY24</f>
        <v>0</v>
      </c>
      <c r="FD24" s="2602">
        <f>SUM(FE24:FE26)</f>
        <v>0</v>
      </c>
      <c r="FE24" s="187">
        <f>DA24-AZ24</f>
        <v>0</v>
      </c>
      <c r="FF24" s="2602">
        <f>SUM(FG24:FG26)</f>
        <v>0</v>
      </c>
      <c r="FG24" s="187">
        <f>DB24-BA24</f>
        <v>0</v>
      </c>
      <c r="FH24" s="2602">
        <f>SUM(FI24:FI26)</f>
        <v>0</v>
      </c>
      <c r="FI24" s="187">
        <f>DC24-BB24</f>
        <v>0</v>
      </c>
      <c r="FJ24" s="2602">
        <f>SUM(FK24:FK26)</f>
        <v>0</v>
      </c>
      <c r="FK24" s="187">
        <f>CX24-AW24</f>
        <v>0</v>
      </c>
      <c r="FL24" s="2602">
        <f>SUM(FM24:FM26)</f>
        <v>93938</v>
      </c>
      <c r="FM24" s="187">
        <f>DF24-BE24</f>
        <v>26559.199999999997</v>
      </c>
      <c r="FN24" s="2602">
        <f>SUM(FO24:FO26)</f>
        <v>91</v>
      </c>
      <c r="FO24" s="187">
        <f>DH24-BG24</f>
        <v>26</v>
      </c>
      <c r="FP24" s="2602">
        <f>SUM(FQ24:FQ26)</f>
        <v>91</v>
      </c>
      <c r="FQ24" s="187">
        <f t="shared" ref="FQ24:FT26" si="15">DJ24-BI24</f>
        <v>26</v>
      </c>
      <c r="FR24" s="187">
        <f t="shared" si="15"/>
        <v>79.56</v>
      </c>
      <c r="FS24" s="187">
        <f t="shared" si="15"/>
        <v>3</v>
      </c>
      <c r="FT24" s="775">
        <f t="shared" si="15"/>
        <v>0</v>
      </c>
      <c r="FU24" s="775">
        <f>DR24-BO24</f>
        <v>0</v>
      </c>
      <c r="FV24" s="775">
        <f>DO24-BM24</f>
        <v>0</v>
      </c>
      <c r="FW24" s="775">
        <f>DQ24-BN24</f>
        <v>0.50794999999999924</v>
      </c>
      <c r="FX24" s="775">
        <f t="shared" ref="FX24:GA26" si="16">DS24-BP24</f>
        <v>0</v>
      </c>
      <c r="FY24" s="775">
        <f t="shared" si="16"/>
        <v>0</v>
      </c>
      <c r="FZ24" s="775">
        <f t="shared" si="16"/>
        <v>0</v>
      </c>
      <c r="GA24" s="775">
        <f t="shared" si="16"/>
        <v>0</v>
      </c>
      <c r="GB24" s="2734">
        <f>SUM(GC24:GC26)</f>
        <v>-16.843249999999998</v>
      </c>
      <c r="GC24" s="776">
        <f t="shared" si="4"/>
        <v>0.50794999999999924</v>
      </c>
      <c r="GD24" s="139"/>
      <c r="GE24" s="139"/>
      <c r="GF24" s="139"/>
      <c r="GG24" s="139"/>
      <c r="GH24" s="139"/>
      <c r="GI24" s="139"/>
      <c r="GJ24" s="139"/>
      <c r="GK24" s="139"/>
      <c r="GL24" s="139"/>
      <c r="GM24" s="139"/>
      <c r="GN24" s="139"/>
      <c r="GO24" s="139"/>
      <c r="GP24" s="139"/>
      <c r="GQ24" s="139"/>
      <c r="GR24" s="139"/>
      <c r="GS24" s="139"/>
      <c r="GT24" s="139"/>
      <c r="GU24" s="139"/>
      <c r="GV24" s="139"/>
    </row>
    <row r="25" spans="1:204" s="139" customFormat="1" ht="15" customHeight="1">
      <c r="A25" s="2660"/>
      <c r="B25" s="2660"/>
      <c r="C25" s="913" t="s">
        <v>710</v>
      </c>
      <c r="D25" s="132">
        <v>3208</v>
      </c>
      <c r="E25" s="132">
        <v>39</v>
      </c>
      <c r="F25" s="132">
        <v>2032080039</v>
      </c>
      <c r="G25" s="132">
        <v>10000</v>
      </c>
      <c r="H25" s="135" t="s">
        <v>726</v>
      </c>
      <c r="I25" s="136" t="s">
        <v>727</v>
      </c>
      <c r="J25" s="132">
        <v>0.98</v>
      </c>
      <c r="K25" s="132">
        <v>3.44</v>
      </c>
      <c r="L25" s="132">
        <v>0</v>
      </c>
      <c r="M25" s="132">
        <v>4.8</v>
      </c>
      <c r="N25" s="134">
        <v>9750</v>
      </c>
      <c r="O25" s="134">
        <v>0</v>
      </c>
      <c r="P25" s="134">
        <v>0</v>
      </c>
      <c r="Q25" s="134">
        <v>9750</v>
      </c>
      <c r="R25" s="137">
        <v>0</v>
      </c>
      <c r="S25" s="778" t="s">
        <v>637</v>
      </c>
      <c r="T25" s="2643"/>
      <c r="U25" s="102">
        <f>Q25-N25</f>
        <v>0</v>
      </c>
      <c r="V25" s="2643"/>
      <c r="W25" s="102">
        <f>N25</f>
        <v>9750</v>
      </c>
      <c r="X25" s="102"/>
      <c r="Y25" s="102">
        <f>W25-AA25</f>
        <v>9750</v>
      </c>
      <c r="Z25" s="2643"/>
      <c r="AA25" s="102">
        <v>0</v>
      </c>
      <c r="AB25" s="2643"/>
      <c r="AC25" s="102">
        <v>9750</v>
      </c>
      <c r="AD25" s="2643"/>
      <c r="AE25" s="102">
        <f>AF25+AG25</f>
        <v>0</v>
      </c>
      <c r="AF25" s="102">
        <v>0</v>
      </c>
      <c r="AG25" s="102">
        <v>0</v>
      </c>
      <c r="AH25" s="102">
        <v>0</v>
      </c>
      <c r="AI25" s="2643"/>
      <c r="AJ25" s="102">
        <f>P25</f>
        <v>0</v>
      </c>
      <c r="AK25" s="2643"/>
      <c r="AL25" s="102">
        <f>W25-(AA25+AC25+AE25+AH25+AJ25+AM25+AW25+AO25+AQ25+AS25+AU25)</f>
        <v>0</v>
      </c>
      <c r="AM25" s="779"/>
      <c r="AN25" s="2643"/>
      <c r="AO25" s="102">
        <v>0</v>
      </c>
      <c r="AP25" s="2643"/>
      <c r="AQ25" s="102">
        <v>0</v>
      </c>
      <c r="AR25" s="2643"/>
      <c r="AS25" s="102">
        <v>0</v>
      </c>
      <c r="AT25" s="2643"/>
      <c r="AU25" s="102">
        <v>0</v>
      </c>
      <c r="AV25" s="2643"/>
      <c r="AW25" s="102">
        <f>AX25+AY25+AZ25+BA25+BB25</f>
        <v>0</v>
      </c>
      <c r="AX25" s="102">
        <v>0</v>
      </c>
      <c r="AY25" s="102">
        <v>0</v>
      </c>
      <c r="AZ25" s="102">
        <v>0</v>
      </c>
      <c r="BA25" s="102">
        <v>0</v>
      </c>
      <c r="BB25" s="102">
        <v>0</v>
      </c>
      <c r="BC25" s="102">
        <v>0</v>
      </c>
      <c r="BD25" s="2643"/>
      <c r="BE25" s="102">
        <f>U25+W25</f>
        <v>9750</v>
      </c>
      <c r="BF25" s="2643"/>
      <c r="BG25" s="102">
        <v>0</v>
      </c>
      <c r="BH25" s="2643"/>
      <c r="BI25" s="102">
        <f>'[1]Projected Development Sites'!BG$135*BG25</f>
        <v>0</v>
      </c>
      <c r="BJ25" s="102">
        <f t="shared" si="13"/>
        <v>0</v>
      </c>
      <c r="BK25" s="186">
        <f>ROUND((AL25+AC25+AA25)/1000*3,0)+ROUND((AE25+AU25)/1000,0)+ROUND((ROUND(AH25/400,0))/2.67,0)+ROUND(AJ25/250,0)+ROUND(AO25/15000,0)+ROUND((AX25+AY25+AZ25+BB25)/1000*3,0)+ROUND(BG25/25,0)+ROUND(BU25/50,0)</f>
        <v>29</v>
      </c>
      <c r="BL25" s="102">
        <v>0</v>
      </c>
      <c r="BM25" s="102">
        <v>0</v>
      </c>
      <c r="BN25" s="102">
        <f>W25/1000</f>
        <v>9.75</v>
      </c>
      <c r="BO25" s="102">
        <f>AC25/1000</f>
        <v>9.75</v>
      </c>
      <c r="BP25" s="102">
        <f>((AH25/400)/12)</f>
        <v>0</v>
      </c>
      <c r="BQ25" s="102">
        <f>IFERROR(VLOOKUP(F25,#REF!,3,FALSE),0)</f>
        <v>0</v>
      </c>
      <c r="BR25" s="102">
        <v>0</v>
      </c>
      <c r="BS25" s="102">
        <f>IF(BB25&gt;0,"Calculate",0)</f>
        <v>0</v>
      </c>
      <c r="BT25" s="2643"/>
      <c r="BU25" s="102">
        <f>SUM(BL25:BS25)</f>
        <v>19.5</v>
      </c>
      <c r="BV25" s="139">
        <v>15</v>
      </c>
      <c r="BW25" s="780" t="s">
        <v>705</v>
      </c>
      <c r="BX25" s="139">
        <v>4.5999999999999996</v>
      </c>
      <c r="BY25" s="139">
        <v>2</v>
      </c>
      <c r="BZ25" s="139">
        <v>4.5999999999999996</v>
      </c>
      <c r="CA25" s="627" t="s">
        <v>706</v>
      </c>
      <c r="CB25" s="2662"/>
      <c r="CC25" s="782">
        <f>(BX25*G25)+CL25</f>
        <v>55750</v>
      </c>
      <c r="CD25" s="2732"/>
      <c r="CE25" s="2643"/>
      <c r="CF25" s="840">
        <f>W25</f>
        <v>9750</v>
      </c>
      <c r="CG25" s="2643"/>
      <c r="CH25" s="840">
        <f>CF25-CJ25</f>
        <v>9750</v>
      </c>
      <c r="CI25" s="2643"/>
      <c r="CJ25" s="139">
        <v>0</v>
      </c>
      <c r="CK25" s="2643"/>
      <c r="CL25" s="782">
        <v>9750</v>
      </c>
      <c r="CM25" s="2643"/>
      <c r="CN25" s="102">
        <f>CF25-(CJ25+CL25+CO25+CP25+CR25+CU25+CV25+CX25)</f>
        <v>0</v>
      </c>
      <c r="CO25" s="784">
        <v>0</v>
      </c>
      <c r="CP25" s="784">
        <v>0</v>
      </c>
      <c r="CQ25" s="2643"/>
      <c r="CR25" s="102">
        <v>0</v>
      </c>
      <c r="CS25" s="784">
        <v>0</v>
      </c>
      <c r="CT25" s="784">
        <v>0</v>
      </c>
      <c r="CU25" s="784">
        <v>0</v>
      </c>
      <c r="CV25" s="784">
        <v>0</v>
      </c>
      <c r="CW25" s="2643"/>
      <c r="CX25" s="102">
        <f>SUM(CY25:DC25)</f>
        <v>0</v>
      </c>
      <c r="CY25" s="102">
        <f t="shared" si="14"/>
        <v>0</v>
      </c>
      <c r="CZ25" s="102">
        <f t="shared" si="14"/>
        <v>0</v>
      </c>
      <c r="DA25" s="102">
        <f t="shared" si="14"/>
        <v>0</v>
      </c>
      <c r="DB25" s="102">
        <f t="shared" si="14"/>
        <v>0</v>
      </c>
      <c r="DC25" s="102">
        <f t="shared" si="14"/>
        <v>0</v>
      </c>
      <c r="DD25" s="102"/>
      <c r="DE25" s="2643"/>
      <c r="DF25" s="102">
        <f>CC25+CF25</f>
        <v>65500</v>
      </c>
      <c r="DG25" s="2643"/>
      <c r="DH25" s="139">
        <f>ROUND(CC25/'[1]Projected Development Sites'!DF$134,0)</f>
        <v>56</v>
      </c>
      <c r="DI25" s="2723"/>
      <c r="DJ25" s="787">
        <f>'[1]Projected Development Sites'!DK$136*DH25</f>
        <v>56</v>
      </c>
      <c r="DK25" s="785">
        <f>3.06*DH25</f>
        <v>171.36</v>
      </c>
      <c r="DL25" s="786">
        <f>ROUND((CN25+CL25+CJ25)/1000*3,0)+ROUND((ROUND(CP25/400,0))/2.67,0)+ROUND(CV25/1000,0)+ROUND((CY25+CZ25+DA25+DC25)/1000*3,0)+ROUND(DH25/25,0)+ROUND(DX25/50,0)</f>
        <v>31</v>
      </c>
      <c r="DM25" s="787">
        <v>0</v>
      </c>
      <c r="DN25" s="787"/>
      <c r="DO25" s="787">
        <v>0</v>
      </c>
      <c r="DP25" s="787">
        <f>0.25*DJ25</f>
        <v>14</v>
      </c>
      <c r="DQ25" s="787">
        <f>SUM(CO25,CJ25,CN25,CR25,CU25)/1000</f>
        <v>0</v>
      </c>
      <c r="DR25" s="787">
        <v>0</v>
      </c>
      <c r="DS25" s="787">
        <f>((CP25/400)/12)</f>
        <v>0</v>
      </c>
      <c r="DT25" s="787">
        <f>IF(CX25&gt;0,"Calculate",0)</f>
        <v>0</v>
      </c>
      <c r="DU25" s="787">
        <v>0</v>
      </c>
      <c r="DV25" s="787">
        <f>CX25/1000</f>
        <v>0</v>
      </c>
      <c r="DW25" s="2723"/>
      <c r="DX25" s="914">
        <f>SUM(DM25,DO25,DQ25:DV25)</f>
        <v>0</v>
      </c>
      <c r="DY25" s="2726"/>
      <c r="DZ25" s="2729"/>
      <c r="EA25" s="2665"/>
      <c r="EB25" s="195">
        <f>CF25-W25</f>
        <v>0</v>
      </c>
      <c r="EC25" s="2665"/>
      <c r="ED25" s="195">
        <v>0</v>
      </c>
      <c r="EE25" s="195">
        <f>(SUM(CJ25:CO25))-(SUM(AA25:AE25,AL25))</f>
        <v>0</v>
      </c>
      <c r="EF25" s="2665"/>
      <c r="EG25" s="195">
        <v>0</v>
      </c>
      <c r="EH25" s="2665"/>
      <c r="EI25" s="195">
        <f>CL25-AC25</f>
        <v>0</v>
      </c>
      <c r="EJ25" s="2665"/>
      <c r="EK25" s="195">
        <f>CJ25-AA25</f>
        <v>0</v>
      </c>
      <c r="EL25" s="2665"/>
      <c r="EM25" s="195">
        <f>CO25-AE25</f>
        <v>0</v>
      </c>
      <c r="EN25" s="2665"/>
      <c r="EO25" s="195">
        <f>CP25-AH25</f>
        <v>0</v>
      </c>
      <c r="EP25" s="2665"/>
      <c r="EQ25" s="195">
        <f>CR25-AJ25</f>
        <v>0</v>
      </c>
      <c r="ER25" s="2665"/>
      <c r="ES25" s="195">
        <f>CS25-AO25</f>
        <v>0</v>
      </c>
      <c r="ET25" s="2665"/>
      <c r="EU25" s="195">
        <f t="shared" si="1"/>
        <v>0</v>
      </c>
      <c r="EV25" s="2665"/>
      <c r="EW25" s="195">
        <f>CU25-AS25</f>
        <v>0</v>
      </c>
      <c r="EX25" s="2665"/>
      <c r="EY25" s="195">
        <f>CV25-AU25</f>
        <v>0</v>
      </c>
      <c r="EZ25" s="2665"/>
      <c r="FA25" s="195">
        <f>CY25-AX25</f>
        <v>0</v>
      </c>
      <c r="FB25" s="2665"/>
      <c r="FC25" s="195">
        <f>CZ25-AY25</f>
        <v>0</v>
      </c>
      <c r="FD25" s="2665"/>
      <c r="FE25" s="195">
        <f>DA25-AZ25</f>
        <v>0</v>
      </c>
      <c r="FF25" s="2665"/>
      <c r="FG25" s="195">
        <f>DB25-BA25</f>
        <v>0</v>
      </c>
      <c r="FH25" s="2665"/>
      <c r="FI25" s="195">
        <f>DC25-BB25</f>
        <v>0</v>
      </c>
      <c r="FJ25" s="2665"/>
      <c r="FK25" s="195">
        <f>CX25-AW25</f>
        <v>0</v>
      </c>
      <c r="FL25" s="2665"/>
      <c r="FM25" s="195">
        <f>DF25-BE25</f>
        <v>55750</v>
      </c>
      <c r="FN25" s="2665"/>
      <c r="FO25" s="195">
        <f>DH25-BG25</f>
        <v>56</v>
      </c>
      <c r="FP25" s="2665"/>
      <c r="FQ25" s="195">
        <f t="shared" si="15"/>
        <v>56</v>
      </c>
      <c r="FR25" s="195">
        <f t="shared" si="15"/>
        <v>171.36</v>
      </c>
      <c r="FS25" s="195">
        <f t="shared" si="15"/>
        <v>2</v>
      </c>
      <c r="FT25" s="789">
        <f t="shared" si="15"/>
        <v>0</v>
      </c>
      <c r="FU25" s="789">
        <f>DR25-BO25</f>
        <v>-9.75</v>
      </c>
      <c r="FV25" s="789">
        <f>DO25-BM25</f>
        <v>0</v>
      </c>
      <c r="FW25" s="789">
        <f>DQ25-BN25</f>
        <v>-9.75</v>
      </c>
      <c r="FX25" s="789">
        <f t="shared" si="16"/>
        <v>0</v>
      </c>
      <c r="FY25" s="789">
        <f t="shared" si="16"/>
        <v>0</v>
      </c>
      <c r="FZ25" s="789">
        <f t="shared" si="16"/>
        <v>0</v>
      </c>
      <c r="GA25" s="789">
        <f t="shared" si="16"/>
        <v>0</v>
      </c>
      <c r="GB25" s="2735"/>
      <c r="GC25" s="790">
        <f t="shared" si="4"/>
        <v>-19.5</v>
      </c>
    </row>
    <row r="26" spans="1:204" s="81" customFormat="1" ht="15" customHeight="1">
      <c r="A26" s="2589"/>
      <c r="B26" s="2589"/>
      <c r="C26" s="915" t="s">
        <v>721</v>
      </c>
      <c r="D26" s="66">
        <v>3208</v>
      </c>
      <c r="E26" s="66">
        <v>35</v>
      </c>
      <c r="F26" s="66">
        <v>2032080035</v>
      </c>
      <c r="G26" s="66">
        <v>2528</v>
      </c>
      <c r="H26" s="69" t="s">
        <v>726</v>
      </c>
      <c r="I26" s="70" t="s">
        <v>727</v>
      </c>
      <c r="J26" s="66">
        <v>0</v>
      </c>
      <c r="K26" s="66">
        <v>3.44</v>
      </c>
      <c r="L26" s="66">
        <v>0</v>
      </c>
      <c r="M26" s="66">
        <v>4.8</v>
      </c>
      <c r="N26" s="68">
        <v>0</v>
      </c>
      <c r="O26" s="68">
        <v>0</v>
      </c>
      <c r="P26" s="68">
        <v>0</v>
      </c>
      <c r="Q26" s="68">
        <v>0</v>
      </c>
      <c r="R26" s="71">
        <v>0</v>
      </c>
      <c r="S26" s="791" t="s">
        <v>718</v>
      </c>
      <c r="T26" s="2601"/>
      <c r="U26" s="74">
        <f>Q26-N26</f>
        <v>0</v>
      </c>
      <c r="V26" s="2601"/>
      <c r="W26" s="74">
        <f>N26</f>
        <v>0</v>
      </c>
      <c r="X26" s="74"/>
      <c r="Y26" s="74">
        <f>W26-AA26</f>
        <v>0</v>
      </c>
      <c r="Z26" s="2601"/>
      <c r="AA26" s="74">
        <v>0</v>
      </c>
      <c r="AB26" s="2601"/>
      <c r="AC26" s="74">
        <v>0</v>
      </c>
      <c r="AD26" s="2601"/>
      <c r="AE26" s="74">
        <f>AF26+AG26</f>
        <v>0</v>
      </c>
      <c r="AF26" s="74">
        <v>0</v>
      </c>
      <c r="AG26" s="74">
        <v>0</v>
      </c>
      <c r="AH26" s="74">
        <v>0</v>
      </c>
      <c r="AI26" s="2601"/>
      <c r="AJ26" s="74">
        <f>P26</f>
        <v>0</v>
      </c>
      <c r="AK26" s="2601"/>
      <c r="AL26" s="74">
        <f>W26-(AA26+AC26+AE26+AH26+AJ26+AM26+AW26+AO26+AQ26+AS26+AU26)</f>
        <v>0</v>
      </c>
      <c r="AM26" s="792"/>
      <c r="AN26" s="2601"/>
      <c r="AO26" s="74">
        <v>0</v>
      </c>
      <c r="AP26" s="2601"/>
      <c r="AQ26" s="74">
        <v>0</v>
      </c>
      <c r="AR26" s="2601"/>
      <c r="AS26" s="74">
        <v>0</v>
      </c>
      <c r="AT26" s="2601"/>
      <c r="AU26" s="74">
        <v>0</v>
      </c>
      <c r="AV26" s="2601"/>
      <c r="AW26" s="74">
        <f>AX26+AY26+AZ26+BA26+BB26</f>
        <v>0</v>
      </c>
      <c r="AX26" s="74">
        <v>0</v>
      </c>
      <c r="AY26" s="74">
        <v>0</v>
      </c>
      <c r="AZ26" s="74">
        <v>0</v>
      </c>
      <c r="BA26" s="74">
        <v>0</v>
      </c>
      <c r="BB26" s="74">
        <v>0</v>
      </c>
      <c r="BC26" s="74">
        <v>0</v>
      </c>
      <c r="BD26" s="2601"/>
      <c r="BE26" s="74">
        <f>U26+W26</f>
        <v>0</v>
      </c>
      <c r="BF26" s="2601"/>
      <c r="BG26" s="74">
        <v>0</v>
      </c>
      <c r="BH26" s="2601"/>
      <c r="BI26" s="74">
        <f>'[1]Projected Development Sites'!BG$135*BG26</f>
        <v>0</v>
      </c>
      <c r="BJ26" s="74">
        <f t="shared" si="13"/>
        <v>0</v>
      </c>
      <c r="BK26" s="88">
        <f>ROUND((AL26+AC26+AA26)/1000*3,0)+ROUND((AE26+AU26)/1000,0)+ROUND((ROUND(AH26/400,0))/2.67,0)+ROUND(AJ26/250,0)+ROUND(AO26/15000,0)+ROUND((AX26+AY26+AZ26+BB26)/1000*3,0)+ROUND(BG26/25,0)+ROUND(BU26/50,0)</f>
        <v>0</v>
      </c>
      <c r="BL26" s="74">
        <v>0</v>
      </c>
      <c r="BM26" s="74">
        <v>0</v>
      </c>
      <c r="BN26" s="74">
        <f>W26/1000</f>
        <v>0</v>
      </c>
      <c r="BO26" s="74">
        <f>AC26/1000</f>
        <v>0</v>
      </c>
      <c r="BP26" s="74">
        <f>((AH26/400)/12)</f>
        <v>0</v>
      </c>
      <c r="BQ26" s="74">
        <f>IFERROR(VLOOKUP(F26,#REF!,3,FALSE),0)</f>
        <v>0</v>
      </c>
      <c r="BR26" s="74">
        <v>0</v>
      </c>
      <c r="BS26" s="74">
        <f>IF(BB26&gt;0,"Calculate",0)</f>
        <v>0</v>
      </c>
      <c r="BT26" s="2601"/>
      <c r="BU26" s="74">
        <f>SUM(BL26:BS26)</f>
        <v>0</v>
      </c>
      <c r="BV26" s="81">
        <v>11</v>
      </c>
      <c r="BW26" s="793" t="s">
        <v>705</v>
      </c>
      <c r="BX26" s="81">
        <v>4.5999999999999996</v>
      </c>
      <c r="BY26" s="81">
        <v>2</v>
      </c>
      <c r="BZ26" s="81">
        <v>4.5999999999999996</v>
      </c>
      <c r="CA26" s="916" t="s">
        <v>706</v>
      </c>
      <c r="CB26" s="2597"/>
      <c r="CC26" s="795">
        <f>(BX26*G26)-CF26</f>
        <v>9480</v>
      </c>
      <c r="CD26" s="2733"/>
      <c r="CE26" s="2601"/>
      <c r="CF26" s="796">
        <f>1*(G26)-(0.15*1*(G26))</f>
        <v>2148.8000000000002</v>
      </c>
      <c r="CG26" s="2601"/>
      <c r="CH26" s="796">
        <f>CF26-CJ26</f>
        <v>2148.8000000000002</v>
      </c>
      <c r="CI26" s="2601"/>
      <c r="CJ26" s="81">
        <v>0</v>
      </c>
      <c r="CK26" s="2601"/>
      <c r="CL26" s="81">
        <v>0</v>
      </c>
      <c r="CM26" s="2601"/>
      <c r="CN26" s="797">
        <f>CF26-(CJ26+CL26+CO26+CP26+CR26+CU26+CV26+CX26)</f>
        <v>2148.8000000000002</v>
      </c>
      <c r="CO26" s="797">
        <v>0</v>
      </c>
      <c r="CP26" s="797">
        <v>0</v>
      </c>
      <c r="CQ26" s="2601"/>
      <c r="CR26" s="74">
        <v>0</v>
      </c>
      <c r="CS26" s="797">
        <v>0</v>
      </c>
      <c r="CT26" s="797">
        <v>0</v>
      </c>
      <c r="CU26" s="797">
        <v>0</v>
      </c>
      <c r="CV26" s="797">
        <v>0</v>
      </c>
      <c r="CW26" s="2601"/>
      <c r="CX26" s="74">
        <f>SUM(CY26:DC26)</f>
        <v>0</v>
      </c>
      <c r="CY26" s="74">
        <f t="shared" si="14"/>
        <v>0</v>
      </c>
      <c r="CZ26" s="74">
        <f t="shared" si="14"/>
        <v>0</v>
      </c>
      <c r="DA26" s="74">
        <f t="shared" si="14"/>
        <v>0</v>
      </c>
      <c r="DB26" s="74">
        <f t="shared" si="14"/>
        <v>0</v>
      </c>
      <c r="DC26" s="74">
        <f t="shared" si="14"/>
        <v>0</v>
      </c>
      <c r="DD26" s="74"/>
      <c r="DE26" s="2601"/>
      <c r="DF26" s="74">
        <f>CC26+CF26</f>
        <v>11628.8</v>
      </c>
      <c r="DG26" s="2601"/>
      <c r="DH26" s="81">
        <f>ROUND(CC26/'[1]Projected Development Sites'!DF$134,0)</f>
        <v>9</v>
      </c>
      <c r="DI26" s="2724"/>
      <c r="DJ26" s="799">
        <f>'[1]Projected Development Sites'!DK$136*DH26</f>
        <v>9</v>
      </c>
      <c r="DK26" s="798">
        <f>3.06*DH26</f>
        <v>27.54</v>
      </c>
      <c r="DL26" s="786">
        <f>ROUND((CN26+CL26+CJ26)/1000*3,0)+ROUND((ROUND(CP26/400,0))/2.67,0)+ROUND(CV26/1000,0)+ROUND((CY26+CZ26+DA26+DC26)/1000*3,0)+ROUND(DH26/25,0)+ROUND(DX26/50,0)</f>
        <v>6</v>
      </c>
      <c r="DM26" s="799">
        <v>0</v>
      </c>
      <c r="DN26" s="799"/>
      <c r="DO26" s="799">
        <v>0</v>
      </c>
      <c r="DP26" s="799">
        <f>0.25*DJ26</f>
        <v>2.25</v>
      </c>
      <c r="DQ26" s="799">
        <f>SUM(CO26,CJ26,CN26,CR26,CU26)/1000</f>
        <v>2.1488</v>
      </c>
      <c r="DR26" s="799">
        <f>CL26/1000</f>
        <v>0</v>
      </c>
      <c r="DS26" s="799">
        <f>((CP26/400)/12)</f>
        <v>0</v>
      </c>
      <c r="DT26" s="799">
        <f>IF(CX26&gt;0,"Calculate",0)</f>
        <v>0</v>
      </c>
      <c r="DU26" s="799">
        <v>0</v>
      </c>
      <c r="DV26" s="799">
        <f>CX26/1000</f>
        <v>0</v>
      </c>
      <c r="DW26" s="2724"/>
      <c r="DX26" s="800">
        <f>SUM(DM26,DO26,DQ26:DV26)</f>
        <v>2.1488</v>
      </c>
      <c r="DY26" s="2727"/>
      <c r="DZ26" s="2730"/>
      <c r="EA26" s="2603"/>
      <c r="EB26" s="195">
        <f>CF26-W26</f>
        <v>2148.8000000000002</v>
      </c>
      <c r="EC26" s="2603"/>
      <c r="ED26" s="190">
        <v>2148.8000000000002</v>
      </c>
      <c r="EE26" s="195">
        <f>(SUM(CJ26:CO26))-(SUM(AA26:AE26,AL26))</f>
        <v>2148.8000000000002</v>
      </c>
      <c r="EF26" s="2603"/>
      <c r="EG26" s="195">
        <v>2148.8000000000002</v>
      </c>
      <c r="EH26" s="2603"/>
      <c r="EI26" s="195">
        <f>CL26-AC26</f>
        <v>0</v>
      </c>
      <c r="EJ26" s="2603"/>
      <c r="EK26" s="195">
        <f>CJ26-AA26</f>
        <v>0</v>
      </c>
      <c r="EL26" s="2603"/>
      <c r="EM26" s="190">
        <f>CO26-AE26</f>
        <v>0</v>
      </c>
      <c r="EN26" s="2603"/>
      <c r="EO26" s="190">
        <f>CP26-AH26</f>
        <v>0</v>
      </c>
      <c r="EP26" s="2603"/>
      <c r="EQ26" s="195">
        <f>CR26-AJ26</f>
        <v>0</v>
      </c>
      <c r="ER26" s="2603"/>
      <c r="ES26" s="195">
        <f>CS26-AO26</f>
        <v>0</v>
      </c>
      <c r="ET26" s="2603"/>
      <c r="EU26" s="190">
        <f t="shared" si="1"/>
        <v>0</v>
      </c>
      <c r="EV26" s="2603"/>
      <c r="EW26" s="195">
        <f>CU26-AS26</f>
        <v>0</v>
      </c>
      <c r="EX26" s="2603"/>
      <c r="EY26" s="190">
        <f>CV26-AU26</f>
        <v>0</v>
      </c>
      <c r="EZ26" s="2603"/>
      <c r="FA26" s="190">
        <f>CY26-AX26</f>
        <v>0</v>
      </c>
      <c r="FB26" s="2603"/>
      <c r="FC26" s="190">
        <f>CZ26-AY26</f>
        <v>0</v>
      </c>
      <c r="FD26" s="2603"/>
      <c r="FE26" s="190">
        <f>DA26-AZ26</f>
        <v>0</v>
      </c>
      <c r="FF26" s="2603"/>
      <c r="FG26" s="190">
        <f>DB26-BA26</f>
        <v>0</v>
      </c>
      <c r="FH26" s="2603"/>
      <c r="FI26" s="190">
        <f>DC26-BB26</f>
        <v>0</v>
      </c>
      <c r="FJ26" s="2603"/>
      <c r="FK26" s="190">
        <f>CX26-AW26</f>
        <v>0</v>
      </c>
      <c r="FL26" s="2603"/>
      <c r="FM26" s="190">
        <f>DF26-BE26</f>
        <v>11628.8</v>
      </c>
      <c r="FN26" s="2603"/>
      <c r="FO26" s="190">
        <f>DH26-BG26</f>
        <v>9</v>
      </c>
      <c r="FP26" s="2603"/>
      <c r="FQ26" s="195">
        <f t="shared" si="15"/>
        <v>9</v>
      </c>
      <c r="FR26" s="190">
        <f t="shared" si="15"/>
        <v>27.54</v>
      </c>
      <c r="FS26" s="190">
        <f t="shared" si="15"/>
        <v>6</v>
      </c>
      <c r="FT26" s="801">
        <f t="shared" si="15"/>
        <v>0</v>
      </c>
      <c r="FU26" s="801">
        <f>DR26-BO26</f>
        <v>0</v>
      </c>
      <c r="FV26" s="801">
        <f>DO26-BM26</f>
        <v>0</v>
      </c>
      <c r="FW26" s="801">
        <f>DQ26-BN26</f>
        <v>2.1488</v>
      </c>
      <c r="FX26" s="801">
        <f t="shared" si="16"/>
        <v>0</v>
      </c>
      <c r="FY26" s="801">
        <f t="shared" si="16"/>
        <v>0</v>
      </c>
      <c r="FZ26" s="801">
        <f t="shared" si="16"/>
        <v>0</v>
      </c>
      <c r="GA26" s="801">
        <f t="shared" si="16"/>
        <v>0</v>
      </c>
      <c r="GB26" s="2736"/>
      <c r="GC26" s="790">
        <f t="shared" si="4"/>
        <v>2.1488</v>
      </c>
      <c r="GD26" s="139"/>
      <c r="GE26" s="139"/>
      <c r="GF26" s="139"/>
      <c r="GG26" s="139"/>
      <c r="GH26" s="139"/>
      <c r="GI26" s="139"/>
      <c r="GJ26" s="139"/>
      <c r="GK26" s="139"/>
      <c r="GL26" s="139"/>
      <c r="GM26" s="139"/>
      <c r="GN26" s="139"/>
      <c r="GO26" s="139"/>
      <c r="GP26" s="139"/>
      <c r="GQ26" s="139"/>
      <c r="GR26" s="139"/>
      <c r="GS26" s="139"/>
      <c r="GT26" s="139"/>
      <c r="GU26" s="139"/>
      <c r="GV26" s="139"/>
    </row>
    <row r="27" spans="1:204" s="139" customFormat="1" ht="18.75">
      <c r="A27" s="2263"/>
      <c r="B27" s="2263"/>
      <c r="C27" s="913"/>
      <c r="D27" s="132"/>
      <c r="E27" s="132"/>
      <c r="F27" s="132"/>
      <c r="G27" s="132"/>
      <c r="H27" s="135"/>
      <c r="I27" s="136"/>
      <c r="J27" s="132"/>
      <c r="K27" s="132"/>
      <c r="L27" s="132"/>
      <c r="M27" s="132"/>
      <c r="N27" s="134"/>
      <c r="O27" s="134"/>
      <c r="P27" s="134"/>
      <c r="Q27" s="134"/>
      <c r="R27" s="137"/>
      <c r="S27" s="778"/>
      <c r="T27" s="634"/>
      <c r="U27" s="102"/>
      <c r="V27" s="634"/>
      <c r="W27" s="102"/>
      <c r="X27" s="102"/>
      <c r="Y27" s="102"/>
      <c r="Z27" s="634"/>
      <c r="AA27" s="102"/>
      <c r="AB27" s="634"/>
      <c r="AC27" s="102"/>
      <c r="AD27" s="634"/>
      <c r="AE27" s="102"/>
      <c r="AF27" s="102"/>
      <c r="AG27" s="102"/>
      <c r="AH27" s="102"/>
      <c r="AI27" s="634"/>
      <c r="AJ27" s="102"/>
      <c r="AK27" s="634"/>
      <c r="AL27" s="102"/>
      <c r="AM27" s="779"/>
      <c r="AN27" s="634"/>
      <c r="AO27" s="102"/>
      <c r="AP27" s="634"/>
      <c r="AQ27" s="102"/>
      <c r="AR27" s="634"/>
      <c r="AS27" s="102"/>
      <c r="AT27" s="634"/>
      <c r="AU27" s="102"/>
      <c r="AV27" s="634"/>
      <c r="AW27" s="102"/>
      <c r="AX27" s="102"/>
      <c r="AY27" s="102"/>
      <c r="AZ27" s="102"/>
      <c r="BA27" s="102"/>
      <c r="BB27" s="102"/>
      <c r="BC27" s="102"/>
      <c r="BD27" s="634"/>
      <c r="BE27" s="102"/>
      <c r="BF27" s="634"/>
      <c r="BG27" s="102"/>
      <c r="BH27" s="634"/>
      <c r="BI27" s="102"/>
      <c r="BJ27" s="122"/>
      <c r="BK27" s="186"/>
      <c r="BL27" s="102"/>
      <c r="BM27" s="102"/>
      <c r="BN27" s="102"/>
      <c r="BO27" s="102"/>
      <c r="BP27" s="102"/>
      <c r="BQ27" s="102"/>
      <c r="BR27" s="102"/>
      <c r="BS27" s="102"/>
      <c r="BT27" s="634"/>
      <c r="BU27" s="102"/>
      <c r="BW27" s="780"/>
      <c r="CA27" s="627"/>
      <c r="CB27" s="2258"/>
      <c r="CC27" s="782"/>
      <c r="CD27" s="782"/>
      <c r="CE27" s="634"/>
      <c r="CF27" s="783"/>
      <c r="CG27" s="634"/>
      <c r="CH27" s="783"/>
      <c r="CI27" s="634"/>
      <c r="CK27" s="634"/>
      <c r="CM27" s="634"/>
      <c r="CN27" s="784"/>
      <c r="CO27" s="784"/>
      <c r="CP27" s="784"/>
      <c r="CQ27" s="634"/>
      <c r="CR27" s="102"/>
      <c r="CS27" s="784"/>
      <c r="CT27" s="784"/>
      <c r="CU27" s="784"/>
      <c r="CV27" s="784"/>
      <c r="CW27" s="634"/>
      <c r="CX27" s="102"/>
      <c r="CY27" s="102"/>
      <c r="CZ27" s="102"/>
      <c r="DA27" s="102"/>
      <c r="DB27" s="102"/>
      <c r="DC27" s="102"/>
      <c r="DD27" s="102"/>
      <c r="DE27" s="634"/>
      <c r="DF27" s="784"/>
      <c r="DG27" s="634"/>
      <c r="DI27" s="802"/>
      <c r="DJ27" s="787"/>
      <c r="DK27" s="771"/>
      <c r="DL27" s="772"/>
      <c r="DM27" s="787"/>
      <c r="DN27" s="787"/>
      <c r="DO27" s="787"/>
      <c r="DP27" s="787"/>
      <c r="DQ27" s="787"/>
      <c r="DR27" s="787"/>
      <c r="DS27" s="787"/>
      <c r="DT27" s="787"/>
      <c r="DU27" s="787"/>
      <c r="DV27" s="787"/>
      <c r="DW27" s="802"/>
      <c r="DX27" s="788"/>
      <c r="DY27" s="634"/>
      <c r="DZ27" s="2288"/>
      <c r="EA27" s="2231"/>
      <c r="EB27" s="187"/>
      <c r="EC27" s="2232"/>
      <c r="ED27" s="187"/>
      <c r="EE27" s="187"/>
      <c r="EF27" s="2232"/>
      <c r="EG27" s="187"/>
      <c r="EH27" s="2232"/>
      <c r="EI27" s="187"/>
      <c r="EJ27" s="2232"/>
      <c r="EK27" s="187"/>
      <c r="EL27" s="2232"/>
      <c r="EM27" s="195"/>
      <c r="EN27" s="2232"/>
      <c r="EO27" s="195"/>
      <c r="EP27" s="2232"/>
      <c r="EQ27" s="187"/>
      <c r="ER27" s="2232"/>
      <c r="ES27" s="187"/>
      <c r="ET27" s="2232"/>
      <c r="EU27" s="187">
        <f t="shared" si="1"/>
        <v>0</v>
      </c>
      <c r="EV27" s="2232"/>
      <c r="EW27" s="187"/>
      <c r="EX27" s="2232"/>
      <c r="EY27" s="195"/>
      <c r="EZ27" s="2232"/>
      <c r="FA27" s="195"/>
      <c r="FB27" s="2232"/>
      <c r="FC27" s="195"/>
      <c r="FD27" s="2232"/>
      <c r="FE27" s="195"/>
      <c r="FF27" s="2232"/>
      <c r="FG27" s="195"/>
      <c r="FH27" s="2232"/>
      <c r="FI27" s="195"/>
      <c r="FJ27" s="2232"/>
      <c r="FK27" s="195"/>
      <c r="FL27" s="2232"/>
      <c r="FM27" s="187"/>
      <c r="FN27" s="2232"/>
      <c r="FO27" s="187"/>
      <c r="FP27" s="2232"/>
      <c r="FQ27" s="187"/>
      <c r="FR27" s="195"/>
      <c r="FS27" s="195"/>
      <c r="FT27" s="789"/>
      <c r="FU27" s="789"/>
      <c r="FV27" s="789"/>
      <c r="FW27" s="789"/>
      <c r="FX27" s="789"/>
      <c r="FY27" s="789"/>
      <c r="FZ27" s="789"/>
      <c r="GA27" s="789"/>
      <c r="GB27" s="2286"/>
      <c r="GC27" s="776"/>
    </row>
    <row r="28" spans="1:204" s="127" customFormat="1" ht="15" customHeight="1">
      <c r="A28" s="2588"/>
      <c r="B28" s="2588">
        <v>8</v>
      </c>
      <c r="C28" s="911" t="s">
        <v>703</v>
      </c>
      <c r="D28" s="115">
        <v>3208</v>
      </c>
      <c r="E28" s="115">
        <v>45</v>
      </c>
      <c r="F28" s="115">
        <v>2032080045</v>
      </c>
      <c r="G28" s="115">
        <v>2500</v>
      </c>
      <c r="H28" s="118" t="s">
        <v>726</v>
      </c>
      <c r="I28" s="119" t="s">
        <v>727</v>
      </c>
      <c r="J28" s="115">
        <v>0.64</v>
      </c>
      <c r="K28" s="115">
        <v>3.44</v>
      </c>
      <c r="L28" s="115">
        <v>0</v>
      </c>
      <c r="M28" s="115">
        <v>4.8</v>
      </c>
      <c r="N28" s="117">
        <v>0</v>
      </c>
      <c r="O28" s="117">
        <v>0</v>
      </c>
      <c r="P28" s="117">
        <v>0</v>
      </c>
      <c r="Q28" s="117">
        <v>1608</v>
      </c>
      <c r="R28" s="120">
        <v>2</v>
      </c>
      <c r="S28" s="764" t="s">
        <v>836</v>
      </c>
      <c r="T28" s="2600">
        <f>SUM(U28:U29)</f>
        <v>2356</v>
      </c>
      <c r="U28" s="122">
        <f>Q28-N28</f>
        <v>1608</v>
      </c>
      <c r="V28" s="2600">
        <f>SUM(W28:W29)</f>
        <v>748</v>
      </c>
      <c r="W28" s="122">
        <f>N28</f>
        <v>0</v>
      </c>
      <c r="X28" s="122"/>
      <c r="Y28" s="122">
        <f>W28-AA28</f>
        <v>0</v>
      </c>
      <c r="Z28" s="2600">
        <f>SUM(AA28:AA29)</f>
        <v>0</v>
      </c>
      <c r="AA28" s="122">
        <v>0</v>
      </c>
      <c r="AB28" s="2600">
        <f>SUM(AC28:AC29)</f>
        <v>0</v>
      </c>
      <c r="AC28" s="122">
        <v>0</v>
      </c>
      <c r="AD28" s="2600">
        <f>SUM(AE28:AE29)</f>
        <v>0</v>
      </c>
      <c r="AE28" s="122">
        <f>AF28+AG28</f>
        <v>0</v>
      </c>
      <c r="AF28" s="122">
        <v>0</v>
      </c>
      <c r="AG28" s="122">
        <v>0</v>
      </c>
      <c r="AH28" s="122">
        <v>0</v>
      </c>
      <c r="AI28" s="2600">
        <f>SUM(AJ28:AJ29)</f>
        <v>0</v>
      </c>
      <c r="AJ28" s="122">
        <f>P28</f>
        <v>0</v>
      </c>
      <c r="AK28" s="2600">
        <f>SUM(AL28:AL29)</f>
        <v>0</v>
      </c>
      <c r="AL28" s="122">
        <f>W28-(AA28+AC28+AE28+AH28+AJ28+AM28+AW28+AO28+AQ28+AS28+AU28)</f>
        <v>0</v>
      </c>
      <c r="AM28" s="765"/>
      <c r="AN28" s="2600">
        <f>SUM(AO28:AO29)</f>
        <v>0</v>
      </c>
      <c r="AO28" s="122">
        <v>0</v>
      </c>
      <c r="AP28" s="2600">
        <f>SUM(AQ28:AQ29)</f>
        <v>0</v>
      </c>
      <c r="AQ28" s="122">
        <v>0</v>
      </c>
      <c r="AR28" s="2600">
        <f>SUM(AS28:AS29)</f>
        <v>0</v>
      </c>
      <c r="AS28" s="122">
        <v>0</v>
      </c>
      <c r="AT28" s="2600">
        <f>SUM(AU28:AU29)</f>
        <v>0</v>
      </c>
      <c r="AU28" s="122">
        <v>0</v>
      </c>
      <c r="AV28" s="2600">
        <f>SUM(AW28:AW29)</f>
        <v>748</v>
      </c>
      <c r="AW28" s="122">
        <f>AX28+AY28+AZ28+BA28+BB28</f>
        <v>0</v>
      </c>
      <c r="AX28" s="122">
        <v>0</v>
      </c>
      <c r="AY28" s="122">
        <v>0</v>
      </c>
      <c r="AZ28" s="122">
        <v>0</v>
      </c>
      <c r="BA28" s="122">
        <v>0</v>
      </c>
      <c r="BB28" s="122">
        <v>0</v>
      </c>
      <c r="BC28" s="122">
        <v>0</v>
      </c>
      <c r="BD28" s="2600">
        <f>SUM(BE28:BE29)</f>
        <v>3104</v>
      </c>
      <c r="BE28" s="122">
        <f>U28+W28</f>
        <v>1608</v>
      </c>
      <c r="BF28" s="2600">
        <f>SUM(BG28:BG29)</f>
        <v>0</v>
      </c>
      <c r="BG28" s="122">
        <v>0</v>
      </c>
      <c r="BH28" s="2600">
        <f>SUM(BI28:BI29)</f>
        <v>0</v>
      </c>
      <c r="BI28" s="122">
        <f>'[1]Projected Development Sites'!BG$135*BG28</f>
        <v>0</v>
      </c>
      <c r="BJ28" s="122">
        <f t="shared" si="13"/>
        <v>0</v>
      </c>
      <c r="BK28" s="129">
        <f>ROUND((AL28+AC28+AA28)/1000*3,0)+ROUND((AE28+AU28)/1000,0)+ROUND((ROUND(AH28/400,0))/2.67,0)+ROUND(AJ28/250,0)+ROUND(AO28/15000,0)+ROUND((AX28+AY28+AZ28+BB28)/1000*3,0)+ROUND(BG28/25,0)+ROUND(BU28/50,0)</f>
        <v>0</v>
      </c>
      <c r="BL28" s="122">
        <v>0</v>
      </c>
      <c r="BM28" s="122">
        <v>0</v>
      </c>
      <c r="BN28" s="122">
        <f>W28/1000</f>
        <v>0</v>
      </c>
      <c r="BO28" s="122">
        <f>AC28/1000</f>
        <v>0</v>
      </c>
      <c r="BP28" s="122">
        <f>((AH28/400)/12)</f>
        <v>0</v>
      </c>
      <c r="BQ28" s="122">
        <f>IFERROR(VLOOKUP(F28,#REF!,3,FALSE),0)</f>
        <v>0</v>
      </c>
      <c r="BR28" s="122">
        <v>0</v>
      </c>
      <c r="BS28" s="122">
        <f>IF(BB28&gt;0,"Calculate",0)</f>
        <v>0</v>
      </c>
      <c r="BT28" s="2600">
        <f>SUM(BU28:BU29)</f>
        <v>0.748</v>
      </c>
      <c r="BU28" s="122">
        <f>SUM(BL28:BS28)</f>
        <v>0</v>
      </c>
      <c r="BV28" s="127">
        <v>25</v>
      </c>
      <c r="BW28" s="766" t="s">
        <v>705</v>
      </c>
      <c r="BX28" s="127">
        <v>4.5999999999999996</v>
      </c>
      <c r="BY28" s="127">
        <v>2</v>
      </c>
      <c r="BZ28" s="127">
        <v>4.5999999999999996</v>
      </c>
      <c r="CA28" s="912" t="s">
        <v>706</v>
      </c>
      <c r="CB28" s="2745" t="s">
        <v>845</v>
      </c>
      <c r="CC28" s="768">
        <f>(BX28*G28)-CF28</f>
        <v>9375</v>
      </c>
      <c r="CD28" s="2748">
        <f>SUM(CC28:CC29)</f>
        <v>28125</v>
      </c>
      <c r="CE28" s="2600">
        <f>SUM(CF28:CF29)</f>
        <v>6375</v>
      </c>
      <c r="CF28" s="838">
        <f>1*(G28)-(0.15*1*(G28))</f>
        <v>2125</v>
      </c>
      <c r="CG28" s="2600">
        <f>SUM(CH28:CH29)</f>
        <v>6375</v>
      </c>
      <c r="CH28" s="838">
        <f>CF28-CJ28</f>
        <v>2125</v>
      </c>
      <c r="CI28" s="2600">
        <f>SUM(CJ28:CJ29)</f>
        <v>0</v>
      </c>
      <c r="CJ28" s="127">
        <v>0</v>
      </c>
      <c r="CK28" s="2600">
        <f>SUM(CL28:CL29)</f>
        <v>0</v>
      </c>
      <c r="CL28" s="127">
        <v>0</v>
      </c>
      <c r="CM28" s="2600">
        <f>SUM(CN28:CN29)</f>
        <v>2125</v>
      </c>
      <c r="CN28" s="122">
        <f>CF28-(CJ28+CL28+CO28+CP28+CR28+CU28+CV28+CX28)</f>
        <v>2125</v>
      </c>
      <c r="CO28" s="770">
        <v>0</v>
      </c>
      <c r="CP28" s="770">
        <v>0</v>
      </c>
      <c r="CQ28" s="2600">
        <f>SUM(CR28:CR29)</f>
        <v>0</v>
      </c>
      <c r="CR28" s="122">
        <v>0</v>
      </c>
      <c r="CS28" s="770">
        <v>0</v>
      </c>
      <c r="CT28" s="770">
        <v>0</v>
      </c>
      <c r="CU28" s="770">
        <v>0</v>
      </c>
      <c r="CV28" s="770">
        <v>0</v>
      </c>
      <c r="CW28" s="2600">
        <f>SUM(CX28:CX29)</f>
        <v>4250</v>
      </c>
      <c r="CX28" s="122">
        <f>SUM(CY28:DC28)</f>
        <v>0</v>
      </c>
      <c r="CY28" s="122">
        <f>AX28</f>
        <v>0</v>
      </c>
      <c r="CZ28" s="122">
        <f>AY28</f>
        <v>0</v>
      </c>
      <c r="DA28" s="122">
        <f>AZ28</f>
        <v>0</v>
      </c>
      <c r="DB28" s="122">
        <f>BA28</f>
        <v>0</v>
      </c>
      <c r="DC28" s="122">
        <f>BB28</f>
        <v>0</v>
      </c>
      <c r="DD28" s="122"/>
      <c r="DE28" s="2600">
        <f>SUM(DF28:DF29)</f>
        <v>34500</v>
      </c>
      <c r="DF28" s="122">
        <f>CC28+CF28</f>
        <v>11500</v>
      </c>
      <c r="DG28" s="2600">
        <f>SUM(DH28:DH29)</f>
        <v>28</v>
      </c>
      <c r="DH28" s="127">
        <f>ROUND(CC28/'[1]Projected Development Sites'!DF$134,0)</f>
        <v>9</v>
      </c>
      <c r="DI28" s="2722">
        <f>SUM(DJ28:DJ29)</f>
        <v>28</v>
      </c>
      <c r="DJ28" s="773">
        <f>'[1]Projected Development Sites'!DK$136*DH28</f>
        <v>9</v>
      </c>
      <c r="DK28" s="771">
        <f>3.06*DH28</f>
        <v>27.54</v>
      </c>
      <c r="DL28" s="772">
        <f>ROUND((CN28+CL28+CJ28)/1000*3,0)+ROUND((ROUND(CP28/400,0))/2.67,0)+ROUND(CV28/1000,0)+ROUND((CY28+CZ28+DA28+DC28)/1000*3,0)+ROUND(DH28/25,0)+ROUND(DX28/50,0)</f>
        <v>6</v>
      </c>
      <c r="DM28" s="773">
        <v>0</v>
      </c>
      <c r="DN28" s="773"/>
      <c r="DO28" s="773">
        <v>0</v>
      </c>
      <c r="DP28" s="773">
        <f>0.25*DJ28</f>
        <v>2.25</v>
      </c>
      <c r="DQ28" s="773">
        <f>SUM(CO28,CJ28,CN28,CR28,CU28)/1000</f>
        <v>2.125</v>
      </c>
      <c r="DR28" s="773">
        <f>CL28/1000</f>
        <v>0</v>
      </c>
      <c r="DS28" s="773">
        <f>((CP28/400)/12)</f>
        <v>0</v>
      </c>
      <c r="DT28" s="773">
        <f>IF(CX28&gt;0,"Calculate",0)</f>
        <v>0</v>
      </c>
      <c r="DU28" s="773">
        <v>0</v>
      </c>
      <c r="DV28" s="773">
        <f>CX28/1000</f>
        <v>0</v>
      </c>
      <c r="DW28" s="2722">
        <f>SUM(DX28:DX29)</f>
        <v>6.375</v>
      </c>
      <c r="DX28" s="774">
        <f>SUM(DM28,DO28,DQ28:DV28)</f>
        <v>2.125</v>
      </c>
      <c r="DY28" s="2725">
        <v>95</v>
      </c>
      <c r="DZ28" s="2728">
        <f>CD28-T28</f>
        <v>25769</v>
      </c>
      <c r="EA28" s="2602">
        <f>CE28-V28</f>
        <v>5627</v>
      </c>
      <c r="EB28" s="187">
        <f>CF28-W28</f>
        <v>2125</v>
      </c>
      <c r="EC28" s="2602">
        <f>SUM(ED28:ED29)</f>
        <v>2125</v>
      </c>
      <c r="ED28" s="187">
        <v>2125</v>
      </c>
      <c r="EE28" s="187">
        <f>(SUM(CJ28:CO28))-(SUM(AA28:AE28,AL28))</f>
        <v>4250</v>
      </c>
      <c r="EF28" s="2602">
        <f>SUM(EG28:EG29)</f>
        <v>2125</v>
      </c>
      <c r="EG28" s="187">
        <v>2125</v>
      </c>
      <c r="EH28" s="2602">
        <f>SUM(EI28:EI29)</f>
        <v>0</v>
      </c>
      <c r="EI28" s="187">
        <f>CL28-AC28</f>
        <v>0</v>
      </c>
      <c r="EJ28" s="2602">
        <f>SUM(EK28:EK29)</f>
        <v>0</v>
      </c>
      <c r="EK28" s="187">
        <f>CJ28-AA28</f>
        <v>0</v>
      </c>
      <c r="EL28" s="2602">
        <f>SUM(EM28:EM29)</f>
        <v>0</v>
      </c>
      <c r="EM28" s="187">
        <f>CO28-AE28</f>
        <v>0</v>
      </c>
      <c r="EN28" s="2602">
        <f>SUM(EO28:EO29)</f>
        <v>0</v>
      </c>
      <c r="EO28" s="187">
        <f>CP28-AH28</f>
        <v>0</v>
      </c>
      <c r="EP28" s="2602">
        <f>SUM(EQ28:EQ29)</f>
        <v>0</v>
      </c>
      <c r="EQ28" s="187">
        <f>CR28-AJ28</f>
        <v>0</v>
      </c>
      <c r="ER28" s="2602">
        <f>SUM(ES28:ES29)</f>
        <v>0</v>
      </c>
      <c r="ES28" s="187">
        <f>CS28-AO28</f>
        <v>0</v>
      </c>
      <c r="ET28" s="2602">
        <f>SUM(EU28:EU29)</f>
        <v>0</v>
      </c>
      <c r="EU28" s="187">
        <f t="shared" si="1"/>
        <v>0</v>
      </c>
      <c r="EV28" s="2602">
        <f>SUM(EW28:EW29)</f>
        <v>0</v>
      </c>
      <c r="EW28" s="187">
        <f>CU28-AS28</f>
        <v>0</v>
      </c>
      <c r="EX28" s="2602">
        <f>SUM(EY28:EY29)</f>
        <v>0</v>
      </c>
      <c r="EY28" s="187">
        <f>CV28-AU28</f>
        <v>0</v>
      </c>
      <c r="EZ28" s="2602">
        <f>SUM(FA28:FA29)</f>
        <v>0</v>
      </c>
      <c r="FA28" s="187">
        <f>CY28-AX28</f>
        <v>0</v>
      </c>
      <c r="FB28" s="2602">
        <f>SUM(FC28:FC29)</f>
        <v>3502</v>
      </c>
      <c r="FC28" s="187">
        <f>CZ28-AY28</f>
        <v>0</v>
      </c>
      <c r="FD28" s="2602">
        <f>SUM(FE28:FE29)</f>
        <v>0</v>
      </c>
      <c r="FE28" s="187">
        <f>DA28-AZ28</f>
        <v>0</v>
      </c>
      <c r="FF28" s="2602">
        <f>SUM(FG28:FG29)</f>
        <v>0</v>
      </c>
      <c r="FG28" s="187">
        <f>DB28-BA28</f>
        <v>0</v>
      </c>
      <c r="FH28" s="2602">
        <f>SUM(FI28:FI29)</f>
        <v>0</v>
      </c>
      <c r="FI28" s="187">
        <f>DC28-BB28</f>
        <v>0</v>
      </c>
      <c r="FJ28" s="2602">
        <f>SUM(FK28:FK29)</f>
        <v>3502</v>
      </c>
      <c r="FK28" s="187">
        <f>CX28-AW28</f>
        <v>0</v>
      </c>
      <c r="FL28" s="2602">
        <f>SUM(FM28:FM29)</f>
        <v>31396</v>
      </c>
      <c r="FM28" s="187">
        <f>DF28-BE28</f>
        <v>9892</v>
      </c>
      <c r="FN28" s="2602">
        <f>SUM(FO28:FO29)</f>
        <v>28</v>
      </c>
      <c r="FO28" s="187">
        <f>DH28-BG28</f>
        <v>9</v>
      </c>
      <c r="FP28" s="2602">
        <f>SUM(FQ28:FQ29)</f>
        <v>28</v>
      </c>
      <c r="FQ28" s="187">
        <f t="shared" ref="FQ28:FT29" si="17">DJ28-BI28</f>
        <v>9</v>
      </c>
      <c r="FR28" s="187">
        <f t="shared" si="17"/>
        <v>27.54</v>
      </c>
      <c r="FS28" s="187">
        <f t="shared" si="17"/>
        <v>6</v>
      </c>
      <c r="FT28" s="775">
        <f t="shared" si="17"/>
        <v>0</v>
      </c>
      <c r="FU28" s="775">
        <f>DR28-BO28</f>
        <v>0</v>
      </c>
      <c r="FV28" s="775">
        <f>DO28-BM28</f>
        <v>0</v>
      </c>
      <c r="FW28" s="775">
        <f>DQ28-BN28</f>
        <v>2.125</v>
      </c>
      <c r="FX28" s="775">
        <f t="shared" ref="FX28:GA29" si="18">DS28-BP28</f>
        <v>0</v>
      </c>
      <c r="FY28" s="775">
        <f t="shared" si="18"/>
        <v>0</v>
      </c>
      <c r="FZ28" s="775">
        <f t="shared" si="18"/>
        <v>0</v>
      </c>
      <c r="GA28" s="775">
        <f t="shared" si="18"/>
        <v>0</v>
      </c>
      <c r="GB28" s="2734">
        <f>SUM(GC28:GC29)</f>
        <v>5.6269999999999998</v>
      </c>
      <c r="GC28" s="776">
        <f t="shared" si="4"/>
        <v>2.125</v>
      </c>
      <c r="GD28" s="139"/>
      <c r="GE28" s="139"/>
      <c r="GF28" s="139"/>
      <c r="GG28" s="139"/>
      <c r="GH28" s="139"/>
      <c r="GI28" s="139"/>
      <c r="GJ28" s="139"/>
      <c r="GK28" s="139"/>
      <c r="GL28" s="139"/>
      <c r="GM28" s="139"/>
      <c r="GN28" s="139"/>
      <c r="GO28" s="139"/>
      <c r="GP28" s="139"/>
      <c r="GQ28" s="139"/>
      <c r="GR28" s="139"/>
      <c r="GS28" s="139"/>
      <c r="GT28" s="139"/>
      <c r="GU28" s="139"/>
      <c r="GV28" s="139"/>
    </row>
    <row r="29" spans="1:204" s="81" customFormat="1" ht="15" customHeight="1">
      <c r="A29" s="2589"/>
      <c r="B29" s="2589"/>
      <c r="C29" s="915" t="s">
        <v>710</v>
      </c>
      <c r="D29" s="66">
        <v>3208</v>
      </c>
      <c r="E29" s="66">
        <v>46</v>
      </c>
      <c r="F29" s="66">
        <v>2032080046</v>
      </c>
      <c r="G29" s="66">
        <v>5000</v>
      </c>
      <c r="H29" s="69" t="s">
        <v>726</v>
      </c>
      <c r="I29" s="70" t="s">
        <v>727</v>
      </c>
      <c r="J29" s="66">
        <v>0.3</v>
      </c>
      <c r="K29" s="66">
        <v>3.44</v>
      </c>
      <c r="L29" s="66">
        <v>0</v>
      </c>
      <c r="M29" s="66">
        <v>4.8</v>
      </c>
      <c r="N29" s="68">
        <v>748</v>
      </c>
      <c r="O29" s="68">
        <v>0</v>
      </c>
      <c r="P29" s="68">
        <v>0</v>
      </c>
      <c r="Q29" s="68">
        <v>1496</v>
      </c>
      <c r="R29" s="71">
        <v>1</v>
      </c>
      <c r="S29" s="791" t="s">
        <v>652</v>
      </c>
      <c r="T29" s="2601"/>
      <c r="U29" s="74">
        <f>Q29-N29</f>
        <v>748</v>
      </c>
      <c r="V29" s="2601"/>
      <c r="W29" s="74">
        <f>N29</f>
        <v>748</v>
      </c>
      <c r="X29" s="74"/>
      <c r="Y29" s="74">
        <f>W29-AA29</f>
        <v>748</v>
      </c>
      <c r="Z29" s="2601"/>
      <c r="AA29" s="74">
        <v>0</v>
      </c>
      <c r="AB29" s="2601"/>
      <c r="AC29" s="74">
        <v>0</v>
      </c>
      <c r="AD29" s="2601"/>
      <c r="AE29" s="74">
        <f>AF29+AG29</f>
        <v>0</v>
      </c>
      <c r="AF29" s="74">
        <v>0</v>
      </c>
      <c r="AG29" s="74">
        <v>0</v>
      </c>
      <c r="AH29" s="74">
        <v>0</v>
      </c>
      <c r="AI29" s="2601"/>
      <c r="AJ29" s="74">
        <f>P29</f>
        <v>0</v>
      </c>
      <c r="AK29" s="2601"/>
      <c r="AL29" s="74">
        <f>W29-(AA29+AC29+AE29+AH29+AJ29+AM29+AW29+AO29+AQ29+AS29+AU29)</f>
        <v>0</v>
      </c>
      <c r="AM29" s="792"/>
      <c r="AN29" s="2601"/>
      <c r="AO29" s="74">
        <v>0</v>
      </c>
      <c r="AP29" s="2601"/>
      <c r="AQ29" s="74">
        <v>0</v>
      </c>
      <c r="AR29" s="2601"/>
      <c r="AS29" s="74">
        <v>0</v>
      </c>
      <c r="AT29" s="2601"/>
      <c r="AU29" s="74">
        <v>0</v>
      </c>
      <c r="AV29" s="2601"/>
      <c r="AW29" s="74">
        <f>AX29+AY29+AZ29+BA29+BB29</f>
        <v>748</v>
      </c>
      <c r="AX29" s="74">
        <v>0</v>
      </c>
      <c r="AY29" s="74">
        <v>748</v>
      </c>
      <c r="AZ29" s="74">
        <v>0</v>
      </c>
      <c r="BA29" s="74">
        <v>0</v>
      </c>
      <c r="BB29" s="74">
        <v>0</v>
      </c>
      <c r="BC29" s="74">
        <v>0</v>
      </c>
      <c r="BD29" s="2601"/>
      <c r="BE29" s="74">
        <f>U29+W29</f>
        <v>1496</v>
      </c>
      <c r="BF29" s="2601"/>
      <c r="BG29" s="74">
        <v>0</v>
      </c>
      <c r="BH29" s="2601"/>
      <c r="BI29" s="74">
        <f>'[1]Projected Development Sites'!BG$135*BG29</f>
        <v>0</v>
      </c>
      <c r="BJ29" s="74">
        <f t="shared" si="13"/>
        <v>0</v>
      </c>
      <c r="BK29" s="88">
        <f>ROUND((AL29+AC29+AA29)/1000*3,0)+ROUND((AE29+AU29)/1000,0)+ROUND((ROUND(AH29/400,0))/2.67,0)+ROUND(AJ29/250,0)+ROUND(AO29/15000,0)+ROUND((AX29+AY29+AZ29+BB29)/1000*3,0)+ROUND(BG29/25,0)+ROUND(BU29/50,0)</f>
        <v>2</v>
      </c>
      <c r="BL29" s="74">
        <v>0</v>
      </c>
      <c r="BM29" s="74">
        <v>0</v>
      </c>
      <c r="BN29" s="74">
        <f>W29/1000</f>
        <v>0.748</v>
      </c>
      <c r="BO29" s="74">
        <f>AC29/1000</f>
        <v>0</v>
      </c>
      <c r="BP29" s="74">
        <f>((AH29/400)/12)</f>
        <v>0</v>
      </c>
      <c r="BQ29" s="74">
        <f>IFERROR(VLOOKUP(F29,#REF!,3,FALSE),0)</f>
        <v>0</v>
      </c>
      <c r="BR29" s="74">
        <v>0</v>
      </c>
      <c r="BS29" s="74">
        <f>IF(BB29&gt;0,"Calculate",0)</f>
        <v>0</v>
      </c>
      <c r="BT29" s="2601"/>
      <c r="BU29" s="74">
        <f>SUM(BL29:BS29)</f>
        <v>0.748</v>
      </c>
      <c r="BV29" s="81">
        <v>25</v>
      </c>
      <c r="BW29" s="793" t="s">
        <v>705</v>
      </c>
      <c r="BX29" s="81">
        <v>4.5999999999999996</v>
      </c>
      <c r="BY29" s="81">
        <v>2</v>
      </c>
      <c r="BZ29" s="81">
        <v>4.5999999999999996</v>
      </c>
      <c r="CA29" s="916" t="s">
        <v>706</v>
      </c>
      <c r="CB29" s="2747"/>
      <c r="CC29" s="795">
        <f>(BX29*G29)-CF29</f>
        <v>18750</v>
      </c>
      <c r="CD29" s="2749"/>
      <c r="CE29" s="2601"/>
      <c r="CF29" s="843">
        <f>1*(G29)-(0.15*1*(G29))</f>
        <v>4250</v>
      </c>
      <c r="CG29" s="2601"/>
      <c r="CH29" s="843">
        <f>CF29-CJ29</f>
        <v>4250</v>
      </c>
      <c r="CI29" s="2601"/>
      <c r="CJ29" s="81">
        <v>0</v>
      </c>
      <c r="CK29" s="2601"/>
      <c r="CL29" s="81">
        <v>0</v>
      </c>
      <c r="CM29" s="2601"/>
      <c r="CN29" s="74">
        <f>CF29-(CJ29+CL29+CO29+CP29+CR29+CU29+CV29+CX29)</f>
        <v>0</v>
      </c>
      <c r="CO29" s="797">
        <v>0</v>
      </c>
      <c r="CP29" s="797">
        <v>0</v>
      </c>
      <c r="CQ29" s="2601"/>
      <c r="CR29" s="74">
        <v>0</v>
      </c>
      <c r="CS29" s="797">
        <v>0</v>
      </c>
      <c r="CT29" s="797">
        <v>0</v>
      </c>
      <c r="CU29" s="797">
        <v>0</v>
      </c>
      <c r="CV29" s="797">
        <v>0</v>
      </c>
      <c r="CW29" s="2601"/>
      <c r="CX29" s="797">
        <f>SUM(CY29:DC29)</f>
        <v>4250</v>
      </c>
      <c r="CY29" s="74">
        <f>AX29</f>
        <v>0</v>
      </c>
      <c r="CZ29" s="74">
        <f>CF29</f>
        <v>4250</v>
      </c>
      <c r="DA29" s="74">
        <f>AZ29</f>
        <v>0</v>
      </c>
      <c r="DB29" s="74">
        <f>BA29</f>
        <v>0</v>
      </c>
      <c r="DC29" s="74">
        <f>BB29</f>
        <v>0</v>
      </c>
      <c r="DD29" s="74"/>
      <c r="DE29" s="2601"/>
      <c r="DF29" s="74">
        <f>CC29+CF29</f>
        <v>23000</v>
      </c>
      <c r="DG29" s="2601"/>
      <c r="DH29" s="81">
        <f>ROUND(CC29/'[1]Projected Development Sites'!DF$134,0)</f>
        <v>19</v>
      </c>
      <c r="DI29" s="2724"/>
      <c r="DJ29" s="799">
        <f>'[1]Projected Development Sites'!DK$136*DH29</f>
        <v>19</v>
      </c>
      <c r="DK29" s="798">
        <f>3.06*DH29</f>
        <v>58.14</v>
      </c>
      <c r="DL29" s="917">
        <f>ROUND((CN29+CL29+CJ29)/1000*3,0)+ROUND((ROUND(CP29/400,0))/2.67,0)+ROUND(CV29/1000,0)+ROUND((CY29+CZ29+DA29+DC29)/1000*3,0)+ROUND(DH29/25,0)+ROUND(DX29/50,0)</f>
        <v>14</v>
      </c>
      <c r="DM29" s="799">
        <v>0</v>
      </c>
      <c r="DN29" s="799"/>
      <c r="DO29" s="799">
        <v>0</v>
      </c>
      <c r="DP29" s="799">
        <f>0.25*DJ29</f>
        <v>4.75</v>
      </c>
      <c r="DQ29" s="799">
        <f>SUM(CO29,CJ29,CN29,CR29,CU29)/1000</f>
        <v>0</v>
      </c>
      <c r="DR29" s="799">
        <f>CL29/1000</f>
        <v>0</v>
      </c>
      <c r="DS29" s="799">
        <f>((CP29/400)/12)</f>
        <v>0</v>
      </c>
      <c r="DT29" s="799">
        <v>0</v>
      </c>
      <c r="DU29" s="799">
        <v>0</v>
      </c>
      <c r="DV29" s="799">
        <f>CX29/1000</f>
        <v>4.25</v>
      </c>
      <c r="DW29" s="2724"/>
      <c r="DX29" s="800">
        <f>SUM(DM29,DO29,DQ29:DV29)</f>
        <v>4.25</v>
      </c>
      <c r="DY29" s="2727"/>
      <c r="DZ29" s="2730"/>
      <c r="EA29" s="2603"/>
      <c r="EB29" s="195">
        <f>CF29-W29</f>
        <v>3502</v>
      </c>
      <c r="EC29" s="2603"/>
      <c r="ED29" s="190">
        <v>0</v>
      </c>
      <c r="EE29" s="195">
        <f>(SUM(CJ29:CO29))-(SUM(AA29:AE29,AL29))</f>
        <v>0</v>
      </c>
      <c r="EF29" s="2603"/>
      <c r="EG29" s="190">
        <v>0</v>
      </c>
      <c r="EH29" s="2603"/>
      <c r="EI29" s="195">
        <f>CL29-AC29</f>
        <v>0</v>
      </c>
      <c r="EJ29" s="2603"/>
      <c r="EK29" s="195">
        <f>CJ29-AA29</f>
        <v>0</v>
      </c>
      <c r="EL29" s="2603"/>
      <c r="EM29" s="190">
        <f>CO29-AE29</f>
        <v>0</v>
      </c>
      <c r="EN29" s="2603"/>
      <c r="EO29" s="190">
        <f>CP29-AH29</f>
        <v>0</v>
      </c>
      <c r="EP29" s="2603"/>
      <c r="EQ29" s="195">
        <f>CR29-AJ29</f>
        <v>0</v>
      </c>
      <c r="ER29" s="2603"/>
      <c r="ES29" s="195">
        <f>CS29-AO29</f>
        <v>0</v>
      </c>
      <c r="ET29" s="2603"/>
      <c r="EU29" s="190">
        <f t="shared" si="1"/>
        <v>0</v>
      </c>
      <c r="EV29" s="2603"/>
      <c r="EW29" s="195">
        <f>CU29-AS29</f>
        <v>0</v>
      </c>
      <c r="EX29" s="2603"/>
      <c r="EY29" s="190">
        <f>CV29-AU29</f>
        <v>0</v>
      </c>
      <c r="EZ29" s="2603"/>
      <c r="FA29" s="190">
        <f>CY29-AX29</f>
        <v>0</v>
      </c>
      <c r="FB29" s="2603"/>
      <c r="FC29" s="190">
        <f>CZ29-AY29</f>
        <v>3502</v>
      </c>
      <c r="FD29" s="2603"/>
      <c r="FE29" s="190">
        <f>DA29-AZ29</f>
        <v>0</v>
      </c>
      <c r="FF29" s="2603"/>
      <c r="FG29" s="190">
        <f>DB29-BA29</f>
        <v>0</v>
      </c>
      <c r="FH29" s="2603"/>
      <c r="FI29" s="190">
        <f>DC29-BB29</f>
        <v>0</v>
      </c>
      <c r="FJ29" s="2603"/>
      <c r="FK29" s="190">
        <f>CX29-AW29</f>
        <v>3502</v>
      </c>
      <c r="FL29" s="2603"/>
      <c r="FM29" s="190">
        <f>DF29-BE29</f>
        <v>21504</v>
      </c>
      <c r="FN29" s="2603"/>
      <c r="FO29" s="190">
        <f>DH29-BG29</f>
        <v>19</v>
      </c>
      <c r="FP29" s="2603"/>
      <c r="FQ29" s="190">
        <f t="shared" si="17"/>
        <v>19</v>
      </c>
      <c r="FR29" s="190">
        <f t="shared" si="17"/>
        <v>58.14</v>
      </c>
      <c r="FS29" s="190">
        <f t="shared" si="17"/>
        <v>12</v>
      </c>
      <c r="FT29" s="801">
        <f t="shared" si="17"/>
        <v>0</v>
      </c>
      <c r="FU29" s="801">
        <f>DR29-BO29</f>
        <v>0</v>
      </c>
      <c r="FV29" s="801">
        <f>DO29-BM29</f>
        <v>0</v>
      </c>
      <c r="FW29" s="801">
        <f>DQ29-BN29</f>
        <v>-0.748</v>
      </c>
      <c r="FX29" s="801">
        <f t="shared" si="18"/>
        <v>0</v>
      </c>
      <c r="FY29" s="801">
        <f t="shared" si="18"/>
        <v>0</v>
      </c>
      <c r="FZ29" s="801">
        <f t="shared" si="18"/>
        <v>0</v>
      </c>
      <c r="GA29" s="801">
        <f t="shared" si="18"/>
        <v>4.25</v>
      </c>
      <c r="GB29" s="2736"/>
      <c r="GC29" s="845">
        <f t="shared" si="4"/>
        <v>3.5019999999999998</v>
      </c>
      <c r="GD29" s="139"/>
      <c r="GE29" s="139"/>
      <c r="GF29" s="139"/>
      <c r="GG29" s="139"/>
      <c r="GH29" s="139"/>
      <c r="GI29" s="139"/>
      <c r="GJ29" s="139"/>
      <c r="GK29" s="139"/>
      <c r="GL29" s="139"/>
      <c r="GM29" s="139"/>
      <c r="GN29" s="139"/>
      <c r="GO29" s="139"/>
      <c r="GP29" s="139"/>
      <c r="GQ29" s="139"/>
      <c r="GR29" s="139"/>
      <c r="GS29" s="139"/>
      <c r="GT29" s="139"/>
      <c r="GU29" s="139"/>
      <c r="GV29" s="139"/>
    </row>
    <row r="30" spans="1:204" s="139" customFormat="1" ht="18.75">
      <c r="A30" s="2263"/>
      <c r="B30" s="2263"/>
      <c r="C30" s="913"/>
      <c r="D30" s="132"/>
      <c r="E30" s="132"/>
      <c r="F30" s="132"/>
      <c r="G30" s="132"/>
      <c r="H30" s="135"/>
      <c r="I30" s="136"/>
      <c r="J30" s="132"/>
      <c r="K30" s="132"/>
      <c r="L30" s="132"/>
      <c r="M30" s="132"/>
      <c r="N30" s="134"/>
      <c r="O30" s="134"/>
      <c r="P30" s="134"/>
      <c r="Q30" s="134"/>
      <c r="R30" s="137"/>
      <c r="S30" s="778"/>
      <c r="T30" s="634"/>
      <c r="U30" s="102"/>
      <c r="V30" s="634"/>
      <c r="W30" s="102"/>
      <c r="X30" s="102"/>
      <c r="Y30" s="102"/>
      <c r="Z30" s="634"/>
      <c r="AA30" s="102"/>
      <c r="AB30" s="634"/>
      <c r="AC30" s="102"/>
      <c r="AD30" s="634"/>
      <c r="AE30" s="102"/>
      <c r="AF30" s="102"/>
      <c r="AG30" s="102"/>
      <c r="AH30" s="102"/>
      <c r="AI30" s="634"/>
      <c r="AJ30" s="102"/>
      <c r="AK30" s="634"/>
      <c r="AL30" s="102"/>
      <c r="AM30" s="779"/>
      <c r="AN30" s="634"/>
      <c r="AO30" s="102"/>
      <c r="AP30" s="634"/>
      <c r="AQ30" s="102"/>
      <c r="AR30" s="634"/>
      <c r="AS30" s="102"/>
      <c r="AT30" s="634"/>
      <c r="AU30" s="102"/>
      <c r="AV30" s="634"/>
      <c r="AW30" s="102"/>
      <c r="AX30" s="102"/>
      <c r="AY30" s="102"/>
      <c r="AZ30" s="102"/>
      <c r="BA30" s="102"/>
      <c r="BB30" s="102"/>
      <c r="BC30" s="102"/>
      <c r="BD30" s="634"/>
      <c r="BE30" s="102"/>
      <c r="BF30" s="634"/>
      <c r="BG30" s="102"/>
      <c r="BH30" s="634"/>
      <c r="BI30" s="102"/>
      <c r="BJ30" s="122"/>
      <c r="BK30" s="186"/>
      <c r="BL30" s="102"/>
      <c r="BM30" s="102"/>
      <c r="BN30" s="102"/>
      <c r="BO30" s="102"/>
      <c r="BP30" s="102"/>
      <c r="BQ30" s="102"/>
      <c r="BR30" s="102"/>
      <c r="BS30" s="102"/>
      <c r="BT30" s="634"/>
      <c r="BU30" s="102"/>
      <c r="BW30" s="780"/>
      <c r="CA30" s="627"/>
      <c r="CB30" s="2258"/>
      <c r="CC30" s="782"/>
      <c r="CD30" s="782"/>
      <c r="CE30" s="634"/>
      <c r="CF30" s="840"/>
      <c r="CG30" s="634"/>
      <c r="CH30" s="840"/>
      <c r="CI30" s="634"/>
      <c r="CK30" s="634"/>
      <c r="CM30" s="634"/>
      <c r="CN30" s="102"/>
      <c r="CO30" s="784"/>
      <c r="CP30" s="784"/>
      <c r="CQ30" s="634"/>
      <c r="CR30" s="102"/>
      <c r="CS30" s="784"/>
      <c r="CT30" s="784"/>
      <c r="CU30" s="784"/>
      <c r="CV30" s="784"/>
      <c r="CW30" s="634"/>
      <c r="CX30" s="784"/>
      <c r="CY30" s="102"/>
      <c r="CZ30" s="102"/>
      <c r="DA30" s="102"/>
      <c r="DB30" s="102"/>
      <c r="DC30" s="102"/>
      <c r="DD30" s="102"/>
      <c r="DE30" s="634"/>
      <c r="DF30" s="102"/>
      <c r="DG30" s="634"/>
      <c r="DI30" s="802"/>
      <c r="DJ30" s="787"/>
      <c r="DK30" s="771"/>
      <c r="DL30" s="786"/>
      <c r="DM30" s="787"/>
      <c r="DN30" s="787"/>
      <c r="DO30" s="787"/>
      <c r="DP30" s="787"/>
      <c r="DQ30" s="787"/>
      <c r="DR30" s="787"/>
      <c r="DS30" s="787"/>
      <c r="DT30" s="787"/>
      <c r="DU30" s="787"/>
      <c r="DV30" s="787"/>
      <c r="DW30" s="802"/>
      <c r="DX30" s="788"/>
      <c r="DY30" s="634"/>
      <c r="DZ30" s="2288"/>
      <c r="EA30" s="2231"/>
      <c r="EB30" s="187"/>
      <c r="EC30" s="2232"/>
      <c r="ED30" s="187"/>
      <c r="EE30" s="187"/>
      <c r="EF30" s="2232"/>
      <c r="EG30" s="245"/>
      <c r="EH30" s="2232"/>
      <c r="EI30" s="187"/>
      <c r="EJ30" s="2232"/>
      <c r="EK30" s="187"/>
      <c r="EL30" s="2232"/>
      <c r="EM30" s="195"/>
      <c r="EN30" s="2232"/>
      <c r="EO30" s="195"/>
      <c r="EP30" s="2232"/>
      <c r="EQ30" s="187"/>
      <c r="ER30" s="2232"/>
      <c r="ES30" s="187"/>
      <c r="ET30" s="2232"/>
      <c r="EU30" s="187">
        <f t="shared" si="1"/>
        <v>0</v>
      </c>
      <c r="EV30" s="2232"/>
      <c r="EW30" s="187"/>
      <c r="EX30" s="2232"/>
      <c r="EY30" s="195"/>
      <c r="EZ30" s="2232"/>
      <c r="FA30" s="195"/>
      <c r="FB30" s="2232"/>
      <c r="FC30" s="195"/>
      <c r="FD30" s="2232"/>
      <c r="FE30" s="195"/>
      <c r="FF30" s="2232"/>
      <c r="FG30" s="195"/>
      <c r="FH30" s="2232"/>
      <c r="FI30" s="195"/>
      <c r="FJ30" s="2232"/>
      <c r="FK30" s="195"/>
      <c r="FL30" s="2232"/>
      <c r="FM30" s="187"/>
      <c r="FN30" s="2232"/>
      <c r="FO30" s="187"/>
      <c r="FP30" s="2232"/>
      <c r="FQ30" s="187"/>
      <c r="FR30" s="195"/>
      <c r="FS30" s="195"/>
      <c r="FT30" s="789"/>
      <c r="FU30" s="789"/>
      <c r="FV30" s="789"/>
      <c r="FW30" s="789"/>
      <c r="FX30" s="789"/>
      <c r="FY30" s="789"/>
      <c r="FZ30" s="789"/>
      <c r="GA30" s="789"/>
      <c r="GB30" s="2289"/>
      <c r="GC30" s="776"/>
    </row>
    <row r="31" spans="1:204" s="228" customFormat="1" ht="18.75">
      <c r="A31" s="216"/>
      <c r="B31" s="216">
        <v>9</v>
      </c>
      <c r="C31" s="918" t="s">
        <v>703</v>
      </c>
      <c r="D31" s="218">
        <v>3196</v>
      </c>
      <c r="E31" s="218">
        <v>36</v>
      </c>
      <c r="F31" s="897">
        <v>2031960036</v>
      </c>
      <c r="G31" s="218">
        <v>5000</v>
      </c>
      <c r="H31" s="221" t="s">
        <v>704</v>
      </c>
      <c r="I31" s="222"/>
      <c r="J31" s="218">
        <v>1.1299999999999999</v>
      </c>
      <c r="K31" s="218">
        <v>0</v>
      </c>
      <c r="L31" s="218">
        <v>2</v>
      </c>
      <c r="M31" s="218">
        <v>6.5</v>
      </c>
      <c r="N31" s="220">
        <v>5672</v>
      </c>
      <c r="O31" s="220">
        <v>0</v>
      </c>
      <c r="P31" s="220">
        <v>0</v>
      </c>
      <c r="Q31" s="220">
        <v>5672</v>
      </c>
      <c r="R31" s="223">
        <v>0</v>
      </c>
      <c r="S31" s="898" t="s">
        <v>846</v>
      </c>
      <c r="T31" s="234">
        <f>U31</f>
        <v>0</v>
      </c>
      <c r="U31" s="111">
        <v>0</v>
      </c>
      <c r="V31" s="234">
        <f>W31</f>
        <v>5672</v>
      </c>
      <c r="W31" s="111">
        <f>N31</f>
        <v>5672</v>
      </c>
      <c r="X31" s="111"/>
      <c r="Y31" s="111">
        <f>W31-AA31</f>
        <v>5672</v>
      </c>
      <c r="Z31" s="234">
        <f>AA31</f>
        <v>0</v>
      </c>
      <c r="AA31" s="111">
        <v>0</v>
      </c>
      <c r="AB31" s="234">
        <f>AC31</f>
        <v>0</v>
      </c>
      <c r="AC31" s="111">
        <v>0</v>
      </c>
      <c r="AD31" s="234">
        <f>AE31</f>
        <v>0</v>
      </c>
      <c r="AE31" s="111">
        <v>0</v>
      </c>
      <c r="AF31" s="111">
        <v>0</v>
      </c>
      <c r="AG31" s="111">
        <v>0</v>
      </c>
      <c r="AH31" s="111">
        <v>0</v>
      </c>
      <c r="AI31" s="234">
        <f>AJ31</f>
        <v>0</v>
      </c>
      <c r="AJ31" s="111">
        <v>0</v>
      </c>
      <c r="AK31" s="234">
        <f>AL31</f>
        <v>5672</v>
      </c>
      <c r="AL31" s="111">
        <f>W31-(AA31+AC31+AE31+AH31+AJ31+AM31+AW31+AO31+AQ31+AS31+AU31)</f>
        <v>5672</v>
      </c>
      <c r="AM31" s="899"/>
      <c r="AN31" s="234">
        <f>AO31</f>
        <v>0</v>
      </c>
      <c r="AO31" s="111">
        <v>0</v>
      </c>
      <c r="AP31" s="234">
        <f>AQ31</f>
        <v>0</v>
      </c>
      <c r="AQ31" s="111">
        <v>0</v>
      </c>
      <c r="AR31" s="234">
        <f>AS31</f>
        <v>0</v>
      </c>
      <c r="AS31" s="111">
        <v>0</v>
      </c>
      <c r="AT31" s="234">
        <f>AU31</f>
        <v>0</v>
      </c>
      <c r="AU31" s="111">
        <v>0</v>
      </c>
      <c r="AV31" s="234">
        <f>AW31</f>
        <v>0</v>
      </c>
      <c r="AW31" s="111">
        <f>AX31+AY31+AZ31+BA31+BB31</f>
        <v>0</v>
      </c>
      <c r="AX31" s="111">
        <v>0</v>
      </c>
      <c r="AY31" s="111">
        <v>0</v>
      </c>
      <c r="AZ31" s="111">
        <v>0</v>
      </c>
      <c r="BA31" s="111">
        <v>0</v>
      </c>
      <c r="BB31" s="111">
        <v>0</v>
      </c>
      <c r="BC31" s="111">
        <v>0</v>
      </c>
      <c r="BD31" s="234">
        <f>BE31</f>
        <v>5672</v>
      </c>
      <c r="BE31" s="111">
        <f>W31+U31</f>
        <v>5672</v>
      </c>
      <c r="BF31" s="234">
        <f>BG31</f>
        <v>0</v>
      </c>
      <c r="BG31" s="111">
        <f>ROUND(U31/'[1]Projected Development Sites'!DF$134,0)</f>
        <v>0</v>
      </c>
      <c r="BH31" s="234">
        <f>BI31</f>
        <v>0</v>
      </c>
      <c r="BI31" s="111">
        <f>'[1]Projected Development Sites'!BG$135*BG31</f>
        <v>0</v>
      </c>
      <c r="BJ31" s="122">
        <f t="shared" si="13"/>
        <v>0</v>
      </c>
      <c r="BK31" s="306">
        <f>ROUND((AL31+AC31+AA31)/1000*3,0)+ROUND((AE31+AU31)/1000,0)+ROUND((ROUND(AH31/400,0))/2.67,0)+ROUND(AJ31/250,0)+ROUND(AO31/15000,0)+ROUND((AX31+AY31+AZ31+BB31)/1000*3,0)+ROUND(BG31/25,0)+ROUND(BU31/50,0)</f>
        <v>17</v>
      </c>
      <c r="BL31" s="111">
        <v>0</v>
      </c>
      <c r="BM31" s="111">
        <v>0</v>
      </c>
      <c r="BN31" s="111">
        <f>W31/1000</f>
        <v>5.6719999999999997</v>
      </c>
      <c r="BO31" s="111">
        <f>AC31/1000</f>
        <v>0</v>
      </c>
      <c r="BP31" s="111">
        <f>((AH31/400)/12)</f>
        <v>0</v>
      </c>
      <c r="BQ31" s="111">
        <f>IFERROR(VLOOKUP(F31,#REF!,3,FALSE),0)</f>
        <v>0</v>
      </c>
      <c r="BR31" s="111">
        <v>0</v>
      </c>
      <c r="BS31" s="111">
        <f>IF(BB31&gt;0,"Calculate",0)</f>
        <v>0</v>
      </c>
      <c r="BT31" s="234">
        <f>BU31</f>
        <v>5.6719999999999997</v>
      </c>
      <c r="BU31" s="111">
        <f>SUM(BL31:BS31)</f>
        <v>5.6719999999999997</v>
      </c>
      <c r="BV31" s="228">
        <v>10</v>
      </c>
      <c r="BW31" s="900" t="s">
        <v>705</v>
      </c>
      <c r="BX31" s="228">
        <v>4.5999999999999996</v>
      </c>
      <c r="BY31" s="228">
        <v>2</v>
      </c>
      <c r="BZ31" s="228">
        <v>4.5999999999999996</v>
      </c>
      <c r="CA31" s="901" t="s">
        <v>706</v>
      </c>
      <c r="CB31" s="230" t="s">
        <v>716</v>
      </c>
      <c r="CC31" s="399">
        <f>(BX31*G31)-CF31</f>
        <v>18750</v>
      </c>
      <c r="CD31" s="399">
        <f>CC31</f>
        <v>18750</v>
      </c>
      <c r="CE31" s="234">
        <f>CF31</f>
        <v>4250</v>
      </c>
      <c r="CF31" s="902">
        <f>1*(G31)-(0.15*1*(G31))</f>
        <v>4250</v>
      </c>
      <c r="CG31" s="234">
        <f>CH31</f>
        <v>4250</v>
      </c>
      <c r="CH31" s="902">
        <f>CF31-CJ31</f>
        <v>4250</v>
      </c>
      <c r="CI31" s="234">
        <f>CJ31</f>
        <v>0</v>
      </c>
      <c r="CJ31" s="228">
        <v>0</v>
      </c>
      <c r="CK31" s="234">
        <f>CL31</f>
        <v>0</v>
      </c>
      <c r="CL31" s="228">
        <v>0</v>
      </c>
      <c r="CM31" s="234">
        <f>CN31</f>
        <v>4250</v>
      </c>
      <c r="CN31" s="111">
        <f>CF31</f>
        <v>4250</v>
      </c>
      <c r="CO31" s="903">
        <v>0</v>
      </c>
      <c r="CP31" s="903">
        <v>0</v>
      </c>
      <c r="CQ31" s="234">
        <f>CR31</f>
        <v>0</v>
      </c>
      <c r="CR31" s="111">
        <v>0</v>
      </c>
      <c r="CS31" s="903">
        <v>0</v>
      </c>
      <c r="CT31" s="903">
        <v>0</v>
      </c>
      <c r="CU31" s="903">
        <v>0</v>
      </c>
      <c r="CV31" s="903">
        <v>0</v>
      </c>
      <c r="CW31" s="234">
        <f>CX31</f>
        <v>0</v>
      </c>
      <c r="CX31" s="111">
        <v>0</v>
      </c>
      <c r="CY31" s="111">
        <v>0</v>
      </c>
      <c r="CZ31" s="111">
        <v>0</v>
      </c>
      <c r="DA31" s="111">
        <v>0</v>
      </c>
      <c r="DB31" s="111">
        <v>0</v>
      </c>
      <c r="DC31" s="111">
        <v>0</v>
      </c>
      <c r="DD31" s="111"/>
      <c r="DE31" s="234">
        <f>DF31</f>
        <v>23000</v>
      </c>
      <c r="DF31" s="111">
        <f>CC31+CF31</f>
        <v>23000</v>
      </c>
      <c r="DG31" s="234">
        <f>DH31</f>
        <v>19</v>
      </c>
      <c r="DH31" s="228">
        <f>ROUND(CC31/'[1]Projected Development Sites'!DF$134,0)</f>
        <v>19</v>
      </c>
      <c r="DI31" s="886">
        <f>DJ31</f>
        <v>19</v>
      </c>
      <c r="DJ31" s="905">
        <f>'[1]Projected Development Sites'!DK$136*DH31</f>
        <v>19</v>
      </c>
      <c r="DK31" s="771">
        <f>3.06*DH31</f>
        <v>58.14</v>
      </c>
      <c r="DL31" s="772">
        <f>ROUND((CN31+CL31+CJ31)/1000*3,0)+ROUND((ROUND(CP31/400,0))/2.67,0)+ROUND(CV31/1000,0)+ROUND((CY31+CZ31+DA31+DC31)/1000*3,0)+ROUND(DH31/25,0)+ROUND(DX31/50,0)</f>
        <v>14</v>
      </c>
      <c r="DM31" s="905">
        <v>0</v>
      </c>
      <c r="DN31" s="905"/>
      <c r="DO31" s="905">
        <v>0</v>
      </c>
      <c r="DP31" s="905">
        <f>0.25*DJ31</f>
        <v>4.75</v>
      </c>
      <c r="DQ31" s="905">
        <f>SUM(CO31,CJ31,CN31,CR31,CU31)/1000</f>
        <v>4.25</v>
      </c>
      <c r="DR31" s="905">
        <f>CL31/1000</f>
        <v>0</v>
      </c>
      <c r="DS31" s="905">
        <f>((CP31/400)/12)</f>
        <v>0</v>
      </c>
      <c r="DT31" s="905">
        <v>0</v>
      </c>
      <c r="DU31" s="905">
        <v>0</v>
      </c>
      <c r="DV31" s="905">
        <f>CX31/1000</f>
        <v>0</v>
      </c>
      <c r="DW31" s="886">
        <f>DX31</f>
        <v>4.25</v>
      </c>
      <c r="DX31" s="906">
        <f>SUM(DM31,DO31,DQ31:DV31)</f>
        <v>4.25</v>
      </c>
      <c r="DY31" s="837">
        <v>115</v>
      </c>
      <c r="DZ31" s="2288">
        <f>CD31-T31</f>
        <v>18750</v>
      </c>
      <c r="EA31" s="2231">
        <f>CE31-V31</f>
        <v>-1422</v>
      </c>
      <c r="EB31" s="187">
        <f>CF31-W31</f>
        <v>-1422</v>
      </c>
      <c r="EC31" s="235">
        <f>ED31</f>
        <v>-1422</v>
      </c>
      <c r="ED31" s="187">
        <v>-1422</v>
      </c>
      <c r="EE31" s="187">
        <f>(SUM(CJ31:CO31))-(SUM(AA31:AE31,AL31))</f>
        <v>2828</v>
      </c>
      <c r="EF31" s="235">
        <f>EG31</f>
        <v>-1422</v>
      </c>
      <c r="EG31" s="245">
        <v>-1422</v>
      </c>
      <c r="EH31" s="235">
        <f>EI31</f>
        <v>0</v>
      </c>
      <c r="EI31" s="187">
        <f>CL31-AC31</f>
        <v>0</v>
      </c>
      <c r="EJ31" s="235">
        <f>EK31</f>
        <v>0</v>
      </c>
      <c r="EK31" s="187">
        <f>CJ31-AA31</f>
        <v>0</v>
      </c>
      <c r="EL31" s="235">
        <f>EM31</f>
        <v>0</v>
      </c>
      <c r="EM31" s="245">
        <f>CO31-AE31</f>
        <v>0</v>
      </c>
      <c r="EN31" s="235">
        <f>EO31</f>
        <v>0</v>
      </c>
      <c r="EO31" s="245">
        <f>CP31-AH31</f>
        <v>0</v>
      </c>
      <c r="EP31" s="235">
        <f>EQ31</f>
        <v>0</v>
      </c>
      <c r="EQ31" s="187">
        <f>CR31-AJ31</f>
        <v>0</v>
      </c>
      <c r="ER31" s="235">
        <f>ES31</f>
        <v>0</v>
      </c>
      <c r="ES31" s="187">
        <f>CS31-AO31</f>
        <v>0</v>
      </c>
      <c r="ET31" s="235">
        <f>EU31</f>
        <v>0</v>
      </c>
      <c r="EU31" s="187">
        <f t="shared" si="1"/>
        <v>0</v>
      </c>
      <c r="EV31" s="235">
        <f>EW31</f>
        <v>0</v>
      </c>
      <c r="EW31" s="187">
        <f>CU31-AS31</f>
        <v>0</v>
      </c>
      <c r="EX31" s="235">
        <f>EY31</f>
        <v>0</v>
      </c>
      <c r="EY31" s="245">
        <f>CV31-AU31</f>
        <v>0</v>
      </c>
      <c r="EZ31" s="235">
        <f>FA31</f>
        <v>0</v>
      </c>
      <c r="FA31" s="245">
        <f>CY31-AX31</f>
        <v>0</v>
      </c>
      <c r="FB31" s="235">
        <f>FC31</f>
        <v>0</v>
      </c>
      <c r="FC31" s="245">
        <f>CZ31-AY31</f>
        <v>0</v>
      </c>
      <c r="FD31" s="235">
        <f>FE31</f>
        <v>0</v>
      </c>
      <c r="FE31" s="245">
        <f>DA31-AZ31</f>
        <v>0</v>
      </c>
      <c r="FF31" s="235">
        <f>FG31</f>
        <v>0</v>
      </c>
      <c r="FG31" s="245">
        <f>DB31-BA31</f>
        <v>0</v>
      </c>
      <c r="FH31" s="235">
        <f>FI31</f>
        <v>0</v>
      </c>
      <c r="FI31" s="245">
        <f>DC31-BB31</f>
        <v>0</v>
      </c>
      <c r="FJ31" s="235">
        <f>FK31</f>
        <v>0</v>
      </c>
      <c r="FK31" s="245">
        <f>CX31-AW31</f>
        <v>0</v>
      </c>
      <c r="FL31" s="235">
        <f>FM31</f>
        <v>17328</v>
      </c>
      <c r="FM31" s="187">
        <f>DF31-BE31</f>
        <v>17328</v>
      </c>
      <c r="FN31" s="235">
        <f>FO31</f>
        <v>19</v>
      </c>
      <c r="FO31" s="187">
        <f>DH31-BG31</f>
        <v>19</v>
      </c>
      <c r="FP31" s="235">
        <f>FQ31</f>
        <v>19</v>
      </c>
      <c r="FQ31" s="187">
        <f>DJ31-BI31</f>
        <v>19</v>
      </c>
      <c r="FR31" s="245">
        <f>DK31-BJ31</f>
        <v>58.14</v>
      </c>
      <c r="FS31" s="245">
        <f>DL31-BK31</f>
        <v>-3</v>
      </c>
      <c r="FT31" s="907">
        <f>DM31-BL31</f>
        <v>0</v>
      </c>
      <c r="FU31" s="907">
        <f>DR31-BO31</f>
        <v>0</v>
      </c>
      <c r="FV31" s="907">
        <f>DO31-BM31</f>
        <v>0</v>
      </c>
      <c r="FW31" s="907">
        <f>DQ31-BN31</f>
        <v>-1.4219999999999997</v>
      </c>
      <c r="FX31" s="907">
        <f>DS31-BP31</f>
        <v>0</v>
      </c>
      <c r="FY31" s="907">
        <f>DT31-BQ31</f>
        <v>0</v>
      </c>
      <c r="FZ31" s="907">
        <f>DU31-BR31</f>
        <v>0</v>
      </c>
      <c r="GA31" s="907">
        <f>DV31-BS31</f>
        <v>0</v>
      </c>
      <c r="GB31" s="894">
        <f>GC31</f>
        <v>-1.4219999999999997</v>
      </c>
      <c r="GC31" s="776">
        <f t="shared" si="4"/>
        <v>-1.4219999999999997</v>
      </c>
      <c r="GD31" s="139"/>
      <c r="GE31" s="139"/>
      <c r="GF31" s="139"/>
      <c r="GG31" s="139"/>
      <c r="GH31" s="139"/>
      <c r="GI31" s="139"/>
      <c r="GJ31" s="139"/>
      <c r="GK31" s="139"/>
      <c r="GL31" s="139"/>
      <c r="GM31" s="139"/>
      <c r="GN31" s="139"/>
      <c r="GO31" s="139"/>
      <c r="GP31" s="139"/>
      <c r="GQ31" s="139"/>
      <c r="GR31" s="139"/>
      <c r="GS31" s="139"/>
      <c r="GT31" s="139"/>
      <c r="GU31" s="139"/>
      <c r="GV31" s="139"/>
    </row>
    <row r="32" spans="1:204" s="139" customFormat="1" ht="18.75">
      <c r="A32" s="2263"/>
      <c r="B32" s="2263"/>
      <c r="C32" s="132"/>
      <c r="D32" s="132"/>
      <c r="E32" s="132"/>
      <c r="F32" s="777"/>
      <c r="G32" s="132"/>
      <c r="H32" s="135"/>
      <c r="I32" s="136"/>
      <c r="J32" s="132"/>
      <c r="K32" s="132"/>
      <c r="L32" s="132"/>
      <c r="M32" s="132"/>
      <c r="N32" s="134"/>
      <c r="O32" s="134"/>
      <c r="P32" s="134"/>
      <c r="Q32" s="134"/>
      <c r="R32" s="137"/>
      <c r="S32" s="778"/>
      <c r="T32" s="634"/>
      <c r="U32" s="102"/>
      <c r="V32" s="634"/>
      <c r="W32" s="102"/>
      <c r="X32" s="102"/>
      <c r="Y32" s="102"/>
      <c r="Z32" s="634"/>
      <c r="AA32" s="102"/>
      <c r="AB32" s="634"/>
      <c r="AC32" s="102"/>
      <c r="AD32" s="634"/>
      <c r="AE32" s="102"/>
      <c r="AF32" s="102"/>
      <c r="AG32" s="102"/>
      <c r="AH32" s="102"/>
      <c r="AI32" s="634"/>
      <c r="AJ32" s="102"/>
      <c r="AK32" s="634"/>
      <c r="AL32" s="102"/>
      <c r="AM32" s="779"/>
      <c r="AN32" s="634"/>
      <c r="AO32" s="102"/>
      <c r="AP32" s="634"/>
      <c r="AQ32" s="102"/>
      <c r="AR32" s="634"/>
      <c r="AS32" s="102"/>
      <c r="AT32" s="634"/>
      <c r="AU32" s="102"/>
      <c r="AV32" s="634"/>
      <c r="AW32" s="102"/>
      <c r="AX32" s="102"/>
      <c r="AY32" s="102"/>
      <c r="AZ32" s="102"/>
      <c r="BA32" s="102"/>
      <c r="BB32" s="102"/>
      <c r="BC32" s="102"/>
      <c r="BD32" s="634"/>
      <c r="BE32" s="102"/>
      <c r="BF32" s="634"/>
      <c r="BG32" s="102"/>
      <c r="BH32" s="634"/>
      <c r="BI32" s="102"/>
      <c r="BJ32" s="122"/>
      <c r="BK32" s="186"/>
      <c r="BL32" s="102"/>
      <c r="BM32" s="102"/>
      <c r="BN32" s="102"/>
      <c r="BO32" s="102"/>
      <c r="BP32" s="102"/>
      <c r="BQ32" s="102"/>
      <c r="BR32" s="102"/>
      <c r="BS32" s="102"/>
      <c r="BT32" s="634"/>
      <c r="BU32" s="102"/>
      <c r="BW32" s="780"/>
      <c r="CA32" s="781"/>
      <c r="CB32" s="2258"/>
      <c r="CC32" s="782"/>
      <c r="CD32" s="782"/>
      <c r="CE32" s="634"/>
      <c r="CF32" s="840"/>
      <c r="CG32" s="634"/>
      <c r="CH32" s="840"/>
      <c r="CI32" s="634"/>
      <c r="CK32" s="634"/>
      <c r="CM32" s="634"/>
      <c r="CN32" s="102"/>
      <c r="CO32" s="784"/>
      <c r="CP32" s="784"/>
      <c r="CQ32" s="634"/>
      <c r="CR32" s="102"/>
      <c r="CS32" s="784"/>
      <c r="CT32" s="784"/>
      <c r="CU32" s="784"/>
      <c r="CV32" s="784"/>
      <c r="CW32" s="634"/>
      <c r="CX32" s="784"/>
      <c r="CY32" s="102"/>
      <c r="CZ32" s="102"/>
      <c r="DA32" s="102"/>
      <c r="DB32" s="102"/>
      <c r="DC32" s="102"/>
      <c r="DD32" s="102"/>
      <c r="DE32" s="634"/>
      <c r="DF32" s="102"/>
      <c r="DG32" s="634"/>
      <c r="DH32" s="296"/>
      <c r="DI32" s="802"/>
      <c r="DJ32" s="785"/>
      <c r="DK32" s="771"/>
      <c r="DL32" s="772"/>
      <c r="DM32" s="787"/>
      <c r="DN32" s="787"/>
      <c r="DO32" s="787"/>
      <c r="DP32" s="787"/>
      <c r="DQ32" s="787"/>
      <c r="DR32" s="787"/>
      <c r="DS32" s="787"/>
      <c r="DT32" s="787"/>
      <c r="DU32" s="787"/>
      <c r="DV32" s="787"/>
      <c r="DW32" s="802"/>
      <c r="DX32" s="788"/>
      <c r="DY32" s="634"/>
      <c r="DZ32" s="2288"/>
      <c r="EA32" s="2231"/>
      <c r="EB32" s="187"/>
      <c r="EC32" s="2232"/>
      <c r="ED32" s="187"/>
      <c r="EE32" s="187"/>
      <c r="EF32" s="2232"/>
      <c r="EG32" s="245"/>
      <c r="EH32" s="2232"/>
      <c r="EI32" s="187"/>
      <c r="EJ32" s="2232"/>
      <c r="EK32" s="187"/>
      <c r="EL32" s="2232"/>
      <c r="EM32" s="195"/>
      <c r="EN32" s="2232"/>
      <c r="EO32" s="195"/>
      <c r="EP32" s="2232"/>
      <c r="EQ32" s="187"/>
      <c r="ER32" s="2232"/>
      <c r="ES32" s="187"/>
      <c r="ET32" s="2232"/>
      <c r="EU32" s="187">
        <f t="shared" si="1"/>
        <v>0</v>
      </c>
      <c r="EV32" s="2232"/>
      <c r="EW32" s="187"/>
      <c r="EX32" s="2232"/>
      <c r="EY32" s="195"/>
      <c r="EZ32" s="2232"/>
      <c r="FA32" s="195"/>
      <c r="FB32" s="2232"/>
      <c r="FC32" s="195"/>
      <c r="FD32" s="2232"/>
      <c r="FE32" s="195"/>
      <c r="FF32" s="2232"/>
      <c r="FG32" s="195"/>
      <c r="FH32" s="2232"/>
      <c r="FI32" s="195"/>
      <c r="FJ32" s="2232"/>
      <c r="FK32" s="195"/>
      <c r="FL32" s="2232"/>
      <c r="FM32" s="187"/>
      <c r="FN32" s="2232"/>
      <c r="FO32" s="187"/>
      <c r="FP32" s="2232"/>
      <c r="FQ32" s="187"/>
      <c r="FR32" s="195"/>
      <c r="FS32" s="195"/>
      <c r="FT32" s="789"/>
      <c r="FU32" s="789"/>
      <c r="FV32" s="789"/>
      <c r="FW32" s="789"/>
      <c r="FX32" s="789"/>
      <c r="FY32" s="789"/>
      <c r="FZ32" s="789"/>
      <c r="GA32" s="789"/>
      <c r="GB32" s="2286"/>
      <c r="GC32" s="776"/>
    </row>
    <row r="33" spans="1:204" s="127" customFormat="1" ht="15" customHeight="1">
      <c r="A33" s="2588"/>
      <c r="B33" s="2588">
        <v>10</v>
      </c>
      <c r="C33" s="115" t="s">
        <v>703</v>
      </c>
      <c r="D33" s="115">
        <v>3186</v>
      </c>
      <c r="E33" s="115">
        <v>47</v>
      </c>
      <c r="F33" s="763">
        <v>2031860047</v>
      </c>
      <c r="G33" s="115">
        <v>2500</v>
      </c>
      <c r="H33" s="118" t="s">
        <v>704</v>
      </c>
      <c r="I33" s="119"/>
      <c r="J33" s="115">
        <v>0.9</v>
      </c>
      <c r="K33" s="115">
        <v>0</v>
      </c>
      <c r="L33" s="115">
        <v>2</v>
      </c>
      <c r="M33" s="115">
        <v>6.5</v>
      </c>
      <c r="N33" s="117">
        <v>2250</v>
      </c>
      <c r="O33" s="117">
        <v>0</v>
      </c>
      <c r="P33" s="117">
        <v>0</v>
      </c>
      <c r="Q33" s="117">
        <v>2250</v>
      </c>
      <c r="R33" s="120">
        <v>0</v>
      </c>
      <c r="S33" s="764" t="s">
        <v>847</v>
      </c>
      <c r="T33" s="2600">
        <f>SUM(U33:U36)</f>
        <v>0</v>
      </c>
      <c r="U33" s="122">
        <v>0</v>
      </c>
      <c r="V33" s="2600">
        <f>SUM(W33:W36)</f>
        <v>14138</v>
      </c>
      <c r="W33" s="122">
        <f>N33</f>
        <v>2250</v>
      </c>
      <c r="X33" s="122"/>
      <c r="Y33" s="122">
        <f>W33-AA33</f>
        <v>2250</v>
      </c>
      <c r="Z33" s="2600">
        <f>SUM(AA33:AA36)</f>
        <v>0</v>
      </c>
      <c r="AA33" s="122">
        <v>0</v>
      </c>
      <c r="AB33" s="2600">
        <f>SUM(AC33:AC36)</f>
        <v>1438</v>
      </c>
      <c r="AC33" s="122">
        <v>0</v>
      </c>
      <c r="AD33" s="2600">
        <f>SUM(AE33:AE36)</f>
        <v>0</v>
      </c>
      <c r="AE33" s="122">
        <f>AG33+AF33</f>
        <v>0</v>
      </c>
      <c r="AF33" s="122">
        <v>0</v>
      </c>
      <c r="AG33" s="122">
        <v>0</v>
      </c>
      <c r="AH33" s="122">
        <v>0</v>
      </c>
      <c r="AI33" s="2600">
        <f>SUM(AJ33:AJ36)</f>
        <v>0</v>
      </c>
      <c r="AJ33" s="122">
        <v>0</v>
      </c>
      <c r="AK33" s="2600">
        <f>SUM(AL33:AL36)</f>
        <v>2862</v>
      </c>
      <c r="AL33" s="122">
        <f>W33-(AA33+AC33+AE33+AH33+AJ33+AM33+AW33+AO33+AQ33+AS33+AU33)</f>
        <v>0</v>
      </c>
      <c r="AM33" s="765"/>
      <c r="AN33" s="2600">
        <f>SUM(AO33:AO36)</f>
        <v>0</v>
      </c>
      <c r="AO33" s="122">
        <v>0</v>
      </c>
      <c r="AP33" s="2600">
        <f>SUM(AQ33:AQ36)</f>
        <v>400</v>
      </c>
      <c r="AQ33" s="122">
        <v>0</v>
      </c>
      <c r="AR33" s="2600">
        <f>SUM(AS33:AS36)</f>
        <v>3438</v>
      </c>
      <c r="AS33" s="122">
        <v>2250</v>
      </c>
      <c r="AT33" s="2600">
        <f>SUM(AU33:AU36)</f>
        <v>0</v>
      </c>
      <c r="AU33" s="122">
        <v>0</v>
      </c>
      <c r="AV33" s="2600">
        <f>SUM(AW33:AW36)</f>
        <v>6000</v>
      </c>
      <c r="AW33" s="122">
        <f>AX33+AY33+AZ33+BA33+BB33</f>
        <v>0</v>
      </c>
      <c r="AX33" s="122">
        <v>0</v>
      </c>
      <c r="AY33" s="122">
        <v>0</v>
      </c>
      <c r="AZ33" s="122">
        <v>0</v>
      </c>
      <c r="BA33" s="122">
        <v>0</v>
      </c>
      <c r="BB33" s="122">
        <v>0</v>
      </c>
      <c r="BC33" s="122">
        <v>0</v>
      </c>
      <c r="BD33" s="2600">
        <f>SUM(BE33:BE36)</f>
        <v>14138</v>
      </c>
      <c r="BE33" s="122">
        <f>U33+W33</f>
        <v>2250</v>
      </c>
      <c r="BF33" s="2600">
        <f>SUM(BG33:BG36)</f>
        <v>0</v>
      </c>
      <c r="BG33" s="122">
        <f>U33/1000</f>
        <v>0</v>
      </c>
      <c r="BH33" s="2600">
        <f>SUM(BI33:BI36)</f>
        <v>0</v>
      </c>
      <c r="BI33" s="122">
        <v>0</v>
      </c>
      <c r="BJ33" s="122">
        <f t="shared" si="13"/>
        <v>0</v>
      </c>
      <c r="BK33" s="129">
        <f>ROUND((AL33+AC33+AA33)/1000*3,0)+ROUND((AE33+AU33)/1000,0)+ROUND((ROUND(AH33/400,0))/2.67,0)+ROUND(AJ33/250,0)+ROUND(AO33/15000,0)+ROUND((AX33+AY33+AZ33+BB33)/1000*3,0)+ROUND(BG33/25,0)+ROUND(BU33/50,0)</f>
        <v>0</v>
      </c>
      <c r="BL33" s="122">
        <v>0</v>
      </c>
      <c r="BM33" s="122">
        <v>0</v>
      </c>
      <c r="BN33" s="122">
        <v>0</v>
      </c>
      <c r="BO33" s="122">
        <f>AC33/1000</f>
        <v>0</v>
      </c>
      <c r="BP33" s="122">
        <f>AH33/1000</f>
        <v>0</v>
      </c>
      <c r="BQ33" s="122">
        <v>0</v>
      </c>
      <c r="BR33" s="122">
        <v>0</v>
      </c>
      <c r="BS33" s="122">
        <v>0</v>
      </c>
      <c r="BT33" s="2600">
        <f>SUM(BU33:BU36)</f>
        <v>6.666666666666667</v>
      </c>
      <c r="BU33" s="122">
        <f>SUM(BL33:BS33)</f>
        <v>0</v>
      </c>
      <c r="BV33" s="127">
        <v>15</v>
      </c>
      <c r="BW33" s="766" t="s">
        <v>705</v>
      </c>
      <c r="BX33" s="127">
        <v>4.5999999999999996</v>
      </c>
      <c r="BY33" s="127">
        <v>2</v>
      </c>
      <c r="BZ33" s="127">
        <v>4.5999999999999996</v>
      </c>
      <c r="CA33" s="767" t="s">
        <v>706</v>
      </c>
      <c r="CB33" s="2745" t="s">
        <v>845</v>
      </c>
      <c r="CC33" s="768">
        <f>(BX33*G33)-CF33</f>
        <v>9375</v>
      </c>
      <c r="CD33" s="2748">
        <f>SUM(CC33:CC36)</f>
        <v>64875</v>
      </c>
      <c r="CE33" s="2600">
        <f>SUM(CF33:CF36)</f>
        <v>14245</v>
      </c>
      <c r="CF33" s="838">
        <f>1*(G33)-(0.15*1*(G33))</f>
        <v>2125</v>
      </c>
      <c r="CG33" s="2600">
        <f>SUM(CH33:CH36)</f>
        <v>14245</v>
      </c>
      <c r="CH33" s="838">
        <f>CF33-CJ33</f>
        <v>2125</v>
      </c>
      <c r="CI33" s="2600">
        <f>SUM(CJ33:CJ36)</f>
        <v>0</v>
      </c>
      <c r="CJ33" s="127">
        <v>0</v>
      </c>
      <c r="CK33" s="2600">
        <f>SUM(CL33:CL36)</f>
        <v>1438</v>
      </c>
      <c r="CL33" s="127">
        <v>0</v>
      </c>
      <c r="CM33" s="2600">
        <f>SUM(CN33:CN36)</f>
        <v>6807</v>
      </c>
      <c r="CN33" s="122">
        <f>CF33-(CJ33+CL33+CO33+CP33+CR33+CU33+CV33+CX33)</f>
        <v>2125</v>
      </c>
      <c r="CO33" s="770">
        <v>0</v>
      </c>
      <c r="CP33" s="770">
        <v>0</v>
      </c>
      <c r="CQ33" s="2600">
        <f>SUM(CR33:CR36)</f>
        <v>0</v>
      </c>
      <c r="CR33" s="122">
        <v>0</v>
      </c>
      <c r="CS33" s="770">
        <v>0</v>
      </c>
      <c r="CT33" s="770">
        <v>0</v>
      </c>
      <c r="CU33" s="770">
        <v>0</v>
      </c>
      <c r="CV33" s="770">
        <v>0</v>
      </c>
      <c r="CW33" s="2600">
        <f>SUM(CX33:CX36)</f>
        <v>6000</v>
      </c>
      <c r="CX33" s="122">
        <f>SUM(CY33:DC33)</f>
        <v>0</v>
      </c>
      <c r="CY33" s="122">
        <f>AX33</f>
        <v>0</v>
      </c>
      <c r="CZ33" s="122">
        <f>AY33</f>
        <v>0</v>
      </c>
      <c r="DA33" s="122">
        <f>AZ33</f>
        <v>0</v>
      </c>
      <c r="DB33" s="122">
        <f>BA33</f>
        <v>0</v>
      </c>
      <c r="DC33" s="122">
        <f>BB33</f>
        <v>0</v>
      </c>
      <c r="DD33" s="122"/>
      <c r="DE33" s="2600">
        <f>SUM(DF33:DF36)</f>
        <v>79120</v>
      </c>
      <c r="DF33" s="122">
        <f>CC33+CF33</f>
        <v>11500</v>
      </c>
      <c r="DG33" s="2600">
        <f>SUM(DH33:DH36)</f>
        <v>64.875</v>
      </c>
      <c r="DH33" s="293">
        <f>CC33/'[1]Projected Development Sites'!DF$134</f>
        <v>9.375</v>
      </c>
      <c r="DI33" s="2722">
        <f>SUM(DJ33:DJ36)</f>
        <v>64.875</v>
      </c>
      <c r="DJ33" s="771">
        <f>'[1]Projected Development Sites'!DK$136*DH33</f>
        <v>9.375</v>
      </c>
      <c r="DK33" s="771">
        <f>3.06*DH33</f>
        <v>28.6875</v>
      </c>
      <c r="DL33" s="772">
        <f>ROUND((CN33+CL33+CJ33)/1000*3,0)+ROUND((ROUND(CP33/400,0))/2.67,0)+ROUND(CV33/1000,0)+ROUND((CY33+CZ33+DA33+DC33)/1000*3,0)+ROUND(DH33/25,0)+ROUND(DX33/50,0)</f>
        <v>6</v>
      </c>
      <c r="DM33" s="773">
        <v>0</v>
      </c>
      <c r="DN33" s="773"/>
      <c r="DO33" s="773">
        <v>0</v>
      </c>
      <c r="DP33" s="773">
        <f>0.25*DJ33</f>
        <v>2.34375</v>
      </c>
      <c r="DQ33" s="773">
        <f>SUM(CO33,CJ33,CN33,CR33,CU33)/1000</f>
        <v>2.125</v>
      </c>
      <c r="DR33" s="773">
        <f>CL33/1000</f>
        <v>0</v>
      </c>
      <c r="DS33" s="773">
        <f>((CP33/400)/12)</f>
        <v>0</v>
      </c>
      <c r="DT33" s="773">
        <v>0</v>
      </c>
      <c r="DU33" s="773">
        <v>0</v>
      </c>
      <c r="DV33" s="773">
        <f>CX33/1000</f>
        <v>0</v>
      </c>
      <c r="DW33" s="2722">
        <f>SUM(DX33:DX36)</f>
        <v>14.245000000000001</v>
      </c>
      <c r="DX33" s="774">
        <f>SUM(DM33,DO33,DQ33:DV33)</f>
        <v>2.125</v>
      </c>
      <c r="DY33" s="2725">
        <v>115</v>
      </c>
      <c r="DZ33" s="2728">
        <f>CD33-T33</f>
        <v>64875</v>
      </c>
      <c r="EA33" s="2602">
        <f>CE33-V33</f>
        <v>107</v>
      </c>
      <c r="EB33" s="187">
        <f>CF33-W33</f>
        <v>-125</v>
      </c>
      <c r="EC33" s="2602">
        <f>SUM(ED33:ED36)</f>
        <v>3945</v>
      </c>
      <c r="ED33" s="187">
        <v>2125</v>
      </c>
      <c r="EE33" s="187">
        <f>(SUM(CJ33:CO33))-(SUM(AA33:AE33,AL33))</f>
        <v>8932</v>
      </c>
      <c r="EF33" s="2602">
        <f>SUM(EG33:EG36)</f>
        <v>3945</v>
      </c>
      <c r="EG33" s="187">
        <v>2125</v>
      </c>
      <c r="EH33" s="2602">
        <f>SUM(EI33:EI36)</f>
        <v>0</v>
      </c>
      <c r="EI33" s="187">
        <f>CL33-AC33</f>
        <v>0</v>
      </c>
      <c r="EJ33" s="2602">
        <f>SUM(EK33:EK36)</f>
        <v>0</v>
      </c>
      <c r="EK33" s="187">
        <f>CJ33-AA33</f>
        <v>0</v>
      </c>
      <c r="EL33" s="2602">
        <f>SUM(EM33:EM36)</f>
        <v>0</v>
      </c>
      <c r="EM33" s="187">
        <f>CO33-AE33</f>
        <v>0</v>
      </c>
      <c r="EN33" s="2602">
        <f>SUM(EO33:EO36)</f>
        <v>0</v>
      </c>
      <c r="EO33" s="187">
        <f>CP33-AH33</f>
        <v>0</v>
      </c>
      <c r="EP33" s="2602">
        <f>SUM(EQ33:EQ36)</f>
        <v>0</v>
      </c>
      <c r="EQ33" s="187">
        <f>CR33-AJ33</f>
        <v>0</v>
      </c>
      <c r="ER33" s="2602">
        <f>SUM(ES33:ES36)</f>
        <v>0</v>
      </c>
      <c r="ES33" s="187">
        <f>CS33-AO33</f>
        <v>0</v>
      </c>
      <c r="ET33" s="2602">
        <f>SUM(EU33:EU36)</f>
        <v>-400</v>
      </c>
      <c r="EU33" s="187">
        <f t="shared" si="1"/>
        <v>0</v>
      </c>
      <c r="EV33" s="2602">
        <f>SUM(EW33:EW36)</f>
        <v>-3438</v>
      </c>
      <c r="EW33" s="187">
        <f>CU33-AS33</f>
        <v>-2250</v>
      </c>
      <c r="EX33" s="2602">
        <f>SUM(EY33:EY36)</f>
        <v>0</v>
      </c>
      <c r="EY33" s="187">
        <f>CV33-AU33</f>
        <v>0</v>
      </c>
      <c r="EZ33" s="2602">
        <f>SUM(FA33:FA36)</f>
        <v>0</v>
      </c>
      <c r="FA33" s="187">
        <f>CY33-AX33</f>
        <v>0</v>
      </c>
      <c r="FB33" s="2602">
        <f>SUM(FC33:FC36)</f>
        <v>0</v>
      </c>
      <c r="FC33" s="187">
        <f>CZ33-AY33</f>
        <v>0</v>
      </c>
      <c r="FD33" s="2602">
        <f>SUM(FE33:FE36)</f>
        <v>0</v>
      </c>
      <c r="FE33" s="187">
        <f>DA33-AZ33</f>
        <v>0</v>
      </c>
      <c r="FF33" s="2602">
        <f>SUM(FG33:FG36)</f>
        <v>0</v>
      </c>
      <c r="FG33" s="187">
        <f>DB33-BA33</f>
        <v>0</v>
      </c>
      <c r="FH33" s="2602">
        <f>SUM(FI33:FI36)</f>
        <v>0</v>
      </c>
      <c r="FI33" s="187">
        <f>DC33-BB33</f>
        <v>0</v>
      </c>
      <c r="FJ33" s="2602">
        <f>SUM(FK33:FK36)</f>
        <v>0</v>
      </c>
      <c r="FK33" s="187">
        <f>CX33-AW33</f>
        <v>0</v>
      </c>
      <c r="FL33" s="2602">
        <f>SUM(FM33:FM36)</f>
        <v>64982</v>
      </c>
      <c r="FM33" s="187">
        <f>DF33-BE33</f>
        <v>9250</v>
      </c>
      <c r="FN33" s="2602">
        <f>SUM(FO33:FO36)</f>
        <v>64.875</v>
      </c>
      <c r="FO33" s="187">
        <f>DH33-BG33</f>
        <v>9.375</v>
      </c>
      <c r="FP33" s="2602">
        <f>SUM(FQ33:FQ36)</f>
        <v>64.875</v>
      </c>
      <c r="FQ33" s="187">
        <f t="shared" ref="FQ33:FT36" si="19">DJ33-BI33</f>
        <v>9.375</v>
      </c>
      <c r="FR33" s="187">
        <f t="shared" si="19"/>
        <v>28.6875</v>
      </c>
      <c r="FS33" s="187">
        <f t="shared" si="19"/>
        <v>6</v>
      </c>
      <c r="FT33" s="775">
        <f t="shared" si="19"/>
        <v>0</v>
      </c>
      <c r="FU33" s="775">
        <f>DR33-BO33</f>
        <v>0</v>
      </c>
      <c r="FV33" s="775">
        <f>DO33-BM33</f>
        <v>0</v>
      </c>
      <c r="FW33" s="775">
        <f>DQ33-BN33</f>
        <v>2.125</v>
      </c>
      <c r="FX33" s="775">
        <f t="shared" ref="FX33:GA36" si="20">DS33-BP33</f>
        <v>0</v>
      </c>
      <c r="FY33" s="775">
        <f t="shared" si="20"/>
        <v>0</v>
      </c>
      <c r="FZ33" s="775">
        <f t="shared" si="20"/>
        <v>0</v>
      </c>
      <c r="GA33" s="775">
        <f t="shared" si="20"/>
        <v>0</v>
      </c>
      <c r="GB33" s="2734">
        <f>SUM(GC33:GC36)</f>
        <v>7.578333333333334</v>
      </c>
      <c r="GC33" s="776">
        <f t="shared" si="4"/>
        <v>2.125</v>
      </c>
      <c r="GD33" s="139"/>
      <c r="GE33" s="139"/>
      <c r="GF33" s="139"/>
      <c r="GG33" s="139"/>
      <c r="GH33" s="139"/>
      <c r="GI33" s="139"/>
      <c r="GJ33" s="139"/>
      <c r="GK33" s="139"/>
      <c r="GL33" s="139"/>
      <c r="GM33" s="139"/>
      <c r="GN33" s="139"/>
      <c r="GO33" s="139"/>
      <c r="GP33" s="139"/>
      <c r="GQ33" s="139"/>
      <c r="GR33" s="139"/>
      <c r="GS33" s="139"/>
      <c r="GT33" s="139"/>
      <c r="GU33" s="139"/>
      <c r="GV33" s="139"/>
    </row>
    <row r="34" spans="1:204" s="139" customFormat="1" ht="15" customHeight="1">
      <c r="A34" s="2660"/>
      <c r="B34" s="2660"/>
      <c r="C34" s="132" t="s">
        <v>848</v>
      </c>
      <c r="D34" s="132">
        <v>3186</v>
      </c>
      <c r="E34" s="132">
        <v>41</v>
      </c>
      <c r="F34" s="132">
        <v>2031860041</v>
      </c>
      <c r="G34" s="132">
        <v>4700</v>
      </c>
      <c r="H34" s="135" t="s">
        <v>704</v>
      </c>
      <c r="I34" s="136"/>
      <c r="J34" s="132">
        <v>1.22</v>
      </c>
      <c r="K34" s="132">
        <v>0</v>
      </c>
      <c r="L34" s="132">
        <v>2</v>
      </c>
      <c r="M34" s="132">
        <v>6.5</v>
      </c>
      <c r="N34" s="134">
        <v>5738</v>
      </c>
      <c r="O34" s="134">
        <v>0</v>
      </c>
      <c r="P34" s="134">
        <v>0</v>
      </c>
      <c r="Q34" s="134">
        <v>5738</v>
      </c>
      <c r="R34" s="137">
        <v>0</v>
      </c>
      <c r="S34" s="778" t="s">
        <v>849</v>
      </c>
      <c r="T34" s="2643"/>
      <c r="U34" s="102">
        <v>0</v>
      </c>
      <c r="V34" s="2643"/>
      <c r="W34" s="102">
        <f>N34</f>
        <v>5738</v>
      </c>
      <c r="X34" s="102"/>
      <c r="Y34" s="102">
        <f>W34-AA34</f>
        <v>5738</v>
      </c>
      <c r="Z34" s="2643"/>
      <c r="AA34" s="102">
        <v>0</v>
      </c>
      <c r="AB34" s="2643"/>
      <c r="AC34" s="102">
        <v>1438</v>
      </c>
      <c r="AD34" s="2643"/>
      <c r="AE34" s="102">
        <f>AG34+AF34</f>
        <v>0</v>
      </c>
      <c r="AF34" s="102">
        <v>0</v>
      </c>
      <c r="AG34" s="102">
        <v>0</v>
      </c>
      <c r="AH34" s="102">
        <v>0</v>
      </c>
      <c r="AI34" s="2643"/>
      <c r="AJ34" s="102">
        <v>0</v>
      </c>
      <c r="AK34" s="2643"/>
      <c r="AL34" s="102">
        <f>W34-(AA34+AC34+AE34+AH34+AJ34+AM34+AW34+AO34+AQ34+AS34+AU34)</f>
        <v>2862</v>
      </c>
      <c r="AM34" s="779"/>
      <c r="AN34" s="2643"/>
      <c r="AO34" s="102">
        <v>0</v>
      </c>
      <c r="AP34" s="2643"/>
      <c r="AQ34" s="102">
        <v>400</v>
      </c>
      <c r="AR34" s="2643"/>
      <c r="AS34" s="102">
        <v>1038</v>
      </c>
      <c r="AT34" s="2643"/>
      <c r="AU34" s="102">
        <v>0</v>
      </c>
      <c r="AV34" s="2643"/>
      <c r="AW34" s="102">
        <f>AX34+AY34+AZ34+BA34+BB34</f>
        <v>0</v>
      </c>
      <c r="AX34" s="102">
        <v>0</v>
      </c>
      <c r="AY34" s="102">
        <v>0</v>
      </c>
      <c r="AZ34" s="102">
        <v>0</v>
      </c>
      <c r="BA34" s="102">
        <v>0</v>
      </c>
      <c r="BB34" s="102">
        <v>0</v>
      </c>
      <c r="BC34" s="102">
        <v>0</v>
      </c>
      <c r="BD34" s="2643"/>
      <c r="BE34" s="102">
        <f>U34+W34</f>
        <v>5738</v>
      </c>
      <c r="BF34" s="2643"/>
      <c r="BG34" s="102">
        <v>0</v>
      </c>
      <c r="BH34" s="2643"/>
      <c r="BI34" s="102">
        <v>0</v>
      </c>
      <c r="BJ34" s="102">
        <f t="shared" si="13"/>
        <v>0</v>
      </c>
      <c r="BK34" s="186">
        <f>ROUND((AL34+AC34+AA34)/1000*3,0)+ROUND((AE34+AU34)/1000,0)+ROUND((ROUND(AH34/400,0))/2.67,0)+ROUND(AJ34/250,0)+ROUND(AO34/15000,0)+ROUND((AX34+AY34+AZ34+BB34)/1000*3,0)+ROUND(BG34/25,0)+ROUND(BU34/50,0)</f>
        <v>13</v>
      </c>
      <c r="BL34" s="102">
        <v>0</v>
      </c>
      <c r="BM34" s="102">
        <v>0</v>
      </c>
      <c r="BN34" s="102">
        <v>0</v>
      </c>
      <c r="BO34" s="102">
        <v>0</v>
      </c>
      <c r="BP34" s="102">
        <v>0</v>
      </c>
      <c r="BQ34" s="102">
        <v>0</v>
      </c>
      <c r="BR34" s="102">
        <v>0</v>
      </c>
      <c r="BS34" s="102">
        <v>0</v>
      </c>
      <c r="BT34" s="2643"/>
      <c r="BU34" s="102">
        <v>0</v>
      </c>
      <c r="BV34" s="139">
        <v>15</v>
      </c>
      <c r="BW34" s="780" t="s">
        <v>705</v>
      </c>
      <c r="BX34" s="139">
        <v>4.5999999999999996</v>
      </c>
      <c r="BY34" s="139">
        <v>2</v>
      </c>
      <c r="BZ34" s="139">
        <v>4.5999999999999996</v>
      </c>
      <c r="CA34" s="781" t="s">
        <v>706</v>
      </c>
      <c r="CB34" s="2746"/>
      <c r="CC34" s="782">
        <f>(BX34*G34)-CF34</f>
        <v>17625</v>
      </c>
      <c r="CD34" s="2750"/>
      <c r="CE34" s="2643"/>
      <c r="CF34" s="840">
        <f>1*(G34)-(0.15*1*(G34))</f>
        <v>3995</v>
      </c>
      <c r="CG34" s="2643"/>
      <c r="CH34" s="840">
        <f>CF34-CJ34</f>
        <v>3995</v>
      </c>
      <c r="CI34" s="2643"/>
      <c r="CJ34" s="139">
        <v>0</v>
      </c>
      <c r="CK34" s="2643"/>
      <c r="CL34" s="782">
        <f>AC34</f>
        <v>1438</v>
      </c>
      <c r="CM34" s="2643"/>
      <c r="CN34" s="102">
        <f>CF34-(CJ34+CL34+CO34+CP34+CR34+CU34+CV34+CX34)</f>
        <v>2557</v>
      </c>
      <c r="CO34" s="784">
        <v>0</v>
      </c>
      <c r="CP34" s="784">
        <v>0</v>
      </c>
      <c r="CQ34" s="2643"/>
      <c r="CR34" s="102">
        <v>0</v>
      </c>
      <c r="CS34" s="784"/>
      <c r="CT34" s="784"/>
      <c r="CU34" s="784"/>
      <c r="CV34" s="784"/>
      <c r="CW34" s="2643"/>
      <c r="CX34" s="784"/>
      <c r="CY34" s="102">
        <f>AX34</f>
        <v>0</v>
      </c>
      <c r="CZ34" s="102"/>
      <c r="DA34" s="102">
        <f t="shared" ref="DA34:DC36" si="21">AZ34</f>
        <v>0</v>
      </c>
      <c r="DB34" s="102">
        <f t="shared" si="21"/>
        <v>0</v>
      </c>
      <c r="DC34" s="102">
        <f t="shared" si="21"/>
        <v>0</v>
      </c>
      <c r="DD34" s="102"/>
      <c r="DE34" s="2643"/>
      <c r="DF34" s="102">
        <f>CC34+CF34</f>
        <v>21620</v>
      </c>
      <c r="DG34" s="2643"/>
      <c r="DH34" s="296">
        <f>CC34/'[1]Projected Development Sites'!DF$134</f>
        <v>17.625</v>
      </c>
      <c r="DI34" s="2723"/>
      <c r="DJ34" s="771">
        <f>'[1]Projected Development Sites'!DK$136*DH34</f>
        <v>17.625</v>
      </c>
      <c r="DK34" s="785">
        <f>3.06*DH34</f>
        <v>53.932499999999997</v>
      </c>
      <c r="DL34" s="786">
        <f>ROUND((CN34+CL34+CJ34)/1000*3,0)+ROUND((ROUND(CP34/400,0))/2.67,0)+ROUND(CV34/1000,0)+ROUND((CY34+CZ34+DA34+DC34)/1000*3,0)+ROUND(DH34/25,0)+ROUND(DX34/50,0)</f>
        <v>13</v>
      </c>
      <c r="DM34" s="787">
        <v>0</v>
      </c>
      <c r="DN34" s="787"/>
      <c r="DO34" s="787">
        <v>0</v>
      </c>
      <c r="DP34" s="787">
        <f>0.25*DJ34</f>
        <v>4.40625</v>
      </c>
      <c r="DQ34" s="787">
        <f>SUM(CO34,CJ34,CN34,CR34,CU34)/1000</f>
        <v>2.5569999999999999</v>
      </c>
      <c r="DR34" s="787">
        <f>CL34/1000</f>
        <v>1.4379999999999999</v>
      </c>
      <c r="DS34" s="787">
        <f>((CP34/400)/12)</f>
        <v>0</v>
      </c>
      <c r="DT34" s="787">
        <v>0</v>
      </c>
      <c r="DU34" s="787">
        <v>0</v>
      </c>
      <c r="DV34" s="787">
        <f>CX34/1000</f>
        <v>0</v>
      </c>
      <c r="DW34" s="2723"/>
      <c r="DX34" s="788">
        <f>SUM(DM34,DO34,DQ34:DV34)</f>
        <v>3.9950000000000001</v>
      </c>
      <c r="DY34" s="2726"/>
      <c r="DZ34" s="2729"/>
      <c r="EA34" s="2665"/>
      <c r="EB34" s="195">
        <f>CF34-W34</f>
        <v>-1743</v>
      </c>
      <c r="EC34" s="2665"/>
      <c r="ED34" s="195">
        <v>-305</v>
      </c>
      <c r="EE34" s="195">
        <f>(SUM(CJ34:CO34))-(SUM(AA34:AE34,AL34))</f>
        <v>-305</v>
      </c>
      <c r="EF34" s="2665"/>
      <c r="EG34" s="195">
        <v>-305</v>
      </c>
      <c r="EH34" s="2665"/>
      <c r="EI34" s="195">
        <f>CL34-AC34</f>
        <v>0</v>
      </c>
      <c r="EJ34" s="2665"/>
      <c r="EK34" s="195">
        <f>CJ34-AA34</f>
        <v>0</v>
      </c>
      <c r="EL34" s="2665"/>
      <c r="EM34" s="195">
        <f>CO34-AE34</f>
        <v>0</v>
      </c>
      <c r="EN34" s="2665"/>
      <c r="EO34" s="195">
        <f>CP34-AH34</f>
        <v>0</v>
      </c>
      <c r="EP34" s="2665"/>
      <c r="EQ34" s="195">
        <f>CR34-AJ34</f>
        <v>0</v>
      </c>
      <c r="ER34" s="2665"/>
      <c r="ES34" s="195">
        <f>CS34-AO34</f>
        <v>0</v>
      </c>
      <c r="ET34" s="2665"/>
      <c r="EU34" s="195">
        <f t="shared" si="1"/>
        <v>-400</v>
      </c>
      <c r="EV34" s="2665"/>
      <c r="EW34" s="195">
        <f>CU34-AS34</f>
        <v>-1038</v>
      </c>
      <c r="EX34" s="2665"/>
      <c r="EY34" s="195">
        <f>CV34-AU34</f>
        <v>0</v>
      </c>
      <c r="EZ34" s="2665"/>
      <c r="FA34" s="195">
        <f>CY34-AX34</f>
        <v>0</v>
      </c>
      <c r="FB34" s="2665"/>
      <c r="FC34" s="195">
        <f>CZ34-AY34</f>
        <v>0</v>
      </c>
      <c r="FD34" s="2665"/>
      <c r="FE34" s="195">
        <f>DA34-AZ34</f>
        <v>0</v>
      </c>
      <c r="FF34" s="2665"/>
      <c r="FG34" s="195">
        <f>DB34-BA34</f>
        <v>0</v>
      </c>
      <c r="FH34" s="2665"/>
      <c r="FI34" s="195">
        <f>DC34-BB34</f>
        <v>0</v>
      </c>
      <c r="FJ34" s="2665"/>
      <c r="FK34" s="195">
        <f>CX34-AW34</f>
        <v>0</v>
      </c>
      <c r="FL34" s="2665"/>
      <c r="FM34" s="195">
        <f>DF34-BE34</f>
        <v>15882</v>
      </c>
      <c r="FN34" s="2665"/>
      <c r="FO34" s="195">
        <f>DH34-BG34</f>
        <v>17.625</v>
      </c>
      <c r="FP34" s="2665"/>
      <c r="FQ34" s="195">
        <f t="shared" si="19"/>
        <v>17.625</v>
      </c>
      <c r="FR34" s="195">
        <f t="shared" si="19"/>
        <v>53.932499999999997</v>
      </c>
      <c r="FS34" s="195">
        <f t="shared" si="19"/>
        <v>0</v>
      </c>
      <c r="FT34" s="789">
        <f t="shared" si="19"/>
        <v>0</v>
      </c>
      <c r="FU34" s="789">
        <f>DR34-BO34</f>
        <v>1.4379999999999999</v>
      </c>
      <c r="FV34" s="789">
        <f>DO34-BM34</f>
        <v>0</v>
      </c>
      <c r="FW34" s="789">
        <f>DQ34-BN34</f>
        <v>2.5569999999999999</v>
      </c>
      <c r="FX34" s="789">
        <f t="shared" si="20"/>
        <v>0</v>
      </c>
      <c r="FY34" s="789">
        <f t="shared" si="20"/>
        <v>0</v>
      </c>
      <c r="FZ34" s="789">
        <f t="shared" si="20"/>
        <v>0</v>
      </c>
      <c r="GA34" s="789">
        <f t="shared" si="20"/>
        <v>0</v>
      </c>
      <c r="GB34" s="2735"/>
      <c r="GC34" s="790">
        <f t="shared" si="4"/>
        <v>3.9950000000000001</v>
      </c>
    </row>
    <row r="35" spans="1:204" s="139" customFormat="1" ht="15" customHeight="1">
      <c r="A35" s="2660"/>
      <c r="B35" s="2660"/>
      <c r="C35" s="132" t="s">
        <v>850</v>
      </c>
      <c r="D35" s="132">
        <v>3186</v>
      </c>
      <c r="E35" s="132">
        <v>44</v>
      </c>
      <c r="F35" s="777">
        <v>2031860044</v>
      </c>
      <c r="G35" s="132">
        <v>7500</v>
      </c>
      <c r="H35" s="135" t="s">
        <v>704</v>
      </c>
      <c r="I35" s="136"/>
      <c r="J35" s="132">
        <v>0.8</v>
      </c>
      <c r="K35" s="132">
        <v>0</v>
      </c>
      <c r="L35" s="132">
        <v>2</v>
      </c>
      <c r="M35" s="132">
        <v>6.5</v>
      </c>
      <c r="N35" s="134">
        <v>6000</v>
      </c>
      <c r="O35" s="134">
        <v>0</v>
      </c>
      <c r="P35" s="134">
        <v>0</v>
      </c>
      <c r="Q35" s="134">
        <v>6000</v>
      </c>
      <c r="R35" s="137">
        <v>0</v>
      </c>
      <c r="S35" s="778" t="s">
        <v>652</v>
      </c>
      <c r="T35" s="2643"/>
      <c r="U35" s="102">
        <v>0</v>
      </c>
      <c r="V35" s="2643"/>
      <c r="W35" s="102">
        <f>N35</f>
        <v>6000</v>
      </c>
      <c r="X35" s="102"/>
      <c r="Y35" s="102">
        <f>W35-AA35</f>
        <v>6000</v>
      </c>
      <c r="Z35" s="2643"/>
      <c r="AA35" s="102">
        <v>0</v>
      </c>
      <c r="AB35" s="2643"/>
      <c r="AC35" s="102">
        <v>0</v>
      </c>
      <c r="AD35" s="2643"/>
      <c r="AE35" s="102">
        <f>AG35+AF35</f>
        <v>0</v>
      </c>
      <c r="AF35" s="102">
        <v>0</v>
      </c>
      <c r="AG35" s="102">
        <v>0</v>
      </c>
      <c r="AH35" s="102">
        <v>0</v>
      </c>
      <c r="AI35" s="2643"/>
      <c r="AJ35" s="102">
        <v>0</v>
      </c>
      <c r="AK35" s="2643"/>
      <c r="AL35" s="102">
        <f>W35-(AA35+AC35+AE35+AH35+AJ35+AM35+AW35+AO35+AQ35+AS35+AU35)</f>
        <v>0</v>
      </c>
      <c r="AM35" s="779"/>
      <c r="AN35" s="2643"/>
      <c r="AO35" s="102">
        <v>0</v>
      </c>
      <c r="AP35" s="2643"/>
      <c r="AQ35" s="102">
        <v>0</v>
      </c>
      <c r="AR35" s="2643"/>
      <c r="AS35" s="102">
        <v>0</v>
      </c>
      <c r="AT35" s="2643"/>
      <c r="AU35" s="102">
        <v>0</v>
      </c>
      <c r="AV35" s="2643"/>
      <c r="AW35" s="102">
        <f>AX35+AY35+AZ35+BA35+BB35</f>
        <v>6000</v>
      </c>
      <c r="AX35" s="102">
        <v>0</v>
      </c>
      <c r="AY35" s="102">
        <v>6000</v>
      </c>
      <c r="AZ35" s="102">
        <v>0</v>
      </c>
      <c r="BA35" s="102">
        <v>0</v>
      </c>
      <c r="BB35" s="102">
        <v>0</v>
      </c>
      <c r="BC35" s="102">
        <v>0</v>
      </c>
      <c r="BD35" s="2643"/>
      <c r="BE35" s="102">
        <f>U35+W35</f>
        <v>6000</v>
      </c>
      <c r="BF35" s="2643"/>
      <c r="BG35" s="102">
        <f>U35/1000</f>
        <v>0</v>
      </c>
      <c r="BH35" s="2643"/>
      <c r="BI35" s="102">
        <v>0</v>
      </c>
      <c r="BJ35" s="102">
        <f t="shared" si="13"/>
        <v>0</v>
      </c>
      <c r="BK35" s="186">
        <f>ROUND((AL35+AC35+AA35)/1000*3,0)+ROUND((AE35+AU35)/1000,0)+ROUND((ROUND(AH35/400,0))/2.67,0)+ROUND(AJ35/250,0)+ROUND(AO35/15000,0)+ROUND((AX35+AY35+AZ35+BB35)/1000*3,0)+ROUND(BG35/25,0)+ROUND(BU35/50,0)</f>
        <v>18</v>
      </c>
      <c r="BL35" s="102">
        <v>0</v>
      </c>
      <c r="BM35" s="102">
        <v>0</v>
      </c>
      <c r="BN35" s="102">
        <v>0</v>
      </c>
      <c r="BO35" s="102">
        <f>AC35/1000</f>
        <v>0</v>
      </c>
      <c r="BP35" s="102">
        <f>AH35/1000</f>
        <v>0</v>
      </c>
      <c r="BQ35" s="102">
        <v>0</v>
      </c>
      <c r="BR35" s="102">
        <v>0</v>
      </c>
      <c r="BS35" s="102">
        <v>0</v>
      </c>
      <c r="BT35" s="2643"/>
      <c r="BU35" s="102">
        <f>SUM(BL35:BS35)</f>
        <v>0</v>
      </c>
      <c r="BV35" s="139">
        <v>15</v>
      </c>
      <c r="BW35" s="780" t="s">
        <v>705</v>
      </c>
      <c r="BX35" s="139">
        <v>4.5999999999999996</v>
      </c>
      <c r="BY35" s="139">
        <v>2</v>
      </c>
      <c r="BZ35" s="139">
        <v>4.5999999999999996</v>
      </c>
      <c r="CA35" s="781" t="s">
        <v>706</v>
      </c>
      <c r="CB35" s="2746"/>
      <c r="CC35" s="782">
        <f>(BX35*G35)-CF35</f>
        <v>28500</v>
      </c>
      <c r="CD35" s="2750"/>
      <c r="CE35" s="2643"/>
      <c r="CF35" s="840">
        <f>CX35</f>
        <v>6000</v>
      </c>
      <c r="CG35" s="2643"/>
      <c r="CH35" s="840">
        <f>CF35-CJ35</f>
        <v>6000</v>
      </c>
      <c r="CI35" s="2643"/>
      <c r="CJ35" s="139">
        <v>0</v>
      </c>
      <c r="CK35" s="2643"/>
      <c r="CL35" s="139">
        <v>0</v>
      </c>
      <c r="CM35" s="2643"/>
      <c r="CN35" s="102">
        <f>CF35-(CJ35+CL35+CO35+CP35+CR35+CU35+CV35+CX35)</f>
        <v>0</v>
      </c>
      <c r="CO35" s="784">
        <v>0</v>
      </c>
      <c r="CP35" s="784">
        <v>0</v>
      </c>
      <c r="CQ35" s="2643"/>
      <c r="CR35" s="102">
        <v>0</v>
      </c>
      <c r="CS35" s="784">
        <v>0</v>
      </c>
      <c r="CT35" s="784">
        <v>0</v>
      </c>
      <c r="CU35" s="784">
        <v>0</v>
      </c>
      <c r="CV35" s="784">
        <v>0</v>
      </c>
      <c r="CW35" s="2643"/>
      <c r="CX35" s="102">
        <f>SUM(CY35:DC35)</f>
        <v>6000</v>
      </c>
      <c r="CY35" s="102">
        <f>AX35</f>
        <v>0</v>
      </c>
      <c r="CZ35" s="102">
        <f>AY35</f>
        <v>6000</v>
      </c>
      <c r="DA35" s="102">
        <f t="shared" si="21"/>
        <v>0</v>
      </c>
      <c r="DB35" s="102">
        <f t="shared" si="21"/>
        <v>0</v>
      </c>
      <c r="DC35" s="102">
        <f t="shared" si="21"/>
        <v>0</v>
      </c>
      <c r="DD35" s="102"/>
      <c r="DE35" s="2643"/>
      <c r="DF35" s="102">
        <f>CC35+CF35</f>
        <v>34500</v>
      </c>
      <c r="DG35" s="2643"/>
      <c r="DH35" s="296">
        <f>CC35/'[1]Projected Development Sites'!DF$134</f>
        <v>28.5</v>
      </c>
      <c r="DI35" s="2723"/>
      <c r="DJ35" s="785">
        <f>'[1]Projected Development Sites'!DK$136*DH35</f>
        <v>28.5</v>
      </c>
      <c r="DK35" s="785">
        <f>3.06*DH35</f>
        <v>87.210000000000008</v>
      </c>
      <c r="DL35" s="786">
        <f>ROUND((CN35+CL35+CJ35)/1000*3,0)+ROUND((ROUND(CP35/400,0))/2.67,0)+ROUND(CV35/1000,0)+ROUND((CY35+CZ35+DA35+DC35)/1000*3,0)+ROUND(DH35/25,0)+ROUND(DX35/50,0)</f>
        <v>19</v>
      </c>
      <c r="DM35" s="787">
        <v>0</v>
      </c>
      <c r="DN35" s="787"/>
      <c r="DO35" s="787">
        <v>0</v>
      </c>
      <c r="DP35" s="787">
        <f>0.25*DJ35</f>
        <v>7.125</v>
      </c>
      <c r="DQ35" s="787">
        <f>SUM(CO35,CJ35,CN35,CR35,CU35)/1000</f>
        <v>0</v>
      </c>
      <c r="DR35" s="787">
        <f>CL35/1000</f>
        <v>0</v>
      </c>
      <c r="DS35" s="787">
        <f>((CP35/400)/12)</f>
        <v>0</v>
      </c>
      <c r="DT35" s="787">
        <v>0</v>
      </c>
      <c r="DU35" s="787">
        <v>0</v>
      </c>
      <c r="DV35" s="787">
        <f>CX35/1000</f>
        <v>6</v>
      </c>
      <c r="DW35" s="2723"/>
      <c r="DX35" s="788">
        <f>SUM(DM35,DO35,DQ35:DV35)</f>
        <v>6</v>
      </c>
      <c r="DY35" s="2726"/>
      <c r="DZ35" s="2729"/>
      <c r="EA35" s="2665"/>
      <c r="EB35" s="195">
        <f>CF35-W35</f>
        <v>0</v>
      </c>
      <c r="EC35" s="2665"/>
      <c r="ED35" s="195">
        <v>0</v>
      </c>
      <c r="EE35" s="195">
        <f>(SUM(CJ35:CO35))-(SUM(AA35:AE35,AL35))</f>
        <v>0</v>
      </c>
      <c r="EF35" s="2665"/>
      <c r="EG35" s="195">
        <v>0</v>
      </c>
      <c r="EH35" s="2665"/>
      <c r="EI35" s="195">
        <f>CL35-AC35</f>
        <v>0</v>
      </c>
      <c r="EJ35" s="2665"/>
      <c r="EK35" s="195">
        <f>CJ35-AA35</f>
        <v>0</v>
      </c>
      <c r="EL35" s="2665"/>
      <c r="EM35" s="195">
        <f>CO35-AE35</f>
        <v>0</v>
      </c>
      <c r="EN35" s="2665"/>
      <c r="EO35" s="195">
        <f>CP35-AH35</f>
        <v>0</v>
      </c>
      <c r="EP35" s="2665"/>
      <c r="EQ35" s="195">
        <f>CR35-AJ35</f>
        <v>0</v>
      </c>
      <c r="ER35" s="2665"/>
      <c r="ES35" s="195">
        <f>CS35-AO35</f>
        <v>0</v>
      </c>
      <c r="ET35" s="2665"/>
      <c r="EU35" s="195">
        <f t="shared" si="1"/>
        <v>0</v>
      </c>
      <c r="EV35" s="2665"/>
      <c r="EW35" s="195">
        <f>CU35-AS35</f>
        <v>0</v>
      </c>
      <c r="EX35" s="2665"/>
      <c r="EY35" s="195">
        <f>CV35-AU35</f>
        <v>0</v>
      </c>
      <c r="EZ35" s="2665"/>
      <c r="FA35" s="195">
        <f>CY35-AX35</f>
        <v>0</v>
      </c>
      <c r="FB35" s="2665"/>
      <c r="FC35" s="195">
        <f>CZ35-AY35</f>
        <v>0</v>
      </c>
      <c r="FD35" s="2665"/>
      <c r="FE35" s="195">
        <f>DA35-AZ35</f>
        <v>0</v>
      </c>
      <c r="FF35" s="2665"/>
      <c r="FG35" s="195">
        <f>DB35-BA35</f>
        <v>0</v>
      </c>
      <c r="FH35" s="2665"/>
      <c r="FI35" s="195">
        <f>DC35-BB35</f>
        <v>0</v>
      </c>
      <c r="FJ35" s="2665"/>
      <c r="FK35" s="195">
        <f>CX35-AW35</f>
        <v>0</v>
      </c>
      <c r="FL35" s="2665"/>
      <c r="FM35" s="195">
        <f>DF35-BE35</f>
        <v>28500</v>
      </c>
      <c r="FN35" s="2665"/>
      <c r="FO35" s="195">
        <f>DH35-BG35</f>
        <v>28.5</v>
      </c>
      <c r="FP35" s="2665"/>
      <c r="FQ35" s="195">
        <f t="shared" si="19"/>
        <v>28.5</v>
      </c>
      <c r="FR35" s="195">
        <f t="shared" si="19"/>
        <v>87.210000000000008</v>
      </c>
      <c r="FS35" s="195">
        <f t="shared" si="19"/>
        <v>1</v>
      </c>
      <c r="FT35" s="789">
        <f t="shared" si="19"/>
        <v>0</v>
      </c>
      <c r="FU35" s="789">
        <f>DR35-BO35</f>
        <v>0</v>
      </c>
      <c r="FV35" s="789">
        <f>DO35-BM35</f>
        <v>0</v>
      </c>
      <c r="FW35" s="789">
        <f>DQ35-BN35</f>
        <v>0</v>
      </c>
      <c r="FX35" s="789">
        <f t="shared" si="20"/>
        <v>0</v>
      </c>
      <c r="FY35" s="789">
        <f t="shared" si="20"/>
        <v>0</v>
      </c>
      <c r="FZ35" s="789">
        <f t="shared" si="20"/>
        <v>0</v>
      </c>
      <c r="GA35" s="789">
        <f t="shared" si="20"/>
        <v>6</v>
      </c>
      <c r="GB35" s="2735"/>
      <c r="GC35" s="790">
        <f t="shared" si="4"/>
        <v>6</v>
      </c>
    </row>
    <row r="36" spans="1:204" s="81" customFormat="1" ht="15" customHeight="1">
      <c r="A36" s="2589"/>
      <c r="B36" s="2589"/>
      <c r="C36" s="66" t="s">
        <v>851</v>
      </c>
      <c r="D36" s="66">
        <v>3186</v>
      </c>
      <c r="E36" s="66">
        <v>48</v>
      </c>
      <c r="F36" s="841">
        <v>2031860048</v>
      </c>
      <c r="G36" s="66">
        <v>2500</v>
      </c>
      <c r="H36" s="69" t="s">
        <v>704</v>
      </c>
      <c r="I36" s="70"/>
      <c r="J36" s="66">
        <v>0.06</v>
      </c>
      <c r="K36" s="66">
        <v>0</v>
      </c>
      <c r="L36" s="66">
        <v>2</v>
      </c>
      <c r="M36" s="66">
        <v>6.5</v>
      </c>
      <c r="N36" s="68">
        <v>150</v>
      </c>
      <c r="O36" s="68">
        <v>0</v>
      </c>
      <c r="P36" s="68">
        <v>0</v>
      </c>
      <c r="Q36" s="68">
        <v>150</v>
      </c>
      <c r="R36" s="71">
        <v>0</v>
      </c>
      <c r="S36" s="791" t="s">
        <v>720</v>
      </c>
      <c r="T36" s="2601"/>
      <c r="U36" s="74">
        <v>0</v>
      </c>
      <c r="V36" s="2601"/>
      <c r="W36" s="74">
        <f>N36</f>
        <v>150</v>
      </c>
      <c r="X36" s="74"/>
      <c r="Y36" s="74">
        <f>W36-AA36</f>
        <v>150</v>
      </c>
      <c r="Z36" s="2601"/>
      <c r="AA36" s="74">
        <v>0</v>
      </c>
      <c r="AB36" s="2601"/>
      <c r="AC36" s="74">
        <v>0</v>
      </c>
      <c r="AD36" s="2601"/>
      <c r="AE36" s="74">
        <f>AG36+AF36</f>
        <v>0</v>
      </c>
      <c r="AF36" s="74">
        <v>0</v>
      </c>
      <c r="AG36" s="74">
        <v>0</v>
      </c>
      <c r="AH36" s="74">
        <v>0</v>
      </c>
      <c r="AI36" s="2601"/>
      <c r="AJ36" s="74">
        <v>0</v>
      </c>
      <c r="AK36" s="2601"/>
      <c r="AL36" s="74">
        <f>W36-(AA36+AC36+AE36+AH36+AJ36+AM36+AW36+AO36+AQ36+AS36+AU36)</f>
        <v>0</v>
      </c>
      <c r="AM36" s="792"/>
      <c r="AN36" s="2601"/>
      <c r="AO36" s="74">
        <v>0</v>
      </c>
      <c r="AP36" s="2601"/>
      <c r="AQ36" s="74">
        <v>0</v>
      </c>
      <c r="AR36" s="2601"/>
      <c r="AS36" s="74">
        <v>150</v>
      </c>
      <c r="AT36" s="2601"/>
      <c r="AU36" s="74">
        <v>0</v>
      </c>
      <c r="AV36" s="2601"/>
      <c r="AW36" s="74">
        <f>AX36+AY36+AZ36+BA36+BB36</f>
        <v>0</v>
      </c>
      <c r="AX36" s="74">
        <v>0</v>
      </c>
      <c r="AY36" s="74">
        <v>0</v>
      </c>
      <c r="AZ36" s="74">
        <v>0</v>
      </c>
      <c r="BA36" s="74">
        <v>0</v>
      </c>
      <c r="BB36" s="74">
        <v>0</v>
      </c>
      <c r="BC36" s="74">
        <v>0</v>
      </c>
      <c r="BD36" s="2601"/>
      <c r="BE36" s="74">
        <f>U36+W36</f>
        <v>150</v>
      </c>
      <c r="BF36" s="2601"/>
      <c r="BG36" s="74">
        <f>U36/1000</f>
        <v>0</v>
      </c>
      <c r="BH36" s="2601"/>
      <c r="BI36" s="74">
        <v>0</v>
      </c>
      <c r="BJ36" s="74">
        <f t="shared" si="13"/>
        <v>0</v>
      </c>
      <c r="BK36" s="88">
        <f>ROUND((AL36+AC36+AA36)/1000*3,0)+ROUND((AE36+AU36)/1000,0)+ROUND((ROUND(AH36/400,0))/2.67,0)+ROUND(AJ36/250,0)+ROUND(AO36/15000,0)+ROUND((AX36+AY36+AZ36+BB36)/1000*3,0)+ROUND(BG36/25,0)+ROUND(BU36/50,0)</f>
        <v>0</v>
      </c>
      <c r="BL36" s="74">
        <v>0</v>
      </c>
      <c r="BM36" s="74">
        <v>0</v>
      </c>
      <c r="BN36" s="74">
        <f>(G36-500)/300</f>
        <v>6.666666666666667</v>
      </c>
      <c r="BO36" s="74">
        <f>AC36/1000</f>
        <v>0</v>
      </c>
      <c r="BP36" s="74">
        <f>AH36/1000</f>
        <v>0</v>
      </c>
      <c r="BQ36" s="74">
        <v>0</v>
      </c>
      <c r="BR36" s="74">
        <v>0</v>
      </c>
      <c r="BS36" s="74">
        <v>0</v>
      </c>
      <c r="BT36" s="2601"/>
      <c r="BU36" s="74">
        <f>SUM(BL36:BS36)</f>
        <v>6.666666666666667</v>
      </c>
      <c r="BV36" s="81">
        <v>0</v>
      </c>
      <c r="BW36" s="793" t="s">
        <v>705</v>
      </c>
      <c r="BX36" s="81">
        <v>4.5999999999999996</v>
      </c>
      <c r="BY36" s="81">
        <v>2</v>
      </c>
      <c r="BZ36" s="81">
        <v>4.5999999999999996</v>
      </c>
      <c r="CA36" s="794" t="s">
        <v>706</v>
      </c>
      <c r="CB36" s="2747"/>
      <c r="CC36" s="795">
        <f>(BX36*G36)-CF36</f>
        <v>9375</v>
      </c>
      <c r="CD36" s="2749"/>
      <c r="CE36" s="2601"/>
      <c r="CF36" s="843">
        <f>1*(G36)-(0.15*1*(G36))</f>
        <v>2125</v>
      </c>
      <c r="CG36" s="2601"/>
      <c r="CH36" s="843">
        <f>CF36-CJ36</f>
        <v>2125</v>
      </c>
      <c r="CI36" s="2601"/>
      <c r="CJ36" s="81">
        <v>0</v>
      </c>
      <c r="CK36" s="2601"/>
      <c r="CL36" s="81">
        <v>0</v>
      </c>
      <c r="CM36" s="2601"/>
      <c r="CN36" s="74">
        <f>CF36-(CJ36+CL36+CO36+CP36+CR36+CU36+CV36+CX36)</f>
        <v>2125</v>
      </c>
      <c r="CO36" s="797">
        <v>0</v>
      </c>
      <c r="CP36" s="797">
        <v>0</v>
      </c>
      <c r="CQ36" s="2601"/>
      <c r="CR36" s="74">
        <v>0</v>
      </c>
      <c r="CS36" s="797">
        <v>0</v>
      </c>
      <c r="CT36" s="797">
        <v>0</v>
      </c>
      <c r="CU36" s="797">
        <v>0</v>
      </c>
      <c r="CV36" s="797">
        <v>0</v>
      </c>
      <c r="CW36" s="2601"/>
      <c r="CX36" s="74">
        <f>SUM(CY36:DC36)</f>
        <v>0</v>
      </c>
      <c r="CY36" s="74">
        <f>AX36</f>
        <v>0</v>
      </c>
      <c r="CZ36" s="74">
        <f>AY36</f>
        <v>0</v>
      </c>
      <c r="DA36" s="74">
        <f t="shared" si="21"/>
        <v>0</v>
      </c>
      <c r="DB36" s="74">
        <f t="shared" si="21"/>
        <v>0</v>
      </c>
      <c r="DC36" s="74">
        <f t="shared" si="21"/>
        <v>0</v>
      </c>
      <c r="DD36" s="74"/>
      <c r="DE36" s="2601"/>
      <c r="DF36" s="74">
        <f>CC36+CF36</f>
        <v>11500</v>
      </c>
      <c r="DG36" s="2601"/>
      <c r="DH36" s="303">
        <f>CC36/'[1]Projected Development Sites'!DF$134</f>
        <v>9.375</v>
      </c>
      <c r="DI36" s="2724"/>
      <c r="DJ36" s="798">
        <f>'[1]Projected Development Sites'!DK$136*DH36</f>
        <v>9.375</v>
      </c>
      <c r="DK36" s="798">
        <f>3.06*DH36</f>
        <v>28.6875</v>
      </c>
      <c r="DL36" s="786">
        <f>ROUND((CN36+CL36+CJ36)/1000*3,0)+ROUND((ROUND(CP36/400,0))/2.67,0)+ROUND(CV36/1000,0)+ROUND((CY36+CZ36+DA36+DC36)/1000*3,0)+ROUND(DH36/25,0)+ROUND(DX36/50,0)</f>
        <v>6</v>
      </c>
      <c r="DM36" s="799">
        <v>0</v>
      </c>
      <c r="DN36" s="799"/>
      <c r="DO36" s="799">
        <v>0</v>
      </c>
      <c r="DP36" s="799">
        <f>0.25*DJ36</f>
        <v>2.34375</v>
      </c>
      <c r="DQ36" s="799">
        <f>SUM(CO36,CJ36,CN36,CR36,CU36)/1000</f>
        <v>2.125</v>
      </c>
      <c r="DR36" s="799">
        <f>CL36/1000</f>
        <v>0</v>
      </c>
      <c r="DS36" s="799">
        <f>((CP36/400)/12)</f>
        <v>0</v>
      </c>
      <c r="DT36" s="799">
        <v>0</v>
      </c>
      <c r="DU36" s="799">
        <v>0</v>
      </c>
      <c r="DV36" s="799">
        <f>CX36/1000</f>
        <v>0</v>
      </c>
      <c r="DW36" s="2724"/>
      <c r="DX36" s="800">
        <f>SUM(DM36,DO36,DQ36:DV36)</f>
        <v>2.125</v>
      </c>
      <c r="DY36" s="2727"/>
      <c r="DZ36" s="2730"/>
      <c r="EA36" s="2603"/>
      <c r="EB36" s="195">
        <f>CF36-W36</f>
        <v>1975</v>
      </c>
      <c r="EC36" s="2603"/>
      <c r="ED36" s="190">
        <v>2125</v>
      </c>
      <c r="EE36" s="195">
        <f>(SUM(CJ36:CO36))-(SUM(AA36:AE36,AL36))</f>
        <v>2125</v>
      </c>
      <c r="EF36" s="2603"/>
      <c r="EG36" s="190">
        <v>2125</v>
      </c>
      <c r="EH36" s="2603"/>
      <c r="EI36" s="195">
        <f>CL36-AC36</f>
        <v>0</v>
      </c>
      <c r="EJ36" s="2603"/>
      <c r="EK36" s="195">
        <f>CJ36-AA36</f>
        <v>0</v>
      </c>
      <c r="EL36" s="2603"/>
      <c r="EM36" s="190">
        <f>CO36-AE36</f>
        <v>0</v>
      </c>
      <c r="EN36" s="2603"/>
      <c r="EO36" s="190">
        <f>CP36-AH36</f>
        <v>0</v>
      </c>
      <c r="EP36" s="2603"/>
      <c r="EQ36" s="195">
        <f>CR36-AJ36</f>
        <v>0</v>
      </c>
      <c r="ER36" s="2603"/>
      <c r="ES36" s="195">
        <f>CS36-AO36</f>
        <v>0</v>
      </c>
      <c r="ET36" s="2603"/>
      <c r="EU36" s="190">
        <f t="shared" si="1"/>
        <v>0</v>
      </c>
      <c r="EV36" s="2603"/>
      <c r="EW36" s="195">
        <f>CU36-AS36</f>
        <v>-150</v>
      </c>
      <c r="EX36" s="2603"/>
      <c r="EY36" s="190">
        <f>CV36-AU36</f>
        <v>0</v>
      </c>
      <c r="EZ36" s="2603"/>
      <c r="FA36" s="190">
        <f>CY36-AX36</f>
        <v>0</v>
      </c>
      <c r="FB36" s="2603"/>
      <c r="FC36" s="190">
        <f>CZ36-AY36</f>
        <v>0</v>
      </c>
      <c r="FD36" s="2603"/>
      <c r="FE36" s="190">
        <f>DA36-AZ36</f>
        <v>0</v>
      </c>
      <c r="FF36" s="2603"/>
      <c r="FG36" s="190">
        <f>DB36-BA36</f>
        <v>0</v>
      </c>
      <c r="FH36" s="2603"/>
      <c r="FI36" s="190">
        <f>DC36-BB36</f>
        <v>0</v>
      </c>
      <c r="FJ36" s="2603"/>
      <c r="FK36" s="190">
        <f>CX36-AW36</f>
        <v>0</v>
      </c>
      <c r="FL36" s="2603"/>
      <c r="FM36" s="195">
        <f>DF36-BE36</f>
        <v>11350</v>
      </c>
      <c r="FN36" s="2603"/>
      <c r="FO36" s="195">
        <f>DH36-BG36</f>
        <v>9.375</v>
      </c>
      <c r="FP36" s="2603"/>
      <c r="FQ36" s="195">
        <f t="shared" si="19"/>
        <v>9.375</v>
      </c>
      <c r="FR36" s="190">
        <f t="shared" si="19"/>
        <v>28.6875</v>
      </c>
      <c r="FS36" s="190">
        <f t="shared" si="19"/>
        <v>6</v>
      </c>
      <c r="FT36" s="801">
        <f t="shared" si="19"/>
        <v>0</v>
      </c>
      <c r="FU36" s="801">
        <f>DR36-BO36</f>
        <v>0</v>
      </c>
      <c r="FV36" s="801">
        <f>DO36-BM36</f>
        <v>0</v>
      </c>
      <c r="FW36" s="801">
        <f>DQ36-BN36</f>
        <v>-4.541666666666667</v>
      </c>
      <c r="FX36" s="801">
        <f t="shared" si="20"/>
        <v>0</v>
      </c>
      <c r="FY36" s="801">
        <f t="shared" si="20"/>
        <v>0</v>
      </c>
      <c r="FZ36" s="801">
        <f t="shared" si="20"/>
        <v>0</v>
      </c>
      <c r="GA36" s="801">
        <f t="shared" si="20"/>
        <v>0</v>
      </c>
      <c r="GB36" s="2736"/>
      <c r="GC36" s="845">
        <f t="shared" si="4"/>
        <v>-4.541666666666667</v>
      </c>
      <c r="GD36" s="139"/>
      <c r="GE36" s="139"/>
      <c r="GF36" s="139"/>
      <c r="GG36" s="139"/>
      <c r="GH36" s="139"/>
      <c r="GI36" s="139"/>
      <c r="GJ36" s="139"/>
      <c r="GK36" s="139"/>
      <c r="GL36" s="139"/>
      <c r="GM36" s="139"/>
      <c r="GN36" s="139"/>
      <c r="GO36" s="139"/>
      <c r="GP36" s="139"/>
      <c r="GQ36" s="139"/>
      <c r="GR36" s="139"/>
      <c r="GS36" s="139"/>
      <c r="GT36" s="139"/>
    </row>
    <row r="37" spans="1:204" s="139" customFormat="1" ht="18.75">
      <c r="A37" s="2263"/>
      <c r="B37" s="2263"/>
      <c r="C37" s="132"/>
      <c r="D37" s="132"/>
      <c r="E37" s="132"/>
      <c r="F37" s="777"/>
      <c r="G37" s="132"/>
      <c r="H37" s="135"/>
      <c r="I37" s="136"/>
      <c r="J37" s="132"/>
      <c r="K37" s="132"/>
      <c r="L37" s="132"/>
      <c r="M37" s="132"/>
      <c r="N37" s="134"/>
      <c r="O37" s="134"/>
      <c r="P37" s="134"/>
      <c r="Q37" s="134"/>
      <c r="R37" s="137"/>
      <c r="S37" s="778"/>
      <c r="T37" s="634"/>
      <c r="U37" s="102"/>
      <c r="V37" s="634"/>
      <c r="W37" s="102"/>
      <c r="X37" s="102"/>
      <c r="Y37" s="102"/>
      <c r="Z37" s="634"/>
      <c r="AA37" s="102"/>
      <c r="AB37" s="634"/>
      <c r="AC37" s="102"/>
      <c r="AD37" s="634"/>
      <c r="AE37" s="102"/>
      <c r="AF37" s="102"/>
      <c r="AG37" s="102"/>
      <c r="AH37" s="102"/>
      <c r="AI37" s="634"/>
      <c r="AJ37" s="102"/>
      <c r="AK37" s="634"/>
      <c r="AL37" s="102"/>
      <c r="AM37" s="779"/>
      <c r="AN37" s="634"/>
      <c r="AO37" s="102"/>
      <c r="AP37" s="634"/>
      <c r="AQ37" s="102"/>
      <c r="AR37" s="634"/>
      <c r="AS37" s="102"/>
      <c r="AT37" s="634"/>
      <c r="AU37" s="102"/>
      <c r="AV37" s="634"/>
      <c r="AW37" s="102"/>
      <c r="AX37" s="102"/>
      <c r="AY37" s="102"/>
      <c r="AZ37" s="102"/>
      <c r="BA37" s="102"/>
      <c r="BB37" s="102"/>
      <c r="BC37" s="102"/>
      <c r="BD37" s="634"/>
      <c r="BE37" s="102"/>
      <c r="BF37" s="634"/>
      <c r="BG37" s="102"/>
      <c r="BH37" s="634"/>
      <c r="BI37" s="102"/>
      <c r="BJ37" s="122"/>
      <c r="BK37" s="186"/>
      <c r="BL37" s="102"/>
      <c r="BM37" s="102"/>
      <c r="BN37" s="102"/>
      <c r="BO37" s="102"/>
      <c r="BP37" s="102"/>
      <c r="BQ37" s="102"/>
      <c r="BR37" s="102"/>
      <c r="BS37" s="102"/>
      <c r="BT37" s="634"/>
      <c r="BU37" s="102"/>
      <c r="BW37" s="780"/>
      <c r="CA37" s="781"/>
      <c r="CB37" s="2258"/>
      <c r="CC37" s="782"/>
      <c r="CD37" s="782"/>
      <c r="CE37" s="634"/>
      <c r="CF37" s="840"/>
      <c r="CG37" s="634"/>
      <c r="CH37" s="840"/>
      <c r="CI37" s="634"/>
      <c r="CK37" s="634"/>
      <c r="CM37" s="634"/>
      <c r="CN37" s="102"/>
      <c r="CO37" s="784"/>
      <c r="CP37" s="784"/>
      <c r="CQ37" s="634"/>
      <c r="CR37" s="102"/>
      <c r="CS37" s="784"/>
      <c r="CT37" s="784"/>
      <c r="CU37" s="784"/>
      <c r="CV37" s="784"/>
      <c r="CW37" s="634"/>
      <c r="CX37" s="784"/>
      <c r="CY37" s="102"/>
      <c r="CZ37" s="102"/>
      <c r="DA37" s="102"/>
      <c r="DB37" s="102"/>
      <c r="DC37" s="102"/>
      <c r="DD37" s="102"/>
      <c r="DE37" s="634"/>
      <c r="DF37" s="102"/>
      <c r="DG37" s="634"/>
      <c r="DH37" s="296"/>
      <c r="DI37" s="802"/>
      <c r="DJ37" s="785"/>
      <c r="DK37" s="771"/>
      <c r="DL37" s="772"/>
      <c r="DM37" s="787"/>
      <c r="DN37" s="787"/>
      <c r="DO37" s="787"/>
      <c r="DP37" s="787"/>
      <c r="DQ37" s="787"/>
      <c r="DR37" s="787"/>
      <c r="DS37" s="787"/>
      <c r="DT37" s="787"/>
      <c r="DU37" s="787"/>
      <c r="DV37" s="787"/>
      <c r="DW37" s="802"/>
      <c r="DX37" s="788"/>
      <c r="DY37" s="634"/>
      <c r="DZ37" s="2288"/>
      <c r="EA37" s="2231"/>
      <c r="EB37" s="187"/>
      <c r="EC37" s="2232"/>
      <c r="ED37" s="187"/>
      <c r="EE37" s="187"/>
      <c r="EF37" s="2232"/>
      <c r="EG37" s="245"/>
      <c r="EH37" s="2232"/>
      <c r="EI37" s="187"/>
      <c r="EJ37" s="2232"/>
      <c r="EK37" s="187"/>
      <c r="EL37" s="2232"/>
      <c r="EM37" s="195"/>
      <c r="EN37" s="2232"/>
      <c r="EO37" s="195"/>
      <c r="EP37" s="2232"/>
      <c r="EQ37" s="187"/>
      <c r="ER37" s="2232"/>
      <c r="ES37" s="187"/>
      <c r="ET37" s="2232"/>
      <c r="EU37" s="187">
        <f t="shared" si="1"/>
        <v>0</v>
      </c>
      <c r="EV37" s="2232"/>
      <c r="EW37" s="187"/>
      <c r="EX37" s="2232"/>
      <c r="EY37" s="195"/>
      <c r="EZ37" s="2232"/>
      <c r="FA37" s="195"/>
      <c r="FB37" s="2232"/>
      <c r="FC37" s="195"/>
      <c r="FD37" s="2232"/>
      <c r="FE37" s="195"/>
      <c r="FF37" s="2232"/>
      <c r="FG37" s="195"/>
      <c r="FH37" s="2232"/>
      <c r="FI37" s="195"/>
      <c r="FJ37" s="2232"/>
      <c r="FK37" s="195"/>
      <c r="FL37" s="2232"/>
      <c r="FM37" s="187"/>
      <c r="FN37" s="2232"/>
      <c r="FO37" s="187"/>
      <c r="FP37" s="2232"/>
      <c r="FQ37" s="187"/>
      <c r="FR37" s="195"/>
      <c r="FS37" s="195"/>
      <c r="FT37" s="789"/>
      <c r="FU37" s="789"/>
      <c r="FV37" s="789"/>
      <c r="FW37" s="789"/>
      <c r="FX37" s="789"/>
      <c r="FY37" s="789"/>
      <c r="FZ37" s="789"/>
      <c r="GA37" s="789"/>
      <c r="GB37" s="2289"/>
      <c r="GC37" s="776"/>
    </row>
    <row r="38" spans="1:204" s="228" customFormat="1" ht="18.75">
      <c r="A38" s="216"/>
      <c r="B38" s="216">
        <v>11</v>
      </c>
      <c r="C38" s="218" t="s">
        <v>703</v>
      </c>
      <c r="D38" s="218">
        <v>3186</v>
      </c>
      <c r="E38" s="218">
        <v>17</v>
      </c>
      <c r="F38" s="897">
        <v>2031860017</v>
      </c>
      <c r="G38" s="218">
        <v>14800</v>
      </c>
      <c r="H38" s="221" t="s">
        <v>704</v>
      </c>
      <c r="I38" s="222"/>
      <c r="J38" s="218">
        <v>2</v>
      </c>
      <c r="K38" s="218">
        <v>0</v>
      </c>
      <c r="L38" s="218">
        <v>2</v>
      </c>
      <c r="M38" s="218">
        <v>6.5</v>
      </c>
      <c r="N38" s="220">
        <v>29600</v>
      </c>
      <c r="O38" s="220">
        <v>0</v>
      </c>
      <c r="P38" s="220">
        <v>0</v>
      </c>
      <c r="Q38" s="220">
        <v>29600</v>
      </c>
      <c r="R38" s="223">
        <v>0</v>
      </c>
      <c r="S38" s="898" t="s">
        <v>852</v>
      </c>
      <c r="T38" s="234">
        <f>U38</f>
        <v>0</v>
      </c>
      <c r="U38" s="111">
        <v>0</v>
      </c>
      <c r="V38" s="234">
        <f>W38</f>
        <v>29600</v>
      </c>
      <c r="W38" s="111">
        <f>N38</f>
        <v>29600</v>
      </c>
      <c r="X38" s="111"/>
      <c r="Y38" s="111">
        <f>W38-AA38</f>
        <v>29600</v>
      </c>
      <c r="Z38" s="234">
        <f>AA38</f>
        <v>0</v>
      </c>
      <c r="AA38" s="111">
        <v>0</v>
      </c>
      <c r="AB38" s="234">
        <f>AC38</f>
        <v>0</v>
      </c>
      <c r="AC38" s="111">
        <v>0</v>
      </c>
      <c r="AD38" s="234">
        <f>AE38</f>
        <v>0</v>
      </c>
      <c r="AE38" s="111">
        <f>AG38+AF38</f>
        <v>0</v>
      </c>
      <c r="AF38" s="111">
        <v>0</v>
      </c>
      <c r="AG38" s="111">
        <v>0</v>
      </c>
      <c r="AH38" s="111">
        <v>0</v>
      </c>
      <c r="AI38" s="234">
        <f>AJ38</f>
        <v>0</v>
      </c>
      <c r="AJ38" s="111">
        <v>0</v>
      </c>
      <c r="AK38" s="234">
        <f>AL38</f>
        <v>0</v>
      </c>
      <c r="AL38" s="111">
        <f>W38-(AA38+AC38+AE38+AH38+AJ38+AM38+AW38+AO38+AQ38+AS38+AU38)</f>
        <v>0</v>
      </c>
      <c r="AM38" s="899"/>
      <c r="AN38" s="234">
        <f>AO38</f>
        <v>0</v>
      </c>
      <c r="AO38" s="111">
        <v>0</v>
      </c>
      <c r="AP38" s="234">
        <f>AQ38</f>
        <v>29600</v>
      </c>
      <c r="AQ38" s="111">
        <v>29600</v>
      </c>
      <c r="AR38" s="234">
        <f>AS38</f>
        <v>0</v>
      </c>
      <c r="AS38" s="111">
        <v>0</v>
      </c>
      <c r="AT38" s="234">
        <f>AU38</f>
        <v>0</v>
      </c>
      <c r="AU38" s="111">
        <v>0</v>
      </c>
      <c r="AV38" s="234">
        <f>AW38</f>
        <v>0</v>
      </c>
      <c r="AW38" s="111">
        <f>AX38+AY38+AZ38+BA38+BB38</f>
        <v>0</v>
      </c>
      <c r="AX38" s="111">
        <v>0</v>
      </c>
      <c r="AY38" s="111">
        <v>0</v>
      </c>
      <c r="AZ38" s="111">
        <v>0</v>
      </c>
      <c r="BA38" s="111">
        <v>0</v>
      </c>
      <c r="BB38" s="111">
        <v>0</v>
      </c>
      <c r="BC38" s="111">
        <v>0</v>
      </c>
      <c r="BD38" s="234">
        <f>BE38</f>
        <v>29600</v>
      </c>
      <c r="BE38" s="111">
        <f>U38+W38</f>
        <v>29600</v>
      </c>
      <c r="BF38" s="234">
        <f>BG38</f>
        <v>0</v>
      </c>
      <c r="BG38" s="111">
        <f>U38/1000</f>
        <v>0</v>
      </c>
      <c r="BH38" s="234">
        <f>BI38</f>
        <v>0</v>
      </c>
      <c r="BI38" s="111">
        <v>0</v>
      </c>
      <c r="BJ38" s="122">
        <f t="shared" si="13"/>
        <v>0</v>
      </c>
      <c r="BK38" s="306">
        <f>ROUND((AL38+AC38+AA38)/1000*3,0)+ROUND((AE38+AU38)/1000,0)+ROUND((ROUND(AH38/400,0))/2.67,0)+ROUND(AJ38/250,0)+ROUND(AO38/15000,0)+ROUND((AX38+AY38+AZ38+BB38)/1000*3,0)+ROUND(BG38/25,0)+ROUND(BU38/50,0)</f>
        <v>3</v>
      </c>
      <c r="BL38" s="111">
        <v>0</v>
      </c>
      <c r="BM38" s="111">
        <v>0</v>
      </c>
      <c r="BN38" s="111">
        <v>0</v>
      </c>
      <c r="BO38" s="111">
        <f>AC38/1000</f>
        <v>0</v>
      </c>
      <c r="BP38" s="111">
        <f>AH38/1000</f>
        <v>0</v>
      </c>
      <c r="BQ38" s="111">
        <v>129</v>
      </c>
      <c r="BR38" s="111">
        <v>0</v>
      </c>
      <c r="BS38" s="111">
        <v>0</v>
      </c>
      <c r="BT38" s="234">
        <f>BU38</f>
        <v>129</v>
      </c>
      <c r="BU38" s="111">
        <f>SUM(BL38:BS38)</f>
        <v>129</v>
      </c>
      <c r="BV38" s="228">
        <v>25</v>
      </c>
      <c r="BW38" s="900" t="s">
        <v>705</v>
      </c>
      <c r="BX38" s="228">
        <v>4.5999999999999996</v>
      </c>
      <c r="BY38" s="228">
        <v>2</v>
      </c>
      <c r="BZ38" s="228">
        <v>4.5999999999999996</v>
      </c>
      <c r="CA38" s="901" t="s">
        <v>706</v>
      </c>
      <c r="CB38" s="230" t="s">
        <v>716</v>
      </c>
      <c r="CC38" s="399">
        <f>(BX38*G38)-CF38</f>
        <v>55500</v>
      </c>
      <c r="CD38" s="399">
        <v>55500</v>
      </c>
      <c r="CE38" s="234">
        <f>CF38</f>
        <v>12580</v>
      </c>
      <c r="CF38" s="902">
        <f>1*(G38)-(0.15*1*(G38))</f>
        <v>12580</v>
      </c>
      <c r="CG38" s="234">
        <f>CH38</f>
        <v>12580</v>
      </c>
      <c r="CH38" s="902">
        <f>CF38-CJ38</f>
        <v>12580</v>
      </c>
      <c r="CI38" s="234">
        <f>CJ38</f>
        <v>0</v>
      </c>
      <c r="CJ38" s="228">
        <v>0</v>
      </c>
      <c r="CK38" s="234">
        <f>CL38</f>
        <v>0</v>
      </c>
      <c r="CL38" s="228">
        <v>0</v>
      </c>
      <c r="CM38" s="234">
        <f>CN38</f>
        <v>12580</v>
      </c>
      <c r="CN38" s="111">
        <f>CF38-(CJ38+CL38+CO38+CP38+CR38+CU38+CV38+CX38)</f>
        <v>12580</v>
      </c>
      <c r="CO38" s="903">
        <v>0</v>
      </c>
      <c r="CP38" s="903">
        <v>0</v>
      </c>
      <c r="CQ38" s="234">
        <f>CR38</f>
        <v>0</v>
      </c>
      <c r="CR38" s="111">
        <v>0</v>
      </c>
      <c r="CS38" s="903">
        <v>0</v>
      </c>
      <c r="CT38" s="903">
        <v>0</v>
      </c>
      <c r="CU38" s="903">
        <v>0</v>
      </c>
      <c r="CV38" s="903">
        <v>0</v>
      </c>
      <c r="CW38" s="234">
        <f>CX38</f>
        <v>0</v>
      </c>
      <c r="CX38" s="111">
        <f>SUM(CY38:DC38)</f>
        <v>0</v>
      </c>
      <c r="CY38" s="111">
        <f>AX38</f>
        <v>0</v>
      </c>
      <c r="CZ38" s="111">
        <f>AY38</f>
        <v>0</v>
      </c>
      <c r="DA38" s="111">
        <f>AZ38</f>
        <v>0</v>
      </c>
      <c r="DB38" s="111">
        <f>BA38</f>
        <v>0</v>
      </c>
      <c r="DC38" s="111">
        <f>BB38</f>
        <v>0</v>
      </c>
      <c r="DD38" s="111"/>
      <c r="DE38" s="234">
        <f>DF38</f>
        <v>68080</v>
      </c>
      <c r="DF38" s="111">
        <f>CC38+CF38</f>
        <v>68080</v>
      </c>
      <c r="DG38" s="234">
        <f>DH38</f>
        <v>55.5</v>
      </c>
      <c r="DH38" s="904">
        <f>CC38/'[1]Projected Development Sites'!DF$134</f>
        <v>55.5</v>
      </c>
      <c r="DI38" s="886">
        <f>DJ38</f>
        <v>55.5</v>
      </c>
      <c r="DJ38" s="803">
        <f>'[1]Projected Development Sites'!DK$136*DH38</f>
        <v>55.5</v>
      </c>
      <c r="DK38" s="771">
        <f>3.06*DH38</f>
        <v>169.83</v>
      </c>
      <c r="DL38" s="772">
        <f>ROUND((CN38+CL38+CJ38)/1000*3,0)+ROUND((ROUND(CP38/400,0))/2.67,0)+ROUND(CV38/1000,0)+ROUND((CY38+CZ38+DA38+DC38)/1000*3,0)+ROUND(DH38/25,0)+ROUND(DX38/50,0)</f>
        <v>40</v>
      </c>
      <c r="DM38" s="905">
        <v>0</v>
      </c>
      <c r="DN38" s="905"/>
      <c r="DO38" s="905">
        <v>0</v>
      </c>
      <c r="DP38" s="905">
        <f>0.25*DJ38</f>
        <v>13.875</v>
      </c>
      <c r="DQ38" s="905">
        <f>SUM(CO38,CJ38,CN38,CR38,CU38)/1000</f>
        <v>12.58</v>
      </c>
      <c r="DR38" s="905">
        <f>CL38/1000</f>
        <v>0</v>
      </c>
      <c r="DS38" s="905">
        <f>((CP38/400)/12)</f>
        <v>0</v>
      </c>
      <c r="DT38" s="905">
        <v>0</v>
      </c>
      <c r="DU38" s="905">
        <v>0</v>
      </c>
      <c r="DV38" s="905">
        <f>CX38/1000</f>
        <v>0</v>
      </c>
      <c r="DW38" s="886">
        <f>DX38</f>
        <v>12.58</v>
      </c>
      <c r="DX38" s="906">
        <f>SUM(DM38,DO38,DQ38:DV38)</f>
        <v>12.58</v>
      </c>
      <c r="DY38" s="837">
        <v>115</v>
      </c>
      <c r="DZ38" s="2288">
        <f>CD38-T38</f>
        <v>55500</v>
      </c>
      <c r="EA38" s="2231">
        <f>CE38-V38</f>
        <v>-17020</v>
      </c>
      <c r="EB38" s="187">
        <f>CF38-W38</f>
        <v>-17020</v>
      </c>
      <c r="EC38" s="235">
        <f>ED38</f>
        <v>12580</v>
      </c>
      <c r="ED38" s="187">
        <v>12580</v>
      </c>
      <c r="EE38" s="187">
        <f>(SUM(CJ38:CO38))-(SUM(AA38:AE38,AL38))</f>
        <v>25160</v>
      </c>
      <c r="EF38" s="235">
        <f>EG38</f>
        <v>12580</v>
      </c>
      <c r="EG38" s="245">
        <v>12580</v>
      </c>
      <c r="EH38" s="235">
        <f>EI38</f>
        <v>0</v>
      </c>
      <c r="EI38" s="187">
        <f>CL38-AC38</f>
        <v>0</v>
      </c>
      <c r="EJ38" s="235">
        <f>EK38</f>
        <v>0</v>
      </c>
      <c r="EK38" s="187">
        <f>CJ38-AA38</f>
        <v>0</v>
      </c>
      <c r="EL38" s="235">
        <f>EM38</f>
        <v>0</v>
      </c>
      <c r="EM38" s="245">
        <f>CO38-AE38</f>
        <v>0</v>
      </c>
      <c r="EN38" s="235">
        <f>EO38</f>
        <v>0</v>
      </c>
      <c r="EO38" s="245">
        <f>CP38-AH38</f>
        <v>0</v>
      </c>
      <c r="EP38" s="235">
        <f>EQ38</f>
        <v>0</v>
      </c>
      <c r="EQ38" s="187">
        <f>CR38-AJ38</f>
        <v>0</v>
      </c>
      <c r="ER38" s="235">
        <f>ES38</f>
        <v>0</v>
      </c>
      <c r="ES38" s="187">
        <f>CS38-AO38</f>
        <v>0</v>
      </c>
      <c r="ET38" s="235">
        <f>EU38</f>
        <v>-29600</v>
      </c>
      <c r="EU38" s="187">
        <f t="shared" si="1"/>
        <v>-29600</v>
      </c>
      <c r="EV38" s="235">
        <f>EW38</f>
        <v>0</v>
      </c>
      <c r="EW38" s="187">
        <f>CU38-AS38</f>
        <v>0</v>
      </c>
      <c r="EX38" s="235">
        <f>EY38</f>
        <v>0</v>
      </c>
      <c r="EY38" s="245">
        <f>CV38-AU38</f>
        <v>0</v>
      </c>
      <c r="EZ38" s="235">
        <f>FA38</f>
        <v>0</v>
      </c>
      <c r="FA38" s="245">
        <f>CY38-AX38</f>
        <v>0</v>
      </c>
      <c r="FB38" s="235">
        <f>FC38</f>
        <v>0</v>
      </c>
      <c r="FC38" s="245">
        <f>CZ38-AY38</f>
        <v>0</v>
      </c>
      <c r="FD38" s="235">
        <f>FE38</f>
        <v>0</v>
      </c>
      <c r="FE38" s="245">
        <f>DA38-AZ38</f>
        <v>0</v>
      </c>
      <c r="FF38" s="235">
        <f>FG38</f>
        <v>0</v>
      </c>
      <c r="FG38" s="245">
        <f>DB38-BA38</f>
        <v>0</v>
      </c>
      <c r="FH38" s="235">
        <f>FI38</f>
        <v>0</v>
      </c>
      <c r="FI38" s="245">
        <f>DC38-BB38</f>
        <v>0</v>
      </c>
      <c r="FJ38" s="235">
        <f>FK38</f>
        <v>0</v>
      </c>
      <c r="FK38" s="245">
        <f>CX38-AW38</f>
        <v>0</v>
      </c>
      <c r="FL38" s="235">
        <f>FM38</f>
        <v>38480</v>
      </c>
      <c r="FM38" s="187">
        <f>DF38-BE38</f>
        <v>38480</v>
      </c>
      <c r="FN38" s="235">
        <f>FO38</f>
        <v>55.5</v>
      </c>
      <c r="FO38" s="187">
        <f>DH38-BG38</f>
        <v>55.5</v>
      </c>
      <c r="FP38" s="235">
        <f>FQ38</f>
        <v>55.5</v>
      </c>
      <c r="FQ38" s="187">
        <f>DJ38-BI38</f>
        <v>55.5</v>
      </c>
      <c r="FR38" s="245">
        <f>DK38-BJ38</f>
        <v>169.83</v>
      </c>
      <c r="FS38" s="245">
        <f>DL38-BK38</f>
        <v>37</v>
      </c>
      <c r="FT38" s="907">
        <f>DM38-BL38</f>
        <v>0</v>
      </c>
      <c r="FU38" s="907">
        <f>DR38-BO38</f>
        <v>0</v>
      </c>
      <c r="FV38" s="907">
        <f>DO38-BM38</f>
        <v>0</v>
      </c>
      <c r="FW38" s="907">
        <f>DQ38-BN38</f>
        <v>12.58</v>
      </c>
      <c r="FX38" s="907">
        <f>DS38-BP38</f>
        <v>0</v>
      </c>
      <c r="FY38" s="907">
        <f>DT38-BQ38</f>
        <v>-129</v>
      </c>
      <c r="FZ38" s="907">
        <f>DU38-BR38</f>
        <v>0</v>
      </c>
      <c r="GA38" s="907">
        <f>DV38-BS38</f>
        <v>0</v>
      </c>
      <c r="GB38" s="894">
        <f>GC38</f>
        <v>-116.42</v>
      </c>
      <c r="GC38" s="776">
        <f t="shared" si="4"/>
        <v>-116.42</v>
      </c>
      <c r="GD38" s="139"/>
      <c r="GE38" s="139"/>
      <c r="GF38" s="139"/>
      <c r="GG38" s="139"/>
      <c r="GH38" s="139"/>
      <c r="GI38" s="139"/>
      <c r="GJ38" s="139"/>
      <c r="GK38" s="139"/>
      <c r="GL38" s="139"/>
      <c r="GM38" s="139"/>
      <c r="GN38" s="139"/>
      <c r="GO38" s="139"/>
      <c r="GP38" s="139"/>
      <c r="GQ38" s="139"/>
      <c r="GR38" s="139"/>
      <c r="GS38" s="139"/>
      <c r="GT38" s="139"/>
    </row>
    <row r="39" spans="1:204" s="139" customFormat="1" ht="18.75">
      <c r="A39" s="2263"/>
      <c r="B39" s="2263"/>
      <c r="C39" s="132"/>
      <c r="D39" s="132"/>
      <c r="E39" s="132"/>
      <c r="F39" s="777"/>
      <c r="G39" s="132"/>
      <c r="H39" s="135"/>
      <c r="I39" s="136"/>
      <c r="J39" s="132"/>
      <c r="K39" s="132"/>
      <c r="L39" s="132"/>
      <c r="M39" s="132"/>
      <c r="N39" s="134"/>
      <c r="O39" s="134"/>
      <c r="P39" s="134"/>
      <c r="Q39" s="134"/>
      <c r="R39" s="137"/>
      <c r="S39" s="778"/>
      <c r="T39" s="634"/>
      <c r="U39" s="102"/>
      <c r="V39" s="634"/>
      <c r="W39" s="102"/>
      <c r="X39" s="102"/>
      <c r="Y39" s="102"/>
      <c r="Z39" s="634"/>
      <c r="AA39" s="102"/>
      <c r="AB39" s="634"/>
      <c r="AC39" s="102"/>
      <c r="AD39" s="634"/>
      <c r="AE39" s="102"/>
      <c r="AF39" s="102"/>
      <c r="AG39" s="102"/>
      <c r="AH39" s="102"/>
      <c r="AI39" s="634"/>
      <c r="AJ39" s="102"/>
      <c r="AK39" s="634"/>
      <c r="AL39" s="102"/>
      <c r="AM39" s="779"/>
      <c r="AN39" s="634"/>
      <c r="AO39" s="102"/>
      <c r="AP39" s="634"/>
      <c r="AQ39" s="102"/>
      <c r="AR39" s="634"/>
      <c r="AS39" s="102"/>
      <c r="AT39" s="634"/>
      <c r="AU39" s="102"/>
      <c r="AV39" s="634"/>
      <c r="AW39" s="102"/>
      <c r="AX39" s="102"/>
      <c r="AY39" s="102"/>
      <c r="AZ39" s="102"/>
      <c r="BA39" s="102"/>
      <c r="BB39" s="102"/>
      <c r="BC39" s="102"/>
      <c r="BD39" s="634"/>
      <c r="BE39" s="102"/>
      <c r="BF39" s="634"/>
      <c r="BG39" s="102"/>
      <c r="BH39" s="634"/>
      <c r="BI39" s="102"/>
      <c r="BJ39" s="122"/>
      <c r="BK39" s="186"/>
      <c r="BL39" s="102"/>
      <c r="BM39" s="102"/>
      <c r="BN39" s="102"/>
      <c r="BO39" s="102"/>
      <c r="BP39" s="102"/>
      <c r="BQ39" s="102"/>
      <c r="BR39" s="102"/>
      <c r="BS39" s="102"/>
      <c r="BT39" s="634"/>
      <c r="BU39" s="102"/>
      <c r="BW39" s="780"/>
      <c r="CA39" s="781"/>
      <c r="CB39" s="2258"/>
      <c r="CC39" s="782"/>
      <c r="CD39" s="782"/>
      <c r="CE39" s="634"/>
      <c r="CF39" s="840"/>
      <c r="CG39" s="634"/>
      <c r="CH39" s="840"/>
      <c r="CI39" s="634"/>
      <c r="CK39" s="634"/>
      <c r="CM39" s="634"/>
      <c r="CN39" s="102"/>
      <c r="CO39" s="784"/>
      <c r="CP39" s="784"/>
      <c r="CQ39" s="634"/>
      <c r="CR39" s="102"/>
      <c r="CS39" s="784"/>
      <c r="CT39" s="784"/>
      <c r="CU39" s="784"/>
      <c r="CV39" s="784"/>
      <c r="CW39" s="634"/>
      <c r="CX39" s="784"/>
      <c r="CY39" s="102"/>
      <c r="CZ39" s="102"/>
      <c r="DA39" s="102"/>
      <c r="DB39" s="102"/>
      <c r="DC39" s="102"/>
      <c r="DD39" s="102"/>
      <c r="DE39" s="634"/>
      <c r="DF39" s="102"/>
      <c r="DG39" s="634"/>
      <c r="DH39" s="296"/>
      <c r="DI39" s="802"/>
      <c r="DJ39" s="785"/>
      <c r="DK39" s="771"/>
      <c r="DL39" s="772"/>
      <c r="DM39" s="787"/>
      <c r="DN39" s="787"/>
      <c r="DO39" s="787"/>
      <c r="DP39" s="787"/>
      <c r="DQ39" s="787"/>
      <c r="DR39" s="787"/>
      <c r="DS39" s="787"/>
      <c r="DT39" s="787"/>
      <c r="DU39" s="787"/>
      <c r="DV39" s="787"/>
      <c r="DW39" s="802"/>
      <c r="DX39" s="788"/>
      <c r="DY39" s="634"/>
      <c r="DZ39" s="2288"/>
      <c r="EA39" s="2231"/>
      <c r="EB39" s="187"/>
      <c r="EC39" s="2232"/>
      <c r="ED39" s="187"/>
      <c r="EE39" s="187"/>
      <c r="EF39" s="2232"/>
      <c r="EG39" s="245"/>
      <c r="EH39" s="2232"/>
      <c r="EI39" s="187"/>
      <c r="EJ39" s="2232"/>
      <c r="EK39" s="187"/>
      <c r="EL39" s="2232"/>
      <c r="EM39" s="195"/>
      <c r="EN39" s="2232"/>
      <c r="EO39" s="195"/>
      <c r="EP39" s="2232"/>
      <c r="EQ39" s="187"/>
      <c r="ER39" s="2232"/>
      <c r="ES39" s="187"/>
      <c r="ET39" s="2232"/>
      <c r="EU39" s="187">
        <f t="shared" si="1"/>
        <v>0</v>
      </c>
      <c r="EV39" s="2232"/>
      <c r="EW39" s="187"/>
      <c r="EX39" s="2232"/>
      <c r="EY39" s="195"/>
      <c r="EZ39" s="2232"/>
      <c r="FA39" s="195"/>
      <c r="FB39" s="2232"/>
      <c r="FC39" s="195"/>
      <c r="FD39" s="2232"/>
      <c r="FE39" s="195"/>
      <c r="FF39" s="2232"/>
      <c r="FG39" s="195"/>
      <c r="FH39" s="2232"/>
      <c r="FI39" s="195"/>
      <c r="FJ39" s="2232"/>
      <c r="FK39" s="195"/>
      <c r="FL39" s="2232"/>
      <c r="FM39" s="187"/>
      <c r="FN39" s="2232"/>
      <c r="FO39" s="187"/>
      <c r="FP39" s="2232"/>
      <c r="FQ39" s="187"/>
      <c r="FR39" s="195"/>
      <c r="FS39" s="195"/>
      <c r="FT39" s="789"/>
      <c r="FU39" s="789"/>
      <c r="FV39" s="789"/>
      <c r="FW39" s="789"/>
      <c r="FX39" s="789"/>
      <c r="FY39" s="789"/>
      <c r="FZ39" s="789"/>
      <c r="GA39" s="789"/>
      <c r="GB39" s="2289"/>
      <c r="GC39" s="776"/>
    </row>
    <row r="40" spans="1:204" s="228" customFormat="1" ht="18.75">
      <c r="A40" s="216"/>
      <c r="B40" s="216">
        <v>12</v>
      </c>
      <c r="C40" s="918" t="s">
        <v>703</v>
      </c>
      <c r="D40" s="218">
        <v>3195</v>
      </c>
      <c r="E40" s="218">
        <v>40</v>
      </c>
      <c r="F40" s="897">
        <v>2031950040</v>
      </c>
      <c r="G40" s="218">
        <v>10000</v>
      </c>
      <c r="H40" s="221" t="s">
        <v>704</v>
      </c>
      <c r="I40" s="222"/>
      <c r="J40" s="218">
        <v>1</v>
      </c>
      <c r="K40" s="218">
        <v>0</v>
      </c>
      <c r="L40" s="218">
        <v>2</v>
      </c>
      <c r="M40" s="218">
        <v>6.5</v>
      </c>
      <c r="N40" s="220">
        <v>10000</v>
      </c>
      <c r="O40" s="220">
        <v>0</v>
      </c>
      <c r="P40" s="220">
        <v>10000</v>
      </c>
      <c r="Q40" s="220">
        <v>10000</v>
      </c>
      <c r="R40" s="223">
        <v>0</v>
      </c>
      <c r="S40" s="898" t="s">
        <v>839</v>
      </c>
      <c r="T40" s="234">
        <f>U40</f>
        <v>0</v>
      </c>
      <c r="U40" s="111">
        <v>0</v>
      </c>
      <c r="V40" s="234">
        <f>W40</f>
        <v>10000</v>
      </c>
      <c r="W40" s="111">
        <f>N40</f>
        <v>10000</v>
      </c>
      <c r="X40" s="111"/>
      <c r="Y40" s="111">
        <f>W40-AA40</f>
        <v>10000</v>
      </c>
      <c r="Z40" s="234">
        <f>AA40</f>
        <v>0</v>
      </c>
      <c r="AA40" s="111">
        <v>0</v>
      </c>
      <c r="AB40" s="234">
        <f>AC40</f>
        <v>0</v>
      </c>
      <c r="AC40" s="111">
        <v>0</v>
      </c>
      <c r="AD40" s="234">
        <f>AE40</f>
        <v>0</v>
      </c>
      <c r="AE40" s="111">
        <v>0</v>
      </c>
      <c r="AF40" s="111">
        <v>0</v>
      </c>
      <c r="AG40" s="111">
        <v>0</v>
      </c>
      <c r="AH40" s="111">
        <v>0</v>
      </c>
      <c r="AI40" s="234">
        <f>AJ40</f>
        <v>0</v>
      </c>
      <c r="AJ40" s="111">
        <v>0</v>
      </c>
      <c r="AK40" s="234">
        <f>AL40</f>
        <v>0</v>
      </c>
      <c r="AL40" s="111">
        <f>W40-(AA40+AC40+AE40+AH40+AJ40+AM40+AW40+AO40+AQ40+AS40+AU40)</f>
        <v>0</v>
      </c>
      <c r="AM40" s="899"/>
      <c r="AN40" s="234">
        <f>AO40</f>
        <v>10000</v>
      </c>
      <c r="AO40" s="111">
        <v>10000</v>
      </c>
      <c r="AP40" s="234">
        <f>AQ40</f>
        <v>0</v>
      </c>
      <c r="AQ40" s="111">
        <v>0</v>
      </c>
      <c r="AR40" s="234">
        <f>AS40</f>
        <v>0</v>
      </c>
      <c r="AS40" s="111">
        <v>0</v>
      </c>
      <c r="AT40" s="234">
        <f>AU40</f>
        <v>0</v>
      </c>
      <c r="AU40" s="111">
        <v>0</v>
      </c>
      <c r="AV40" s="234">
        <f>AW40</f>
        <v>0</v>
      </c>
      <c r="AW40" s="111">
        <f>AX40+AY40+AZ40+BA40+BB40</f>
        <v>0</v>
      </c>
      <c r="AX40" s="111">
        <v>0</v>
      </c>
      <c r="AY40" s="111">
        <v>0</v>
      </c>
      <c r="AZ40" s="111">
        <v>0</v>
      </c>
      <c r="BA40" s="111">
        <v>0</v>
      </c>
      <c r="BB40" s="111">
        <v>0</v>
      </c>
      <c r="BC40" s="111">
        <v>0</v>
      </c>
      <c r="BD40" s="234">
        <f>BE40</f>
        <v>10000</v>
      </c>
      <c r="BE40" s="111">
        <f>W40+U40</f>
        <v>10000</v>
      </c>
      <c r="BF40" s="234">
        <f>BG40</f>
        <v>0</v>
      </c>
      <c r="BG40" s="111">
        <f>ROUND(U40/'[1]Projected Development Sites'!DF$134,0)</f>
        <v>0</v>
      </c>
      <c r="BH40" s="234">
        <f>BI40</f>
        <v>0</v>
      </c>
      <c r="BI40" s="111">
        <f>'[1]Projected Development Sites'!BG$135*BG40</f>
        <v>0</v>
      </c>
      <c r="BJ40" s="122">
        <f t="shared" si="13"/>
        <v>0</v>
      </c>
      <c r="BK40" s="306">
        <f>ROUND((AL40+AC40+AA40)/1000*3,0)+ROUND((AE40+AU40)/1000,0)+ROUND((ROUND(AH40/400,0))/2.67,0)+ROUND(AJ40/250,0)+ROUND(AO40/15000,0)+ROUND((AX40+AY40+AZ40+BB40)/1000*3,0)+ROUND(BG40/25,0)+ROUND(BU40/50,0)</f>
        <v>1</v>
      </c>
      <c r="BL40" s="111">
        <v>0</v>
      </c>
      <c r="BM40" s="111">
        <v>0</v>
      </c>
      <c r="BN40" s="111">
        <f>W40/1000</f>
        <v>10</v>
      </c>
      <c r="BO40" s="111">
        <f>AC40/1000</f>
        <v>0</v>
      </c>
      <c r="BP40" s="111">
        <f>((AH40/400)/12)</f>
        <v>0</v>
      </c>
      <c r="BQ40" s="111">
        <f>IFERROR(VLOOKUP(F40,#REF!,3,FALSE),0)</f>
        <v>0</v>
      </c>
      <c r="BR40" s="111">
        <v>0</v>
      </c>
      <c r="BS40" s="111">
        <f>IF(BB40&gt;0,"Calculate",0)</f>
        <v>0</v>
      </c>
      <c r="BT40" s="234">
        <f>BU40</f>
        <v>10</v>
      </c>
      <c r="BU40" s="111">
        <f>SUM(BL40:BS40)</f>
        <v>10</v>
      </c>
      <c r="BV40" s="228">
        <v>20</v>
      </c>
      <c r="BW40" s="900" t="s">
        <v>705</v>
      </c>
      <c r="BX40" s="228">
        <v>4.5999999999999996</v>
      </c>
      <c r="BY40" s="228">
        <v>2</v>
      </c>
      <c r="BZ40" s="228">
        <v>4.5999999999999996</v>
      </c>
      <c r="CA40" s="901" t="s">
        <v>706</v>
      </c>
      <c r="CB40" s="230" t="s">
        <v>716</v>
      </c>
      <c r="CC40" s="399">
        <f>(BX40*G40)-CF40</f>
        <v>37500</v>
      </c>
      <c r="CD40" s="399">
        <v>37500</v>
      </c>
      <c r="CE40" s="234">
        <f>CF40</f>
        <v>8500</v>
      </c>
      <c r="CF40" s="902">
        <f>1*(G40)-(0.15*1*(G40))</f>
        <v>8500</v>
      </c>
      <c r="CG40" s="234">
        <f>CH40</f>
        <v>8500</v>
      </c>
      <c r="CH40" s="902">
        <f>CF40-CJ40</f>
        <v>8500</v>
      </c>
      <c r="CI40" s="234">
        <f>CJ40</f>
        <v>0</v>
      </c>
      <c r="CJ40" s="228">
        <v>0</v>
      </c>
      <c r="CK40" s="234">
        <f>CL40</f>
        <v>0</v>
      </c>
      <c r="CL40" s="228">
        <v>0</v>
      </c>
      <c r="CM40" s="234">
        <f>CN40</f>
        <v>8500</v>
      </c>
      <c r="CN40" s="111">
        <f>CH40</f>
        <v>8500</v>
      </c>
      <c r="CO40" s="903">
        <v>0</v>
      </c>
      <c r="CP40" s="903">
        <v>0</v>
      </c>
      <c r="CQ40" s="234">
        <f>CR40</f>
        <v>0</v>
      </c>
      <c r="CR40" s="111">
        <v>0</v>
      </c>
      <c r="CS40" s="903">
        <v>0</v>
      </c>
      <c r="CT40" s="903">
        <v>0</v>
      </c>
      <c r="CU40" s="903">
        <v>0</v>
      </c>
      <c r="CV40" s="903">
        <v>0</v>
      </c>
      <c r="CW40" s="234">
        <f>CX40</f>
        <v>0</v>
      </c>
      <c r="CX40" s="111">
        <f>SUM(CY40:DC40)</f>
        <v>0</v>
      </c>
      <c r="CY40" s="111">
        <v>0</v>
      </c>
      <c r="CZ40" s="111">
        <v>0</v>
      </c>
      <c r="DA40" s="111">
        <v>0</v>
      </c>
      <c r="DB40" s="111">
        <v>0</v>
      </c>
      <c r="DC40" s="111">
        <v>0</v>
      </c>
      <c r="DD40" s="111"/>
      <c r="DE40" s="234">
        <f>DF40</f>
        <v>46000</v>
      </c>
      <c r="DF40" s="111">
        <f>CC40+CF40</f>
        <v>46000</v>
      </c>
      <c r="DG40" s="234">
        <f>DH40</f>
        <v>38</v>
      </c>
      <c r="DH40" s="228">
        <f>ROUND(CC40/'[1]Projected Development Sites'!DF$134,0)</f>
        <v>38</v>
      </c>
      <c r="DI40" s="886">
        <f>DJ40</f>
        <v>38</v>
      </c>
      <c r="DJ40" s="905">
        <f>'[1]Projected Development Sites'!DK$136*DH40</f>
        <v>38</v>
      </c>
      <c r="DK40" s="771">
        <f>3.06*DH40</f>
        <v>116.28</v>
      </c>
      <c r="DL40" s="772">
        <f>ROUND((CN40+CL40+CJ40)/1000*3,0)+ROUND((ROUND(CP40/400,0))/2.67,0)+ROUND(CV40/1000,0)+ROUND((CY40+CZ40+DA40+DC40)/1000*3,0)+ROUND(DH40/25,0)+ROUND(DX40/50,0)</f>
        <v>28</v>
      </c>
      <c r="DM40" s="905">
        <v>0</v>
      </c>
      <c r="DN40" s="905"/>
      <c r="DO40" s="905">
        <v>0</v>
      </c>
      <c r="DP40" s="905">
        <f>0.25*DJ40</f>
        <v>9.5</v>
      </c>
      <c r="DQ40" s="905">
        <f>SUM(CO40,CJ40,CN40,CR40,CU40)/1000</f>
        <v>8.5</v>
      </c>
      <c r="DR40" s="905">
        <f>CL40/1000</f>
        <v>0</v>
      </c>
      <c r="DS40" s="905">
        <f>((CP40/400)/12)</f>
        <v>0</v>
      </c>
      <c r="DT40" s="905">
        <v>0</v>
      </c>
      <c r="DU40" s="905">
        <v>0</v>
      </c>
      <c r="DV40" s="905">
        <f>CX40/1000</f>
        <v>0</v>
      </c>
      <c r="DW40" s="886">
        <f>DX40</f>
        <v>8.5</v>
      </c>
      <c r="DX40" s="906">
        <f>SUM(DM40,DO40,DQ40:DV40)</f>
        <v>8.5</v>
      </c>
      <c r="DY40" s="837">
        <v>95</v>
      </c>
      <c r="DZ40" s="2288">
        <f>CD40-T40</f>
        <v>37500</v>
      </c>
      <c r="EA40" s="2231">
        <f>CE40-V40</f>
        <v>-1500</v>
      </c>
      <c r="EB40" s="187">
        <f>CF40-W40</f>
        <v>-1500</v>
      </c>
      <c r="EC40" s="235">
        <f>ED40</f>
        <v>8500</v>
      </c>
      <c r="ED40" s="187">
        <v>8500</v>
      </c>
      <c r="EE40" s="187">
        <f>(SUM(CJ40:CO40))-(SUM(AA40:AE40,AL40))</f>
        <v>17000</v>
      </c>
      <c r="EF40" s="235">
        <f>EG40</f>
        <v>8500</v>
      </c>
      <c r="EG40" s="245">
        <v>8500</v>
      </c>
      <c r="EH40" s="235">
        <f>EI40</f>
        <v>0</v>
      </c>
      <c r="EI40" s="187">
        <f>CL40-AC40</f>
        <v>0</v>
      </c>
      <c r="EJ40" s="235">
        <f>EK40</f>
        <v>0</v>
      </c>
      <c r="EK40" s="187">
        <f>CJ40-AA40</f>
        <v>0</v>
      </c>
      <c r="EL40" s="235">
        <f>EM40</f>
        <v>0</v>
      </c>
      <c r="EM40" s="245">
        <f>CO40-AE40</f>
        <v>0</v>
      </c>
      <c r="EN40" s="235">
        <f>EO40</f>
        <v>0</v>
      </c>
      <c r="EO40" s="245">
        <f>CP40-AH40</f>
        <v>0</v>
      </c>
      <c r="EP40" s="235">
        <f>EQ40</f>
        <v>0</v>
      </c>
      <c r="EQ40" s="187">
        <f>CR40-AJ40</f>
        <v>0</v>
      </c>
      <c r="ER40" s="235">
        <f>ES40</f>
        <v>-10000</v>
      </c>
      <c r="ES40" s="187">
        <f>CS40-AO40</f>
        <v>-10000</v>
      </c>
      <c r="ET40" s="235">
        <f>EU40</f>
        <v>0</v>
      </c>
      <c r="EU40" s="187">
        <f t="shared" si="1"/>
        <v>0</v>
      </c>
      <c r="EV40" s="235">
        <f>EW40</f>
        <v>0</v>
      </c>
      <c r="EW40" s="187">
        <f>CU40-AS40</f>
        <v>0</v>
      </c>
      <c r="EX40" s="235">
        <f>EY40</f>
        <v>0</v>
      </c>
      <c r="EY40" s="245">
        <f>CV40-AU40</f>
        <v>0</v>
      </c>
      <c r="EZ40" s="235">
        <f>FA40</f>
        <v>0</v>
      </c>
      <c r="FA40" s="245">
        <f>CY40-AX40</f>
        <v>0</v>
      </c>
      <c r="FB40" s="235">
        <f>FC40</f>
        <v>0</v>
      </c>
      <c r="FC40" s="245">
        <f>CZ40-AY40</f>
        <v>0</v>
      </c>
      <c r="FD40" s="235">
        <f>FE40</f>
        <v>0</v>
      </c>
      <c r="FE40" s="245">
        <f>DA40-AZ40</f>
        <v>0</v>
      </c>
      <c r="FF40" s="235">
        <f>FG40</f>
        <v>0</v>
      </c>
      <c r="FG40" s="245">
        <f>DB40-BA40</f>
        <v>0</v>
      </c>
      <c r="FH40" s="235">
        <f>FI40</f>
        <v>0</v>
      </c>
      <c r="FI40" s="245">
        <f>DC40-BB40</f>
        <v>0</v>
      </c>
      <c r="FJ40" s="235">
        <f>FK40</f>
        <v>0</v>
      </c>
      <c r="FK40" s="245">
        <f>CX40-AW40</f>
        <v>0</v>
      </c>
      <c r="FL40" s="235">
        <f>FM40</f>
        <v>36000</v>
      </c>
      <c r="FM40" s="187">
        <f>DF40-BE40</f>
        <v>36000</v>
      </c>
      <c r="FN40" s="235">
        <f>FO40</f>
        <v>38</v>
      </c>
      <c r="FO40" s="187">
        <f>DH40-BG40</f>
        <v>38</v>
      </c>
      <c r="FP40" s="235">
        <f>FQ40</f>
        <v>38</v>
      </c>
      <c r="FQ40" s="187">
        <f>DJ40-BI40</f>
        <v>38</v>
      </c>
      <c r="FR40" s="245">
        <f>DK40-BJ40</f>
        <v>116.28</v>
      </c>
      <c r="FS40" s="245">
        <f>DL40-BK40</f>
        <v>27</v>
      </c>
      <c r="FT40" s="907">
        <f>DM40-BL40</f>
        <v>0</v>
      </c>
      <c r="FU40" s="907">
        <f>DR40-BO40</f>
        <v>0</v>
      </c>
      <c r="FV40" s="907">
        <f>DO40-BM40</f>
        <v>0</v>
      </c>
      <c r="FW40" s="907">
        <f>DQ40-BN40</f>
        <v>-1.5</v>
      </c>
      <c r="FX40" s="907">
        <f>DS40-BP40</f>
        <v>0</v>
      </c>
      <c r="FY40" s="907">
        <f>DT40-BQ40</f>
        <v>0</v>
      </c>
      <c r="FZ40" s="907">
        <f>DU40-BR40</f>
        <v>0</v>
      </c>
      <c r="GA40" s="907">
        <f>DV40-BS40</f>
        <v>0</v>
      </c>
      <c r="GB40" s="894">
        <f>GC40</f>
        <v>-1.5</v>
      </c>
      <c r="GC40" s="776">
        <f t="shared" si="4"/>
        <v>-1.5</v>
      </c>
      <c r="GD40" s="139"/>
      <c r="GE40" s="139"/>
      <c r="GF40" s="139"/>
      <c r="GG40" s="139"/>
      <c r="GH40" s="139"/>
      <c r="GI40" s="139"/>
      <c r="GJ40" s="139"/>
      <c r="GK40" s="139"/>
      <c r="GL40" s="139"/>
      <c r="GM40" s="139"/>
      <c r="GN40" s="139"/>
      <c r="GO40" s="139"/>
      <c r="GP40" s="139"/>
      <c r="GQ40" s="139"/>
      <c r="GR40" s="139"/>
      <c r="GS40" s="139"/>
      <c r="GT40" s="139"/>
    </row>
    <row r="41" spans="1:204" s="139" customFormat="1" ht="18.75">
      <c r="A41" s="2263"/>
      <c r="B41" s="2263"/>
      <c r="C41" s="132"/>
      <c r="D41" s="132"/>
      <c r="E41" s="132"/>
      <c r="F41" s="777"/>
      <c r="G41" s="132"/>
      <c r="H41" s="135"/>
      <c r="I41" s="136"/>
      <c r="J41" s="132"/>
      <c r="K41" s="132"/>
      <c r="L41" s="132"/>
      <c r="M41" s="132"/>
      <c r="N41" s="134"/>
      <c r="O41" s="134"/>
      <c r="P41" s="134"/>
      <c r="Q41" s="134"/>
      <c r="R41" s="137"/>
      <c r="S41" s="778"/>
      <c r="T41" s="634"/>
      <c r="U41" s="102"/>
      <c r="V41" s="634"/>
      <c r="W41" s="102"/>
      <c r="X41" s="102"/>
      <c r="Y41" s="102"/>
      <c r="Z41" s="634"/>
      <c r="AA41" s="102"/>
      <c r="AB41" s="634"/>
      <c r="AC41" s="102"/>
      <c r="AD41" s="634"/>
      <c r="AE41" s="102"/>
      <c r="AF41" s="102"/>
      <c r="AG41" s="102"/>
      <c r="AH41" s="102"/>
      <c r="AI41" s="634"/>
      <c r="AJ41" s="102"/>
      <c r="AK41" s="634"/>
      <c r="AL41" s="102"/>
      <c r="AM41" s="779"/>
      <c r="AN41" s="634"/>
      <c r="AO41" s="102"/>
      <c r="AP41" s="634"/>
      <c r="AQ41" s="102"/>
      <c r="AR41" s="634"/>
      <c r="AS41" s="102"/>
      <c r="AT41" s="634"/>
      <c r="AU41" s="102"/>
      <c r="AV41" s="634"/>
      <c r="AW41" s="102"/>
      <c r="AX41" s="102"/>
      <c r="AY41" s="102"/>
      <c r="AZ41" s="102"/>
      <c r="BA41" s="102"/>
      <c r="BB41" s="102"/>
      <c r="BC41" s="102"/>
      <c r="BD41" s="634"/>
      <c r="BE41" s="102"/>
      <c r="BF41" s="634"/>
      <c r="BG41" s="102"/>
      <c r="BH41" s="634"/>
      <c r="BI41" s="102"/>
      <c r="BJ41" s="122"/>
      <c r="BK41" s="186"/>
      <c r="BL41" s="102"/>
      <c r="BM41" s="102"/>
      <c r="BN41" s="102"/>
      <c r="BO41" s="102"/>
      <c r="BP41" s="102"/>
      <c r="BQ41" s="102"/>
      <c r="BR41" s="102"/>
      <c r="BS41" s="102"/>
      <c r="BT41" s="634"/>
      <c r="BU41" s="102"/>
      <c r="BW41" s="780"/>
      <c r="CA41" s="781"/>
      <c r="CB41" s="2258"/>
      <c r="CC41" s="782"/>
      <c r="CD41" s="782"/>
      <c r="CE41" s="634"/>
      <c r="CF41" s="783"/>
      <c r="CG41" s="634"/>
      <c r="CH41" s="783"/>
      <c r="CI41" s="634"/>
      <c r="CK41" s="634"/>
      <c r="CM41" s="634"/>
      <c r="CN41" s="784"/>
      <c r="CO41" s="784"/>
      <c r="CP41" s="784"/>
      <c r="CQ41" s="634"/>
      <c r="CR41" s="102"/>
      <c r="CS41" s="784"/>
      <c r="CT41" s="784"/>
      <c r="CU41" s="784"/>
      <c r="CV41" s="784"/>
      <c r="CW41" s="634"/>
      <c r="CX41" s="784"/>
      <c r="CY41" s="784"/>
      <c r="CZ41" s="784"/>
      <c r="DA41" s="784"/>
      <c r="DB41" s="784"/>
      <c r="DC41" s="784"/>
      <c r="DD41" s="784"/>
      <c r="DE41" s="634"/>
      <c r="DF41" s="784"/>
      <c r="DG41" s="634"/>
      <c r="DH41" s="296"/>
      <c r="DI41" s="802"/>
      <c r="DJ41" s="785"/>
      <c r="DK41" s="771"/>
      <c r="DL41" s="772"/>
      <c r="DM41" s="787"/>
      <c r="DN41" s="787"/>
      <c r="DO41" s="787"/>
      <c r="DP41" s="787"/>
      <c r="DQ41" s="787"/>
      <c r="DR41" s="787"/>
      <c r="DS41" s="787"/>
      <c r="DT41" s="787"/>
      <c r="DU41" s="787"/>
      <c r="DV41" s="787"/>
      <c r="DW41" s="802"/>
      <c r="DX41" s="788"/>
      <c r="DY41" s="634"/>
      <c r="DZ41" s="2288"/>
      <c r="EA41" s="2231"/>
      <c r="EB41" s="187"/>
      <c r="EC41" s="2232"/>
      <c r="ED41" s="187"/>
      <c r="EE41" s="187"/>
      <c r="EF41" s="2232"/>
      <c r="EG41" s="245"/>
      <c r="EH41" s="2232"/>
      <c r="EI41" s="187"/>
      <c r="EJ41" s="2232"/>
      <c r="EK41" s="187"/>
      <c r="EL41" s="2232"/>
      <c r="EM41" s="195"/>
      <c r="EN41" s="2232"/>
      <c r="EO41" s="195"/>
      <c r="EP41" s="2232"/>
      <c r="EQ41" s="187"/>
      <c r="ER41" s="2232"/>
      <c r="ES41" s="187"/>
      <c r="ET41" s="2232"/>
      <c r="EU41" s="187">
        <f t="shared" si="1"/>
        <v>0</v>
      </c>
      <c r="EV41" s="2232"/>
      <c r="EW41" s="187"/>
      <c r="EX41" s="2232"/>
      <c r="EY41" s="195"/>
      <c r="EZ41" s="2232"/>
      <c r="FA41" s="195"/>
      <c r="FB41" s="2232"/>
      <c r="FC41" s="195"/>
      <c r="FD41" s="2232"/>
      <c r="FE41" s="195"/>
      <c r="FF41" s="2232"/>
      <c r="FG41" s="195"/>
      <c r="FH41" s="2232"/>
      <c r="FI41" s="195"/>
      <c r="FJ41" s="2232"/>
      <c r="FK41" s="195"/>
      <c r="FL41" s="2232"/>
      <c r="FM41" s="187"/>
      <c r="FN41" s="2232"/>
      <c r="FO41" s="187"/>
      <c r="FP41" s="2232"/>
      <c r="FQ41" s="187"/>
      <c r="FR41" s="195"/>
      <c r="FS41" s="195"/>
      <c r="FT41" s="789"/>
      <c r="FU41" s="789"/>
      <c r="FV41" s="789"/>
      <c r="FW41" s="789"/>
      <c r="FX41" s="789"/>
      <c r="FY41" s="789"/>
      <c r="FZ41" s="789"/>
      <c r="GA41" s="789"/>
      <c r="GB41" s="2286"/>
      <c r="GC41" s="776"/>
    </row>
    <row r="42" spans="1:204" s="127" customFormat="1" ht="15" customHeight="1">
      <c r="A42" s="2588"/>
      <c r="B42" s="2588">
        <v>13</v>
      </c>
      <c r="C42" s="115" t="s">
        <v>703</v>
      </c>
      <c r="D42" s="115">
        <v>3195</v>
      </c>
      <c r="E42" s="115">
        <v>90</v>
      </c>
      <c r="F42" s="115">
        <v>2031950090</v>
      </c>
      <c r="G42" s="115">
        <v>5479</v>
      </c>
      <c r="H42" s="118" t="s">
        <v>704</v>
      </c>
      <c r="I42" s="119"/>
      <c r="J42" s="115">
        <v>8.17</v>
      </c>
      <c r="K42" s="115">
        <v>0</v>
      </c>
      <c r="L42" s="115">
        <v>2</v>
      </c>
      <c r="M42" s="115">
        <v>6.5</v>
      </c>
      <c r="N42" s="117">
        <v>44748</v>
      </c>
      <c r="O42" s="117">
        <v>44748</v>
      </c>
      <c r="P42" s="117">
        <v>0</v>
      </c>
      <c r="Q42" s="117">
        <v>44748</v>
      </c>
      <c r="R42" s="120">
        <v>0</v>
      </c>
      <c r="S42" s="764" t="s">
        <v>717</v>
      </c>
      <c r="T42" s="2600">
        <f>SUM(U42:U45)</f>
        <v>0</v>
      </c>
      <c r="U42" s="122">
        <v>0</v>
      </c>
      <c r="V42" s="2600">
        <f>SUM(W42:W45)</f>
        <v>66658</v>
      </c>
      <c r="W42" s="122">
        <v>44748</v>
      </c>
      <c r="X42" s="122"/>
      <c r="Y42" s="122">
        <f>W42-AA42</f>
        <v>44748</v>
      </c>
      <c r="Z42" s="2600">
        <f>SUM(AA42:AA45)</f>
        <v>800</v>
      </c>
      <c r="AA42" s="122">
        <v>0</v>
      </c>
      <c r="AB42" s="2600">
        <f>SUM(AC42:AC45)</f>
        <v>0</v>
      </c>
      <c r="AC42" s="122">
        <v>0</v>
      </c>
      <c r="AD42" s="2600">
        <f>SUM(AE42:AE45)</f>
        <v>6080</v>
      </c>
      <c r="AE42" s="122">
        <f>AG42+AF42</f>
        <v>0</v>
      </c>
      <c r="AF42" s="122">
        <v>0</v>
      </c>
      <c r="AG42" s="122">
        <v>0</v>
      </c>
      <c r="AH42" s="122">
        <v>0</v>
      </c>
      <c r="AI42" s="2600">
        <f>SUM(AJ42:AJ45)</f>
        <v>0</v>
      </c>
      <c r="AJ42" s="122">
        <v>0</v>
      </c>
      <c r="AK42" s="2600">
        <f>SUM(AL42:AL45)</f>
        <v>5329</v>
      </c>
      <c r="AL42" s="122">
        <f>W42-(AA42+AC42+AE42+AH42+AJ42+AM42+AW42+AO42+AQ42+AS42+AU42)</f>
        <v>0</v>
      </c>
      <c r="AM42" s="765"/>
      <c r="AN42" s="2600">
        <f>SUM(AO42:AO45)</f>
        <v>44748</v>
      </c>
      <c r="AO42" s="122">
        <v>44748</v>
      </c>
      <c r="AP42" s="2600">
        <f>SUM(AQ42:AQ45)</f>
        <v>0</v>
      </c>
      <c r="AQ42" s="122">
        <v>0</v>
      </c>
      <c r="AR42" s="2600">
        <f>SUM(AS42:AS45)</f>
        <v>0</v>
      </c>
      <c r="AS42" s="122">
        <v>0</v>
      </c>
      <c r="AT42" s="2600">
        <f>SUM(AU42:AU45)</f>
        <v>0</v>
      </c>
      <c r="AU42" s="122">
        <v>0</v>
      </c>
      <c r="AV42" s="2600">
        <f>SUM(AW42:AW45)</f>
        <v>9701</v>
      </c>
      <c r="AW42" s="122">
        <v>0</v>
      </c>
      <c r="AX42" s="122">
        <v>0</v>
      </c>
      <c r="AY42" s="122">
        <v>0</v>
      </c>
      <c r="AZ42" s="122">
        <v>0</v>
      </c>
      <c r="BA42" s="122">
        <v>0</v>
      </c>
      <c r="BB42" s="122">
        <v>0</v>
      </c>
      <c r="BC42" s="122">
        <v>0</v>
      </c>
      <c r="BD42" s="2600">
        <f>SUM(BE42:BE45)</f>
        <v>66658</v>
      </c>
      <c r="BE42" s="122">
        <f>U42+W42</f>
        <v>44748</v>
      </c>
      <c r="BF42" s="2600">
        <f>SUM(BG42:BG45)</f>
        <v>0</v>
      </c>
      <c r="BG42" s="122">
        <f>ROUND(U42/'[1]Projected Development Sites'!DF$134,0)</f>
        <v>0</v>
      </c>
      <c r="BH42" s="2600">
        <f>SUM(BI42:BI45)</f>
        <v>0</v>
      </c>
      <c r="BI42" s="122">
        <f>'[1]Projected Development Sites'!BG$135*BG42</f>
        <v>0</v>
      </c>
      <c r="BJ42" s="122">
        <f t="shared" si="13"/>
        <v>0</v>
      </c>
      <c r="BK42" s="129">
        <f>ROUND((Y42+AC42+AA42)/1000*3,0)+ROUND((AE42+AU42)/1000,0)+ROUND((ROUND(AH42/400,0))/2.67,0)+ROUND(AM42/250,0)+ROUND(AO42/15000,0)+ROUND((AX42+AY42+AZ42+BB42)/1000*3,0)+ROUND(BG42/25,0)+ROUND(BU335/50,0)</f>
        <v>137</v>
      </c>
      <c r="BL42" s="122">
        <v>0</v>
      </c>
      <c r="BM42" s="122">
        <v>0</v>
      </c>
      <c r="BN42" s="122">
        <v>0</v>
      </c>
      <c r="BO42" s="122">
        <f>AC42/1000</f>
        <v>0</v>
      </c>
      <c r="BP42" s="122">
        <f>AH42/1000</f>
        <v>0</v>
      </c>
      <c r="BQ42" s="122">
        <v>0</v>
      </c>
      <c r="BR42" s="122">
        <v>0</v>
      </c>
      <c r="BS42" s="122">
        <v>0</v>
      </c>
      <c r="BT42" s="2600">
        <f>SUM(BU42:BU45)</f>
        <v>0</v>
      </c>
      <c r="BU42" s="122">
        <f>SUM(BL42:BS42)</f>
        <v>0</v>
      </c>
      <c r="BV42" s="127">
        <v>95</v>
      </c>
      <c r="BW42" s="766" t="s">
        <v>705</v>
      </c>
      <c r="BX42" s="127">
        <v>4.5999999999999996</v>
      </c>
      <c r="BY42" s="127">
        <v>2</v>
      </c>
      <c r="BZ42" s="127">
        <v>4.5999999999999996</v>
      </c>
      <c r="CA42" s="767" t="s">
        <v>706</v>
      </c>
      <c r="CB42" s="2745" t="s">
        <v>853</v>
      </c>
      <c r="CC42" s="768">
        <f>(BX42*G42)-CF42</f>
        <v>20546.25</v>
      </c>
      <c r="CD42" s="2731">
        <f>SUM(CC42:CC45)</f>
        <v>79713.349999999991</v>
      </c>
      <c r="CE42" s="2600">
        <f>SUM(CF42:CF45)</f>
        <v>18956.650000000001</v>
      </c>
      <c r="CF42" s="769">
        <f>1*(G42)-(0.15*1*(G42))</f>
        <v>4657.1499999999996</v>
      </c>
      <c r="CG42" s="2600">
        <f>SUM(CH42:CH45)</f>
        <v>18956.650000000001</v>
      </c>
      <c r="CH42" s="769">
        <f>CF42-CJ42</f>
        <v>4657.1499999999996</v>
      </c>
      <c r="CI42" s="2600">
        <f>SUM(CJ42:CJ45)</f>
        <v>0</v>
      </c>
      <c r="CJ42" s="127">
        <v>0</v>
      </c>
      <c r="CK42" s="2600">
        <f>SUM(CL42:CL45)</f>
        <v>0</v>
      </c>
      <c r="CL42" s="127">
        <v>0</v>
      </c>
      <c r="CM42" s="2600">
        <f>SUM(CN42:CN45)</f>
        <v>9255.65</v>
      </c>
      <c r="CN42" s="770">
        <f>CF42-(CJ42+CL42+CO42+CP42+CR42+CU42+CV42+CX42)</f>
        <v>4657.1499999999996</v>
      </c>
      <c r="CO42" s="770">
        <v>0</v>
      </c>
      <c r="CP42" s="770">
        <v>0</v>
      </c>
      <c r="CQ42" s="2600">
        <f>SUM(CR42:CR45)</f>
        <v>0</v>
      </c>
      <c r="CR42" s="122">
        <v>0</v>
      </c>
      <c r="CS42" s="770">
        <v>0</v>
      </c>
      <c r="CT42" s="770">
        <v>0</v>
      </c>
      <c r="CU42" s="770">
        <v>0</v>
      </c>
      <c r="CV42" s="770"/>
      <c r="CW42" s="2600">
        <f>SUM(CX42:CX45)</f>
        <v>9701</v>
      </c>
      <c r="CX42" s="122">
        <f>SUM(CY42:DC42)</f>
        <v>0</v>
      </c>
      <c r="CY42" s="122">
        <f t="shared" ref="CY42:DC43" si="22">AX42</f>
        <v>0</v>
      </c>
      <c r="CZ42" s="122">
        <f t="shared" si="22"/>
        <v>0</v>
      </c>
      <c r="DA42" s="122">
        <f t="shared" si="22"/>
        <v>0</v>
      </c>
      <c r="DB42" s="122">
        <f t="shared" si="22"/>
        <v>0</v>
      </c>
      <c r="DC42" s="122">
        <f t="shared" si="22"/>
        <v>0</v>
      </c>
      <c r="DD42" s="122"/>
      <c r="DE42" s="2600">
        <f>SUM(DF42:DF45)</f>
        <v>98670</v>
      </c>
      <c r="DF42" s="122">
        <f>CC42+CF42</f>
        <v>25203.4</v>
      </c>
      <c r="DG42" s="2600">
        <f>SUM(DH42:DH45)</f>
        <v>79.713349999999991</v>
      </c>
      <c r="DH42" s="293">
        <f>CC42/'[1]Projected Development Sites'!DF$134</f>
        <v>20.546250000000001</v>
      </c>
      <c r="DI42" s="2722">
        <f>SUM(DJ42:DJ45)</f>
        <v>79.713349999999991</v>
      </c>
      <c r="DJ42" s="771">
        <f>'[1]Projected Development Sites'!DK$136*DH42</f>
        <v>20.546250000000001</v>
      </c>
      <c r="DK42" s="771">
        <f>3.06*DH42</f>
        <v>62.871525000000005</v>
      </c>
      <c r="DL42" s="772">
        <f>ROUND((CN42+CL42+CJ42)/1000*3,0)+ROUND((ROUND(CP42/400,0))/2.67,0)+ROUND(CV42/1000,0)+ROUND((CY42+CZ42+DA42+DC42)/1000*3,0)+ROUND(DH42/25,0)+ROUND(DX42/50,0)</f>
        <v>15</v>
      </c>
      <c r="DM42" s="773">
        <v>0</v>
      </c>
      <c r="DN42" s="773"/>
      <c r="DO42" s="773">
        <v>0</v>
      </c>
      <c r="DP42" s="773">
        <f>0.25*DJ42</f>
        <v>5.1365625000000001</v>
      </c>
      <c r="DQ42" s="773">
        <f>SUM(CO42,CJ42,CN42,CR42,CU42)/1000</f>
        <v>4.6571499999999997</v>
      </c>
      <c r="DR42" s="773">
        <f>CL42/1000</f>
        <v>0</v>
      </c>
      <c r="DS42" s="773">
        <f>((CP42/400)/12)</f>
        <v>0</v>
      </c>
      <c r="DT42" s="773">
        <v>0</v>
      </c>
      <c r="DU42" s="773">
        <v>0</v>
      </c>
      <c r="DV42" s="773">
        <f>CX42/1000</f>
        <v>0</v>
      </c>
      <c r="DW42" s="2722">
        <f>SUM(DX42:DX45)</f>
        <v>18.95665</v>
      </c>
      <c r="DX42" s="774">
        <f>SUM(DM42,DO42,DQ42:DV42)</f>
        <v>4.6571499999999997</v>
      </c>
      <c r="DY42" s="2725">
        <v>115</v>
      </c>
      <c r="DZ42" s="2728">
        <f>CD42-T42</f>
        <v>79713.349999999991</v>
      </c>
      <c r="EA42" s="2602">
        <f>CE42-V42</f>
        <v>-47701.35</v>
      </c>
      <c r="EB42" s="187">
        <f>CF42-W42</f>
        <v>-40090.85</v>
      </c>
      <c r="EC42" s="2602">
        <f>SUM(ED42:ED45)</f>
        <v>-2953.3500000000004</v>
      </c>
      <c r="ED42" s="187">
        <v>4657.1499999999996</v>
      </c>
      <c r="EE42" s="187">
        <f>(SUM(CJ42:CO42))-(SUM(AA42:AE42,AL42))</f>
        <v>7832.7999999999993</v>
      </c>
      <c r="EF42" s="2602">
        <f>SUM(EG42:EG45)</f>
        <v>3926.6499999999996</v>
      </c>
      <c r="EG42" s="187">
        <v>4657.1499999999996</v>
      </c>
      <c r="EH42" s="2602">
        <f>SUM(EI42:EI45)</f>
        <v>0</v>
      </c>
      <c r="EI42" s="187">
        <f>CL42-AC42</f>
        <v>0</v>
      </c>
      <c r="EJ42" s="2602">
        <f>SUM(EK42:EK45)</f>
        <v>-800</v>
      </c>
      <c r="EK42" s="187">
        <f>CJ42-AA42</f>
        <v>0</v>
      </c>
      <c r="EL42" s="2602">
        <f>SUM(EM42:EM45)</f>
        <v>-6080</v>
      </c>
      <c r="EM42" s="187">
        <f>CO42-AE42</f>
        <v>0</v>
      </c>
      <c r="EN42" s="2602">
        <f>SUM(EO42:EO45)</f>
        <v>0</v>
      </c>
      <c r="EO42" s="187">
        <f>CP42-AH42</f>
        <v>0</v>
      </c>
      <c r="EP42" s="2602">
        <f>SUM(EQ42:EQ45)</f>
        <v>0</v>
      </c>
      <c r="EQ42" s="187">
        <f>CR42-AJ42</f>
        <v>0</v>
      </c>
      <c r="ER42" s="2602">
        <f>SUM(ES42:ES45)</f>
        <v>-44748</v>
      </c>
      <c r="ES42" s="187">
        <f>CS42-AO42</f>
        <v>-44748</v>
      </c>
      <c r="ET42" s="2602">
        <f>SUM(EU42:EU45)</f>
        <v>0</v>
      </c>
      <c r="EU42" s="187">
        <f t="shared" si="1"/>
        <v>0</v>
      </c>
      <c r="EV42" s="2602">
        <f>SUM(EW42:EW45)</f>
        <v>0</v>
      </c>
      <c r="EW42" s="187">
        <f>CU42-AS42</f>
        <v>0</v>
      </c>
      <c r="EX42" s="2602">
        <f>SUM(EY42:EY45)</f>
        <v>0</v>
      </c>
      <c r="EY42" s="187">
        <f>CV42-AU42</f>
        <v>0</v>
      </c>
      <c r="EZ42" s="2602">
        <f>SUM(FA42:FA45)</f>
        <v>0</v>
      </c>
      <c r="FA42" s="187">
        <f>CY42-AX42</f>
        <v>0</v>
      </c>
      <c r="FB42" s="2602">
        <f>SUM(FC42:FC45)</f>
        <v>0</v>
      </c>
      <c r="FC42" s="187">
        <f>CZ42-AY42</f>
        <v>0</v>
      </c>
      <c r="FD42" s="2602">
        <f>SUM(FE42:FE45)</f>
        <v>0</v>
      </c>
      <c r="FE42" s="187">
        <f>DA42-AZ42</f>
        <v>0</v>
      </c>
      <c r="FF42" s="2602">
        <f>SUM(FG42:FG45)</f>
        <v>0</v>
      </c>
      <c r="FG42" s="187">
        <f>DB42-BA42</f>
        <v>0</v>
      </c>
      <c r="FH42" s="2602">
        <f>SUM(FI42:FI45)</f>
        <v>0</v>
      </c>
      <c r="FI42" s="187">
        <f>DC42-BB42</f>
        <v>0</v>
      </c>
      <c r="FJ42" s="2602">
        <f>SUM(FK42:FK45)</f>
        <v>0</v>
      </c>
      <c r="FK42" s="187">
        <f>CX42-AW42</f>
        <v>0</v>
      </c>
      <c r="FL42" s="2602">
        <f>SUM(FM42:FM45)</f>
        <v>32011.999999999993</v>
      </c>
      <c r="FM42" s="187">
        <f>DF42-BE42</f>
        <v>-19544.599999999999</v>
      </c>
      <c r="FN42" s="2602">
        <f>SUM(FO42:FO45)</f>
        <v>79.713349999999991</v>
      </c>
      <c r="FO42" s="187">
        <f>DH42-BG42</f>
        <v>20.546250000000001</v>
      </c>
      <c r="FP42" s="2602">
        <f>SUM(FQ42:FQ45)</f>
        <v>79.713349999999991</v>
      </c>
      <c r="FQ42" s="187">
        <f t="shared" ref="FQ42:FT45" si="23">DJ42-BI42</f>
        <v>20.546250000000001</v>
      </c>
      <c r="FR42" s="187">
        <f t="shared" si="23"/>
        <v>62.871525000000005</v>
      </c>
      <c r="FS42" s="187">
        <f t="shared" si="23"/>
        <v>-122</v>
      </c>
      <c r="FT42" s="775">
        <f t="shared" si="23"/>
        <v>0</v>
      </c>
      <c r="FU42" s="775">
        <f>DR42-BO42</f>
        <v>0</v>
      </c>
      <c r="FV42" s="775">
        <f>DO42-BM42</f>
        <v>0</v>
      </c>
      <c r="FW42" s="775">
        <f>DQ42-BN42</f>
        <v>4.6571499999999997</v>
      </c>
      <c r="FX42" s="775">
        <f t="shared" ref="FX42:GA45" si="24">DS42-BP42</f>
        <v>0</v>
      </c>
      <c r="FY42" s="775">
        <f t="shared" si="24"/>
        <v>0</v>
      </c>
      <c r="FZ42" s="775">
        <f t="shared" si="24"/>
        <v>0</v>
      </c>
      <c r="GA42" s="775">
        <f t="shared" si="24"/>
        <v>0</v>
      </c>
      <c r="GB42" s="2734">
        <f>SUM(GC42:GC45)</f>
        <v>18.95665</v>
      </c>
      <c r="GC42" s="776">
        <f t="shared" si="4"/>
        <v>4.6571499999999997</v>
      </c>
      <c r="GD42" s="139"/>
      <c r="GE42" s="139"/>
      <c r="GF42" s="139"/>
      <c r="GG42" s="139"/>
      <c r="GH42" s="139"/>
      <c r="GI42" s="139"/>
      <c r="GJ42" s="139"/>
      <c r="GK42" s="139"/>
      <c r="GL42" s="139"/>
      <c r="GM42" s="139"/>
      <c r="GN42" s="139"/>
      <c r="GO42" s="139"/>
      <c r="GP42" s="139"/>
      <c r="GQ42" s="139"/>
      <c r="GR42" s="139"/>
      <c r="GS42" s="139"/>
      <c r="GT42" s="139"/>
    </row>
    <row r="43" spans="1:204" s="139" customFormat="1" ht="15" customHeight="1">
      <c r="A43" s="2660"/>
      <c r="B43" s="2660"/>
      <c r="C43" s="132" t="s">
        <v>710</v>
      </c>
      <c r="D43" s="132">
        <v>3195</v>
      </c>
      <c r="E43" s="132">
        <v>92</v>
      </c>
      <c r="F43" s="777">
        <v>2031950092</v>
      </c>
      <c r="G43" s="132">
        <v>7498</v>
      </c>
      <c r="H43" s="135" t="s">
        <v>704</v>
      </c>
      <c r="I43" s="136"/>
      <c r="J43" s="132">
        <v>1.84</v>
      </c>
      <c r="K43" s="132">
        <v>0</v>
      </c>
      <c r="L43" s="132">
        <v>2</v>
      </c>
      <c r="M43" s="132">
        <v>6.5</v>
      </c>
      <c r="N43" s="134">
        <v>13760</v>
      </c>
      <c r="O43" s="134">
        <f>AQ43</f>
        <v>0</v>
      </c>
      <c r="P43" s="134">
        <v>0</v>
      </c>
      <c r="Q43" s="134">
        <v>13760</v>
      </c>
      <c r="R43" s="137">
        <v>0</v>
      </c>
      <c r="S43" s="778" t="s">
        <v>854</v>
      </c>
      <c r="T43" s="2643"/>
      <c r="U43" s="102">
        <v>0</v>
      </c>
      <c r="V43" s="2643"/>
      <c r="W43" s="102">
        <f>N43</f>
        <v>13760</v>
      </c>
      <c r="X43" s="102"/>
      <c r="Y43" s="102">
        <f>W43-AA43</f>
        <v>12960</v>
      </c>
      <c r="Z43" s="2643"/>
      <c r="AA43" s="102">
        <v>800</v>
      </c>
      <c r="AB43" s="2643"/>
      <c r="AC43" s="102">
        <v>0</v>
      </c>
      <c r="AD43" s="2643"/>
      <c r="AE43" s="102">
        <f>AG43+AF43</f>
        <v>6080</v>
      </c>
      <c r="AF43" s="102">
        <v>0</v>
      </c>
      <c r="AG43" s="102">
        <v>6080</v>
      </c>
      <c r="AH43" s="102">
        <v>0</v>
      </c>
      <c r="AI43" s="2643"/>
      <c r="AJ43" s="102">
        <v>0</v>
      </c>
      <c r="AK43" s="2643"/>
      <c r="AL43" s="102">
        <f>W43-(AA43+AC43+AE43+AH43+AJ43+AM43+AW43+AO43+AQ43+AS43+AU43)</f>
        <v>0</v>
      </c>
      <c r="AM43" s="779"/>
      <c r="AN43" s="2643"/>
      <c r="AO43" s="102">
        <v>0</v>
      </c>
      <c r="AP43" s="2643"/>
      <c r="AQ43" s="102">
        <v>0</v>
      </c>
      <c r="AR43" s="2643"/>
      <c r="AS43" s="102">
        <v>0</v>
      </c>
      <c r="AT43" s="2643"/>
      <c r="AU43" s="102">
        <v>0</v>
      </c>
      <c r="AV43" s="2643"/>
      <c r="AW43" s="102">
        <f>AX43+AY43+AZ43+BA43+BB43</f>
        <v>6880</v>
      </c>
      <c r="AX43" s="102">
        <v>0</v>
      </c>
      <c r="AY43" s="102">
        <v>6880</v>
      </c>
      <c r="AZ43" s="102">
        <v>0</v>
      </c>
      <c r="BA43" s="102">
        <v>0</v>
      </c>
      <c r="BB43" s="102">
        <v>0</v>
      </c>
      <c r="BC43" s="102">
        <v>0</v>
      </c>
      <c r="BD43" s="2643"/>
      <c r="BE43" s="102">
        <f>U43+W43</f>
        <v>13760</v>
      </c>
      <c r="BF43" s="2643"/>
      <c r="BG43" s="102">
        <f>U43/1000</f>
        <v>0</v>
      </c>
      <c r="BH43" s="2643"/>
      <c r="BI43" s="102">
        <f>'[1]Projected Development Sites'!BG$135*BG43</f>
        <v>0</v>
      </c>
      <c r="BJ43" s="102">
        <f t="shared" si="13"/>
        <v>0</v>
      </c>
      <c r="BK43" s="186">
        <f>ROUND((Y43+AC43+AA43)/1000*3,0)+ROUND((AE43+AU43)/1000,0)+ROUND((ROUND(AH43/400,0))/2.67,0)+ROUND(AM43/250,0)+ROUND(AO43/15000,0)+ROUND((AX43+AY43+AZ43+BB43)/1000*3,0)+ROUND(BG43/25,0)+ROUND(BU336/50,0)</f>
        <v>68</v>
      </c>
      <c r="BL43" s="102">
        <v>0</v>
      </c>
      <c r="BM43" s="102"/>
      <c r="BN43" s="102">
        <v>0</v>
      </c>
      <c r="BO43" s="102">
        <f>AC43/1000</f>
        <v>0</v>
      </c>
      <c r="BP43" s="102">
        <f>AH43/1000</f>
        <v>0</v>
      </c>
      <c r="BQ43" s="102">
        <f>AJ43/1000</f>
        <v>0</v>
      </c>
      <c r="BR43" s="102">
        <f>AL43/1000</f>
        <v>0</v>
      </c>
      <c r="BS43" s="102">
        <f>AM43/1000</f>
        <v>0</v>
      </c>
      <c r="BT43" s="2643"/>
      <c r="BU43" s="102">
        <f>SUM(BL43:BS43)</f>
        <v>0</v>
      </c>
      <c r="BV43" s="139">
        <v>25</v>
      </c>
      <c r="BW43" s="780" t="s">
        <v>705</v>
      </c>
      <c r="BX43" s="139">
        <v>4.5999999999999996</v>
      </c>
      <c r="BY43" s="139">
        <v>2</v>
      </c>
      <c r="BZ43" s="139">
        <v>4.5999999999999996</v>
      </c>
      <c r="CA43" s="781" t="s">
        <v>706</v>
      </c>
      <c r="CB43" s="2746"/>
      <c r="CC43" s="782">
        <f>(BX43*G43)-CF43</f>
        <v>27610.799999999996</v>
      </c>
      <c r="CD43" s="2732"/>
      <c r="CE43" s="2643"/>
      <c r="CF43" s="840">
        <f>CX43</f>
        <v>6880</v>
      </c>
      <c r="CG43" s="2643"/>
      <c r="CH43" s="840">
        <f>CF43-CJ43</f>
        <v>6880</v>
      </c>
      <c r="CI43" s="2643"/>
      <c r="CJ43" s="139">
        <v>0</v>
      </c>
      <c r="CK43" s="2643"/>
      <c r="CL43" s="139">
        <v>0</v>
      </c>
      <c r="CM43" s="2643"/>
      <c r="CN43" s="102">
        <f>CF43-(CJ43+CL43+CO43+CP43+CR43+CU43+CV43+CX43)</f>
        <v>0</v>
      </c>
      <c r="CO43" s="784">
        <v>0</v>
      </c>
      <c r="CP43" s="784">
        <v>0</v>
      </c>
      <c r="CQ43" s="2643"/>
      <c r="CR43" s="102">
        <v>0</v>
      </c>
      <c r="CS43" s="784">
        <v>0</v>
      </c>
      <c r="CT43" s="784">
        <v>0</v>
      </c>
      <c r="CU43" s="784">
        <v>0</v>
      </c>
      <c r="CV43" s="784">
        <v>0</v>
      </c>
      <c r="CW43" s="2643"/>
      <c r="CX43" s="102">
        <f>SUM(CY43:DC43)</f>
        <v>6880</v>
      </c>
      <c r="CY43" s="102">
        <f t="shared" si="22"/>
        <v>0</v>
      </c>
      <c r="CZ43" s="102">
        <f t="shared" si="22"/>
        <v>6880</v>
      </c>
      <c r="DA43" s="102">
        <f t="shared" si="22"/>
        <v>0</v>
      </c>
      <c r="DB43" s="102">
        <f t="shared" si="22"/>
        <v>0</v>
      </c>
      <c r="DC43" s="102">
        <f t="shared" si="22"/>
        <v>0</v>
      </c>
      <c r="DD43" s="102"/>
      <c r="DE43" s="2643"/>
      <c r="DF43" s="102">
        <f>CC43+CF43+CV43</f>
        <v>34490.799999999996</v>
      </c>
      <c r="DG43" s="2643"/>
      <c r="DH43" s="296">
        <f>CC43/'[1]Projected Development Sites'!DF$134</f>
        <v>27.610799999999994</v>
      </c>
      <c r="DI43" s="2723"/>
      <c r="DJ43" s="785">
        <f>'[1]Projected Development Sites'!DK$136*DH43</f>
        <v>27.610799999999994</v>
      </c>
      <c r="DK43" s="785">
        <f>3.06*DH43</f>
        <v>84.489047999999983</v>
      </c>
      <c r="DL43" s="786">
        <f>ROUND((CN43+CL43+CJ43)/1000*3,0)+ROUND((ROUND(CP43/400,0))/2.67,0)+ROUND(CV43/1000,0)+ROUND((CY43+CZ43+DA43+DC43)/1000*3,0)+ROUND(DH43/25,0)+ROUND(DX43/50,0)</f>
        <v>22</v>
      </c>
      <c r="DM43" s="787">
        <v>0</v>
      </c>
      <c r="DN43" s="787"/>
      <c r="DO43" s="787">
        <v>0</v>
      </c>
      <c r="DP43" s="787">
        <f>0.25*DJ43</f>
        <v>6.9026999999999985</v>
      </c>
      <c r="DQ43" s="787">
        <f>SUM(CO43,CJ43,CN43,CR43,CU43)/1000</f>
        <v>0</v>
      </c>
      <c r="DR43" s="787">
        <f>CL43/1000</f>
        <v>0</v>
      </c>
      <c r="DS43" s="787">
        <f>((CP43/400)/12)</f>
        <v>0</v>
      </c>
      <c r="DT43" s="787">
        <v>0</v>
      </c>
      <c r="DU43" s="787">
        <v>0</v>
      </c>
      <c r="DV43" s="787">
        <f>CX43/1000</f>
        <v>6.88</v>
      </c>
      <c r="DW43" s="2723"/>
      <c r="DX43" s="788">
        <f>SUM(DM43,DO43,DQ43:DV43)</f>
        <v>6.88</v>
      </c>
      <c r="DY43" s="2726"/>
      <c r="DZ43" s="2729"/>
      <c r="EA43" s="2665"/>
      <c r="EB43" s="195">
        <f>CF43-W43</f>
        <v>-6880</v>
      </c>
      <c r="EC43" s="2665"/>
      <c r="ED43" s="195">
        <v>-6880</v>
      </c>
      <c r="EE43" s="195">
        <f>(SUM(CJ43:CO43))-(SUM(AA43:AE43,AL43))</f>
        <v>-6880</v>
      </c>
      <c r="EF43" s="2665"/>
      <c r="EG43" s="195">
        <v>0</v>
      </c>
      <c r="EH43" s="2665"/>
      <c r="EI43" s="195">
        <f>CL43-AC43</f>
        <v>0</v>
      </c>
      <c r="EJ43" s="2665"/>
      <c r="EK43" s="195">
        <f>CJ43-AA43</f>
        <v>-800</v>
      </c>
      <c r="EL43" s="2665"/>
      <c r="EM43" s="195">
        <f>CO43-AE43</f>
        <v>-6080</v>
      </c>
      <c r="EN43" s="2665"/>
      <c r="EO43" s="195">
        <f>CP43-AH43</f>
        <v>0</v>
      </c>
      <c r="EP43" s="2665"/>
      <c r="EQ43" s="195">
        <f>CR43-AJ43</f>
        <v>0</v>
      </c>
      <c r="ER43" s="2665"/>
      <c r="ES43" s="195">
        <f>CS43-AO43</f>
        <v>0</v>
      </c>
      <c r="ET43" s="2665"/>
      <c r="EU43" s="195">
        <f t="shared" si="1"/>
        <v>0</v>
      </c>
      <c r="EV43" s="2665"/>
      <c r="EW43" s="195">
        <f>CU43-AS43</f>
        <v>0</v>
      </c>
      <c r="EX43" s="2665"/>
      <c r="EY43" s="195">
        <f>CV43-AU43</f>
        <v>0</v>
      </c>
      <c r="EZ43" s="2665"/>
      <c r="FA43" s="195">
        <f>CY43-AX43</f>
        <v>0</v>
      </c>
      <c r="FB43" s="2665"/>
      <c r="FC43" s="195">
        <f>CZ43-AY43</f>
        <v>0</v>
      </c>
      <c r="FD43" s="2665"/>
      <c r="FE43" s="195">
        <f>DA43-AZ43</f>
        <v>0</v>
      </c>
      <c r="FF43" s="2665"/>
      <c r="FG43" s="195">
        <f>DB43-BA43</f>
        <v>0</v>
      </c>
      <c r="FH43" s="2665"/>
      <c r="FI43" s="195">
        <f>DC43-BB43</f>
        <v>0</v>
      </c>
      <c r="FJ43" s="2665"/>
      <c r="FK43" s="195">
        <f>CX43-AW43</f>
        <v>0</v>
      </c>
      <c r="FL43" s="2665"/>
      <c r="FM43" s="195">
        <f>DF43-BE43</f>
        <v>20730.799999999996</v>
      </c>
      <c r="FN43" s="2665"/>
      <c r="FO43" s="195">
        <f>DH43-BG43</f>
        <v>27.610799999999994</v>
      </c>
      <c r="FP43" s="2665"/>
      <c r="FQ43" s="195">
        <f t="shared" si="23"/>
        <v>27.610799999999994</v>
      </c>
      <c r="FR43" s="195">
        <f t="shared" si="23"/>
        <v>84.489047999999983</v>
      </c>
      <c r="FS43" s="195">
        <f t="shared" si="23"/>
        <v>-46</v>
      </c>
      <c r="FT43" s="789">
        <f t="shared" si="23"/>
        <v>0</v>
      </c>
      <c r="FU43" s="789">
        <f>DR43-BO43</f>
        <v>0</v>
      </c>
      <c r="FV43" s="789">
        <f>DO43-BM43</f>
        <v>0</v>
      </c>
      <c r="FW43" s="789">
        <f>DQ43-BN43</f>
        <v>0</v>
      </c>
      <c r="FX43" s="789">
        <f t="shared" si="24"/>
        <v>0</v>
      </c>
      <c r="FY43" s="789">
        <f t="shared" si="24"/>
        <v>0</v>
      </c>
      <c r="FZ43" s="789">
        <f t="shared" si="24"/>
        <v>0</v>
      </c>
      <c r="GA43" s="789">
        <f t="shared" si="24"/>
        <v>6.88</v>
      </c>
      <c r="GB43" s="2735"/>
      <c r="GC43" s="790">
        <f t="shared" si="4"/>
        <v>6.88</v>
      </c>
    </row>
    <row r="44" spans="1:204" s="139" customFormat="1" ht="15" customHeight="1">
      <c r="A44" s="2660"/>
      <c r="B44" s="2660"/>
      <c r="C44" s="132" t="s">
        <v>721</v>
      </c>
      <c r="D44" s="132">
        <v>3195</v>
      </c>
      <c r="E44" s="132">
        <v>84</v>
      </c>
      <c r="F44" s="132">
        <v>2031950084</v>
      </c>
      <c r="G44" s="132">
        <v>5410</v>
      </c>
      <c r="H44" s="135" t="s">
        <v>704</v>
      </c>
      <c r="I44" s="136"/>
      <c r="J44" s="132">
        <v>0.99</v>
      </c>
      <c r="K44" s="132">
        <v>0</v>
      </c>
      <c r="L44" s="132">
        <v>2</v>
      </c>
      <c r="M44" s="132">
        <v>6.5</v>
      </c>
      <c r="N44" s="134">
        <v>5329</v>
      </c>
      <c r="O44" s="134">
        <v>0</v>
      </c>
      <c r="P44" s="134">
        <v>0</v>
      </c>
      <c r="Q44" s="134">
        <v>5329</v>
      </c>
      <c r="R44" s="137">
        <v>0</v>
      </c>
      <c r="S44" s="778" t="s">
        <v>637</v>
      </c>
      <c r="T44" s="2643"/>
      <c r="U44" s="102">
        <v>0</v>
      </c>
      <c r="V44" s="2643"/>
      <c r="W44" s="102">
        <f>N44</f>
        <v>5329</v>
      </c>
      <c r="X44" s="102"/>
      <c r="Y44" s="102">
        <f>W44-AA44</f>
        <v>5329</v>
      </c>
      <c r="Z44" s="2643"/>
      <c r="AA44" s="102">
        <v>0</v>
      </c>
      <c r="AB44" s="2643"/>
      <c r="AC44" s="102">
        <v>0</v>
      </c>
      <c r="AD44" s="2643"/>
      <c r="AE44" s="102">
        <f>AG44+AF44</f>
        <v>0</v>
      </c>
      <c r="AF44" s="102">
        <v>0</v>
      </c>
      <c r="AG44" s="102">
        <v>0</v>
      </c>
      <c r="AH44" s="102">
        <v>0</v>
      </c>
      <c r="AI44" s="2643"/>
      <c r="AJ44" s="102">
        <v>0</v>
      </c>
      <c r="AK44" s="2643"/>
      <c r="AL44" s="102">
        <f>W44-(AA44+AC44+AE44+AH44+AJ44+AM44+AW44+AO44+AQ44+AS44+AU44)</f>
        <v>5329</v>
      </c>
      <c r="AM44" s="779"/>
      <c r="AN44" s="2643"/>
      <c r="AO44" s="102">
        <v>0</v>
      </c>
      <c r="AP44" s="2643"/>
      <c r="AQ44" s="102">
        <v>0</v>
      </c>
      <c r="AR44" s="2643"/>
      <c r="AS44" s="102">
        <v>0</v>
      </c>
      <c r="AT44" s="2643"/>
      <c r="AU44" s="102">
        <v>0</v>
      </c>
      <c r="AV44" s="2643"/>
      <c r="AW44" s="102">
        <f>AX44+AY44+AZ44+BA44+BB44</f>
        <v>0</v>
      </c>
      <c r="AX44" s="102">
        <v>0</v>
      </c>
      <c r="AY44" s="102">
        <v>0</v>
      </c>
      <c r="AZ44" s="102">
        <v>0</v>
      </c>
      <c r="BA44" s="102">
        <v>0</v>
      </c>
      <c r="BB44" s="102">
        <v>0</v>
      </c>
      <c r="BC44" s="102">
        <v>0</v>
      </c>
      <c r="BD44" s="2643"/>
      <c r="BE44" s="102">
        <f>U44+W44</f>
        <v>5329</v>
      </c>
      <c r="BF44" s="2643"/>
      <c r="BG44" s="102">
        <f>U44/1000</f>
        <v>0</v>
      </c>
      <c r="BH44" s="2643"/>
      <c r="BI44" s="102">
        <f>'[1]Projected Development Sites'!BG$135*BG44</f>
        <v>0</v>
      </c>
      <c r="BJ44" s="102">
        <f t="shared" si="13"/>
        <v>0</v>
      </c>
      <c r="BK44" s="186">
        <f>ROUND((Y44+AC44+AA44)/1000*3,0)+ROUND((AE44+AU44)/1000,0)+ROUND((ROUND(AH44/400,0))/2.67,0)+ROUND(AM44/250,0)+ROUND(AO44/15000,0)+ROUND((AX44+AY44+AZ44+BB44)/1000*3,0)+ROUND(BG44/25,0)+ROUND(BU337/50,0)</f>
        <v>16</v>
      </c>
      <c r="BL44" s="102">
        <v>0</v>
      </c>
      <c r="BM44" s="102">
        <v>0</v>
      </c>
      <c r="BN44" s="102">
        <v>0</v>
      </c>
      <c r="BO44" s="102">
        <v>0</v>
      </c>
      <c r="BP44" s="102">
        <v>0</v>
      </c>
      <c r="BQ44" s="102">
        <v>0</v>
      </c>
      <c r="BR44" s="102">
        <v>0</v>
      </c>
      <c r="BS44" s="102">
        <v>0</v>
      </c>
      <c r="BT44" s="2643"/>
      <c r="BU44" s="102">
        <f>SUM(BL44:BS44)</f>
        <v>0</v>
      </c>
      <c r="BV44" s="139">
        <v>15</v>
      </c>
      <c r="BW44" s="780" t="s">
        <v>705</v>
      </c>
      <c r="BX44" s="139">
        <v>4.5999999999999996</v>
      </c>
      <c r="BY44" s="139">
        <v>2</v>
      </c>
      <c r="BZ44" s="139">
        <v>4.5999999999999996</v>
      </c>
      <c r="CA44" s="781" t="s">
        <v>706</v>
      </c>
      <c r="CB44" s="2746"/>
      <c r="CC44" s="782">
        <f>(BX44*G44)-CF44</f>
        <v>20287.499999999996</v>
      </c>
      <c r="CD44" s="2732"/>
      <c r="CE44" s="2643"/>
      <c r="CF44" s="783">
        <f>1*(G44)-(0.15*1*(G44))</f>
        <v>4598.5</v>
      </c>
      <c r="CG44" s="2643"/>
      <c r="CH44" s="783">
        <f>CF44-CJ44</f>
        <v>4598.5</v>
      </c>
      <c r="CI44" s="2643"/>
      <c r="CJ44" s="139">
        <v>0</v>
      </c>
      <c r="CK44" s="2643"/>
      <c r="CL44" s="139">
        <v>0</v>
      </c>
      <c r="CM44" s="2643"/>
      <c r="CN44" s="784">
        <f>CF44-(CJ44+CL44+CO44+CP44+CR44+CU44+CV44+CX44)</f>
        <v>4598.5</v>
      </c>
      <c r="CO44" s="784">
        <v>0</v>
      </c>
      <c r="CP44" s="784">
        <v>0</v>
      </c>
      <c r="CQ44" s="2643"/>
      <c r="CR44" s="102">
        <v>0</v>
      </c>
      <c r="CS44" s="784"/>
      <c r="CT44" s="784"/>
      <c r="CU44" s="784"/>
      <c r="CV44" s="784"/>
      <c r="CW44" s="2643"/>
      <c r="CX44" s="102">
        <f>SUM(CY44:DC44)</f>
        <v>0</v>
      </c>
      <c r="CY44" s="102">
        <v>0</v>
      </c>
      <c r="CZ44" s="102">
        <v>0</v>
      </c>
      <c r="DA44" s="102">
        <v>0</v>
      </c>
      <c r="DB44" s="102">
        <v>0</v>
      </c>
      <c r="DC44" s="102">
        <v>0</v>
      </c>
      <c r="DD44" s="102"/>
      <c r="DE44" s="2643"/>
      <c r="DF44" s="102">
        <f>CC44+CF44+CV44</f>
        <v>24885.999999999996</v>
      </c>
      <c r="DG44" s="2643"/>
      <c r="DH44" s="296">
        <f>CC44/'[1]Projected Development Sites'!DF$134</f>
        <v>20.287499999999998</v>
      </c>
      <c r="DI44" s="2723"/>
      <c r="DJ44" s="785">
        <f>'[1]Projected Development Sites'!DK$136*DH44</f>
        <v>20.287499999999998</v>
      </c>
      <c r="DK44" s="785">
        <f>3.06*DH44</f>
        <v>62.079749999999997</v>
      </c>
      <c r="DL44" s="786">
        <f>ROUND((CN44+CL44+CJ44)/1000*3,0)+ROUND((ROUND(CP44/400,0))/2.67,0)+ROUND(CV44/1000,0)+ROUND((CY44+CZ44+DA44+DC44)/1000*3,0)+ROUND(DH44/25,0)+ROUND(DX44/50,0)</f>
        <v>15</v>
      </c>
      <c r="DM44" s="787">
        <v>0</v>
      </c>
      <c r="DN44" s="787"/>
      <c r="DO44" s="787">
        <v>0</v>
      </c>
      <c r="DP44" s="787">
        <f>0.25*DJ44</f>
        <v>5.0718749999999995</v>
      </c>
      <c r="DQ44" s="787">
        <f>SUM(CO44,CJ44,CN44,CR44,CU44)/1000</f>
        <v>4.5984999999999996</v>
      </c>
      <c r="DR44" s="787">
        <f>CL44/1000</f>
        <v>0</v>
      </c>
      <c r="DS44" s="787">
        <f>((CP44/400)/12)</f>
        <v>0</v>
      </c>
      <c r="DT44" s="787">
        <v>0</v>
      </c>
      <c r="DU44" s="787">
        <v>0</v>
      </c>
      <c r="DV44" s="787">
        <f>CX44/1000</f>
        <v>0</v>
      </c>
      <c r="DW44" s="2723"/>
      <c r="DX44" s="788">
        <f>SUM(DM44,DO44,DQ44:DV44)</f>
        <v>4.5984999999999996</v>
      </c>
      <c r="DY44" s="2726"/>
      <c r="DZ44" s="2729"/>
      <c r="EA44" s="2665"/>
      <c r="EB44" s="195">
        <f>CF44-W44</f>
        <v>-730.5</v>
      </c>
      <c r="EC44" s="2665"/>
      <c r="ED44" s="195">
        <v>-730.5</v>
      </c>
      <c r="EE44" s="195">
        <f>(SUM(CJ44:CO44))-(SUM(AA44:AE44,AL44))</f>
        <v>-730.5</v>
      </c>
      <c r="EF44" s="2665"/>
      <c r="EG44" s="195">
        <v>-730.5</v>
      </c>
      <c r="EH44" s="2665"/>
      <c r="EI44" s="195">
        <f>CL44-AC44</f>
        <v>0</v>
      </c>
      <c r="EJ44" s="2665"/>
      <c r="EK44" s="195">
        <f>CJ44-AA44</f>
        <v>0</v>
      </c>
      <c r="EL44" s="2665"/>
      <c r="EM44" s="195">
        <f>CO44-AE44</f>
        <v>0</v>
      </c>
      <c r="EN44" s="2665"/>
      <c r="EO44" s="195">
        <f>CP44-AH44</f>
        <v>0</v>
      </c>
      <c r="EP44" s="2665"/>
      <c r="EQ44" s="195">
        <f>CR44-AJ44</f>
        <v>0</v>
      </c>
      <c r="ER44" s="2665"/>
      <c r="ES44" s="195">
        <f>CS44-AO44</f>
        <v>0</v>
      </c>
      <c r="ET44" s="2665"/>
      <c r="EU44" s="195">
        <f t="shared" si="1"/>
        <v>0</v>
      </c>
      <c r="EV44" s="2665"/>
      <c r="EW44" s="195">
        <f>CU44-AS44</f>
        <v>0</v>
      </c>
      <c r="EX44" s="2665"/>
      <c r="EY44" s="195">
        <f>CV44-AU44</f>
        <v>0</v>
      </c>
      <c r="EZ44" s="2665"/>
      <c r="FA44" s="195">
        <f>CY44-AX44</f>
        <v>0</v>
      </c>
      <c r="FB44" s="2665"/>
      <c r="FC44" s="195">
        <f>CZ44-AY44</f>
        <v>0</v>
      </c>
      <c r="FD44" s="2665"/>
      <c r="FE44" s="195">
        <f>DA44-AZ44</f>
        <v>0</v>
      </c>
      <c r="FF44" s="2665"/>
      <c r="FG44" s="195">
        <f>DB44-BA44</f>
        <v>0</v>
      </c>
      <c r="FH44" s="2665"/>
      <c r="FI44" s="195">
        <f>DC44-BB44</f>
        <v>0</v>
      </c>
      <c r="FJ44" s="2665"/>
      <c r="FK44" s="195">
        <f>CX44-AW44</f>
        <v>0</v>
      </c>
      <c r="FL44" s="2665"/>
      <c r="FM44" s="195">
        <f>DF44-BE44</f>
        <v>19556.999999999996</v>
      </c>
      <c r="FN44" s="2665"/>
      <c r="FO44" s="195">
        <f>DH44-BG44</f>
        <v>20.287499999999998</v>
      </c>
      <c r="FP44" s="2665"/>
      <c r="FQ44" s="195">
        <f t="shared" si="23"/>
        <v>20.287499999999998</v>
      </c>
      <c r="FR44" s="195">
        <f t="shared" si="23"/>
        <v>62.079749999999997</v>
      </c>
      <c r="FS44" s="195">
        <f t="shared" si="23"/>
        <v>-1</v>
      </c>
      <c r="FT44" s="789">
        <f t="shared" si="23"/>
        <v>0</v>
      </c>
      <c r="FU44" s="789">
        <f>DR44-BO44</f>
        <v>0</v>
      </c>
      <c r="FV44" s="789">
        <f>DO44-BM44</f>
        <v>0</v>
      </c>
      <c r="FW44" s="789">
        <f>DQ44-BN44</f>
        <v>4.5984999999999996</v>
      </c>
      <c r="FX44" s="789">
        <f t="shared" si="24"/>
        <v>0</v>
      </c>
      <c r="FY44" s="789">
        <f t="shared" si="24"/>
        <v>0</v>
      </c>
      <c r="FZ44" s="789">
        <f t="shared" si="24"/>
        <v>0</v>
      </c>
      <c r="GA44" s="789">
        <f t="shared" si="24"/>
        <v>0</v>
      </c>
      <c r="GB44" s="2735"/>
      <c r="GC44" s="790">
        <f t="shared" si="4"/>
        <v>4.5984999999999996</v>
      </c>
    </row>
    <row r="45" spans="1:204" s="81" customFormat="1" ht="15" customHeight="1">
      <c r="A45" s="2589"/>
      <c r="B45" s="2589"/>
      <c r="C45" s="66" t="s">
        <v>724</v>
      </c>
      <c r="D45" s="66">
        <v>3195</v>
      </c>
      <c r="E45" s="66">
        <v>83</v>
      </c>
      <c r="F45" s="66">
        <v>2031950083</v>
      </c>
      <c r="G45" s="66">
        <v>3063</v>
      </c>
      <c r="H45" s="69" t="s">
        <v>704</v>
      </c>
      <c r="I45" s="70"/>
      <c r="J45" s="66">
        <v>0.92</v>
      </c>
      <c r="K45" s="66">
        <v>0</v>
      </c>
      <c r="L45" s="66">
        <v>2</v>
      </c>
      <c r="M45" s="66">
        <v>6.5</v>
      </c>
      <c r="N45" s="68">
        <v>2821</v>
      </c>
      <c r="O45" s="68">
        <v>0</v>
      </c>
      <c r="P45" s="68">
        <v>2821</v>
      </c>
      <c r="Q45" s="68">
        <v>2821</v>
      </c>
      <c r="R45" s="71">
        <v>0</v>
      </c>
      <c r="S45" s="791" t="s">
        <v>651</v>
      </c>
      <c r="T45" s="2601"/>
      <c r="U45" s="74">
        <v>0</v>
      </c>
      <c r="V45" s="2601"/>
      <c r="W45" s="74">
        <f>N45</f>
        <v>2821</v>
      </c>
      <c r="X45" s="74"/>
      <c r="Y45" s="74">
        <f>W45-AA45</f>
        <v>2821</v>
      </c>
      <c r="Z45" s="2601"/>
      <c r="AA45" s="74">
        <v>0</v>
      </c>
      <c r="AB45" s="2601"/>
      <c r="AC45" s="74">
        <v>0</v>
      </c>
      <c r="AD45" s="2601"/>
      <c r="AE45" s="74">
        <f>AG45+AF45</f>
        <v>0</v>
      </c>
      <c r="AF45" s="74">
        <v>0</v>
      </c>
      <c r="AG45" s="74">
        <v>0</v>
      </c>
      <c r="AH45" s="74">
        <v>0</v>
      </c>
      <c r="AI45" s="2601"/>
      <c r="AJ45" s="74">
        <v>0</v>
      </c>
      <c r="AK45" s="2601"/>
      <c r="AL45" s="74">
        <f>W45-(AA45+AC45+AE45+AH45+AJ45+AM45+AW45+AO45+AQ45+AS45+AU45)</f>
        <v>0</v>
      </c>
      <c r="AM45" s="792"/>
      <c r="AN45" s="2601"/>
      <c r="AO45" s="74">
        <v>0</v>
      </c>
      <c r="AP45" s="2601"/>
      <c r="AQ45" s="74">
        <v>0</v>
      </c>
      <c r="AR45" s="2601"/>
      <c r="AS45" s="74">
        <v>0</v>
      </c>
      <c r="AT45" s="2601"/>
      <c r="AU45" s="74">
        <v>0</v>
      </c>
      <c r="AV45" s="2601"/>
      <c r="AW45" s="74">
        <f>AX45+AY45+AZ45+BA45+BB45</f>
        <v>2821</v>
      </c>
      <c r="AX45" s="74">
        <f>2821</f>
        <v>2821</v>
      </c>
      <c r="AY45" s="74">
        <v>0</v>
      </c>
      <c r="AZ45" s="74">
        <v>0</v>
      </c>
      <c r="BA45" s="74">
        <v>0</v>
      </c>
      <c r="BB45" s="74">
        <v>0</v>
      </c>
      <c r="BC45" s="74">
        <v>0</v>
      </c>
      <c r="BD45" s="2601"/>
      <c r="BE45" s="74">
        <f>U45+W45</f>
        <v>2821</v>
      </c>
      <c r="BF45" s="2601"/>
      <c r="BG45" s="74">
        <f>U45/1000</f>
        <v>0</v>
      </c>
      <c r="BH45" s="2601"/>
      <c r="BI45" s="74">
        <f>'[1]Projected Development Sites'!BG$135*BG45</f>
        <v>0</v>
      </c>
      <c r="BJ45" s="74">
        <f t="shared" si="13"/>
        <v>0</v>
      </c>
      <c r="BK45" s="88">
        <f>ROUND((Y45+AC45+AA45)/1000*3,0)+ROUND((AE45+AU45)/1000,0)+ROUND((ROUND(AH45/400,0))/2.67,0)+ROUND(AM45/250,0)+ROUND(AO45/15000,0)+ROUND((AX45+AY45+AZ45+BB45)/1000*3,0)+ROUND(BG45/25,0)+ROUND(BU338/50,0)</f>
        <v>16</v>
      </c>
      <c r="BL45" s="74">
        <v>0</v>
      </c>
      <c r="BM45" s="74">
        <v>0</v>
      </c>
      <c r="BN45" s="74">
        <v>0</v>
      </c>
      <c r="BO45" s="74">
        <v>0</v>
      </c>
      <c r="BP45" s="74">
        <v>0</v>
      </c>
      <c r="BQ45" s="74">
        <v>0</v>
      </c>
      <c r="BR45" s="74">
        <v>0</v>
      </c>
      <c r="BS45" s="74">
        <v>0</v>
      </c>
      <c r="BT45" s="2601"/>
      <c r="BU45" s="74">
        <f>SUM(BL45:BS45)</f>
        <v>0</v>
      </c>
      <c r="BV45" s="81">
        <v>15</v>
      </c>
      <c r="BW45" s="793" t="s">
        <v>705</v>
      </c>
      <c r="BX45" s="81">
        <v>4.5999999999999996</v>
      </c>
      <c r="BY45" s="81">
        <v>2</v>
      </c>
      <c r="BZ45" s="81">
        <v>4.5999999999999996</v>
      </c>
      <c r="CA45" s="794" t="s">
        <v>706</v>
      </c>
      <c r="CB45" s="2747"/>
      <c r="CC45" s="795">
        <f>(BX45*G45)-CF45</f>
        <v>11268.8</v>
      </c>
      <c r="CD45" s="2733"/>
      <c r="CE45" s="2601"/>
      <c r="CF45" s="843">
        <f>W45</f>
        <v>2821</v>
      </c>
      <c r="CG45" s="2601"/>
      <c r="CH45" s="843">
        <f>CF45-CJ45</f>
        <v>2821</v>
      </c>
      <c r="CI45" s="2601"/>
      <c r="CJ45" s="81">
        <v>0</v>
      </c>
      <c r="CK45" s="2601"/>
      <c r="CL45" s="81">
        <v>0</v>
      </c>
      <c r="CM45" s="2601"/>
      <c r="CN45" s="74">
        <f>CF45-(CJ45+CL45+CO45+CP45+CR45+CU45+CV45+CX45)</f>
        <v>0</v>
      </c>
      <c r="CO45" s="797">
        <v>0</v>
      </c>
      <c r="CP45" s="797">
        <v>0</v>
      </c>
      <c r="CQ45" s="2601"/>
      <c r="CR45" s="74">
        <v>0</v>
      </c>
      <c r="CS45" s="797"/>
      <c r="CT45" s="797"/>
      <c r="CU45" s="797"/>
      <c r="CV45" s="797"/>
      <c r="CW45" s="2601"/>
      <c r="CX45" s="74">
        <f>SUM(CY45:DC45)</f>
        <v>2821</v>
      </c>
      <c r="CY45" s="74">
        <f>AX45</f>
        <v>2821</v>
      </c>
      <c r="CZ45" s="74">
        <v>0</v>
      </c>
      <c r="DA45" s="74">
        <v>0</v>
      </c>
      <c r="DB45" s="74">
        <v>0</v>
      </c>
      <c r="DC45" s="74">
        <v>0</v>
      </c>
      <c r="DD45" s="74"/>
      <c r="DE45" s="2601"/>
      <c r="DF45" s="74">
        <f>CC45+CF45</f>
        <v>14089.8</v>
      </c>
      <c r="DG45" s="2601"/>
      <c r="DH45" s="303">
        <f>CC45/'[1]Projected Development Sites'!DF$134</f>
        <v>11.268799999999999</v>
      </c>
      <c r="DI45" s="2724"/>
      <c r="DJ45" s="798">
        <f>'[1]Projected Development Sites'!DK$136*DH45</f>
        <v>11.268799999999999</v>
      </c>
      <c r="DK45" s="785">
        <f>3.06*DH45</f>
        <v>34.482527999999995</v>
      </c>
      <c r="DL45" s="786">
        <f>ROUND((CN45+CL45+CJ45)/1000*3,0)+ROUND((ROUND(CP45/400,0))/2.67,0)+ROUND(CV45/1000,0)+ROUND((CY45+CZ45+DA45+DC45)/1000*3,0)+ROUND(DH45/25,0)+ROUND(DX45/50,0)</f>
        <v>8</v>
      </c>
      <c r="DM45" s="799">
        <v>0</v>
      </c>
      <c r="DN45" s="799"/>
      <c r="DO45" s="799">
        <v>0</v>
      </c>
      <c r="DP45" s="799">
        <f>0.25*DJ45</f>
        <v>2.8171999999999997</v>
      </c>
      <c r="DQ45" s="799">
        <f>SUM(CO45,CJ45,CN45,CR45,CU45)/1000</f>
        <v>0</v>
      </c>
      <c r="DR45" s="799">
        <f>CL45/1000</f>
        <v>0</v>
      </c>
      <c r="DS45" s="799">
        <f>((CP45/400)/12)</f>
        <v>0</v>
      </c>
      <c r="DT45" s="799">
        <v>0</v>
      </c>
      <c r="DU45" s="799">
        <v>0</v>
      </c>
      <c r="DV45" s="799">
        <f>CX45/1000</f>
        <v>2.8210000000000002</v>
      </c>
      <c r="DW45" s="2724"/>
      <c r="DX45" s="800">
        <f>SUM(DM45,DO45,DQ45:DV45)</f>
        <v>2.8210000000000002</v>
      </c>
      <c r="DY45" s="2727"/>
      <c r="DZ45" s="2730"/>
      <c r="EA45" s="2603"/>
      <c r="EB45" s="195">
        <f>CF45-W45</f>
        <v>0</v>
      </c>
      <c r="EC45" s="2603"/>
      <c r="ED45" s="195">
        <v>0</v>
      </c>
      <c r="EE45" s="195">
        <f>(SUM(CJ45:CO45))-(SUM(AA45:AE45,AL45))</f>
        <v>0</v>
      </c>
      <c r="EF45" s="2603"/>
      <c r="EG45" s="190">
        <v>0</v>
      </c>
      <c r="EH45" s="2603"/>
      <c r="EI45" s="195">
        <f>CL45-AC45</f>
        <v>0</v>
      </c>
      <c r="EJ45" s="2603"/>
      <c r="EK45" s="195">
        <f>CJ45-AA45</f>
        <v>0</v>
      </c>
      <c r="EL45" s="2603"/>
      <c r="EM45" s="190">
        <f>CO45-AE45</f>
        <v>0</v>
      </c>
      <c r="EN45" s="2603"/>
      <c r="EO45" s="190">
        <f>CP45-AH45</f>
        <v>0</v>
      </c>
      <c r="EP45" s="2603"/>
      <c r="EQ45" s="195">
        <f>CR45-AJ45</f>
        <v>0</v>
      </c>
      <c r="ER45" s="2603"/>
      <c r="ES45" s="195">
        <f>CS45-AO45</f>
        <v>0</v>
      </c>
      <c r="ET45" s="2603"/>
      <c r="EU45" s="190">
        <f t="shared" si="1"/>
        <v>0</v>
      </c>
      <c r="EV45" s="2603"/>
      <c r="EW45" s="195">
        <f>CU45-AS45</f>
        <v>0</v>
      </c>
      <c r="EX45" s="2603"/>
      <c r="EY45" s="190">
        <f>CV45-AU45</f>
        <v>0</v>
      </c>
      <c r="EZ45" s="2603"/>
      <c r="FA45" s="190">
        <f>CY45-AX45</f>
        <v>0</v>
      </c>
      <c r="FB45" s="2603"/>
      <c r="FC45" s="190">
        <f>CZ45-AY45</f>
        <v>0</v>
      </c>
      <c r="FD45" s="2603"/>
      <c r="FE45" s="190">
        <f>DA45-AZ45</f>
        <v>0</v>
      </c>
      <c r="FF45" s="2603"/>
      <c r="FG45" s="190">
        <f>DB45-BA45</f>
        <v>0</v>
      </c>
      <c r="FH45" s="2603"/>
      <c r="FI45" s="190">
        <f>DC45-BB45</f>
        <v>0</v>
      </c>
      <c r="FJ45" s="2603"/>
      <c r="FK45" s="190">
        <f>CX45-AW45</f>
        <v>0</v>
      </c>
      <c r="FL45" s="2603"/>
      <c r="FM45" s="195">
        <f>DF45-BE45</f>
        <v>11268.8</v>
      </c>
      <c r="FN45" s="2603"/>
      <c r="FO45" s="195">
        <f>DH45-BG45</f>
        <v>11.268799999999999</v>
      </c>
      <c r="FP45" s="2603"/>
      <c r="FQ45" s="195">
        <f t="shared" si="23"/>
        <v>11.268799999999999</v>
      </c>
      <c r="FR45" s="190">
        <f t="shared" si="23"/>
        <v>34.482527999999995</v>
      </c>
      <c r="FS45" s="190">
        <f t="shared" si="23"/>
        <v>-8</v>
      </c>
      <c r="FT45" s="801">
        <f t="shared" si="23"/>
        <v>0</v>
      </c>
      <c r="FU45" s="801">
        <f>DR45-BO45</f>
        <v>0</v>
      </c>
      <c r="FV45" s="801">
        <f>DO45-BM45</f>
        <v>0</v>
      </c>
      <c r="FW45" s="801">
        <f>DQ45-BN45</f>
        <v>0</v>
      </c>
      <c r="FX45" s="801">
        <f t="shared" si="24"/>
        <v>0</v>
      </c>
      <c r="FY45" s="801">
        <f t="shared" si="24"/>
        <v>0</v>
      </c>
      <c r="FZ45" s="801">
        <f t="shared" si="24"/>
        <v>0</v>
      </c>
      <c r="GA45" s="801">
        <f t="shared" si="24"/>
        <v>2.8210000000000002</v>
      </c>
      <c r="GB45" s="2736"/>
      <c r="GC45" s="845">
        <f t="shared" si="4"/>
        <v>2.8210000000000002</v>
      </c>
      <c r="GD45" s="139"/>
      <c r="GE45" s="139"/>
      <c r="GF45" s="139"/>
      <c r="GG45" s="139"/>
      <c r="GH45" s="139"/>
      <c r="GI45" s="139"/>
      <c r="GJ45" s="139"/>
      <c r="GK45" s="139"/>
      <c r="GL45" s="139"/>
      <c r="GM45" s="139"/>
      <c r="GN45" s="139"/>
      <c r="GO45" s="139"/>
      <c r="GP45" s="139"/>
      <c r="GQ45" s="139"/>
      <c r="GR45" s="139"/>
      <c r="GS45" s="139"/>
      <c r="GT45" s="139"/>
    </row>
    <row r="46" spans="1:204" s="139" customFormat="1" ht="18.75">
      <c r="A46" s="2263"/>
      <c r="B46" s="2263"/>
      <c r="C46" s="132"/>
      <c r="D46" s="132"/>
      <c r="E46" s="132"/>
      <c r="F46" s="132"/>
      <c r="G46" s="120"/>
      <c r="H46" s="132"/>
      <c r="I46" s="136"/>
      <c r="J46" s="132"/>
      <c r="K46" s="132"/>
      <c r="L46" s="132"/>
      <c r="M46" s="132"/>
      <c r="N46" s="134"/>
      <c r="O46" s="134"/>
      <c r="P46" s="134"/>
      <c r="Q46" s="134"/>
      <c r="R46" s="137"/>
      <c r="S46" s="778"/>
      <c r="T46" s="634"/>
      <c r="U46" s="102"/>
      <c r="V46" s="634"/>
      <c r="W46" s="102"/>
      <c r="X46" s="102"/>
      <c r="Y46" s="102"/>
      <c r="Z46" s="634"/>
      <c r="AA46" s="102"/>
      <c r="AB46" s="634"/>
      <c r="AC46" s="102"/>
      <c r="AD46" s="634"/>
      <c r="AE46" s="102"/>
      <c r="AF46" s="102"/>
      <c r="AG46" s="102"/>
      <c r="AH46" s="102"/>
      <c r="AI46" s="634"/>
      <c r="AJ46" s="102"/>
      <c r="AK46" s="634"/>
      <c r="AL46" s="102"/>
      <c r="AM46" s="779"/>
      <c r="AN46" s="634"/>
      <c r="AO46" s="102"/>
      <c r="AP46" s="634"/>
      <c r="AQ46" s="102"/>
      <c r="AR46" s="634"/>
      <c r="AS46" s="102"/>
      <c r="AT46" s="634"/>
      <c r="AU46" s="102"/>
      <c r="AV46" s="634"/>
      <c r="AW46" s="102"/>
      <c r="AX46" s="102"/>
      <c r="AY46" s="102"/>
      <c r="AZ46" s="102"/>
      <c r="BA46" s="102"/>
      <c r="BB46" s="102"/>
      <c r="BC46" s="102"/>
      <c r="BD46" s="634"/>
      <c r="BE46" s="102"/>
      <c r="BF46" s="634"/>
      <c r="BG46" s="102"/>
      <c r="BH46" s="634"/>
      <c r="BI46" s="102"/>
      <c r="BJ46" s="122"/>
      <c r="BK46" s="186"/>
      <c r="BL46" s="102"/>
      <c r="BM46" s="102"/>
      <c r="BN46" s="102"/>
      <c r="BO46" s="102"/>
      <c r="BP46" s="102"/>
      <c r="BQ46" s="102"/>
      <c r="BR46" s="102"/>
      <c r="BS46" s="102"/>
      <c r="BT46" s="634"/>
      <c r="BU46" s="102"/>
      <c r="BW46" s="780"/>
      <c r="CA46" s="781"/>
      <c r="CB46" s="2258"/>
      <c r="CC46" s="782"/>
      <c r="CD46" s="782"/>
      <c r="CE46" s="634"/>
      <c r="CF46" s="783"/>
      <c r="CG46" s="634"/>
      <c r="CH46" s="783"/>
      <c r="CI46" s="634"/>
      <c r="CK46" s="634"/>
      <c r="CM46" s="634"/>
      <c r="CN46" s="102"/>
      <c r="CO46" s="784"/>
      <c r="CP46" s="784"/>
      <c r="CQ46" s="634"/>
      <c r="CR46" s="102"/>
      <c r="CS46" s="784"/>
      <c r="CT46" s="784"/>
      <c r="CU46" s="784"/>
      <c r="CV46" s="784"/>
      <c r="CW46" s="634"/>
      <c r="CX46" s="102"/>
      <c r="CY46" s="784"/>
      <c r="CZ46" s="784"/>
      <c r="DA46" s="784"/>
      <c r="DB46" s="784"/>
      <c r="DC46" s="784"/>
      <c r="DD46" s="784"/>
      <c r="DE46" s="634"/>
      <c r="DF46" s="784"/>
      <c r="DG46" s="634"/>
      <c r="DH46" s="296"/>
      <c r="DI46" s="802"/>
      <c r="DJ46" s="785"/>
      <c r="DK46" s="771"/>
      <c r="DL46" s="772"/>
      <c r="DM46" s="787"/>
      <c r="DN46" s="787"/>
      <c r="DO46" s="787"/>
      <c r="DP46" s="787"/>
      <c r="DQ46" s="787"/>
      <c r="DR46" s="787"/>
      <c r="DS46" s="787"/>
      <c r="DT46" s="787"/>
      <c r="DU46" s="787"/>
      <c r="DV46" s="787"/>
      <c r="DW46" s="802"/>
      <c r="DX46" s="788"/>
      <c r="DY46" s="634"/>
      <c r="DZ46" s="2288"/>
      <c r="EA46" s="2231"/>
      <c r="EB46" s="187"/>
      <c r="EC46" s="2232"/>
      <c r="ED46" s="187"/>
      <c r="EE46" s="187"/>
      <c r="EF46" s="2232"/>
      <c r="EG46" s="245"/>
      <c r="EH46" s="2232"/>
      <c r="EI46" s="187"/>
      <c r="EJ46" s="2232"/>
      <c r="EK46" s="187"/>
      <c r="EL46" s="2232"/>
      <c r="EM46" s="195"/>
      <c r="EN46" s="2232"/>
      <c r="EO46" s="195"/>
      <c r="EP46" s="2232"/>
      <c r="EQ46" s="187"/>
      <c r="ER46" s="2232"/>
      <c r="ES46" s="187"/>
      <c r="ET46" s="2232"/>
      <c r="EU46" s="187">
        <f t="shared" si="1"/>
        <v>0</v>
      </c>
      <c r="EV46" s="2232"/>
      <c r="EW46" s="187"/>
      <c r="EX46" s="2232"/>
      <c r="EY46" s="195"/>
      <c r="EZ46" s="2232"/>
      <c r="FA46" s="195"/>
      <c r="FB46" s="2232"/>
      <c r="FC46" s="195"/>
      <c r="FD46" s="2232"/>
      <c r="FE46" s="195"/>
      <c r="FF46" s="2232"/>
      <c r="FG46" s="195"/>
      <c r="FH46" s="2232"/>
      <c r="FI46" s="195"/>
      <c r="FJ46" s="2232"/>
      <c r="FK46" s="195"/>
      <c r="FL46" s="2232"/>
      <c r="FM46" s="187"/>
      <c r="FN46" s="2232"/>
      <c r="FO46" s="187"/>
      <c r="FP46" s="2232"/>
      <c r="FQ46" s="187"/>
      <c r="FR46" s="195"/>
      <c r="FS46" s="195"/>
      <c r="FT46" s="789"/>
      <c r="FU46" s="789"/>
      <c r="FV46" s="789"/>
      <c r="FW46" s="789"/>
      <c r="FX46" s="789"/>
      <c r="FY46" s="789"/>
      <c r="FZ46" s="789"/>
      <c r="GA46" s="789"/>
      <c r="GB46" s="2289"/>
      <c r="GC46" s="776"/>
    </row>
    <row r="47" spans="1:204" s="228" customFormat="1" ht="18.75">
      <c r="A47" s="216"/>
      <c r="B47" s="216">
        <v>14</v>
      </c>
      <c r="C47" s="918" t="s">
        <v>703</v>
      </c>
      <c r="D47" s="218">
        <v>3192</v>
      </c>
      <c r="E47" s="218">
        <v>34</v>
      </c>
      <c r="F47" s="897">
        <v>2031920034</v>
      </c>
      <c r="G47" s="223">
        <v>8245</v>
      </c>
      <c r="H47" s="218" t="s">
        <v>704</v>
      </c>
      <c r="I47" s="222"/>
      <c r="J47" s="218">
        <v>1.69</v>
      </c>
      <c r="K47" s="218">
        <v>0</v>
      </c>
      <c r="L47" s="218">
        <v>2</v>
      </c>
      <c r="M47" s="218">
        <v>6.5</v>
      </c>
      <c r="N47" s="220">
        <v>13900</v>
      </c>
      <c r="O47" s="220">
        <f>N47</f>
        <v>13900</v>
      </c>
      <c r="P47" s="220">
        <v>0</v>
      </c>
      <c r="Q47" s="220">
        <v>13900</v>
      </c>
      <c r="R47" s="223">
        <v>0</v>
      </c>
      <c r="S47" s="898" t="s">
        <v>711</v>
      </c>
      <c r="T47" s="234">
        <f>U47</f>
        <v>0</v>
      </c>
      <c r="U47" s="111">
        <v>0</v>
      </c>
      <c r="V47" s="234">
        <f>W47</f>
        <v>13900</v>
      </c>
      <c r="W47" s="111">
        <f>N47</f>
        <v>13900</v>
      </c>
      <c r="X47" s="111"/>
      <c r="Y47" s="111">
        <f>W47-AA47</f>
        <v>13900</v>
      </c>
      <c r="Z47" s="234">
        <f>AA47</f>
        <v>0</v>
      </c>
      <c r="AA47" s="111">
        <v>0</v>
      </c>
      <c r="AB47" s="234">
        <f>AC47</f>
        <v>0</v>
      </c>
      <c r="AC47" s="111">
        <v>0</v>
      </c>
      <c r="AD47" s="234">
        <f>AE47</f>
        <v>13900</v>
      </c>
      <c r="AE47" s="111">
        <f>AF47+AG47</f>
        <v>13900</v>
      </c>
      <c r="AF47" s="111">
        <v>0</v>
      </c>
      <c r="AG47" s="111">
        <f>Y47</f>
        <v>13900</v>
      </c>
      <c r="AH47" s="111">
        <v>0</v>
      </c>
      <c r="AI47" s="234">
        <f>AJ47</f>
        <v>0</v>
      </c>
      <c r="AJ47" s="111">
        <v>0</v>
      </c>
      <c r="AK47" s="234">
        <f>AL47</f>
        <v>0</v>
      </c>
      <c r="AL47" s="111">
        <f>W47-(AA47+AC47+AE47+AH47+AJ47+AM47+AW47+AO47+AQ47+AS47+AU47)</f>
        <v>0</v>
      </c>
      <c r="AM47" s="899"/>
      <c r="AN47" s="234">
        <f>AO47</f>
        <v>0</v>
      </c>
      <c r="AO47" s="111">
        <v>0</v>
      </c>
      <c r="AP47" s="234">
        <f>AQ47</f>
        <v>0</v>
      </c>
      <c r="AQ47" s="111">
        <v>0</v>
      </c>
      <c r="AR47" s="234">
        <f>AS47</f>
        <v>0</v>
      </c>
      <c r="AS47" s="111">
        <v>0</v>
      </c>
      <c r="AT47" s="234">
        <f>AU47</f>
        <v>0</v>
      </c>
      <c r="AU47" s="111">
        <v>0</v>
      </c>
      <c r="AV47" s="234">
        <f>AW47</f>
        <v>0</v>
      </c>
      <c r="AW47" s="111">
        <f>AX47+AY47+AZ47+BA47+BB47</f>
        <v>0</v>
      </c>
      <c r="AX47" s="111">
        <v>0</v>
      </c>
      <c r="AY47" s="111">
        <v>0</v>
      </c>
      <c r="AZ47" s="111">
        <v>0</v>
      </c>
      <c r="BA47" s="111">
        <v>0</v>
      </c>
      <c r="BB47" s="111">
        <v>0</v>
      </c>
      <c r="BC47" s="111">
        <v>0</v>
      </c>
      <c r="BD47" s="234">
        <f>BE47</f>
        <v>13900</v>
      </c>
      <c r="BE47" s="111">
        <f>W47+U47</f>
        <v>13900</v>
      </c>
      <c r="BF47" s="234">
        <f>BG47</f>
        <v>0</v>
      </c>
      <c r="BG47" s="111">
        <f>ROUND(U47/'[1]Projected Development Sites'!DF$134,0)</f>
        <v>0</v>
      </c>
      <c r="BH47" s="234">
        <f>BI47</f>
        <v>0</v>
      </c>
      <c r="BI47" s="111">
        <f>'[1]Projected Development Sites'!BG$135*BG47</f>
        <v>0</v>
      </c>
      <c r="BJ47" s="122">
        <f t="shared" si="13"/>
        <v>0</v>
      </c>
      <c r="BK47" s="306">
        <f>ROUND((AL47+AC47+AA47)/1000*3,0)+ROUND((AE47+AU47)/1000,0)+ROUND((ROUND(AH47/400,0))/2.67,0)+ROUND(AJ47/250,0)+ROUND(AO47/15000,0)+ROUND((AX47+AY47+AZ47+BB47)/1000*3,0)+ROUND(BG47/25,0)+ROUND(BU47/50,0)</f>
        <v>14</v>
      </c>
      <c r="BL47" s="111">
        <v>0</v>
      </c>
      <c r="BM47" s="111">
        <v>0</v>
      </c>
      <c r="BN47" s="111">
        <f>W47/1000</f>
        <v>13.9</v>
      </c>
      <c r="BO47" s="111">
        <f>AC47/1000</f>
        <v>0</v>
      </c>
      <c r="BP47" s="111">
        <f>((AH47/400)/12)</f>
        <v>0</v>
      </c>
      <c r="BQ47" s="111">
        <f>IFERROR(VLOOKUP(F47,#REF!,3,FALSE),0)</f>
        <v>0</v>
      </c>
      <c r="BR47" s="111">
        <v>0</v>
      </c>
      <c r="BS47" s="111">
        <f>IF(BB47&gt;0,"Calculate",0)</f>
        <v>0</v>
      </c>
      <c r="BT47" s="234">
        <f>BU47</f>
        <v>13.9</v>
      </c>
      <c r="BU47" s="111">
        <f>SUM(BL47:BS47)</f>
        <v>13.9</v>
      </c>
      <c r="BV47" s="228">
        <v>20</v>
      </c>
      <c r="BW47" s="900" t="s">
        <v>705</v>
      </c>
      <c r="BX47" s="228">
        <v>4.5999999999999996</v>
      </c>
      <c r="BY47" s="228">
        <v>0</v>
      </c>
      <c r="BZ47" s="228">
        <v>4.5999999999999996</v>
      </c>
      <c r="CA47" s="901"/>
      <c r="CB47" s="230" t="s">
        <v>744</v>
      </c>
      <c r="CC47" s="399">
        <f>(BX47*G47)-G47</f>
        <v>29682</v>
      </c>
      <c r="CD47" s="399">
        <f>CC47</f>
        <v>29682</v>
      </c>
      <c r="CE47" s="234">
        <f>CF47</f>
        <v>0</v>
      </c>
      <c r="CF47" s="902">
        <v>0</v>
      </c>
      <c r="CG47" s="234">
        <f>CH47</f>
        <v>0</v>
      </c>
      <c r="CH47" s="902">
        <f>CF47-CJ47</f>
        <v>0</v>
      </c>
      <c r="CI47" s="234">
        <f>CJ47</f>
        <v>0</v>
      </c>
      <c r="CJ47" s="228">
        <v>0</v>
      </c>
      <c r="CK47" s="234">
        <f>CL47</f>
        <v>0</v>
      </c>
      <c r="CL47" s="228">
        <v>0</v>
      </c>
      <c r="CM47" s="234">
        <f>CN47</f>
        <v>0</v>
      </c>
      <c r="CN47" s="111">
        <f>CF47</f>
        <v>0</v>
      </c>
      <c r="CO47" s="903">
        <v>0</v>
      </c>
      <c r="CP47" s="903">
        <v>0</v>
      </c>
      <c r="CQ47" s="234">
        <f>CR47</f>
        <v>0</v>
      </c>
      <c r="CR47" s="111">
        <v>0</v>
      </c>
      <c r="CS47" s="903">
        <v>0</v>
      </c>
      <c r="CT47" s="903">
        <v>0</v>
      </c>
      <c r="CU47" s="903">
        <v>0</v>
      </c>
      <c r="CV47" s="903">
        <v>0</v>
      </c>
      <c r="CW47" s="234">
        <f>CX47</f>
        <v>0</v>
      </c>
      <c r="CX47" s="111">
        <f>SUM(CY47:DC47)</f>
        <v>0</v>
      </c>
      <c r="CY47" s="903">
        <v>0</v>
      </c>
      <c r="CZ47" s="903">
        <v>0</v>
      </c>
      <c r="DA47" s="903">
        <v>0</v>
      </c>
      <c r="DB47" s="903">
        <v>0</v>
      </c>
      <c r="DC47" s="903">
        <v>0</v>
      </c>
      <c r="DD47" s="903"/>
      <c r="DE47" s="234">
        <f>DF47</f>
        <v>29682</v>
      </c>
      <c r="DF47" s="111">
        <f>CC47+CF47</f>
        <v>29682</v>
      </c>
      <c r="DG47" s="234">
        <f>DH47</f>
        <v>30</v>
      </c>
      <c r="DH47" s="228">
        <f>ROUND(CC47/'[1]Projected Development Sites'!DF$134,0)</f>
        <v>30</v>
      </c>
      <c r="DI47" s="886">
        <f>DJ47</f>
        <v>30</v>
      </c>
      <c r="DJ47" s="905">
        <f>'[1]Projected Development Sites'!DK$136*DH47</f>
        <v>30</v>
      </c>
      <c r="DK47" s="771">
        <f>3.06*DH47</f>
        <v>91.8</v>
      </c>
      <c r="DL47" s="772">
        <f>ROUND((CN47+CL47+CJ47)/1000*3,0)+ROUND((ROUND(CP47/400,0))/2.67,0)+ROUND(CV47/1000,0)+ROUND((CY47+CZ47+DA47+DC47)/1000*3,0)+ROUND(DH47/25,0)+ROUND(DX47/50,0)</f>
        <v>1</v>
      </c>
      <c r="DM47" s="905">
        <v>0</v>
      </c>
      <c r="DN47" s="905"/>
      <c r="DO47" s="905">
        <v>0</v>
      </c>
      <c r="DP47" s="905">
        <f>0.25*DJ47</f>
        <v>7.5</v>
      </c>
      <c r="DQ47" s="905">
        <f>SUM(CO47,CJ47,CN47,CR47,CU47)/1000</f>
        <v>0</v>
      </c>
      <c r="DR47" s="905">
        <f>CL47/1000</f>
        <v>0</v>
      </c>
      <c r="DS47" s="905">
        <f>((CP47/400)/12)</f>
        <v>0</v>
      </c>
      <c r="DT47" s="905">
        <v>0</v>
      </c>
      <c r="DU47" s="905">
        <v>0</v>
      </c>
      <c r="DV47" s="905">
        <f>CX47/1000</f>
        <v>0</v>
      </c>
      <c r="DW47" s="886">
        <f>DX47</f>
        <v>0</v>
      </c>
      <c r="DX47" s="919">
        <f>SUM(DM47,DO47,DQ47:DV47)</f>
        <v>0</v>
      </c>
      <c r="DY47" s="837">
        <v>95</v>
      </c>
      <c r="DZ47" s="2288">
        <f>CD47-T47</f>
        <v>29682</v>
      </c>
      <c r="EA47" s="2231">
        <f>CE47-V47</f>
        <v>-13900</v>
      </c>
      <c r="EB47" s="187">
        <f>CF47-W47</f>
        <v>-13900</v>
      </c>
      <c r="EC47" s="235">
        <f>ED47</f>
        <v>-13900</v>
      </c>
      <c r="ED47" s="187">
        <v>-13900</v>
      </c>
      <c r="EE47" s="187">
        <f>(SUM(CJ47:CO47))-(SUM(AA47:AE47,AL47))</f>
        <v>-27800</v>
      </c>
      <c r="EF47" s="235">
        <f>EG47</f>
        <v>0</v>
      </c>
      <c r="EG47" s="245">
        <v>0</v>
      </c>
      <c r="EH47" s="235">
        <f>EI47</f>
        <v>0</v>
      </c>
      <c r="EI47" s="187">
        <f>CL47-AC47</f>
        <v>0</v>
      </c>
      <c r="EJ47" s="235">
        <f>EK47</f>
        <v>0</v>
      </c>
      <c r="EK47" s="187">
        <f>CJ47-AA47</f>
        <v>0</v>
      </c>
      <c r="EL47" s="235">
        <f>EM47</f>
        <v>-13900</v>
      </c>
      <c r="EM47" s="245">
        <f>CO47-AE47</f>
        <v>-13900</v>
      </c>
      <c r="EN47" s="235">
        <f>EO47</f>
        <v>0</v>
      </c>
      <c r="EO47" s="245">
        <f>CP47-AH47</f>
        <v>0</v>
      </c>
      <c r="EP47" s="235">
        <f>EQ47</f>
        <v>0</v>
      </c>
      <c r="EQ47" s="187">
        <f>CR47-AJ47</f>
        <v>0</v>
      </c>
      <c r="ER47" s="235">
        <f>ES47</f>
        <v>0</v>
      </c>
      <c r="ES47" s="187">
        <f>CS47-AO47</f>
        <v>0</v>
      </c>
      <c r="ET47" s="235">
        <f>EU47</f>
        <v>0</v>
      </c>
      <c r="EU47" s="187">
        <f t="shared" si="1"/>
        <v>0</v>
      </c>
      <c r="EV47" s="235">
        <f>EW47</f>
        <v>0</v>
      </c>
      <c r="EW47" s="187">
        <f>CU47-AS47</f>
        <v>0</v>
      </c>
      <c r="EX47" s="235">
        <f>EY47</f>
        <v>0</v>
      </c>
      <c r="EY47" s="245">
        <f>CV47-AU47</f>
        <v>0</v>
      </c>
      <c r="EZ47" s="235">
        <f>FA47</f>
        <v>0</v>
      </c>
      <c r="FA47" s="245">
        <f>CY47-AX47</f>
        <v>0</v>
      </c>
      <c r="FB47" s="235">
        <f>FC47</f>
        <v>0</v>
      </c>
      <c r="FC47" s="245">
        <f>CZ47-AY47</f>
        <v>0</v>
      </c>
      <c r="FD47" s="235">
        <f>FE47</f>
        <v>0</v>
      </c>
      <c r="FE47" s="245">
        <f>DA47-AZ47</f>
        <v>0</v>
      </c>
      <c r="FF47" s="235">
        <f>FG47</f>
        <v>0</v>
      </c>
      <c r="FG47" s="245">
        <f>DB47-BA47</f>
        <v>0</v>
      </c>
      <c r="FH47" s="235">
        <f>FI47</f>
        <v>0</v>
      </c>
      <c r="FI47" s="245">
        <f>DC47-BB47</f>
        <v>0</v>
      </c>
      <c r="FJ47" s="235">
        <f>FK47</f>
        <v>0</v>
      </c>
      <c r="FK47" s="245">
        <f>CX47-AW47</f>
        <v>0</v>
      </c>
      <c r="FL47" s="235">
        <f>FM47</f>
        <v>15782</v>
      </c>
      <c r="FM47" s="187">
        <f>DF47-BE47</f>
        <v>15782</v>
      </c>
      <c r="FN47" s="235">
        <f>FO47</f>
        <v>30</v>
      </c>
      <c r="FO47" s="187">
        <f>DH47-BG47</f>
        <v>30</v>
      </c>
      <c r="FP47" s="235">
        <f>FQ47</f>
        <v>30</v>
      </c>
      <c r="FQ47" s="187">
        <f>DJ47-BI47</f>
        <v>30</v>
      </c>
      <c r="FR47" s="245">
        <f>DK47-BJ47</f>
        <v>91.8</v>
      </c>
      <c r="FS47" s="245">
        <f>DL47-BK47</f>
        <v>-13</v>
      </c>
      <c r="FT47" s="907">
        <f>DM47-BL47</f>
        <v>0</v>
      </c>
      <c r="FU47" s="907">
        <f>DR47-BO47</f>
        <v>0</v>
      </c>
      <c r="FV47" s="907">
        <f>DO47-BM47</f>
        <v>0</v>
      </c>
      <c r="FW47" s="907">
        <f>DQ47-BN47</f>
        <v>-13.9</v>
      </c>
      <c r="FX47" s="907">
        <f>DS47-BP47</f>
        <v>0</v>
      </c>
      <c r="FY47" s="907">
        <f>DT47-BQ47</f>
        <v>0</v>
      </c>
      <c r="FZ47" s="907">
        <f>DU47-BR47</f>
        <v>0</v>
      </c>
      <c r="GA47" s="907">
        <f>DV47-BS47</f>
        <v>0</v>
      </c>
      <c r="GB47" s="894">
        <f>GC47</f>
        <v>-13.9</v>
      </c>
      <c r="GC47" s="776">
        <f t="shared" si="4"/>
        <v>-13.9</v>
      </c>
      <c r="GD47" s="139"/>
      <c r="GE47" s="139"/>
      <c r="GF47" s="139"/>
      <c r="GG47" s="139"/>
      <c r="GH47" s="139"/>
      <c r="GI47" s="139"/>
      <c r="GJ47" s="139"/>
      <c r="GK47" s="139"/>
      <c r="GL47" s="139"/>
      <c r="GM47" s="139"/>
      <c r="GN47" s="139"/>
      <c r="GO47" s="139"/>
      <c r="GP47" s="139"/>
      <c r="GQ47" s="139"/>
      <c r="GR47" s="139"/>
      <c r="GS47" s="139"/>
      <c r="GT47" s="139"/>
    </row>
    <row r="48" spans="1:204" s="139" customFormat="1" ht="18.75">
      <c r="A48" s="2263"/>
      <c r="B48" s="2263"/>
      <c r="C48" s="913"/>
      <c r="D48" s="132"/>
      <c r="E48" s="132"/>
      <c r="F48" s="777"/>
      <c r="G48" s="137"/>
      <c r="H48" s="132"/>
      <c r="I48" s="136"/>
      <c r="J48" s="132"/>
      <c r="K48" s="132"/>
      <c r="L48" s="132"/>
      <c r="M48" s="132"/>
      <c r="N48" s="134"/>
      <c r="O48" s="134"/>
      <c r="P48" s="134"/>
      <c r="Q48" s="134"/>
      <c r="R48" s="137"/>
      <c r="S48" s="778"/>
      <c r="T48" s="634"/>
      <c r="U48" s="102"/>
      <c r="V48" s="634"/>
      <c r="W48" s="102"/>
      <c r="X48" s="102"/>
      <c r="Y48" s="102"/>
      <c r="Z48" s="634"/>
      <c r="AA48" s="102"/>
      <c r="AB48" s="634"/>
      <c r="AC48" s="102"/>
      <c r="AD48" s="634"/>
      <c r="AE48" s="102"/>
      <c r="AF48" s="102"/>
      <c r="AG48" s="102"/>
      <c r="AH48" s="102"/>
      <c r="AI48" s="634"/>
      <c r="AJ48" s="102"/>
      <c r="AK48" s="634"/>
      <c r="AL48" s="102"/>
      <c r="AM48" s="779"/>
      <c r="AN48" s="634"/>
      <c r="AO48" s="102"/>
      <c r="AP48" s="634"/>
      <c r="AQ48" s="102"/>
      <c r="AR48" s="634"/>
      <c r="AS48" s="102"/>
      <c r="AT48" s="634"/>
      <c r="AU48" s="102"/>
      <c r="AV48" s="634"/>
      <c r="AW48" s="102"/>
      <c r="AX48" s="102"/>
      <c r="AY48" s="102"/>
      <c r="AZ48" s="102"/>
      <c r="BA48" s="102"/>
      <c r="BB48" s="102"/>
      <c r="BC48" s="102"/>
      <c r="BD48" s="634"/>
      <c r="BE48" s="102"/>
      <c r="BF48" s="634"/>
      <c r="BG48" s="102"/>
      <c r="BH48" s="634"/>
      <c r="BI48" s="102"/>
      <c r="BJ48" s="122"/>
      <c r="BK48" s="186"/>
      <c r="BL48" s="102"/>
      <c r="BM48" s="102"/>
      <c r="BN48" s="102"/>
      <c r="BO48" s="102"/>
      <c r="BP48" s="102"/>
      <c r="BQ48" s="102"/>
      <c r="BR48" s="102"/>
      <c r="BS48" s="102"/>
      <c r="BT48" s="634"/>
      <c r="BU48" s="111"/>
      <c r="BW48" s="780"/>
      <c r="CA48" s="781"/>
      <c r="CB48" s="2258"/>
      <c r="CC48" s="782"/>
      <c r="CD48" s="782"/>
      <c r="CE48" s="634"/>
      <c r="CF48" s="783"/>
      <c r="CG48" s="634"/>
      <c r="CH48" s="783"/>
      <c r="CI48" s="634"/>
      <c r="CK48" s="634"/>
      <c r="CM48" s="634"/>
      <c r="CN48" s="784"/>
      <c r="CO48" s="784"/>
      <c r="CP48" s="784"/>
      <c r="CQ48" s="634"/>
      <c r="CR48" s="102"/>
      <c r="CS48" s="784"/>
      <c r="CT48" s="784"/>
      <c r="CU48" s="784"/>
      <c r="CV48" s="784"/>
      <c r="CW48" s="634"/>
      <c r="CX48" s="102"/>
      <c r="CY48" s="784"/>
      <c r="CZ48" s="784"/>
      <c r="DA48" s="784"/>
      <c r="DB48" s="784"/>
      <c r="DC48" s="784"/>
      <c r="DD48" s="784"/>
      <c r="DE48" s="634"/>
      <c r="DF48" s="784"/>
      <c r="DG48" s="634"/>
      <c r="DI48" s="802"/>
      <c r="DJ48" s="787"/>
      <c r="DK48" s="771"/>
      <c r="DL48" s="772"/>
      <c r="DM48" s="787"/>
      <c r="DN48" s="787"/>
      <c r="DO48" s="787"/>
      <c r="DP48" s="787"/>
      <c r="DQ48" s="787"/>
      <c r="DR48" s="787"/>
      <c r="DS48" s="787"/>
      <c r="DT48" s="787"/>
      <c r="DU48" s="787"/>
      <c r="DV48" s="787"/>
      <c r="DW48" s="802"/>
      <c r="DX48" s="788"/>
      <c r="DY48" s="634"/>
      <c r="DZ48" s="2288"/>
      <c r="EA48" s="2231"/>
      <c r="EB48" s="187"/>
      <c r="EC48" s="2232"/>
      <c r="ED48" s="187"/>
      <c r="EE48" s="187"/>
      <c r="EF48" s="2232"/>
      <c r="EG48" s="245"/>
      <c r="EH48" s="2232"/>
      <c r="EI48" s="187"/>
      <c r="EJ48" s="2232"/>
      <c r="EK48" s="187"/>
      <c r="EL48" s="2232"/>
      <c r="EM48" s="195"/>
      <c r="EN48" s="2232"/>
      <c r="EO48" s="195"/>
      <c r="EP48" s="2232"/>
      <c r="EQ48" s="187"/>
      <c r="ER48" s="2232"/>
      <c r="ES48" s="187"/>
      <c r="ET48" s="2232"/>
      <c r="EU48" s="187">
        <f t="shared" si="1"/>
        <v>0</v>
      </c>
      <c r="EV48" s="2232"/>
      <c r="EW48" s="187"/>
      <c r="EX48" s="2232"/>
      <c r="EY48" s="195"/>
      <c r="EZ48" s="2232"/>
      <c r="FA48" s="195"/>
      <c r="FB48" s="2232"/>
      <c r="FC48" s="195"/>
      <c r="FD48" s="2232"/>
      <c r="FE48" s="195"/>
      <c r="FF48" s="2232"/>
      <c r="FG48" s="195"/>
      <c r="FH48" s="2232"/>
      <c r="FI48" s="195"/>
      <c r="FJ48" s="2232"/>
      <c r="FK48" s="195"/>
      <c r="FL48" s="2232"/>
      <c r="FM48" s="187"/>
      <c r="FN48" s="2232"/>
      <c r="FO48" s="187"/>
      <c r="FP48" s="2232"/>
      <c r="FQ48" s="187"/>
      <c r="FR48" s="195"/>
      <c r="FS48" s="195"/>
      <c r="FT48" s="789"/>
      <c r="FU48" s="789"/>
      <c r="FV48" s="789"/>
      <c r="FW48" s="789"/>
      <c r="FX48" s="789"/>
      <c r="FY48" s="789"/>
      <c r="FZ48" s="789"/>
      <c r="GA48" s="789"/>
      <c r="GB48" s="2289"/>
      <c r="GC48" s="776"/>
    </row>
    <row r="49" spans="1:202" s="228" customFormat="1" ht="18.75">
      <c r="A49" s="216"/>
      <c r="B49" s="216">
        <v>15</v>
      </c>
      <c r="C49" s="918" t="s">
        <v>703</v>
      </c>
      <c r="D49" s="218">
        <v>3179</v>
      </c>
      <c r="E49" s="218">
        <v>30</v>
      </c>
      <c r="F49" s="218">
        <v>2031790030</v>
      </c>
      <c r="G49" s="223">
        <v>15000</v>
      </c>
      <c r="H49" s="218" t="s">
        <v>704</v>
      </c>
      <c r="I49" s="222"/>
      <c r="J49" s="218">
        <v>0.51</v>
      </c>
      <c r="K49" s="218">
        <v>0</v>
      </c>
      <c r="L49" s="218">
        <v>2</v>
      </c>
      <c r="M49" s="218">
        <v>6.5</v>
      </c>
      <c r="N49" s="220">
        <v>7622</v>
      </c>
      <c r="O49" s="220">
        <v>7622</v>
      </c>
      <c r="P49" s="220">
        <v>0</v>
      </c>
      <c r="Q49" s="220">
        <v>7622</v>
      </c>
      <c r="R49" s="223">
        <v>0</v>
      </c>
      <c r="S49" s="898" t="s">
        <v>737</v>
      </c>
      <c r="T49" s="234">
        <f>U49</f>
        <v>0</v>
      </c>
      <c r="U49" s="111">
        <f>Q49-N49</f>
        <v>0</v>
      </c>
      <c r="V49" s="234">
        <f>W49</f>
        <v>7622</v>
      </c>
      <c r="W49" s="111">
        <f>N49</f>
        <v>7622</v>
      </c>
      <c r="X49" s="111"/>
      <c r="Y49" s="111">
        <f>W49-AA49</f>
        <v>7622</v>
      </c>
      <c r="Z49" s="234">
        <f>AA49</f>
        <v>0</v>
      </c>
      <c r="AA49" s="111">
        <v>0</v>
      </c>
      <c r="AB49" s="234">
        <f>AC49</f>
        <v>0</v>
      </c>
      <c r="AC49" s="111">
        <v>0</v>
      </c>
      <c r="AD49" s="234">
        <f>AE49</f>
        <v>7622</v>
      </c>
      <c r="AE49" s="111">
        <f>AF49+AG49</f>
        <v>7622</v>
      </c>
      <c r="AF49" s="111">
        <v>0</v>
      </c>
      <c r="AG49" s="111">
        <v>7622</v>
      </c>
      <c r="AH49" s="111">
        <v>0</v>
      </c>
      <c r="AI49" s="234">
        <f>AJ49</f>
        <v>0</v>
      </c>
      <c r="AJ49" s="111">
        <f>P49</f>
        <v>0</v>
      </c>
      <c r="AK49" s="234">
        <f>AL49</f>
        <v>0</v>
      </c>
      <c r="AL49" s="111">
        <f>W49-(AA49+AC49+AE49+AH49+AJ49+AM49+AW49+AO49+AQ49+AS49+AU49)</f>
        <v>0</v>
      </c>
      <c r="AM49" s="899"/>
      <c r="AN49" s="234">
        <f>AO49</f>
        <v>0</v>
      </c>
      <c r="AO49" s="111">
        <v>0</v>
      </c>
      <c r="AP49" s="234">
        <f>AQ49</f>
        <v>0</v>
      </c>
      <c r="AQ49" s="111">
        <v>0</v>
      </c>
      <c r="AR49" s="234">
        <f>AS49</f>
        <v>0</v>
      </c>
      <c r="AS49" s="111">
        <v>0</v>
      </c>
      <c r="AT49" s="234">
        <f>AU49</f>
        <v>0</v>
      </c>
      <c r="AU49" s="111">
        <v>0</v>
      </c>
      <c r="AV49" s="234">
        <f>AW49</f>
        <v>0</v>
      </c>
      <c r="AW49" s="111">
        <f>AX49+AY49+AZ49+BA49+BB49</f>
        <v>0</v>
      </c>
      <c r="AX49" s="111">
        <v>0</v>
      </c>
      <c r="AY49" s="111">
        <v>0</v>
      </c>
      <c r="AZ49" s="111">
        <v>0</v>
      </c>
      <c r="BA49" s="111">
        <v>0</v>
      </c>
      <c r="BB49" s="111">
        <v>0</v>
      </c>
      <c r="BC49" s="111">
        <v>0</v>
      </c>
      <c r="BD49" s="234">
        <f>BE49</f>
        <v>7622</v>
      </c>
      <c r="BE49" s="111">
        <f>U49+W49</f>
        <v>7622</v>
      </c>
      <c r="BF49" s="234">
        <f>BG49</f>
        <v>0</v>
      </c>
      <c r="BG49" s="111">
        <v>0</v>
      </c>
      <c r="BH49" s="234">
        <f>BI49</f>
        <v>0</v>
      </c>
      <c r="BI49" s="111">
        <f>'[1]Projected Development Sites'!BG$135*BG49</f>
        <v>0</v>
      </c>
      <c r="BJ49" s="122">
        <f t="shared" si="13"/>
        <v>0</v>
      </c>
      <c r="BK49" s="306">
        <f>ROUND((AL49+AC49+AA49)/1000*3,0)+ROUND((AE49+AU49)/1000,0)+ROUND((ROUND(AH49/400,0))/2.67,0)+ROUND(AJ49/250,0)+ROUND(AO49/15000,0)+ROUND((AX49+AY49+AZ49+BB49)/1000*3,0)+ROUND(BG49/25,0)+ROUND(BU49/50,0)</f>
        <v>8</v>
      </c>
      <c r="BL49" s="111"/>
      <c r="BM49" s="111"/>
      <c r="BN49" s="111"/>
      <c r="BO49" s="111"/>
      <c r="BP49" s="111"/>
      <c r="BQ49" s="111">
        <f>7328/300</f>
        <v>24.426666666666666</v>
      </c>
      <c r="BR49" s="111">
        <v>0</v>
      </c>
      <c r="BS49" s="111"/>
      <c r="BT49" s="234">
        <f>BU49</f>
        <v>24.426666666666666</v>
      </c>
      <c r="BU49" s="111">
        <f>SUM(BL49:BS49)</f>
        <v>24.426666666666666</v>
      </c>
      <c r="BV49" s="228">
        <v>30</v>
      </c>
      <c r="BW49" s="900" t="s">
        <v>705</v>
      </c>
      <c r="BX49" s="228">
        <v>4.5999999999999996</v>
      </c>
      <c r="BY49" s="228">
        <v>2</v>
      </c>
      <c r="BZ49" s="228">
        <v>4.5999999999999996</v>
      </c>
      <c r="CA49" s="901" t="s">
        <v>706</v>
      </c>
      <c r="CB49" s="230" t="s">
        <v>716</v>
      </c>
      <c r="CC49" s="399">
        <f>(BX49*G49)-CF49</f>
        <v>56250</v>
      </c>
      <c r="CD49" s="399">
        <v>56250</v>
      </c>
      <c r="CE49" s="234">
        <f>CF49</f>
        <v>12750</v>
      </c>
      <c r="CF49" s="902">
        <f>1*(G49)-(0.15*1*(G49))</f>
        <v>12750</v>
      </c>
      <c r="CG49" s="234">
        <f>CH49</f>
        <v>12750</v>
      </c>
      <c r="CH49" s="902">
        <f>CF49-CJ49</f>
        <v>12750</v>
      </c>
      <c r="CI49" s="234">
        <f>CJ49</f>
        <v>0</v>
      </c>
      <c r="CJ49" s="228">
        <v>0</v>
      </c>
      <c r="CK49" s="234">
        <f>CL49</f>
        <v>0</v>
      </c>
      <c r="CL49" s="228">
        <v>0</v>
      </c>
      <c r="CM49" s="234">
        <f>CN49</f>
        <v>12750</v>
      </c>
      <c r="CN49" s="111">
        <f>CF49-(CJ49+CL49+CO49+CP49+CR49+CU49+CV49+CX49)</f>
        <v>12750</v>
      </c>
      <c r="CO49" s="903">
        <v>0</v>
      </c>
      <c r="CP49" s="903">
        <v>0</v>
      </c>
      <c r="CQ49" s="234">
        <f>CR49</f>
        <v>0</v>
      </c>
      <c r="CR49" s="111">
        <v>0</v>
      </c>
      <c r="CS49" s="903">
        <v>0</v>
      </c>
      <c r="CT49" s="903">
        <v>0</v>
      </c>
      <c r="CU49" s="903">
        <v>0</v>
      </c>
      <c r="CV49" s="903">
        <v>0</v>
      </c>
      <c r="CW49" s="234">
        <f>CX49</f>
        <v>0</v>
      </c>
      <c r="CX49" s="111">
        <f>SUM(CY49:DC49)</f>
        <v>0</v>
      </c>
      <c r="CY49" s="903">
        <f>AX49</f>
        <v>0</v>
      </c>
      <c r="CZ49" s="903">
        <f>AY49</f>
        <v>0</v>
      </c>
      <c r="DA49" s="903">
        <f>AZ49</f>
        <v>0</v>
      </c>
      <c r="DB49" s="903">
        <f>BA49</f>
        <v>0</v>
      </c>
      <c r="DC49" s="903">
        <f>BB49</f>
        <v>0</v>
      </c>
      <c r="DD49" s="903"/>
      <c r="DE49" s="234">
        <f>DF49</f>
        <v>69000</v>
      </c>
      <c r="DF49" s="111">
        <f>CC49+CF49</f>
        <v>69000</v>
      </c>
      <c r="DG49" s="234">
        <f>DH49</f>
        <v>56</v>
      </c>
      <c r="DH49" s="228">
        <f>ROUND(CC49/'[1]Projected Development Sites'!DF$134,0)</f>
        <v>56</v>
      </c>
      <c r="DI49" s="886">
        <f>DJ49</f>
        <v>56</v>
      </c>
      <c r="DJ49" s="905">
        <f>'[1]Projected Development Sites'!DK$136*DH49</f>
        <v>56</v>
      </c>
      <c r="DK49" s="771">
        <f>3.06*DH49</f>
        <v>171.36</v>
      </c>
      <c r="DL49" s="772">
        <f>ROUND((CN49+CL49+CJ49)/1000*3,0)+ROUND((ROUND(CP49/400,0))/2.67,0)+ROUND(CV49/1000,0)+ROUND((CY49+CZ49+DA49+DC49)/1000*3,0)+ROUND(DH49/25,0)+ROUND(DX49/50,0)</f>
        <v>40</v>
      </c>
      <c r="DM49" s="905">
        <v>0</v>
      </c>
      <c r="DN49" s="905"/>
      <c r="DO49" s="905">
        <v>0</v>
      </c>
      <c r="DP49" s="905">
        <f>0.25*DJ49</f>
        <v>14</v>
      </c>
      <c r="DQ49" s="905">
        <f>SUM(CO49,CJ49,CN49,CR49,CU49)/1000</f>
        <v>12.75</v>
      </c>
      <c r="DR49" s="905">
        <f>CL49/1000</f>
        <v>0</v>
      </c>
      <c r="DS49" s="905">
        <f>((CP49/400)/12)</f>
        <v>0</v>
      </c>
      <c r="DT49" s="905">
        <v>0</v>
      </c>
      <c r="DU49" s="905">
        <v>0</v>
      </c>
      <c r="DV49" s="905">
        <f>CX49/1000</f>
        <v>0</v>
      </c>
      <c r="DW49" s="886">
        <f>DX49</f>
        <v>12.75</v>
      </c>
      <c r="DX49" s="906">
        <f>SUM(DM49,DO49,DQ49:DV49)</f>
        <v>12.75</v>
      </c>
      <c r="DY49" s="837">
        <v>115</v>
      </c>
      <c r="DZ49" s="2288">
        <f>CD49-T49</f>
        <v>56250</v>
      </c>
      <c r="EA49" s="2231">
        <f>CE49-V49</f>
        <v>5128</v>
      </c>
      <c r="EB49" s="187">
        <f>CF49-W49</f>
        <v>5128</v>
      </c>
      <c r="EC49" s="235">
        <f>ED49</f>
        <v>5128</v>
      </c>
      <c r="ED49" s="187">
        <v>5128</v>
      </c>
      <c r="EE49" s="187">
        <f>(SUM(CJ49:CO49))-(SUM(AA49:AE49,AL49))</f>
        <v>10256</v>
      </c>
      <c r="EF49" s="235">
        <f>EG49</f>
        <v>12750</v>
      </c>
      <c r="EG49" s="245">
        <v>12750</v>
      </c>
      <c r="EH49" s="235">
        <f>EI49</f>
        <v>0</v>
      </c>
      <c r="EI49" s="187">
        <f>CL49-AC49</f>
        <v>0</v>
      </c>
      <c r="EJ49" s="235">
        <f>EK49</f>
        <v>0</v>
      </c>
      <c r="EK49" s="187">
        <f>CJ49-AA49</f>
        <v>0</v>
      </c>
      <c r="EL49" s="235">
        <f>EM49</f>
        <v>-7622</v>
      </c>
      <c r="EM49" s="245">
        <f>CO49-AE49</f>
        <v>-7622</v>
      </c>
      <c r="EN49" s="235">
        <f>EO49</f>
        <v>0</v>
      </c>
      <c r="EO49" s="245">
        <f>CP49-AH49</f>
        <v>0</v>
      </c>
      <c r="EP49" s="235">
        <f>EQ49</f>
        <v>0</v>
      </c>
      <c r="EQ49" s="187">
        <f>CR49-AJ49</f>
        <v>0</v>
      </c>
      <c r="ER49" s="235">
        <f>ES49</f>
        <v>0</v>
      </c>
      <c r="ES49" s="187">
        <f>CS49-AO49</f>
        <v>0</v>
      </c>
      <c r="ET49" s="235">
        <f>EU49</f>
        <v>0</v>
      </c>
      <c r="EU49" s="187">
        <f t="shared" si="1"/>
        <v>0</v>
      </c>
      <c r="EV49" s="235">
        <f>EW49</f>
        <v>0</v>
      </c>
      <c r="EW49" s="187">
        <f>CU49-AS49</f>
        <v>0</v>
      </c>
      <c r="EX49" s="235">
        <f>EY49</f>
        <v>0</v>
      </c>
      <c r="EY49" s="245">
        <f>CV49-AU49</f>
        <v>0</v>
      </c>
      <c r="EZ49" s="235">
        <f>FA49</f>
        <v>0</v>
      </c>
      <c r="FA49" s="245">
        <f>CY49-AX49</f>
        <v>0</v>
      </c>
      <c r="FB49" s="235">
        <f>FC49</f>
        <v>0</v>
      </c>
      <c r="FC49" s="245">
        <f>CZ49-AY49</f>
        <v>0</v>
      </c>
      <c r="FD49" s="235">
        <f>FE49</f>
        <v>0</v>
      </c>
      <c r="FE49" s="245">
        <f>DA49-AZ49</f>
        <v>0</v>
      </c>
      <c r="FF49" s="235">
        <f>FG49</f>
        <v>0</v>
      </c>
      <c r="FG49" s="245">
        <f>DB49-BA49</f>
        <v>0</v>
      </c>
      <c r="FH49" s="235">
        <f>FI49</f>
        <v>0</v>
      </c>
      <c r="FI49" s="245">
        <f>DC49-BB49</f>
        <v>0</v>
      </c>
      <c r="FJ49" s="235">
        <f>FK49</f>
        <v>0</v>
      </c>
      <c r="FK49" s="245">
        <f>CX49-AW49</f>
        <v>0</v>
      </c>
      <c r="FL49" s="235">
        <f>FM49</f>
        <v>61378</v>
      </c>
      <c r="FM49" s="187">
        <f>DF49-BE49</f>
        <v>61378</v>
      </c>
      <c r="FN49" s="235">
        <f>FO49</f>
        <v>56</v>
      </c>
      <c r="FO49" s="187">
        <f>DH49-BG49</f>
        <v>56</v>
      </c>
      <c r="FP49" s="235">
        <f>FQ49</f>
        <v>56</v>
      </c>
      <c r="FQ49" s="187">
        <f>DJ49-BI49</f>
        <v>56</v>
      </c>
      <c r="FR49" s="245">
        <f>DK49-BJ49</f>
        <v>171.36</v>
      </c>
      <c r="FS49" s="245">
        <f>DL49-BK49</f>
        <v>32</v>
      </c>
      <c r="FT49" s="907">
        <f>DM49-BL49</f>
        <v>0</v>
      </c>
      <c r="FU49" s="907">
        <f>DR49-BO49</f>
        <v>0</v>
      </c>
      <c r="FV49" s="907">
        <f>DO49-BM49</f>
        <v>0</v>
      </c>
      <c r="FW49" s="907">
        <f>DQ49-BN49</f>
        <v>12.75</v>
      </c>
      <c r="FX49" s="907">
        <f>DS49-BP49</f>
        <v>0</v>
      </c>
      <c r="FY49" s="907">
        <f>DT49-BQ49</f>
        <v>-24.426666666666666</v>
      </c>
      <c r="FZ49" s="907">
        <f>DU49-BR49</f>
        <v>0</v>
      </c>
      <c r="GA49" s="907">
        <f>DV49-BS49</f>
        <v>0</v>
      </c>
      <c r="GB49" s="894">
        <f>GC49</f>
        <v>-11.676666666666666</v>
      </c>
      <c r="GC49" s="776">
        <f t="shared" si="4"/>
        <v>-11.676666666666666</v>
      </c>
      <c r="GD49" s="139"/>
      <c r="GE49" s="139"/>
      <c r="GF49" s="139"/>
      <c r="GG49" s="139"/>
      <c r="GH49" s="139"/>
      <c r="GI49" s="139"/>
      <c r="GJ49" s="139"/>
      <c r="GK49" s="139"/>
      <c r="GL49" s="139"/>
      <c r="GM49" s="139"/>
      <c r="GN49" s="139"/>
      <c r="GO49" s="139"/>
      <c r="GP49" s="139"/>
      <c r="GQ49" s="139"/>
      <c r="GR49" s="139"/>
      <c r="GS49" s="139"/>
      <c r="GT49" s="139"/>
    </row>
    <row r="50" spans="1:202" s="139" customFormat="1" ht="18.75">
      <c r="A50" s="2263"/>
      <c r="B50" s="2263"/>
      <c r="C50" s="913"/>
      <c r="D50" s="132"/>
      <c r="E50" s="132"/>
      <c r="F50" s="132"/>
      <c r="G50" s="137"/>
      <c r="H50" s="132"/>
      <c r="I50" s="136"/>
      <c r="J50" s="132"/>
      <c r="K50" s="132"/>
      <c r="L50" s="132"/>
      <c r="M50" s="132"/>
      <c r="N50" s="134"/>
      <c r="O50" s="134"/>
      <c r="P50" s="134"/>
      <c r="Q50" s="134"/>
      <c r="R50" s="137"/>
      <c r="S50" s="778"/>
      <c r="T50" s="634"/>
      <c r="U50" s="102"/>
      <c r="V50" s="634"/>
      <c r="W50" s="102"/>
      <c r="X50" s="102"/>
      <c r="Y50" s="102"/>
      <c r="Z50" s="634"/>
      <c r="AA50" s="102"/>
      <c r="AB50" s="634"/>
      <c r="AC50" s="102"/>
      <c r="AD50" s="634"/>
      <c r="AE50" s="102"/>
      <c r="AF50" s="102"/>
      <c r="AG50" s="102"/>
      <c r="AH50" s="102"/>
      <c r="AI50" s="634"/>
      <c r="AJ50" s="102"/>
      <c r="AK50" s="634"/>
      <c r="AL50" s="102"/>
      <c r="AM50" s="779"/>
      <c r="AN50" s="634"/>
      <c r="AO50" s="102"/>
      <c r="AP50" s="634"/>
      <c r="AQ50" s="102"/>
      <c r="AR50" s="634"/>
      <c r="AS50" s="102"/>
      <c r="AT50" s="634"/>
      <c r="AU50" s="102"/>
      <c r="AV50" s="634"/>
      <c r="AW50" s="102"/>
      <c r="AX50" s="102"/>
      <c r="AY50" s="102"/>
      <c r="AZ50" s="102"/>
      <c r="BA50" s="102"/>
      <c r="BB50" s="102"/>
      <c r="BC50" s="102"/>
      <c r="BD50" s="634"/>
      <c r="BE50" s="102"/>
      <c r="BF50" s="634"/>
      <c r="BG50" s="102"/>
      <c r="BH50" s="634"/>
      <c r="BI50" s="102"/>
      <c r="BJ50" s="122"/>
      <c r="BK50" s="186"/>
      <c r="BL50" s="102"/>
      <c r="BM50" s="102"/>
      <c r="BN50" s="102"/>
      <c r="BO50" s="102"/>
      <c r="BP50" s="102"/>
      <c r="BQ50" s="102"/>
      <c r="BR50" s="102"/>
      <c r="BS50" s="102"/>
      <c r="BT50" s="634"/>
      <c r="BU50" s="102"/>
      <c r="BW50" s="780"/>
      <c r="CA50" s="781"/>
      <c r="CB50" s="2258"/>
      <c r="CC50" s="782"/>
      <c r="CD50" s="782"/>
      <c r="CE50" s="634"/>
      <c r="CF50" s="783"/>
      <c r="CG50" s="634"/>
      <c r="CH50" s="783"/>
      <c r="CI50" s="634"/>
      <c r="CK50" s="634"/>
      <c r="CM50" s="634"/>
      <c r="CN50" s="784"/>
      <c r="CO50" s="784"/>
      <c r="CP50" s="784"/>
      <c r="CQ50" s="634"/>
      <c r="CR50" s="102"/>
      <c r="CS50" s="784"/>
      <c r="CT50" s="784"/>
      <c r="CU50" s="784"/>
      <c r="CV50" s="784"/>
      <c r="CW50" s="634"/>
      <c r="CX50" s="102"/>
      <c r="CY50" s="784"/>
      <c r="CZ50" s="784"/>
      <c r="DA50" s="784"/>
      <c r="DB50" s="784"/>
      <c r="DC50" s="784"/>
      <c r="DD50" s="784"/>
      <c r="DE50" s="634"/>
      <c r="DF50" s="784"/>
      <c r="DG50" s="634"/>
      <c r="DI50" s="802"/>
      <c r="DJ50" s="787"/>
      <c r="DK50" s="771"/>
      <c r="DL50" s="772"/>
      <c r="DM50" s="787"/>
      <c r="DN50" s="787"/>
      <c r="DO50" s="787"/>
      <c r="DP50" s="787"/>
      <c r="DQ50" s="787"/>
      <c r="DR50" s="787"/>
      <c r="DS50" s="787"/>
      <c r="DT50" s="787"/>
      <c r="DU50" s="787"/>
      <c r="DV50" s="787"/>
      <c r="DW50" s="802"/>
      <c r="DX50" s="788"/>
      <c r="DY50" s="634"/>
      <c r="DZ50" s="2288"/>
      <c r="EA50" s="2231"/>
      <c r="EB50" s="187"/>
      <c r="EC50" s="2232"/>
      <c r="ED50" s="187"/>
      <c r="EE50" s="187"/>
      <c r="EF50" s="2232"/>
      <c r="EG50" s="187"/>
      <c r="EH50" s="2232"/>
      <c r="EI50" s="187"/>
      <c r="EJ50" s="2232"/>
      <c r="EK50" s="187"/>
      <c r="EL50" s="2232"/>
      <c r="EM50" s="195"/>
      <c r="EN50" s="2232"/>
      <c r="EO50" s="195"/>
      <c r="EP50" s="2232"/>
      <c r="EQ50" s="187"/>
      <c r="ER50" s="2232"/>
      <c r="ES50" s="187"/>
      <c r="ET50" s="2232"/>
      <c r="EU50" s="187">
        <f t="shared" si="1"/>
        <v>0</v>
      </c>
      <c r="EV50" s="2232"/>
      <c r="EW50" s="187"/>
      <c r="EX50" s="2232"/>
      <c r="EY50" s="195"/>
      <c r="EZ50" s="2232"/>
      <c r="FA50" s="195"/>
      <c r="FB50" s="2232"/>
      <c r="FC50" s="195"/>
      <c r="FD50" s="2232"/>
      <c r="FE50" s="195"/>
      <c r="FF50" s="2232"/>
      <c r="FG50" s="195"/>
      <c r="FH50" s="2232"/>
      <c r="FI50" s="195"/>
      <c r="FJ50" s="2232"/>
      <c r="FK50" s="195"/>
      <c r="FL50" s="2232"/>
      <c r="FM50" s="187"/>
      <c r="FN50" s="2232"/>
      <c r="FO50" s="187"/>
      <c r="FP50" s="2232"/>
      <c r="FQ50" s="187"/>
      <c r="FR50" s="195"/>
      <c r="FS50" s="195"/>
      <c r="FT50" s="789"/>
      <c r="FU50" s="789"/>
      <c r="FV50" s="789"/>
      <c r="FW50" s="789"/>
      <c r="FX50" s="789"/>
      <c r="FY50" s="789"/>
      <c r="FZ50" s="789"/>
      <c r="GA50" s="789"/>
      <c r="GB50" s="2286"/>
      <c r="GC50" s="776"/>
    </row>
    <row r="51" spans="1:202" s="127" customFormat="1" ht="15" customHeight="1">
      <c r="A51" s="2588"/>
      <c r="B51" s="2588">
        <v>16</v>
      </c>
      <c r="C51" s="911" t="s">
        <v>703</v>
      </c>
      <c r="D51" s="115">
        <v>3192</v>
      </c>
      <c r="E51" s="115">
        <v>55</v>
      </c>
      <c r="F51" s="763">
        <v>2031920055</v>
      </c>
      <c r="G51" s="120">
        <v>5071</v>
      </c>
      <c r="H51" s="115" t="s">
        <v>704</v>
      </c>
      <c r="I51" s="119"/>
      <c r="J51" s="115">
        <v>0</v>
      </c>
      <c r="K51" s="115">
        <v>0</v>
      </c>
      <c r="L51" s="115">
        <v>2</v>
      </c>
      <c r="M51" s="115">
        <v>6.5</v>
      </c>
      <c r="N51" s="117">
        <v>0</v>
      </c>
      <c r="O51" s="117">
        <f>N51</f>
        <v>0</v>
      </c>
      <c r="P51" s="117">
        <v>0</v>
      </c>
      <c r="Q51" s="117">
        <v>0</v>
      </c>
      <c r="R51" s="120">
        <v>0</v>
      </c>
      <c r="S51" s="764" t="s">
        <v>711</v>
      </c>
      <c r="T51" s="2600">
        <f>SUM(U51:U53)</f>
        <v>0</v>
      </c>
      <c r="U51" s="122">
        <v>0</v>
      </c>
      <c r="V51" s="2600">
        <f>SUM(W51:W53)</f>
        <v>16005</v>
      </c>
      <c r="W51" s="122">
        <f>N51</f>
        <v>0</v>
      </c>
      <c r="X51" s="122"/>
      <c r="Y51" s="122">
        <f>W51-AA51</f>
        <v>0</v>
      </c>
      <c r="Z51" s="2600">
        <f>SUM(AA51:AA53)</f>
        <v>0</v>
      </c>
      <c r="AA51" s="122">
        <v>0</v>
      </c>
      <c r="AB51" s="2600">
        <f>SUM(AC51:AC53)</f>
        <v>0</v>
      </c>
      <c r="AC51" s="122">
        <v>0</v>
      </c>
      <c r="AD51" s="2600">
        <f>SUM(AE51:AE53)</f>
        <v>0</v>
      </c>
      <c r="AE51" s="122">
        <f>AF51+AG51</f>
        <v>0</v>
      </c>
      <c r="AF51" s="122">
        <v>0</v>
      </c>
      <c r="AG51" s="122">
        <f>O51</f>
        <v>0</v>
      </c>
      <c r="AH51" s="122">
        <v>0</v>
      </c>
      <c r="AI51" s="2600">
        <f>SUM(AJ51:AJ53)</f>
        <v>0</v>
      </c>
      <c r="AJ51" s="122">
        <v>0</v>
      </c>
      <c r="AK51" s="2600">
        <f>SUM(AL51:AL53)</f>
        <v>9500</v>
      </c>
      <c r="AL51" s="122">
        <f>W51-(AA51+AC51+AE51+AH51+AJ51+AM51+AW51+AO51+AQ51+AS51+AU51)</f>
        <v>0</v>
      </c>
      <c r="AM51" s="765"/>
      <c r="AN51" s="2600">
        <f>SUM(AO51:AO53)</f>
        <v>0</v>
      </c>
      <c r="AO51" s="122">
        <v>0</v>
      </c>
      <c r="AP51" s="2600">
        <f>SUM(AQ51:AQ53)</f>
        <v>0</v>
      </c>
      <c r="AQ51" s="122">
        <v>0</v>
      </c>
      <c r="AR51" s="2600">
        <f>SUM(AS51:AS53)</f>
        <v>500</v>
      </c>
      <c r="AS51" s="122">
        <v>0</v>
      </c>
      <c r="AT51" s="2600">
        <f>SUM(AU51:AU53)</f>
        <v>0</v>
      </c>
      <c r="AU51" s="122">
        <v>0</v>
      </c>
      <c r="AV51" s="2600">
        <f>SUM(AW51:AW53)</f>
        <v>6005</v>
      </c>
      <c r="AW51" s="122">
        <f>AX51+AY51+AZ51+BA51+BB51</f>
        <v>0</v>
      </c>
      <c r="AX51" s="122">
        <v>0</v>
      </c>
      <c r="AY51" s="122">
        <v>0</v>
      </c>
      <c r="AZ51" s="122">
        <v>0</v>
      </c>
      <c r="BA51" s="122">
        <v>0</v>
      </c>
      <c r="BB51" s="122">
        <v>0</v>
      </c>
      <c r="BC51" s="122">
        <v>0</v>
      </c>
      <c r="BD51" s="2600">
        <f>SUM(BE51:BE53)</f>
        <v>16005</v>
      </c>
      <c r="BE51" s="122">
        <f>U51+W51</f>
        <v>0</v>
      </c>
      <c r="BF51" s="2600">
        <f>SUM(BG51:BG53)</f>
        <v>0</v>
      </c>
      <c r="BG51" s="122">
        <f>ROUND(U51/'[1]Projected Development Sites'!DF$134,0)</f>
        <v>0</v>
      </c>
      <c r="BH51" s="2600">
        <f>SUM(BI51:BI53)</f>
        <v>0</v>
      </c>
      <c r="BI51" s="122">
        <f>'[1]Projected Development Sites'!BG$135*BG51</f>
        <v>0</v>
      </c>
      <c r="BJ51" s="122">
        <f t="shared" si="13"/>
        <v>0</v>
      </c>
      <c r="BK51" s="129">
        <f>ROUND((AL51+AC51+AA51)/1000*3,0)+ROUND((AE51+AU51)/1000,0)+ROUND((ROUND(AH51/400,0))/2.67,0)+ROUND(AJ51/250,0)+ROUND(AO51/15000,0)+ROUND((AX51+AY51+AZ51+BB51)/1000*3,0)+ROUND(BG51/25,0)+ROUND(BU51/50,0)</f>
        <v>0</v>
      </c>
      <c r="BL51" s="122">
        <v>0</v>
      </c>
      <c r="BM51" s="122">
        <v>0</v>
      </c>
      <c r="BN51" s="122">
        <f>W51/1000</f>
        <v>0</v>
      </c>
      <c r="BO51" s="122">
        <f>AC51/1000</f>
        <v>0</v>
      </c>
      <c r="BP51" s="122">
        <f>((AH51/400)/12)</f>
        <v>0</v>
      </c>
      <c r="BQ51" s="122">
        <f>IFERROR(VLOOKUP(F51,#REF!,3,FALSE),0)</f>
        <v>0</v>
      </c>
      <c r="BR51" s="122">
        <v>0</v>
      </c>
      <c r="BS51" s="122">
        <f>IF(BB51&gt;0,"Calculate",0)</f>
        <v>0</v>
      </c>
      <c r="BT51" s="2600">
        <f>SUM(BU51:BU53)</f>
        <v>0</v>
      </c>
      <c r="BU51" s="122">
        <f>SUM(BL51:BS51)</f>
        <v>0</v>
      </c>
      <c r="BV51" s="127">
        <v>0</v>
      </c>
      <c r="BW51" s="766" t="s">
        <v>705</v>
      </c>
      <c r="BX51" s="127">
        <v>4.5999999999999996</v>
      </c>
      <c r="BY51" s="127">
        <v>2</v>
      </c>
      <c r="BZ51" s="127">
        <v>4.5999999999999996</v>
      </c>
      <c r="CA51" s="767" t="s">
        <v>706</v>
      </c>
      <c r="CB51" s="2745" t="s">
        <v>855</v>
      </c>
      <c r="CC51" s="768">
        <f>(BX51*G51)-CF51</f>
        <v>19016.25</v>
      </c>
      <c r="CD51" s="768">
        <v>19016.25</v>
      </c>
      <c r="CE51" s="2600">
        <f>SUM(CF51:CF53)</f>
        <v>24709.5</v>
      </c>
      <c r="CF51" s="769">
        <f>1*(G51)-(0.15*1*(G51))</f>
        <v>4310.3500000000004</v>
      </c>
      <c r="CG51" s="2600">
        <f>SUM(CH51:CH53)</f>
        <v>24709.5</v>
      </c>
      <c r="CH51" s="769">
        <f>CF51-CJ51</f>
        <v>4310.3500000000004</v>
      </c>
      <c r="CI51" s="2600">
        <f>SUM(CJ51:CJ53)</f>
        <v>0</v>
      </c>
      <c r="CJ51" s="127">
        <v>0</v>
      </c>
      <c r="CK51" s="2600">
        <f>SUM(CL51:CL53)</f>
        <v>0</v>
      </c>
      <c r="CL51" s="127">
        <v>0</v>
      </c>
      <c r="CM51" s="2600">
        <f>SUM(CN51:CN53)</f>
        <v>17091.800000000003</v>
      </c>
      <c r="CN51" s="770">
        <f>CH51</f>
        <v>4310.3500000000004</v>
      </c>
      <c r="CO51" s="770">
        <v>0</v>
      </c>
      <c r="CP51" s="770">
        <v>0</v>
      </c>
      <c r="CQ51" s="2600">
        <f>SUM(CR51:CR53)</f>
        <v>0</v>
      </c>
      <c r="CR51" s="122">
        <v>0</v>
      </c>
      <c r="CS51" s="770">
        <v>0</v>
      </c>
      <c r="CT51" s="770">
        <v>0</v>
      </c>
      <c r="CU51" s="770">
        <v>0</v>
      </c>
      <c r="CV51" s="770">
        <v>0</v>
      </c>
      <c r="CW51" s="2600">
        <f>SUM(CX51:CX53)</f>
        <v>6005</v>
      </c>
      <c r="CX51" s="122">
        <f>SUM(CY51:DC51)</f>
        <v>0</v>
      </c>
      <c r="CY51" s="770">
        <v>0</v>
      </c>
      <c r="CZ51" s="770">
        <v>0</v>
      </c>
      <c r="DA51" s="770">
        <v>0</v>
      </c>
      <c r="DB51" s="770">
        <v>0</v>
      </c>
      <c r="DC51" s="770">
        <v>0</v>
      </c>
      <c r="DD51" s="770"/>
      <c r="DE51" s="2600">
        <f>SUM(DF51:DF53)</f>
        <v>196119.40000000002</v>
      </c>
      <c r="DF51" s="122">
        <f>CC51+CF51</f>
        <v>23326.6</v>
      </c>
      <c r="DG51" s="2600">
        <f>SUM(DH51:DH53)</f>
        <v>171.48495000000003</v>
      </c>
      <c r="DH51" s="127">
        <f>ROUND(CC51/'[1]Projected Development Sites'!DF$134,0)</f>
        <v>19</v>
      </c>
      <c r="DI51" s="2722">
        <f>SUM(DJ51:DJ53)</f>
        <v>171.48495000000003</v>
      </c>
      <c r="DJ51" s="773">
        <f>'[1]Projected Development Sites'!DK$136*DH51</f>
        <v>19</v>
      </c>
      <c r="DK51" s="771">
        <f>3.06*DH51</f>
        <v>58.14</v>
      </c>
      <c r="DL51" s="772">
        <f>ROUND((CN51+CL51+CJ51)/1000*3,0)+ROUND((ROUND(CP51/400,0))/2.67,0)+ROUND(CV51/1000,0)+ROUND((CY51+CZ51+DA51+DC51)/1000*3,0)+ROUND(DH51/25,0)+ROUND(DX51/50,0)</f>
        <v>14</v>
      </c>
      <c r="DM51" s="773">
        <v>0</v>
      </c>
      <c r="DN51" s="773"/>
      <c r="DO51" s="773">
        <v>0</v>
      </c>
      <c r="DP51" s="773">
        <f>0.25*DJ51</f>
        <v>4.75</v>
      </c>
      <c r="DQ51" s="773">
        <f>SUM(CO51,CJ51,CN51,CR51,CU51)/1000</f>
        <v>4.3103500000000006</v>
      </c>
      <c r="DR51" s="773">
        <f>CL51/1000</f>
        <v>0</v>
      </c>
      <c r="DS51" s="773">
        <f>((CP51/400)/12)</f>
        <v>0</v>
      </c>
      <c r="DT51" s="773">
        <v>0</v>
      </c>
      <c r="DU51" s="773">
        <v>0</v>
      </c>
      <c r="DV51" s="773">
        <f>CX51/1000</f>
        <v>0</v>
      </c>
      <c r="DW51" s="2722">
        <f>SUM(DX51:DX53)</f>
        <v>23.096800000000002</v>
      </c>
      <c r="DX51" s="774">
        <f>SUM(DM51,DO51,DQ51:DV51)</f>
        <v>4.3103500000000006</v>
      </c>
      <c r="DY51" s="920">
        <v>115</v>
      </c>
      <c r="DZ51" s="2728">
        <f>CD51-T51</f>
        <v>19016.25</v>
      </c>
      <c r="EA51" s="2602">
        <f>CE51-V51</f>
        <v>8704.5</v>
      </c>
      <c r="EB51" s="187">
        <f>CF51-W51</f>
        <v>4310.3500000000004</v>
      </c>
      <c r="EC51" s="2602">
        <f>SUM(ED51:ED53)</f>
        <v>7591.8000000000011</v>
      </c>
      <c r="ED51" s="187">
        <v>4310.3500000000004</v>
      </c>
      <c r="EE51" s="187">
        <f>(SUM(CJ51:CO51))-(SUM(AA51:AE51,AL51))</f>
        <v>21402.15</v>
      </c>
      <c r="EF51" s="2602">
        <f>SUM(EG51:EG53)</f>
        <v>7591.8000000000011</v>
      </c>
      <c r="EG51" s="187">
        <v>4310.3500000000004</v>
      </c>
      <c r="EH51" s="2602">
        <f>SUM(EI51:EI53)</f>
        <v>0</v>
      </c>
      <c r="EI51" s="187">
        <f>CL51-AC51</f>
        <v>0</v>
      </c>
      <c r="EJ51" s="2602">
        <f>SUM(EK51:EK53)</f>
        <v>0</v>
      </c>
      <c r="EK51" s="187">
        <f>CJ51-AA51</f>
        <v>0</v>
      </c>
      <c r="EL51" s="2602">
        <f>SUM(EM51:EM53)</f>
        <v>0</v>
      </c>
      <c r="EM51" s="187">
        <f>CO51-AE51</f>
        <v>0</v>
      </c>
      <c r="EN51" s="2602">
        <f>SUM(EO51:EO53)</f>
        <v>0</v>
      </c>
      <c r="EO51" s="187">
        <f>CP51-AH51</f>
        <v>0</v>
      </c>
      <c r="EP51" s="2602">
        <f>SUM(EQ51:EQ53)</f>
        <v>0</v>
      </c>
      <c r="EQ51" s="187">
        <f>CR51-AJ51</f>
        <v>0</v>
      </c>
      <c r="ER51" s="2602">
        <f>SUM(ES51:ES53)</f>
        <v>0</v>
      </c>
      <c r="ES51" s="187">
        <f>CS51-AO51</f>
        <v>0</v>
      </c>
      <c r="ET51" s="2602">
        <f>SUM(EU51:EU53)</f>
        <v>0</v>
      </c>
      <c r="EU51" s="187">
        <f t="shared" si="1"/>
        <v>0</v>
      </c>
      <c r="EV51" s="2602">
        <f>SUM(EW51:EW53)</f>
        <v>-500</v>
      </c>
      <c r="EW51" s="187">
        <f>CU51-AS51</f>
        <v>0</v>
      </c>
      <c r="EX51" s="2602">
        <f>SUM(EY51:EY53)</f>
        <v>0</v>
      </c>
      <c r="EY51" s="187">
        <f>CT51-AQ51</f>
        <v>0</v>
      </c>
      <c r="EZ51" s="2602">
        <f>SUM(FA51:FA53)</f>
        <v>0</v>
      </c>
      <c r="FA51" s="187">
        <f>CU51-AS51</f>
        <v>0</v>
      </c>
      <c r="FB51" s="2602">
        <f>SUM(FC51:FC53)</f>
        <v>0</v>
      </c>
      <c r="FC51" s="187">
        <f>CV51-AU51</f>
        <v>0</v>
      </c>
      <c r="FD51" s="2602">
        <f>SUM(FE51:FE53)</f>
        <v>0</v>
      </c>
      <c r="FE51" s="187">
        <f>CY51-AX51</f>
        <v>0</v>
      </c>
      <c r="FF51" s="2602">
        <f>SUM(FG51:FG53)</f>
        <v>0</v>
      </c>
      <c r="FG51" s="187">
        <f>CZ51-AY51</f>
        <v>0</v>
      </c>
      <c r="FH51" s="2602">
        <f>SUM(FI51:FI53)</f>
        <v>0</v>
      </c>
      <c r="FI51" s="187">
        <f>DA51-AZ51</f>
        <v>0</v>
      </c>
      <c r="FJ51" s="2602">
        <f>SUM(FK51:FK53)</f>
        <v>0</v>
      </c>
      <c r="FK51" s="187">
        <f>DB51-BA51</f>
        <v>0</v>
      </c>
      <c r="FL51" s="2602">
        <f>SUM(FM51:FM53)</f>
        <v>180114.40000000002</v>
      </c>
      <c r="FM51" s="187">
        <f>DF51-BE51</f>
        <v>23326.6</v>
      </c>
      <c r="FN51" s="2602">
        <f>SUM(FO51:FO53)</f>
        <v>171.48495000000003</v>
      </c>
      <c r="FO51" s="187">
        <f>DH51-BG51</f>
        <v>19</v>
      </c>
      <c r="FP51" s="2602">
        <f>SUM(FQ51:FQ53)</f>
        <v>171.48495000000003</v>
      </c>
      <c r="FQ51" s="187">
        <f>DJ51-BI51</f>
        <v>19</v>
      </c>
      <c r="FR51" s="187">
        <f>DH51-BG51</f>
        <v>19</v>
      </c>
      <c r="FS51" s="187">
        <f>DJ51-BI51</f>
        <v>19</v>
      </c>
      <c r="FT51" s="775">
        <f>DK51-BJ51</f>
        <v>58.14</v>
      </c>
      <c r="FU51" s="775">
        <f>DL51-BK51</f>
        <v>14</v>
      </c>
      <c r="FV51" s="775">
        <f>DM51-BL51</f>
        <v>0</v>
      </c>
      <c r="FW51" s="775">
        <f>DR51-BO51</f>
        <v>0</v>
      </c>
      <c r="FX51" s="775"/>
      <c r="FY51" s="775">
        <f>DQ51-BN51</f>
        <v>4.3103500000000006</v>
      </c>
      <c r="FZ51" s="775">
        <f>DS51-BP51</f>
        <v>0</v>
      </c>
      <c r="GA51" s="775">
        <f>DT51-BQ51</f>
        <v>0</v>
      </c>
      <c r="GB51" s="2734">
        <f>SUM(GC51:GC53)</f>
        <v>95.236800000000002</v>
      </c>
      <c r="GC51" s="776">
        <f t="shared" si="4"/>
        <v>76.45035</v>
      </c>
      <c r="GD51" s="139"/>
      <c r="GE51" s="139"/>
      <c r="GF51" s="139"/>
      <c r="GG51" s="139"/>
      <c r="GH51" s="139"/>
      <c r="GI51" s="139"/>
      <c r="GJ51" s="139"/>
      <c r="GK51" s="139"/>
      <c r="GL51" s="139"/>
      <c r="GM51" s="139"/>
      <c r="GN51" s="139"/>
      <c r="GO51" s="139"/>
      <c r="GP51" s="139"/>
      <c r="GQ51" s="139"/>
      <c r="GR51" s="139"/>
      <c r="GS51" s="139"/>
      <c r="GT51" s="139"/>
    </row>
    <row r="52" spans="1:202" s="139" customFormat="1" ht="15" customHeight="1">
      <c r="A52" s="2660"/>
      <c r="B52" s="2660"/>
      <c r="C52" s="913" t="s">
        <v>710</v>
      </c>
      <c r="D52" s="132">
        <v>3192</v>
      </c>
      <c r="E52" s="132">
        <v>56</v>
      </c>
      <c r="F52" s="132">
        <v>2031920056</v>
      </c>
      <c r="G52" s="137">
        <v>8962</v>
      </c>
      <c r="H52" s="132" t="s">
        <v>726</v>
      </c>
      <c r="I52" s="136" t="s">
        <v>727</v>
      </c>
      <c r="J52" s="132">
        <v>0.67</v>
      </c>
      <c r="K52" s="132">
        <v>3.44</v>
      </c>
      <c r="L52" s="132">
        <v>0</v>
      </c>
      <c r="M52" s="132">
        <v>4.8</v>
      </c>
      <c r="N52" s="134">
        <v>6005</v>
      </c>
      <c r="O52" s="134">
        <v>0</v>
      </c>
      <c r="P52" s="134">
        <v>0</v>
      </c>
      <c r="Q52" s="134">
        <v>6005</v>
      </c>
      <c r="R52" s="137">
        <v>0</v>
      </c>
      <c r="S52" s="778" t="s">
        <v>653</v>
      </c>
      <c r="T52" s="2643"/>
      <c r="U52" s="102">
        <f>Q52-N52</f>
        <v>0</v>
      </c>
      <c r="V52" s="2643"/>
      <c r="W52" s="102">
        <f>N52</f>
        <v>6005</v>
      </c>
      <c r="X52" s="102"/>
      <c r="Y52" s="102">
        <f>W52-AA52</f>
        <v>6005</v>
      </c>
      <c r="Z52" s="2643"/>
      <c r="AA52" s="102">
        <v>0</v>
      </c>
      <c r="AB52" s="2643"/>
      <c r="AC52" s="102">
        <v>0</v>
      </c>
      <c r="AD52" s="2643"/>
      <c r="AE52" s="102">
        <f>AF52+AG52</f>
        <v>0</v>
      </c>
      <c r="AF52" s="102">
        <v>0</v>
      </c>
      <c r="AG52" s="102">
        <v>0</v>
      </c>
      <c r="AH52" s="102"/>
      <c r="AI52" s="2643"/>
      <c r="AJ52" s="102"/>
      <c r="AK52" s="2643"/>
      <c r="AL52" s="102">
        <f>W52-(AA52+AC52+AE52+AH52+AJ52+AM52+AW52+AO52+AQ52+AS52+AU52)</f>
        <v>0</v>
      </c>
      <c r="AM52" s="779"/>
      <c r="AN52" s="2643"/>
      <c r="AO52" s="102">
        <v>0</v>
      </c>
      <c r="AP52" s="2643"/>
      <c r="AQ52" s="102">
        <v>0</v>
      </c>
      <c r="AR52" s="2643"/>
      <c r="AS52" s="102">
        <v>0</v>
      </c>
      <c r="AT52" s="2643"/>
      <c r="AU52" s="102">
        <v>0</v>
      </c>
      <c r="AV52" s="2643"/>
      <c r="AW52" s="102">
        <f>AX52+AY52+AZ52+BA52+BB52</f>
        <v>6005</v>
      </c>
      <c r="AX52" s="102">
        <v>0</v>
      </c>
      <c r="AY52" s="102">
        <v>0</v>
      </c>
      <c r="AZ52" s="102">
        <v>6005</v>
      </c>
      <c r="BA52" s="102">
        <v>0</v>
      </c>
      <c r="BB52" s="102">
        <v>0</v>
      </c>
      <c r="BC52" s="102">
        <v>0</v>
      </c>
      <c r="BD52" s="2643"/>
      <c r="BE52" s="102">
        <f>U52+W52</f>
        <v>6005</v>
      </c>
      <c r="BF52" s="2643"/>
      <c r="BG52" s="102"/>
      <c r="BH52" s="2643"/>
      <c r="BI52" s="102">
        <f>'[1]Projected Development Sites'!BG$135*BG52</f>
        <v>0</v>
      </c>
      <c r="BJ52" s="102">
        <f t="shared" si="13"/>
        <v>0</v>
      </c>
      <c r="BK52" s="186">
        <f>ROUND((AL52+AC52+AA52)/1000*3,0)+ROUND((AE52+AU52)/1000,0)+ROUND((ROUND(AH52/400,0))/2.67,0)+ROUND(AJ52/250,0)+ROUND(AO52/15000,0)+ROUND((AX52+AY52+AZ52+BB52)/1000*3,0)+ROUND(BG52/25,0)+ROUND(BU52/50,0)</f>
        <v>18</v>
      </c>
      <c r="BL52" s="102">
        <v>0</v>
      </c>
      <c r="BM52" s="102">
        <v>0</v>
      </c>
      <c r="BN52" s="102">
        <v>0</v>
      </c>
      <c r="BO52" s="102">
        <v>0</v>
      </c>
      <c r="BP52" s="102">
        <v>0</v>
      </c>
      <c r="BQ52" s="102">
        <v>0</v>
      </c>
      <c r="BR52" s="102">
        <v>0</v>
      </c>
      <c r="BS52" s="102">
        <v>0</v>
      </c>
      <c r="BT52" s="2643"/>
      <c r="BU52" s="102">
        <v>0</v>
      </c>
      <c r="BV52" s="139">
        <v>15</v>
      </c>
      <c r="BW52" s="780" t="s">
        <v>729</v>
      </c>
      <c r="BX52" s="139">
        <v>7.2</v>
      </c>
      <c r="BY52" s="139">
        <v>3.4</v>
      </c>
      <c r="BZ52" s="139">
        <v>6.5</v>
      </c>
      <c r="CA52" s="627"/>
      <c r="CB52" s="2746"/>
      <c r="CC52" s="782">
        <f>(BX52*G52)-CF52</f>
        <v>56908.700000000004</v>
      </c>
      <c r="CD52" s="2732">
        <f>SUM(CC52:CC53)</f>
        <v>152393.65000000002</v>
      </c>
      <c r="CE52" s="2643"/>
      <c r="CF52" s="783">
        <f>1*(G52)-(0.15*1*(G52))</f>
        <v>7617.7</v>
      </c>
      <c r="CG52" s="2643"/>
      <c r="CH52" s="783">
        <f>CF52-CJ52</f>
        <v>7617.7</v>
      </c>
      <c r="CI52" s="2643"/>
      <c r="CJ52" s="139">
        <v>0</v>
      </c>
      <c r="CK52" s="2643"/>
      <c r="CL52" s="139">
        <v>0</v>
      </c>
      <c r="CM52" s="2643"/>
      <c r="CN52" s="102">
        <v>0</v>
      </c>
      <c r="CO52" s="784">
        <v>0</v>
      </c>
      <c r="CP52" s="784">
        <v>0</v>
      </c>
      <c r="CQ52" s="2643"/>
      <c r="CR52" s="102">
        <v>0</v>
      </c>
      <c r="CS52" s="784"/>
      <c r="CT52" s="784"/>
      <c r="CU52" s="784"/>
      <c r="CV52" s="784"/>
      <c r="CW52" s="2643"/>
      <c r="CX52" s="102">
        <f>SUM(CY52:DC52)</f>
        <v>6005</v>
      </c>
      <c r="CY52" s="784">
        <v>0</v>
      </c>
      <c r="CZ52" s="784">
        <v>0</v>
      </c>
      <c r="DA52" s="784">
        <f>AZ52</f>
        <v>6005</v>
      </c>
      <c r="DB52" s="784">
        <v>0</v>
      </c>
      <c r="DC52" s="784">
        <v>0</v>
      </c>
      <c r="DD52" s="784"/>
      <c r="DE52" s="2643"/>
      <c r="DF52" s="102">
        <f>CC52+CF52</f>
        <v>64526.400000000001</v>
      </c>
      <c r="DG52" s="2643"/>
      <c r="DH52" s="139">
        <f>ROUND(CC52/'[1]Projected Development Sites'!DF$134,0)</f>
        <v>57</v>
      </c>
      <c r="DI52" s="2723"/>
      <c r="DJ52" s="773">
        <f>'[1]Projected Development Sites'!DK$136*DH52</f>
        <v>57</v>
      </c>
      <c r="DK52" s="785">
        <f>3.06*DH52</f>
        <v>174.42000000000002</v>
      </c>
      <c r="DL52" s="786">
        <f>ROUND((CN52+CL52+CJ52)/1000*3,0)+ROUND((ROUND(CP52/400,0))/2.67,0)+ROUND(CV52/1000,0)+ROUND((CY52+CZ52+DA52+DC52)/1000*3,0)+ROUND(DH52/25,0)+ROUND(DX52/50,0)</f>
        <v>20</v>
      </c>
      <c r="DM52" s="787">
        <v>0</v>
      </c>
      <c r="DN52" s="787"/>
      <c r="DO52" s="787">
        <v>0</v>
      </c>
      <c r="DP52" s="787">
        <f>0.25*DJ52</f>
        <v>14.25</v>
      </c>
      <c r="DQ52" s="787">
        <f>SUM(CO52,CJ52,CN52,CR52,CU52)/1000</f>
        <v>0</v>
      </c>
      <c r="DR52" s="787">
        <f>CL52/1000</f>
        <v>0</v>
      </c>
      <c r="DS52" s="787">
        <f>((CP52/400)/12)</f>
        <v>0</v>
      </c>
      <c r="DT52" s="787">
        <v>0</v>
      </c>
      <c r="DU52" s="787">
        <v>0</v>
      </c>
      <c r="DV52" s="787">
        <f>CX52/1000</f>
        <v>6.0049999999999999</v>
      </c>
      <c r="DW52" s="2723"/>
      <c r="DX52" s="788">
        <f>SUM(DM52,DO52,DQ52:DV52)</f>
        <v>6.0049999999999999</v>
      </c>
      <c r="DY52" s="2726">
        <v>165</v>
      </c>
      <c r="DZ52" s="2729"/>
      <c r="EA52" s="2665"/>
      <c r="EB52" s="195">
        <f>CF52-W52</f>
        <v>1612.6999999999998</v>
      </c>
      <c r="EC52" s="2665"/>
      <c r="ED52" s="195">
        <v>0</v>
      </c>
      <c r="EE52" s="195">
        <f>(SUM(CJ52:CO52))-(SUM(AA52:AE52,AL52))</f>
        <v>0</v>
      </c>
      <c r="EF52" s="2665"/>
      <c r="EG52" s="195">
        <v>0</v>
      </c>
      <c r="EH52" s="2665"/>
      <c r="EI52" s="195">
        <f>CL52-AC52</f>
        <v>0</v>
      </c>
      <c r="EJ52" s="2665"/>
      <c r="EK52" s="195">
        <f>CJ52-AA52</f>
        <v>0</v>
      </c>
      <c r="EL52" s="2665"/>
      <c r="EM52" s="195">
        <f>CO52-AE52</f>
        <v>0</v>
      </c>
      <c r="EN52" s="2665"/>
      <c r="EO52" s="195">
        <f>CP52-AH52</f>
        <v>0</v>
      </c>
      <c r="EP52" s="2665"/>
      <c r="EQ52" s="195">
        <f>CR52-AJ52</f>
        <v>0</v>
      </c>
      <c r="ER52" s="2665"/>
      <c r="ES52" s="195">
        <f>CS52-AO52</f>
        <v>0</v>
      </c>
      <c r="ET52" s="2665"/>
      <c r="EU52" s="195">
        <f t="shared" si="1"/>
        <v>0</v>
      </c>
      <c r="EV52" s="2665"/>
      <c r="EW52" s="195">
        <f>CU52-AS52</f>
        <v>0</v>
      </c>
      <c r="EX52" s="2665"/>
      <c r="EY52" s="195">
        <f>CV52-AU52</f>
        <v>0</v>
      </c>
      <c r="EZ52" s="2665"/>
      <c r="FA52" s="195">
        <f>CY52-AX52</f>
        <v>0</v>
      </c>
      <c r="FB52" s="2665"/>
      <c r="FC52" s="195">
        <f>CZ52-AY52</f>
        <v>0</v>
      </c>
      <c r="FD52" s="2665"/>
      <c r="FE52" s="195">
        <f>DA52-AZ52</f>
        <v>0</v>
      </c>
      <c r="FF52" s="2665"/>
      <c r="FG52" s="195">
        <f>DB52-BA52</f>
        <v>0</v>
      </c>
      <c r="FH52" s="2665"/>
      <c r="FI52" s="195">
        <f>DC52-BB52</f>
        <v>0</v>
      </c>
      <c r="FJ52" s="2665"/>
      <c r="FK52" s="195">
        <f>CX52-AW52</f>
        <v>0</v>
      </c>
      <c r="FL52" s="2665"/>
      <c r="FM52" s="195">
        <f>DF52-BE52</f>
        <v>58521.4</v>
      </c>
      <c r="FN52" s="2665"/>
      <c r="FO52" s="195">
        <f>DH52-BG52</f>
        <v>57</v>
      </c>
      <c r="FP52" s="2665"/>
      <c r="FQ52" s="195">
        <f>DJ52-BI52</f>
        <v>57</v>
      </c>
      <c r="FR52" s="195">
        <f t="shared" ref="FR52:FT53" si="25">DK52-BJ52</f>
        <v>174.42000000000002</v>
      </c>
      <c r="FS52" s="195">
        <f t="shared" si="25"/>
        <v>2</v>
      </c>
      <c r="FT52" s="789">
        <f t="shared" si="25"/>
        <v>0</v>
      </c>
      <c r="FU52" s="789">
        <f>DR52-BO52</f>
        <v>0</v>
      </c>
      <c r="FV52" s="789">
        <f>DO52-BM52</f>
        <v>0</v>
      </c>
      <c r="FW52" s="789">
        <f>DQ52-BN52</f>
        <v>0</v>
      </c>
      <c r="FX52" s="789">
        <f t="shared" ref="FX52:GA53" si="26">DS52-BP52</f>
        <v>0</v>
      </c>
      <c r="FY52" s="789">
        <f t="shared" si="26"/>
        <v>0</v>
      </c>
      <c r="FZ52" s="789">
        <f t="shared" si="26"/>
        <v>0</v>
      </c>
      <c r="GA52" s="789">
        <f t="shared" si="26"/>
        <v>6.0049999999999999</v>
      </c>
      <c r="GB52" s="2735"/>
      <c r="GC52" s="790">
        <f t="shared" si="4"/>
        <v>6.0049999999999999</v>
      </c>
    </row>
    <row r="53" spans="1:202" s="81" customFormat="1" ht="15" customHeight="1">
      <c r="A53" s="2589"/>
      <c r="B53" s="2589"/>
      <c r="C53" s="66" t="s">
        <v>721</v>
      </c>
      <c r="D53" s="66">
        <v>3192</v>
      </c>
      <c r="E53" s="66">
        <v>60</v>
      </c>
      <c r="F53" s="841">
        <v>2031920060</v>
      </c>
      <c r="G53" s="71">
        <v>15037</v>
      </c>
      <c r="H53" s="66" t="s">
        <v>726</v>
      </c>
      <c r="I53" s="70" t="s">
        <v>727</v>
      </c>
      <c r="J53" s="66">
        <v>0.67</v>
      </c>
      <c r="K53" s="66">
        <v>4</v>
      </c>
      <c r="L53" s="66">
        <v>0</v>
      </c>
      <c r="M53" s="66">
        <v>4.8</v>
      </c>
      <c r="N53" s="68">
        <v>10000</v>
      </c>
      <c r="O53" s="68">
        <v>0</v>
      </c>
      <c r="P53" s="68">
        <v>0</v>
      </c>
      <c r="Q53" s="68">
        <v>10000</v>
      </c>
      <c r="R53" s="71">
        <v>0</v>
      </c>
      <c r="S53" s="791" t="s">
        <v>637</v>
      </c>
      <c r="T53" s="2601"/>
      <c r="U53" s="74">
        <v>0</v>
      </c>
      <c r="V53" s="2601"/>
      <c r="W53" s="74">
        <f>N53</f>
        <v>10000</v>
      </c>
      <c r="X53" s="74"/>
      <c r="Y53" s="74">
        <f>W53-AA53</f>
        <v>10000</v>
      </c>
      <c r="Z53" s="2601"/>
      <c r="AA53" s="74">
        <v>0</v>
      </c>
      <c r="AB53" s="2601"/>
      <c r="AC53" s="74">
        <v>0</v>
      </c>
      <c r="AD53" s="2601"/>
      <c r="AE53" s="74">
        <f>AG53+AF53</f>
        <v>0</v>
      </c>
      <c r="AF53" s="74">
        <v>0</v>
      </c>
      <c r="AG53" s="74">
        <v>0</v>
      </c>
      <c r="AH53" s="74">
        <v>0</v>
      </c>
      <c r="AI53" s="2601"/>
      <c r="AJ53" s="74">
        <v>0</v>
      </c>
      <c r="AK53" s="2601"/>
      <c r="AL53" s="74">
        <f>W53-(AA53+AC53+AE53+AH53+AJ53+AM53+AW53+AO53+AQ53+AS53+AU53)</f>
        <v>9500</v>
      </c>
      <c r="AM53" s="792"/>
      <c r="AN53" s="2601"/>
      <c r="AO53" s="74">
        <v>0</v>
      </c>
      <c r="AP53" s="2601"/>
      <c r="AQ53" s="74">
        <v>0</v>
      </c>
      <c r="AR53" s="2601"/>
      <c r="AS53" s="74">
        <v>500</v>
      </c>
      <c r="AT53" s="2601"/>
      <c r="AU53" s="74">
        <v>0</v>
      </c>
      <c r="AV53" s="2601"/>
      <c r="AW53" s="74">
        <f>AX53+AY53+AZ53+BA53+BB53</f>
        <v>0</v>
      </c>
      <c r="AX53" s="74">
        <v>0</v>
      </c>
      <c r="AY53" s="74">
        <v>0</v>
      </c>
      <c r="AZ53" s="74">
        <v>0</v>
      </c>
      <c r="BA53" s="74">
        <v>0</v>
      </c>
      <c r="BB53" s="74">
        <v>0</v>
      </c>
      <c r="BC53" s="74">
        <v>0</v>
      </c>
      <c r="BD53" s="2601"/>
      <c r="BE53" s="74">
        <f>U53+W53</f>
        <v>10000</v>
      </c>
      <c r="BF53" s="2601"/>
      <c r="BG53" s="74">
        <f>U53/1000</f>
        <v>0</v>
      </c>
      <c r="BH53" s="2601"/>
      <c r="BI53" s="74">
        <v>0</v>
      </c>
      <c r="BJ53" s="74">
        <f t="shared" si="13"/>
        <v>0</v>
      </c>
      <c r="BK53" s="88">
        <f>ROUND((Y53+AC53+AA53)/1000*3,0)+ROUND((AE53+AU53)/1000,0)+ROUND((ROUND(AH53/400,0))/2.67,0)+ROUND(AM53/250,0)+ROUND(AO53/15000,0)+ROUND((AX53+AY53+AZ53+BB53)/1000*3,0)+ROUND(BG53/25,0)+ROUND(BU301/50,0)</f>
        <v>30</v>
      </c>
      <c r="BL53" s="74">
        <v>0</v>
      </c>
      <c r="BM53" s="74">
        <v>0</v>
      </c>
      <c r="BN53" s="74">
        <v>0</v>
      </c>
      <c r="BO53" s="74">
        <f>AC53/1000</f>
        <v>0</v>
      </c>
      <c r="BP53" s="74">
        <f>AH53/1000</f>
        <v>0</v>
      </c>
      <c r="BQ53" s="74">
        <v>0</v>
      </c>
      <c r="BR53" s="74">
        <v>0</v>
      </c>
      <c r="BS53" s="74">
        <v>0</v>
      </c>
      <c r="BT53" s="2601"/>
      <c r="BU53" s="74">
        <f>SUM(BL53:BS53)</f>
        <v>0</v>
      </c>
      <c r="BV53" s="81">
        <v>15</v>
      </c>
      <c r="BW53" s="793" t="s">
        <v>729</v>
      </c>
      <c r="BX53" s="81">
        <v>7.2</v>
      </c>
      <c r="BY53" s="81">
        <v>3.4</v>
      </c>
      <c r="BZ53" s="81">
        <v>6.5</v>
      </c>
      <c r="CA53" s="794"/>
      <c r="CB53" s="2747"/>
      <c r="CC53" s="795">
        <f>(BX53*G53)-CF53</f>
        <v>95484.950000000012</v>
      </c>
      <c r="CD53" s="2733"/>
      <c r="CE53" s="2601"/>
      <c r="CF53" s="796">
        <f>1*(G53)-(0.15*1*(G53))</f>
        <v>12781.45</v>
      </c>
      <c r="CG53" s="2601"/>
      <c r="CH53" s="796">
        <f>CF53-CJ53</f>
        <v>12781.45</v>
      </c>
      <c r="CI53" s="2601"/>
      <c r="CJ53" s="81">
        <v>0</v>
      </c>
      <c r="CK53" s="2601"/>
      <c r="CL53" s="81">
        <v>0</v>
      </c>
      <c r="CM53" s="2601"/>
      <c r="CN53" s="797">
        <f>CF53-(CJ53+CL53+CO53+CP53+CR53+CU53+CV53+CX53)</f>
        <v>12781.45</v>
      </c>
      <c r="CO53" s="797">
        <v>0</v>
      </c>
      <c r="CP53" s="797">
        <v>0</v>
      </c>
      <c r="CQ53" s="2601"/>
      <c r="CR53" s="74">
        <v>0</v>
      </c>
      <c r="CS53" s="797">
        <v>0</v>
      </c>
      <c r="CT53" s="797">
        <v>0</v>
      </c>
      <c r="CU53" s="797">
        <v>0</v>
      </c>
      <c r="CV53" s="797">
        <v>0</v>
      </c>
      <c r="CW53" s="2601"/>
      <c r="CX53" s="74">
        <f>SUM(CY53:DC53)</f>
        <v>0</v>
      </c>
      <c r="CY53" s="797">
        <f>AX53</f>
        <v>0</v>
      </c>
      <c r="CZ53" s="797">
        <f>AY53</f>
        <v>0</v>
      </c>
      <c r="DA53" s="797">
        <f>AZ53</f>
        <v>0</v>
      </c>
      <c r="DB53" s="797">
        <f>BA53</f>
        <v>0</v>
      </c>
      <c r="DC53" s="797">
        <f>BB53</f>
        <v>0</v>
      </c>
      <c r="DD53" s="797"/>
      <c r="DE53" s="2601"/>
      <c r="DF53" s="74">
        <f>CC53+CF53</f>
        <v>108266.40000000001</v>
      </c>
      <c r="DG53" s="2601"/>
      <c r="DH53" s="303">
        <f>CC53/'[1]Projected Development Sites'!DF$134</f>
        <v>95.484950000000012</v>
      </c>
      <c r="DI53" s="2724"/>
      <c r="DJ53" s="798">
        <f>'[1]Projected Development Sites'!DK$136*DH53</f>
        <v>95.484950000000012</v>
      </c>
      <c r="DK53" s="785">
        <f>3.06*DH53</f>
        <v>292.18394700000005</v>
      </c>
      <c r="DL53" s="786">
        <f>ROUND((CN53+CL53+CJ53)/1000*3,0)+ROUND((ROUND(CP53/400,0))/2.67,0)+ROUND(CV53/1000,0)+ROUND((CY53+CZ53+DA53+DC53)/1000*3,0)+ROUND(DH53/25,0)+ROUND(DX53/50,0)</f>
        <v>42</v>
      </c>
      <c r="DM53" s="799">
        <v>0</v>
      </c>
      <c r="DN53" s="799"/>
      <c r="DO53" s="799">
        <v>0</v>
      </c>
      <c r="DP53" s="799">
        <f>0.25*DJ53</f>
        <v>23.871237500000003</v>
      </c>
      <c r="DQ53" s="799">
        <f>SUM(CO53,CJ53,CN53,CR53,CU53)/1000</f>
        <v>12.781450000000001</v>
      </c>
      <c r="DR53" s="799">
        <f>CL53/1000</f>
        <v>0</v>
      </c>
      <c r="DS53" s="799">
        <f>((CP53/400)/12)</f>
        <v>0</v>
      </c>
      <c r="DT53" s="799">
        <v>0</v>
      </c>
      <c r="DU53" s="799">
        <v>0</v>
      </c>
      <c r="DV53" s="799">
        <f>CX53/1000</f>
        <v>0</v>
      </c>
      <c r="DW53" s="2724"/>
      <c r="DX53" s="800">
        <f>SUM(DM53,DO53,DQ53:DV53)</f>
        <v>12.781450000000001</v>
      </c>
      <c r="DY53" s="2727"/>
      <c r="DZ53" s="2730"/>
      <c r="EA53" s="2603"/>
      <c r="EB53" s="195">
        <f>CF53-W53</f>
        <v>2781.4500000000007</v>
      </c>
      <c r="EC53" s="2603"/>
      <c r="ED53" s="190">
        <v>3281.4500000000007</v>
      </c>
      <c r="EE53" s="195">
        <f>(SUM(CJ53:CO53))-(SUM(AA53:AE53,AL53))</f>
        <v>3281.4500000000007</v>
      </c>
      <c r="EF53" s="2603"/>
      <c r="EG53" s="190">
        <v>3281.4500000000007</v>
      </c>
      <c r="EH53" s="2603"/>
      <c r="EI53" s="195">
        <f>CL53-AC53</f>
        <v>0</v>
      </c>
      <c r="EJ53" s="2603"/>
      <c r="EK53" s="195">
        <f>CJ53-AA53</f>
        <v>0</v>
      </c>
      <c r="EL53" s="2603"/>
      <c r="EM53" s="190">
        <f>CO53-AE53</f>
        <v>0</v>
      </c>
      <c r="EN53" s="2603"/>
      <c r="EO53" s="190">
        <f>CP53-AH53</f>
        <v>0</v>
      </c>
      <c r="EP53" s="2603"/>
      <c r="EQ53" s="195">
        <f>CR53-AJ53</f>
        <v>0</v>
      </c>
      <c r="ER53" s="2603"/>
      <c r="ES53" s="195">
        <f>CS53-AO53</f>
        <v>0</v>
      </c>
      <c r="ET53" s="2603"/>
      <c r="EU53" s="190">
        <f t="shared" si="1"/>
        <v>0</v>
      </c>
      <c r="EV53" s="2603"/>
      <c r="EW53" s="195">
        <f>CU53-AS53</f>
        <v>-500</v>
      </c>
      <c r="EX53" s="2603"/>
      <c r="EY53" s="190">
        <f>CV53-AU53</f>
        <v>0</v>
      </c>
      <c r="EZ53" s="2603"/>
      <c r="FA53" s="190">
        <f>CY53-AX53</f>
        <v>0</v>
      </c>
      <c r="FB53" s="2603"/>
      <c r="FC53" s="190">
        <f>CZ53-AY53</f>
        <v>0</v>
      </c>
      <c r="FD53" s="2603"/>
      <c r="FE53" s="190">
        <f>DA53-AZ53</f>
        <v>0</v>
      </c>
      <c r="FF53" s="2603"/>
      <c r="FG53" s="190">
        <f>DB53-BA53</f>
        <v>0</v>
      </c>
      <c r="FH53" s="2603"/>
      <c r="FI53" s="190">
        <f>DC53-BB53</f>
        <v>0</v>
      </c>
      <c r="FJ53" s="2603"/>
      <c r="FK53" s="190">
        <f>CX53-AW53</f>
        <v>0</v>
      </c>
      <c r="FL53" s="2603"/>
      <c r="FM53" s="190">
        <f>DF53-BE53</f>
        <v>98266.400000000009</v>
      </c>
      <c r="FN53" s="2603"/>
      <c r="FO53" s="190">
        <f>DH53-BG53</f>
        <v>95.484950000000012</v>
      </c>
      <c r="FP53" s="2603"/>
      <c r="FQ53" s="190">
        <f>DJ53-BI53</f>
        <v>95.484950000000012</v>
      </c>
      <c r="FR53" s="190">
        <f t="shared" si="25"/>
        <v>292.18394700000005</v>
      </c>
      <c r="FS53" s="190">
        <f t="shared" si="25"/>
        <v>12</v>
      </c>
      <c r="FT53" s="801">
        <f t="shared" si="25"/>
        <v>0</v>
      </c>
      <c r="FU53" s="801">
        <f>DR53-BO53</f>
        <v>0</v>
      </c>
      <c r="FV53" s="801">
        <f>DO53-BM53</f>
        <v>0</v>
      </c>
      <c r="FW53" s="801">
        <f>DQ53-BN53</f>
        <v>12.781450000000001</v>
      </c>
      <c r="FX53" s="801">
        <f t="shared" si="26"/>
        <v>0</v>
      </c>
      <c r="FY53" s="801">
        <f t="shared" si="26"/>
        <v>0</v>
      </c>
      <c r="FZ53" s="801">
        <f t="shared" si="26"/>
        <v>0</v>
      </c>
      <c r="GA53" s="801">
        <f t="shared" si="26"/>
        <v>0</v>
      </c>
      <c r="GB53" s="2736"/>
      <c r="GC53" s="845">
        <f t="shared" si="4"/>
        <v>12.781450000000001</v>
      </c>
      <c r="GD53" s="139"/>
      <c r="GE53" s="139"/>
      <c r="GF53" s="139"/>
      <c r="GG53" s="139"/>
      <c r="GH53" s="139"/>
      <c r="GI53" s="139"/>
      <c r="GJ53" s="139"/>
      <c r="GK53" s="139"/>
      <c r="GL53" s="139"/>
      <c r="GM53" s="139"/>
      <c r="GN53" s="139"/>
      <c r="GO53" s="139"/>
      <c r="GP53" s="139"/>
      <c r="GQ53" s="139"/>
      <c r="GR53" s="139"/>
      <c r="GS53" s="139"/>
      <c r="GT53" s="139"/>
    </row>
    <row r="54" spans="1:202" s="139" customFormat="1" ht="18.75">
      <c r="A54" s="2263"/>
      <c r="B54" s="2263"/>
      <c r="C54" s="913"/>
      <c r="D54" s="132"/>
      <c r="E54" s="132"/>
      <c r="F54" s="132"/>
      <c r="G54" s="137"/>
      <c r="H54" s="132"/>
      <c r="I54" s="136"/>
      <c r="J54" s="132"/>
      <c r="K54" s="132"/>
      <c r="L54" s="132"/>
      <c r="M54" s="132"/>
      <c r="N54" s="134"/>
      <c r="O54" s="134"/>
      <c r="P54" s="134"/>
      <c r="Q54" s="134"/>
      <c r="R54" s="137"/>
      <c r="S54" s="778"/>
      <c r="T54" s="634"/>
      <c r="U54" s="102"/>
      <c r="V54" s="634"/>
      <c r="W54" s="102"/>
      <c r="X54" s="102"/>
      <c r="Y54" s="102"/>
      <c r="Z54" s="634"/>
      <c r="AA54" s="102"/>
      <c r="AB54" s="634"/>
      <c r="AC54" s="102"/>
      <c r="AD54" s="634"/>
      <c r="AE54" s="102"/>
      <c r="AF54" s="102"/>
      <c r="AG54" s="102"/>
      <c r="AH54" s="102"/>
      <c r="AI54" s="634"/>
      <c r="AJ54" s="102"/>
      <c r="AK54" s="634"/>
      <c r="AL54" s="102"/>
      <c r="AM54" s="779">
        <v>0</v>
      </c>
      <c r="AN54" s="634"/>
      <c r="AO54" s="102"/>
      <c r="AP54" s="634"/>
      <c r="AQ54" s="102"/>
      <c r="AR54" s="634"/>
      <c r="AS54" s="102"/>
      <c r="AT54" s="634"/>
      <c r="AU54" s="102"/>
      <c r="AV54" s="634"/>
      <c r="AW54" s="102"/>
      <c r="AX54" s="102"/>
      <c r="AY54" s="102"/>
      <c r="AZ54" s="102"/>
      <c r="BA54" s="102"/>
      <c r="BB54" s="102"/>
      <c r="BC54" s="102"/>
      <c r="BD54" s="634"/>
      <c r="BE54" s="102"/>
      <c r="BF54" s="634"/>
      <c r="BG54" s="102"/>
      <c r="BH54" s="634"/>
      <c r="BI54" s="102"/>
      <c r="BJ54" s="122"/>
      <c r="BK54" s="186"/>
      <c r="BL54" s="102"/>
      <c r="BM54" s="102"/>
      <c r="BN54" s="102"/>
      <c r="BO54" s="102"/>
      <c r="BP54" s="102"/>
      <c r="BQ54" s="102"/>
      <c r="BR54" s="102"/>
      <c r="BS54" s="102"/>
      <c r="BT54" s="634"/>
      <c r="BU54" s="102"/>
      <c r="BW54" s="780"/>
      <c r="BZ54" s="921"/>
      <c r="CA54" s="627"/>
      <c r="CB54" s="2258"/>
      <c r="CC54" s="782"/>
      <c r="CD54" s="782"/>
      <c r="CE54" s="634"/>
      <c r="CF54" s="783"/>
      <c r="CG54" s="634"/>
      <c r="CH54" s="783"/>
      <c r="CI54" s="634"/>
      <c r="CK54" s="634"/>
      <c r="CM54" s="634"/>
      <c r="CN54" s="784"/>
      <c r="CO54" s="784"/>
      <c r="CP54" s="784"/>
      <c r="CQ54" s="634"/>
      <c r="CR54" s="102"/>
      <c r="CS54" s="784"/>
      <c r="CT54" s="784"/>
      <c r="CU54" s="784"/>
      <c r="CV54" s="784"/>
      <c r="CW54" s="634"/>
      <c r="CX54" s="102"/>
      <c r="CY54" s="784"/>
      <c r="CZ54" s="784"/>
      <c r="DA54" s="784"/>
      <c r="DB54" s="784"/>
      <c r="DC54" s="784"/>
      <c r="DD54" s="784"/>
      <c r="DE54" s="634"/>
      <c r="DF54" s="784"/>
      <c r="DG54" s="634"/>
      <c r="DI54" s="802"/>
      <c r="DJ54" s="787"/>
      <c r="DK54" s="771"/>
      <c r="DL54" s="772"/>
      <c r="DM54" s="787"/>
      <c r="DN54" s="787"/>
      <c r="DO54" s="787"/>
      <c r="DP54" s="787"/>
      <c r="DQ54" s="787"/>
      <c r="DR54" s="787"/>
      <c r="DS54" s="787"/>
      <c r="DT54" s="787"/>
      <c r="DU54" s="787"/>
      <c r="DV54" s="787"/>
      <c r="DW54" s="802"/>
      <c r="DX54" s="788"/>
      <c r="DY54" s="634"/>
      <c r="DZ54" s="2288"/>
      <c r="EA54" s="2231"/>
      <c r="EB54" s="187"/>
      <c r="EC54" s="2232"/>
      <c r="ED54" s="187"/>
      <c r="EE54" s="187"/>
      <c r="EF54" s="2232"/>
      <c r="EG54" s="245"/>
      <c r="EH54" s="2232"/>
      <c r="EI54" s="187"/>
      <c r="EJ54" s="2232"/>
      <c r="EK54" s="187"/>
      <c r="EL54" s="2232"/>
      <c r="EM54" s="195"/>
      <c r="EN54" s="2232"/>
      <c r="EO54" s="195"/>
      <c r="EP54" s="2232"/>
      <c r="EQ54" s="187"/>
      <c r="ER54" s="2232"/>
      <c r="ES54" s="187"/>
      <c r="ET54" s="2232"/>
      <c r="EU54" s="187">
        <f t="shared" si="1"/>
        <v>0</v>
      </c>
      <c r="EV54" s="2232"/>
      <c r="EW54" s="187"/>
      <c r="EX54" s="2232"/>
      <c r="EY54" s="195"/>
      <c r="EZ54" s="2232"/>
      <c r="FA54" s="195"/>
      <c r="FB54" s="2232"/>
      <c r="FC54" s="195"/>
      <c r="FD54" s="2232"/>
      <c r="FE54" s="195"/>
      <c r="FF54" s="2232"/>
      <c r="FG54" s="195"/>
      <c r="FH54" s="2232"/>
      <c r="FI54" s="195"/>
      <c r="FJ54" s="2232"/>
      <c r="FK54" s="195"/>
      <c r="FL54" s="2232"/>
      <c r="FM54" s="195"/>
      <c r="FN54" s="2232"/>
      <c r="FO54" s="195"/>
      <c r="FP54" s="2232"/>
      <c r="FQ54" s="195"/>
      <c r="FR54" s="195"/>
      <c r="FS54" s="195"/>
      <c r="FT54" s="789"/>
      <c r="FU54" s="789"/>
      <c r="FV54" s="789"/>
      <c r="FW54" s="789"/>
      <c r="FX54" s="789"/>
      <c r="FY54" s="789"/>
      <c r="FZ54" s="789"/>
      <c r="GA54" s="789"/>
      <c r="GB54" s="2286"/>
      <c r="GC54" s="776"/>
    </row>
    <row r="55" spans="1:202" s="127" customFormat="1" ht="15" customHeight="1">
      <c r="A55" s="2588"/>
      <c r="B55" s="2588">
        <v>17</v>
      </c>
      <c r="C55" s="115" t="s">
        <v>703</v>
      </c>
      <c r="D55" s="115">
        <v>3179</v>
      </c>
      <c r="E55" s="115">
        <v>8</v>
      </c>
      <c r="F55" s="763">
        <v>2031790008</v>
      </c>
      <c r="G55" s="120">
        <v>11625</v>
      </c>
      <c r="H55" s="115" t="s">
        <v>704</v>
      </c>
      <c r="I55" s="119"/>
      <c r="J55" s="115">
        <v>1</v>
      </c>
      <c r="K55" s="115">
        <v>0</v>
      </c>
      <c r="L55" s="115">
        <v>2</v>
      </c>
      <c r="M55" s="115">
        <v>6.5</v>
      </c>
      <c r="N55" s="117">
        <v>11600</v>
      </c>
      <c r="O55" s="117">
        <f>0.2*W55</f>
        <v>2320</v>
      </c>
      <c r="P55" s="117">
        <v>1080</v>
      </c>
      <c r="Q55" s="117">
        <v>11600</v>
      </c>
      <c r="R55" s="120">
        <v>0</v>
      </c>
      <c r="S55" s="764" t="s">
        <v>761</v>
      </c>
      <c r="T55" s="2600">
        <f>SUM(U55:U56)</f>
        <v>0</v>
      </c>
      <c r="U55" s="122">
        <v>0</v>
      </c>
      <c r="V55" s="2600">
        <f>SUM(W55:W56)</f>
        <v>41600</v>
      </c>
      <c r="W55" s="122">
        <f>N55</f>
        <v>11600</v>
      </c>
      <c r="X55" s="122"/>
      <c r="Y55" s="122">
        <f>W55-AA55</f>
        <v>11600</v>
      </c>
      <c r="Z55" s="2600">
        <f>SUM(AA55:AA56)</f>
        <v>0</v>
      </c>
      <c r="AA55" s="122">
        <v>0</v>
      </c>
      <c r="AB55" s="2600">
        <f>SUM(AC55:AC56)</f>
        <v>0</v>
      </c>
      <c r="AC55" s="122">
        <v>0</v>
      </c>
      <c r="AD55" s="2600">
        <f>SUM(AE55:AE56)</f>
        <v>18470</v>
      </c>
      <c r="AE55" s="122">
        <f>AG55+AF55</f>
        <v>3470</v>
      </c>
      <c r="AF55" s="122">
        <v>0</v>
      </c>
      <c r="AG55" s="122">
        <v>3470</v>
      </c>
      <c r="AH55" s="122">
        <v>0</v>
      </c>
      <c r="AI55" s="2600">
        <f>SUM(AJ55:AJ56)</f>
        <v>1080</v>
      </c>
      <c r="AJ55" s="122">
        <v>1080</v>
      </c>
      <c r="AK55" s="2600">
        <f>SUM(AL55:AL56)</f>
        <v>1790</v>
      </c>
      <c r="AL55" s="122">
        <f>W55-(AA55+AC55+AE55+AH55+AJ55+AW55+AO55+AQ55+AS55+AU55)</f>
        <v>1790</v>
      </c>
      <c r="AM55" s="765">
        <v>0</v>
      </c>
      <c r="AN55" s="2600">
        <f>SUM(AO55:AO56)</f>
        <v>0</v>
      </c>
      <c r="AO55" s="122">
        <v>0</v>
      </c>
      <c r="AP55" s="2600">
        <f>SUM(AQ55:AQ56)</f>
        <v>15000</v>
      </c>
      <c r="AQ55" s="122">
        <v>0</v>
      </c>
      <c r="AR55" s="2600">
        <f>SUM(AS55:AS56)</f>
        <v>0</v>
      </c>
      <c r="AS55" s="122">
        <v>0</v>
      </c>
      <c r="AT55" s="2600">
        <f>SUM(AU55:AU56)</f>
        <v>5260</v>
      </c>
      <c r="AU55" s="122">
        <v>5260</v>
      </c>
      <c r="AV55" s="2600">
        <f>SUM(AW55:AW56)</f>
        <v>0</v>
      </c>
      <c r="AW55" s="122">
        <f>AX55+AY55+AZ55+BA55+BB55</f>
        <v>0</v>
      </c>
      <c r="AX55" s="122">
        <v>0</v>
      </c>
      <c r="AY55" s="122">
        <v>0</v>
      </c>
      <c r="AZ55" s="122">
        <v>0</v>
      </c>
      <c r="BA55" s="122">
        <v>0</v>
      </c>
      <c r="BB55" s="122">
        <v>0</v>
      </c>
      <c r="BC55" s="122">
        <v>0</v>
      </c>
      <c r="BD55" s="2600">
        <f>SUM(BE55:BE56)</f>
        <v>41600</v>
      </c>
      <c r="BE55" s="122">
        <f>U55+W55</f>
        <v>11600</v>
      </c>
      <c r="BF55" s="2600">
        <f>SUM(BG55:BG56)</f>
        <v>0</v>
      </c>
      <c r="BG55" s="122">
        <f>U55/1000</f>
        <v>0</v>
      </c>
      <c r="BH55" s="2600">
        <f>SUM(BI55:BI56)</f>
        <v>0</v>
      </c>
      <c r="BI55" s="122">
        <v>0</v>
      </c>
      <c r="BJ55" s="122">
        <f t="shared" si="13"/>
        <v>0</v>
      </c>
      <c r="BK55" s="129">
        <f>ROUND((Y55+AC55+AA55)/1000*3,0)+ROUND((AE55+AU55)/1000,0)+ROUND((ROUND(AH55/400,0))/2.67,0)+ROUND(AM55/250,0)+ROUND(AO55/15000,0)+ROUND((AX55+AY55+AZ55+BB55)/1000*3,0)+ROUND(BG55/25,0)+ROUND(BU346/50,0)</f>
        <v>44</v>
      </c>
      <c r="BL55" s="122">
        <v>0</v>
      </c>
      <c r="BM55" s="122">
        <v>0</v>
      </c>
      <c r="BN55" s="122">
        <v>0</v>
      </c>
      <c r="BO55" s="122">
        <f>AC55/1000</f>
        <v>0</v>
      </c>
      <c r="BP55" s="122">
        <f>AH55/1000</f>
        <v>0</v>
      </c>
      <c r="BQ55" s="122">
        <v>0</v>
      </c>
      <c r="BR55" s="122">
        <v>0</v>
      </c>
      <c r="BS55" s="122">
        <v>0</v>
      </c>
      <c r="BT55" s="2600">
        <f>SUM(BU55:BU56)</f>
        <v>70</v>
      </c>
      <c r="BU55" s="122">
        <f>SUM(BL55:BS55)</f>
        <v>0</v>
      </c>
      <c r="BV55" s="127">
        <v>15</v>
      </c>
      <c r="BW55" s="766" t="s">
        <v>705</v>
      </c>
      <c r="BX55" s="127">
        <v>4.5999999999999996</v>
      </c>
      <c r="BY55" s="127">
        <v>2</v>
      </c>
      <c r="BZ55" s="127">
        <v>4.5999999999999996</v>
      </c>
      <c r="CA55" s="767" t="s">
        <v>706</v>
      </c>
      <c r="CB55" s="2596" t="s">
        <v>716</v>
      </c>
      <c r="CC55" s="768">
        <f>(BX55*G55)-CF55</f>
        <v>43593.749999999993</v>
      </c>
      <c r="CD55" s="2731">
        <f>SUM(CC55:CC56)</f>
        <v>99843.75</v>
      </c>
      <c r="CE55" s="2600">
        <f>SUM(CF55:CF56)</f>
        <v>22631.25</v>
      </c>
      <c r="CF55" s="769">
        <f>1*(G55)-(0.15*1*(G55))</f>
        <v>9881.25</v>
      </c>
      <c r="CG55" s="2600">
        <f>SUM(CH55:CH56)</f>
        <v>22631.25</v>
      </c>
      <c r="CH55" s="769">
        <f>CF55-CJ55</f>
        <v>9881.25</v>
      </c>
      <c r="CI55" s="2600">
        <f>SUM(CJ55:CJ56)</f>
        <v>0</v>
      </c>
      <c r="CJ55" s="127">
        <v>0</v>
      </c>
      <c r="CK55" s="2600">
        <f>SUM(CL55:CL56)</f>
        <v>0</v>
      </c>
      <c r="CL55" s="127">
        <v>0</v>
      </c>
      <c r="CM55" s="2600">
        <f>SUM(CN55:CN56)</f>
        <v>22631.25</v>
      </c>
      <c r="CN55" s="770">
        <f>CF55-(CJ55+CL55+CO55+CP55+CR55+CU55+CV55+CX55)</f>
        <v>9881.25</v>
      </c>
      <c r="CO55" s="770">
        <v>0</v>
      </c>
      <c r="CP55" s="770">
        <v>0</v>
      </c>
      <c r="CQ55" s="2600">
        <f>SUM(CR55:CR56)</f>
        <v>0</v>
      </c>
      <c r="CR55" s="122">
        <v>0</v>
      </c>
      <c r="CS55" s="770">
        <v>0</v>
      </c>
      <c r="CT55" s="770">
        <v>0</v>
      </c>
      <c r="CU55" s="770">
        <v>0</v>
      </c>
      <c r="CV55" s="770">
        <v>0</v>
      </c>
      <c r="CW55" s="2600">
        <f>SUM(CX55:CX56)</f>
        <v>0</v>
      </c>
      <c r="CX55" s="122">
        <f>SUM(CY55:DC55)</f>
        <v>0</v>
      </c>
      <c r="CY55" s="770">
        <f t="shared" ref="CY55:DC56" si="27">AX55</f>
        <v>0</v>
      </c>
      <c r="CZ55" s="770">
        <f t="shared" si="27"/>
        <v>0</v>
      </c>
      <c r="DA55" s="770">
        <f t="shared" si="27"/>
        <v>0</v>
      </c>
      <c r="DB55" s="770">
        <f t="shared" si="27"/>
        <v>0</v>
      </c>
      <c r="DC55" s="770">
        <f t="shared" si="27"/>
        <v>0</v>
      </c>
      <c r="DD55" s="770"/>
      <c r="DE55" s="2600">
        <f>SUM(DF55:DF56)</f>
        <v>122475</v>
      </c>
      <c r="DF55" s="122">
        <f>CC55+CF55</f>
        <v>53474.999999999993</v>
      </c>
      <c r="DG55" s="2600">
        <f>SUM(DH55:DH56)</f>
        <v>99.84375</v>
      </c>
      <c r="DH55" s="293">
        <f>CC55/'[1]Projected Development Sites'!DF$134</f>
        <v>43.593749999999993</v>
      </c>
      <c r="DI55" s="2722">
        <f>SUM(DJ55:DJ56)</f>
        <v>99.84375</v>
      </c>
      <c r="DJ55" s="771">
        <f>'[1]Projected Development Sites'!DK$136*DH55</f>
        <v>43.593749999999993</v>
      </c>
      <c r="DK55" s="771">
        <f>3.06*DH55</f>
        <v>133.39687499999999</v>
      </c>
      <c r="DL55" s="772">
        <f>ROUND((CN55+CL55+CJ55)/1000*3,0)+ROUND((ROUND(CP55/400,0))/2.67,0)+ROUND(CV55/1000,0)+ROUND((CY55+CZ55+DA55+DC55)/1000*3,0)+ROUND(DH55/25,0)+ROUND(DX55/50,0)</f>
        <v>32</v>
      </c>
      <c r="DM55" s="773">
        <v>0</v>
      </c>
      <c r="DN55" s="773"/>
      <c r="DO55" s="773">
        <v>0</v>
      </c>
      <c r="DP55" s="773">
        <f>0.25*DJ55</f>
        <v>10.898437499999998</v>
      </c>
      <c r="DQ55" s="773">
        <f>SUM(CO55,CJ55,CN55,CR55,CU55)/1000</f>
        <v>9.8812499999999996</v>
      </c>
      <c r="DR55" s="773">
        <f>CL55/1000</f>
        <v>0</v>
      </c>
      <c r="DS55" s="773">
        <f>((CP55/400)/12)</f>
        <v>0</v>
      </c>
      <c r="DT55" s="773">
        <v>0</v>
      </c>
      <c r="DU55" s="773">
        <v>0</v>
      </c>
      <c r="DV55" s="773">
        <f>CX55/1000</f>
        <v>0</v>
      </c>
      <c r="DW55" s="2722">
        <f>SUM(DX55:DX56)</f>
        <v>22.631250000000001</v>
      </c>
      <c r="DX55" s="774">
        <f>SUM(DM55,DO55,DQ55:DV55)</f>
        <v>9.8812499999999996</v>
      </c>
      <c r="DY55" s="2725">
        <v>115</v>
      </c>
      <c r="DZ55" s="2728">
        <f>CD55-T55</f>
        <v>99843.75</v>
      </c>
      <c r="EA55" s="2602">
        <f>CE55-V55</f>
        <v>-18968.75</v>
      </c>
      <c r="EB55" s="187">
        <f>CF55-W55</f>
        <v>-1718.75</v>
      </c>
      <c r="EC55" s="2602">
        <f>SUM(ED55:ED56)</f>
        <v>2371.25</v>
      </c>
      <c r="ED55" s="187">
        <v>4621.25</v>
      </c>
      <c r="EE55" s="187">
        <f>(SUM(CJ55:CO55))-(SUM(AA55:AE55,AL55))</f>
        <v>8782.5</v>
      </c>
      <c r="EF55" s="2602">
        <f>SUM(EG55:EG56)</f>
        <v>20841.25</v>
      </c>
      <c r="EG55" s="195">
        <v>8091.25</v>
      </c>
      <c r="EH55" s="2602">
        <f>SUM(EI55:EI56)</f>
        <v>0</v>
      </c>
      <c r="EI55" s="187">
        <f>CL55-AC55</f>
        <v>0</v>
      </c>
      <c r="EJ55" s="2602">
        <f>SUM(EK55:EK56)</f>
        <v>0</v>
      </c>
      <c r="EK55" s="187">
        <f>CJ55-AA55</f>
        <v>0</v>
      </c>
      <c r="EL55" s="2602">
        <f>SUM(EM55:EM56)</f>
        <v>-18470</v>
      </c>
      <c r="EM55" s="187">
        <f>CO55-AE55</f>
        <v>-3470</v>
      </c>
      <c r="EN55" s="2602">
        <f>SUM(EO55:EO56)</f>
        <v>0</v>
      </c>
      <c r="EO55" s="187">
        <f>CP55-AH55</f>
        <v>0</v>
      </c>
      <c r="EP55" s="2602">
        <f>SUM(EQ55:EQ56)</f>
        <v>-1080</v>
      </c>
      <c r="EQ55" s="187">
        <f>CR55-AJ55</f>
        <v>-1080</v>
      </c>
      <c r="ER55" s="2602">
        <f>SUM(ES55:ES56)</f>
        <v>0</v>
      </c>
      <c r="ES55" s="187">
        <f>CS55-AO55</f>
        <v>0</v>
      </c>
      <c r="ET55" s="2602">
        <f>SUM(EU55:EU56)</f>
        <v>-15000</v>
      </c>
      <c r="EU55" s="187">
        <f t="shared" si="1"/>
        <v>0</v>
      </c>
      <c r="EV55" s="2602">
        <f>SUM(EW55:EW56)</f>
        <v>0</v>
      </c>
      <c r="EW55" s="187">
        <f>CU55-AS55</f>
        <v>0</v>
      </c>
      <c r="EX55" s="2602">
        <f>SUM(EY55:EY56)</f>
        <v>-5260</v>
      </c>
      <c r="EY55" s="187">
        <f>CV55-AU55</f>
        <v>-5260</v>
      </c>
      <c r="EZ55" s="2602">
        <f>SUM(FA55:FA56)</f>
        <v>0</v>
      </c>
      <c r="FA55" s="187">
        <f>CY55-AX55</f>
        <v>0</v>
      </c>
      <c r="FB55" s="2602">
        <f>SUM(FC55:FC56)</f>
        <v>0</v>
      </c>
      <c r="FC55" s="187">
        <f>CZ55-AY55</f>
        <v>0</v>
      </c>
      <c r="FD55" s="2602">
        <f>SUM(FE55:FE56)</f>
        <v>0</v>
      </c>
      <c r="FE55" s="187">
        <f>DA55-AZ55</f>
        <v>0</v>
      </c>
      <c r="FF55" s="2602">
        <f>SUM(FG55:FG56)</f>
        <v>0</v>
      </c>
      <c r="FG55" s="187">
        <f>DB55-BA55</f>
        <v>0</v>
      </c>
      <c r="FH55" s="2602">
        <f>SUM(FI55:FI56)</f>
        <v>0</v>
      </c>
      <c r="FI55" s="187">
        <f>DC55-BB55</f>
        <v>0</v>
      </c>
      <c r="FJ55" s="2602">
        <f>SUM(FK55:FK56)</f>
        <v>0</v>
      </c>
      <c r="FK55" s="187">
        <f>CX55-AW55</f>
        <v>0</v>
      </c>
      <c r="FL55" s="2602">
        <f>SUM(FM55:FM56)</f>
        <v>80875</v>
      </c>
      <c r="FM55" s="187">
        <f>DF55-BE55</f>
        <v>41874.999999999993</v>
      </c>
      <c r="FN55" s="2602">
        <f>SUM(FO55:FO56)</f>
        <v>99.84375</v>
      </c>
      <c r="FO55" s="187">
        <f>DH55-BG55</f>
        <v>43.593749999999993</v>
      </c>
      <c r="FP55" s="2602">
        <f>SUM(FQ55:FQ56)</f>
        <v>99.84375</v>
      </c>
      <c r="FQ55" s="187">
        <f>DJ55-BI55</f>
        <v>43.593749999999993</v>
      </c>
      <c r="FR55" s="187">
        <f>DK55-BJ55</f>
        <v>133.39687499999999</v>
      </c>
      <c r="FS55" s="187">
        <f>DJ55-BI55</f>
        <v>43.593749999999993</v>
      </c>
      <c r="FT55" s="775">
        <f>DM55-BL55</f>
        <v>0</v>
      </c>
      <c r="FU55" s="775">
        <f>DR55-BO55</f>
        <v>0</v>
      </c>
      <c r="FV55" s="775">
        <f>DO55-BM55</f>
        <v>0</v>
      </c>
      <c r="FW55" s="775">
        <f>DQ55-BN55</f>
        <v>9.8812499999999996</v>
      </c>
      <c r="FX55" s="775">
        <f t="shared" ref="FX55:GA56" si="28">DS55-BP55</f>
        <v>0</v>
      </c>
      <c r="FY55" s="775">
        <f t="shared" si="28"/>
        <v>0</v>
      </c>
      <c r="FZ55" s="775">
        <f t="shared" si="28"/>
        <v>0</v>
      </c>
      <c r="GA55" s="775">
        <f t="shared" si="28"/>
        <v>0</v>
      </c>
      <c r="GB55" s="2734">
        <f>SUM(GC55:GC56)</f>
        <v>-47.368749999999999</v>
      </c>
      <c r="GC55" s="776">
        <f t="shared" si="4"/>
        <v>9.8812499999999996</v>
      </c>
      <c r="GD55" s="139"/>
      <c r="GE55" s="139"/>
      <c r="GF55" s="139"/>
      <c r="GG55" s="139"/>
      <c r="GH55" s="139"/>
      <c r="GI55" s="139"/>
      <c r="GJ55" s="139"/>
      <c r="GK55" s="139"/>
      <c r="GL55" s="139"/>
      <c r="GM55" s="139"/>
      <c r="GN55" s="139"/>
      <c r="GO55" s="139"/>
      <c r="GP55" s="139"/>
      <c r="GQ55" s="139"/>
      <c r="GR55" s="139"/>
      <c r="GS55" s="139"/>
      <c r="GT55" s="139"/>
    </row>
    <row r="56" spans="1:202" s="81" customFormat="1" ht="15" customHeight="1">
      <c r="A56" s="2589"/>
      <c r="B56" s="2589"/>
      <c r="C56" s="66" t="s">
        <v>710</v>
      </c>
      <c r="D56" s="66">
        <v>3179</v>
      </c>
      <c r="E56" s="66">
        <v>13</v>
      </c>
      <c r="F56" s="841">
        <v>2031790013</v>
      </c>
      <c r="G56" s="71">
        <v>15000</v>
      </c>
      <c r="H56" s="66" t="s">
        <v>704</v>
      </c>
      <c r="I56" s="70"/>
      <c r="J56" s="66">
        <v>2</v>
      </c>
      <c r="K56" s="66">
        <v>0</v>
      </c>
      <c r="L56" s="66">
        <v>2</v>
      </c>
      <c r="M56" s="66">
        <v>6.5</v>
      </c>
      <c r="N56" s="68">
        <v>30000</v>
      </c>
      <c r="O56" s="68">
        <f>0.8*G56</f>
        <v>12000</v>
      </c>
      <c r="P56" s="68">
        <v>0</v>
      </c>
      <c r="Q56" s="68">
        <v>30000</v>
      </c>
      <c r="R56" s="71">
        <v>0</v>
      </c>
      <c r="S56" s="791" t="s">
        <v>737</v>
      </c>
      <c r="T56" s="2601"/>
      <c r="U56" s="74">
        <v>0</v>
      </c>
      <c r="V56" s="2601"/>
      <c r="W56" s="74">
        <f>N56</f>
        <v>30000</v>
      </c>
      <c r="X56" s="74"/>
      <c r="Y56" s="74">
        <f>W56-AA56</f>
        <v>30000</v>
      </c>
      <c r="Z56" s="2601"/>
      <c r="AA56" s="74">
        <v>0</v>
      </c>
      <c r="AB56" s="2601"/>
      <c r="AC56" s="74">
        <v>0</v>
      </c>
      <c r="AD56" s="2601"/>
      <c r="AE56" s="74">
        <f>AG56+AF56</f>
        <v>15000</v>
      </c>
      <c r="AF56" s="74">
        <v>0</v>
      </c>
      <c r="AG56" s="74">
        <v>15000</v>
      </c>
      <c r="AH56" s="74">
        <v>0</v>
      </c>
      <c r="AI56" s="2601"/>
      <c r="AJ56" s="74">
        <v>0</v>
      </c>
      <c r="AK56" s="2601"/>
      <c r="AL56" s="74">
        <f>W56-(AA56+AC56+AE56+AH56+AJ56+AM56+AW56+AO56+AQ56+AS56+AU56)</f>
        <v>0</v>
      </c>
      <c r="AM56" s="792">
        <v>0</v>
      </c>
      <c r="AN56" s="2601"/>
      <c r="AO56" s="74">
        <v>0</v>
      </c>
      <c r="AP56" s="2601"/>
      <c r="AQ56" s="74">
        <v>15000</v>
      </c>
      <c r="AR56" s="2601"/>
      <c r="AS56" s="74">
        <v>0</v>
      </c>
      <c r="AT56" s="2601"/>
      <c r="AU56" s="74">
        <v>0</v>
      </c>
      <c r="AV56" s="2601"/>
      <c r="AW56" s="74">
        <f>AX56+AY56+AZ56+BA56+BB56</f>
        <v>0</v>
      </c>
      <c r="AX56" s="74">
        <v>0</v>
      </c>
      <c r="AY56" s="74">
        <v>0</v>
      </c>
      <c r="AZ56" s="74">
        <v>0</v>
      </c>
      <c r="BA56" s="74">
        <v>0</v>
      </c>
      <c r="BB56" s="74">
        <v>0</v>
      </c>
      <c r="BC56" s="74">
        <v>0</v>
      </c>
      <c r="BD56" s="2601"/>
      <c r="BE56" s="74">
        <f>U56+W56</f>
        <v>30000</v>
      </c>
      <c r="BF56" s="2601"/>
      <c r="BG56" s="74">
        <f>U56/1000</f>
        <v>0</v>
      </c>
      <c r="BH56" s="2601"/>
      <c r="BI56" s="74">
        <v>0</v>
      </c>
      <c r="BJ56" s="74">
        <f t="shared" si="13"/>
        <v>0</v>
      </c>
      <c r="BK56" s="88">
        <f>ROUND((Y56+AC56+AA56)/1000*3,0)+ROUND((AE56+AU56)/1000,0)+ROUND((ROUND(AH56/400,0))/2.67,0)+ROUND(AM56/250,0)+ROUND(AO56/15000,0)+ROUND((AX56+AY56+AZ56+BB56)/1000*3,0)+ROUND(BG56/25,0)+ROUND('[1]Projected Development Sites'!BS12/50,0)</f>
        <v>105</v>
      </c>
      <c r="BL56" s="74">
        <v>0</v>
      </c>
      <c r="BM56" s="74">
        <v>0</v>
      </c>
      <c r="BN56" s="74">
        <v>0</v>
      </c>
      <c r="BO56" s="74">
        <f>AC56/1000</f>
        <v>0</v>
      </c>
      <c r="BP56" s="74">
        <f>AH56/1000</f>
        <v>0</v>
      </c>
      <c r="BQ56" s="74">
        <v>70</v>
      </c>
      <c r="BR56" s="74">
        <v>0</v>
      </c>
      <c r="BS56" s="74">
        <v>0</v>
      </c>
      <c r="BT56" s="2601"/>
      <c r="BU56" s="74">
        <f>SUM(BL56:BS56)</f>
        <v>70</v>
      </c>
      <c r="BV56" s="81">
        <v>25</v>
      </c>
      <c r="BW56" s="793" t="s">
        <v>705</v>
      </c>
      <c r="BX56" s="81">
        <v>4.5999999999999996</v>
      </c>
      <c r="BY56" s="81">
        <v>2</v>
      </c>
      <c r="BZ56" s="81">
        <v>4.5999999999999996</v>
      </c>
      <c r="CA56" s="794" t="s">
        <v>706</v>
      </c>
      <c r="CB56" s="2597"/>
      <c r="CC56" s="795">
        <f>(BX56*G56)-CF56</f>
        <v>56250</v>
      </c>
      <c r="CD56" s="2733"/>
      <c r="CE56" s="2601"/>
      <c r="CF56" s="843">
        <f>1*(G56)-(0.15*1*(G56))</f>
        <v>12750</v>
      </c>
      <c r="CG56" s="2601"/>
      <c r="CH56" s="843">
        <f>CF56-CJ56</f>
        <v>12750</v>
      </c>
      <c r="CI56" s="2601"/>
      <c r="CJ56" s="81">
        <v>0</v>
      </c>
      <c r="CK56" s="2601"/>
      <c r="CL56" s="81">
        <v>0</v>
      </c>
      <c r="CM56" s="2601"/>
      <c r="CN56" s="74">
        <f>CF56-(CJ56+CL56+CO56+CP56+CR56+CU56+CV56+CX56)</f>
        <v>12750</v>
      </c>
      <c r="CO56" s="797">
        <v>0</v>
      </c>
      <c r="CP56" s="797">
        <v>0</v>
      </c>
      <c r="CQ56" s="2601"/>
      <c r="CR56" s="74">
        <v>0</v>
      </c>
      <c r="CS56" s="797">
        <v>0</v>
      </c>
      <c r="CT56" s="797">
        <v>0</v>
      </c>
      <c r="CU56" s="797">
        <v>0</v>
      </c>
      <c r="CV56" s="797">
        <v>0</v>
      </c>
      <c r="CW56" s="2601"/>
      <c r="CX56" s="74">
        <f>SUM(CY56:DC56)</f>
        <v>0</v>
      </c>
      <c r="CY56" s="797">
        <f t="shared" si="27"/>
        <v>0</v>
      </c>
      <c r="CZ56" s="797">
        <f t="shared" si="27"/>
        <v>0</v>
      </c>
      <c r="DA56" s="797">
        <f t="shared" si="27"/>
        <v>0</v>
      </c>
      <c r="DB56" s="797">
        <f t="shared" si="27"/>
        <v>0</v>
      </c>
      <c r="DC56" s="797">
        <f t="shared" si="27"/>
        <v>0</v>
      </c>
      <c r="DD56" s="797"/>
      <c r="DE56" s="2601"/>
      <c r="DF56" s="74">
        <f>CC56+CF56</f>
        <v>69000</v>
      </c>
      <c r="DG56" s="2601"/>
      <c r="DH56" s="303">
        <f>CC56/'[1]Projected Development Sites'!DF$134</f>
        <v>56.25</v>
      </c>
      <c r="DI56" s="2724"/>
      <c r="DJ56" s="798">
        <f>'[1]Projected Development Sites'!DK$136*DH56</f>
        <v>56.25</v>
      </c>
      <c r="DK56" s="798">
        <f>3.06*DH56</f>
        <v>172.125</v>
      </c>
      <c r="DL56" s="917">
        <f>ROUND((CN56+CL56+CJ56)/1000*3,0)+ROUND((ROUND(CP56/400,0))/2.67,0)+ROUND(CV56/1000,0)+ROUND((CY56+CZ56+DA56+DC56)/1000*3,0)+ROUND(DH56/25,0)+ROUND(DX56/50,0)</f>
        <v>40</v>
      </c>
      <c r="DM56" s="799">
        <v>0</v>
      </c>
      <c r="DN56" s="799"/>
      <c r="DO56" s="799">
        <v>0</v>
      </c>
      <c r="DP56" s="799">
        <f>0.25*DJ56</f>
        <v>14.0625</v>
      </c>
      <c r="DQ56" s="799">
        <f>SUM(CO56,CJ56,CN56,CR56,CU56)/1000</f>
        <v>12.75</v>
      </c>
      <c r="DR56" s="799">
        <f>CL56/1000</f>
        <v>0</v>
      </c>
      <c r="DS56" s="799">
        <f>((CP56/400)/12)</f>
        <v>0</v>
      </c>
      <c r="DT56" s="799">
        <v>0</v>
      </c>
      <c r="DU56" s="799">
        <v>0</v>
      </c>
      <c r="DV56" s="799">
        <f>CX56/1000</f>
        <v>0</v>
      </c>
      <c r="DW56" s="2724"/>
      <c r="DX56" s="800">
        <f>SUM(DM56,DO56,DQ56:DV56)</f>
        <v>12.75</v>
      </c>
      <c r="DY56" s="2727"/>
      <c r="DZ56" s="2730"/>
      <c r="EA56" s="2603"/>
      <c r="EB56" s="190">
        <f>CF56-W56</f>
        <v>-17250</v>
      </c>
      <c r="EC56" s="2603"/>
      <c r="ED56" s="190">
        <v>-2250</v>
      </c>
      <c r="EE56" s="190">
        <f>(SUM(CJ56:CO56))-(SUM(AA56:AE56,AL56))</f>
        <v>-2250</v>
      </c>
      <c r="EF56" s="2603"/>
      <c r="EG56" s="190">
        <v>12750</v>
      </c>
      <c r="EH56" s="2603"/>
      <c r="EI56" s="190">
        <f>CL56-AC56</f>
        <v>0</v>
      </c>
      <c r="EJ56" s="2603"/>
      <c r="EK56" s="190">
        <f>CJ56-AA56</f>
        <v>0</v>
      </c>
      <c r="EL56" s="2603"/>
      <c r="EM56" s="190">
        <f>CO56-AE56</f>
        <v>-15000</v>
      </c>
      <c r="EN56" s="2603"/>
      <c r="EO56" s="190">
        <f>CP56-AH56</f>
        <v>0</v>
      </c>
      <c r="EP56" s="2603"/>
      <c r="EQ56" s="190">
        <f>CR56-AJ56</f>
        <v>0</v>
      </c>
      <c r="ER56" s="2603"/>
      <c r="ES56" s="190">
        <f>CS56-AO56</f>
        <v>0</v>
      </c>
      <c r="ET56" s="2603"/>
      <c r="EU56" s="190">
        <f t="shared" si="1"/>
        <v>-15000</v>
      </c>
      <c r="EV56" s="2603"/>
      <c r="EW56" s="190">
        <f>CU56-AS56</f>
        <v>0</v>
      </c>
      <c r="EX56" s="2603"/>
      <c r="EY56" s="190">
        <f>CV56-AU56</f>
        <v>0</v>
      </c>
      <c r="EZ56" s="2603"/>
      <c r="FA56" s="190">
        <f>CY56-AX56</f>
        <v>0</v>
      </c>
      <c r="FB56" s="2603"/>
      <c r="FC56" s="190">
        <f>CZ56-AY56</f>
        <v>0</v>
      </c>
      <c r="FD56" s="2603"/>
      <c r="FE56" s="190">
        <f>DA56-AZ56</f>
        <v>0</v>
      </c>
      <c r="FF56" s="2603"/>
      <c r="FG56" s="190">
        <f>DB56-BA56</f>
        <v>0</v>
      </c>
      <c r="FH56" s="2603"/>
      <c r="FI56" s="190">
        <f>DC56-BB56</f>
        <v>0</v>
      </c>
      <c r="FJ56" s="2603"/>
      <c r="FK56" s="190">
        <f>CX56-AW56</f>
        <v>0</v>
      </c>
      <c r="FL56" s="2603"/>
      <c r="FM56" s="195">
        <f>DF56-BE56</f>
        <v>39000</v>
      </c>
      <c r="FN56" s="2603"/>
      <c r="FO56" s="195">
        <f>DH56-BG56</f>
        <v>56.25</v>
      </c>
      <c r="FP56" s="2603"/>
      <c r="FQ56" s="195">
        <f>DJ56-BI56</f>
        <v>56.25</v>
      </c>
      <c r="FR56" s="190">
        <f>DK56-BJ56</f>
        <v>172.125</v>
      </c>
      <c r="FS56" s="190">
        <f>DL56-BK56</f>
        <v>-65</v>
      </c>
      <c r="FT56" s="801">
        <f>DM56-BL56</f>
        <v>0</v>
      </c>
      <c r="FU56" s="801">
        <f>DR56-BO56</f>
        <v>0</v>
      </c>
      <c r="FV56" s="801">
        <f>DO56-BM56</f>
        <v>0</v>
      </c>
      <c r="FW56" s="801">
        <f>DQ56-BN56</f>
        <v>12.75</v>
      </c>
      <c r="FX56" s="801">
        <f t="shared" si="28"/>
        <v>0</v>
      </c>
      <c r="FY56" s="801">
        <f t="shared" si="28"/>
        <v>-70</v>
      </c>
      <c r="FZ56" s="801">
        <f t="shared" si="28"/>
        <v>0</v>
      </c>
      <c r="GA56" s="801">
        <f t="shared" si="28"/>
        <v>0</v>
      </c>
      <c r="GB56" s="2736"/>
      <c r="GC56" s="845">
        <f t="shared" si="4"/>
        <v>-57.25</v>
      </c>
      <c r="GD56" s="139"/>
      <c r="GE56" s="139"/>
      <c r="GF56" s="139"/>
      <c r="GG56" s="139"/>
      <c r="GH56" s="139"/>
      <c r="GI56" s="139"/>
      <c r="GJ56" s="139"/>
      <c r="GK56" s="139"/>
      <c r="GL56" s="139"/>
      <c r="GM56" s="139"/>
      <c r="GN56" s="139"/>
      <c r="GO56" s="139"/>
      <c r="GP56" s="139"/>
      <c r="GQ56" s="139"/>
      <c r="GR56" s="139"/>
      <c r="GS56" s="139"/>
      <c r="GT56" s="139"/>
    </row>
    <row r="57" spans="1:202" s="139" customFormat="1" ht="18.75">
      <c r="A57" s="2263"/>
      <c r="B57" s="2263"/>
      <c r="C57" s="132"/>
      <c r="D57" s="132"/>
      <c r="E57" s="132"/>
      <c r="F57" s="777"/>
      <c r="G57" s="120"/>
      <c r="H57" s="132"/>
      <c r="I57" s="136"/>
      <c r="J57" s="132"/>
      <c r="K57" s="132"/>
      <c r="L57" s="132"/>
      <c r="M57" s="132"/>
      <c r="N57" s="134"/>
      <c r="O57" s="134"/>
      <c r="P57" s="134"/>
      <c r="Q57" s="134"/>
      <c r="R57" s="137"/>
      <c r="S57" s="778"/>
      <c r="T57" s="634"/>
      <c r="U57" s="102"/>
      <c r="V57" s="634"/>
      <c r="W57" s="102"/>
      <c r="X57" s="102"/>
      <c r="Y57" s="102"/>
      <c r="Z57" s="634"/>
      <c r="AA57" s="102"/>
      <c r="AB57" s="634"/>
      <c r="AC57" s="102"/>
      <c r="AD57" s="634"/>
      <c r="AE57" s="102"/>
      <c r="AF57" s="102"/>
      <c r="AG57" s="102"/>
      <c r="AH57" s="102"/>
      <c r="AI57" s="634"/>
      <c r="AJ57" s="102"/>
      <c r="AK57" s="634"/>
      <c r="AL57" s="102"/>
      <c r="AM57" s="779"/>
      <c r="AN57" s="634"/>
      <c r="AO57" s="102"/>
      <c r="AP57" s="634"/>
      <c r="AQ57" s="102"/>
      <c r="AR57" s="634"/>
      <c r="AS57" s="102"/>
      <c r="AT57" s="634"/>
      <c r="AU57" s="102"/>
      <c r="AV57" s="634"/>
      <c r="AW57" s="102"/>
      <c r="AX57" s="102"/>
      <c r="AY57" s="102"/>
      <c r="AZ57" s="102"/>
      <c r="BA57" s="102"/>
      <c r="BB57" s="102"/>
      <c r="BC57" s="102"/>
      <c r="BD57" s="634"/>
      <c r="BE57" s="102"/>
      <c r="BF57" s="634"/>
      <c r="BG57" s="102"/>
      <c r="BH57" s="634"/>
      <c r="BI57" s="102"/>
      <c r="BJ57" s="122"/>
      <c r="BK57" s="186"/>
      <c r="BL57" s="102"/>
      <c r="BM57" s="102"/>
      <c r="BN57" s="102"/>
      <c r="BO57" s="102"/>
      <c r="BP57" s="102"/>
      <c r="BQ57" s="102"/>
      <c r="BR57" s="102"/>
      <c r="BS57" s="102"/>
      <c r="BT57" s="634"/>
      <c r="BU57" s="102"/>
      <c r="BW57" s="780"/>
      <c r="CA57" s="781"/>
      <c r="CB57" s="2258"/>
      <c r="CC57" s="782"/>
      <c r="CD57" s="782"/>
      <c r="CE57" s="634"/>
      <c r="CF57" s="840"/>
      <c r="CG57" s="634"/>
      <c r="CH57" s="840"/>
      <c r="CI57" s="634"/>
      <c r="CK57" s="634"/>
      <c r="CM57" s="634"/>
      <c r="CN57" s="784"/>
      <c r="CO57" s="784"/>
      <c r="CP57" s="784"/>
      <c r="CQ57" s="634"/>
      <c r="CR57" s="102"/>
      <c r="CS57" s="784"/>
      <c r="CT57" s="784"/>
      <c r="CU57" s="784"/>
      <c r="CV57" s="784"/>
      <c r="CW57" s="634"/>
      <c r="CX57" s="102"/>
      <c r="CY57" s="784"/>
      <c r="CZ57" s="784"/>
      <c r="DA57" s="784"/>
      <c r="DB57" s="784"/>
      <c r="DC57" s="784"/>
      <c r="DD57" s="784"/>
      <c r="DE57" s="634"/>
      <c r="DF57" s="784"/>
      <c r="DG57" s="634"/>
      <c r="DH57" s="296"/>
      <c r="DI57" s="802"/>
      <c r="DJ57" s="785"/>
      <c r="DK57" s="771"/>
      <c r="DL57" s="786"/>
      <c r="DM57" s="787"/>
      <c r="DN57" s="787"/>
      <c r="DO57" s="787"/>
      <c r="DP57" s="787"/>
      <c r="DQ57" s="787"/>
      <c r="DR57" s="787"/>
      <c r="DS57" s="787"/>
      <c r="DT57" s="787"/>
      <c r="DU57" s="787"/>
      <c r="DV57" s="787"/>
      <c r="DW57" s="802"/>
      <c r="DX57" s="788"/>
      <c r="DY57" s="634"/>
      <c r="DZ57" s="2288"/>
      <c r="EA57" s="2231"/>
      <c r="EB57" s="195"/>
      <c r="EC57" s="2232"/>
      <c r="ED57" s="187"/>
      <c r="EE57" s="195"/>
      <c r="EF57" s="2232"/>
      <c r="EG57" s="187"/>
      <c r="EH57" s="2232"/>
      <c r="EI57" s="195"/>
      <c r="EJ57" s="2232"/>
      <c r="EK57" s="195"/>
      <c r="EL57" s="2232"/>
      <c r="EM57" s="195"/>
      <c r="EN57" s="2232"/>
      <c r="EO57" s="195"/>
      <c r="EP57" s="2232"/>
      <c r="EQ57" s="195"/>
      <c r="ER57" s="2232"/>
      <c r="ES57" s="195"/>
      <c r="ET57" s="2232"/>
      <c r="EU57" s="187">
        <f t="shared" si="1"/>
        <v>0</v>
      </c>
      <c r="EV57" s="2232"/>
      <c r="EW57" s="195"/>
      <c r="EX57" s="2232"/>
      <c r="EY57" s="195"/>
      <c r="EZ57" s="2232"/>
      <c r="FA57" s="195"/>
      <c r="FB57" s="2232"/>
      <c r="FC57" s="195"/>
      <c r="FD57" s="2232"/>
      <c r="FE57" s="195"/>
      <c r="FF57" s="2232"/>
      <c r="FG57" s="195"/>
      <c r="FH57" s="2232"/>
      <c r="FI57" s="195"/>
      <c r="FJ57" s="2232"/>
      <c r="FK57" s="195"/>
      <c r="FL57" s="2232"/>
      <c r="FM57" s="187"/>
      <c r="FN57" s="2232"/>
      <c r="FO57" s="187"/>
      <c r="FP57" s="2232"/>
      <c r="FQ57" s="187"/>
      <c r="FR57" s="195"/>
      <c r="FS57" s="195"/>
      <c r="FT57" s="789"/>
      <c r="FU57" s="789"/>
      <c r="FV57" s="789"/>
      <c r="FW57" s="789"/>
      <c r="FX57" s="789"/>
      <c r="FY57" s="789"/>
      <c r="FZ57" s="789"/>
      <c r="GA57" s="789"/>
      <c r="GB57" s="2289"/>
      <c r="GC57" s="776"/>
    </row>
    <row r="58" spans="1:202" s="228" customFormat="1" ht="18.75">
      <c r="A58" s="216"/>
      <c r="B58" s="216">
        <v>18</v>
      </c>
      <c r="C58" s="918" t="s">
        <v>703</v>
      </c>
      <c r="D58" s="218">
        <v>3192</v>
      </c>
      <c r="E58" s="218">
        <v>66</v>
      </c>
      <c r="F58" s="218">
        <v>2031920066</v>
      </c>
      <c r="G58" s="922">
        <v>13500</v>
      </c>
      <c r="H58" s="218" t="s">
        <v>726</v>
      </c>
      <c r="I58" s="222" t="s">
        <v>727</v>
      </c>
      <c r="J58" s="218">
        <v>0.37</v>
      </c>
      <c r="K58" s="218">
        <v>4</v>
      </c>
      <c r="L58" s="218">
        <v>0</v>
      </c>
      <c r="M58" s="218">
        <v>4.8</v>
      </c>
      <c r="N58" s="220">
        <v>5000</v>
      </c>
      <c r="O58" s="220">
        <v>0</v>
      </c>
      <c r="P58" s="220">
        <v>0</v>
      </c>
      <c r="Q58" s="220">
        <v>5000</v>
      </c>
      <c r="R58" s="223">
        <v>0</v>
      </c>
      <c r="S58" s="898" t="s">
        <v>637</v>
      </c>
      <c r="T58" s="234">
        <f>U58</f>
        <v>0</v>
      </c>
      <c r="U58" s="111">
        <f>Q58-N58</f>
        <v>0</v>
      </c>
      <c r="V58" s="234">
        <f>W58</f>
        <v>5000</v>
      </c>
      <c r="W58" s="111">
        <f>N58</f>
        <v>5000</v>
      </c>
      <c r="X58" s="111"/>
      <c r="Y58" s="111">
        <f>W58-AA58</f>
        <v>5000</v>
      </c>
      <c r="Z58" s="234">
        <f>AA58</f>
        <v>0</v>
      </c>
      <c r="AA58" s="111">
        <v>0</v>
      </c>
      <c r="AB58" s="234">
        <f>AC58</f>
        <v>0</v>
      </c>
      <c r="AC58" s="111">
        <v>0</v>
      </c>
      <c r="AD58" s="234">
        <f>AE58</f>
        <v>0</v>
      </c>
      <c r="AE58" s="111">
        <f>AF58+AG58</f>
        <v>0</v>
      </c>
      <c r="AF58" s="111">
        <v>0</v>
      </c>
      <c r="AG58" s="111">
        <v>0</v>
      </c>
      <c r="AH58" s="111">
        <v>0</v>
      </c>
      <c r="AI58" s="234">
        <f>AJ58</f>
        <v>0</v>
      </c>
      <c r="AJ58" s="111">
        <v>0</v>
      </c>
      <c r="AK58" s="234">
        <f>AL58</f>
        <v>5000</v>
      </c>
      <c r="AL58" s="111">
        <f>W58-(AA58+AC58+AE58+AH58+AJ58+AM58+AW58+AO58+AQ58+AS58+AU58)</f>
        <v>5000</v>
      </c>
      <c r="AM58" s="899">
        <v>0</v>
      </c>
      <c r="AN58" s="234">
        <f>AO58</f>
        <v>0</v>
      </c>
      <c r="AO58" s="111">
        <v>0</v>
      </c>
      <c r="AP58" s="234">
        <f>AQ58</f>
        <v>0</v>
      </c>
      <c r="AQ58" s="111">
        <v>0</v>
      </c>
      <c r="AR58" s="234">
        <f>AS58</f>
        <v>0</v>
      </c>
      <c r="AS58" s="111">
        <v>0</v>
      </c>
      <c r="AT58" s="234">
        <f>AU58</f>
        <v>0</v>
      </c>
      <c r="AU58" s="111">
        <v>0</v>
      </c>
      <c r="AV58" s="234">
        <f>AW58</f>
        <v>0</v>
      </c>
      <c r="AW58" s="111">
        <f>AX58+AY58+AZ58+BA58+BB58</f>
        <v>0</v>
      </c>
      <c r="AX58" s="111">
        <v>0</v>
      </c>
      <c r="AY58" s="111">
        <v>0</v>
      </c>
      <c r="AZ58" s="111">
        <v>0</v>
      </c>
      <c r="BA58" s="111">
        <v>0</v>
      </c>
      <c r="BB58" s="111">
        <v>0</v>
      </c>
      <c r="BC58" s="111">
        <v>0</v>
      </c>
      <c r="BD58" s="234">
        <f>BE58</f>
        <v>5000</v>
      </c>
      <c r="BE58" s="111">
        <f>U58+W58</f>
        <v>5000</v>
      </c>
      <c r="BF58" s="234">
        <f>BG58</f>
        <v>0</v>
      </c>
      <c r="BG58" s="111">
        <v>0</v>
      </c>
      <c r="BH58" s="234">
        <f>BI58</f>
        <v>0</v>
      </c>
      <c r="BI58" s="111">
        <f>'[1]Projected Development Sites'!BG$135*BG58</f>
        <v>0</v>
      </c>
      <c r="BJ58" s="122">
        <f t="shared" si="13"/>
        <v>0</v>
      </c>
      <c r="BK58" s="306">
        <f>ROUND((AL58+AC58+AA58)/1000*3,0)+ROUND((AE58+AU58)/1000,0)+ROUND((ROUND(AH58/400,0))/2.67,0)+ROUND(AJ58/250,0)+ROUND(AO58/15000,0)+ROUND((AX58+AY58+AZ58+BB58)/1000*3,0)+ROUND(BG58/25,0)+ROUND(BU58/50,0)</f>
        <v>15</v>
      </c>
      <c r="BL58" s="111">
        <v>0</v>
      </c>
      <c r="BM58" s="111">
        <v>0</v>
      </c>
      <c r="BN58" s="111">
        <v>5</v>
      </c>
      <c r="BO58" s="111">
        <v>0</v>
      </c>
      <c r="BP58" s="111">
        <v>0</v>
      </c>
      <c r="BQ58" s="111">
        <v>0</v>
      </c>
      <c r="BR58" s="111">
        <v>0</v>
      </c>
      <c r="BS58" s="111">
        <v>0</v>
      </c>
      <c r="BT58" s="234">
        <f>BU58</f>
        <v>5</v>
      </c>
      <c r="BU58" s="111">
        <f>SUM(BL58:BS58)</f>
        <v>5</v>
      </c>
      <c r="BV58" s="111">
        <v>15</v>
      </c>
      <c r="BW58" s="900" t="s">
        <v>729</v>
      </c>
      <c r="BX58" s="228">
        <v>7.2</v>
      </c>
      <c r="BY58" s="228">
        <v>3.4</v>
      </c>
      <c r="BZ58" s="228">
        <v>6.5</v>
      </c>
      <c r="CA58" s="923"/>
      <c r="CB58" s="230" t="s">
        <v>716</v>
      </c>
      <c r="CC58" s="399">
        <f>(BX58*G58)-CF58</f>
        <v>85725</v>
      </c>
      <c r="CD58" s="399">
        <v>85725</v>
      </c>
      <c r="CE58" s="234">
        <f>CF58</f>
        <v>11475</v>
      </c>
      <c r="CF58" s="902">
        <f>1*(G58)-(0.15*1*(G58))</f>
        <v>11475</v>
      </c>
      <c r="CG58" s="234">
        <f>CH58</f>
        <v>11475</v>
      </c>
      <c r="CH58" s="902">
        <f>CF58-CJ58</f>
        <v>11475</v>
      </c>
      <c r="CI58" s="234">
        <f>CJ58</f>
        <v>0</v>
      </c>
      <c r="CJ58" s="111">
        <v>0</v>
      </c>
      <c r="CK58" s="234">
        <f>CL58</f>
        <v>0</v>
      </c>
      <c r="CL58" s="111">
        <v>0</v>
      </c>
      <c r="CM58" s="234">
        <f>CN58</f>
        <v>11475</v>
      </c>
      <c r="CN58" s="111">
        <v>11475</v>
      </c>
      <c r="CO58" s="903">
        <v>0</v>
      </c>
      <c r="CP58" s="903">
        <v>0</v>
      </c>
      <c r="CQ58" s="234">
        <f>CR58</f>
        <v>0</v>
      </c>
      <c r="CR58" s="111">
        <v>0</v>
      </c>
      <c r="CS58" s="903">
        <v>0</v>
      </c>
      <c r="CT58" s="903">
        <v>0</v>
      </c>
      <c r="CU58" s="903">
        <v>0</v>
      </c>
      <c r="CV58" s="903">
        <v>0</v>
      </c>
      <c r="CW58" s="234">
        <f>CX58</f>
        <v>0</v>
      </c>
      <c r="CX58" s="111">
        <v>0</v>
      </c>
      <c r="CY58" s="903">
        <v>0</v>
      </c>
      <c r="CZ58" s="903">
        <v>0</v>
      </c>
      <c r="DA58" s="903">
        <v>0</v>
      </c>
      <c r="DB58" s="903">
        <v>0</v>
      </c>
      <c r="DC58" s="903">
        <v>0</v>
      </c>
      <c r="DD58" s="903"/>
      <c r="DE58" s="234">
        <f>DF58</f>
        <v>97200</v>
      </c>
      <c r="DF58" s="111">
        <f>CC58+CF58</f>
        <v>97200</v>
      </c>
      <c r="DG58" s="234">
        <f>DH58</f>
        <v>86</v>
      </c>
      <c r="DH58" s="111">
        <f>ROUND(CC58/'[1]Projected Development Sites'!DF$134,0)</f>
        <v>86</v>
      </c>
      <c r="DI58" s="886">
        <f>DJ58</f>
        <v>25.8</v>
      </c>
      <c r="DJ58" s="899">
        <f>0.3*DH58</f>
        <v>25.8</v>
      </c>
      <c r="DK58" s="771">
        <f>3.06*DH58</f>
        <v>263.16000000000003</v>
      </c>
      <c r="DL58" s="924">
        <f>ROUND((CN58+CL58+CJ58)/1000*3,0)+ROUND((ROUND(CP58/400,0))/2.67,0)+ROUND(CV58/1000,0)+ROUND((CY58+CZ58+DA58+DC58)/1000*3,0)+ROUND(DH58/25,0)+ROUND(DX58/50,0)</f>
        <v>38</v>
      </c>
      <c r="DM58" s="925">
        <f>(0.7*DH58)*0.4</f>
        <v>24.08</v>
      </c>
      <c r="DN58" s="925">
        <v>24</v>
      </c>
      <c r="DO58" s="899">
        <v>0</v>
      </c>
      <c r="DP58" s="899">
        <f>DJ58*0.25</f>
        <v>6.45</v>
      </c>
      <c r="DQ58" s="899">
        <f>ROUND((CN58+CO58+CJ58+CR58+CU58)/1000,0)</f>
        <v>11</v>
      </c>
      <c r="DR58" s="899">
        <f>CL58/1000</f>
        <v>0</v>
      </c>
      <c r="DS58" s="899">
        <f>((CP58/400)/12)</f>
        <v>0</v>
      </c>
      <c r="DT58" s="899">
        <v>0</v>
      </c>
      <c r="DU58" s="899">
        <v>0</v>
      </c>
      <c r="DV58" s="899">
        <f>CX58/1000</f>
        <v>0</v>
      </c>
      <c r="DW58" s="886">
        <f>DX58</f>
        <v>35</v>
      </c>
      <c r="DX58" s="906">
        <f>DN58+DO58+DQ58+DR58+DS58+DT58+DU58+DV58</f>
        <v>35</v>
      </c>
      <c r="DY58" s="234">
        <v>165</v>
      </c>
      <c r="DZ58" s="2288">
        <f>CD58-T58</f>
        <v>85725</v>
      </c>
      <c r="EA58" s="2231">
        <f>CE58-V58</f>
        <v>6475</v>
      </c>
      <c r="EB58" s="187">
        <f>CF58-W58</f>
        <v>6475</v>
      </c>
      <c r="EC58" s="235">
        <f>ED58</f>
        <v>6475</v>
      </c>
      <c r="ED58" s="187">
        <v>6475</v>
      </c>
      <c r="EE58" s="187">
        <f>(SUM(CJ58:CO58))-(SUM(AA58:AE58,AL58))</f>
        <v>17950</v>
      </c>
      <c r="EF58" s="235">
        <f>EG58</f>
        <v>6475</v>
      </c>
      <c r="EG58" s="245">
        <v>6475</v>
      </c>
      <c r="EH58" s="235">
        <f>EI58</f>
        <v>0</v>
      </c>
      <c r="EI58" s="187">
        <f>CL58-AC58</f>
        <v>0</v>
      </c>
      <c r="EJ58" s="235">
        <f>EK58</f>
        <v>0</v>
      </c>
      <c r="EK58" s="187">
        <f>CJ58-AA58</f>
        <v>0</v>
      </c>
      <c r="EL58" s="235">
        <f>EM58</f>
        <v>0</v>
      </c>
      <c r="EM58" s="245">
        <f>CO58-AE58</f>
        <v>0</v>
      </c>
      <c r="EN58" s="235">
        <f>EO58</f>
        <v>0</v>
      </c>
      <c r="EO58" s="245">
        <f>CP58-AH58</f>
        <v>0</v>
      </c>
      <c r="EP58" s="235">
        <f>EQ58</f>
        <v>0</v>
      </c>
      <c r="EQ58" s="187">
        <f>CR58-AJ58</f>
        <v>0</v>
      </c>
      <c r="ER58" s="235">
        <f>ES58</f>
        <v>0</v>
      </c>
      <c r="ES58" s="187">
        <f>CS58-AO58</f>
        <v>0</v>
      </c>
      <c r="ET58" s="235">
        <f>EU58</f>
        <v>0</v>
      </c>
      <c r="EU58" s="187">
        <f t="shared" si="1"/>
        <v>0</v>
      </c>
      <c r="EV58" s="235">
        <f>EW58</f>
        <v>0</v>
      </c>
      <c r="EW58" s="187">
        <f>CU58-AS58</f>
        <v>0</v>
      </c>
      <c r="EX58" s="235">
        <f>EY58</f>
        <v>0</v>
      </c>
      <c r="EY58" s="245">
        <f>CV58-AU58</f>
        <v>0</v>
      </c>
      <c r="EZ58" s="235">
        <f>FA58</f>
        <v>0</v>
      </c>
      <c r="FA58" s="245">
        <f>CY58-AX58</f>
        <v>0</v>
      </c>
      <c r="FB58" s="235">
        <f>FC58</f>
        <v>0</v>
      </c>
      <c r="FC58" s="245">
        <f>CZ58-AY58</f>
        <v>0</v>
      </c>
      <c r="FD58" s="235">
        <f>FE58</f>
        <v>0</v>
      </c>
      <c r="FE58" s="245">
        <f>DA58-AZ58</f>
        <v>0</v>
      </c>
      <c r="FF58" s="235">
        <f>FG58</f>
        <v>0</v>
      </c>
      <c r="FG58" s="245">
        <f>DB58-BA58</f>
        <v>0</v>
      </c>
      <c r="FH58" s="235">
        <f>FI58</f>
        <v>0</v>
      </c>
      <c r="FI58" s="245">
        <f>DC58-BB58</f>
        <v>0</v>
      </c>
      <c r="FJ58" s="235">
        <f>FK58</f>
        <v>0</v>
      </c>
      <c r="FK58" s="245">
        <f>CX58-AW58</f>
        <v>0</v>
      </c>
      <c r="FL58" s="235">
        <f>FM58</f>
        <v>92200</v>
      </c>
      <c r="FM58" s="187">
        <f>DF58-BE58</f>
        <v>92200</v>
      </c>
      <c r="FN58" s="235">
        <f>FO58</f>
        <v>86</v>
      </c>
      <c r="FO58" s="187">
        <f>DH58-BG58</f>
        <v>86</v>
      </c>
      <c r="FP58" s="235">
        <f>FQ58</f>
        <v>25.8</v>
      </c>
      <c r="FQ58" s="187">
        <f>DJ58-BI58</f>
        <v>25.8</v>
      </c>
      <c r="FR58" s="245">
        <f>DK58-BJ58</f>
        <v>263.16000000000003</v>
      </c>
      <c r="FS58" s="245">
        <f>DL58-BK58</f>
        <v>23</v>
      </c>
      <c r="FT58" s="907">
        <f>DM58-BL58</f>
        <v>24.08</v>
      </c>
      <c r="FU58" s="907">
        <f>DR58-BO58</f>
        <v>0</v>
      </c>
      <c r="FV58" s="907"/>
      <c r="FW58" s="907">
        <f>DQ58-BN58</f>
        <v>6</v>
      </c>
      <c r="FX58" s="907">
        <f>DS58-BP58</f>
        <v>0</v>
      </c>
      <c r="FY58" s="907">
        <f>DT58-BQ58</f>
        <v>0</v>
      </c>
      <c r="FZ58" s="907">
        <f>DU58-BR58</f>
        <v>0</v>
      </c>
      <c r="GA58" s="907">
        <f>DV58-BS58</f>
        <v>0</v>
      </c>
      <c r="GB58" s="894">
        <f>GC58</f>
        <v>30.08</v>
      </c>
      <c r="GC58" s="776">
        <f t="shared" si="4"/>
        <v>30.08</v>
      </c>
      <c r="GD58" s="139"/>
      <c r="GE58" s="139"/>
      <c r="GF58" s="139"/>
      <c r="GG58" s="139"/>
      <c r="GH58" s="139"/>
      <c r="GI58" s="139"/>
      <c r="GJ58" s="139"/>
      <c r="GK58" s="139"/>
      <c r="GL58" s="139"/>
      <c r="GM58" s="139"/>
      <c r="GN58" s="139"/>
      <c r="GO58" s="139"/>
      <c r="GP58" s="139"/>
      <c r="GQ58" s="139"/>
      <c r="GR58" s="139"/>
      <c r="GS58" s="139"/>
      <c r="GT58" s="139"/>
    </row>
    <row r="59" spans="1:202" s="139" customFormat="1" ht="18.75">
      <c r="A59" s="2263"/>
      <c r="B59" s="2263"/>
      <c r="C59" s="132"/>
      <c r="D59" s="132"/>
      <c r="E59" s="132"/>
      <c r="F59" s="777"/>
      <c r="G59" s="137"/>
      <c r="H59" s="132"/>
      <c r="I59" s="136"/>
      <c r="J59" s="132"/>
      <c r="K59" s="132"/>
      <c r="L59" s="132"/>
      <c r="M59" s="132"/>
      <c r="N59" s="134"/>
      <c r="O59" s="134"/>
      <c r="P59" s="134"/>
      <c r="Q59" s="134"/>
      <c r="R59" s="137"/>
      <c r="S59" s="778"/>
      <c r="T59" s="634"/>
      <c r="U59" s="102"/>
      <c r="V59" s="634"/>
      <c r="W59" s="102"/>
      <c r="X59" s="102"/>
      <c r="Y59" s="102"/>
      <c r="Z59" s="634"/>
      <c r="AA59" s="102"/>
      <c r="AB59" s="634"/>
      <c r="AC59" s="102"/>
      <c r="AD59" s="634"/>
      <c r="AE59" s="102"/>
      <c r="AF59" s="102"/>
      <c r="AG59" s="102"/>
      <c r="AH59" s="102"/>
      <c r="AI59" s="634"/>
      <c r="AJ59" s="102"/>
      <c r="AK59" s="634"/>
      <c r="AL59" s="102"/>
      <c r="AM59" s="779"/>
      <c r="AN59" s="634"/>
      <c r="AO59" s="102"/>
      <c r="AP59" s="634"/>
      <c r="AQ59" s="102"/>
      <c r="AR59" s="634"/>
      <c r="AS59" s="102"/>
      <c r="AT59" s="634"/>
      <c r="AU59" s="102"/>
      <c r="AV59" s="634"/>
      <c r="AW59" s="102"/>
      <c r="AX59" s="102"/>
      <c r="AY59" s="102"/>
      <c r="AZ59" s="102"/>
      <c r="BA59" s="102"/>
      <c r="BB59" s="102"/>
      <c r="BC59" s="102"/>
      <c r="BD59" s="634"/>
      <c r="BE59" s="102"/>
      <c r="BF59" s="634"/>
      <c r="BG59" s="102"/>
      <c r="BH59" s="634"/>
      <c r="BI59" s="102"/>
      <c r="BJ59" s="122"/>
      <c r="BK59" s="186"/>
      <c r="BL59" s="102"/>
      <c r="BM59" s="102"/>
      <c r="BN59" s="102"/>
      <c r="BO59" s="102"/>
      <c r="BP59" s="102"/>
      <c r="BQ59" s="102"/>
      <c r="BR59" s="102"/>
      <c r="BS59" s="102"/>
      <c r="BT59" s="634"/>
      <c r="BU59" s="102"/>
      <c r="BW59" s="780"/>
      <c r="CA59" s="781"/>
      <c r="CB59" s="2258"/>
      <c r="CC59" s="782"/>
      <c r="CD59" s="782"/>
      <c r="CE59" s="634"/>
      <c r="CF59" s="840"/>
      <c r="CG59" s="634"/>
      <c r="CH59" s="840"/>
      <c r="CI59" s="634"/>
      <c r="CK59" s="634"/>
      <c r="CM59" s="634"/>
      <c r="CN59" s="784"/>
      <c r="CO59" s="784"/>
      <c r="CP59" s="784"/>
      <c r="CQ59" s="634"/>
      <c r="CR59" s="102"/>
      <c r="CS59" s="784"/>
      <c r="CT59" s="784"/>
      <c r="CU59" s="784"/>
      <c r="CV59" s="784"/>
      <c r="CW59" s="634"/>
      <c r="CX59" s="784"/>
      <c r="CY59" s="784"/>
      <c r="CZ59" s="784"/>
      <c r="DA59" s="784"/>
      <c r="DB59" s="784"/>
      <c r="DC59" s="784"/>
      <c r="DD59" s="784"/>
      <c r="DE59" s="634"/>
      <c r="DF59" s="784"/>
      <c r="DG59" s="634"/>
      <c r="DH59" s="296"/>
      <c r="DI59" s="802"/>
      <c r="DJ59" s="785"/>
      <c r="DK59" s="771"/>
      <c r="DL59" s="772"/>
      <c r="DM59" s="787"/>
      <c r="DN59" s="787"/>
      <c r="DO59" s="787"/>
      <c r="DP59" s="787"/>
      <c r="DQ59" s="787"/>
      <c r="DR59" s="787"/>
      <c r="DS59" s="787"/>
      <c r="DT59" s="787"/>
      <c r="DU59" s="787"/>
      <c r="DV59" s="787"/>
      <c r="DW59" s="802"/>
      <c r="DX59" s="788"/>
      <c r="DY59" s="634"/>
      <c r="DZ59" s="2288"/>
      <c r="EA59" s="2231"/>
      <c r="EB59" s="187"/>
      <c r="EC59" s="2232"/>
      <c r="ED59" s="187"/>
      <c r="EE59" s="187"/>
      <c r="EF59" s="2232"/>
      <c r="EG59" s="245"/>
      <c r="EH59" s="2232"/>
      <c r="EI59" s="187"/>
      <c r="EJ59" s="2232"/>
      <c r="EK59" s="187"/>
      <c r="EL59" s="2232"/>
      <c r="EM59" s="195"/>
      <c r="EN59" s="2232"/>
      <c r="EO59" s="195"/>
      <c r="EP59" s="2232"/>
      <c r="EQ59" s="187"/>
      <c r="ER59" s="2232"/>
      <c r="ES59" s="187"/>
      <c r="ET59" s="2232"/>
      <c r="EU59" s="187">
        <f t="shared" si="1"/>
        <v>0</v>
      </c>
      <c r="EV59" s="2232"/>
      <c r="EW59" s="187"/>
      <c r="EX59" s="2232"/>
      <c r="EY59" s="195"/>
      <c r="EZ59" s="2232"/>
      <c r="FA59" s="195"/>
      <c r="FB59" s="2232"/>
      <c r="FC59" s="195"/>
      <c r="FD59" s="2232"/>
      <c r="FE59" s="195"/>
      <c r="FF59" s="2232"/>
      <c r="FG59" s="195"/>
      <c r="FH59" s="2232"/>
      <c r="FI59" s="195"/>
      <c r="FJ59" s="2232"/>
      <c r="FK59" s="195"/>
      <c r="FL59" s="2232"/>
      <c r="FM59" s="187"/>
      <c r="FN59" s="2232"/>
      <c r="FO59" s="187"/>
      <c r="FP59" s="2232"/>
      <c r="FQ59" s="187"/>
      <c r="FR59" s="195"/>
      <c r="FS59" s="195"/>
      <c r="FT59" s="789"/>
      <c r="FU59" s="789"/>
      <c r="FV59" s="789"/>
      <c r="FW59" s="789"/>
      <c r="FX59" s="789"/>
      <c r="FY59" s="789"/>
      <c r="FZ59" s="789"/>
      <c r="GA59" s="789"/>
      <c r="GB59" s="2289"/>
      <c r="GC59" s="776"/>
    </row>
    <row r="60" spans="1:202" s="228" customFormat="1" ht="18.75">
      <c r="A60" s="216"/>
      <c r="B60" s="216">
        <v>19</v>
      </c>
      <c r="C60" s="218" t="s">
        <v>703</v>
      </c>
      <c r="D60" s="218">
        <v>3192</v>
      </c>
      <c r="E60" s="218">
        <v>75</v>
      </c>
      <c r="F60" s="897">
        <v>2031920075</v>
      </c>
      <c r="G60" s="223">
        <v>9895</v>
      </c>
      <c r="H60" s="218" t="s">
        <v>726</v>
      </c>
      <c r="I60" s="222" t="s">
        <v>727</v>
      </c>
      <c r="J60" s="218">
        <v>2.57</v>
      </c>
      <c r="K60" s="218">
        <v>4</v>
      </c>
      <c r="L60" s="218">
        <v>0</v>
      </c>
      <c r="M60" s="218">
        <v>4.8</v>
      </c>
      <c r="N60" s="220">
        <v>25425</v>
      </c>
      <c r="O60" s="220">
        <v>0</v>
      </c>
      <c r="P60" s="220">
        <v>0</v>
      </c>
      <c r="Q60" s="220">
        <v>25425</v>
      </c>
      <c r="R60" s="223">
        <v>0</v>
      </c>
      <c r="S60" s="898" t="s">
        <v>856</v>
      </c>
      <c r="T60" s="234">
        <f>U60</f>
        <v>0</v>
      </c>
      <c r="U60" s="111">
        <v>0</v>
      </c>
      <c r="V60" s="234">
        <f>W60</f>
        <v>25425</v>
      </c>
      <c r="W60" s="111">
        <f>N60</f>
        <v>25425</v>
      </c>
      <c r="X60" s="111"/>
      <c r="Y60" s="111">
        <f>W60-AA60</f>
        <v>25425</v>
      </c>
      <c r="Z60" s="234">
        <f>AA60</f>
        <v>0</v>
      </c>
      <c r="AA60" s="111">
        <v>0</v>
      </c>
      <c r="AB60" s="234">
        <f>AC60</f>
        <v>0</v>
      </c>
      <c r="AC60" s="111">
        <v>0</v>
      </c>
      <c r="AD60" s="234">
        <f>AE60</f>
        <v>0</v>
      </c>
      <c r="AE60" s="111">
        <f>AG60+AF60</f>
        <v>0</v>
      </c>
      <c r="AF60" s="111">
        <v>0</v>
      </c>
      <c r="AG60" s="111">
        <v>0</v>
      </c>
      <c r="AH60" s="111">
        <v>0</v>
      </c>
      <c r="AI60" s="234">
        <f>AJ60</f>
        <v>0</v>
      </c>
      <c r="AJ60" s="111">
        <v>0</v>
      </c>
      <c r="AK60" s="234">
        <f>AL60</f>
        <v>8475</v>
      </c>
      <c r="AL60" s="111">
        <f>W60-(AA60+AC60+AE60+AH60+AJ60+AM60+AW60+AO60+AQ60+AS60+AU60)</f>
        <v>8475</v>
      </c>
      <c r="AM60" s="899">
        <v>0</v>
      </c>
      <c r="AN60" s="234">
        <f>AO60</f>
        <v>0</v>
      </c>
      <c r="AO60" s="111">
        <v>0</v>
      </c>
      <c r="AP60" s="234">
        <f>AQ60</f>
        <v>0</v>
      </c>
      <c r="AQ60" s="111">
        <v>0</v>
      </c>
      <c r="AR60" s="234">
        <f>AS60</f>
        <v>0</v>
      </c>
      <c r="AS60" s="111">
        <v>0</v>
      </c>
      <c r="AT60" s="234">
        <f>AU60</f>
        <v>0</v>
      </c>
      <c r="AU60" s="111">
        <v>0</v>
      </c>
      <c r="AV60" s="234">
        <f>AW60</f>
        <v>16950</v>
      </c>
      <c r="AW60" s="111">
        <f>AX60+AY60+AZ60+BA60+BB60</f>
        <v>16950</v>
      </c>
      <c r="AX60" s="111">
        <v>0</v>
      </c>
      <c r="AY60" s="111">
        <v>0</v>
      </c>
      <c r="AZ60" s="111">
        <v>0</v>
      </c>
      <c r="BA60" s="111">
        <v>0</v>
      </c>
      <c r="BB60" s="111">
        <v>16950</v>
      </c>
      <c r="BC60" s="111">
        <v>0</v>
      </c>
      <c r="BD60" s="234">
        <f>BE60</f>
        <v>25425</v>
      </c>
      <c r="BE60" s="111">
        <f>U60+W60</f>
        <v>25425</v>
      </c>
      <c r="BF60" s="234">
        <f>BG60</f>
        <v>0</v>
      </c>
      <c r="BG60" s="111">
        <f>U60/1000</f>
        <v>0</v>
      </c>
      <c r="BH60" s="234">
        <f>BI60</f>
        <v>0</v>
      </c>
      <c r="BI60" s="111">
        <v>0</v>
      </c>
      <c r="BJ60" s="122">
        <f t="shared" si="13"/>
        <v>0</v>
      </c>
      <c r="BK60" s="306">
        <f>ROUND((Y60+AC60+AA60)/1000*3,0)+ROUND((AE60+AU60)/1000,0)+ROUND((ROUND(AH60/400,0))/2.67,0)+ROUND(AM60/250,0)+ROUND(AO60/15000,0)+ROUND((AX60+AY60+AZ60+BB60)/1000*3,0)+ROUND(BG60/25,0)+ROUND(BU274/50,0)</f>
        <v>127</v>
      </c>
      <c r="BL60" s="111">
        <v>0</v>
      </c>
      <c r="BM60" s="111">
        <v>0</v>
      </c>
      <c r="BN60" s="111">
        <v>0</v>
      </c>
      <c r="BO60" s="111">
        <f>AC60/1000</f>
        <v>0</v>
      </c>
      <c r="BP60" s="111">
        <f>AH60/1000</f>
        <v>0</v>
      </c>
      <c r="BQ60" s="111">
        <v>0</v>
      </c>
      <c r="BR60" s="111">
        <v>0</v>
      </c>
      <c r="BS60" s="111">
        <v>0</v>
      </c>
      <c r="BT60" s="234">
        <f>BU60</f>
        <v>0</v>
      </c>
      <c r="BU60" s="111">
        <f>SUM(BL60:BS60)</f>
        <v>0</v>
      </c>
      <c r="BV60" s="228">
        <v>35</v>
      </c>
      <c r="BW60" s="900" t="s">
        <v>729</v>
      </c>
      <c r="BX60" s="228">
        <v>7.2</v>
      </c>
      <c r="BY60" s="228">
        <v>3.4</v>
      </c>
      <c r="BZ60" s="228">
        <v>6.5</v>
      </c>
      <c r="CA60" s="901"/>
      <c r="CB60" s="230" t="s">
        <v>857</v>
      </c>
      <c r="CC60" s="399">
        <f>(BX60*G60)-CF60</f>
        <v>54294</v>
      </c>
      <c r="CD60" s="399">
        <v>54294</v>
      </c>
      <c r="CE60" s="234">
        <f>CF60</f>
        <v>16950</v>
      </c>
      <c r="CF60" s="902">
        <f>CX60</f>
        <v>16950</v>
      </c>
      <c r="CG60" s="234">
        <f>CH60</f>
        <v>16950</v>
      </c>
      <c r="CH60" s="902">
        <f>CF60-CJ60</f>
        <v>16950</v>
      </c>
      <c r="CI60" s="234">
        <f>CJ60</f>
        <v>0</v>
      </c>
      <c r="CJ60" s="228">
        <v>0</v>
      </c>
      <c r="CK60" s="234">
        <f>CL60</f>
        <v>0</v>
      </c>
      <c r="CL60" s="228">
        <v>0</v>
      </c>
      <c r="CM60" s="234">
        <f>CN60</f>
        <v>0</v>
      </c>
      <c r="CN60" s="111">
        <f>CF60-(CJ60+CL60+CO60+CP60+CR60+CU60+CV60+CX60)</f>
        <v>0</v>
      </c>
      <c r="CO60" s="903">
        <v>0</v>
      </c>
      <c r="CP60" s="903">
        <v>0</v>
      </c>
      <c r="CQ60" s="234">
        <f>CR60</f>
        <v>0</v>
      </c>
      <c r="CR60" s="111">
        <v>0</v>
      </c>
      <c r="CS60" s="903">
        <v>0</v>
      </c>
      <c r="CT60" s="903">
        <v>0</v>
      </c>
      <c r="CU60" s="903">
        <v>0</v>
      </c>
      <c r="CV60" s="903">
        <v>0</v>
      </c>
      <c r="CW60" s="234">
        <f>CX60</f>
        <v>16950</v>
      </c>
      <c r="CX60" s="111">
        <f>SUM(CY60:DC60)</f>
        <v>16950</v>
      </c>
      <c r="CY60" s="903">
        <f>AX60</f>
        <v>0</v>
      </c>
      <c r="CZ60" s="903">
        <f>AY60</f>
        <v>0</v>
      </c>
      <c r="DA60" s="903">
        <f>AZ60</f>
        <v>0</v>
      </c>
      <c r="DB60" s="903">
        <f>BA60</f>
        <v>0</v>
      </c>
      <c r="DC60" s="903">
        <f>BB60</f>
        <v>16950</v>
      </c>
      <c r="DD60" s="903"/>
      <c r="DE60" s="234">
        <f>DF60</f>
        <v>71244</v>
      </c>
      <c r="DF60" s="111">
        <f>CC60+CF60</f>
        <v>71244</v>
      </c>
      <c r="DG60" s="234">
        <f>DH60</f>
        <v>54.293999999999997</v>
      </c>
      <c r="DH60" s="904">
        <f>CC60/'[1]Projected Development Sites'!DF$134</f>
        <v>54.293999999999997</v>
      </c>
      <c r="DI60" s="886">
        <f>DJ60</f>
        <v>54.293999999999997</v>
      </c>
      <c r="DJ60" s="803">
        <f>'[1]Projected Development Sites'!DK$136*DH60</f>
        <v>54.293999999999997</v>
      </c>
      <c r="DK60" s="771">
        <f>3.06*DH60</f>
        <v>166.13963999999999</v>
      </c>
      <c r="DL60" s="772">
        <f>ROUND((CN60+CL60+CJ60)/1000*3,0)+ROUND((ROUND(CP60/400,0))/2.67,0)+ROUND(CV60/1000,0)+ROUND((CY60+CZ60+DA60+DC60)/1000*3,0)+ROUND(DH60/25,0)+ROUND(DX60/50,0)</f>
        <v>53</v>
      </c>
      <c r="DM60" s="905">
        <v>0</v>
      </c>
      <c r="DN60" s="905"/>
      <c r="DO60" s="905">
        <v>0</v>
      </c>
      <c r="DP60" s="905">
        <f>0.25*DJ60</f>
        <v>13.573499999999999</v>
      </c>
      <c r="DQ60" s="905">
        <f>SUM(CO60,CJ60,CN60,CR60,CU60)/1000</f>
        <v>0</v>
      </c>
      <c r="DR60" s="905">
        <f>CL60/1000</f>
        <v>0</v>
      </c>
      <c r="DS60" s="905">
        <f>((CP60/400)/12)</f>
        <v>0</v>
      </c>
      <c r="DT60" s="905">
        <v>0</v>
      </c>
      <c r="DU60" s="905">
        <v>0</v>
      </c>
      <c r="DV60" s="905">
        <f>CX60/1000</f>
        <v>16.95</v>
      </c>
      <c r="DW60" s="886">
        <f>DX60</f>
        <v>16.95</v>
      </c>
      <c r="DX60" s="906">
        <f>SUM(DM60,DO60,DQ60:DV60)</f>
        <v>16.95</v>
      </c>
      <c r="DY60" s="837">
        <v>165</v>
      </c>
      <c r="DZ60" s="2288">
        <f>CD60-T60</f>
        <v>54294</v>
      </c>
      <c r="EA60" s="2231">
        <f>CE60-V60</f>
        <v>-8475</v>
      </c>
      <c r="EB60" s="187">
        <f>CF60-W60</f>
        <v>-8475</v>
      </c>
      <c r="EC60" s="235">
        <f>ED60</f>
        <v>-8475</v>
      </c>
      <c r="ED60" s="187">
        <v>-8475</v>
      </c>
      <c r="EE60" s="187">
        <f>(SUM(CJ60:CO60))-(SUM(AA60:AE60,AL60))</f>
        <v>-8475</v>
      </c>
      <c r="EF60" s="235">
        <f>EG60</f>
        <v>-8475</v>
      </c>
      <c r="EG60" s="195">
        <v>-8475</v>
      </c>
      <c r="EH60" s="235">
        <f>EI60</f>
        <v>0</v>
      </c>
      <c r="EI60" s="187">
        <f>CL60-AC60</f>
        <v>0</v>
      </c>
      <c r="EJ60" s="235">
        <f>EK60</f>
        <v>0</v>
      </c>
      <c r="EK60" s="187">
        <f>CJ60-AA60</f>
        <v>0</v>
      </c>
      <c r="EL60" s="235">
        <f>EM60</f>
        <v>0</v>
      </c>
      <c r="EM60" s="245">
        <f>CO60-AE60</f>
        <v>0</v>
      </c>
      <c r="EN60" s="235">
        <f>EO60</f>
        <v>0</v>
      </c>
      <c r="EO60" s="245">
        <f>CP60-AH60</f>
        <v>0</v>
      </c>
      <c r="EP60" s="235">
        <f>EQ60</f>
        <v>0</v>
      </c>
      <c r="EQ60" s="187">
        <f>CR60-AJ60</f>
        <v>0</v>
      </c>
      <c r="ER60" s="235">
        <f>ES60</f>
        <v>0</v>
      </c>
      <c r="ES60" s="187">
        <f>CS60-AO60</f>
        <v>0</v>
      </c>
      <c r="ET60" s="235">
        <f>EU60</f>
        <v>0</v>
      </c>
      <c r="EU60" s="187">
        <f t="shared" si="1"/>
        <v>0</v>
      </c>
      <c r="EV60" s="235">
        <f>EW60</f>
        <v>0</v>
      </c>
      <c r="EW60" s="187">
        <f>CU60-AS60</f>
        <v>0</v>
      </c>
      <c r="EX60" s="235">
        <f>EY60</f>
        <v>0</v>
      </c>
      <c r="EY60" s="245">
        <f>CV60-AU60</f>
        <v>0</v>
      </c>
      <c r="EZ60" s="235">
        <f>FA60</f>
        <v>0</v>
      </c>
      <c r="FA60" s="245">
        <f>CY60-AX60</f>
        <v>0</v>
      </c>
      <c r="FB60" s="235">
        <f>FC60</f>
        <v>0</v>
      </c>
      <c r="FC60" s="245">
        <f>CZ60-AY60</f>
        <v>0</v>
      </c>
      <c r="FD60" s="235">
        <f>FE60</f>
        <v>0</v>
      </c>
      <c r="FE60" s="245">
        <f>DA60-AZ60</f>
        <v>0</v>
      </c>
      <c r="FF60" s="235">
        <f>FG60</f>
        <v>0</v>
      </c>
      <c r="FG60" s="245">
        <f>DB60-BA60</f>
        <v>0</v>
      </c>
      <c r="FH60" s="235">
        <f>FI60</f>
        <v>0</v>
      </c>
      <c r="FI60" s="245">
        <f>DC60-BB60</f>
        <v>0</v>
      </c>
      <c r="FJ60" s="235">
        <f>FK60</f>
        <v>0</v>
      </c>
      <c r="FK60" s="245">
        <f>CX60-AW60</f>
        <v>0</v>
      </c>
      <c r="FL60" s="235">
        <f>FM60</f>
        <v>45819</v>
      </c>
      <c r="FM60" s="187">
        <f>DF60-BE60</f>
        <v>45819</v>
      </c>
      <c r="FN60" s="235">
        <f>FO60</f>
        <v>54.293999999999997</v>
      </c>
      <c r="FO60" s="187">
        <f>DH60-BG60</f>
        <v>54.293999999999997</v>
      </c>
      <c r="FP60" s="235">
        <f>FQ60</f>
        <v>54.293999999999997</v>
      </c>
      <c r="FQ60" s="187">
        <f>DJ60-BI60</f>
        <v>54.293999999999997</v>
      </c>
      <c r="FR60" s="245">
        <f>DK60-BJ60</f>
        <v>166.13963999999999</v>
      </c>
      <c r="FS60" s="245">
        <f>DL60-BK60</f>
        <v>-74</v>
      </c>
      <c r="FT60" s="907">
        <f>DM60-BL60</f>
        <v>0</v>
      </c>
      <c r="FU60" s="907">
        <f>DR60-BO60</f>
        <v>0</v>
      </c>
      <c r="FV60" s="907">
        <f>DO60-BM60</f>
        <v>0</v>
      </c>
      <c r="FW60" s="907">
        <f>DQ60-BN60</f>
        <v>0</v>
      </c>
      <c r="FX60" s="907">
        <f>DS60-BP60</f>
        <v>0</v>
      </c>
      <c r="FY60" s="907">
        <f>DT60-BQ60</f>
        <v>0</v>
      </c>
      <c r="FZ60" s="907">
        <f>DU60-BR60</f>
        <v>0</v>
      </c>
      <c r="GA60" s="907">
        <f>DV60-BS60</f>
        <v>16.95</v>
      </c>
      <c r="GB60" s="894">
        <f>GC60</f>
        <v>16.95</v>
      </c>
      <c r="GC60" s="776">
        <f t="shared" si="4"/>
        <v>16.95</v>
      </c>
      <c r="GD60" s="139"/>
      <c r="GE60" s="139"/>
      <c r="GF60" s="139"/>
      <c r="GG60" s="139"/>
      <c r="GH60" s="139"/>
      <c r="GI60" s="139"/>
      <c r="GJ60" s="139"/>
      <c r="GK60" s="139"/>
      <c r="GL60" s="139"/>
      <c r="GM60" s="139"/>
      <c r="GN60" s="139"/>
      <c r="GO60" s="139"/>
      <c r="GP60" s="139"/>
      <c r="GQ60" s="139"/>
      <c r="GR60" s="139"/>
      <c r="GS60" s="139"/>
      <c r="GT60" s="139"/>
    </row>
    <row r="61" spans="1:202" s="139" customFormat="1" ht="17.25" customHeight="1">
      <c r="A61" s="2263"/>
      <c r="B61" s="2263"/>
      <c r="C61" s="132"/>
      <c r="D61" s="132"/>
      <c r="E61" s="132"/>
      <c r="F61" s="777"/>
      <c r="G61" s="137"/>
      <c r="H61" s="132"/>
      <c r="I61" s="136"/>
      <c r="J61" s="132"/>
      <c r="K61" s="132"/>
      <c r="L61" s="132"/>
      <c r="M61" s="132"/>
      <c r="N61" s="134"/>
      <c r="O61" s="134"/>
      <c r="P61" s="134"/>
      <c r="Q61" s="134"/>
      <c r="R61" s="137"/>
      <c r="S61" s="778"/>
      <c r="T61" s="634"/>
      <c r="U61" s="102"/>
      <c r="V61" s="634"/>
      <c r="W61" s="102"/>
      <c r="X61" s="102"/>
      <c r="Y61" s="102"/>
      <c r="Z61" s="634"/>
      <c r="AA61" s="102"/>
      <c r="AB61" s="634"/>
      <c r="AC61" s="102"/>
      <c r="AD61" s="634"/>
      <c r="AE61" s="102"/>
      <c r="AF61" s="102"/>
      <c r="AG61" s="102"/>
      <c r="AH61" s="102"/>
      <c r="AI61" s="634"/>
      <c r="AJ61" s="102"/>
      <c r="AK61" s="634"/>
      <c r="AL61" s="102"/>
      <c r="AM61" s="779"/>
      <c r="AN61" s="634"/>
      <c r="AO61" s="102"/>
      <c r="AP61" s="634"/>
      <c r="AQ61" s="102"/>
      <c r="AR61" s="634"/>
      <c r="AS61" s="102"/>
      <c r="AT61" s="634"/>
      <c r="AU61" s="102"/>
      <c r="AV61" s="634"/>
      <c r="AW61" s="102"/>
      <c r="AX61" s="102"/>
      <c r="AY61" s="102"/>
      <c r="AZ61" s="102"/>
      <c r="BA61" s="102"/>
      <c r="BB61" s="102"/>
      <c r="BC61" s="102"/>
      <c r="BD61" s="634"/>
      <c r="BE61" s="102"/>
      <c r="BF61" s="634"/>
      <c r="BG61" s="102"/>
      <c r="BH61" s="634"/>
      <c r="BI61" s="102"/>
      <c r="BJ61" s="122"/>
      <c r="BK61" s="306"/>
      <c r="BL61" s="102"/>
      <c r="BM61" s="102"/>
      <c r="BN61" s="102"/>
      <c r="BO61" s="102"/>
      <c r="BP61" s="102"/>
      <c r="BQ61" s="102"/>
      <c r="BR61" s="102"/>
      <c r="BS61" s="102"/>
      <c r="BT61" s="634"/>
      <c r="BU61" s="102"/>
      <c r="BW61" s="780"/>
      <c r="CA61" s="781"/>
      <c r="CB61" s="2258"/>
      <c r="CC61" s="782"/>
      <c r="CD61" s="782"/>
      <c r="CE61" s="634"/>
      <c r="CF61" s="840"/>
      <c r="CG61" s="634"/>
      <c r="CH61" s="840"/>
      <c r="CI61" s="634"/>
      <c r="CK61" s="634"/>
      <c r="CM61" s="634"/>
      <c r="CN61" s="784"/>
      <c r="CO61" s="784"/>
      <c r="CP61" s="784"/>
      <c r="CQ61" s="634"/>
      <c r="CR61" s="102"/>
      <c r="CS61" s="784"/>
      <c r="CT61" s="784"/>
      <c r="CU61" s="784"/>
      <c r="CV61" s="784"/>
      <c r="CW61" s="634"/>
      <c r="CX61" s="102"/>
      <c r="CY61" s="784"/>
      <c r="CZ61" s="784"/>
      <c r="DA61" s="784"/>
      <c r="DB61" s="784"/>
      <c r="DC61" s="784"/>
      <c r="DD61" s="784"/>
      <c r="DE61" s="634"/>
      <c r="DF61" s="102"/>
      <c r="DG61" s="634"/>
      <c r="DH61" s="296"/>
      <c r="DI61" s="802"/>
      <c r="DJ61" s="785"/>
      <c r="DK61" s="771"/>
      <c r="DL61" s="772"/>
      <c r="DM61" s="787"/>
      <c r="DN61" s="787"/>
      <c r="DO61" s="787"/>
      <c r="DP61" s="787"/>
      <c r="DQ61" s="787"/>
      <c r="DR61" s="787"/>
      <c r="DS61" s="787"/>
      <c r="DT61" s="787"/>
      <c r="DU61" s="787"/>
      <c r="DV61" s="787"/>
      <c r="DW61" s="802"/>
      <c r="DX61" s="788"/>
      <c r="DY61" s="634"/>
      <c r="DZ61" s="2288"/>
      <c r="EA61" s="2231"/>
      <c r="EB61" s="187"/>
      <c r="EC61" s="2232"/>
      <c r="ED61" s="187"/>
      <c r="EE61" s="187"/>
      <c r="EF61" s="2232"/>
      <c r="EG61" s="245"/>
      <c r="EH61" s="2232"/>
      <c r="EI61" s="187"/>
      <c r="EJ61" s="2232"/>
      <c r="EK61" s="187"/>
      <c r="EL61" s="2232"/>
      <c r="EM61" s="195"/>
      <c r="EN61" s="2232"/>
      <c r="EO61" s="195"/>
      <c r="EP61" s="2232"/>
      <c r="EQ61" s="187"/>
      <c r="ER61" s="2232"/>
      <c r="ES61" s="187"/>
      <c r="ET61" s="2232"/>
      <c r="EU61" s="187">
        <f t="shared" si="1"/>
        <v>0</v>
      </c>
      <c r="EV61" s="2232"/>
      <c r="EW61" s="187"/>
      <c r="EX61" s="2232"/>
      <c r="EY61" s="195"/>
      <c r="EZ61" s="2232"/>
      <c r="FA61" s="195"/>
      <c r="FB61" s="2232"/>
      <c r="FC61" s="195"/>
      <c r="FD61" s="2232"/>
      <c r="FE61" s="195"/>
      <c r="FF61" s="2232"/>
      <c r="FG61" s="195"/>
      <c r="FH61" s="2232"/>
      <c r="FI61" s="195"/>
      <c r="FJ61" s="2232"/>
      <c r="FK61" s="195"/>
      <c r="FL61" s="2232"/>
      <c r="FM61" s="187"/>
      <c r="FN61" s="2232"/>
      <c r="FO61" s="187"/>
      <c r="FP61" s="2232"/>
      <c r="FQ61" s="187"/>
      <c r="FR61" s="195"/>
      <c r="FS61" s="245"/>
      <c r="FT61" s="789"/>
      <c r="FU61" s="789"/>
      <c r="FV61" s="789"/>
      <c r="FW61" s="789"/>
      <c r="FX61" s="789"/>
      <c r="FY61" s="789"/>
      <c r="FZ61" s="789"/>
      <c r="GA61" s="789"/>
      <c r="GB61" s="2289"/>
      <c r="GC61" s="776"/>
    </row>
    <row r="62" spans="1:202" s="228" customFormat="1" ht="18.75">
      <c r="A62" s="216"/>
      <c r="B62" s="216">
        <v>20</v>
      </c>
      <c r="C62" s="218" t="s">
        <v>703</v>
      </c>
      <c r="D62" s="218">
        <v>3210</v>
      </c>
      <c r="E62" s="218">
        <v>65</v>
      </c>
      <c r="F62" s="897">
        <v>2032100065</v>
      </c>
      <c r="G62" s="223">
        <v>14145</v>
      </c>
      <c r="H62" s="218" t="s">
        <v>726</v>
      </c>
      <c r="I62" s="222" t="s">
        <v>727</v>
      </c>
      <c r="J62" s="218">
        <v>2.63</v>
      </c>
      <c r="K62" s="218">
        <v>4</v>
      </c>
      <c r="L62" s="218">
        <v>0</v>
      </c>
      <c r="M62" s="218">
        <v>4.8</v>
      </c>
      <c r="N62" s="220">
        <v>37185</v>
      </c>
      <c r="O62" s="220">
        <v>0</v>
      </c>
      <c r="P62" s="220">
        <v>37185</v>
      </c>
      <c r="Q62" s="220">
        <v>37185</v>
      </c>
      <c r="R62" s="223">
        <v>0</v>
      </c>
      <c r="S62" s="898" t="s">
        <v>731</v>
      </c>
      <c r="T62" s="234">
        <f>U62</f>
        <v>0</v>
      </c>
      <c r="U62" s="111">
        <v>0</v>
      </c>
      <c r="V62" s="234">
        <f>W62</f>
        <v>37185</v>
      </c>
      <c r="W62" s="111">
        <f>N62</f>
        <v>37185</v>
      </c>
      <c r="X62" s="111"/>
      <c r="Y62" s="111">
        <f>W62-AA62</f>
        <v>37185</v>
      </c>
      <c r="Z62" s="234">
        <f>AA62</f>
        <v>0</v>
      </c>
      <c r="AA62" s="111">
        <v>0</v>
      </c>
      <c r="AB62" s="234">
        <f>AC62</f>
        <v>0</v>
      </c>
      <c r="AC62" s="111">
        <v>0</v>
      </c>
      <c r="AD62" s="234">
        <f>AE62</f>
        <v>0</v>
      </c>
      <c r="AE62" s="111">
        <f>AG62+AF62</f>
        <v>0</v>
      </c>
      <c r="AF62" s="111">
        <v>0</v>
      </c>
      <c r="AG62" s="111">
        <v>0</v>
      </c>
      <c r="AH62" s="111">
        <v>0</v>
      </c>
      <c r="AI62" s="234">
        <f>AJ62</f>
        <v>0</v>
      </c>
      <c r="AJ62" s="111">
        <v>0</v>
      </c>
      <c r="AK62" s="234">
        <f>AL62</f>
        <v>0</v>
      </c>
      <c r="AL62" s="111">
        <f>W62-(AA62+AC62+AE62+AH62+AJ62+AM62+AW62+AO62+AQ62+AS62+AU62)</f>
        <v>0</v>
      </c>
      <c r="AM62" s="899">
        <v>0</v>
      </c>
      <c r="AN62" s="234">
        <f>AO62</f>
        <v>0</v>
      </c>
      <c r="AO62" s="111">
        <v>0</v>
      </c>
      <c r="AP62" s="234">
        <f>AQ62</f>
        <v>0</v>
      </c>
      <c r="AQ62" s="111">
        <v>0</v>
      </c>
      <c r="AR62" s="234">
        <f>AS62</f>
        <v>0</v>
      </c>
      <c r="AS62" s="111">
        <v>0</v>
      </c>
      <c r="AT62" s="234">
        <f>AU62</f>
        <v>0</v>
      </c>
      <c r="AU62" s="111">
        <v>0</v>
      </c>
      <c r="AV62" s="234">
        <f>AW62</f>
        <v>37185</v>
      </c>
      <c r="AW62" s="111">
        <f>AX62+AY62+AZ62+BA62+BB62</f>
        <v>37185</v>
      </c>
      <c r="AX62" s="111">
        <f>W62</f>
        <v>37185</v>
      </c>
      <c r="AY62" s="111">
        <v>0</v>
      </c>
      <c r="AZ62" s="111">
        <v>0</v>
      </c>
      <c r="BA62" s="111">
        <v>0</v>
      </c>
      <c r="BB62" s="111">
        <v>0</v>
      </c>
      <c r="BC62" s="111">
        <v>0</v>
      </c>
      <c r="BD62" s="234">
        <f>BE62</f>
        <v>37185</v>
      </c>
      <c r="BE62" s="111">
        <f>U62+W62</f>
        <v>37185</v>
      </c>
      <c r="BF62" s="234">
        <f>BG62</f>
        <v>0</v>
      </c>
      <c r="BG62" s="111">
        <f>U62/1000</f>
        <v>0</v>
      </c>
      <c r="BH62" s="234">
        <f>BI62</f>
        <v>0</v>
      </c>
      <c r="BI62" s="111">
        <v>0</v>
      </c>
      <c r="BJ62" s="122">
        <f t="shared" si="13"/>
        <v>0</v>
      </c>
      <c r="BK62" s="306">
        <f>ROUND((Y62+AC62+AA62)/1000*3,0)+ROUND((AE62+AU62)/1000,0)+ROUND((ROUND(AH62/400,0))/2.67,0)+ROUND(AM62/250,0)+ROUND(AO62/15000,0)+ROUND((AX62+AY62+AZ62+BB62)/1000*3,0)+ROUND(BG62/25,0)+ROUND(BU292/50,0)</f>
        <v>224</v>
      </c>
      <c r="BL62" s="111">
        <v>0</v>
      </c>
      <c r="BM62" s="111">
        <v>0</v>
      </c>
      <c r="BN62" s="111">
        <v>0</v>
      </c>
      <c r="BO62" s="111">
        <f>AC62/1000</f>
        <v>0</v>
      </c>
      <c r="BP62" s="111">
        <f>AH62/1000</f>
        <v>0</v>
      </c>
      <c r="BQ62" s="111">
        <v>0</v>
      </c>
      <c r="BR62" s="111">
        <v>0</v>
      </c>
      <c r="BS62" s="111">
        <v>0</v>
      </c>
      <c r="BT62" s="234">
        <f>BU62</f>
        <v>0</v>
      </c>
      <c r="BU62" s="111">
        <f>SUM(BL62:BS62)</f>
        <v>0</v>
      </c>
      <c r="BV62" s="228">
        <v>44</v>
      </c>
      <c r="BW62" s="900" t="s">
        <v>729</v>
      </c>
      <c r="BX62" s="228">
        <v>7.2</v>
      </c>
      <c r="BY62" s="228">
        <v>3.4</v>
      </c>
      <c r="BZ62" s="228">
        <v>6.5</v>
      </c>
      <c r="CA62" s="901"/>
      <c r="CB62" s="230" t="s">
        <v>858</v>
      </c>
      <c r="CC62" s="399">
        <f>(BX62*G62)-CF62</f>
        <v>64659</v>
      </c>
      <c r="CD62" s="399">
        <v>64659</v>
      </c>
      <c r="CE62" s="234">
        <f>CF62</f>
        <v>37185</v>
      </c>
      <c r="CF62" s="902">
        <f>CX62</f>
        <v>37185</v>
      </c>
      <c r="CG62" s="234">
        <f>CH62</f>
        <v>37185</v>
      </c>
      <c r="CH62" s="902">
        <f>CF62-CJ62</f>
        <v>37185</v>
      </c>
      <c r="CI62" s="234">
        <f>CJ62</f>
        <v>0</v>
      </c>
      <c r="CJ62" s="228">
        <v>0</v>
      </c>
      <c r="CK62" s="234">
        <f>CL62</f>
        <v>0</v>
      </c>
      <c r="CL62" s="228">
        <v>0</v>
      </c>
      <c r="CM62" s="234">
        <f>CN62</f>
        <v>0</v>
      </c>
      <c r="CN62" s="111">
        <f>CF62-(CJ62+CL62+CO62+CP62+CR62+CU62+CV62+CX62)</f>
        <v>0</v>
      </c>
      <c r="CO62" s="903">
        <v>0</v>
      </c>
      <c r="CP62" s="903">
        <v>0</v>
      </c>
      <c r="CQ62" s="234">
        <f>CR62</f>
        <v>0</v>
      </c>
      <c r="CR62" s="111">
        <v>0</v>
      </c>
      <c r="CS62" s="903">
        <v>0</v>
      </c>
      <c r="CT62" s="903">
        <v>0</v>
      </c>
      <c r="CU62" s="903">
        <v>0</v>
      </c>
      <c r="CV62" s="903">
        <v>0</v>
      </c>
      <c r="CW62" s="234">
        <f>CX62</f>
        <v>37185</v>
      </c>
      <c r="CX62" s="111">
        <f>SUM(CY62:DC62)</f>
        <v>37185</v>
      </c>
      <c r="CY62" s="903">
        <f>AX62</f>
        <v>37185</v>
      </c>
      <c r="CZ62" s="903">
        <f>AY62</f>
        <v>0</v>
      </c>
      <c r="DA62" s="903">
        <f>AZ62</f>
        <v>0</v>
      </c>
      <c r="DB62" s="903">
        <f>BA62</f>
        <v>0</v>
      </c>
      <c r="DC62" s="903">
        <f>BB62</f>
        <v>0</v>
      </c>
      <c r="DD62" s="903"/>
      <c r="DE62" s="234">
        <f>DF62</f>
        <v>101844</v>
      </c>
      <c r="DF62" s="111">
        <f>CC62+CF62</f>
        <v>101844</v>
      </c>
      <c r="DG62" s="234">
        <f>DH62</f>
        <v>64.659000000000006</v>
      </c>
      <c r="DH62" s="904">
        <f>CC62/'[1]Projected Development Sites'!DF$134</f>
        <v>64.659000000000006</v>
      </c>
      <c r="DI62" s="886">
        <f>DJ62</f>
        <v>64.659000000000006</v>
      </c>
      <c r="DJ62" s="803">
        <f>'[1]Projected Development Sites'!DK$136*DH62</f>
        <v>64.659000000000006</v>
      </c>
      <c r="DK62" s="771">
        <f>3.06*DH62</f>
        <v>197.85654000000002</v>
      </c>
      <c r="DL62" s="772">
        <f>ROUND((CN62+CL62+CJ62)/1000*3,0)+ROUND((ROUND(CP62/400,0))/2.67,0)+ROUND(CV62/1000,0)+ROUND((CY62+CZ62+DA62+DC62)/1000*3,0)+ROUND(DH62/25,0)+ROUND(DX62/50,0)</f>
        <v>116</v>
      </c>
      <c r="DM62" s="905">
        <v>0</v>
      </c>
      <c r="DN62" s="905"/>
      <c r="DO62" s="905">
        <v>0</v>
      </c>
      <c r="DP62" s="905">
        <f>0.25*DJ62</f>
        <v>16.164750000000002</v>
      </c>
      <c r="DQ62" s="905">
        <f>SUM(CO62,CJ62,CN62,CR62,CU62)/1000</f>
        <v>0</v>
      </c>
      <c r="DR62" s="905">
        <f>CL62/1000</f>
        <v>0</v>
      </c>
      <c r="DS62" s="905">
        <f>((CP62/400)/12)</f>
        <v>0</v>
      </c>
      <c r="DT62" s="905">
        <v>0</v>
      </c>
      <c r="DU62" s="905">
        <v>0</v>
      </c>
      <c r="DV62" s="905">
        <f>CX62/1000</f>
        <v>37.185000000000002</v>
      </c>
      <c r="DW62" s="886">
        <f>DX62</f>
        <v>37.185000000000002</v>
      </c>
      <c r="DX62" s="906">
        <f>SUM(DM62,DO62,DQ62:DV62)</f>
        <v>37.185000000000002</v>
      </c>
      <c r="DY62" s="837">
        <v>145</v>
      </c>
      <c r="DZ62" s="2288">
        <f>CD62-T62</f>
        <v>64659</v>
      </c>
      <c r="EA62" s="2231">
        <f>CE62-V62</f>
        <v>0</v>
      </c>
      <c r="EB62" s="187">
        <f>CF62-W62</f>
        <v>0</v>
      </c>
      <c r="EC62" s="235">
        <f>ED62</f>
        <v>0</v>
      </c>
      <c r="ED62" s="187">
        <v>0</v>
      </c>
      <c r="EE62" s="187">
        <f>(SUM(CJ62:CO62))-(SUM(AA62:AE62,AL62))</f>
        <v>0</v>
      </c>
      <c r="EF62" s="235">
        <f>EG62</f>
        <v>0</v>
      </c>
      <c r="EG62" s="245">
        <v>0</v>
      </c>
      <c r="EH62" s="235">
        <f>EI62</f>
        <v>0</v>
      </c>
      <c r="EI62" s="187">
        <f>CL62-AC62</f>
        <v>0</v>
      </c>
      <c r="EJ62" s="235">
        <f>EK62</f>
        <v>0</v>
      </c>
      <c r="EK62" s="187">
        <f>CJ62-AA62</f>
        <v>0</v>
      </c>
      <c r="EL62" s="235">
        <f>EM62</f>
        <v>0</v>
      </c>
      <c r="EM62" s="245">
        <f>CO62-AE62</f>
        <v>0</v>
      </c>
      <c r="EN62" s="235">
        <f>EO62</f>
        <v>0</v>
      </c>
      <c r="EO62" s="245">
        <f>CP62-AH62</f>
        <v>0</v>
      </c>
      <c r="EP62" s="235">
        <f>EQ62</f>
        <v>0</v>
      </c>
      <c r="EQ62" s="187">
        <f>CR62-AJ62</f>
        <v>0</v>
      </c>
      <c r="ER62" s="235">
        <f>ES62</f>
        <v>0</v>
      </c>
      <c r="ES62" s="187">
        <f>CS62-AO62</f>
        <v>0</v>
      </c>
      <c r="ET62" s="235">
        <f>EU62</f>
        <v>0</v>
      </c>
      <c r="EU62" s="187">
        <f t="shared" si="1"/>
        <v>0</v>
      </c>
      <c r="EV62" s="235">
        <f>EW62</f>
        <v>0</v>
      </c>
      <c r="EW62" s="187">
        <f>CU62-AS62</f>
        <v>0</v>
      </c>
      <c r="EX62" s="235">
        <f>EY62</f>
        <v>0</v>
      </c>
      <c r="EY62" s="245">
        <f>CV62-AU62</f>
        <v>0</v>
      </c>
      <c r="EZ62" s="235">
        <f>FA62</f>
        <v>0</v>
      </c>
      <c r="FA62" s="245">
        <f>CY62-AX62</f>
        <v>0</v>
      </c>
      <c r="FB62" s="235">
        <f>FC62</f>
        <v>0</v>
      </c>
      <c r="FC62" s="245">
        <f>CZ62-AY62</f>
        <v>0</v>
      </c>
      <c r="FD62" s="235">
        <f>FE62</f>
        <v>0</v>
      </c>
      <c r="FE62" s="245">
        <f>DA62-AZ62</f>
        <v>0</v>
      </c>
      <c r="FF62" s="235">
        <f>FG62</f>
        <v>0</v>
      </c>
      <c r="FG62" s="245">
        <f>DB62-BA62</f>
        <v>0</v>
      </c>
      <c r="FH62" s="235">
        <f>FI62</f>
        <v>0</v>
      </c>
      <c r="FI62" s="245">
        <f>DC62-BB62</f>
        <v>0</v>
      </c>
      <c r="FJ62" s="235">
        <f>FK62</f>
        <v>0</v>
      </c>
      <c r="FK62" s="245">
        <f>CX62-AW62</f>
        <v>0</v>
      </c>
      <c r="FL62" s="235">
        <f>FM62</f>
        <v>64659</v>
      </c>
      <c r="FM62" s="187">
        <f>DF62-BE62</f>
        <v>64659</v>
      </c>
      <c r="FN62" s="235">
        <f>FO62</f>
        <v>64.659000000000006</v>
      </c>
      <c r="FO62" s="187">
        <f>DH62-BG62</f>
        <v>64.659000000000006</v>
      </c>
      <c r="FP62" s="235">
        <f>FQ62</f>
        <v>64.659000000000006</v>
      </c>
      <c r="FQ62" s="187">
        <f>DJ62-BI62</f>
        <v>64.659000000000006</v>
      </c>
      <c r="FR62" s="245">
        <f>DK62-BJ62</f>
        <v>197.85654000000002</v>
      </c>
      <c r="FS62" s="245">
        <f>DL62-BK62</f>
        <v>-108</v>
      </c>
      <c r="FT62" s="907">
        <f>DM62-BL62</f>
        <v>0</v>
      </c>
      <c r="FU62" s="907">
        <f>DR62-BO62</f>
        <v>0</v>
      </c>
      <c r="FV62" s="907">
        <f>DO62-BM62</f>
        <v>0</v>
      </c>
      <c r="FW62" s="907">
        <f>DQ62-BN62</f>
        <v>0</v>
      </c>
      <c r="FX62" s="907">
        <f>DS62-BP62</f>
        <v>0</v>
      </c>
      <c r="FY62" s="907">
        <f>DT62-BQ62</f>
        <v>0</v>
      </c>
      <c r="FZ62" s="907">
        <f>DU62-BR62</f>
        <v>0</v>
      </c>
      <c r="GA62" s="907">
        <f>DV62-BS62</f>
        <v>37.185000000000002</v>
      </c>
      <c r="GB62" s="894">
        <f>GC62</f>
        <v>37.185000000000002</v>
      </c>
      <c r="GC62" s="776">
        <f t="shared" si="4"/>
        <v>37.185000000000002</v>
      </c>
      <c r="GD62" s="139"/>
      <c r="GE62" s="139"/>
      <c r="GF62" s="139"/>
      <c r="GG62" s="139"/>
      <c r="GH62" s="139"/>
      <c r="GI62" s="139"/>
      <c r="GJ62" s="139"/>
      <c r="GK62" s="139"/>
      <c r="GL62" s="139"/>
      <c r="GM62" s="139"/>
      <c r="GN62" s="139"/>
      <c r="GO62" s="139"/>
      <c r="GP62" s="139"/>
      <c r="GQ62" s="139"/>
      <c r="GR62" s="139"/>
      <c r="GS62" s="139"/>
      <c r="GT62" s="139"/>
    </row>
    <row r="63" spans="1:202" s="139" customFormat="1" ht="18.75">
      <c r="A63" s="2263"/>
      <c r="B63" s="2263"/>
      <c r="C63" s="132"/>
      <c r="D63" s="132"/>
      <c r="E63" s="132"/>
      <c r="F63" s="777"/>
      <c r="G63" s="137"/>
      <c r="H63" s="132"/>
      <c r="I63" s="136"/>
      <c r="J63" s="132"/>
      <c r="K63" s="132"/>
      <c r="L63" s="132"/>
      <c r="M63" s="132"/>
      <c r="N63" s="134"/>
      <c r="O63" s="134"/>
      <c r="P63" s="134"/>
      <c r="Q63" s="134"/>
      <c r="R63" s="137"/>
      <c r="S63" s="778"/>
      <c r="T63" s="634"/>
      <c r="U63" s="102"/>
      <c r="V63" s="634"/>
      <c r="W63" s="102"/>
      <c r="X63" s="102"/>
      <c r="Y63" s="102"/>
      <c r="Z63" s="634"/>
      <c r="AA63" s="102"/>
      <c r="AB63" s="634"/>
      <c r="AC63" s="102"/>
      <c r="AD63" s="634"/>
      <c r="AE63" s="102"/>
      <c r="AF63" s="102"/>
      <c r="AG63" s="102"/>
      <c r="AH63" s="102"/>
      <c r="AI63" s="634"/>
      <c r="AJ63" s="102"/>
      <c r="AK63" s="634"/>
      <c r="AL63" s="102"/>
      <c r="AM63" s="779"/>
      <c r="AN63" s="634"/>
      <c r="AO63" s="102"/>
      <c r="AP63" s="634"/>
      <c r="AQ63" s="102"/>
      <c r="AR63" s="634"/>
      <c r="AS63" s="102"/>
      <c r="AT63" s="634"/>
      <c r="AU63" s="102"/>
      <c r="AV63" s="634"/>
      <c r="AW63" s="102"/>
      <c r="AX63" s="102"/>
      <c r="AY63" s="102"/>
      <c r="AZ63" s="102"/>
      <c r="BA63" s="102"/>
      <c r="BB63" s="102"/>
      <c r="BC63" s="102"/>
      <c r="BD63" s="634"/>
      <c r="BE63" s="102"/>
      <c r="BF63" s="634"/>
      <c r="BG63" s="102"/>
      <c r="BH63" s="634"/>
      <c r="BI63" s="102"/>
      <c r="BJ63" s="122"/>
      <c r="BK63" s="306"/>
      <c r="BL63" s="102"/>
      <c r="BM63" s="102"/>
      <c r="BN63" s="102"/>
      <c r="BO63" s="102"/>
      <c r="BP63" s="102"/>
      <c r="BQ63" s="102"/>
      <c r="BR63" s="102"/>
      <c r="BS63" s="102"/>
      <c r="BT63" s="634"/>
      <c r="BU63" s="102"/>
      <c r="BW63" s="780"/>
      <c r="CA63" s="781"/>
      <c r="CB63" s="2258"/>
      <c r="CC63" s="782"/>
      <c r="CD63" s="782"/>
      <c r="CE63" s="634"/>
      <c r="CF63" s="840"/>
      <c r="CG63" s="634"/>
      <c r="CH63" s="840"/>
      <c r="CI63" s="634"/>
      <c r="CK63" s="634"/>
      <c r="CM63" s="634"/>
      <c r="CN63" s="102"/>
      <c r="CO63" s="784"/>
      <c r="CP63" s="784"/>
      <c r="CQ63" s="634"/>
      <c r="CR63" s="102"/>
      <c r="CS63" s="784"/>
      <c r="CT63" s="784"/>
      <c r="CU63" s="784"/>
      <c r="CV63" s="784"/>
      <c r="CW63" s="634"/>
      <c r="CX63" s="102"/>
      <c r="CY63" s="784"/>
      <c r="CZ63" s="784"/>
      <c r="DA63" s="784"/>
      <c r="DB63" s="784"/>
      <c r="DC63" s="784"/>
      <c r="DD63" s="784"/>
      <c r="DE63" s="634"/>
      <c r="DF63" s="784"/>
      <c r="DG63" s="634"/>
      <c r="DH63" s="296"/>
      <c r="DI63" s="802"/>
      <c r="DJ63" s="785"/>
      <c r="DK63" s="771"/>
      <c r="DL63" s="772"/>
      <c r="DM63" s="787"/>
      <c r="DN63" s="787"/>
      <c r="DO63" s="787"/>
      <c r="DP63" s="787"/>
      <c r="DQ63" s="787"/>
      <c r="DR63" s="787"/>
      <c r="DS63" s="787"/>
      <c r="DT63" s="787"/>
      <c r="DU63" s="787"/>
      <c r="DV63" s="787"/>
      <c r="DW63" s="802"/>
      <c r="DX63" s="788"/>
      <c r="DY63" s="634"/>
      <c r="DZ63" s="2288"/>
      <c r="EA63" s="2231"/>
      <c r="EB63" s="187"/>
      <c r="EC63" s="2232"/>
      <c r="ED63" s="187"/>
      <c r="EE63" s="187"/>
      <c r="EF63" s="2232"/>
      <c r="EG63" s="187"/>
      <c r="EH63" s="2232"/>
      <c r="EI63" s="187"/>
      <c r="EJ63" s="2232"/>
      <c r="EK63" s="187"/>
      <c r="EL63" s="2232"/>
      <c r="EM63" s="195"/>
      <c r="EN63" s="2232"/>
      <c r="EO63" s="195"/>
      <c r="EP63" s="2232"/>
      <c r="EQ63" s="187"/>
      <c r="ER63" s="2232"/>
      <c r="ES63" s="187"/>
      <c r="ET63" s="2232"/>
      <c r="EU63" s="187">
        <f t="shared" si="1"/>
        <v>0</v>
      </c>
      <c r="EV63" s="2232"/>
      <c r="EW63" s="187"/>
      <c r="EX63" s="2232"/>
      <c r="EY63" s="195"/>
      <c r="EZ63" s="2232"/>
      <c r="FA63" s="195"/>
      <c r="FB63" s="2232"/>
      <c r="FC63" s="195"/>
      <c r="FD63" s="2232"/>
      <c r="FE63" s="195"/>
      <c r="FF63" s="2232"/>
      <c r="FG63" s="195"/>
      <c r="FH63" s="2232"/>
      <c r="FI63" s="195"/>
      <c r="FJ63" s="2232"/>
      <c r="FK63" s="195"/>
      <c r="FL63" s="2232"/>
      <c r="FM63" s="187"/>
      <c r="FN63" s="2232"/>
      <c r="FO63" s="187"/>
      <c r="FP63" s="2232"/>
      <c r="FQ63" s="187"/>
      <c r="FR63" s="195"/>
      <c r="FS63" s="245"/>
      <c r="FT63" s="789"/>
      <c r="FU63" s="789"/>
      <c r="FV63" s="789"/>
      <c r="FW63" s="789"/>
      <c r="FX63" s="789"/>
      <c r="FY63" s="789"/>
      <c r="FZ63" s="789"/>
      <c r="GA63" s="789"/>
      <c r="GB63" s="2289"/>
      <c r="GC63" s="776"/>
    </row>
    <row r="64" spans="1:202" s="228" customFormat="1" ht="18.75">
      <c r="A64" s="216"/>
      <c r="B64" s="216">
        <v>21</v>
      </c>
      <c r="C64" s="218" t="s">
        <v>703</v>
      </c>
      <c r="D64" s="218">
        <v>2868</v>
      </c>
      <c r="E64" s="218">
        <v>139</v>
      </c>
      <c r="F64" s="897">
        <v>2028680139</v>
      </c>
      <c r="G64" s="223">
        <v>7751</v>
      </c>
      <c r="H64" s="218" t="s">
        <v>726</v>
      </c>
      <c r="I64" s="222" t="s">
        <v>727</v>
      </c>
      <c r="J64" s="218">
        <v>0.98</v>
      </c>
      <c r="K64" s="218">
        <v>4</v>
      </c>
      <c r="L64" s="218">
        <v>0</v>
      </c>
      <c r="M64" s="218">
        <v>4.8</v>
      </c>
      <c r="N64" s="220">
        <v>7600</v>
      </c>
      <c r="O64" s="220">
        <v>0</v>
      </c>
      <c r="P64" s="220">
        <v>7600</v>
      </c>
      <c r="Q64" s="220">
        <v>7600</v>
      </c>
      <c r="R64" s="223">
        <v>0</v>
      </c>
      <c r="S64" s="898" t="s">
        <v>651</v>
      </c>
      <c r="T64" s="234">
        <f>U64</f>
        <v>0</v>
      </c>
      <c r="U64" s="111">
        <v>0</v>
      </c>
      <c r="V64" s="234">
        <f>W64</f>
        <v>7600</v>
      </c>
      <c r="W64" s="111">
        <f>N64</f>
        <v>7600</v>
      </c>
      <c r="X64" s="111"/>
      <c r="Y64" s="111">
        <f>W64-AA64</f>
        <v>7600</v>
      </c>
      <c r="Z64" s="234">
        <f>AA64</f>
        <v>0</v>
      </c>
      <c r="AA64" s="111">
        <v>0</v>
      </c>
      <c r="AB64" s="234">
        <f>AC64</f>
        <v>0</v>
      </c>
      <c r="AC64" s="111">
        <v>0</v>
      </c>
      <c r="AD64" s="234">
        <f>AE64</f>
        <v>0</v>
      </c>
      <c r="AE64" s="111">
        <f>AG64+AF64</f>
        <v>0</v>
      </c>
      <c r="AF64" s="111">
        <v>0</v>
      </c>
      <c r="AG64" s="111">
        <v>0</v>
      </c>
      <c r="AH64" s="111">
        <v>0</v>
      </c>
      <c r="AI64" s="234">
        <f>AJ64</f>
        <v>0</v>
      </c>
      <c r="AJ64" s="111">
        <v>0</v>
      </c>
      <c r="AK64" s="234">
        <f>AL64</f>
        <v>0</v>
      </c>
      <c r="AL64" s="111">
        <f>W64-(AA64+AC64+AE64+AH64+AJ64+AM64+AW64+AO64+AQ64+AS64+AU64)</f>
        <v>0</v>
      </c>
      <c r="AM64" s="899">
        <v>0</v>
      </c>
      <c r="AN64" s="234">
        <f>AO64</f>
        <v>0</v>
      </c>
      <c r="AO64" s="111">
        <v>0</v>
      </c>
      <c r="AP64" s="234">
        <f>AQ64</f>
        <v>0</v>
      </c>
      <c r="AQ64" s="111">
        <v>0</v>
      </c>
      <c r="AR64" s="234">
        <f>AS64</f>
        <v>0</v>
      </c>
      <c r="AS64" s="111">
        <v>0</v>
      </c>
      <c r="AT64" s="234">
        <f>AU64</f>
        <v>0</v>
      </c>
      <c r="AU64" s="111">
        <v>0</v>
      </c>
      <c r="AV64" s="234">
        <f>AW64</f>
        <v>7600</v>
      </c>
      <c r="AW64" s="111">
        <f>AX64+AY64+AZ64+BA64+BB64</f>
        <v>7600</v>
      </c>
      <c r="AX64" s="111">
        <f>W64</f>
        <v>7600</v>
      </c>
      <c r="AY64" s="111">
        <v>0</v>
      </c>
      <c r="AZ64" s="111">
        <v>0</v>
      </c>
      <c r="BA64" s="111">
        <v>0</v>
      </c>
      <c r="BB64" s="111">
        <v>0</v>
      </c>
      <c r="BC64" s="111">
        <v>0</v>
      </c>
      <c r="BD64" s="234">
        <f>BE64</f>
        <v>7600</v>
      </c>
      <c r="BE64" s="111">
        <f>U64+W64</f>
        <v>7600</v>
      </c>
      <c r="BF64" s="234">
        <f>BG64</f>
        <v>0</v>
      </c>
      <c r="BG64" s="111">
        <f>U64/1000</f>
        <v>0</v>
      </c>
      <c r="BH64" s="234">
        <f>BI64</f>
        <v>0</v>
      </c>
      <c r="BI64" s="111">
        <v>0</v>
      </c>
      <c r="BJ64" s="122">
        <f t="shared" si="13"/>
        <v>0</v>
      </c>
      <c r="BK64" s="306">
        <f>ROUND((Y64+AC64+AA64)/1000*3,0)+ROUND((AE64+AU64)/1000,0)+ROUND((ROUND(AH64/400,0))/2.67,0)+ROUND(AM64/250,0)+ROUND(AO64/15000,0)+ROUND((AX64+AY64+AZ64+BB64)/1000*3,0)+ROUND(BG64/25,0)+ROUND(BU294/50,0)</f>
        <v>46</v>
      </c>
      <c r="BL64" s="111">
        <v>0</v>
      </c>
      <c r="BM64" s="111">
        <v>0</v>
      </c>
      <c r="BN64" s="111">
        <v>0</v>
      </c>
      <c r="BO64" s="111">
        <f>AC64/1000</f>
        <v>0</v>
      </c>
      <c r="BP64" s="111">
        <f>AH64/1000</f>
        <v>0</v>
      </c>
      <c r="BQ64" s="111">
        <v>0</v>
      </c>
      <c r="BR64" s="111">
        <v>0</v>
      </c>
      <c r="BS64" s="111">
        <v>0</v>
      </c>
      <c r="BT64" s="234">
        <f>BU64</f>
        <v>0</v>
      </c>
      <c r="BU64" s="111">
        <f>SUM(BL64:BS64)</f>
        <v>0</v>
      </c>
      <c r="BV64" s="228">
        <v>15</v>
      </c>
      <c r="BW64" s="900" t="s">
        <v>729</v>
      </c>
      <c r="BX64" s="228">
        <v>7.2</v>
      </c>
      <c r="BY64" s="228">
        <v>3.4</v>
      </c>
      <c r="BZ64" s="228">
        <v>6.5</v>
      </c>
      <c r="CA64" s="901"/>
      <c r="CB64" s="230" t="s">
        <v>732</v>
      </c>
      <c r="CC64" s="399">
        <f>(BX64*G64)-CF64</f>
        <v>48207.200000000004</v>
      </c>
      <c r="CD64" s="399">
        <v>48207.200000000004</v>
      </c>
      <c r="CE64" s="234">
        <f>CF64</f>
        <v>7600</v>
      </c>
      <c r="CF64" s="902">
        <f>CX64</f>
        <v>7600</v>
      </c>
      <c r="CG64" s="234">
        <f>CH64</f>
        <v>7600</v>
      </c>
      <c r="CH64" s="902">
        <f>CF64-CJ64</f>
        <v>7600</v>
      </c>
      <c r="CI64" s="234">
        <f>CJ64</f>
        <v>0</v>
      </c>
      <c r="CJ64" s="228">
        <v>0</v>
      </c>
      <c r="CK64" s="234">
        <f>CL64</f>
        <v>0</v>
      </c>
      <c r="CL64" s="228">
        <v>0</v>
      </c>
      <c r="CM64" s="234">
        <f>CN64</f>
        <v>0</v>
      </c>
      <c r="CN64" s="111">
        <f>CF64-(CJ64+CL64+CO64+CP64+CR64+CU64+CV64+CX64)</f>
        <v>0</v>
      </c>
      <c r="CO64" s="903">
        <v>0</v>
      </c>
      <c r="CP64" s="903">
        <v>0</v>
      </c>
      <c r="CQ64" s="234">
        <f>CR64</f>
        <v>0</v>
      </c>
      <c r="CR64" s="111">
        <v>0</v>
      </c>
      <c r="CS64" s="903">
        <v>0</v>
      </c>
      <c r="CT64" s="903">
        <v>0</v>
      </c>
      <c r="CU64" s="903">
        <v>0</v>
      </c>
      <c r="CV64" s="903">
        <v>0</v>
      </c>
      <c r="CW64" s="234">
        <f>CX64</f>
        <v>7600</v>
      </c>
      <c r="CX64" s="111">
        <f>SUM(CY64:DC64)</f>
        <v>7600</v>
      </c>
      <c r="CY64" s="903">
        <f>AX64</f>
        <v>7600</v>
      </c>
      <c r="CZ64" s="903">
        <f>AY64</f>
        <v>0</v>
      </c>
      <c r="DA64" s="903">
        <f>AZ64</f>
        <v>0</v>
      </c>
      <c r="DB64" s="903">
        <f>BA64</f>
        <v>0</v>
      </c>
      <c r="DC64" s="903">
        <f>BB64</f>
        <v>0</v>
      </c>
      <c r="DD64" s="903"/>
      <c r="DE64" s="234">
        <f>DF64</f>
        <v>55807.200000000004</v>
      </c>
      <c r="DF64" s="903">
        <f>CC64+CF64</f>
        <v>55807.200000000004</v>
      </c>
      <c r="DG64" s="234">
        <f>DH64</f>
        <v>48.207200000000007</v>
      </c>
      <c r="DH64" s="904">
        <f>CC64/'[1]Projected Development Sites'!DF$134</f>
        <v>48.207200000000007</v>
      </c>
      <c r="DI64" s="886">
        <f>DJ64</f>
        <v>48.207200000000007</v>
      </c>
      <c r="DJ64" s="803">
        <f>'[1]Projected Development Sites'!DK$136*DH64</f>
        <v>48.207200000000007</v>
      </c>
      <c r="DK64" s="771">
        <f>3.06*DH64</f>
        <v>147.51403200000001</v>
      </c>
      <c r="DL64" s="772">
        <f>ROUND((CN64+CL64+CJ64)/1000*3,0)+ROUND((ROUND(CP64/400,0))/2.67,0)+ROUND(CV64/1000,0)+ROUND((CY64+CZ64+DA64+DC64)/1000*3,0)+ROUND(DH64/25,0)+ROUND(DX64/50,0)</f>
        <v>25</v>
      </c>
      <c r="DM64" s="905">
        <v>0</v>
      </c>
      <c r="DN64" s="905"/>
      <c r="DO64" s="905">
        <v>0</v>
      </c>
      <c r="DP64" s="905">
        <f>0.25*DJ64</f>
        <v>12.051800000000002</v>
      </c>
      <c r="DQ64" s="905">
        <f>SUM(CO64,CJ64,CN64,CR64,CU64)/1000</f>
        <v>0</v>
      </c>
      <c r="DR64" s="905">
        <f>CL64/1000</f>
        <v>0</v>
      </c>
      <c r="DS64" s="905">
        <f>((CP64/400)/12)</f>
        <v>0</v>
      </c>
      <c r="DT64" s="905">
        <v>0</v>
      </c>
      <c r="DU64" s="905">
        <v>0</v>
      </c>
      <c r="DV64" s="905">
        <f>CX64/1000</f>
        <v>7.6</v>
      </c>
      <c r="DW64" s="886">
        <f>DX64</f>
        <v>7.6</v>
      </c>
      <c r="DX64" s="906">
        <f>SUM(DM64,DO64,DQ64:DV64)</f>
        <v>7.6</v>
      </c>
      <c r="DY64" s="837">
        <v>145</v>
      </c>
      <c r="DZ64" s="2288">
        <f>CD64-T64</f>
        <v>48207.200000000004</v>
      </c>
      <c r="EA64" s="2231">
        <f>CE64-V64</f>
        <v>0</v>
      </c>
      <c r="EB64" s="187">
        <f>CF64-W64</f>
        <v>0</v>
      </c>
      <c r="EC64" s="235">
        <f>ED64</f>
        <v>0</v>
      </c>
      <c r="ED64" s="187">
        <v>0</v>
      </c>
      <c r="EE64" s="187">
        <f>(SUM(CJ64:CO64))-(SUM(AA64:AE64,AL64))</f>
        <v>0</v>
      </c>
      <c r="EF64" s="235">
        <f>EG64</f>
        <v>0</v>
      </c>
      <c r="EG64" s="245">
        <v>0</v>
      </c>
      <c r="EH64" s="235">
        <f>EI64</f>
        <v>0</v>
      </c>
      <c r="EI64" s="187">
        <f>CL64-AC64</f>
        <v>0</v>
      </c>
      <c r="EJ64" s="235">
        <f>EK64</f>
        <v>0</v>
      </c>
      <c r="EK64" s="187">
        <f>CJ64-AA64</f>
        <v>0</v>
      </c>
      <c r="EL64" s="235">
        <f>EM64</f>
        <v>0</v>
      </c>
      <c r="EM64" s="245">
        <f>CO64-AE64</f>
        <v>0</v>
      </c>
      <c r="EN64" s="235">
        <f>EO64</f>
        <v>0</v>
      </c>
      <c r="EO64" s="245">
        <f>CP64-AH64</f>
        <v>0</v>
      </c>
      <c r="EP64" s="235">
        <f>EQ64</f>
        <v>0</v>
      </c>
      <c r="EQ64" s="187">
        <f>CR64-AJ64</f>
        <v>0</v>
      </c>
      <c r="ER64" s="235">
        <f>ES64</f>
        <v>0</v>
      </c>
      <c r="ES64" s="187">
        <f>CS64-AO64</f>
        <v>0</v>
      </c>
      <c r="ET64" s="235">
        <f>EU64</f>
        <v>0</v>
      </c>
      <c r="EU64" s="187">
        <f t="shared" si="1"/>
        <v>0</v>
      </c>
      <c r="EV64" s="235">
        <f>EW64</f>
        <v>0</v>
      </c>
      <c r="EW64" s="187">
        <f>CU64-AS64</f>
        <v>0</v>
      </c>
      <c r="EX64" s="235">
        <f>EY64</f>
        <v>0</v>
      </c>
      <c r="EY64" s="245">
        <f>CV64-AU64</f>
        <v>0</v>
      </c>
      <c r="EZ64" s="235">
        <f>FA64</f>
        <v>0</v>
      </c>
      <c r="FA64" s="245">
        <f>CY64-AX64</f>
        <v>0</v>
      </c>
      <c r="FB64" s="235">
        <f>FC64</f>
        <v>0</v>
      </c>
      <c r="FC64" s="245">
        <f>CZ64-AY64</f>
        <v>0</v>
      </c>
      <c r="FD64" s="235">
        <f>FE64</f>
        <v>0</v>
      </c>
      <c r="FE64" s="245">
        <f>DA64-AZ64</f>
        <v>0</v>
      </c>
      <c r="FF64" s="235">
        <f>FG64</f>
        <v>0</v>
      </c>
      <c r="FG64" s="245">
        <f>DB64-BA64</f>
        <v>0</v>
      </c>
      <c r="FH64" s="235">
        <f>FI64</f>
        <v>0</v>
      </c>
      <c r="FI64" s="245">
        <f>DC64-BB64</f>
        <v>0</v>
      </c>
      <c r="FJ64" s="235">
        <f>FK64</f>
        <v>0</v>
      </c>
      <c r="FK64" s="245">
        <f>CX64-AW64</f>
        <v>0</v>
      </c>
      <c r="FL64" s="235">
        <f>FM64</f>
        <v>48207.200000000004</v>
      </c>
      <c r="FM64" s="187">
        <f>DF64-BE64</f>
        <v>48207.200000000004</v>
      </c>
      <c r="FN64" s="235">
        <f>FO64</f>
        <v>48.207200000000007</v>
      </c>
      <c r="FO64" s="187">
        <f>DH64-BG64</f>
        <v>48.207200000000007</v>
      </c>
      <c r="FP64" s="235">
        <f>FQ64</f>
        <v>48.207200000000007</v>
      </c>
      <c r="FQ64" s="187">
        <f>DJ64-BI64</f>
        <v>48.207200000000007</v>
      </c>
      <c r="FR64" s="245">
        <f>DK64-BJ64</f>
        <v>147.51403200000001</v>
      </c>
      <c r="FS64" s="245">
        <f>DL64-BK64</f>
        <v>-21</v>
      </c>
      <c r="FT64" s="907">
        <f>DM64-BL64</f>
        <v>0</v>
      </c>
      <c r="FU64" s="907">
        <f>DR64-BO64</f>
        <v>0</v>
      </c>
      <c r="FV64" s="907">
        <f>DO64-BM64</f>
        <v>0</v>
      </c>
      <c r="FW64" s="907">
        <f>DQ64-BN64</f>
        <v>0</v>
      </c>
      <c r="FX64" s="907">
        <f>DS64-BP64</f>
        <v>0</v>
      </c>
      <c r="FY64" s="907">
        <f>DT64-BQ64</f>
        <v>0</v>
      </c>
      <c r="FZ64" s="907">
        <f>DU64-BR64</f>
        <v>0</v>
      </c>
      <c r="GA64" s="907">
        <f>DV64-BS64</f>
        <v>7.6</v>
      </c>
      <c r="GB64" s="894">
        <f>GC64</f>
        <v>7.6</v>
      </c>
      <c r="GC64" s="776">
        <f t="shared" si="4"/>
        <v>7.6</v>
      </c>
      <c r="GD64" s="139"/>
      <c r="GE64" s="139"/>
      <c r="GF64" s="139"/>
      <c r="GG64" s="139"/>
      <c r="GH64" s="139"/>
      <c r="GI64" s="139"/>
      <c r="GJ64" s="139"/>
      <c r="GK64" s="139"/>
      <c r="GL64" s="139"/>
      <c r="GM64" s="139"/>
      <c r="GN64" s="139"/>
      <c r="GO64" s="139"/>
      <c r="GP64" s="139"/>
      <c r="GQ64" s="139"/>
      <c r="GR64" s="139"/>
      <c r="GS64" s="139"/>
      <c r="GT64" s="139"/>
    </row>
    <row r="65" spans="1:202" s="139" customFormat="1" ht="18.75">
      <c r="A65" s="2263"/>
      <c r="B65" s="2263"/>
      <c r="C65" s="132"/>
      <c r="D65" s="132"/>
      <c r="E65" s="132"/>
      <c r="F65" s="777"/>
      <c r="G65" s="137"/>
      <c r="H65" s="132"/>
      <c r="I65" s="136"/>
      <c r="J65" s="132"/>
      <c r="K65" s="132"/>
      <c r="L65" s="132"/>
      <c r="M65" s="132"/>
      <c r="N65" s="134"/>
      <c r="O65" s="134"/>
      <c r="P65" s="134"/>
      <c r="Q65" s="134"/>
      <c r="R65" s="137"/>
      <c r="S65" s="778"/>
      <c r="T65" s="634"/>
      <c r="U65" s="102"/>
      <c r="V65" s="634"/>
      <c r="W65" s="102"/>
      <c r="X65" s="102"/>
      <c r="Y65" s="102"/>
      <c r="Z65" s="634"/>
      <c r="AA65" s="102"/>
      <c r="AB65" s="634"/>
      <c r="AC65" s="102"/>
      <c r="AD65" s="634"/>
      <c r="AE65" s="102"/>
      <c r="AF65" s="102"/>
      <c r="AG65" s="102"/>
      <c r="AH65" s="102"/>
      <c r="AI65" s="634"/>
      <c r="AJ65" s="102"/>
      <c r="AK65" s="634"/>
      <c r="AL65" s="102"/>
      <c r="AM65" s="779"/>
      <c r="AN65" s="634"/>
      <c r="AO65" s="102"/>
      <c r="AP65" s="634"/>
      <c r="AQ65" s="102"/>
      <c r="AR65" s="634"/>
      <c r="AS65" s="102"/>
      <c r="AT65" s="634"/>
      <c r="AU65" s="102"/>
      <c r="AV65" s="634"/>
      <c r="AW65" s="102"/>
      <c r="AX65" s="102"/>
      <c r="AY65" s="102"/>
      <c r="AZ65" s="102"/>
      <c r="BA65" s="102"/>
      <c r="BB65" s="102"/>
      <c r="BC65" s="102"/>
      <c r="BD65" s="634"/>
      <c r="BE65" s="102"/>
      <c r="BF65" s="634"/>
      <c r="BG65" s="102"/>
      <c r="BH65" s="634"/>
      <c r="BI65" s="102"/>
      <c r="BJ65" s="122"/>
      <c r="BK65" s="306"/>
      <c r="BL65" s="102"/>
      <c r="BM65" s="102"/>
      <c r="BN65" s="102"/>
      <c r="BO65" s="102"/>
      <c r="BP65" s="102"/>
      <c r="BQ65" s="102"/>
      <c r="BR65" s="102"/>
      <c r="BS65" s="102"/>
      <c r="BT65" s="634"/>
      <c r="BU65" s="102"/>
      <c r="BW65" s="780"/>
      <c r="CA65" s="781"/>
      <c r="CB65" s="2258"/>
      <c r="CC65" s="782"/>
      <c r="CD65" s="782"/>
      <c r="CE65" s="634"/>
      <c r="CF65" s="783"/>
      <c r="CG65" s="634"/>
      <c r="CH65" s="783"/>
      <c r="CI65" s="634"/>
      <c r="CK65" s="634"/>
      <c r="CM65" s="634"/>
      <c r="CN65" s="784"/>
      <c r="CO65" s="784"/>
      <c r="CP65" s="784"/>
      <c r="CQ65" s="634"/>
      <c r="CR65" s="102"/>
      <c r="CS65" s="784"/>
      <c r="CT65" s="784"/>
      <c r="CU65" s="784"/>
      <c r="CV65" s="784"/>
      <c r="CW65" s="634"/>
      <c r="CX65" s="102"/>
      <c r="CY65" s="784"/>
      <c r="CZ65" s="784"/>
      <c r="DA65" s="784"/>
      <c r="DB65" s="784"/>
      <c r="DC65" s="784"/>
      <c r="DD65" s="784"/>
      <c r="DE65" s="634"/>
      <c r="DF65" s="784"/>
      <c r="DG65" s="634"/>
      <c r="DH65" s="296"/>
      <c r="DI65" s="802"/>
      <c r="DJ65" s="785"/>
      <c r="DK65" s="771"/>
      <c r="DL65" s="772"/>
      <c r="DM65" s="787"/>
      <c r="DN65" s="787"/>
      <c r="DO65" s="787"/>
      <c r="DP65" s="787"/>
      <c r="DQ65" s="787"/>
      <c r="DR65" s="787"/>
      <c r="DS65" s="787"/>
      <c r="DT65" s="787"/>
      <c r="DU65" s="787"/>
      <c r="DV65" s="787"/>
      <c r="DW65" s="802"/>
      <c r="DX65" s="788"/>
      <c r="DY65" s="634"/>
      <c r="DZ65" s="2288"/>
      <c r="EA65" s="2231"/>
      <c r="EB65" s="187"/>
      <c r="EC65" s="2232"/>
      <c r="ED65" s="187"/>
      <c r="EE65" s="187"/>
      <c r="EF65" s="2232"/>
      <c r="EG65" s="245"/>
      <c r="EH65" s="2232"/>
      <c r="EI65" s="187"/>
      <c r="EJ65" s="2232"/>
      <c r="EK65" s="187"/>
      <c r="EL65" s="2232"/>
      <c r="EM65" s="195"/>
      <c r="EN65" s="2232"/>
      <c r="EO65" s="195"/>
      <c r="EP65" s="2232"/>
      <c r="EQ65" s="187"/>
      <c r="ER65" s="2232"/>
      <c r="ES65" s="187"/>
      <c r="ET65" s="2232"/>
      <c r="EU65" s="187">
        <f t="shared" si="1"/>
        <v>0</v>
      </c>
      <c r="EV65" s="2232"/>
      <c r="EW65" s="187"/>
      <c r="EX65" s="2232"/>
      <c r="EY65" s="195"/>
      <c r="EZ65" s="2232"/>
      <c r="FA65" s="195"/>
      <c r="FB65" s="2232"/>
      <c r="FC65" s="195"/>
      <c r="FD65" s="2232"/>
      <c r="FE65" s="195"/>
      <c r="FF65" s="2232"/>
      <c r="FG65" s="195"/>
      <c r="FH65" s="2232"/>
      <c r="FI65" s="195"/>
      <c r="FJ65" s="2232"/>
      <c r="FK65" s="195"/>
      <c r="FL65" s="2232"/>
      <c r="FM65" s="187"/>
      <c r="FN65" s="2232"/>
      <c r="FO65" s="187"/>
      <c r="FP65" s="2232"/>
      <c r="FQ65" s="187"/>
      <c r="FR65" s="195"/>
      <c r="FS65" s="245"/>
      <c r="FT65" s="789"/>
      <c r="FU65" s="789"/>
      <c r="FV65" s="789"/>
      <c r="FW65" s="789"/>
      <c r="FX65" s="789"/>
      <c r="FY65" s="789"/>
      <c r="FZ65" s="789"/>
      <c r="GA65" s="789"/>
      <c r="GB65" s="2286"/>
      <c r="GC65" s="776"/>
    </row>
    <row r="66" spans="1:202" s="127" customFormat="1" ht="15" customHeight="1">
      <c r="A66" s="2588"/>
      <c r="B66" s="2588">
        <v>22</v>
      </c>
      <c r="C66" s="115" t="s">
        <v>703</v>
      </c>
      <c r="D66" s="115">
        <v>2869</v>
      </c>
      <c r="E66" s="115">
        <v>130</v>
      </c>
      <c r="F66" s="763">
        <v>2028690130</v>
      </c>
      <c r="G66" s="120">
        <v>7285</v>
      </c>
      <c r="H66" s="115" t="s">
        <v>726</v>
      </c>
      <c r="I66" s="119" t="s">
        <v>727</v>
      </c>
      <c r="J66" s="115">
        <v>0.86</v>
      </c>
      <c r="K66" s="115">
        <v>4</v>
      </c>
      <c r="L66" s="115">
        <v>0</v>
      </c>
      <c r="M66" s="115">
        <v>4.8</v>
      </c>
      <c r="N66" s="117">
        <v>6258</v>
      </c>
      <c r="O66" s="117">
        <v>0</v>
      </c>
      <c r="P66" s="117">
        <v>0</v>
      </c>
      <c r="Q66" s="117">
        <v>6258</v>
      </c>
      <c r="R66" s="120">
        <v>0</v>
      </c>
      <c r="S66" s="764" t="s">
        <v>637</v>
      </c>
      <c r="T66" s="2600">
        <f>SUM(U66:U67)</f>
        <v>0</v>
      </c>
      <c r="U66" s="122">
        <v>0</v>
      </c>
      <c r="V66" s="2600">
        <f>SUM(W66:W67)</f>
        <v>12658</v>
      </c>
      <c r="W66" s="122">
        <f>N66</f>
        <v>6258</v>
      </c>
      <c r="X66" s="122"/>
      <c r="Y66" s="122">
        <f>W66-AA66</f>
        <v>6258</v>
      </c>
      <c r="Z66" s="2600">
        <f>SUM(AA66:AA67)</f>
        <v>0</v>
      </c>
      <c r="AA66" s="122">
        <v>0</v>
      </c>
      <c r="AB66" s="2600">
        <f>SUM(AC66:AC67)</f>
        <v>1600</v>
      </c>
      <c r="AC66" s="122">
        <v>0</v>
      </c>
      <c r="AD66" s="2600">
        <f>SUM(AE66:AE67)</f>
        <v>0</v>
      </c>
      <c r="AE66" s="122">
        <f>AG66+AF66</f>
        <v>0</v>
      </c>
      <c r="AF66" s="122">
        <v>0</v>
      </c>
      <c r="AG66" s="122">
        <v>0</v>
      </c>
      <c r="AH66" s="122">
        <v>0</v>
      </c>
      <c r="AI66" s="2600">
        <f>SUM(AJ66:AJ67)</f>
        <v>0</v>
      </c>
      <c r="AJ66" s="122">
        <v>0</v>
      </c>
      <c r="AK66" s="2600">
        <f>SUM(AL66:AL67)</f>
        <v>11058</v>
      </c>
      <c r="AL66" s="122">
        <f>W66-(AA66+AC66+AE66+AH66+AJ66+AM66+AW66+AO66+AQ66+AS66+AU66)</f>
        <v>6258</v>
      </c>
      <c r="AM66" s="765">
        <v>0</v>
      </c>
      <c r="AN66" s="2600">
        <f>SUM(AO66:AO67)</f>
        <v>0</v>
      </c>
      <c r="AO66" s="122">
        <v>0</v>
      </c>
      <c r="AP66" s="2600">
        <f>SUM(AQ66:AQ67)</f>
        <v>0</v>
      </c>
      <c r="AQ66" s="122">
        <v>0</v>
      </c>
      <c r="AR66" s="2600">
        <f>SUM(AS66:AS67)</f>
        <v>0</v>
      </c>
      <c r="AS66" s="122">
        <v>0</v>
      </c>
      <c r="AT66" s="2600">
        <f>SUM(AU66:AU67)</f>
        <v>0</v>
      </c>
      <c r="AU66" s="122">
        <v>0</v>
      </c>
      <c r="AV66" s="2600">
        <f>SUM(AW66:AW67)</f>
        <v>0</v>
      </c>
      <c r="AW66" s="122">
        <f>AX66+AY66+AZ66+BA66+BB66</f>
        <v>0</v>
      </c>
      <c r="AX66" s="122">
        <v>0</v>
      </c>
      <c r="AY66" s="122">
        <v>0</v>
      </c>
      <c r="AZ66" s="122">
        <v>0</v>
      </c>
      <c r="BA66" s="122">
        <v>0</v>
      </c>
      <c r="BB66" s="122">
        <v>0</v>
      </c>
      <c r="BC66" s="122">
        <v>0</v>
      </c>
      <c r="BD66" s="2600">
        <f>SUM(BE66:BE67)</f>
        <v>12658</v>
      </c>
      <c r="BE66" s="122">
        <f>U66+W66</f>
        <v>6258</v>
      </c>
      <c r="BF66" s="2600">
        <f>SUM(BG66:BG67)</f>
        <v>0</v>
      </c>
      <c r="BG66" s="122">
        <f>U66/1000</f>
        <v>0</v>
      </c>
      <c r="BH66" s="2600">
        <f>SUM(BI66:BI67)</f>
        <v>0</v>
      </c>
      <c r="BI66" s="122">
        <v>0</v>
      </c>
      <c r="BJ66" s="122">
        <f t="shared" si="13"/>
        <v>0</v>
      </c>
      <c r="BK66" s="129">
        <f>ROUND((Y66+AC66+AA66)/1000*3,0)+ROUND((AE66+AU66)/1000,0)+ROUND((ROUND(AH66/400,0))/2.67,0)+ROUND(AM66/250,0)+ROUND(AO66/15000,0)+ROUND((AX66+AY66+AZ66+BB66)/1000*3,0)+ROUND(BG66/25,0)+ROUND(BU281/50,0)</f>
        <v>19</v>
      </c>
      <c r="BL66" s="122">
        <v>0</v>
      </c>
      <c r="BM66" s="122">
        <v>0</v>
      </c>
      <c r="BN66" s="122">
        <v>0</v>
      </c>
      <c r="BO66" s="122">
        <f>AC66/1000</f>
        <v>0</v>
      </c>
      <c r="BP66" s="122">
        <f>AH66/1000</f>
        <v>0</v>
      </c>
      <c r="BQ66" s="122">
        <v>0</v>
      </c>
      <c r="BR66" s="122">
        <v>0</v>
      </c>
      <c r="BS66" s="122">
        <v>0</v>
      </c>
      <c r="BT66" s="2600">
        <f>SUM(BU66:BU67)</f>
        <v>0</v>
      </c>
      <c r="BU66" s="122">
        <f>SUM(BL66:BS66)</f>
        <v>0</v>
      </c>
      <c r="BV66" s="127">
        <v>15</v>
      </c>
      <c r="BW66" s="766" t="s">
        <v>729</v>
      </c>
      <c r="BX66" s="127">
        <v>7.2</v>
      </c>
      <c r="BY66" s="127">
        <v>3.4</v>
      </c>
      <c r="BZ66" s="127">
        <v>6.5</v>
      </c>
      <c r="CA66" s="767"/>
      <c r="CB66" s="2596" t="s">
        <v>716</v>
      </c>
      <c r="CC66" s="768">
        <f>(BX66*G66)-CF66</f>
        <v>46259.75</v>
      </c>
      <c r="CD66" s="2731">
        <f>SUM(CC66:CC67)</f>
        <v>88169.75</v>
      </c>
      <c r="CE66" s="2600">
        <f>SUM(CF66:CF67)</f>
        <v>11802.25</v>
      </c>
      <c r="CF66" s="769">
        <f>1*(G66)-(0.15*1*(G66))</f>
        <v>6192.25</v>
      </c>
      <c r="CG66" s="2600">
        <f>SUM(CH66:CH67)</f>
        <v>11802.25</v>
      </c>
      <c r="CH66" s="769">
        <f>CF66-CJ66</f>
        <v>6192.25</v>
      </c>
      <c r="CI66" s="2600">
        <f>SUM(CJ66:CJ67)</f>
        <v>0</v>
      </c>
      <c r="CJ66" s="127">
        <v>0</v>
      </c>
      <c r="CK66" s="2600">
        <f>SUM(CL66:CL67)</f>
        <v>0</v>
      </c>
      <c r="CL66" s="127">
        <v>0</v>
      </c>
      <c r="CM66" s="2600">
        <f>SUM(CN66:CN67)</f>
        <v>11802.25</v>
      </c>
      <c r="CN66" s="770">
        <f>CF66-(CJ66+CL66+CO66+CP66+CR66+CU66+CV66+CX66)</f>
        <v>6192.25</v>
      </c>
      <c r="CO66" s="770">
        <v>0</v>
      </c>
      <c r="CP66" s="770">
        <v>0</v>
      </c>
      <c r="CQ66" s="2600">
        <f>SUM(CR66:CR67)</f>
        <v>0</v>
      </c>
      <c r="CR66" s="122">
        <v>0</v>
      </c>
      <c r="CS66" s="770">
        <v>0</v>
      </c>
      <c r="CT66" s="770">
        <v>0</v>
      </c>
      <c r="CU66" s="770">
        <v>0</v>
      </c>
      <c r="CV66" s="770">
        <v>0</v>
      </c>
      <c r="CW66" s="2600">
        <f>SUM(CX66:CX67)</f>
        <v>0</v>
      </c>
      <c r="CX66" s="122">
        <f>SUM(CY66:DC66)</f>
        <v>0</v>
      </c>
      <c r="CY66" s="770">
        <f t="shared" ref="CY66:DC67" si="29">AX66</f>
        <v>0</v>
      </c>
      <c r="CZ66" s="770">
        <f t="shared" si="29"/>
        <v>0</v>
      </c>
      <c r="DA66" s="770">
        <f t="shared" si="29"/>
        <v>0</v>
      </c>
      <c r="DB66" s="770">
        <f t="shared" si="29"/>
        <v>0</v>
      </c>
      <c r="DC66" s="770">
        <f t="shared" si="29"/>
        <v>0</v>
      </c>
      <c r="DD66" s="770"/>
      <c r="DE66" s="2600">
        <f>SUM(DF66:DF67)</f>
        <v>99972</v>
      </c>
      <c r="DF66" s="122">
        <f>CC66+CF66</f>
        <v>52452</v>
      </c>
      <c r="DG66" s="2600">
        <f>SUM(DH66:DH67)</f>
        <v>88.169749999999993</v>
      </c>
      <c r="DH66" s="293">
        <f>CC66/'[1]Projected Development Sites'!DF$134</f>
        <v>46.259749999999997</v>
      </c>
      <c r="DI66" s="2722">
        <f>SUM(DJ66:DJ67)</f>
        <v>88.169749999999993</v>
      </c>
      <c r="DJ66" s="771">
        <f>'[1]Projected Development Sites'!DK$136*DH66</f>
        <v>46.259749999999997</v>
      </c>
      <c r="DK66" s="771">
        <f>3.06*DH66</f>
        <v>141.554835</v>
      </c>
      <c r="DL66" s="772">
        <f>ROUND((CN66+CL66+CJ66)/1000*3,0)+ROUND((ROUND(CP66/400,0))/2.67,0)+ROUND(CV66/1000,0)+ROUND((CY66+CZ66+DA66+DC66)/1000*3,0)+ROUND(DH66/25,0)+ROUND(DX66/50,0)</f>
        <v>21</v>
      </c>
      <c r="DM66" s="773">
        <v>0</v>
      </c>
      <c r="DN66" s="773"/>
      <c r="DO66" s="773">
        <v>0</v>
      </c>
      <c r="DP66" s="773">
        <f>0.25*DJ66</f>
        <v>11.564937499999999</v>
      </c>
      <c r="DQ66" s="773">
        <f>SUM(CO66,CJ66,CN66,CR66,CU66)/1000</f>
        <v>6.1922499999999996</v>
      </c>
      <c r="DR66" s="773">
        <f>CL66/1000</f>
        <v>0</v>
      </c>
      <c r="DS66" s="773">
        <f>((CP66/400)/12)</f>
        <v>0</v>
      </c>
      <c r="DT66" s="773">
        <v>0</v>
      </c>
      <c r="DU66" s="773">
        <v>0</v>
      </c>
      <c r="DV66" s="773">
        <f>CX66/1000</f>
        <v>0</v>
      </c>
      <c r="DW66" s="2722">
        <f>SUM(DX66:DX67)</f>
        <v>11.802250000000001</v>
      </c>
      <c r="DX66" s="774">
        <f>SUM(DM66,DO66,DQ66:DV66)</f>
        <v>6.1922499999999996</v>
      </c>
      <c r="DY66" s="2725">
        <v>145</v>
      </c>
      <c r="DZ66" s="2728">
        <f>CD66-T66</f>
        <v>88169.75</v>
      </c>
      <c r="EA66" s="2602">
        <f>CE66-V66</f>
        <v>-855.75</v>
      </c>
      <c r="EB66" s="187">
        <f>CF66-W66</f>
        <v>-65.75</v>
      </c>
      <c r="EC66" s="2602">
        <f>SUM(ED66:ED67)</f>
        <v>-855.75</v>
      </c>
      <c r="ED66" s="187">
        <v>-65.75</v>
      </c>
      <c r="EE66" s="187">
        <f>(SUM(CJ66:CO66))-(SUM(AA66:AE66,AL66))</f>
        <v>10136.5</v>
      </c>
      <c r="EF66" s="2602">
        <f>SUM(EG66:EG67)</f>
        <v>744.25</v>
      </c>
      <c r="EG66" s="187">
        <v>-65.75</v>
      </c>
      <c r="EH66" s="2602">
        <f>SUM(EI66:EI67)</f>
        <v>-1600</v>
      </c>
      <c r="EI66" s="187">
        <f>CL66-AC66</f>
        <v>0</v>
      </c>
      <c r="EJ66" s="2602">
        <f>SUM(EK66:EK67)</f>
        <v>0</v>
      </c>
      <c r="EK66" s="187">
        <f>CJ66-AA66</f>
        <v>0</v>
      </c>
      <c r="EL66" s="2602">
        <f>SUM(EM66:EM67)</f>
        <v>0</v>
      </c>
      <c r="EM66" s="187">
        <f>CO66-AE66</f>
        <v>0</v>
      </c>
      <c r="EN66" s="2602">
        <f>SUM(EO66:EO67)</f>
        <v>0</v>
      </c>
      <c r="EO66" s="187">
        <f>CP66-AH66</f>
        <v>0</v>
      </c>
      <c r="EP66" s="2602">
        <f>SUM(EQ66:EQ67)</f>
        <v>0</v>
      </c>
      <c r="EQ66" s="187">
        <f>CR66-AJ66</f>
        <v>0</v>
      </c>
      <c r="ER66" s="2602">
        <f>SUM(ES66:ES67)</f>
        <v>0</v>
      </c>
      <c r="ES66" s="187">
        <f>CS66-AO66</f>
        <v>0</v>
      </c>
      <c r="ET66" s="2602">
        <f>SUM(EU66:EU67)</f>
        <v>0</v>
      </c>
      <c r="EU66" s="187">
        <f t="shared" si="1"/>
        <v>0</v>
      </c>
      <c r="EV66" s="2602">
        <f>SUM(EW66:EW67)</f>
        <v>0</v>
      </c>
      <c r="EW66" s="187">
        <f>CU66-AS66</f>
        <v>0</v>
      </c>
      <c r="EX66" s="2602">
        <f>SUM(EY66:EY67)</f>
        <v>0</v>
      </c>
      <c r="EY66" s="187">
        <f>CV66-AU66</f>
        <v>0</v>
      </c>
      <c r="EZ66" s="2602">
        <f>SUM(FA66:FA67)</f>
        <v>0</v>
      </c>
      <c r="FA66" s="187">
        <f>CY66-AX66</f>
        <v>0</v>
      </c>
      <c r="FB66" s="2602">
        <f>SUM(FC66:FC67)</f>
        <v>0</v>
      </c>
      <c r="FC66" s="187">
        <f>CZ66-AY66</f>
        <v>0</v>
      </c>
      <c r="FD66" s="2602">
        <f>SUM(FE66:FE67)</f>
        <v>0</v>
      </c>
      <c r="FE66" s="187">
        <f>DA66-AZ66</f>
        <v>0</v>
      </c>
      <c r="FF66" s="2602">
        <f>SUM(FG66:FG67)</f>
        <v>0</v>
      </c>
      <c r="FG66" s="187">
        <f>DB66-BA66</f>
        <v>0</v>
      </c>
      <c r="FH66" s="2602">
        <f>SUM(FI66:FI67)</f>
        <v>0</v>
      </c>
      <c r="FI66" s="187">
        <f>DC66-BB66</f>
        <v>0</v>
      </c>
      <c r="FJ66" s="2602">
        <f>SUM(FK66:FK67)</f>
        <v>0</v>
      </c>
      <c r="FK66" s="187">
        <f>CX66-AW66</f>
        <v>0</v>
      </c>
      <c r="FL66" s="2602">
        <f>SUM(FM66:FM67)</f>
        <v>87314</v>
      </c>
      <c r="FM66" s="187">
        <f>DF66-BE66</f>
        <v>46194</v>
      </c>
      <c r="FN66" s="2602">
        <f>SUM(FO66:FO67)</f>
        <v>88.169749999999993</v>
      </c>
      <c r="FO66" s="187">
        <f>DH66-BG66</f>
        <v>46.259749999999997</v>
      </c>
      <c r="FP66" s="2602">
        <f>SUM(FQ66:FQ67)</f>
        <v>88.169749999999993</v>
      </c>
      <c r="FQ66" s="187">
        <f t="shared" ref="FQ66:FT67" si="30">DJ66-BI66</f>
        <v>46.259749999999997</v>
      </c>
      <c r="FR66" s="187">
        <f t="shared" si="30"/>
        <v>141.554835</v>
      </c>
      <c r="FS66" s="187">
        <f t="shared" si="30"/>
        <v>2</v>
      </c>
      <c r="FT66" s="775">
        <f t="shared" si="30"/>
        <v>0</v>
      </c>
      <c r="FU66" s="775">
        <f>DR66-BO66</f>
        <v>0</v>
      </c>
      <c r="FV66" s="775">
        <f>DO66-BM66</f>
        <v>0</v>
      </c>
      <c r="FW66" s="775">
        <f>DQ66-BN66</f>
        <v>6.1922499999999996</v>
      </c>
      <c r="FX66" s="775">
        <f t="shared" ref="FX66:GA67" si="31">DS66-BP66</f>
        <v>0</v>
      </c>
      <c r="FY66" s="775">
        <f t="shared" si="31"/>
        <v>0</v>
      </c>
      <c r="FZ66" s="775">
        <f t="shared" si="31"/>
        <v>0</v>
      </c>
      <c r="GA66" s="775">
        <f t="shared" si="31"/>
        <v>0</v>
      </c>
      <c r="GB66" s="2734">
        <f>SUM(GC66:GC67)</f>
        <v>11.802250000000001</v>
      </c>
      <c r="GC66" s="776">
        <f t="shared" si="4"/>
        <v>6.1922499999999996</v>
      </c>
      <c r="GD66" s="139"/>
      <c r="GE66" s="139"/>
      <c r="GF66" s="139"/>
      <c r="GG66" s="139"/>
      <c r="GH66" s="139"/>
      <c r="GI66" s="139"/>
      <c r="GJ66" s="139"/>
      <c r="GK66" s="139"/>
      <c r="GL66" s="139"/>
      <c r="GM66" s="139"/>
      <c r="GN66" s="139"/>
      <c r="GO66" s="139"/>
      <c r="GP66" s="139"/>
      <c r="GQ66" s="139"/>
      <c r="GR66" s="139"/>
      <c r="GS66" s="139"/>
      <c r="GT66" s="139"/>
    </row>
    <row r="67" spans="1:202" s="81" customFormat="1" ht="15" customHeight="1">
      <c r="A67" s="2589"/>
      <c r="B67" s="2589"/>
      <c r="C67" s="66" t="s">
        <v>703</v>
      </c>
      <c r="D67" s="66">
        <v>2869</v>
      </c>
      <c r="E67" s="66">
        <v>127</v>
      </c>
      <c r="F67" s="841">
        <v>2028690127</v>
      </c>
      <c r="G67" s="71">
        <v>6600</v>
      </c>
      <c r="H67" s="66" t="s">
        <v>726</v>
      </c>
      <c r="I67" s="70" t="s">
        <v>727</v>
      </c>
      <c r="J67" s="66">
        <v>0.97</v>
      </c>
      <c r="K67" s="66">
        <v>4</v>
      </c>
      <c r="L67" s="66">
        <v>0</v>
      </c>
      <c r="M67" s="66">
        <v>4.8</v>
      </c>
      <c r="N67" s="68">
        <v>6400</v>
      </c>
      <c r="O67" s="68">
        <v>0</v>
      </c>
      <c r="P67" s="68">
        <v>0</v>
      </c>
      <c r="Q67" s="68">
        <v>6400</v>
      </c>
      <c r="R67" s="71">
        <v>0</v>
      </c>
      <c r="S67" s="791" t="s">
        <v>859</v>
      </c>
      <c r="T67" s="2601"/>
      <c r="U67" s="74">
        <v>0</v>
      </c>
      <c r="V67" s="2601"/>
      <c r="W67" s="74">
        <f>N67</f>
        <v>6400</v>
      </c>
      <c r="X67" s="74"/>
      <c r="Y67" s="74">
        <f>W67-AA67</f>
        <v>6400</v>
      </c>
      <c r="Z67" s="2601"/>
      <c r="AA67" s="74">
        <v>0</v>
      </c>
      <c r="AB67" s="2601"/>
      <c r="AC67" s="74">
        <f>0.25*W67</f>
        <v>1600</v>
      </c>
      <c r="AD67" s="2601"/>
      <c r="AE67" s="74">
        <f>AG67+AF67</f>
        <v>0</v>
      </c>
      <c r="AF67" s="74">
        <v>0</v>
      </c>
      <c r="AG67" s="74">
        <v>0</v>
      </c>
      <c r="AH67" s="74">
        <v>0</v>
      </c>
      <c r="AI67" s="2601"/>
      <c r="AJ67" s="74">
        <v>0</v>
      </c>
      <c r="AK67" s="2601"/>
      <c r="AL67" s="74">
        <f>W67-(AA67+AC67+AE67+AH67+AJ67+AM67+AW67+AO67+AQ67+AS67+AU67)</f>
        <v>4800</v>
      </c>
      <c r="AM67" s="792">
        <v>0</v>
      </c>
      <c r="AN67" s="2601"/>
      <c r="AO67" s="74">
        <v>0</v>
      </c>
      <c r="AP67" s="2601"/>
      <c r="AQ67" s="74">
        <v>0</v>
      </c>
      <c r="AR67" s="2601"/>
      <c r="AS67" s="74">
        <v>0</v>
      </c>
      <c r="AT67" s="2601"/>
      <c r="AU67" s="74">
        <v>0</v>
      </c>
      <c r="AV67" s="2601"/>
      <c r="AW67" s="74">
        <f>AX67+AY67+AZ67+BA67+BB67</f>
        <v>0</v>
      </c>
      <c r="AX67" s="74">
        <v>0</v>
      </c>
      <c r="AY67" s="74">
        <v>0</v>
      </c>
      <c r="AZ67" s="74">
        <v>0</v>
      </c>
      <c r="BA67" s="74">
        <v>0</v>
      </c>
      <c r="BB67" s="74">
        <v>0</v>
      </c>
      <c r="BC67" s="74">
        <v>0</v>
      </c>
      <c r="BD67" s="2601"/>
      <c r="BE67" s="74">
        <f>U67+W67</f>
        <v>6400</v>
      </c>
      <c r="BF67" s="2601"/>
      <c r="BG67" s="74">
        <f>U67/1000</f>
        <v>0</v>
      </c>
      <c r="BH67" s="2601"/>
      <c r="BI67" s="74">
        <v>0</v>
      </c>
      <c r="BJ67" s="74">
        <f t="shared" si="13"/>
        <v>0</v>
      </c>
      <c r="BK67" s="88">
        <f>ROUND((Y67+AC67+AA67)/1000*3,0)+ROUND((AE67+AU67)/1000,0)+ROUND((ROUND(AH67/400,0))/2.67,0)+ROUND(AM67/250,0)+ROUND(AO67/15000,0)+ROUND((AX67+AY67+AZ67+BB67)/1000*3,0)+ROUND(BG67/25,0)+ROUND(BU282/50,0)</f>
        <v>24</v>
      </c>
      <c r="BL67" s="74">
        <v>0</v>
      </c>
      <c r="BM67" s="74">
        <v>0</v>
      </c>
      <c r="BN67" s="74">
        <v>0</v>
      </c>
      <c r="BO67" s="74">
        <v>0</v>
      </c>
      <c r="BP67" s="74">
        <f>AH67/1000</f>
        <v>0</v>
      </c>
      <c r="BQ67" s="74">
        <v>0</v>
      </c>
      <c r="BR67" s="74">
        <v>0</v>
      </c>
      <c r="BS67" s="74">
        <v>0</v>
      </c>
      <c r="BT67" s="2601"/>
      <c r="BU67" s="74">
        <f>SUM(BL67:BS67)</f>
        <v>0</v>
      </c>
      <c r="BV67" s="81">
        <v>15</v>
      </c>
      <c r="BW67" s="793" t="s">
        <v>729</v>
      </c>
      <c r="BX67" s="81">
        <v>7.2</v>
      </c>
      <c r="BY67" s="81">
        <v>3.4</v>
      </c>
      <c r="BZ67" s="81">
        <v>6.5</v>
      </c>
      <c r="CA67" s="794"/>
      <c r="CB67" s="2597"/>
      <c r="CC67" s="795">
        <f>(BX67*G67)-CF67</f>
        <v>41910</v>
      </c>
      <c r="CD67" s="2733"/>
      <c r="CE67" s="2601"/>
      <c r="CF67" s="843">
        <f>1*(G67)-(0.15*1*(G67))</f>
        <v>5610</v>
      </c>
      <c r="CG67" s="2601"/>
      <c r="CH67" s="843">
        <f>CF67-CJ67</f>
        <v>5610</v>
      </c>
      <c r="CI67" s="2601"/>
      <c r="CJ67" s="81">
        <v>0</v>
      </c>
      <c r="CK67" s="2601"/>
      <c r="CL67" s="81">
        <v>0</v>
      </c>
      <c r="CM67" s="2601"/>
      <c r="CN67" s="74">
        <f>CF67-(CJ67+CL67+CO67+CP67+CR67+CU67+CV67+CX67)</f>
        <v>5610</v>
      </c>
      <c r="CO67" s="797">
        <v>0</v>
      </c>
      <c r="CP67" s="797">
        <v>0</v>
      </c>
      <c r="CQ67" s="2601"/>
      <c r="CR67" s="74">
        <v>0</v>
      </c>
      <c r="CS67" s="797">
        <v>0</v>
      </c>
      <c r="CT67" s="797">
        <v>0</v>
      </c>
      <c r="CU67" s="797">
        <v>0</v>
      </c>
      <c r="CV67" s="797">
        <v>0</v>
      </c>
      <c r="CW67" s="2601"/>
      <c r="CX67" s="74">
        <f>SUM(CY67:DC67)</f>
        <v>0</v>
      </c>
      <c r="CY67" s="797">
        <f t="shared" si="29"/>
        <v>0</v>
      </c>
      <c r="CZ67" s="797">
        <f t="shared" si="29"/>
        <v>0</v>
      </c>
      <c r="DA67" s="797">
        <f t="shared" si="29"/>
        <v>0</v>
      </c>
      <c r="DB67" s="797">
        <f t="shared" si="29"/>
        <v>0</v>
      </c>
      <c r="DC67" s="797">
        <f t="shared" si="29"/>
        <v>0</v>
      </c>
      <c r="DD67" s="797"/>
      <c r="DE67" s="2601"/>
      <c r="DF67" s="74">
        <f>CC67+CF67</f>
        <v>47520</v>
      </c>
      <c r="DG67" s="2601"/>
      <c r="DH67" s="303">
        <f>CC67/'[1]Projected Development Sites'!DF$134</f>
        <v>41.91</v>
      </c>
      <c r="DI67" s="2724"/>
      <c r="DJ67" s="798">
        <f>'[1]Projected Development Sites'!DK$136*DH67</f>
        <v>41.91</v>
      </c>
      <c r="DK67" s="771">
        <f>3.06*DH67</f>
        <v>128.24459999999999</v>
      </c>
      <c r="DL67" s="917">
        <f>ROUND((CN67+CL67+CJ67)/1000*3,0)+ROUND((ROUND(CP67/400,0))/2.67,0)+ROUND(CV67/1000,0)+ROUND((CY67+CZ67+DA67+DC67)/1000*3,0)+ROUND(DH67/25,0)+ROUND(DX67/50,0)</f>
        <v>19</v>
      </c>
      <c r="DM67" s="799">
        <v>0</v>
      </c>
      <c r="DN67" s="799"/>
      <c r="DO67" s="799">
        <v>0</v>
      </c>
      <c r="DP67" s="799">
        <f>0.25*DJ67</f>
        <v>10.477499999999999</v>
      </c>
      <c r="DQ67" s="799">
        <f>SUM(CO67,CJ67,CN67,CR67,CU67)/1000</f>
        <v>5.61</v>
      </c>
      <c r="DR67" s="799">
        <f>CL67/1000</f>
        <v>0</v>
      </c>
      <c r="DS67" s="799">
        <f>((CP67/400)/12)</f>
        <v>0</v>
      </c>
      <c r="DT67" s="799">
        <v>0</v>
      </c>
      <c r="DU67" s="799">
        <v>0</v>
      </c>
      <c r="DV67" s="799">
        <f>CX67/1000</f>
        <v>0</v>
      </c>
      <c r="DW67" s="2724"/>
      <c r="DX67" s="800">
        <f>SUM(DM67,DO67,DQ67:DV67)</f>
        <v>5.61</v>
      </c>
      <c r="DY67" s="2727"/>
      <c r="DZ67" s="2730"/>
      <c r="EA67" s="2603"/>
      <c r="EB67" s="190">
        <f>CF67-W67</f>
        <v>-790</v>
      </c>
      <c r="EC67" s="2603"/>
      <c r="ED67" s="187">
        <v>-790</v>
      </c>
      <c r="EE67" s="190">
        <f>(SUM(CJ67:CO67))-(SUM(AA67:AE67,AL67))</f>
        <v>-790</v>
      </c>
      <c r="EF67" s="2603"/>
      <c r="EG67" s="190">
        <v>810</v>
      </c>
      <c r="EH67" s="2603"/>
      <c r="EI67" s="195">
        <f>CL67-AC67</f>
        <v>-1600</v>
      </c>
      <c r="EJ67" s="2603"/>
      <c r="EK67" s="190">
        <f>CJ67-AA67</f>
        <v>0</v>
      </c>
      <c r="EL67" s="2603"/>
      <c r="EM67" s="190">
        <f>CO67-AE67</f>
        <v>0</v>
      </c>
      <c r="EN67" s="2603"/>
      <c r="EO67" s="190">
        <f>CP67-AH67</f>
        <v>0</v>
      </c>
      <c r="EP67" s="2603"/>
      <c r="EQ67" s="195">
        <f>CR67-AJ67</f>
        <v>0</v>
      </c>
      <c r="ER67" s="2603"/>
      <c r="ES67" s="190">
        <f>CS67-AO67</f>
        <v>0</v>
      </c>
      <c r="ET67" s="2603"/>
      <c r="EU67" s="190">
        <f t="shared" si="1"/>
        <v>0</v>
      </c>
      <c r="EV67" s="2603"/>
      <c r="EW67" s="190">
        <f>CU67-AS67</f>
        <v>0</v>
      </c>
      <c r="EX67" s="2603"/>
      <c r="EY67" s="190">
        <f>CV67-AU67</f>
        <v>0</v>
      </c>
      <c r="EZ67" s="2603"/>
      <c r="FA67" s="190">
        <f>CY67-AX67</f>
        <v>0</v>
      </c>
      <c r="FB67" s="2603"/>
      <c r="FC67" s="190">
        <f>CZ67-AY67</f>
        <v>0</v>
      </c>
      <c r="FD67" s="2603"/>
      <c r="FE67" s="190">
        <f>DA67-AZ67</f>
        <v>0</v>
      </c>
      <c r="FF67" s="2603"/>
      <c r="FG67" s="190">
        <f>DB67-BA67</f>
        <v>0</v>
      </c>
      <c r="FH67" s="2603"/>
      <c r="FI67" s="190">
        <f>DC67-BB67</f>
        <v>0</v>
      </c>
      <c r="FJ67" s="2603"/>
      <c r="FK67" s="190">
        <f>CX67-AW67</f>
        <v>0</v>
      </c>
      <c r="FL67" s="2603"/>
      <c r="FM67" s="195">
        <f>DF67-BE67</f>
        <v>41120</v>
      </c>
      <c r="FN67" s="2603"/>
      <c r="FO67" s="195">
        <f>DH67-BG67</f>
        <v>41.91</v>
      </c>
      <c r="FP67" s="2603"/>
      <c r="FQ67" s="195">
        <f t="shared" si="30"/>
        <v>41.91</v>
      </c>
      <c r="FR67" s="190">
        <f t="shared" si="30"/>
        <v>128.24459999999999</v>
      </c>
      <c r="FS67" s="190">
        <f t="shared" si="30"/>
        <v>-5</v>
      </c>
      <c r="FT67" s="801">
        <f t="shared" si="30"/>
        <v>0</v>
      </c>
      <c r="FU67" s="801">
        <f>DR67-BO67</f>
        <v>0</v>
      </c>
      <c r="FV67" s="801">
        <f>DO67-BM67</f>
        <v>0</v>
      </c>
      <c r="FW67" s="801">
        <f>DQ67-BN67</f>
        <v>5.61</v>
      </c>
      <c r="FX67" s="801">
        <f t="shared" si="31"/>
        <v>0</v>
      </c>
      <c r="FY67" s="801">
        <f t="shared" si="31"/>
        <v>0</v>
      </c>
      <c r="FZ67" s="801">
        <f t="shared" si="31"/>
        <v>0</v>
      </c>
      <c r="GA67" s="801">
        <f t="shared" si="31"/>
        <v>0</v>
      </c>
      <c r="GB67" s="2736"/>
      <c r="GC67" s="845">
        <f t="shared" si="4"/>
        <v>5.61</v>
      </c>
      <c r="GD67" s="139"/>
      <c r="GE67" s="139"/>
      <c r="GF67" s="139"/>
      <c r="GG67" s="139"/>
      <c r="GH67" s="139"/>
      <c r="GI67" s="139"/>
      <c r="GJ67" s="139"/>
      <c r="GK67" s="139"/>
      <c r="GL67" s="139"/>
      <c r="GM67" s="139"/>
      <c r="GN67" s="139"/>
      <c r="GO67" s="139"/>
      <c r="GP67" s="139"/>
      <c r="GQ67" s="139"/>
      <c r="GR67" s="139"/>
      <c r="GS67" s="139"/>
      <c r="GT67" s="139"/>
    </row>
    <row r="68" spans="1:202" s="139" customFormat="1" ht="18.75">
      <c r="A68" s="2263"/>
      <c r="B68" s="2263"/>
      <c r="C68" s="132"/>
      <c r="D68" s="132"/>
      <c r="E68" s="132"/>
      <c r="F68" s="777"/>
      <c r="G68" s="137"/>
      <c r="H68" s="132"/>
      <c r="I68" s="136"/>
      <c r="J68" s="132"/>
      <c r="K68" s="132"/>
      <c r="L68" s="132"/>
      <c r="M68" s="132"/>
      <c r="N68" s="134"/>
      <c r="O68" s="134"/>
      <c r="P68" s="134"/>
      <c r="Q68" s="134"/>
      <c r="R68" s="137"/>
      <c r="S68" s="778"/>
      <c r="T68" s="634"/>
      <c r="U68" s="102"/>
      <c r="V68" s="634"/>
      <c r="W68" s="102"/>
      <c r="X68" s="102"/>
      <c r="Y68" s="102"/>
      <c r="Z68" s="634"/>
      <c r="AA68" s="102"/>
      <c r="AB68" s="634"/>
      <c r="AC68" s="102"/>
      <c r="AD68" s="634"/>
      <c r="AE68" s="102"/>
      <c r="AF68" s="102"/>
      <c r="AG68" s="102"/>
      <c r="AH68" s="102"/>
      <c r="AI68" s="634"/>
      <c r="AJ68" s="102"/>
      <c r="AK68" s="634"/>
      <c r="AL68" s="102"/>
      <c r="AM68" s="779"/>
      <c r="AN68" s="634"/>
      <c r="AO68" s="102"/>
      <c r="AP68" s="634"/>
      <c r="AQ68" s="102"/>
      <c r="AR68" s="634"/>
      <c r="AS68" s="102"/>
      <c r="AT68" s="634"/>
      <c r="AU68" s="102"/>
      <c r="AV68" s="634"/>
      <c r="AW68" s="102"/>
      <c r="AX68" s="102"/>
      <c r="AY68" s="102"/>
      <c r="AZ68" s="102"/>
      <c r="BA68" s="102"/>
      <c r="BB68" s="102"/>
      <c r="BC68" s="102"/>
      <c r="BD68" s="634"/>
      <c r="BE68" s="102"/>
      <c r="BF68" s="634"/>
      <c r="BG68" s="102"/>
      <c r="BH68" s="634"/>
      <c r="BI68" s="102"/>
      <c r="BJ68" s="122"/>
      <c r="BK68" s="88"/>
      <c r="BL68" s="102"/>
      <c r="BM68" s="102"/>
      <c r="BN68" s="102"/>
      <c r="BO68" s="102"/>
      <c r="BP68" s="102"/>
      <c r="BQ68" s="102"/>
      <c r="BR68" s="102"/>
      <c r="BS68" s="102"/>
      <c r="BT68" s="634"/>
      <c r="BU68" s="102"/>
      <c r="BW68" s="780"/>
      <c r="CA68" s="781"/>
      <c r="CB68" s="2258"/>
      <c r="CC68" s="782"/>
      <c r="CD68" s="782"/>
      <c r="CE68" s="634"/>
      <c r="CF68" s="783"/>
      <c r="CG68" s="634"/>
      <c r="CH68" s="783"/>
      <c r="CI68" s="634"/>
      <c r="CK68" s="634"/>
      <c r="CM68" s="634"/>
      <c r="CN68" s="784"/>
      <c r="CO68" s="784"/>
      <c r="CP68" s="784"/>
      <c r="CQ68" s="634"/>
      <c r="CR68" s="102"/>
      <c r="CS68" s="784"/>
      <c r="CT68" s="784"/>
      <c r="CU68" s="784"/>
      <c r="CV68" s="784"/>
      <c r="CW68" s="634"/>
      <c r="CX68" s="102"/>
      <c r="CY68" s="784"/>
      <c r="CZ68" s="784"/>
      <c r="DA68" s="784"/>
      <c r="DB68" s="784"/>
      <c r="DC68" s="784"/>
      <c r="DD68" s="784"/>
      <c r="DE68" s="634"/>
      <c r="DF68" s="784"/>
      <c r="DG68" s="634"/>
      <c r="DH68" s="296"/>
      <c r="DI68" s="802"/>
      <c r="DJ68" s="785"/>
      <c r="DK68" s="771"/>
      <c r="DL68" s="786"/>
      <c r="DM68" s="787"/>
      <c r="DN68" s="787"/>
      <c r="DO68" s="787"/>
      <c r="DP68" s="787"/>
      <c r="DQ68" s="787"/>
      <c r="DR68" s="787"/>
      <c r="DS68" s="787"/>
      <c r="DT68" s="787"/>
      <c r="DU68" s="787"/>
      <c r="DV68" s="787"/>
      <c r="DW68" s="802"/>
      <c r="DX68" s="788"/>
      <c r="DY68" s="634"/>
      <c r="DZ68" s="2288"/>
      <c r="EA68" s="2231"/>
      <c r="EB68" s="187"/>
      <c r="EC68" s="2232"/>
      <c r="ED68" s="187"/>
      <c r="EE68" s="187"/>
      <c r="EF68" s="2232"/>
      <c r="EG68" s="245"/>
      <c r="EH68" s="2232"/>
      <c r="EI68" s="187"/>
      <c r="EJ68" s="2232"/>
      <c r="EK68" s="187"/>
      <c r="EL68" s="2232"/>
      <c r="EM68" s="195"/>
      <c r="EN68" s="2232"/>
      <c r="EO68" s="195"/>
      <c r="EP68" s="2232"/>
      <c r="EQ68" s="187"/>
      <c r="ER68" s="2232"/>
      <c r="ES68" s="187"/>
      <c r="ET68" s="2232"/>
      <c r="EU68" s="187">
        <f t="shared" si="1"/>
        <v>0</v>
      </c>
      <c r="EV68" s="2232"/>
      <c r="EW68" s="187"/>
      <c r="EX68" s="2232"/>
      <c r="EY68" s="195"/>
      <c r="EZ68" s="2232"/>
      <c r="FA68" s="195"/>
      <c r="FB68" s="2232"/>
      <c r="FC68" s="195"/>
      <c r="FD68" s="2232"/>
      <c r="FE68" s="195"/>
      <c r="FF68" s="2232"/>
      <c r="FG68" s="195"/>
      <c r="FH68" s="2232"/>
      <c r="FI68" s="195"/>
      <c r="FJ68" s="2232"/>
      <c r="FK68" s="195"/>
      <c r="FL68" s="2232"/>
      <c r="FM68" s="187"/>
      <c r="FN68" s="2232"/>
      <c r="FO68" s="187"/>
      <c r="FP68" s="2232"/>
      <c r="FQ68" s="187"/>
      <c r="FR68" s="195"/>
      <c r="FS68" s="190"/>
      <c r="FT68" s="789"/>
      <c r="FU68" s="789"/>
      <c r="FV68" s="789"/>
      <c r="FW68" s="789"/>
      <c r="FX68" s="789"/>
      <c r="FY68" s="789"/>
      <c r="FZ68" s="789"/>
      <c r="GA68" s="789"/>
      <c r="GB68" s="2289"/>
      <c r="GC68" s="776"/>
    </row>
    <row r="69" spans="1:202" s="228" customFormat="1" ht="18.75">
      <c r="A69" s="216"/>
      <c r="B69" s="216">
        <v>23</v>
      </c>
      <c r="C69" s="218" t="s">
        <v>703</v>
      </c>
      <c r="D69" s="218">
        <v>3193</v>
      </c>
      <c r="E69" s="218">
        <v>33</v>
      </c>
      <c r="F69" s="897">
        <v>2031930033</v>
      </c>
      <c r="G69" s="223">
        <v>8141</v>
      </c>
      <c r="H69" s="218" t="s">
        <v>726</v>
      </c>
      <c r="I69" s="222" t="s">
        <v>727</v>
      </c>
      <c r="J69" s="218">
        <v>0.98</v>
      </c>
      <c r="K69" s="218">
        <v>4</v>
      </c>
      <c r="L69" s="218">
        <v>0</v>
      </c>
      <c r="M69" s="218">
        <v>4.8</v>
      </c>
      <c r="N69" s="220">
        <v>8000</v>
      </c>
      <c r="O69" s="220">
        <v>0</v>
      </c>
      <c r="P69" s="220">
        <v>0</v>
      </c>
      <c r="Q69" s="220">
        <v>8000</v>
      </c>
      <c r="R69" s="223">
        <v>0</v>
      </c>
      <c r="S69" s="898" t="s">
        <v>745</v>
      </c>
      <c r="T69" s="234">
        <f>U69</f>
        <v>0</v>
      </c>
      <c r="U69" s="111">
        <v>0</v>
      </c>
      <c r="V69" s="234">
        <f>W69</f>
        <v>8000</v>
      </c>
      <c r="W69" s="111">
        <f>N69</f>
        <v>8000</v>
      </c>
      <c r="X69" s="111"/>
      <c r="Y69" s="111">
        <f>W69-AA69</f>
        <v>6400</v>
      </c>
      <c r="Z69" s="234">
        <f>AA69</f>
        <v>1600</v>
      </c>
      <c r="AA69" s="111">
        <f>0.2*W69</f>
        <v>1600</v>
      </c>
      <c r="AB69" s="234">
        <f>AC69</f>
        <v>0</v>
      </c>
      <c r="AC69" s="111">
        <v>0</v>
      </c>
      <c r="AD69" s="234">
        <f>AE69</f>
        <v>0</v>
      </c>
      <c r="AE69" s="111">
        <f>AG69+AF69</f>
        <v>0</v>
      </c>
      <c r="AF69" s="111">
        <v>0</v>
      </c>
      <c r="AG69" s="111">
        <v>0</v>
      </c>
      <c r="AH69" s="111">
        <v>0</v>
      </c>
      <c r="AI69" s="234">
        <f>AJ69</f>
        <v>0</v>
      </c>
      <c r="AJ69" s="111">
        <v>0</v>
      </c>
      <c r="AK69" s="234">
        <f>AL69</f>
        <v>6400</v>
      </c>
      <c r="AL69" s="111">
        <f>W69-(AA69+AC69+AE69+AH69+AJ69+AM69+AW69+AO69+AQ69+AS69+AU69)</f>
        <v>6400</v>
      </c>
      <c r="AM69" s="899">
        <v>0</v>
      </c>
      <c r="AN69" s="234">
        <f>AO69</f>
        <v>0</v>
      </c>
      <c r="AO69" s="111">
        <v>0</v>
      </c>
      <c r="AP69" s="234">
        <f>AQ69</f>
        <v>0</v>
      </c>
      <c r="AQ69" s="111">
        <v>0</v>
      </c>
      <c r="AR69" s="234">
        <f>AS69</f>
        <v>0</v>
      </c>
      <c r="AS69" s="111">
        <v>0</v>
      </c>
      <c r="AT69" s="234">
        <f>AU69</f>
        <v>0</v>
      </c>
      <c r="AU69" s="111">
        <v>0</v>
      </c>
      <c r="AV69" s="234">
        <f>AW69</f>
        <v>0</v>
      </c>
      <c r="AW69" s="111">
        <f>AX69+AY69+AZ69+BA69+BB69</f>
        <v>0</v>
      </c>
      <c r="AX69" s="111">
        <v>0</v>
      </c>
      <c r="AY69" s="111">
        <v>0</v>
      </c>
      <c r="AZ69" s="111">
        <v>0</v>
      </c>
      <c r="BA69" s="111">
        <v>0</v>
      </c>
      <c r="BB69" s="111">
        <v>0</v>
      </c>
      <c r="BC69" s="111">
        <v>0</v>
      </c>
      <c r="BD69" s="234">
        <f>BE69</f>
        <v>8000</v>
      </c>
      <c r="BE69" s="111">
        <f>U69+W69</f>
        <v>8000</v>
      </c>
      <c r="BF69" s="234">
        <f>BG69</f>
        <v>0</v>
      </c>
      <c r="BG69" s="111">
        <f>U69/1000</f>
        <v>0</v>
      </c>
      <c r="BH69" s="234">
        <f>BI69</f>
        <v>0</v>
      </c>
      <c r="BI69" s="111">
        <v>0</v>
      </c>
      <c r="BJ69" s="122">
        <f t="shared" si="13"/>
        <v>0</v>
      </c>
      <c r="BK69" s="306">
        <f>ROUND((Y69+AC69+AA69)/1000*3,0)+ROUND((AE69+AU69)/1000,0)+ROUND((ROUND(AH69/400,0))/2.67,0)+ROUND(AM69/250,0)+ROUND(AO69/15000,0)+ROUND((AX69+AY69+AZ69+BB69)/1000*3,0)+ROUND(BG69/25,0)+ROUND(BU296/50,0)</f>
        <v>24</v>
      </c>
      <c r="BL69" s="111">
        <v>0</v>
      </c>
      <c r="BM69" s="111">
        <v>0</v>
      </c>
      <c r="BN69" s="111">
        <v>0</v>
      </c>
      <c r="BO69" s="111">
        <f>AC69/1000</f>
        <v>0</v>
      </c>
      <c r="BP69" s="111">
        <f>AH69/1000</f>
        <v>0</v>
      </c>
      <c r="BQ69" s="111">
        <v>0</v>
      </c>
      <c r="BR69" s="111">
        <v>0</v>
      </c>
      <c r="BS69" s="111">
        <v>0</v>
      </c>
      <c r="BT69" s="234">
        <f>BU69</f>
        <v>0</v>
      </c>
      <c r="BU69" s="111">
        <f>SUM(BL69:BS69)</f>
        <v>0</v>
      </c>
      <c r="BV69" s="228">
        <v>15</v>
      </c>
      <c r="BW69" s="900" t="s">
        <v>729</v>
      </c>
      <c r="BX69" s="228">
        <v>7.2</v>
      </c>
      <c r="BY69" s="228">
        <v>3.4</v>
      </c>
      <c r="BZ69" s="228">
        <v>6.5</v>
      </c>
      <c r="CA69" s="901"/>
      <c r="CB69" s="230" t="s">
        <v>716</v>
      </c>
      <c r="CC69" s="399">
        <f>(BX69*G69)-CF69</f>
        <v>51695.350000000006</v>
      </c>
      <c r="CD69" s="399">
        <v>51695.350000000006</v>
      </c>
      <c r="CE69" s="234">
        <f>CF69</f>
        <v>6919.85</v>
      </c>
      <c r="CF69" s="836">
        <f>1*(G69)-(0.15*1*(G69))</f>
        <v>6919.85</v>
      </c>
      <c r="CG69" s="234">
        <f>CH69</f>
        <v>6919.85</v>
      </c>
      <c r="CH69" s="836">
        <f>CF69-CJ69</f>
        <v>6919.85</v>
      </c>
      <c r="CI69" s="234">
        <f>CJ69</f>
        <v>0</v>
      </c>
      <c r="CJ69" s="228">
        <v>0</v>
      </c>
      <c r="CK69" s="234">
        <f>CL69</f>
        <v>0</v>
      </c>
      <c r="CL69" s="228">
        <v>0</v>
      </c>
      <c r="CM69" s="234">
        <f>CN69</f>
        <v>6919.85</v>
      </c>
      <c r="CN69" s="903">
        <f>CF69-(CJ69+CL69+CO69+CP69+CR69+CU69+CV69+CX69)</f>
        <v>6919.85</v>
      </c>
      <c r="CO69" s="903">
        <v>0</v>
      </c>
      <c r="CP69" s="903">
        <v>0</v>
      </c>
      <c r="CQ69" s="234">
        <f>CR69</f>
        <v>0</v>
      </c>
      <c r="CR69" s="111">
        <v>0</v>
      </c>
      <c r="CS69" s="903">
        <v>0</v>
      </c>
      <c r="CT69" s="903">
        <v>0</v>
      </c>
      <c r="CU69" s="903">
        <v>0</v>
      </c>
      <c r="CV69" s="903">
        <v>0</v>
      </c>
      <c r="CW69" s="234">
        <f>CX69</f>
        <v>0</v>
      </c>
      <c r="CX69" s="111">
        <f>SUM(CY69:DC69)</f>
        <v>0</v>
      </c>
      <c r="CY69" s="903">
        <f>AX69</f>
        <v>0</v>
      </c>
      <c r="CZ69" s="903">
        <f>AY69</f>
        <v>0</v>
      </c>
      <c r="DA69" s="903">
        <f>AZ69</f>
        <v>0</v>
      </c>
      <c r="DB69" s="903">
        <f>BA69</f>
        <v>0</v>
      </c>
      <c r="DC69" s="903">
        <f>BB69</f>
        <v>0</v>
      </c>
      <c r="DD69" s="903"/>
      <c r="DE69" s="234">
        <f>DF69</f>
        <v>58615.200000000004</v>
      </c>
      <c r="DF69" s="903">
        <f>CC69+CF69</f>
        <v>58615.200000000004</v>
      </c>
      <c r="DG69" s="234">
        <f>DH69</f>
        <v>51.695350000000005</v>
      </c>
      <c r="DH69" s="904">
        <f>CC69/'[1]Projected Development Sites'!DF$134</f>
        <v>51.695350000000005</v>
      </c>
      <c r="DI69" s="886">
        <f>DJ69</f>
        <v>51.695350000000005</v>
      </c>
      <c r="DJ69" s="803">
        <f>'[1]Projected Development Sites'!DK$136*DH69</f>
        <v>51.695350000000005</v>
      </c>
      <c r="DK69" s="771">
        <f>3.06*DH69</f>
        <v>158.18777100000003</v>
      </c>
      <c r="DL69" s="772">
        <f>ROUND((CN69+CL69+CJ69)/1000*3,0)+ROUND((ROUND(CP69/400,0))/2.67,0)+ROUND(CV69/1000,0)+ROUND((CY69+CZ69+DA69+DC69)/1000*3,0)+ROUND(DH69/25,0)+ROUND(DX69/50,0)</f>
        <v>23</v>
      </c>
      <c r="DM69" s="905">
        <v>0</v>
      </c>
      <c r="DN69" s="905"/>
      <c r="DO69" s="905">
        <v>0</v>
      </c>
      <c r="DP69" s="905">
        <f>0.25*DJ69</f>
        <v>12.923837500000001</v>
      </c>
      <c r="DQ69" s="905">
        <f>SUM(CO69,CJ69,CN69,CR69,CU69)/1000</f>
        <v>6.9198500000000003</v>
      </c>
      <c r="DR69" s="905">
        <f>CL69/1000</f>
        <v>0</v>
      </c>
      <c r="DS69" s="905">
        <f>((CP69/400)/12)</f>
        <v>0</v>
      </c>
      <c r="DT69" s="905">
        <v>0</v>
      </c>
      <c r="DU69" s="905">
        <v>0</v>
      </c>
      <c r="DV69" s="905">
        <f>CX69/1000</f>
        <v>0</v>
      </c>
      <c r="DW69" s="886">
        <f>DX69</f>
        <v>6.9198500000000003</v>
      </c>
      <c r="DX69" s="906">
        <f>SUM(DM69,DO69,DQ69:DV69)</f>
        <v>6.9198500000000003</v>
      </c>
      <c r="DY69" s="837">
        <v>145</v>
      </c>
      <c r="DZ69" s="2288">
        <f>CD69-T69</f>
        <v>51695.350000000006</v>
      </c>
      <c r="EA69" s="2231">
        <f>CE69-V69</f>
        <v>-1080.1499999999996</v>
      </c>
      <c r="EB69" s="187">
        <f>CF69-W69</f>
        <v>-1080.1499999999996</v>
      </c>
      <c r="EC69" s="235">
        <f>ED69</f>
        <v>-1080.1499999999996</v>
      </c>
      <c r="ED69" s="187">
        <v>-1080.1499999999996</v>
      </c>
      <c r="EE69" s="187">
        <f>(SUM(CJ69:CO69))-(SUM(AA69:AE69,AL69))</f>
        <v>5839.7000000000007</v>
      </c>
      <c r="EF69" s="235">
        <f>EG69</f>
        <v>519.85000000000036</v>
      </c>
      <c r="EG69" s="187">
        <v>519.85000000000036</v>
      </c>
      <c r="EH69" s="235">
        <f>EI69</f>
        <v>0</v>
      </c>
      <c r="EI69" s="187">
        <f>CL69-AC69</f>
        <v>0</v>
      </c>
      <c r="EJ69" s="235">
        <f>EK69</f>
        <v>-1600</v>
      </c>
      <c r="EK69" s="187">
        <f>CJ69-AA69</f>
        <v>-1600</v>
      </c>
      <c r="EL69" s="235">
        <f>EM69</f>
        <v>0</v>
      </c>
      <c r="EM69" s="245">
        <f>CO69-AE69</f>
        <v>0</v>
      </c>
      <c r="EN69" s="235">
        <f>EO69</f>
        <v>0</v>
      </c>
      <c r="EO69" s="245">
        <f>CP69-AH69</f>
        <v>0</v>
      </c>
      <c r="EP69" s="235">
        <f>EQ69</f>
        <v>0</v>
      </c>
      <c r="EQ69" s="187">
        <f>CR69-AJ69</f>
        <v>0</v>
      </c>
      <c r="ER69" s="235">
        <f>ES69</f>
        <v>0</v>
      </c>
      <c r="ES69" s="187">
        <f>CS69-AO69</f>
        <v>0</v>
      </c>
      <c r="ET69" s="235">
        <f>EU69</f>
        <v>0</v>
      </c>
      <c r="EU69" s="187">
        <f t="shared" ref="EU69:EU132" si="32">CT69-AQ69</f>
        <v>0</v>
      </c>
      <c r="EV69" s="235">
        <f>EW69</f>
        <v>0</v>
      </c>
      <c r="EW69" s="187">
        <f>CU69-AS69</f>
        <v>0</v>
      </c>
      <c r="EX69" s="235">
        <f>EY69</f>
        <v>0</v>
      </c>
      <c r="EY69" s="245">
        <f>CV69-AU69</f>
        <v>0</v>
      </c>
      <c r="EZ69" s="235">
        <f>FA69</f>
        <v>0</v>
      </c>
      <c r="FA69" s="245">
        <f>CY69-AX69</f>
        <v>0</v>
      </c>
      <c r="FB69" s="235">
        <f>FC69</f>
        <v>0</v>
      </c>
      <c r="FC69" s="245">
        <f>CZ69-AY69</f>
        <v>0</v>
      </c>
      <c r="FD69" s="235">
        <f>FE69</f>
        <v>0</v>
      </c>
      <c r="FE69" s="245">
        <f>DA69-AZ69</f>
        <v>0</v>
      </c>
      <c r="FF69" s="235">
        <f>FG69</f>
        <v>0</v>
      </c>
      <c r="FG69" s="245">
        <f>DB69-BA69</f>
        <v>0</v>
      </c>
      <c r="FH69" s="235">
        <f>FI69</f>
        <v>0</v>
      </c>
      <c r="FI69" s="245">
        <f>DC69-BB69</f>
        <v>0</v>
      </c>
      <c r="FJ69" s="235">
        <f>FK69</f>
        <v>0</v>
      </c>
      <c r="FK69" s="245">
        <f>CX69-AW69</f>
        <v>0</v>
      </c>
      <c r="FL69" s="235">
        <f>FM69</f>
        <v>50615.200000000004</v>
      </c>
      <c r="FM69" s="187">
        <f>DF69-BE69</f>
        <v>50615.200000000004</v>
      </c>
      <c r="FN69" s="235">
        <f>FO69</f>
        <v>51.695350000000005</v>
      </c>
      <c r="FO69" s="187">
        <f>DH69-BG69</f>
        <v>51.695350000000005</v>
      </c>
      <c r="FP69" s="235">
        <f>FQ69</f>
        <v>51.695350000000005</v>
      </c>
      <c r="FQ69" s="187">
        <f>DJ69-BI69</f>
        <v>51.695350000000005</v>
      </c>
      <c r="FR69" s="245">
        <f>DK69-BJ69</f>
        <v>158.18777100000003</v>
      </c>
      <c r="FS69" s="245">
        <f>DL69-BK69</f>
        <v>-1</v>
      </c>
      <c r="FT69" s="907">
        <f>DM69-BL69</f>
        <v>0</v>
      </c>
      <c r="FU69" s="907">
        <f>DR69-BO69</f>
        <v>0</v>
      </c>
      <c r="FV69" s="907">
        <f>DO69-BM69</f>
        <v>0</v>
      </c>
      <c r="FW69" s="907">
        <f>DQ69-BN69</f>
        <v>6.9198500000000003</v>
      </c>
      <c r="FX69" s="907">
        <f>DS69-BP69</f>
        <v>0</v>
      </c>
      <c r="FY69" s="907">
        <f>DT69-BQ69</f>
        <v>0</v>
      </c>
      <c r="FZ69" s="907">
        <f>DU69-BR69</f>
        <v>0</v>
      </c>
      <c r="GA69" s="907">
        <f>DV69-BS69</f>
        <v>0</v>
      </c>
      <c r="GB69" s="894">
        <f>GC69</f>
        <v>6.9198500000000003</v>
      </c>
      <c r="GC69" s="776">
        <f t="shared" si="4"/>
        <v>6.9198500000000003</v>
      </c>
      <c r="GD69" s="139"/>
      <c r="GE69" s="139"/>
      <c r="GF69" s="139"/>
      <c r="GG69" s="139"/>
      <c r="GH69" s="139"/>
      <c r="GI69" s="139"/>
      <c r="GJ69" s="139"/>
      <c r="GK69" s="139"/>
      <c r="GL69" s="139"/>
      <c r="GM69" s="139"/>
      <c r="GN69" s="139"/>
      <c r="GO69" s="139"/>
      <c r="GP69" s="139"/>
      <c r="GQ69" s="139"/>
      <c r="GR69" s="139"/>
      <c r="GS69" s="139"/>
      <c r="GT69" s="139"/>
    </row>
    <row r="70" spans="1:202" s="228" customFormat="1" ht="18.75">
      <c r="A70" s="216"/>
      <c r="B70" s="216"/>
      <c r="C70" s="218"/>
      <c r="D70" s="218"/>
      <c r="E70" s="218"/>
      <c r="F70" s="897"/>
      <c r="G70" s="223"/>
      <c r="H70" s="218"/>
      <c r="I70" s="222"/>
      <c r="J70" s="218"/>
      <c r="K70" s="218"/>
      <c r="L70" s="218"/>
      <c r="M70" s="218"/>
      <c r="N70" s="220"/>
      <c r="O70" s="220"/>
      <c r="P70" s="220"/>
      <c r="Q70" s="220"/>
      <c r="R70" s="223"/>
      <c r="S70" s="898"/>
      <c r="T70" s="837"/>
      <c r="U70" s="111"/>
      <c r="V70" s="837"/>
      <c r="W70" s="111"/>
      <c r="X70" s="111"/>
      <c r="Y70" s="111"/>
      <c r="Z70" s="837"/>
      <c r="AA70" s="111"/>
      <c r="AB70" s="837"/>
      <c r="AC70" s="111"/>
      <c r="AD70" s="837"/>
      <c r="AE70" s="111"/>
      <c r="AF70" s="111"/>
      <c r="AG70" s="111"/>
      <c r="AH70" s="111"/>
      <c r="AI70" s="837"/>
      <c r="AJ70" s="111"/>
      <c r="AK70" s="837"/>
      <c r="AL70" s="111"/>
      <c r="AM70" s="899"/>
      <c r="AN70" s="837"/>
      <c r="AO70" s="111"/>
      <c r="AP70" s="837"/>
      <c r="AQ70" s="111"/>
      <c r="AR70" s="837"/>
      <c r="AS70" s="111"/>
      <c r="AT70" s="837"/>
      <c r="AU70" s="111"/>
      <c r="AV70" s="837"/>
      <c r="AW70" s="111"/>
      <c r="AX70" s="111"/>
      <c r="AY70" s="111"/>
      <c r="AZ70" s="111"/>
      <c r="BA70" s="111"/>
      <c r="BB70" s="111"/>
      <c r="BC70" s="111"/>
      <c r="BD70" s="837"/>
      <c r="BE70" s="111"/>
      <c r="BF70" s="837"/>
      <c r="BG70" s="111"/>
      <c r="BH70" s="837"/>
      <c r="BI70" s="111"/>
      <c r="BJ70" s="122"/>
      <c r="BK70" s="306"/>
      <c r="BL70" s="111"/>
      <c r="BM70" s="111"/>
      <c r="BN70" s="111"/>
      <c r="BO70" s="111"/>
      <c r="BP70" s="111"/>
      <c r="BQ70" s="111"/>
      <c r="BR70" s="111"/>
      <c r="BS70" s="111"/>
      <c r="BT70" s="837"/>
      <c r="BU70" s="111"/>
      <c r="BW70" s="900"/>
      <c r="CA70" s="901"/>
      <c r="CB70" s="230"/>
      <c r="CC70" s="399"/>
      <c r="CD70" s="399"/>
      <c r="CE70" s="837"/>
      <c r="CF70" s="836"/>
      <c r="CG70" s="837"/>
      <c r="CH70" s="836"/>
      <c r="CI70" s="837"/>
      <c r="CK70" s="837"/>
      <c r="CM70" s="837"/>
      <c r="CN70" s="903"/>
      <c r="CO70" s="903"/>
      <c r="CP70" s="903"/>
      <c r="CQ70" s="837"/>
      <c r="CR70" s="111"/>
      <c r="CS70" s="903"/>
      <c r="CT70" s="903"/>
      <c r="CU70" s="903"/>
      <c r="CV70" s="903"/>
      <c r="CW70" s="837"/>
      <c r="CX70" s="111"/>
      <c r="CY70" s="903"/>
      <c r="CZ70" s="903"/>
      <c r="DA70" s="903"/>
      <c r="DB70" s="903"/>
      <c r="DC70" s="903"/>
      <c r="DD70" s="903"/>
      <c r="DE70" s="837"/>
      <c r="DF70" s="903"/>
      <c r="DG70" s="837"/>
      <c r="DH70" s="904"/>
      <c r="DI70" s="926"/>
      <c r="DJ70" s="803"/>
      <c r="DK70" s="771"/>
      <c r="DL70" s="772"/>
      <c r="DM70" s="905"/>
      <c r="DN70" s="905"/>
      <c r="DO70" s="905"/>
      <c r="DP70" s="905"/>
      <c r="DQ70" s="905"/>
      <c r="DR70" s="905"/>
      <c r="DS70" s="905"/>
      <c r="DT70" s="905"/>
      <c r="DU70" s="905"/>
      <c r="DV70" s="905"/>
      <c r="DW70" s="926"/>
      <c r="DX70" s="906"/>
      <c r="DY70" s="837"/>
      <c r="DZ70" s="2288"/>
      <c r="EA70" s="2231"/>
      <c r="EB70" s="187"/>
      <c r="EC70" s="235"/>
      <c r="ED70" s="187"/>
      <c r="EE70" s="187"/>
      <c r="EF70" s="235"/>
      <c r="EG70" s="187"/>
      <c r="EH70" s="235"/>
      <c r="EI70" s="187"/>
      <c r="EJ70" s="235"/>
      <c r="EK70" s="187"/>
      <c r="EL70" s="235"/>
      <c r="EM70" s="245"/>
      <c r="EN70" s="235"/>
      <c r="EO70" s="245"/>
      <c r="EP70" s="235"/>
      <c r="EQ70" s="187"/>
      <c r="ER70" s="235"/>
      <c r="ES70" s="187"/>
      <c r="ET70" s="235"/>
      <c r="EU70" s="187">
        <f t="shared" si="32"/>
        <v>0</v>
      </c>
      <c r="EV70" s="235"/>
      <c r="EW70" s="187"/>
      <c r="EX70" s="235"/>
      <c r="EY70" s="245"/>
      <c r="EZ70" s="235"/>
      <c r="FA70" s="245"/>
      <c r="FB70" s="235"/>
      <c r="FC70" s="245"/>
      <c r="FD70" s="235"/>
      <c r="FE70" s="245"/>
      <c r="FF70" s="235"/>
      <c r="FG70" s="245"/>
      <c r="FH70" s="235"/>
      <c r="FI70" s="245"/>
      <c r="FJ70" s="235"/>
      <c r="FK70" s="245"/>
      <c r="FL70" s="235"/>
      <c r="FM70" s="187"/>
      <c r="FN70" s="235"/>
      <c r="FO70" s="187"/>
      <c r="FP70" s="235"/>
      <c r="FQ70" s="187"/>
      <c r="FR70" s="245"/>
      <c r="FS70" s="245"/>
      <c r="FT70" s="907"/>
      <c r="FU70" s="907"/>
      <c r="FV70" s="907"/>
      <c r="FW70" s="907"/>
      <c r="FX70" s="907"/>
      <c r="FY70" s="907"/>
      <c r="FZ70" s="907"/>
      <c r="GA70" s="907"/>
      <c r="GB70" s="894"/>
      <c r="GC70" s="776"/>
      <c r="GD70" s="139"/>
      <c r="GE70" s="139"/>
      <c r="GF70" s="139"/>
      <c r="GG70" s="139"/>
      <c r="GH70" s="139"/>
      <c r="GI70" s="139"/>
      <c r="GJ70" s="139"/>
      <c r="GK70" s="139"/>
      <c r="GL70" s="139"/>
      <c r="GM70" s="139"/>
      <c r="GN70" s="139"/>
      <c r="GO70" s="139"/>
      <c r="GP70" s="139"/>
      <c r="GQ70" s="139"/>
      <c r="GR70" s="139"/>
      <c r="GS70" s="139"/>
      <c r="GT70" s="139"/>
    </row>
    <row r="71" spans="1:202" s="228" customFormat="1" ht="18.75">
      <c r="A71" s="216"/>
      <c r="B71" s="216">
        <v>24</v>
      </c>
      <c r="C71" s="218" t="s">
        <v>703</v>
      </c>
      <c r="D71" s="218">
        <v>2870</v>
      </c>
      <c r="E71" s="218">
        <v>31</v>
      </c>
      <c r="F71" s="897">
        <v>2028700031</v>
      </c>
      <c r="G71" s="223">
        <v>9196</v>
      </c>
      <c r="H71" s="218" t="s">
        <v>726</v>
      </c>
      <c r="I71" s="222" t="s">
        <v>727</v>
      </c>
      <c r="J71" s="218">
        <v>0.98</v>
      </c>
      <c r="K71" s="218">
        <v>4</v>
      </c>
      <c r="L71" s="218">
        <v>0</v>
      </c>
      <c r="M71" s="218">
        <v>4.8</v>
      </c>
      <c r="N71" s="220">
        <v>9000</v>
      </c>
      <c r="O71" s="220">
        <v>0</v>
      </c>
      <c r="P71" s="220">
        <v>0</v>
      </c>
      <c r="Q71" s="220">
        <v>9000</v>
      </c>
      <c r="R71" s="223">
        <v>0</v>
      </c>
      <c r="S71" s="898" t="s">
        <v>637</v>
      </c>
      <c r="T71" s="234">
        <f>U71</f>
        <v>0</v>
      </c>
      <c r="U71" s="111">
        <v>0</v>
      </c>
      <c r="V71" s="234">
        <f>W71</f>
        <v>9000</v>
      </c>
      <c r="W71" s="111">
        <f>N71</f>
        <v>9000</v>
      </c>
      <c r="X71" s="111"/>
      <c r="Y71" s="111">
        <f>W71-AA71</f>
        <v>9000</v>
      </c>
      <c r="Z71" s="234">
        <f>AA71</f>
        <v>0</v>
      </c>
      <c r="AA71" s="111">
        <v>0</v>
      </c>
      <c r="AB71" s="234">
        <f>AC71</f>
        <v>900</v>
      </c>
      <c r="AC71" s="111">
        <f>0.1*W71</f>
        <v>900</v>
      </c>
      <c r="AD71" s="234">
        <f>AE71</f>
        <v>0</v>
      </c>
      <c r="AE71" s="111">
        <f>AG71+AF71</f>
        <v>0</v>
      </c>
      <c r="AF71" s="111">
        <v>0</v>
      </c>
      <c r="AG71" s="111">
        <v>0</v>
      </c>
      <c r="AH71" s="111">
        <v>0</v>
      </c>
      <c r="AI71" s="234">
        <f>AJ71</f>
        <v>0</v>
      </c>
      <c r="AJ71" s="111">
        <v>0</v>
      </c>
      <c r="AK71" s="234">
        <f>AL71</f>
        <v>8100</v>
      </c>
      <c r="AL71" s="111">
        <f>W71-(AA71+AC71+AE71+AH71+AJ71+AM71+AW71+AO71+AQ71+AS71+AU71)</f>
        <v>8100</v>
      </c>
      <c r="AM71" s="899">
        <v>0</v>
      </c>
      <c r="AN71" s="234">
        <f>AO71</f>
        <v>0</v>
      </c>
      <c r="AO71" s="111">
        <v>0</v>
      </c>
      <c r="AP71" s="234">
        <f>AQ71</f>
        <v>0</v>
      </c>
      <c r="AQ71" s="111">
        <v>0</v>
      </c>
      <c r="AR71" s="234">
        <f>AS71</f>
        <v>0</v>
      </c>
      <c r="AS71" s="111">
        <v>0</v>
      </c>
      <c r="AT71" s="234">
        <f>AU71</f>
        <v>0</v>
      </c>
      <c r="AU71" s="111">
        <v>0</v>
      </c>
      <c r="AV71" s="234">
        <f>AW71</f>
        <v>0</v>
      </c>
      <c r="AW71" s="111">
        <f>AX71+AY71+AZ71+BA71+BB71</f>
        <v>0</v>
      </c>
      <c r="AX71" s="111">
        <v>0</v>
      </c>
      <c r="AY71" s="111">
        <v>0</v>
      </c>
      <c r="AZ71" s="111">
        <v>0</v>
      </c>
      <c r="BA71" s="111">
        <v>0</v>
      </c>
      <c r="BB71" s="111">
        <v>0</v>
      </c>
      <c r="BC71" s="111">
        <v>0</v>
      </c>
      <c r="BD71" s="234">
        <f>BE71</f>
        <v>9000</v>
      </c>
      <c r="BE71" s="111">
        <f>U71+W71</f>
        <v>9000</v>
      </c>
      <c r="BF71" s="234">
        <f>BG71</f>
        <v>0</v>
      </c>
      <c r="BG71" s="111">
        <f>U71/1000</f>
        <v>0</v>
      </c>
      <c r="BH71" s="234">
        <f>BI71</f>
        <v>0</v>
      </c>
      <c r="BI71" s="111">
        <v>0</v>
      </c>
      <c r="BJ71" s="122">
        <f t="shared" si="13"/>
        <v>0</v>
      </c>
      <c r="BK71" s="306">
        <f>ROUND((Y71+AC71+AA71)/1000*3,0)+ROUND((AE71+AU71)/1000,0)+ROUND((ROUND(AH71/400,0))/2.67,0)+ROUND(AM71/250,0)+ROUND(AO71/15000,0)+ROUND((AX71+AY71+AZ71+BB71)/1000*3,0)+ROUND(BG71/25,0)+ROUND(BU279/50,0)</f>
        <v>30</v>
      </c>
      <c r="BL71" s="111">
        <v>0</v>
      </c>
      <c r="BM71" s="111">
        <v>0</v>
      </c>
      <c r="BN71" s="111">
        <v>0</v>
      </c>
      <c r="BO71" s="111">
        <v>0</v>
      </c>
      <c r="BP71" s="111">
        <f>AH71/1000</f>
        <v>0</v>
      </c>
      <c r="BQ71" s="111">
        <v>0</v>
      </c>
      <c r="BR71" s="111">
        <v>0</v>
      </c>
      <c r="BS71" s="111">
        <v>0</v>
      </c>
      <c r="BT71" s="234">
        <f>BU71</f>
        <v>0</v>
      </c>
      <c r="BU71" s="111">
        <f>SUM(BL71:BS71)</f>
        <v>0</v>
      </c>
      <c r="BV71" s="228">
        <v>15</v>
      </c>
      <c r="BW71" s="900" t="s">
        <v>729</v>
      </c>
      <c r="BX71" s="228">
        <v>7.2</v>
      </c>
      <c r="BY71" s="228">
        <v>3.4</v>
      </c>
      <c r="BZ71" s="228">
        <v>6.5</v>
      </c>
      <c r="CA71" s="901"/>
      <c r="CB71" s="230" t="s">
        <v>716</v>
      </c>
      <c r="CC71" s="399">
        <f>(BX71*G71)-CF71</f>
        <v>58394.6</v>
      </c>
      <c r="CD71" s="399">
        <v>58394.6</v>
      </c>
      <c r="CE71" s="234">
        <f>CF71</f>
        <v>7816.6</v>
      </c>
      <c r="CF71" s="836">
        <f>1*(G71)-(0.15*1*(G71))</f>
        <v>7816.6</v>
      </c>
      <c r="CG71" s="234">
        <f>CH71</f>
        <v>7816.6</v>
      </c>
      <c r="CH71" s="836">
        <f>CF71-CJ71</f>
        <v>7816.6</v>
      </c>
      <c r="CI71" s="234">
        <f>CJ71</f>
        <v>0</v>
      </c>
      <c r="CJ71" s="228">
        <v>0</v>
      </c>
      <c r="CK71" s="234">
        <f>CL71</f>
        <v>0</v>
      </c>
      <c r="CL71" s="228">
        <v>0</v>
      </c>
      <c r="CM71" s="234">
        <f>CN71</f>
        <v>7816.6</v>
      </c>
      <c r="CN71" s="903">
        <f>CF71-(CJ71+CL71+CO71+CP71+CR71+CU71+CV71+CX71)</f>
        <v>7816.6</v>
      </c>
      <c r="CO71" s="903">
        <v>0</v>
      </c>
      <c r="CP71" s="903">
        <v>0</v>
      </c>
      <c r="CQ71" s="234">
        <f>CR71</f>
        <v>0</v>
      </c>
      <c r="CR71" s="111">
        <v>0</v>
      </c>
      <c r="CS71" s="903">
        <v>0</v>
      </c>
      <c r="CT71" s="903">
        <v>0</v>
      </c>
      <c r="CU71" s="903">
        <v>0</v>
      </c>
      <c r="CV71" s="903">
        <v>0</v>
      </c>
      <c r="CW71" s="234">
        <f>CX71</f>
        <v>0</v>
      </c>
      <c r="CX71" s="111">
        <f>SUM(CY71:DC71)</f>
        <v>0</v>
      </c>
      <c r="CY71" s="903">
        <f>AX71</f>
        <v>0</v>
      </c>
      <c r="CZ71" s="903">
        <f>AY71</f>
        <v>0</v>
      </c>
      <c r="DA71" s="903">
        <f>AZ71</f>
        <v>0</v>
      </c>
      <c r="DB71" s="903">
        <f>BA71</f>
        <v>0</v>
      </c>
      <c r="DC71" s="903">
        <f>BB71</f>
        <v>0</v>
      </c>
      <c r="DD71" s="903"/>
      <c r="DE71" s="234">
        <f>DF71</f>
        <v>66211.199999999997</v>
      </c>
      <c r="DF71" s="903">
        <f>CC71+CF71</f>
        <v>66211.199999999997</v>
      </c>
      <c r="DG71" s="234">
        <f>DH71</f>
        <v>58.394599999999997</v>
      </c>
      <c r="DH71" s="904">
        <f>CC71/'[1]Projected Development Sites'!DF$134</f>
        <v>58.394599999999997</v>
      </c>
      <c r="DI71" s="886">
        <f>DJ71</f>
        <v>58.394599999999997</v>
      </c>
      <c r="DJ71" s="803">
        <f>'[1]Projected Development Sites'!DK$136*DH71</f>
        <v>58.394599999999997</v>
      </c>
      <c r="DK71" s="771">
        <f>3.06*DH71</f>
        <v>178.687476</v>
      </c>
      <c r="DL71" s="772">
        <f>ROUND((CN71+CL71+CJ71)/1000*3,0)+ROUND((ROUND(CP71/400,0))/2.67,0)+ROUND(CV71/1000,0)+ROUND((CY71+CZ71+DA71+DC71)/1000*3,0)+ROUND(DH71/25,0)+ROUND(DX71/50,0)</f>
        <v>25</v>
      </c>
      <c r="DM71" s="905">
        <v>0</v>
      </c>
      <c r="DN71" s="905"/>
      <c r="DO71" s="905">
        <v>0</v>
      </c>
      <c r="DP71" s="905">
        <f>0.25*DJ71</f>
        <v>14.598649999999999</v>
      </c>
      <c r="DQ71" s="905">
        <f>SUM(CO71,CJ71,CN71,CR71,CU71)/1000</f>
        <v>7.8166000000000002</v>
      </c>
      <c r="DR71" s="905">
        <f>CL71/1000</f>
        <v>0</v>
      </c>
      <c r="DS71" s="905">
        <f>((CP71/400)/12)</f>
        <v>0</v>
      </c>
      <c r="DT71" s="905">
        <v>0</v>
      </c>
      <c r="DU71" s="905">
        <v>0</v>
      </c>
      <c r="DV71" s="905">
        <f>CX71/1000</f>
        <v>0</v>
      </c>
      <c r="DW71" s="886">
        <f>DX71</f>
        <v>7.8166000000000002</v>
      </c>
      <c r="DX71" s="906">
        <f>SUM(DM71,DO71,DQ71:DV71)</f>
        <v>7.8166000000000002</v>
      </c>
      <c r="DY71" s="837">
        <v>145</v>
      </c>
      <c r="DZ71" s="2288">
        <f>CD71-T71</f>
        <v>58394.6</v>
      </c>
      <c r="EA71" s="2231">
        <f>CE71-V71</f>
        <v>-1183.3999999999996</v>
      </c>
      <c r="EB71" s="187">
        <f>CF71-W71</f>
        <v>-1183.3999999999996</v>
      </c>
      <c r="EC71" s="235">
        <f>ED71</f>
        <v>-1183.3999999999996</v>
      </c>
      <c r="ED71" s="187">
        <v>-1183.3999999999996</v>
      </c>
      <c r="EE71" s="187">
        <f>(SUM(CJ71:CO71))-(SUM(AA71:AE71,AL71))</f>
        <v>5733.2000000000007</v>
      </c>
      <c r="EF71" s="235">
        <f>EG71</f>
        <v>-283.39999999999964</v>
      </c>
      <c r="EG71" s="245">
        <v>-283.39999999999964</v>
      </c>
      <c r="EH71" s="235">
        <f>EI71</f>
        <v>-900</v>
      </c>
      <c r="EI71" s="187">
        <f>CL71-AC71</f>
        <v>-900</v>
      </c>
      <c r="EJ71" s="235">
        <f>EK71</f>
        <v>0</v>
      </c>
      <c r="EK71" s="187">
        <f>CJ71-AA71</f>
        <v>0</v>
      </c>
      <c r="EL71" s="235">
        <f>EM71</f>
        <v>0</v>
      </c>
      <c r="EM71" s="245">
        <f>CO71-AE71</f>
        <v>0</v>
      </c>
      <c r="EN71" s="235">
        <f>EO71</f>
        <v>0</v>
      </c>
      <c r="EO71" s="245">
        <f>CP71-AH71</f>
        <v>0</v>
      </c>
      <c r="EP71" s="235">
        <f>EQ71</f>
        <v>0</v>
      </c>
      <c r="EQ71" s="187">
        <f>CR71-AJ71</f>
        <v>0</v>
      </c>
      <c r="ER71" s="235">
        <f>ES71</f>
        <v>0</v>
      </c>
      <c r="ES71" s="187">
        <f>CS71-AO71</f>
        <v>0</v>
      </c>
      <c r="ET71" s="235">
        <f>EU71</f>
        <v>0</v>
      </c>
      <c r="EU71" s="187">
        <f t="shared" si="32"/>
        <v>0</v>
      </c>
      <c r="EV71" s="235">
        <f>EW71</f>
        <v>0</v>
      </c>
      <c r="EW71" s="187">
        <f>CU71-AS71</f>
        <v>0</v>
      </c>
      <c r="EX71" s="235">
        <f>EY71</f>
        <v>0</v>
      </c>
      <c r="EY71" s="245">
        <f>CV71-AU71</f>
        <v>0</v>
      </c>
      <c r="EZ71" s="235">
        <f>FA71</f>
        <v>0</v>
      </c>
      <c r="FA71" s="245">
        <f>CY71-AX71</f>
        <v>0</v>
      </c>
      <c r="FB71" s="235">
        <f>FC71</f>
        <v>0</v>
      </c>
      <c r="FC71" s="245">
        <f>CZ71-AY71</f>
        <v>0</v>
      </c>
      <c r="FD71" s="235">
        <f>FE71</f>
        <v>0</v>
      </c>
      <c r="FE71" s="245">
        <f>DA71-AZ71</f>
        <v>0</v>
      </c>
      <c r="FF71" s="235">
        <f>FG71</f>
        <v>0</v>
      </c>
      <c r="FG71" s="245">
        <f>DB71-BA71</f>
        <v>0</v>
      </c>
      <c r="FH71" s="235">
        <f>FI71</f>
        <v>0</v>
      </c>
      <c r="FI71" s="245">
        <f>DC71-BB71</f>
        <v>0</v>
      </c>
      <c r="FJ71" s="235">
        <f>FK71</f>
        <v>0</v>
      </c>
      <c r="FK71" s="245">
        <f>CX71-AW71</f>
        <v>0</v>
      </c>
      <c r="FL71" s="235">
        <f>FM71</f>
        <v>57211.199999999997</v>
      </c>
      <c r="FM71" s="187">
        <f>DF71-BE71</f>
        <v>57211.199999999997</v>
      </c>
      <c r="FN71" s="235">
        <f>FO71</f>
        <v>58.394599999999997</v>
      </c>
      <c r="FO71" s="187">
        <f>DH71-BG71</f>
        <v>58.394599999999997</v>
      </c>
      <c r="FP71" s="235">
        <f>FQ71</f>
        <v>58.394599999999997</v>
      </c>
      <c r="FQ71" s="187">
        <f>DJ71-BI71</f>
        <v>58.394599999999997</v>
      </c>
      <c r="FR71" s="245">
        <f>DK71-BJ71</f>
        <v>178.687476</v>
      </c>
      <c r="FS71" s="245">
        <f>DL71-BK71</f>
        <v>-5</v>
      </c>
      <c r="FT71" s="907">
        <f>DM71-BL71</f>
        <v>0</v>
      </c>
      <c r="FU71" s="907">
        <f>DR71-BO71</f>
        <v>0</v>
      </c>
      <c r="FV71" s="907">
        <f>DO71-BM71</f>
        <v>0</v>
      </c>
      <c r="FW71" s="907">
        <f>DQ71-BN71</f>
        <v>7.8166000000000002</v>
      </c>
      <c r="FX71" s="907">
        <f>DS71-BP71</f>
        <v>0</v>
      </c>
      <c r="FY71" s="907">
        <f>DT71-BQ71</f>
        <v>0</v>
      </c>
      <c r="FZ71" s="907">
        <f>DU71-BR71</f>
        <v>0</v>
      </c>
      <c r="GA71" s="907">
        <f>DV71-BS71</f>
        <v>0</v>
      </c>
      <c r="GB71" s="894">
        <f>GC71</f>
        <v>7.8166000000000002</v>
      </c>
      <c r="GC71" s="776">
        <f t="shared" ref="GC71:GC133" si="33">SUM(FT71:GA71)</f>
        <v>7.8166000000000002</v>
      </c>
      <c r="GD71" s="139"/>
      <c r="GE71" s="139"/>
      <c r="GF71" s="139"/>
      <c r="GG71" s="139"/>
      <c r="GH71" s="139"/>
      <c r="GI71" s="139"/>
      <c r="GJ71" s="139"/>
      <c r="GK71" s="139"/>
      <c r="GL71" s="139"/>
      <c r="GM71" s="139"/>
      <c r="GN71" s="139"/>
      <c r="GO71" s="139"/>
      <c r="GP71" s="139"/>
      <c r="GQ71" s="139"/>
      <c r="GR71" s="139"/>
      <c r="GS71" s="139"/>
      <c r="GT71" s="139"/>
    </row>
    <row r="72" spans="1:202" s="139" customFormat="1" ht="18.75">
      <c r="A72" s="2263"/>
      <c r="B72" s="2263"/>
      <c r="C72" s="132"/>
      <c r="D72" s="132"/>
      <c r="E72" s="132"/>
      <c r="F72" s="777"/>
      <c r="G72" s="137"/>
      <c r="H72" s="132"/>
      <c r="I72" s="136"/>
      <c r="J72" s="132"/>
      <c r="K72" s="132"/>
      <c r="L72" s="132"/>
      <c r="M72" s="132"/>
      <c r="N72" s="134"/>
      <c r="O72" s="134"/>
      <c r="P72" s="134"/>
      <c r="Q72" s="134"/>
      <c r="R72" s="137"/>
      <c r="S72" s="778"/>
      <c r="T72" s="634"/>
      <c r="U72" s="102"/>
      <c r="V72" s="634"/>
      <c r="W72" s="102"/>
      <c r="X72" s="102"/>
      <c r="Y72" s="102"/>
      <c r="Z72" s="634"/>
      <c r="AA72" s="102"/>
      <c r="AB72" s="634"/>
      <c r="AC72" s="102"/>
      <c r="AD72" s="634"/>
      <c r="AE72" s="102"/>
      <c r="AF72" s="102"/>
      <c r="AG72" s="102"/>
      <c r="AH72" s="102"/>
      <c r="AI72" s="634"/>
      <c r="AJ72" s="102"/>
      <c r="AK72" s="634"/>
      <c r="AL72" s="102"/>
      <c r="AM72" s="779"/>
      <c r="AN72" s="634"/>
      <c r="AO72" s="102"/>
      <c r="AP72" s="634"/>
      <c r="AQ72" s="102"/>
      <c r="AR72" s="634"/>
      <c r="AS72" s="102"/>
      <c r="AT72" s="634"/>
      <c r="AU72" s="102"/>
      <c r="AV72" s="634"/>
      <c r="AW72" s="102"/>
      <c r="AX72" s="102"/>
      <c r="AY72" s="102"/>
      <c r="AZ72" s="102"/>
      <c r="BA72" s="102"/>
      <c r="BB72" s="102"/>
      <c r="BC72" s="102"/>
      <c r="BD72" s="634"/>
      <c r="BE72" s="102"/>
      <c r="BF72" s="634"/>
      <c r="BG72" s="102"/>
      <c r="BH72" s="634"/>
      <c r="BI72" s="102"/>
      <c r="BJ72" s="122"/>
      <c r="BK72" s="306"/>
      <c r="BL72" s="102"/>
      <c r="BM72" s="102"/>
      <c r="BN72" s="102"/>
      <c r="BO72" s="102"/>
      <c r="BP72" s="102"/>
      <c r="BQ72" s="102"/>
      <c r="BR72" s="102"/>
      <c r="BS72" s="102"/>
      <c r="BT72" s="634"/>
      <c r="BU72" s="102"/>
      <c r="BW72" s="780"/>
      <c r="CA72" s="781"/>
      <c r="CB72" s="2258"/>
      <c r="CC72" s="782"/>
      <c r="CD72" s="782"/>
      <c r="CE72" s="634"/>
      <c r="CF72" s="840"/>
      <c r="CG72" s="634"/>
      <c r="CH72" s="783"/>
      <c r="CI72" s="634"/>
      <c r="CK72" s="634"/>
      <c r="CM72" s="634"/>
      <c r="CN72" s="784"/>
      <c r="CO72" s="784"/>
      <c r="CP72" s="784"/>
      <c r="CQ72" s="634"/>
      <c r="CR72" s="102"/>
      <c r="CS72" s="784"/>
      <c r="CT72" s="784"/>
      <c r="CU72" s="784"/>
      <c r="CV72" s="784"/>
      <c r="CW72" s="634"/>
      <c r="CX72" s="102"/>
      <c r="CY72" s="784"/>
      <c r="CZ72" s="784"/>
      <c r="DA72" s="784"/>
      <c r="DB72" s="784"/>
      <c r="DC72" s="784"/>
      <c r="DD72" s="784"/>
      <c r="DE72" s="634"/>
      <c r="DF72" s="784"/>
      <c r="DG72" s="634"/>
      <c r="DH72" s="296"/>
      <c r="DI72" s="802"/>
      <c r="DJ72" s="785"/>
      <c r="DK72" s="771"/>
      <c r="DL72" s="772"/>
      <c r="DM72" s="787"/>
      <c r="DN72" s="787"/>
      <c r="DO72" s="787"/>
      <c r="DP72" s="787"/>
      <c r="DQ72" s="787"/>
      <c r="DR72" s="787"/>
      <c r="DS72" s="787"/>
      <c r="DT72" s="787"/>
      <c r="DU72" s="787"/>
      <c r="DV72" s="787"/>
      <c r="DW72" s="802"/>
      <c r="DX72" s="788"/>
      <c r="DY72" s="634"/>
      <c r="DZ72" s="2288"/>
      <c r="EA72" s="2231"/>
      <c r="EB72" s="187"/>
      <c r="EC72" s="2232"/>
      <c r="ED72" s="187"/>
      <c r="EE72" s="187"/>
      <c r="EF72" s="2232"/>
      <c r="EG72" s="245"/>
      <c r="EH72" s="2232"/>
      <c r="EI72" s="187"/>
      <c r="EJ72" s="2232"/>
      <c r="EK72" s="187"/>
      <c r="EL72" s="2232"/>
      <c r="EM72" s="195"/>
      <c r="EN72" s="2232"/>
      <c r="EO72" s="195"/>
      <c r="EP72" s="2232"/>
      <c r="EQ72" s="187"/>
      <c r="ER72" s="2232"/>
      <c r="ES72" s="187"/>
      <c r="ET72" s="2232"/>
      <c r="EU72" s="187">
        <f t="shared" si="32"/>
        <v>0</v>
      </c>
      <c r="EV72" s="2232"/>
      <c r="EW72" s="187"/>
      <c r="EX72" s="2232"/>
      <c r="EY72" s="195"/>
      <c r="EZ72" s="2232"/>
      <c r="FA72" s="195"/>
      <c r="FB72" s="2232"/>
      <c r="FC72" s="195"/>
      <c r="FD72" s="2232"/>
      <c r="FE72" s="195"/>
      <c r="FF72" s="2232"/>
      <c r="FG72" s="195"/>
      <c r="FH72" s="2232"/>
      <c r="FI72" s="195"/>
      <c r="FJ72" s="2232"/>
      <c r="FK72" s="195"/>
      <c r="FL72" s="2232"/>
      <c r="FM72" s="187"/>
      <c r="FN72" s="2232"/>
      <c r="FO72" s="187"/>
      <c r="FP72" s="2232"/>
      <c r="FQ72" s="187"/>
      <c r="FR72" s="195"/>
      <c r="FS72" s="245"/>
      <c r="FT72" s="789"/>
      <c r="FU72" s="789"/>
      <c r="FV72" s="789"/>
      <c r="FW72" s="789"/>
      <c r="FX72" s="789"/>
      <c r="FY72" s="789"/>
      <c r="FZ72" s="789"/>
      <c r="GA72" s="789"/>
      <c r="GB72" s="2286"/>
      <c r="GC72" s="776"/>
    </row>
    <row r="73" spans="1:202" s="127" customFormat="1" ht="15" customHeight="1">
      <c r="A73" s="2588"/>
      <c r="B73" s="2588">
        <v>25</v>
      </c>
      <c r="C73" s="115" t="s">
        <v>703</v>
      </c>
      <c r="D73" s="115">
        <v>2863</v>
      </c>
      <c r="E73" s="115">
        <v>32</v>
      </c>
      <c r="F73" s="763">
        <v>2028630032</v>
      </c>
      <c r="G73" s="120">
        <v>5652</v>
      </c>
      <c r="H73" s="115" t="s">
        <v>726</v>
      </c>
      <c r="I73" s="119" t="s">
        <v>727</v>
      </c>
      <c r="J73" s="115">
        <v>1</v>
      </c>
      <c r="K73" s="115">
        <v>4</v>
      </c>
      <c r="L73" s="115">
        <v>0</v>
      </c>
      <c r="M73" s="115">
        <v>4.8</v>
      </c>
      <c r="N73" s="117">
        <v>5642</v>
      </c>
      <c r="O73" s="117">
        <v>0</v>
      </c>
      <c r="P73" s="117">
        <v>0</v>
      </c>
      <c r="Q73" s="117">
        <v>5642</v>
      </c>
      <c r="R73" s="120">
        <v>0</v>
      </c>
      <c r="S73" s="764" t="s">
        <v>637</v>
      </c>
      <c r="T73" s="2600">
        <f>SUM(U73:U77)</f>
        <v>0</v>
      </c>
      <c r="U73" s="122">
        <v>0</v>
      </c>
      <c r="V73" s="2600">
        <f>SUM(W73:W77)</f>
        <v>38099</v>
      </c>
      <c r="W73" s="122">
        <f>N73</f>
        <v>5642</v>
      </c>
      <c r="X73" s="122"/>
      <c r="Y73" s="122">
        <f>W73-AA73</f>
        <v>3780.14</v>
      </c>
      <c r="Z73" s="2600">
        <f>SUM(AA73:AA77)</f>
        <v>3261.0600000000004</v>
      </c>
      <c r="AA73" s="122">
        <f>0.33*W73</f>
        <v>1861.8600000000001</v>
      </c>
      <c r="AB73" s="2600">
        <f>SUM(AC73:AC77)</f>
        <v>1624.2</v>
      </c>
      <c r="AC73" s="122">
        <f>0.1*W73</f>
        <v>564.20000000000005</v>
      </c>
      <c r="AD73" s="2600">
        <f>SUM(AE73:AE77)</f>
        <v>0</v>
      </c>
      <c r="AE73" s="122">
        <f>AG73+AF73</f>
        <v>0</v>
      </c>
      <c r="AF73" s="122">
        <v>0</v>
      </c>
      <c r="AG73" s="122">
        <v>0</v>
      </c>
      <c r="AH73" s="122">
        <v>0</v>
      </c>
      <c r="AI73" s="2600">
        <f>SUM(AJ73:AJ77)</f>
        <v>0</v>
      </c>
      <c r="AJ73" s="122">
        <v>0</v>
      </c>
      <c r="AK73" s="2600">
        <f>SUM(AL73:AL77)</f>
        <v>13963.74</v>
      </c>
      <c r="AL73" s="122">
        <f>W73-(AA73+AC73+AE73+AH73+AJ73+AM73+AW73+AO73+AQ73+AS73+AU73)</f>
        <v>3215.9399999999996</v>
      </c>
      <c r="AM73" s="765">
        <v>0</v>
      </c>
      <c r="AN73" s="2600">
        <f>SUM(AO73:AO77)</f>
        <v>0</v>
      </c>
      <c r="AO73" s="122">
        <v>0</v>
      </c>
      <c r="AP73" s="2600">
        <f>SUM(AQ73:AQ77)</f>
        <v>0</v>
      </c>
      <c r="AQ73" s="122">
        <v>0</v>
      </c>
      <c r="AR73" s="2600">
        <f>SUM(AS73:AS77)</f>
        <v>0</v>
      </c>
      <c r="AS73" s="122">
        <v>0</v>
      </c>
      <c r="AT73" s="2600">
        <f>SUM(AU73:AU77)</f>
        <v>0</v>
      </c>
      <c r="AU73" s="122">
        <v>0</v>
      </c>
      <c r="AV73" s="2600">
        <f>SUM(AW73:AW77)</f>
        <v>19250</v>
      </c>
      <c r="AW73" s="122">
        <f>AX73+AY73+AZ73+BA73+BB73</f>
        <v>0</v>
      </c>
      <c r="AX73" s="122">
        <v>0</v>
      </c>
      <c r="AY73" s="122">
        <v>0</v>
      </c>
      <c r="AZ73" s="122">
        <v>0</v>
      </c>
      <c r="BA73" s="122">
        <v>0</v>
      </c>
      <c r="BB73" s="122">
        <v>0</v>
      </c>
      <c r="BC73" s="122">
        <v>0</v>
      </c>
      <c r="BD73" s="2600">
        <f>SUM(BE73:BE77)</f>
        <v>38099</v>
      </c>
      <c r="BE73" s="122">
        <f>U73+W73</f>
        <v>5642</v>
      </c>
      <c r="BF73" s="2600">
        <f>SUM(BG73:BG77)</f>
        <v>0</v>
      </c>
      <c r="BG73" s="122">
        <f>U73/1000</f>
        <v>0</v>
      </c>
      <c r="BH73" s="2600">
        <f>SUM(BI73:BI77)</f>
        <v>0</v>
      </c>
      <c r="BI73" s="122">
        <v>0</v>
      </c>
      <c r="BJ73" s="122">
        <f t="shared" si="13"/>
        <v>0</v>
      </c>
      <c r="BK73" s="129">
        <f>ROUND((Y73+AC73+AA73)/1000*3,0)+ROUND((AE73+AU73)/1000,0)+ROUND((ROUND(AH73/400,0))/2.67,0)+ROUND(AM73/250,0)+ROUND(AO73/15000,0)+ROUND((AX73+AY73+AZ73+BB73)/1000*3,0)+ROUND(BG73/25,0)+ROUND(BU276/50,0)</f>
        <v>19</v>
      </c>
      <c r="BL73" s="122">
        <v>0</v>
      </c>
      <c r="BM73" s="122">
        <v>0</v>
      </c>
      <c r="BN73" s="122">
        <v>0</v>
      </c>
      <c r="BO73" s="122">
        <v>0</v>
      </c>
      <c r="BP73" s="122">
        <f>AH73/1000</f>
        <v>0</v>
      </c>
      <c r="BQ73" s="122">
        <v>0</v>
      </c>
      <c r="BR73" s="122">
        <v>0</v>
      </c>
      <c r="BS73" s="122">
        <v>0</v>
      </c>
      <c r="BT73" s="2600">
        <f>SUM(BU73:BU77)</f>
        <v>0</v>
      </c>
      <c r="BU73" s="122">
        <f>SUM(BL73:BS73)</f>
        <v>0</v>
      </c>
      <c r="BV73" s="127">
        <v>15</v>
      </c>
      <c r="BW73" s="766" t="s">
        <v>729</v>
      </c>
      <c r="BX73" s="127">
        <v>7.2</v>
      </c>
      <c r="BY73" s="127">
        <v>3.4</v>
      </c>
      <c r="BZ73" s="127">
        <v>6.5</v>
      </c>
      <c r="CA73" s="767"/>
      <c r="CB73" s="2745" t="s">
        <v>860</v>
      </c>
      <c r="CC73" s="768">
        <f>(BX73*G73)-CF73</f>
        <v>35890.200000000004</v>
      </c>
      <c r="CD73" s="2731">
        <f>SUM(CC73:CC77)</f>
        <v>181285.80000000002</v>
      </c>
      <c r="CE73" s="2600">
        <f>SUM(CF73:CF77)</f>
        <v>25741.800000000003</v>
      </c>
      <c r="CF73" s="838">
        <f>1*(G73)-(0.15*1*(G73))</f>
        <v>4804.2</v>
      </c>
      <c r="CG73" s="2600">
        <f>SUM(CH73:CH77)</f>
        <v>24342.6</v>
      </c>
      <c r="CH73" s="769">
        <f>CF73-CJ73</f>
        <v>4804.2</v>
      </c>
      <c r="CI73" s="2600">
        <f>SUM(CJ73:CJ77)</f>
        <v>1399.2</v>
      </c>
      <c r="CJ73" s="127">
        <v>0</v>
      </c>
      <c r="CK73" s="2600">
        <f>SUM(CL73:CL77)</f>
        <v>1060</v>
      </c>
      <c r="CL73" s="127">
        <v>0</v>
      </c>
      <c r="CM73" s="2600">
        <f>SUM(CN73:CN77)</f>
        <v>13782.6</v>
      </c>
      <c r="CN73" s="770">
        <f>CF73-(CJ73+CL73+CO73+CP73+CR73+CU73+CV73+CX73)</f>
        <v>4804.2</v>
      </c>
      <c r="CO73" s="770">
        <v>0</v>
      </c>
      <c r="CP73" s="770">
        <v>0</v>
      </c>
      <c r="CQ73" s="2600">
        <f>SUM(CR73:CR77)</f>
        <v>0</v>
      </c>
      <c r="CR73" s="122">
        <v>0</v>
      </c>
      <c r="CS73" s="770">
        <v>0</v>
      </c>
      <c r="CT73" s="770">
        <v>0</v>
      </c>
      <c r="CU73" s="770">
        <v>0</v>
      </c>
      <c r="CV73" s="770">
        <v>0</v>
      </c>
      <c r="CW73" s="2600">
        <f>SUM(CX73:CX77)</f>
        <v>19250</v>
      </c>
      <c r="CX73" s="122">
        <f>SUM(CY73:DC73)</f>
        <v>0</v>
      </c>
      <c r="CY73" s="770">
        <f t="shared" ref="CY73:DC77" si="34">AX73</f>
        <v>0</v>
      </c>
      <c r="CZ73" s="770">
        <f t="shared" si="34"/>
        <v>0</v>
      </c>
      <c r="DA73" s="770">
        <f t="shared" si="34"/>
        <v>0</v>
      </c>
      <c r="DB73" s="770">
        <f t="shared" si="34"/>
        <v>0</v>
      </c>
      <c r="DC73" s="770">
        <f t="shared" si="34"/>
        <v>0</v>
      </c>
      <c r="DD73" s="770"/>
      <c r="DE73" s="2600">
        <f>SUM(DF73:DF77)</f>
        <v>207027.59999999998</v>
      </c>
      <c r="DF73" s="770">
        <f>CC73+CF73</f>
        <v>40694.400000000001</v>
      </c>
      <c r="DG73" s="2600">
        <f>SUM(DH73:DH77)</f>
        <v>181.28579999999999</v>
      </c>
      <c r="DH73" s="293">
        <f>CC73/'[1]Projected Development Sites'!DF$134</f>
        <v>35.890200000000007</v>
      </c>
      <c r="DI73" s="2722">
        <f>SUM(DJ73:DJ77)</f>
        <v>181.28579999999999</v>
      </c>
      <c r="DJ73" s="771">
        <f>'[1]Projected Development Sites'!DK$136*DH73</f>
        <v>35.890200000000007</v>
      </c>
      <c r="DK73" s="771">
        <f>3.06*DH73</f>
        <v>109.82401200000002</v>
      </c>
      <c r="DL73" s="772">
        <f>ROUND((CN73+CL73+CJ73)/1000*3,0)+ROUND((ROUND(CP73/400,0))/2.67,0)+ROUND(CV73/1000,0)+ROUND((CY73+CZ73+DA73+DC73)/1000*3,0)+ROUND(DH73/25,0)+ROUND(DX73/50,0)</f>
        <v>15</v>
      </c>
      <c r="DM73" s="773">
        <v>0</v>
      </c>
      <c r="DN73" s="773"/>
      <c r="DO73" s="773">
        <v>0</v>
      </c>
      <c r="DP73" s="773">
        <f>0.25*DJ73</f>
        <v>8.9725500000000018</v>
      </c>
      <c r="DQ73" s="773">
        <f>SUM(CO73,CJ73,CN73,CR73,CU73)/1000</f>
        <v>4.8041999999999998</v>
      </c>
      <c r="DR73" s="773">
        <f>CL73/1000</f>
        <v>0</v>
      </c>
      <c r="DS73" s="773">
        <f>((CP73/400)/12)</f>
        <v>0</v>
      </c>
      <c r="DT73" s="773">
        <v>0</v>
      </c>
      <c r="DU73" s="773">
        <v>0</v>
      </c>
      <c r="DV73" s="773">
        <f>CX73/1000</f>
        <v>0</v>
      </c>
      <c r="DW73" s="2722">
        <f>SUM(DX73:DX77)</f>
        <v>35.491799999999998</v>
      </c>
      <c r="DX73" s="774">
        <f>SUM(DM73,DO73,DQ73:DV73)</f>
        <v>4.8041999999999998</v>
      </c>
      <c r="DY73" s="2725">
        <v>165</v>
      </c>
      <c r="DZ73" s="2728">
        <f>CD73-T73</f>
        <v>181285.80000000002</v>
      </c>
      <c r="EA73" s="2602">
        <f>CE73-V73</f>
        <v>-12357.199999999997</v>
      </c>
      <c r="EB73" s="187">
        <f>CF73-W73</f>
        <v>-837.80000000000018</v>
      </c>
      <c r="EC73" s="2602">
        <f>SUM(ED73:ED77)</f>
        <v>-2607.1999999999998</v>
      </c>
      <c r="ED73" s="187">
        <v>-837.80000000000018</v>
      </c>
      <c r="EE73" s="187">
        <f>(SUM(CJ73:CO73))-(SUM(AA73:AE73,AL73))</f>
        <v>12380.599999999999</v>
      </c>
      <c r="EF73" s="2602">
        <f>SUM(EG73:EG77)</f>
        <v>-181.13999999999942</v>
      </c>
      <c r="EG73" s="187">
        <v>1588.2600000000002</v>
      </c>
      <c r="EH73" s="2602">
        <f>SUM(EI73:EI77)</f>
        <v>-564.20000000000005</v>
      </c>
      <c r="EI73" s="187">
        <f>CL73-AC73</f>
        <v>-564.20000000000005</v>
      </c>
      <c r="EJ73" s="2602">
        <f>SUM(EK73:EK77)</f>
        <v>-1861.8600000000001</v>
      </c>
      <c r="EK73" s="187">
        <f>CJ73-AA73</f>
        <v>-1861.8600000000001</v>
      </c>
      <c r="EL73" s="2602">
        <f>SUM(EM73:EM77)</f>
        <v>0</v>
      </c>
      <c r="EM73" s="187">
        <f>CO73-AE73</f>
        <v>0</v>
      </c>
      <c r="EN73" s="2602">
        <f>SUM(EO73:EO77)</f>
        <v>0</v>
      </c>
      <c r="EO73" s="187">
        <f>CP73-AH73</f>
        <v>0</v>
      </c>
      <c r="EP73" s="2602">
        <f>SUM(EQ73:EQ77)</f>
        <v>0</v>
      </c>
      <c r="EQ73" s="187">
        <f>CR73-AJ73</f>
        <v>0</v>
      </c>
      <c r="ER73" s="2602">
        <f>SUM(ES73:ES77)</f>
        <v>0</v>
      </c>
      <c r="ES73" s="187">
        <f>CS73-AO73</f>
        <v>0</v>
      </c>
      <c r="ET73" s="2602">
        <f>SUM(EU73:EU77)</f>
        <v>0</v>
      </c>
      <c r="EU73" s="187">
        <f t="shared" si="32"/>
        <v>0</v>
      </c>
      <c r="EV73" s="2602">
        <f>SUM(EW73:EW77)</f>
        <v>0</v>
      </c>
      <c r="EW73" s="187">
        <f>CU73-AS73</f>
        <v>0</v>
      </c>
      <c r="EX73" s="2602">
        <f>SUM(EY73:EY77)</f>
        <v>0</v>
      </c>
      <c r="EY73" s="187">
        <f>CV73-AU73</f>
        <v>0</v>
      </c>
      <c r="EZ73" s="2602">
        <f>SUM(FA73:FA77)</f>
        <v>0</v>
      </c>
      <c r="FA73" s="187">
        <f>CY73-AX73</f>
        <v>0</v>
      </c>
      <c r="FB73" s="2602">
        <f>SUM(FC73:FC77)</f>
        <v>0</v>
      </c>
      <c r="FC73" s="187">
        <f>CZ73-AY73</f>
        <v>0</v>
      </c>
      <c r="FD73" s="2602">
        <f>SUM(FE73:FE77)</f>
        <v>0</v>
      </c>
      <c r="FE73" s="187">
        <f>DA73-AZ73</f>
        <v>0</v>
      </c>
      <c r="FF73" s="2602">
        <f>SUM(FG73:FG77)</f>
        <v>0</v>
      </c>
      <c r="FG73" s="187">
        <f>DB73-BA73</f>
        <v>0</v>
      </c>
      <c r="FH73" s="2602">
        <f>SUM(FI73:FI77)</f>
        <v>0</v>
      </c>
      <c r="FI73" s="187">
        <f>DC73-BB73</f>
        <v>0</v>
      </c>
      <c r="FJ73" s="2602">
        <f>SUM(FK73:FK77)</f>
        <v>0</v>
      </c>
      <c r="FK73" s="187">
        <f>CX73-AW73</f>
        <v>0</v>
      </c>
      <c r="FL73" s="2602">
        <f>SUM(FM73:FM77)</f>
        <v>168928.59999999998</v>
      </c>
      <c r="FM73" s="187">
        <f>DF73-BE73</f>
        <v>35052.400000000001</v>
      </c>
      <c r="FN73" s="2602">
        <f>SUM(FO73:FO77)</f>
        <v>181.28579999999999</v>
      </c>
      <c r="FO73" s="187">
        <f>DH73-BG73</f>
        <v>35.890200000000007</v>
      </c>
      <c r="FP73" s="2602">
        <f>SUM(FQ73:FQ77)</f>
        <v>181.28579999999999</v>
      </c>
      <c r="FQ73" s="187">
        <f t="shared" ref="FQ73:FT77" si="35">DJ73-BI73</f>
        <v>35.890200000000007</v>
      </c>
      <c r="FR73" s="187">
        <f t="shared" si="35"/>
        <v>109.82401200000002</v>
      </c>
      <c r="FS73" s="187">
        <f t="shared" si="35"/>
        <v>-4</v>
      </c>
      <c r="FT73" s="775">
        <f t="shared" si="35"/>
        <v>0</v>
      </c>
      <c r="FU73" s="775">
        <f>DR73-BO73</f>
        <v>0</v>
      </c>
      <c r="FV73" s="775">
        <f>DO73-BM73</f>
        <v>0</v>
      </c>
      <c r="FW73" s="775">
        <f>DQ73-BN73</f>
        <v>4.8041999999999998</v>
      </c>
      <c r="FX73" s="775">
        <f t="shared" ref="FX73:GA77" si="36">DS73-BP73</f>
        <v>0</v>
      </c>
      <c r="FY73" s="775">
        <f t="shared" si="36"/>
        <v>0</v>
      </c>
      <c r="FZ73" s="775">
        <f t="shared" si="36"/>
        <v>0</v>
      </c>
      <c r="GA73" s="775">
        <f t="shared" si="36"/>
        <v>0</v>
      </c>
      <c r="GB73" s="2734">
        <f>SUM(GC73:GC77)</f>
        <v>35.491799999999998</v>
      </c>
      <c r="GC73" s="776">
        <f t="shared" si="33"/>
        <v>4.8041999999999998</v>
      </c>
      <c r="GD73" s="139"/>
      <c r="GE73" s="139"/>
      <c r="GF73" s="139"/>
      <c r="GG73" s="139"/>
      <c r="GH73" s="139"/>
      <c r="GI73" s="139"/>
      <c r="GJ73" s="139"/>
      <c r="GK73" s="139"/>
      <c r="GL73" s="139"/>
      <c r="GM73" s="139"/>
      <c r="GN73" s="139"/>
      <c r="GO73" s="139"/>
      <c r="GP73" s="139"/>
      <c r="GQ73" s="139"/>
      <c r="GR73" s="139"/>
      <c r="GS73" s="139"/>
      <c r="GT73" s="139"/>
    </row>
    <row r="74" spans="1:202" s="139" customFormat="1" ht="15" customHeight="1">
      <c r="A74" s="2660"/>
      <c r="B74" s="2660"/>
      <c r="C74" s="913" t="s">
        <v>710</v>
      </c>
      <c r="D74" s="132">
        <v>2863</v>
      </c>
      <c r="E74" s="132">
        <v>28</v>
      </c>
      <c r="F74" s="777">
        <v>2028630028</v>
      </c>
      <c r="G74" s="137">
        <v>6000</v>
      </c>
      <c r="H74" s="132" t="s">
        <v>726</v>
      </c>
      <c r="I74" s="136" t="s">
        <v>727</v>
      </c>
      <c r="J74" s="132">
        <v>1.63</v>
      </c>
      <c r="K74" s="132">
        <v>4</v>
      </c>
      <c r="L74" s="132">
        <v>0</v>
      </c>
      <c r="M74" s="132">
        <v>4.8</v>
      </c>
      <c r="N74" s="134">
        <v>9750</v>
      </c>
      <c r="O74" s="134">
        <v>0</v>
      </c>
      <c r="P74" s="134">
        <v>0</v>
      </c>
      <c r="Q74" s="134">
        <v>9750</v>
      </c>
      <c r="R74" s="137">
        <v>2</v>
      </c>
      <c r="S74" s="778" t="s">
        <v>731</v>
      </c>
      <c r="T74" s="2643"/>
      <c r="U74" s="102">
        <v>0</v>
      </c>
      <c r="V74" s="2643"/>
      <c r="W74" s="102">
        <f>N74</f>
        <v>9750</v>
      </c>
      <c r="X74" s="102"/>
      <c r="Y74" s="102">
        <f>W74-AA74</f>
        <v>9750</v>
      </c>
      <c r="Z74" s="2643"/>
      <c r="AA74" s="102">
        <v>0</v>
      </c>
      <c r="AB74" s="2643"/>
      <c r="AC74" s="102">
        <v>0</v>
      </c>
      <c r="AD74" s="2643"/>
      <c r="AE74" s="102">
        <f>AG74+AF74</f>
        <v>0</v>
      </c>
      <c r="AF74" s="102">
        <v>0</v>
      </c>
      <c r="AG74" s="102">
        <v>0</v>
      </c>
      <c r="AH74" s="102">
        <v>0</v>
      </c>
      <c r="AI74" s="2643"/>
      <c r="AJ74" s="102">
        <v>0</v>
      </c>
      <c r="AK74" s="2643"/>
      <c r="AL74" s="102">
        <f>W74-(AA74+AC74+AE74+AH74+AJ74+AM74+AW74+AO74+AQ74+AS74+AU74)</f>
        <v>0</v>
      </c>
      <c r="AM74" s="779">
        <v>0</v>
      </c>
      <c r="AN74" s="2643"/>
      <c r="AO74" s="102">
        <v>0</v>
      </c>
      <c r="AP74" s="2643"/>
      <c r="AQ74" s="102">
        <v>0</v>
      </c>
      <c r="AR74" s="2643"/>
      <c r="AS74" s="102">
        <v>0</v>
      </c>
      <c r="AT74" s="2643"/>
      <c r="AU74" s="102">
        <v>0</v>
      </c>
      <c r="AV74" s="2643"/>
      <c r="AW74" s="102">
        <f>AX74+AY74+AZ74+BA74+BB74</f>
        <v>9750</v>
      </c>
      <c r="AX74" s="102">
        <v>0</v>
      </c>
      <c r="AY74" s="102">
        <v>0</v>
      </c>
      <c r="AZ74" s="102">
        <v>0</v>
      </c>
      <c r="BA74" s="102">
        <v>0</v>
      </c>
      <c r="BB74" s="102">
        <v>9750</v>
      </c>
      <c r="BC74" s="102">
        <v>0</v>
      </c>
      <c r="BD74" s="2643"/>
      <c r="BE74" s="102">
        <f>U74+W74</f>
        <v>9750</v>
      </c>
      <c r="BF74" s="2643"/>
      <c r="BG74" s="102">
        <f>ROUND(U74/'[1]Projected Development Sites'!DF$134,0)</f>
        <v>0</v>
      </c>
      <c r="BH74" s="2643"/>
      <c r="BI74" s="102">
        <v>0</v>
      </c>
      <c r="BJ74" s="102">
        <f t="shared" si="13"/>
        <v>0</v>
      </c>
      <c r="BK74" s="186">
        <f>ROUND((Y74+AC74+AA74)/1000*3,0)+ROUND((AE74+AU74)/1000,0)+ROUND((ROUND(AH74/400,0))/2.67,0)+ROUND(AM74/250,0)+ROUND(AO74/15000,0)+ROUND((AX74+AY74+AZ74+BB74)/1000*3,0)+ROUND(BG74/25,0)+ROUND('A-App Potential sites'!BU277/50,0)</f>
        <v>58</v>
      </c>
      <c r="BL74" s="102">
        <v>0</v>
      </c>
      <c r="BM74" s="102">
        <v>0</v>
      </c>
      <c r="BN74" s="102">
        <v>0</v>
      </c>
      <c r="BO74" s="102">
        <f>AC74/1000</f>
        <v>0</v>
      </c>
      <c r="BP74" s="102">
        <f>AH74/1000</f>
        <v>0</v>
      </c>
      <c r="BQ74" s="102">
        <v>0</v>
      </c>
      <c r="BR74" s="102">
        <v>0</v>
      </c>
      <c r="BS74" s="102">
        <v>0</v>
      </c>
      <c r="BT74" s="2643"/>
      <c r="BU74" s="102">
        <f>SUM(BL74:BS74)</f>
        <v>0</v>
      </c>
      <c r="BV74" s="139">
        <v>25</v>
      </c>
      <c r="BW74" s="780" t="s">
        <v>729</v>
      </c>
      <c r="BX74" s="139">
        <v>7.2</v>
      </c>
      <c r="BY74" s="139">
        <v>3.4</v>
      </c>
      <c r="BZ74" s="139">
        <v>6.5</v>
      </c>
      <c r="CA74" s="781"/>
      <c r="CB74" s="2746"/>
      <c r="CC74" s="782">
        <f>(BX74*G74)-CX74</f>
        <v>33450</v>
      </c>
      <c r="CD74" s="2732"/>
      <c r="CE74" s="2643"/>
      <c r="CF74" s="840">
        <f>CJ74-CL74</f>
        <v>0</v>
      </c>
      <c r="CG74" s="2643"/>
      <c r="CH74" s="840">
        <f>CF74-CJ74</f>
        <v>0</v>
      </c>
      <c r="CI74" s="2643"/>
      <c r="CJ74" s="139">
        <v>0</v>
      </c>
      <c r="CK74" s="2643"/>
      <c r="CL74" s="139">
        <v>0</v>
      </c>
      <c r="CM74" s="2643"/>
      <c r="CN74" s="102">
        <v>0</v>
      </c>
      <c r="CO74" s="784">
        <v>0</v>
      </c>
      <c r="CP74" s="784">
        <v>0</v>
      </c>
      <c r="CQ74" s="2643"/>
      <c r="CR74" s="102">
        <v>0</v>
      </c>
      <c r="CS74" s="784">
        <v>0</v>
      </c>
      <c r="CT74" s="784">
        <v>0</v>
      </c>
      <c r="CU74" s="784">
        <v>0</v>
      </c>
      <c r="CV74" s="784">
        <v>0</v>
      </c>
      <c r="CW74" s="2643"/>
      <c r="CX74" s="102">
        <f>SUM(CY74:DC74)</f>
        <v>9750</v>
      </c>
      <c r="CY74" s="784">
        <f t="shared" si="34"/>
        <v>0</v>
      </c>
      <c r="CZ74" s="784">
        <f t="shared" si="34"/>
        <v>0</v>
      </c>
      <c r="DA74" s="784">
        <f t="shared" si="34"/>
        <v>0</v>
      </c>
      <c r="DB74" s="784">
        <f t="shared" si="34"/>
        <v>0</v>
      </c>
      <c r="DC74" s="784">
        <f t="shared" si="34"/>
        <v>9750</v>
      </c>
      <c r="DD74" s="784"/>
      <c r="DE74" s="2643"/>
      <c r="DF74" s="102">
        <f>CC74+CF74</f>
        <v>33450</v>
      </c>
      <c r="DG74" s="2643"/>
      <c r="DH74" s="296">
        <f>CC74/'[1]Projected Development Sites'!DF$134</f>
        <v>33.450000000000003</v>
      </c>
      <c r="DI74" s="2723"/>
      <c r="DJ74" s="785">
        <f>'[1]Projected Development Sites'!DK$136*DH74</f>
        <v>33.450000000000003</v>
      </c>
      <c r="DK74" s="785">
        <f>3.06*DH74</f>
        <v>102.35700000000001</v>
      </c>
      <c r="DL74" s="786">
        <f>ROUND((CN74+CL74+CJ74)/1000*3,0)+ROUND((ROUND(CP74/400,0))/2.67,0)+ROUND(CV74/1000,0)+ROUND((CY74+CZ74+DA74+DC74)/1000*3,0)+ROUND(DH74/25,0)+ROUND(DX74/50,0)</f>
        <v>30</v>
      </c>
      <c r="DM74" s="787">
        <v>0</v>
      </c>
      <c r="DN74" s="787"/>
      <c r="DO74" s="787">
        <v>0</v>
      </c>
      <c r="DP74" s="787">
        <f>0.25*DJ74</f>
        <v>8.3625000000000007</v>
      </c>
      <c r="DQ74" s="787">
        <f>SUM(CO74,CJ74,CN74,CR74,CU74)/1000</f>
        <v>0</v>
      </c>
      <c r="DR74" s="787">
        <f>CL74/1000</f>
        <v>0</v>
      </c>
      <c r="DS74" s="787">
        <f>((CP74/400)/12)</f>
        <v>0</v>
      </c>
      <c r="DT74" s="787">
        <v>0</v>
      </c>
      <c r="DU74" s="787">
        <v>0</v>
      </c>
      <c r="DV74" s="787">
        <f>CX74/1000</f>
        <v>9.75</v>
      </c>
      <c r="DW74" s="2723"/>
      <c r="DX74" s="788">
        <f>SUM(DM74,DO74,DQ74:DV74)</f>
        <v>9.75</v>
      </c>
      <c r="DY74" s="2726"/>
      <c r="DZ74" s="2729"/>
      <c r="EA74" s="2665"/>
      <c r="EB74" s="195">
        <f>CF74-W74</f>
        <v>-9750</v>
      </c>
      <c r="EC74" s="2665"/>
      <c r="ED74" s="195">
        <v>0</v>
      </c>
      <c r="EE74" s="195">
        <f>(SUM(CJ74:CO74))-(SUM(AA74:AE74,AL74))</f>
        <v>0</v>
      </c>
      <c r="EF74" s="2665"/>
      <c r="EG74" s="195">
        <v>0</v>
      </c>
      <c r="EH74" s="2665"/>
      <c r="EI74" s="195">
        <f>CL74-AC74</f>
        <v>0</v>
      </c>
      <c r="EJ74" s="2665"/>
      <c r="EK74" s="195">
        <f>CJ74-AA74</f>
        <v>0</v>
      </c>
      <c r="EL74" s="2665"/>
      <c r="EM74" s="195">
        <f>CO74-AE74</f>
        <v>0</v>
      </c>
      <c r="EN74" s="2665"/>
      <c r="EO74" s="195">
        <f>CP74-AH74</f>
        <v>0</v>
      </c>
      <c r="EP74" s="2665"/>
      <c r="EQ74" s="195">
        <f>CR74-AJ74</f>
        <v>0</v>
      </c>
      <c r="ER74" s="2665"/>
      <c r="ES74" s="195">
        <f>CS74-AO74</f>
        <v>0</v>
      </c>
      <c r="ET74" s="2665"/>
      <c r="EU74" s="195">
        <f t="shared" si="32"/>
        <v>0</v>
      </c>
      <c r="EV74" s="2665"/>
      <c r="EW74" s="195">
        <f>CU74-AS74</f>
        <v>0</v>
      </c>
      <c r="EX74" s="2665"/>
      <c r="EY74" s="195">
        <f>CV74-AU74</f>
        <v>0</v>
      </c>
      <c r="EZ74" s="2665"/>
      <c r="FA74" s="195">
        <f>CY74-AX74</f>
        <v>0</v>
      </c>
      <c r="FB74" s="2665"/>
      <c r="FC74" s="195">
        <f>CZ74-AY74</f>
        <v>0</v>
      </c>
      <c r="FD74" s="2665"/>
      <c r="FE74" s="195">
        <f>DA74-AZ74</f>
        <v>0</v>
      </c>
      <c r="FF74" s="2665"/>
      <c r="FG74" s="195">
        <f>DB74-BA74</f>
        <v>0</v>
      </c>
      <c r="FH74" s="2665"/>
      <c r="FI74" s="195">
        <f>DC74-BB74</f>
        <v>0</v>
      </c>
      <c r="FJ74" s="2665"/>
      <c r="FK74" s="195">
        <f>CX74-AW74</f>
        <v>0</v>
      </c>
      <c r="FL74" s="2665"/>
      <c r="FM74" s="195">
        <f>DF74-BE74</f>
        <v>23700</v>
      </c>
      <c r="FN74" s="2665"/>
      <c r="FO74" s="195">
        <f>DH74-BG74</f>
        <v>33.450000000000003</v>
      </c>
      <c r="FP74" s="2665"/>
      <c r="FQ74" s="195">
        <f t="shared" si="35"/>
        <v>33.450000000000003</v>
      </c>
      <c r="FR74" s="195">
        <f t="shared" si="35"/>
        <v>102.35700000000001</v>
      </c>
      <c r="FS74" s="195">
        <f t="shared" si="35"/>
        <v>-28</v>
      </c>
      <c r="FT74" s="789">
        <f t="shared" si="35"/>
        <v>0</v>
      </c>
      <c r="FU74" s="789">
        <f>DR74-BO74</f>
        <v>0</v>
      </c>
      <c r="FV74" s="789">
        <f>DO74-BM74</f>
        <v>0</v>
      </c>
      <c r="FW74" s="789">
        <f>DQ74-BN74</f>
        <v>0</v>
      </c>
      <c r="FX74" s="789">
        <f t="shared" si="36"/>
        <v>0</v>
      </c>
      <c r="FY74" s="789">
        <f t="shared" si="36"/>
        <v>0</v>
      </c>
      <c r="FZ74" s="789">
        <f t="shared" si="36"/>
        <v>0</v>
      </c>
      <c r="GA74" s="789">
        <f t="shared" si="36"/>
        <v>9.75</v>
      </c>
      <c r="GB74" s="2735"/>
      <c r="GC74" s="790">
        <f t="shared" si="33"/>
        <v>9.75</v>
      </c>
    </row>
    <row r="75" spans="1:202" s="139" customFormat="1" ht="15" customHeight="1">
      <c r="A75" s="2660"/>
      <c r="B75" s="2660"/>
      <c r="C75" s="913" t="s">
        <v>721</v>
      </c>
      <c r="D75" s="132">
        <v>2863</v>
      </c>
      <c r="E75" s="132">
        <v>30</v>
      </c>
      <c r="F75" s="132">
        <v>2028630030</v>
      </c>
      <c r="G75" s="137">
        <v>4275</v>
      </c>
      <c r="H75" s="132" t="s">
        <v>726</v>
      </c>
      <c r="I75" s="136" t="s">
        <v>727</v>
      </c>
      <c r="J75" s="132">
        <v>0.99</v>
      </c>
      <c r="K75" s="132">
        <v>4</v>
      </c>
      <c r="L75" s="132">
        <v>0</v>
      </c>
      <c r="M75" s="132">
        <v>4.8</v>
      </c>
      <c r="N75" s="134">
        <v>4240</v>
      </c>
      <c r="O75" s="134">
        <v>0</v>
      </c>
      <c r="P75" s="134">
        <v>0</v>
      </c>
      <c r="Q75" s="134">
        <v>4240</v>
      </c>
      <c r="R75" s="137">
        <v>0</v>
      </c>
      <c r="S75" s="778" t="s">
        <v>840</v>
      </c>
      <c r="T75" s="2643"/>
      <c r="U75" s="102">
        <v>0</v>
      </c>
      <c r="V75" s="2643"/>
      <c r="W75" s="102">
        <f>N75</f>
        <v>4240</v>
      </c>
      <c r="X75" s="102"/>
      <c r="Y75" s="102">
        <f>W75-AA75</f>
        <v>2840.8</v>
      </c>
      <c r="Z75" s="2643"/>
      <c r="AA75" s="102">
        <f>0.33*W75</f>
        <v>1399.2</v>
      </c>
      <c r="AB75" s="2643"/>
      <c r="AC75" s="102">
        <f>0.25*W75</f>
        <v>1060</v>
      </c>
      <c r="AD75" s="2643"/>
      <c r="AE75" s="102">
        <f>AG75+AF75</f>
        <v>0</v>
      </c>
      <c r="AF75" s="102">
        <v>0</v>
      </c>
      <c r="AG75" s="102">
        <v>0</v>
      </c>
      <c r="AH75" s="102">
        <v>0</v>
      </c>
      <c r="AI75" s="2643"/>
      <c r="AJ75" s="102">
        <v>0</v>
      </c>
      <c r="AK75" s="2643"/>
      <c r="AL75" s="102">
        <f>W75-(AA75+AC75+AE75+AH75+AJ75+AM75+AW75+AO75+AQ75+AS75+AU75)</f>
        <v>1780.8000000000002</v>
      </c>
      <c r="AM75" s="779">
        <v>0</v>
      </c>
      <c r="AN75" s="2643"/>
      <c r="AO75" s="102">
        <v>0</v>
      </c>
      <c r="AP75" s="2643"/>
      <c r="AQ75" s="102">
        <v>0</v>
      </c>
      <c r="AR75" s="2643"/>
      <c r="AS75" s="102">
        <v>0</v>
      </c>
      <c r="AT75" s="2643"/>
      <c r="AU75" s="102">
        <v>0</v>
      </c>
      <c r="AV75" s="2643"/>
      <c r="AW75" s="102">
        <f>AX75+AY75+AZ75+BA75+BB75</f>
        <v>0</v>
      </c>
      <c r="AX75" s="102">
        <v>0</v>
      </c>
      <c r="AY75" s="102">
        <v>0</v>
      </c>
      <c r="AZ75" s="102">
        <v>0</v>
      </c>
      <c r="BA75" s="102">
        <v>0</v>
      </c>
      <c r="BB75" s="102">
        <v>0</v>
      </c>
      <c r="BC75" s="102">
        <v>0</v>
      </c>
      <c r="BD75" s="2643"/>
      <c r="BE75" s="102">
        <f>U75+W75</f>
        <v>4240</v>
      </c>
      <c r="BF75" s="2643"/>
      <c r="BG75" s="102">
        <v>0</v>
      </c>
      <c r="BH75" s="2643"/>
      <c r="BI75" s="102">
        <v>0</v>
      </c>
      <c r="BJ75" s="102">
        <f t="shared" si="13"/>
        <v>0</v>
      </c>
      <c r="BK75" s="186">
        <f>ROUND((Y75+AC75+AA75)/1000*3,0)+ROUND((AE75+AU75)/1000,0)+ROUND((ROUND(AH75/400,0))/2.67,0)+ROUND(AM75/250,0)+ROUND(AO75/15000,0)+ROUND((AX75+AY75+AZ75+BB75)/1000*3,0)+ROUND(BG75/25,0)+ROUND(BU278/50,0)</f>
        <v>16</v>
      </c>
      <c r="BL75" s="102">
        <v>0</v>
      </c>
      <c r="BM75" s="102">
        <v>0</v>
      </c>
      <c r="BN75" s="102">
        <v>0</v>
      </c>
      <c r="BO75" s="102">
        <v>0</v>
      </c>
      <c r="BP75" s="102">
        <v>0</v>
      </c>
      <c r="BQ75" s="102">
        <v>0</v>
      </c>
      <c r="BR75" s="102">
        <v>0</v>
      </c>
      <c r="BS75" s="102">
        <v>0</v>
      </c>
      <c r="BT75" s="2643"/>
      <c r="BU75" s="102">
        <f>SUM(BL75:BS75)</f>
        <v>0</v>
      </c>
      <c r="BV75" s="139">
        <v>15</v>
      </c>
      <c r="BW75" s="780" t="s">
        <v>729</v>
      </c>
      <c r="BX75" s="139">
        <v>7.2</v>
      </c>
      <c r="BY75" s="139">
        <v>3.4</v>
      </c>
      <c r="BZ75" s="139">
        <v>6.5</v>
      </c>
      <c r="CA75" s="781"/>
      <c r="CB75" s="2746"/>
      <c r="CC75" s="782">
        <f>(BX75*G75)-CF75</f>
        <v>27146.25</v>
      </c>
      <c r="CD75" s="2732"/>
      <c r="CE75" s="2643"/>
      <c r="CF75" s="840">
        <f>1*(G75)-(0.15*1*(G75))</f>
        <v>3633.75</v>
      </c>
      <c r="CG75" s="2643"/>
      <c r="CH75" s="783">
        <f>CF75-CJ75</f>
        <v>2234.5500000000002</v>
      </c>
      <c r="CI75" s="2643"/>
      <c r="CJ75" s="927">
        <f>AA75</f>
        <v>1399.2</v>
      </c>
      <c r="CK75" s="2643"/>
      <c r="CL75" s="782">
        <f>AC75</f>
        <v>1060</v>
      </c>
      <c r="CM75" s="2643"/>
      <c r="CN75" s="784">
        <f>CF75-(CJ75+CL75+CO75+CP75+CR75+CU75+CV75+CX75)</f>
        <v>1174.5500000000002</v>
      </c>
      <c r="CO75" s="784">
        <v>0</v>
      </c>
      <c r="CP75" s="784">
        <v>0</v>
      </c>
      <c r="CQ75" s="2643"/>
      <c r="CR75" s="102">
        <v>0</v>
      </c>
      <c r="CS75" s="784"/>
      <c r="CT75" s="784"/>
      <c r="CU75" s="784"/>
      <c r="CV75" s="784"/>
      <c r="CW75" s="2643"/>
      <c r="CX75" s="102">
        <f>SUM(CY75:DC75)</f>
        <v>0</v>
      </c>
      <c r="CY75" s="784">
        <f t="shared" si="34"/>
        <v>0</v>
      </c>
      <c r="CZ75" s="784">
        <f t="shared" si="34"/>
        <v>0</v>
      </c>
      <c r="DA75" s="784">
        <f t="shared" si="34"/>
        <v>0</v>
      </c>
      <c r="DB75" s="784">
        <f t="shared" si="34"/>
        <v>0</v>
      </c>
      <c r="DC75" s="784">
        <f t="shared" si="34"/>
        <v>0</v>
      </c>
      <c r="DD75" s="784"/>
      <c r="DE75" s="2643"/>
      <c r="DF75" s="102">
        <f>CC75+CF75</f>
        <v>30780</v>
      </c>
      <c r="DG75" s="2643"/>
      <c r="DH75" s="296">
        <f>CC75/'[1]Projected Development Sites'!DF$134</f>
        <v>27.146249999999998</v>
      </c>
      <c r="DI75" s="2723"/>
      <c r="DJ75" s="785">
        <f>'[1]Projected Development Sites'!DK$136*DH75</f>
        <v>27.146249999999998</v>
      </c>
      <c r="DK75" s="785">
        <f>3.06*DH75</f>
        <v>83.067525000000003</v>
      </c>
      <c r="DL75" s="786">
        <f>ROUND((CN75+CL75+CJ75)/1000*3,0)+ROUND((ROUND(CP75/400,0))/2.67,0)+ROUND(CV75/1000,0)+ROUND((CY75+CZ75+DA75+DC75)/1000*3,0)+ROUND(DH75/25,0)+ROUND(DX75/50,0)</f>
        <v>12</v>
      </c>
      <c r="DM75" s="787">
        <v>0</v>
      </c>
      <c r="DN75" s="787"/>
      <c r="DO75" s="787">
        <v>0</v>
      </c>
      <c r="DP75" s="787">
        <f>0.25*DJ75</f>
        <v>6.7865624999999996</v>
      </c>
      <c r="DQ75" s="787">
        <f>SUM(CO75,CJ75,CN75,CR75,CU75)/1000</f>
        <v>2.57375</v>
      </c>
      <c r="DR75" s="787">
        <f>CL75/1000</f>
        <v>1.06</v>
      </c>
      <c r="DS75" s="787">
        <f>((CP75/400)/12)</f>
        <v>0</v>
      </c>
      <c r="DT75" s="787">
        <v>0</v>
      </c>
      <c r="DU75" s="787">
        <v>0</v>
      </c>
      <c r="DV75" s="787">
        <f>CX75/1000</f>
        <v>0</v>
      </c>
      <c r="DW75" s="2723"/>
      <c r="DX75" s="788">
        <f>SUM(DM75,DO75,DQ75:DV75)</f>
        <v>3.63375</v>
      </c>
      <c r="DY75" s="2726"/>
      <c r="DZ75" s="2729"/>
      <c r="EA75" s="2665"/>
      <c r="EB75" s="195">
        <f>CF75-W75</f>
        <v>-606.25</v>
      </c>
      <c r="EC75" s="2665"/>
      <c r="ED75" s="195">
        <v>-606.25</v>
      </c>
      <c r="EE75" s="195">
        <f>(SUM(CJ75:CO75))-(SUM(AA75:AE75,AL75))</f>
        <v>-606.25</v>
      </c>
      <c r="EF75" s="2665"/>
      <c r="EG75" s="195">
        <v>-606.25</v>
      </c>
      <c r="EH75" s="2665"/>
      <c r="EI75" s="195">
        <f>CL75-AC75</f>
        <v>0</v>
      </c>
      <c r="EJ75" s="2665"/>
      <c r="EK75" s="195">
        <f>CJ75-AA75</f>
        <v>0</v>
      </c>
      <c r="EL75" s="2665"/>
      <c r="EM75" s="195">
        <f>CO75-AE75</f>
        <v>0</v>
      </c>
      <c r="EN75" s="2665"/>
      <c r="EO75" s="195">
        <f>CP75-AH75</f>
        <v>0</v>
      </c>
      <c r="EP75" s="2665"/>
      <c r="EQ75" s="195">
        <f>CR75-AJ75</f>
        <v>0</v>
      </c>
      <c r="ER75" s="2665"/>
      <c r="ES75" s="195">
        <f>CS75-AO75</f>
        <v>0</v>
      </c>
      <c r="ET75" s="2665"/>
      <c r="EU75" s="195">
        <f t="shared" si="32"/>
        <v>0</v>
      </c>
      <c r="EV75" s="2665"/>
      <c r="EW75" s="195">
        <f>CU75-AS75</f>
        <v>0</v>
      </c>
      <c r="EX75" s="2665"/>
      <c r="EY75" s="195">
        <f>CV75-AU75</f>
        <v>0</v>
      </c>
      <c r="EZ75" s="2665"/>
      <c r="FA75" s="195">
        <f>CY75-AX75</f>
        <v>0</v>
      </c>
      <c r="FB75" s="2665"/>
      <c r="FC75" s="195">
        <f>CZ75-AY75</f>
        <v>0</v>
      </c>
      <c r="FD75" s="2665"/>
      <c r="FE75" s="195">
        <f>DA75-AZ75</f>
        <v>0</v>
      </c>
      <c r="FF75" s="2665"/>
      <c r="FG75" s="195">
        <f>DB75-BA75</f>
        <v>0</v>
      </c>
      <c r="FH75" s="2665"/>
      <c r="FI75" s="195">
        <f>DC75-BB75</f>
        <v>0</v>
      </c>
      <c r="FJ75" s="2665"/>
      <c r="FK75" s="195">
        <f>CX75-AW75</f>
        <v>0</v>
      </c>
      <c r="FL75" s="2665"/>
      <c r="FM75" s="195">
        <f>DF75-BE75</f>
        <v>26540</v>
      </c>
      <c r="FN75" s="2665"/>
      <c r="FO75" s="195">
        <f>DH75-BG75</f>
        <v>27.146249999999998</v>
      </c>
      <c r="FP75" s="2665"/>
      <c r="FQ75" s="195">
        <f t="shared" si="35"/>
        <v>27.146249999999998</v>
      </c>
      <c r="FR75" s="195">
        <f t="shared" si="35"/>
        <v>83.067525000000003</v>
      </c>
      <c r="FS75" s="195">
        <f t="shared" si="35"/>
        <v>-4</v>
      </c>
      <c r="FT75" s="789">
        <f t="shared" si="35"/>
        <v>0</v>
      </c>
      <c r="FU75" s="789">
        <f>DR75-BO75</f>
        <v>1.06</v>
      </c>
      <c r="FV75" s="789">
        <f>DO75-BM75</f>
        <v>0</v>
      </c>
      <c r="FW75" s="789">
        <f>DQ75-BN75</f>
        <v>2.57375</v>
      </c>
      <c r="FX75" s="789">
        <f t="shared" si="36"/>
        <v>0</v>
      </c>
      <c r="FY75" s="789">
        <f t="shared" si="36"/>
        <v>0</v>
      </c>
      <c r="FZ75" s="789">
        <f t="shared" si="36"/>
        <v>0</v>
      </c>
      <c r="GA75" s="789">
        <f t="shared" si="36"/>
        <v>0</v>
      </c>
      <c r="GB75" s="2735"/>
      <c r="GC75" s="790">
        <f t="shared" si="33"/>
        <v>3.63375</v>
      </c>
    </row>
    <row r="76" spans="1:202" s="139" customFormat="1" ht="15" customHeight="1">
      <c r="A76" s="2660"/>
      <c r="B76" s="2660"/>
      <c r="C76" s="913" t="s">
        <v>851</v>
      </c>
      <c r="D76" s="132">
        <v>2863</v>
      </c>
      <c r="E76" s="132">
        <v>40</v>
      </c>
      <c r="F76" s="132">
        <v>2028630040</v>
      </c>
      <c r="G76" s="137">
        <v>5000</v>
      </c>
      <c r="H76" s="132" t="s">
        <v>726</v>
      </c>
      <c r="I76" s="136" t="s">
        <v>706</v>
      </c>
      <c r="J76" s="132">
        <v>1.9</v>
      </c>
      <c r="K76" s="132">
        <v>4</v>
      </c>
      <c r="L76" s="132">
        <v>0</v>
      </c>
      <c r="M76" s="132">
        <v>4.8</v>
      </c>
      <c r="N76" s="134">
        <v>9500</v>
      </c>
      <c r="O76" s="134">
        <v>0</v>
      </c>
      <c r="P76" s="134">
        <v>0</v>
      </c>
      <c r="Q76" s="134">
        <v>9500</v>
      </c>
      <c r="R76" s="137">
        <v>0</v>
      </c>
      <c r="S76" s="778" t="s">
        <v>652</v>
      </c>
      <c r="T76" s="2643"/>
      <c r="U76" s="102">
        <v>0</v>
      </c>
      <c r="V76" s="2643"/>
      <c r="W76" s="102">
        <f>N76</f>
        <v>9500</v>
      </c>
      <c r="X76" s="102"/>
      <c r="Y76" s="102">
        <f>W76-AA76</f>
        <v>9500</v>
      </c>
      <c r="Z76" s="2643"/>
      <c r="AA76" s="102">
        <v>0</v>
      </c>
      <c r="AB76" s="2643"/>
      <c r="AC76" s="102">
        <v>0</v>
      </c>
      <c r="AD76" s="2643"/>
      <c r="AE76" s="102">
        <f>AG76+AF76</f>
        <v>0</v>
      </c>
      <c r="AF76" s="102">
        <v>0</v>
      </c>
      <c r="AG76" s="102">
        <v>0</v>
      </c>
      <c r="AH76" s="102">
        <v>0</v>
      </c>
      <c r="AI76" s="2643"/>
      <c r="AJ76" s="102">
        <v>0</v>
      </c>
      <c r="AK76" s="2643"/>
      <c r="AL76" s="102">
        <f>W76-(AA76+AC76+AE76+AH76+AJ76+AM76+AW76+AO76+AQ76+AS76+AU76)</f>
        <v>0</v>
      </c>
      <c r="AM76" s="779">
        <v>0</v>
      </c>
      <c r="AN76" s="2643"/>
      <c r="AO76" s="102">
        <v>0</v>
      </c>
      <c r="AP76" s="2643"/>
      <c r="AQ76" s="102">
        <v>0</v>
      </c>
      <c r="AR76" s="2643"/>
      <c r="AS76" s="102">
        <v>0</v>
      </c>
      <c r="AT76" s="2643"/>
      <c r="AU76" s="102">
        <v>0</v>
      </c>
      <c r="AV76" s="2643"/>
      <c r="AW76" s="102">
        <f>AX76+AY76+AZ76+BA76+BB76</f>
        <v>9500</v>
      </c>
      <c r="AX76" s="102">
        <v>0</v>
      </c>
      <c r="AY76" s="102">
        <f>W76</f>
        <v>9500</v>
      </c>
      <c r="AZ76" s="102">
        <v>0</v>
      </c>
      <c r="BA76" s="102">
        <v>0</v>
      </c>
      <c r="BB76" s="102">
        <v>0</v>
      </c>
      <c r="BC76" s="102">
        <v>0</v>
      </c>
      <c r="BD76" s="2643"/>
      <c r="BE76" s="102">
        <f>U76+W76</f>
        <v>9500</v>
      </c>
      <c r="BF76" s="2643"/>
      <c r="BG76" s="102">
        <v>0</v>
      </c>
      <c r="BH76" s="2643"/>
      <c r="BI76" s="102">
        <v>0</v>
      </c>
      <c r="BJ76" s="102">
        <f t="shared" si="13"/>
        <v>0</v>
      </c>
      <c r="BK76" s="186">
        <f>ROUND((Y76+AC76+AA76)/1000*3,0)+ROUND((AE76+AU76)/1000,0)+ROUND((ROUND(AH76/400,0))/2.67,0)+ROUND(AM76/250,0)+ROUND(AO76/15000,0)+ROUND((AX76+AY76+AZ76+BB76)/1000*3,0)+ROUND(BG76/25,0)+ROUND(BU279/50,0)</f>
        <v>58</v>
      </c>
      <c r="BL76" s="102">
        <v>0</v>
      </c>
      <c r="BM76" s="102">
        <v>0</v>
      </c>
      <c r="BN76" s="102">
        <v>0</v>
      </c>
      <c r="BO76" s="102">
        <v>0</v>
      </c>
      <c r="BP76" s="102">
        <v>0</v>
      </c>
      <c r="BQ76" s="102">
        <v>0</v>
      </c>
      <c r="BR76" s="102">
        <v>0</v>
      </c>
      <c r="BS76" s="102">
        <v>0</v>
      </c>
      <c r="BT76" s="2643"/>
      <c r="BU76" s="102">
        <f>SUM(BL76:BS76)</f>
        <v>0</v>
      </c>
      <c r="BV76" s="102">
        <v>35</v>
      </c>
      <c r="BW76" s="780" t="s">
        <v>729</v>
      </c>
      <c r="BX76" s="139">
        <v>7.2</v>
      </c>
      <c r="BY76" s="139">
        <v>3.4</v>
      </c>
      <c r="BZ76" s="139">
        <v>6.5</v>
      </c>
      <c r="CA76" s="781"/>
      <c r="CB76" s="2746"/>
      <c r="CC76" s="782">
        <f>(BX76*G76)-CF76</f>
        <v>26500</v>
      </c>
      <c r="CD76" s="2732"/>
      <c r="CE76" s="2643"/>
      <c r="CF76" s="840">
        <v>9500</v>
      </c>
      <c r="CG76" s="2643"/>
      <c r="CH76" s="840">
        <f>CF76-CJ76</f>
        <v>9500</v>
      </c>
      <c r="CI76" s="2643"/>
      <c r="CJ76" s="139">
        <v>0</v>
      </c>
      <c r="CK76" s="2643"/>
      <c r="CL76" s="139">
        <v>0</v>
      </c>
      <c r="CM76" s="2643"/>
      <c r="CN76" s="102">
        <f>CF76-(CJ76+CL76+CO76+CP76+CR76+CU76+CV76+CX76)</f>
        <v>0</v>
      </c>
      <c r="CO76" s="784">
        <v>0</v>
      </c>
      <c r="CP76" s="784">
        <v>0</v>
      </c>
      <c r="CQ76" s="2643"/>
      <c r="CR76" s="102">
        <v>0</v>
      </c>
      <c r="CS76" s="784">
        <v>0</v>
      </c>
      <c r="CT76" s="784">
        <v>0</v>
      </c>
      <c r="CU76" s="784">
        <v>0</v>
      </c>
      <c r="CV76" s="784">
        <v>0</v>
      </c>
      <c r="CW76" s="2643"/>
      <c r="CX76" s="102">
        <f>SUM(CY76:DC76)</f>
        <v>9500</v>
      </c>
      <c r="CY76" s="784">
        <f>AX76</f>
        <v>0</v>
      </c>
      <c r="CZ76" s="784">
        <v>9500</v>
      </c>
      <c r="DA76" s="784">
        <f t="shared" si="34"/>
        <v>0</v>
      </c>
      <c r="DB76" s="784">
        <f t="shared" si="34"/>
        <v>0</v>
      </c>
      <c r="DC76" s="784">
        <f t="shared" si="34"/>
        <v>0</v>
      </c>
      <c r="DD76" s="784"/>
      <c r="DE76" s="2643"/>
      <c r="DF76" s="102">
        <f>CC76+CF76</f>
        <v>36000</v>
      </c>
      <c r="DG76" s="2643"/>
      <c r="DH76" s="296">
        <f>CC76/'[1]Projected Development Sites'!DF$134</f>
        <v>26.5</v>
      </c>
      <c r="DI76" s="2723"/>
      <c r="DJ76" s="785">
        <f>'[1]Projected Development Sites'!DK$136*DH76</f>
        <v>26.5</v>
      </c>
      <c r="DK76" s="785">
        <f>3.06*DH76</f>
        <v>81.09</v>
      </c>
      <c r="DL76" s="786">
        <f>ROUND((CN76+CL76+CJ76)/1000*3,0)+ROUND((ROUND(CP76/400,0))/2.67,0)+ROUND(CV76/1000,0)+ROUND((CY76+CZ76+DA76+DC76)/1000*3,0)+ROUND(DH76/25,0)+ROUND(DX76/50,0)</f>
        <v>30</v>
      </c>
      <c r="DM76" s="787">
        <v>0</v>
      </c>
      <c r="DN76" s="787"/>
      <c r="DO76" s="787">
        <v>0</v>
      </c>
      <c r="DP76" s="787">
        <f>0.25*DJ76</f>
        <v>6.625</v>
      </c>
      <c r="DQ76" s="787">
        <f>SUM(CO76,CJ76,CN76,CR76,CU76)/1000</f>
        <v>0</v>
      </c>
      <c r="DR76" s="787">
        <f>CL76/1000</f>
        <v>0</v>
      </c>
      <c r="DS76" s="787">
        <f>((CP76/400)/12)</f>
        <v>0</v>
      </c>
      <c r="DT76" s="787">
        <v>0</v>
      </c>
      <c r="DU76" s="787">
        <v>0</v>
      </c>
      <c r="DV76" s="787">
        <f>CX76/1000</f>
        <v>9.5</v>
      </c>
      <c r="DW76" s="2723"/>
      <c r="DX76" s="788">
        <f>SUM(DM76,DO76,DQ76:DV76)</f>
        <v>9.5</v>
      </c>
      <c r="DY76" s="2726"/>
      <c r="DZ76" s="2729"/>
      <c r="EA76" s="2665"/>
      <c r="EB76" s="195">
        <f>CF76-W76</f>
        <v>0</v>
      </c>
      <c r="EC76" s="2665"/>
      <c r="ED76" s="195">
        <v>0</v>
      </c>
      <c r="EE76" s="195">
        <f>(SUM(CJ76:CO76))-(SUM(AA76:AE76,AL76))</f>
        <v>0</v>
      </c>
      <c r="EF76" s="2665"/>
      <c r="EG76" s="195">
        <v>0</v>
      </c>
      <c r="EH76" s="2665"/>
      <c r="EI76" s="195">
        <f>CL76-AC76</f>
        <v>0</v>
      </c>
      <c r="EJ76" s="2665"/>
      <c r="EK76" s="195">
        <f>CJ76-AA76</f>
        <v>0</v>
      </c>
      <c r="EL76" s="2665"/>
      <c r="EM76" s="195">
        <f>CO76-AE76</f>
        <v>0</v>
      </c>
      <c r="EN76" s="2665"/>
      <c r="EO76" s="195">
        <f>CP76-AH76</f>
        <v>0</v>
      </c>
      <c r="EP76" s="2665"/>
      <c r="EQ76" s="195">
        <f>CR76-AJ76</f>
        <v>0</v>
      </c>
      <c r="ER76" s="2665"/>
      <c r="ES76" s="195">
        <f>CS76-AO76</f>
        <v>0</v>
      </c>
      <c r="ET76" s="2665"/>
      <c r="EU76" s="195">
        <f t="shared" si="32"/>
        <v>0</v>
      </c>
      <c r="EV76" s="2665"/>
      <c r="EW76" s="195">
        <f>CU76-AS76</f>
        <v>0</v>
      </c>
      <c r="EX76" s="2665"/>
      <c r="EY76" s="195">
        <f>CV76-AU76</f>
        <v>0</v>
      </c>
      <c r="EZ76" s="2665"/>
      <c r="FA76" s="195">
        <f>CY76-AX76</f>
        <v>0</v>
      </c>
      <c r="FB76" s="2665"/>
      <c r="FC76" s="195">
        <f>CZ76-AY76</f>
        <v>0</v>
      </c>
      <c r="FD76" s="2665"/>
      <c r="FE76" s="195">
        <f>DA76-AZ76</f>
        <v>0</v>
      </c>
      <c r="FF76" s="2665"/>
      <c r="FG76" s="195">
        <f>DB76-BA76</f>
        <v>0</v>
      </c>
      <c r="FH76" s="2665"/>
      <c r="FI76" s="195">
        <f>DC76-BB76</f>
        <v>0</v>
      </c>
      <c r="FJ76" s="2665"/>
      <c r="FK76" s="195">
        <f>CX76-AW76</f>
        <v>0</v>
      </c>
      <c r="FL76" s="2665"/>
      <c r="FM76" s="195">
        <f>DF76-BE76</f>
        <v>26500</v>
      </c>
      <c r="FN76" s="2665"/>
      <c r="FO76" s="195">
        <f>DH76-BG76</f>
        <v>26.5</v>
      </c>
      <c r="FP76" s="2665"/>
      <c r="FQ76" s="195">
        <f t="shared" si="35"/>
        <v>26.5</v>
      </c>
      <c r="FR76" s="195">
        <f t="shared" si="35"/>
        <v>81.09</v>
      </c>
      <c r="FS76" s="195">
        <f t="shared" si="35"/>
        <v>-28</v>
      </c>
      <c r="FT76" s="789">
        <f t="shared" si="35"/>
        <v>0</v>
      </c>
      <c r="FU76" s="789">
        <f>DR76-BO76</f>
        <v>0</v>
      </c>
      <c r="FV76" s="789">
        <f>DO76-BM76</f>
        <v>0</v>
      </c>
      <c r="FW76" s="789">
        <f>DQ76-BN76</f>
        <v>0</v>
      </c>
      <c r="FX76" s="789">
        <f t="shared" si="36"/>
        <v>0</v>
      </c>
      <c r="FY76" s="789">
        <f t="shared" si="36"/>
        <v>0</v>
      </c>
      <c r="FZ76" s="789">
        <f t="shared" si="36"/>
        <v>0</v>
      </c>
      <c r="GA76" s="789">
        <f t="shared" si="36"/>
        <v>9.5</v>
      </c>
      <c r="GB76" s="2735"/>
      <c r="GC76" s="790">
        <f t="shared" si="33"/>
        <v>9.5</v>
      </c>
    </row>
    <row r="77" spans="1:202" s="81" customFormat="1" ht="15" customHeight="1">
      <c r="A77" s="2589"/>
      <c r="B77" s="2589"/>
      <c r="C77" s="66" t="s">
        <v>746</v>
      </c>
      <c r="D77" s="66">
        <v>2863</v>
      </c>
      <c r="E77" s="66">
        <v>35</v>
      </c>
      <c r="F77" s="841">
        <v>2028630035</v>
      </c>
      <c r="G77" s="71">
        <v>9181</v>
      </c>
      <c r="H77" s="66" t="s">
        <v>726</v>
      </c>
      <c r="I77" s="70" t="s">
        <v>727</v>
      </c>
      <c r="J77" s="66">
        <v>0.98</v>
      </c>
      <c r="K77" s="66">
        <v>4</v>
      </c>
      <c r="L77" s="66">
        <v>0</v>
      </c>
      <c r="M77" s="66">
        <v>4.8</v>
      </c>
      <c r="N77" s="68">
        <v>8967</v>
      </c>
      <c r="O77" s="134">
        <v>0</v>
      </c>
      <c r="P77" s="68">
        <v>0</v>
      </c>
      <c r="Q77" s="68">
        <v>8967</v>
      </c>
      <c r="R77" s="71">
        <v>0</v>
      </c>
      <c r="S77" s="791" t="s">
        <v>637</v>
      </c>
      <c r="T77" s="2601"/>
      <c r="U77" s="74">
        <v>0</v>
      </c>
      <c r="V77" s="2601"/>
      <c r="W77" s="74">
        <f>N77</f>
        <v>8967</v>
      </c>
      <c r="X77" s="74"/>
      <c r="Y77" s="74">
        <f>W77-AA77</f>
        <v>8967</v>
      </c>
      <c r="Z77" s="2601"/>
      <c r="AA77" s="74">
        <v>0</v>
      </c>
      <c r="AB77" s="2601"/>
      <c r="AC77" s="74">
        <v>0</v>
      </c>
      <c r="AD77" s="2601"/>
      <c r="AE77" s="74">
        <f>AG77+AF77</f>
        <v>0</v>
      </c>
      <c r="AF77" s="74">
        <v>0</v>
      </c>
      <c r="AG77" s="74">
        <v>0</v>
      </c>
      <c r="AH77" s="74">
        <v>0</v>
      </c>
      <c r="AI77" s="2601"/>
      <c r="AJ77" s="74">
        <v>0</v>
      </c>
      <c r="AK77" s="2601"/>
      <c r="AL77" s="74">
        <f>W77-(AA77+AC77+AE77+AH77+AJ77+AM77+AW77+AO77+AQ77+AS77+AU77)</f>
        <v>8967</v>
      </c>
      <c r="AM77" s="792">
        <v>0</v>
      </c>
      <c r="AN77" s="2601"/>
      <c r="AO77" s="74">
        <v>0</v>
      </c>
      <c r="AP77" s="2601"/>
      <c r="AQ77" s="74">
        <v>0</v>
      </c>
      <c r="AR77" s="2601"/>
      <c r="AS77" s="74">
        <v>0</v>
      </c>
      <c r="AT77" s="2601"/>
      <c r="AU77" s="74">
        <v>0</v>
      </c>
      <c r="AV77" s="2601"/>
      <c r="AW77" s="74">
        <f>AX77+AY77+AZ77+BA77+BB77</f>
        <v>0</v>
      </c>
      <c r="AX77" s="74">
        <v>0</v>
      </c>
      <c r="AY77" s="74"/>
      <c r="AZ77" s="74">
        <v>0</v>
      </c>
      <c r="BA77" s="74">
        <v>0</v>
      </c>
      <c r="BB77" s="74">
        <v>0</v>
      </c>
      <c r="BC77" s="74">
        <v>0</v>
      </c>
      <c r="BD77" s="2601"/>
      <c r="BE77" s="74">
        <f>U77+W77</f>
        <v>8967</v>
      </c>
      <c r="BF77" s="2601"/>
      <c r="BG77" s="74">
        <f>U77/1000</f>
        <v>0</v>
      </c>
      <c r="BH77" s="2601"/>
      <c r="BI77" s="74">
        <v>0</v>
      </c>
      <c r="BJ77" s="74">
        <f t="shared" si="13"/>
        <v>0</v>
      </c>
      <c r="BK77" s="88">
        <f>ROUND((Y77+AC77+AA77)/1000*3,0)+ROUND((AE77+AU77)/1000,0)+ROUND((ROUND(AH77/400,0))/2.67,0)+ROUND(AM77/250,0)+ROUND(AO77/15000,0)+ROUND((AX77+AY77+AZ77+BB77)/1000*3,0)+ROUND(BG77/25,0)+ROUND(BU280/50,0)</f>
        <v>27</v>
      </c>
      <c r="BL77" s="74">
        <v>0</v>
      </c>
      <c r="BM77" s="74">
        <v>0</v>
      </c>
      <c r="BN77" s="74">
        <v>0</v>
      </c>
      <c r="BO77" s="74">
        <f>AC77/1000</f>
        <v>0</v>
      </c>
      <c r="BP77" s="74">
        <f>AH77/1000</f>
        <v>0</v>
      </c>
      <c r="BQ77" s="74">
        <v>0</v>
      </c>
      <c r="BR77" s="74">
        <v>0</v>
      </c>
      <c r="BS77" s="74">
        <v>0</v>
      </c>
      <c r="BT77" s="2601"/>
      <c r="BU77" s="74">
        <f>SUM(BL77:BS77)</f>
        <v>0</v>
      </c>
      <c r="BV77" s="81">
        <v>15</v>
      </c>
      <c r="BW77" s="793" t="s">
        <v>729</v>
      </c>
      <c r="BX77" s="81">
        <v>7.2</v>
      </c>
      <c r="BY77" s="81">
        <v>3.4</v>
      </c>
      <c r="BZ77" s="81">
        <v>6.5</v>
      </c>
      <c r="CA77" s="794"/>
      <c r="CB77" s="2747"/>
      <c r="CC77" s="795">
        <f>(BX77*G77)-CF77</f>
        <v>58299.35</v>
      </c>
      <c r="CD77" s="2733"/>
      <c r="CE77" s="2601"/>
      <c r="CF77" s="843">
        <f>1*(G77)-(0.15*1*(G77))</f>
        <v>7803.85</v>
      </c>
      <c r="CG77" s="2601"/>
      <c r="CH77" s="796">
        <f>CF77-CJ77</f>
        <v>7803.85</v>
      </c>
      <c r="CI77" s="2601"/>
      <c r="CJ77" s="81">
        <v>0</v>
      </c>
      <c r="CK77" s="2601"/>
      <c r="CM77" s="2601"/>
      <c r="CN77" s="797">
        <f>CF77-(CJ77+CL77+CO77+CP77+CR77+CU77+CV77+CX77)</f>
        <v>7803.85</v>
      </c>
      <c r="CO77" s="797">
        <v>0</v>
      </c>
      <c r="CP77" s="797">
        <v>0</v>
      </c>
      <c r="CQ77" s="2601"/>
      <c r="CR77" s="74">
        <v>0</v>
      </c>
      <c r="CS77" s="797">
        <v>0</v>
      </c>
      <c r="CT77" s="797">
        <v>0</v>
      </c>
      <c r="CU77" s="797">
        <v>0</v>
      </c>
      <c r="CV77" s="797">
        <v>0</v>
      </c>
      <c r="CW77" s="2601"/>
      <c r="CX77" s="74">
        <f>SUM(CY77:DC77)</f>
        <v>0</v>
      </c>
      <c r="CY77" s="797">
        <f>AX77</f>
        <v>0</v>
      </c>
      <c r="CZ77" s="797">
        <f>AY77</f>
        <v>0</v>
      </c>
      <c r="DA77" s="797">
        <f t="shared" si="34"/>
        <v>0</v>
      </c>
      <c r="DB77" s="797">
        <f t="shared" si="34"/>
        <v>0</v>
      </c>
      <c r="DC77" s="797">
        <f t="shared" si="34"/>
        <v>0</v>
      </c>
      <c r="DD77" s="797"/>
      <c r="DE77" s="2601"/>
      <c r="DF77" s="797">
        <f>CC77+CF77</f>
        <v>66103.199999999997</v>
      </c>
      <c r="DG77" s="2601"/>
      <c r="DH77" s="303">
        <f>CC77/'[1]Projected Development Sites'!DF$134</f>
        <v>58.299349999999997</v>
      </c>
      <c r="DI77" s="2724"/>
      <c r="DJ77" s="798">
        <f>'[1]Projected Development Sites'!DK$136*DH77</f>
        <v>58.299349999999997</v>
      </c>
      <c r="DK77" s="798">
        <f>3.06*DH77</f>
        <v>178.39601099999999</v>
      </c>
      <c r="DL77" s="786">
        <f>ROUND((CN77+CL77+CJ77)/1000*3,0)+ROUND((ROUND(CP77/400,0))/2.67,0)+ROUND(CV77/1000,0)+ROUND((CY77+CZ77+DA77+DC77)/1000*3,0)+ROUND(DH77/25,0)+ROUND(DX77/50,0)</f>
        <v>25</v>
      </c>
      <c r="DM77" s="799">
        <v>0</v>
      </c>
      <c r="DN77" s="799"/>
      <c r="DO77" s="799">
        <v>0</v>
      </c>
      <c r="DP77" s="799">
        <f>0.25*DJ77</f>
        <v>14.574837499999999</v>
      </c>
      <c r="DQ77" s="799">
        <f>SUM(CO77,CJ77,CN77,CR77,CU77)/1000</f>
        <v>7.8038500000000006</v>
      </c>
      <c r="DR77" s="799">
        <f>CL77/1000</f>
        <v>0</v>
      </c>
      <c r="DS77" s="799">
        <f>((CP77/400)/12)</f>
        <v>0</v>
      </c>
      <c r="DT77" s="799">
        <v>0</v>
      </c>
      <c r="DU77" s="799">
        <v>0</v>
      </c>
      <c r="DV77" s="799">
        <f>CX77/1000</f>
        <v>0</v>
      </c>
      <c r="DW77" s="2724"/>
      <c r="DX77" s="800">
        <f>SUM(DM77,DO77,DQ77:DV77)</f>
        <v>7.8038500000000006</v>
      </c>
      <c r="DY77" s="2727"/>
      <c r="DZ77" s="2730"/>
      <c r="EA77" s="2603"/>
      <c r="EB77" s="195">
        <f>CF77-W77</f>
        <v>-1163.1499999999996</v>
      </c>
      <c r="EC77" s="2603"/>
      <c r="ED77" s="190">
        <v>-1163.1499999999996</v>
      </c>
      <c r="EE77" s="195">
        <f>(SUM(CJ77:CO77))-(SUM(AA77:AE77,AL77))</f>
        <v>-1163.1499999999996</v>
      </c>
      <c r="EF77" s="2603"/>
      <c r="EG77" s="190">
        <v>-1163.1499999999996</v>
      </c>
      <c r="EH77" s="2603"/>
      <c r="EI77" s="195">
        <f>CL77-AC77</f>
        <v>0</v>
      </c>
      <c r="EJ77" s="2603"/>
      <c r="EK77" s="195">
        <f>CJ77-AA77</f>
        <v>0</v>
      </c>
      <c r="EL77" s="2603"/>
      <c r="EM77" s="190">
        <f>CO77-AE77</f>
        <v>0</v>
      </c>
      <c r="EN77" s="2603"/>
      <c r="EO77" s="190">
        <f>CP77-AH77</f>
        <v>0</v>
      </c>
      <c r="EP77" s="2603"/>
      <c r="EQ77" s="195">
        <f>CR77-AJ77</f>
        <v>0</v>
      </c>
      <c r="ER77" s="2603"/>
      <c r="ES77" s="195">
        <f>CS77-AO77</f>
        <v>0</v>
      </c>
      <c r="ET77" s="2603"/>
      <c r="EU77" s="190">
        <f t="shared" si="32"/>
        <v>0</v>
      </c>
      <c r="EV77" s="2603"/>
      <c r="EW77" s="195">
        <f>CU77-AS77</f>
        <v>0</v>
      </c>
      <c r="EX77" s="2603"/>
      <c r="EY77" s="190">
        <f>CV77-AU77</f>
        <v>0</v>
      </c>
      <c r="EZ77" s="2603"/>
      <c r="FA77" s="190">
        <f>CY77-AX77</f>
        <v>0</v>
      </c>
      <c r="FB77" s="2603"/>
      <c r="FC77" s="190">
        <f>CZ77-AY77</f>
        <v>0</v>
      </c>
      <c r="FD77" s="2603"/>
      <c r="FE77" s="190">
        <f>DA77-AZ77</f>
        <v>0</v>
      </c>
      <c r="FF77" s="2603"/>
      <c r="FG77" s="190">
        <f>DB77-BA77</f>
        <v>0</v>
      </c>
      <c r="FH77" s="2603"/>
      <c r="FI77" s="190">
        <f>DC77-BB77</f>
        <v>0</v>
      </c>
      <c r="FJ77" s="2603"/>
      <c r="FK77" s="190">
        <f>CX77-AW77</f>
        <v>0</v>
      </c>
      <c r="FL77" s="2603"/>
      <c r="FM77" s="195">
        <f>DF77-BE77</f>
        <v>57136.2</v>
      </c>
      <c r="FN77" s="2603"/>
      <c r="FO77" s="195">
        <f>DH77-BG77</f>
        <v>58.299349999999997</v>
      </c>
      <c r="FP77" s="2603"/>
      <c r="FQ77" s="195">
        <f t="shared" si="35"/>
        <v>58.299349999999997</v>
      </c>
      <c r="FR77" s="190">
        <f t="shared" si="35"/>
        <v>178.39601099999999</v>
      </c>
      <c r="FS77" s="190">
        <f t="shared" si="35"/>
        <v>-2</v>
      </c>
      <c r="FT77" s="801">
        <f t="shared" si="35"/>
        <v>0</v>
      </c>
      <c r="FU77" s="801">
        <f>DR77-BO77</f>
        <v>0</v>
      </c>
      <c r="FV77" s="801">
        <f>DO77-BM77</f>
        <v>0</v>
      </c>
      <c r="FW77" s="801">
        <f>DQ77-BN77</f>
        <v>7.8038500000000006</v>
      </c>
      <c r="FX77" s="801">
        <f t="shared" si="36"/>
        <v>0</v>
      </c>
      <c r="FY77" s="801">
        <f t="shared" si="36"/>
        <v>0</v>
      </c>
      <c r="FZ77" s="801">
        <f t="shared" si="36"/>
        <v>0</v>
      </c>
      <c r="GA77" s="801">
        <f t="shared" si="36"/>
        <v>0</v>
      </c>
      <c r="GB77" s="2736"/>
      <c r="GC77" s="845">
        <f t="shared" si="33"/>
        <v>7.8038500000000006</v>
      </c>
      <c r="GD77" s="139"/>
      <c r="GE77" s="139"/>
      <c r="GF77" s="139"/>
      <c r="GG77" s="139"/>
      <c r="GH77" s="139"/>
      <c r="GI77" s="139"/>
      <c r="GJ77" s="139"/>
      <c r="GK77" s="139"/>
      <c r="GL77" s="139"/>
      <c r="GM77" s="139"/>
      <c r="GN77" s="139"/>
      <c r="GO77" s="139"/>
      <c r="GP77" s="139"/>
      <c r="GQ77" s="139"/>
      <c r="GR77" s="139"/>
      <c r="GS77" s="139"/>
      <c r="GT77" s="139"/>
    </row>
    <row r="78" spans="1:202" s="139" customFormat="1" ht="18.75">
      <c r="A78" s="2263"/>
      <c r="B78" s="2263"/>
      <c r="C78" s="132"/>
      <c r="D78" s="132"/>
      <c r="E78" s="132"/>
      <c r="F78" s="777"/>
      <c r="G78" s="137"/>
      <c r="H78" s="132"/>
      <c r="I78" s="136"/>
      <c r="J78" s="132"/>
      <c r="K78" s="132"/>
      <c r="L78" s="132"/>
      <c r="M78" s="132"/>
      <c r="N78" s="134"/>
      <c r="O78" s="220"/>
      <c r="P78" s="134"/>
      <c r="Q78" s="134"/>
      <c r="R78" s="137"/>
      <c r="S78" s="778"/>
      <c r="T78" s="634"/>
      <c r="U78" s="102"/>
      <c r="V78" s="634"/>
      <c r="W78" s="102"/>
      <c r="X78" s="102"/>
      <c r="Y78" s="102"/>
      <c r="Z78" s="634"/>
      <c r="AA78" s="102"/>
      <c r="AB78" s="634"/>
      <c r="AC78" s="102"/>
      <c r="AD78" s="634"/>
      <c r="AE78" s="102"/>
      <c r="AF78" s="102"/>
      <c r="AG78" s="102"/>
      <c r="AH78" s="102"/>
      <c r="AI78" s="634"/>
      <c r="AJ78" s="102"/>
      <c r="AK78" s="634"/>
      <c r="AL78" s="102"/>
      <c r="AM78" s="779"/>
      <c r="AN78" s="634"/>
      <c r="AO78" s="102"/>
      <c r="AP78" s="634"/>
      <c r="AQ78" s="102"/>
      <c r="AR78" s="634"/>
      <c r="AS78" s="102"/>
      <c r="AT78" s="634"/>
      <c r="AU78" s="102"/>
      <c r="AV78" s="634"/>
      <c r="AW78" s="102"/>
      <c r="AX78" s="102"/>
      <c r="AY78" s="102"/>
      <c r="AZ78" s="102"/>
      <c r="BA78" s="102"/>
      <c r="BB78" s="102"/>
      <c r="BC78" s="102"/>
      <c r="BD78" s="634"/>
      <c r="BE78" s="102"/>
      <c r="BF78" s="634"/>
      <c r="BG78" s="102"/>
      <c r="BH78" s="634"/>
      <c r="BI78" s="102"/>
      <c r="BJ78" s="122"/>
      <c r="BK78" s="186"/>
      <c r="BL78" s="102"/>
      <c r="BM78" s="102"/>
      <c r="BN78" s="102"/>
      <c r="BO78" s="102"/>
      <c r="BP78" s="102"/>
      <c r="BQ78" s="102"/>
      <c r="BR78" s="102"/>
      <c r="BS78" s="102"/>
      <c r="BT78" s="634"/>
      <c r="BU78" s="102"/>
      <c r="BW78" s="780"/>
      <c r="CA78" s="781"/>
      <c r="CB78" s="2258"/>
      <c r="CC78" s="782"/>
      <c r="CD78" s="782"/>
      <c r="CE78" s="634"/>
      <c r="CF78" s="783"/>
      <c r="CG78" s="634"/>
      <c r="CH78" s="783"/>
      <c r="CI78" s="634"/>
      <c r="CK78" s="634"/>
      <c r="CM78" s="634"/>
      <c r="CN78" s="784"/>
      <c r="CO78" s="784"/>
      <c r="CP78" s="784"/>
      <c r="CQ78" s="634"/>
      <c r="CR78" s="102"/>
      <c r="CS78" s="784"/>
      <c r="CT78" s="784"/>
      <c r="CU78" s="784"/>
      <c r="CV78" s="784"/>
      <c r="CW78" s="634"/>
      <c r="CX78" s="102"/>
      <c r="CY78" s="784"/>
      <c r="CZ78" s="784"/>
      <c r="DA78" s="784"/>
      <c r="DB78" s="784"/>
      <c r="DC78" s="784"/>
      <c r="DD78" s="784"/>
      <c r="DE78" s="634"/>
      <c r="DF78" s="784"/>
      <c r="DG78" s="634"/>
      <c r="DH78" s="296"/>
      <c r="DI78" s="802"/>
      <c r="DJ78" s="785"/>
      <c r="DK78" s="771"/>
      <c r="DL78" s="772"/>
      <c r="DM78" s="787"/>
      <c r="DN78" s="787"/>
      <c r="DO78" s="787"/>
      <c r="DP78" s="787"/>
      <c r="DQ78" s="787"/>
      <c r="DR78" s="787"/>
      <c r="DS78" s="787"/>
      <c r="DT78" s="787"/>
      <c r="DU78" s="787"/>
      <c r="DV78" s="787"/>
      <c r="DW78" s="802"/>
      <c r="DX78" s="788"/>
      <c r="DY78" s="634"/>
      <c r="DZ78" s="2288"/>
      <c r="EA78" s="2231"/>
      <c r="EB78" s="187"/>
      <c r="EC78" s="2232"/>
      <c r="ED78" s="187"/>
      <c r="EE78" s="187"/>
      <c r="EF78" s="2232"/>
      <c r="EG78" s="195"/>
      <c r="EH78" s="2232"/>
      <c r="EI78" s="187"/>
      <c r="EJ78" s="2232"/>
      <c r="EK78" s="187"/>
      <c r="EL78" s="2232"/>
      <c r="EM78" s="195"/>
      <c r="EN78" s="2232"/>
      <c r="EO78" s="195"/>
      <c r="EP78" s="2232"/>
      <c r="EQ78" s="187"/>
      <c r="ER78" s="2232"/>
      <c r="ES78" s="187"/>
      <c r="ET78" s="2232"/>
      <c r="EU78" s="187">
        <f t="shared" si="32"/>
        <v>0</v>
      </c>
      <c r="EV78" s="2232"/>
      <c r="EW78" s="187"/>
      <c r="EX78" s="2232"/>
      <c r="EY78" s="195"/>
      <c r="EZ78" s="2232"/>
      <c r="FA78" s="195"/>
      <c r="FB78" s="2232"/>
      <c r="FC78" s="195"/>
      <c r="FD78" s="2232"/>
      <c r="FE78" s="195"/>
      <c r="FF78" s="2232"/>
      <c r="FG78" s="195"/>
      <c r="FH78" s="2232"/>
      <c r="FI78" s="195"/>
      <c r="FJ78" s="2232"/>
      <c r="FK78" s="195"/>
      <c r="FL78" s="2232"/>
      <c r="FM78" s="187"/>
      <c r="FN78" s="2232"/>
      <c r="FO78" s="187"/>
      <c r="FP78" s="2232"/>
      <c r="FQ78" s="187"/>
      <c r="FR78" s="190"/>
      <c r="FS78" s="195"/>
      <c r="FT78" s="789"/>
      <c r="FU78" s="789"/>
      <c r="FV78" s="789"/>
      <c r="FW78" s="789"/>
      <c r="FX78" s="789"/>
      <c r="FY78" s="789"/>
      <c r="FZ78" s="789"/>
      <c r="GA78" s="789"/>
      <c r="GB78" s="2289"/>
      <c r="GC78" s="776"/>
    </row>
    <row r="79" spans="1:202" s="228" customFormat="1" ht="18.75">
      <c r="A79" s="216"/>
      <c r="B79" s="216">
        <v>26</v>
      </c>
      <c r="C79" s="218" t="s">
        <v>703</v>
      </c>
      <c r="D79" s="218">
        <v>3179</v>
      </c>
      <c r="E79" s="218">
        <v>2</v>
      </c>
      <c r="F79" s="897">
        <v>2031790002</v>
      </c>
      <c r="G79" s="922">
        <v>5071</v>
      </c>
      <c r="H79" s="218" t="s">
        <v>726</v>
      </c>
      <c r="I79" s="222" t="s">
        <v>727</v>
      </c>
      <c r="J79" s="218">
        <v>0.59</v>
      </c>
      <c r="K79" s="218">
        <v>3.44</v>
      </c>
      <c r="L79" s="218">
        <v>0</v>
      </c>
      <c r="M79" s="218">
        <v>4.8</v>
      </c>
      <c r="N79" s="220">
        <v>3000</v>
      </c>
      <c r="O79" s="220">
        <v>0</v>
      </c>
      <c r="P79" s="220">
        <v>0</v>
      </c>
      <c r="Q79" s="220">
        <v>3000</v>
      </c>
      <c r="R79" s="223">
        <v>0</v>
      </c>
      <c r="S79" s="898" t="s">
        <v>637</v>
      </c>
      <c r="T79" s="234">
        <f>U79</f>
        <v>0</v>
      </c>
      <c r="U79" s="228">
        <v>0</v>
      </c>
      <c r="V79" s="234">
        <f>W79</f>
        <v>3000</v>
      </c>
      <c r="W79" s="228">
        <f>N79</f>
        <v>3000</v>
      </c>
      <c r="Y79" s="228">
        <f>W79-AA79</f>
        <v>3000</v>
      </c>
      <c r="Z79" s="234">
        <f>AA79</f>
        <v>0</v>
      </c>
      <c r="AA79" s="228">
        <v>0</v>
      </c>
      <c r="AB79" s="234">
        <f>AC79</f>
        <v>0</v>
      </c>
      <c r="AC79" s="228">
        <v>0</v>
      </c>
      <c r="AD79" s="234">
        <f>AE79</f>
        <v>0</v>
      </c>
      <c r="AE79" s="228">
        <f>AG79+AF79</f>
        <v>0</v>
      </c>
      <c r="AF79" s="228">
        <v>0</v>
      </c>
      <c r="AG79" s="228">
        <v>0</v>
      </c>
      <c r="AH79" s="228">
        <v>0</v>
      </c>
      <c r="AI79" s="234">
        <f>AJ79</f>
        <v>0</v>
      </c>
      <c r="AJ79" s="228">
        <v>0</v>
      </c>
      <c r="AK79" s="234">
        <f>AL79</f>
        <v>3000</v>
      </c>
      <c r="AL79" s="228">
        <f>W79-(AA79+AC79+AE79+AH79+AJ79+AM79+AW79+AO79+AQ79+AS79+AU79)</f>
        <v>3000</v>
      </c>
      <c r="AM79" s="905">
        <v>0</v>
      </c>
      <c r="AN79" s="234">
        <f>AO79</f>
        <v>0</v>
      </c>
      <c r="AO79" s="228">
        <v>0</v>
      </c>
      <c r="AP79" s="234">
        <f>AQ79</f>
        <v>0</v>
      </c>
      <c r="AQ79" s="228">
        <v>0</v>
      </c>
      <c r="AR79" s="234">
        <f>AS79</f>
        <v>0</v>
      </c>
      <c r="AS79" s="228">
        <v>0</v>
      </c>
      <c r="AT79" s="234">
        <f>AU79</f>
        <v>0</v>
      </c>
      <c r="AU79" s="228">
        <v>0</v>
      </c>
      <c r="AV79" s="234">
        <f>AW79</f>
        <v>0</v>
      </c>
      <c r="AW79" s="228">
        <f>AX79+AY79+AZ79+BA79+BB79</f>
        <v>0</v>
      </c>
      <c r="AX79" s="228">
        <v>0</v>
      </c>
      <c r="AY79" s="228">
        <v>0</v>
      </c>
      <c r="AZ79" s="228">
        <v>0</v>
      </c>
      <c r="BA79" s="228">
        <v>0</v>
      </c>
      <c r="BB79" s="228">
        <v>0</v>
      </c>
      <c r="BC79" s="228">
        <v>0</v>
      </c>
      <c r="BD79" s="234">
        <f>BE79</f>
        <v>3000</v>
      </c>
      <c r="BE79" s="228">
        <f>ROUND(U79+W79,0)</f>
        <v>3000</v>
      </c>
      <c r="BF79" s="234">
        <f>BG79</f>
        <v>0</v>
      </c>
      <c r="BG79" s="228">
        <f>U79/1000</f>
        <v>0</v>
      </c>
      <c r="BH79" s="234">
        <f>BI79</f>
        <v>0</v>
      </c>
      <c r="BI79" s="228">
        <v>0</v>
      </c>
      <c r="BJ79" s="122">
        <f t="shared" si="13"/>
        <v>0</v>
      </c>
      <c r="BK79" s="928">
        <f t="shared" ref="BK79" si="37">ROUND((AL79+AC79+AA79)/1000*3,0)+ROUND((AE79+AU79)/1000,0)+ROUND((ROUND(AH79/400,0))/2.67,0)+ROUND(AJ79/250,0)+ROUND(AO79/15000,0)+ROUND((AX79+AY79+AZ79+BB79)/1000*3,0)+ROUND(BG79/25,0)+ROUND(BU79/50,0)</f>
        <v>9</v>
      </c>
      <c r="BL79" s="228">
        <v>0</v>
      </c>
      <c r="BM79" s="228">
        <v>0</v>
      </c>
      <c r="BN79" s="228">
        <v>0</v>
      </c>
      <c r="BO79" s="228">
        <f>AC79/1000</f>
        <v>0</v>
      </c>
      <c r="BP79" s="228">
        <f>AH79/1000</f>
        <v>0</v>
      </c>
      <c r="BQ79" s="228">
        <v>0</v>
      </c>
      <c r="BR79" s="228">
        <v>0</v>
      </c>
      <c r="BS79" s="228">
        <v>0</v>
      </c>
      <c r="BT79" s="234">
        <f>BU79</f>
        <v>0</v>
      </c>
      <c r="BU79" s="228">
        <f>SUM(BL79:BS79)</f>
        <v>0</v>
      </c>
      <c r="BV79" s="929">
        <v>15</v>
      </c>
      <c r="BW79" s="228" t="s">
        <v>729</v>
      </c>
      <c r="BX79" s="228">
        <v>7.2</v>
      </c>
      <c r="BY79" s="228">
        <v>3.4</v>
      </c>
      <c r="BZ79" s="228">
        <v>6.5</v>
      </c>
      <c r="CA79" s="901"/>
      <c r="CB79" s="230" t="s">
        <v>861</v>
      </c>
      <c r="CC79" s="399">
        <f>(BX79*G79)-CF79</f>
        <v>27129.850000000006</v>
      </c>
      <c r="CD79" s="399">
        <v>27129.850000000006</v>
      </c>
      <c r="CE79" s="234">
        <f>CF79</f>
        <v>9381.35</v>
      </c>
      <c r="CF79" s="902">
        <f>2*(G79)-(0.15*1*(G79))</f>
        <v>9381.35</v>
      </c>
      <c r="CG79" s="234">
        <f>CH79</f>
        <v>9381.35</v>
      </c>
      <c r="CH79" s="836">
        <f>CF79-CJ79</f>
        <v>9381.35</v>
      </c>
      <c r="CI79" s="234">
        <f>CJ79</f>
        <v>0</v>
      </c>
      <c r="CJ79" s="111">
        <v>0</v>
      </c>
      <c r="CK79" s="234">
        <f>CL79</f>
        <v>0</v>
      </c>
      <c r="CL79" s="111">
        <v>0</v>
      </c>
      <c r="CM79" s="234">
        <f>CN79</f>
        <v>9381.35</v>
      </c>
      <c r="CN79" s="903">
        <f>CF79-(CJ79+CL79+CO79+CP79+CR79+CU79+CV79+CX79)</f>
        <v>9381.35</v>
      </c>
      <c r="CO79" s="903">
        <v>0</v>
      </c>
      <c r="CP79" s="903">
        <v>0</v>
      </c>
      <c r="CQ79" s="234">
        <f>CR79</f>
        <v>0</v>
      </c>
      <c r="CR79" s="111">
        <v>0</v>
      </c>
      <c r="CS79" s="903">
        <v>0</v>
      </c>
      <c r="CT79" s="903">
        <v>0</v>
      </c>
      <c r="CU79" s="903">
        <v>0</v>
      </c>
      <c r="CV79" s="903">
        <v>0</v>
      </c>
      <c r="CW79" s="234">
        <f>CX79</f>
        <v>0</v>
      </c>
      <c r="CX79" s="111">
        <f>SUM(CY79:DC79)</f>
        <v>0</v>
      </c>
      <c r="CY79" s="903">
        <f>AX79</f>
        <v>0</v>
      </c>
      <c r="CZ79" s="903">
        <f>AY79</f>
        <v>0</v>
      </c>
      <c r="DA79" s="903">
        <f>AZ79</f>
        <v>0</v>
      </c>
      <c r="DB79" s="903">
        <f>BA79</f>
        <v>0</v>
      </c>
      <c r="DC79" s="903">
        <f>BB79</f>
        <v>0</v>
      </c>
      <c r="DD79" s="903"/>
      <c r="DE79" s="234">
        <f>DF79</f>
        <v>36511.200000000004</v>
      </c>
      <c r="DF79" s="903">
        <f>CC79+CF79+CV79</f>
        <v>36511.200000000004</v>
      </c>
      <c r="DG79" s="234">
        <f>DH79</f>
        <v>27.129850000000005</v>
      </c>
      <c r="DH79" s="111">
        <f>CC79/1000</f>
        <v>27.129850000000005</v>
      </c>
      <c r="DI79" s="886">
        <f>DJ79</f>
        <v>27.129850000000005</v>
      </c>
      <c r="DJ79" s="899">
        <f>DH79</f>
        <v>27.129850000000005</v>
      </c>
      <c r="DK79" s="771">
        <f>3.06*DH79</f>
        <v>83.017341000000016</v>
      </c>
      <c r="DL79" s="924">
        <f>ROUND((CN79+CL79+CJ79)/1000*3,0)+ROUND((ROUND(CP79/400,0))/2.67,0)+ROUND(CV79/1000,0)+ROUND((CY79+CZ79+DA79+DC79)/1000*3,0)+ROUND(DH79/25,0)+ROUND(DX79/50,0)</f>
        <v>29</v>
      </c>
      <c r="DM79" s="899">
        <v>0</v>
      </c>
      <c r="DN79" s="925">
        <v>0</v>
      </c>
      <c r="DO79" s="899"/>
      <c r="DP79" s="899">
        <f>DJ79*0.25</f>
        <v>6.7824625000000012</v>
      </c>
      <c r="DQ79" s="905">
        <f>SUM(CO79,CJ79,CN79,CR79,CU79)/1000</f>
        <v>9.3813500000000012</v>
      </c>
      <c r="DR79" s="899">
        <f>CL79/1000</f>
        <v>0</v>
      </c>
      <c r="DS79" s="899">
        <f>((CP79/400)/12)</f>
        <v>0</v>
      </c>
      <c r="DT79" s="899">
        <v>0</v>
      </c>
      <c r="DU79" s="899">
        <v>0</v>
      </c>
      <c r="DV79" s="899">
        <f>IF(CX79&gt;0,"Calculate",0)</f>
        <v>0</v>
      </c>
      <c r="DW79" s="886">
        <f>DX79</f>
        <v>9.3813500000000012</v>
      </c>
      <c r="DX79" s="906">
        <f>DN79+DO79+DQ79+DR79+DS79+DT79+DU79+DV79</f>
        <v>9.3813500000000012</v>
      </c>
      <c r="DY79" s="234">
        <v>165</v>
      </c>
      <c r="DZ79" s="2288">
        <f>CD79-T79</f>
        <v>27129.850000000006</v>
      </c>
      <c r="EA79" s="2231">
        <f>CE79-V79</f>
        <v>6381.35</v>
      </c>
      <c r="EB79" s="187">
        <f>CF79-W79</f>
        <v>6381.35</v>
      </c>
      <c r="EC79" s="235">
        <f>ED79</f>
        <v>6381.35</v>
      </c>
      <c r="ED79" s="187">
        <v>6381.35</v>
      </c>
      <c r="EE79" s="187">
        <f>(SUM(CJ79:CO79))-(SUM(AA79:AE79,AL79))</f>
        <v>15762.7</v>
      </c>
      <c r="EF79" s="235">
        <f>EG79</f>
        <v>6381.35</v>
      </c>
      <c r="EG79" s="245">
        <v>6381.35</v>
      </c>
      <c r="EH79" s="235">
        <f>EI79</f>
        <v>0</v>
      </c>
      <c r="EI79" s="187">
        <f>CL79-AC79</f>
        <v>0</v>
      </c>
      <c r="EJ79" s="235">
        <f>EK79</f>
        <v>0</v>
      </c>
      <c r="EK79" s="187">
        <f>CJ79-AA79</f>
        <v>0</v>
      </c>
      <c r="EL79" s="235">
        <f>EM79</f>
        <v>0</v>
      </c>
      <c r="EM79" s="245">
        <f>CO79-AE79</f>
        <v>0</v>
      </c>
      <c r="EN79" s="235">
        <f>EO79</f>
        <v>0</v>
      </c>
      <c r="EO79" s="269">
        <f>CP79-AH79</f>
        <v>0</v>
      </c>
      <c r="EP79" s="235">
        <f>EQ79</f>
        <v>0</v>
      </c>
      <c r="EQ79" s="187">
        <f>CR79-AJ79</f>
        <v>0</v>
      </c>
      <c r="ER79" s="235">
        <f>ES79</f>
        <v>0</v>
      </c>
      <c r="ES79" s="187">
        <f>CS79-AO79</f>
        <v>0</v>
      </c>
      <c r="ET79" s="235">
        <f>EU79</f>
        <v>0</v>
      </c>
      <c r="EU79" s="187">
        <f t="shared" si="32"/>
        <v>0</v>
      </c>
      <c r="EV79" s="235">
        <f>EW79</f>
        <v>0</v>
      </c>
      <c r="EW79" s="187">
        <f>CU79-AS79</f>
        <v>0</v>
      </c>
      <c r="EX79" s="235">
        <f>EY79</f>
        <v>0</v>
      </c>
      <c r="EY79" s="269">
        <f>CV79-AU79</f>
        <v>0</v>
      </c>
      <c r="EZ79" s="235">
        <f>FA79</f>
        <v>0</v>
      </c>
      <c r="FA79" s="269">
        <f>CY79-AX79</f>
        <v>0</v>
      </c>
      <c r="FB79" s="235">
        <f>FC79</f>
        <v>0</v>
      </c>
      <c r="FC79" s="269">
        <f>CZ79-AY79</f>
        <v>0</v>
      </c>
      <c r="FD79" s="235">
        <f>FE79</f>
        <v>0</v>
      </c>
      <c r="FE79" s="269">
        <f>DA79-AZ79</f>
        <v>0</v>
      </c>
      <c r="FF79" s="235">
        <f>FG79</f>
        <v>0</v>
      </c>
      <c r="FG79" s="269">
        <f>DB79-BA79</f>
        <v>0</v>
      </c>
      <c r="FH79" s="235">
        <f>FI79</f>
        <v>0</v>
      </c>
      <c r="FI79" s="269">
        <f>DC79-BB79</f>
        <v>0</v>
      </c>
      <c r="FJ79" s="235">
        <f>FK79</f>
        <v>0</v>
      </c>
      <c r="FK79" s="269">
        <f>CX79-AW79</f>
        <v>0</v>
      </c>
      <c r="FL79" s="235">
        <f>FM79</f>
        <v>33511.200000000004</v>
      </c>
      <c r="FM79" s="187">
        <f>DF79-BE79</f>
        <v>33511.200000000004</v>
      </c>
      <c r="FN79" s="235">
        <f>FO79</f>
        <v>27.129850000000005</v>
      </c>
      <c r="FO79" s="187">
        <f>DH79-BG79</f>
        <v>27.129850000000005</v>
      </c>
      <c r="FP79" s="235">
        <f>FQ79</f>
        <v>27.129850000000005</v>
      </c>
      <c r="FQ79" s="187">
        <f>DJ79-BI79</f>
        <v>27.129850000000005</v>
      </c>
      <c r="FR79" s="190">
        <f>DK79-BJ79</f>
        <v>83.017341000000016</v>
      </c>
      <c r="FS79" s="269">
        <f>DL79-BK79</f>
        <v>20</v>
      </c>
      <c r="FT79" s="930">
        <f>DM79-BL79</f>
        <v>0</v>
      </c>
      <c r="FU79" s="930">
        <f>DR79-BO79</f>
        <v>0</v>
      </c>
      <c r="FV79" s="930"/>
      <c r="FW79" s="930">
        <f>DQ79-BN79</f>
        <v>9.3813500000000012</v>
      </c>
      <c r="FX79" s="930">
        <f>DS79-BP79</f>
        <v>0</v>
      </c>
      <c r="FY79" s="930">
        <f>DT79-BQ79</f>
        <v>0</v>
      </c>
      <c r="FZ79" s="930">
        <f>DU79-BR79</f>
        <v>0</v>
      </c>
      <c r="GA79" s="930">
        <f>DV79-BS79</f>
        <v>0</v>
      </c>
      <c r="GB79" s="894">
        <f>GC79</f>
        <v>9.3813500000000012</v>
      </c>
      <c r="GC79" s="776">
        <f t="shared" si="33"/>
        <v>9.3813500000000012</v>
      </c>
      <c r="GD79" s="139"/>
      <c r="GE79" s="139"/>
      <c r="GF79" s="139"/>
      <c r="GG79" s="139"/>
      <c r="GH79" s="139"/>
      <c r="GI79" s="139"/>
      <c r="GJ79" s="139"/>
      <c r="GK79" s="139"/>
      <c r="GL79" s="139"/>
      <c r="GM79" s="139"/>
      <c r="GN79" s="139"/>
      <c r="GO79" s="139"/>
      <c r="GP79" s="139"/>
      <c r="GQ79" s="139"/>
      <c r="GR79" s="139"/>
      <c r="GS79" s="139"/>
      <c r="GT79" s="139"/>
    </row>
    <row r="80" spans="1:202" s="139" customFormat="1" ht="18.75">
      <c r="A80" s="2263"/>
      <c r="B80" s="2263"/>
      <c r="C80" s="132"/>
      <c r="D80" s="132"/>
      <c r="E80" s="132"/>
      <c r="F80" s="777"/>
      <c r="G80" s="931"/>
      <c r="H80" s="132"/>
      <c r="I80" s="136"/>
      <c r="J80" s="132"/>
      <c r="K80" s="132"/>
      <c r="L80" s="132"/>
      <c r="M80" s="132"/>
      <c r="N80" s="134"/>
      <c r="O80" s="134"/>
      <c r="P80" s="134"/>
      <c r="Q80" s="134"/>
      <c r="R80" s="137"/>
      <c r="S80" s="778"/>
      <c r="T80" s="634"/>
      <c r="V80" s="634"/>
      <c r="Z80" s="634"/>
      <c r="AB80" s="634"/>
      <c r="AD80" s="634"/>
      <c r="AI80" s="634"/>
      <c r="AK80" s="634"/>
      <c r="AM80" s="787"/>
      <c r="AN80" s="634"/>
      <c r="AP80" s="634"/>
      <c r="AR80" s="634"/>
      <c r="AT80" s="634"/>
      <c r="AV80" s="634"/>
      <c r="BD80" s="634"/>
      <c r="BF80" s="634"/>
      <c r="BH80" s="634"/>
      <c r="BJ80" s="122"/>
      <c r="BK80" s="928"/>
      <c r="BT80" s="634"/>
      <c r="BV80" s="932"/>
      <c r="CA80" s="781"/>
      <c r="CB80" s="2258"/>
      <c r="CC80" s="782"/>
      <c r="CD80" s="782"/>
      <c r="CE80" s="634"/>
      <c r="CF80" s="840"/>
      <c r="CG80" s="634"/>
      <c r="CH80" s="783"/>
      <c r="CI80" s="634"/>
      <c r="CJ80" s="102"/>
      <c r="CK80" s="634"/>
      <c r="CL80" s="102"/>
      <c r="CM80" s="634"/>
      <c r="CN80" s="784"/>
      <c r="CO80" s="784"/>
      <c r="CP80" s="784"/>
      <c r="CQ80" s="634"/>
      <c r="CR80" s="102"/>
      <c r="CS80" s="784"/>
      <c r="CT80" s="784"/>
      <c r="CU80" s="784"/>
      <c r="CV80" s="784"/>
      <c r="CW80" s="634"/>
      <c r="CX80" s="102"/>
      <c r="CY80" s="784"/>
      <c r="CZ80" s="784"/>
      <c r="DA80" s="784"/>
      <c r="DB80" s="784"/>
      <c r="DC80" s="784"/>
      <c r="DD80" s="784"/>
      <c r="DE80" s="634"/>
      <c r="DF80" s="784"/>
      <c r="DG80" s="634"/>
      <c r="DH80" s="102"/>
      <c r="DI80" s="802"/>
      <c r="DJ80" s="779"/>
      <c r="DK80" s="771"/>
      <c r="DL80" s="854"/>
      <c r="DM80" s="779"/>
      <c r="DN80" s="933"/>
      <c r="DO80" s="779"/>
      <c r="DP80" s="779"/>
      <c r="DQ80" s="787"/>
      <c r="DR80" s="779"/>
      <c r="DS80" s="779"/>
      <c r="DT80" s="779"/>
      <c r="DU80" s="779"/>
      <c r="DV80" s="779"/>
      <c r="DW80" s="802"/>
      <c r="DX80" s="788"/>
      <c r="DY80" s="2246"/>
      <c r="DZ80" s="2288"/>
      <c r="EA80" s="2231"/>
      <c r="EB80" s="187"/>
      <c r="EC80" s="2232"/>
      <c r="ED80" s="187"/>
      <c r="EE80" s="187"/>
      <c r="EF80" s="2232"/>
      <c r="EG80" s="245"/>
      <c r="EH80" s="2232"/>
      <c r="EI80" s="187"/>
      <c r="EJ80" s="2232"/>
      <c r="EK80" s="187"/>
      <c r="EL80" s="2232"/>
      <c r="EM80" s="195"/>
      <c r="EN80" s="2232"/>
      <c r="EO80" s="278"/>
      <c r="EP80" s="2232"/>
      <c r="EQ80" s="187"/>
      <c r="ER80" s="2232"/>
      <c r="ES80" s="187"/>
      <c r="ET80" s="2232"/>
      <c r="EU80" s="187">
        <f t="shared" si="32"/>
        <v>0</v>
      </c>
      <c r="EV80" s="2232"/>
      <c r="EW80" s="187"/>
      <c r="EX80" s="2232"/>
      <c r="EY80" s="278"/>
      <c r="EZ80" s="2232"/>
      <c r="FA80" s="278"/>
      <c r="FB80" s="2232"/>
      <c r="FC80" s="278"/>
      <c r="FD80" s="2232"/>
      <c r="FE80" s="278"/>
      <c r="FF80" s="2232"/>
      <c r="FG80" s="278"/>
      <c r="FH80" s="2232"/>
      <c r="FI80" s="278"/>
      <c r="FJ80" s="2232"/>
      <c r="FK80" s="278"/>
      <c r="FL80" s="2232"/>
      <c r="FM80" s="187"/>
      <c r="FN80" s="2232"/>
      <c r="FO80" s="187"/>
      <c r="FP80" s="2232"/>
      <c r="FQ80" s="187"/>
      <c r="FR80" s="190"/>
      <c r="FS80" s="195"/>
      <c r="FT80" s="789"/>
      <c r="FU80" s="789"/>
      <c r="FV80" s="789"/>
      <c r="FW80" s="789"/>
      <c r="FX80" s="789"/>
      <c r="FY80" s="789"/>
      <c r="FZ80" s="789"/>
      <c r="GA80" s="789"/>
      <c r="GB80" s="2289"/>
      <c r="GC80" s="776"/>
    </row>
    <row r="81" spans="1:202" s="228" customFormat="1" ht="18.75">
      <c r="A81" s="216"/>
      <c r="B81" s="216">
        <v>27</v>
      </c>
      <c r="C81" s="918" t="s">
        <v>703</v>
      </c>
      <c r="D81" s="218">
        <v>3179</v>
      </c>
      <c r="E81" s="218">
        <v>63</v>
      </c>
      <c r="F81" s="218">
        <v>2031790063</v>
      </c>
      <c r="G81" s="922">
        <v>10095</v>
      </c>
      <c r="H81" s="218" t="s">
        <v>733</v>
      </c>
      <c r="I81" s="222" t="s">
        <v>727</v>
      </c>
      <c r="J81" s="218">
        <v>1.36</v>
      </c>
      <c r="K81" s="218">
        <v>6.02</v>
      </c>
      <c r="L81" s="218">
        <v>0</v>
      </c>
      <c r="M81" s="218">
        <v>6.5</v>
      </c>
      <c r="N81" s="220">
        <v>13731</v>
      </c>
      <c r="O81" s="220">
        <v>0</v>
      </c>
      <c r="P81" s="220">
        <v>0</v>
      </c>
      <c r="Q81" s="220">
        <v>13731</v>
      </c>
      <c r="R81" s="223">
        <v>0</v>
      </c>
      <c r="S81" s="898" t="s">
        <v>637</v>
      </c>
      <c r="T81" s="234">
        <f>U81</f>
        <v>0</v>
      </c>
      <c r="U81" s="228">
        <f>Q81-N81</f>
        <v>0</v>
      </c>
      <c r="V81" s="234">
        <f>W81</f>
        <v>13731</v>
      </c>
      <c r="W81" s="228">
        <f>N81</f>
        <v>13731</v>
      </c>
      <c r="Y81" s="228">
        <f>W81-AA81</f>
        <v>13731</v>
      </c>
      <c r="Z81" s="234">
        <f>AA81</f>
        <v>0</v>
      </c>
      <c r="AA81" s="228">
        <v>0</v>
      </c>
      <c r="AB81" s="234">
        <f>AC81</f>
        <v>0</v>
      </c>
      <c r="AC81" s="228">
        <v>0</v>
      </c>
      <c r="AD81" s="234">
        <f>AE81</f>
        <v>0</v>
      </c>
      <c r="AE81" s="228">
        <f>AF81+AG81</f>
        <v>0</v>
      </c>
      <c r="AF81" s="228">
        <v>0</v>
      </c>
      <c r="AG81" s="228">
        <v>0</v>
      </c>
      <c r="AH81" s="228">
        <v>0</v>
      </c>
      <c r="AI81" s="234">
        <f>AJ81</f>
        <v>0</v>
      </c>
      <c r="AJ81" s="228">
        <v>0</v>
      </c>
      <c r="AK81" s="234">
        <f>AL81</f>
        <v>10661</v>
      </c>
      <c r="AL81" s="228">
        <f>W81-(AA81+AC81+AE81+AH81+AJ81+AM81+AW81+AO81+AQ81+AS81+AU81)</f>
        <v>10661</v>
      </c>
      <c r="AM81" s="905">
        <v>0</v>
      </c>
      <c r="AN81" s="234">
        <f>AO81</f>
        <v>0</v>
      </c>
      <c r="AO81" s="228">
        <v>0</v>
      </c>
      <c r="AP81" s="234">
        <f>AQ81</f>
        <v>0</v>
      </c>
      <c r="AQ81" s="228">
        <v>0</v>
      </c>
      <c r="AR81" s="234">
        <f>AS81</f>
        <v>3070</v>
      </c>
      <c r="AS81" s="228">
        <v>3070</v>
      </c>
      <c r="AT81" s="234">
        <f>AU81</f>
        <v>0</v>
      </c>
      <c r="AU81" s="228">
        <v>0</v>
      </c>
      <c r="AV81" s="234">
        <f>AW81</f>
        <v>0</v>
      </c>
      <c r="AW81" s="228">
        <f>AX81+AY81+AZ81+BA81+BB81</f>
        <v>0</v>
      </c>
      <c r="AX81" s="228">
        <v>0</v>
      </c>
      <c r="AY81" s="228">
        <v>0</v>
      </c>
      <c r="AZ81" s="228">
        <v>0</v>
      </c>
      <c r="BA81" s="228">
        <v>0</v>
      </c>
      <c r="BB81" s="228">
        <v>0</v>
      </c>
      <c r="BC81" s="228">
        <v>0</v>
      </c>
      <c r="BD81" s="234">
        <f>BE81</f>
        <v>13731</v>
      </c>
      <c r="BE81" s="228">
        <f>ROUND(U81+W81,0)</f>
        <v>13731</v>
      </c>
      <c r="BF81" s="234">
        <f>BG81</f>
        <v>0</v>
      </c>
      <c r="BG81" s="228">
        <f>ROUND(U81/'[1]Projected Development Sites'!DF$134,0)</f>
        <v>0</v>
      </c>
      <c r="BH81" s="234">
        <f>BI81</f>
        <v>0</v>
      </c>
      <c r="BI81" s="228">
        <f>'[1]Projected Development Sites'!BG$135*BG81</f>
        <v>0</v>
      </c>
      <c r="BJ81" s="122">
        <f t="shared" si="13"/>
        <v>0</v>
      </c>
      <c r="BK81" s="928">
        <f>ROUND((AL81+AC81+AA81)/1000*3,0)+ROUND((AE81+AU81)/1000,0)+ROUND((ROUND(AH81/400,0))/2.67,0)+ROUND(AJ81/250,0)+ROUND(AO81/15000,0)+ROUND((AX81+AY81+AZ81+BB81)/1000*3,0)+ROUND(BG81/25,0)+ROUND(BU81/50,0)</f>
        <v>32</v>
      </c>
      <c r="BL81" s="228">
        <v>0</v>
      </c>
      <c r="BM81" s="228">
        <v>0</v>
      </c>
      <c r="BN81" s="228">
        <v>0</v>
      </c>
      <c r="BO81" s="228">
        <v>0</v>
      </c>
      <c r="BP81" s="228">
        <v>0</v>
      </c>
      <c r="BR81" s="228">
        <v>0</v>
      </c>
      <c r="BT81" s="234">
        <f>BU81</f>
        <v>0</v>
      </c>
      <c r="BU81" s="228">
        <f>SUM(BL81:BS81)</f>
        <v>0</v>
      </c>
      <c r="BV81" s="929">
        <v>15</v>
      </c>
      <c r="BW81" s="228" t="s">
        <v>729</v>
      </c>
      <c r="BX81" s="228">
        <v>7.2</v>
      </c>
      <c r="BY81" s="228">
        <v>3.4</v>
      </c>
      <c r="BZ81" s="228">
        <v>6.5</v>
      </c>
      <c r="CA81" s="901"/>
      <c r="CB81" s="230" t="s">
        <v>861</v>
      </c>
      <c r="CC81" s="399">
        <f>(BX81*G81)-CF81</f>
        <v>54008.25</v>
      </c>
      <c r="CD81" s="399">
        <v>54008.25</v>
      </c>
      <c r="CE81" s="234">
        <f>CF81</f>
        <v>18675.75</v>
      </c>
      <c r="CF81" s="902">
        <f>2*(G81)-(0.15*1*(G81))</f>
        <v>18675.75</v>
      </c>
      <c r="CG81" s="234">
        <f>CH81</f>
        <v>18675.75</v>
      </c>
      <c r="CH81" s="836">
        <f>CF81-CJ81</f>
        <v>18675.75</v>
      </c>
      <c r="CI81" s="234">
        <f>CJ81</f>
        <v>0</v>
      </c>
      <c r="CJ81" s="111">
        <v>0</v>
      </c>
      <c r="CK81" s="234">
        <f>CL81</f>
        <v>0</v>
      </c>
      <c r="CL81" s="111">
        <v>0</v>
      </c>
      <c r="CM81" s="234">
        <f>CN81</f>
        <v>18675.75</v>
      </c>
      <c r="CN81" s="903">
        <f>CF81-(CJ81+CL81+CO81+CP81+CR81+CU81+CV81+CX81)</f>
        <v>18675.75</v>
      </c>
      <c r="CO81" s="903">
        <v>0</v>
      </c>
      <c r="CP81" s="903">
        <v>0</v>
      </c>
      <c r="CQ81" s="234">
        <f>CR81</f>
        <v>0</v>
      </c>
      <c r="CR81" s="111">
        <v>0</v>
      </c>
      <c r="CS81" s="903"/>
      <c r="CT81" s="903"/>
      <c r="CU81" s="903"/>
      <c r="CV81" s="903"/>
      <c r="CW81" s="234">
        <f>CX81</f>
        <v>0</v>
      </c>
      <c r="CX81" s="111">
        <v>0</v>
      </c>
      <c r="CY81" s="903"/>
      <c r="CZ81" s="903"/>
      <c r="DA81" s="903"/>
      <c r="DB81" s="903"/>
      <c r="DC81" s="903"/>
      <c r="DD81" s="903"/>
      <c r="DE81" s="234">
        <f>DF81</f>
        <v>72684</v>
      </c>
      <c r="DF81" s="111">
        <f>CC81+CF81+CV81</f>
        <v>72684</v>
      </c>
      <c r="DG81" s="234">
        <f>DH81</f>
        <v>54.008249999999997</v>
      </c>
      <c r="DH81" s="111">
        <f>CC81/1000</f>
        <v>54.008249999999997</v>
      </c>
      <c r="DI81" s="886">
        <f>DJ81</f>
        <v>54.008249999999997</v>
      </c>
      <c r="DJ81" s="899">
        <f>DH81</f>
        <v>54.008249999999997</v>
      </c>
      <c r="DK81" s="771">
        <f>3.06*DH81</f>
        <v>165.26524499999999</v>
      </c>
      <c r="DL81" s="924">
        <f>ROUND((CN81+CL81+CJ81)/1000*3,0)+ROUND((ROUND(CP81/400,0))/2.67,0)+ROUND(CV81/1000,0)+ROUND((CY81+CZ81+DA81+DC81)/1000*3,0)+ROUND(DH81/25,0)+ROUND(DX81/50,0)</f>
        <v>58</v>
      </c>
      <c r="DM81" s="899">
        <v>0</v>
      </c>
      <c r="DN81" s="925">
        <v>0</v>
      </c>
      <c r="DO81" s="899"/>
      <c r="DP81" s="899">
        <f>DJ81*0.25</f>
        <v>13.502062499999999</v>
      </c>
      <c r="DQ81" s="905">
        <f>SUM(CO81,CJ81,CN81,CR81,CU81)/1000</f>
        <v>18.675750000000001</v>
      </c>
      <c r="DR81" s="899">
        <f>CL81/1000</f>
        <v>0</v>
      </c>
      <c r="DS81" s="899">
        <f>((CP81/400)/12)</f>
        <v>0</v>
      </c>
      <c r="DT81" s="899">
        <v>0</v>
      </c>
      <c r="DU81" s="899">
        <v>0</v>
      </c>
      <c r="DV81" s="899">
        <f>IF(CX81&gt;0,"Calculate",0)</f>
        <v>0</v>
      </c>
      <c r="DW81" s="886">
        <f>DX81</f>
        <v>18.675750000000001</v>
      </c>
      <c r="DX81" s="906">
        <f>DN81+DO81+DQ81+DR81+DS81+DT81+DU81+DV81</f>
        <v>18.675750000000001</v>
      </c>
      <c r="DY81" s="234">
        <v>145</v>
      </c>
      <c r="DZ81" s="2288">
        <f>CD81-T81</f>
        <v>54008.25</v>
      </c>
      <c r="EA81" s="2231">
        <f>CE81-V81</f>
        <v>4944.75</v>
      </c>
      <c r="EB81" s="187">
        <f>CF81-W81</f>
        <v>4944.75</v>
      </c>
      <c r="EC81" s="235">
        <f>ED81</f>
        <v>8014.75</v>
      </c>
      <c r="ED81" s="187">
        <v>8014.75</v>
      </c>
      <c r="EE81" s="187">
        <f>(SUM(CJ81:CO81))-(SUM(AA81:AE81,AL81))</f>
        <v>26690.5</v>
      </c>
      <c r="EF81" s="235">
        <f>EG81</f>
        <v>8014.75</v>
      </c>
      <c r="EG81" s="245">
        <v>8014.75</v>
      </c>
      <c r="EH81" s="235">
        <f>EI81</f>
        <v>0</v>
      </c>
      <c r="EI81" s="187">
        <f>CL81-AC81</f>
        <v>0</v>
      </c>
      <c r="EJ81" s="235">
        <f>EK81</f>
        <v>0</v>
      </c>
      <c r="EK81" s="187">
        <f>CJ81-AA81</f>
        <v>0</v>
      </c>
      <c r="EL81" s="235">
        <f>EM81</f>
        <v>0</v>
      </c>
      <c r="EM81" s="245">
        <f>CO81-AE81</f>
        <v>0</v>
      </c>
      <c r="EN81" s="235">
        <f>EO81</f>
        <v>0</v>
      </c>
      <c r="EO81" s="269">
        <f>CP81-AH81</f>
        <v>0</v>
      </c>
      <c r="EP81" s="235">
        <f>EQ81</f>
        <v>0</v>
      </c>
      <c r="EQ81" s="187">
        <f>CR81-AJ81</f>
        <v>0</v>
      </c>
      <c r="ER81" s="235">
        <f>ES81</f>
        <v>0</v>
      </c>
      <c r="ES81" s="187">
        <f>CS81-AO81</f>
        <v>0</v>
      </c>
      <c r="ET81" s="235">
        <f>EU81</f>
        <v>0</v>
      </c>
      <c r="EU81" s="187">
        <f t="shared" si="32"/>
        <v>0</v>
      </c>
      <c r="EV81" s="235">
        <f>EW81</f>
        <v>-3070</v>
      </c>
      <c r="EW81" s="187">
        <f>CU81-AS81</f>
        <v>-3070</v>
      </c>
      <c r="EX81" s="235">
        <f>EY81</f>
        <v>0</v>
      </c>
      <c r="EY81" s="269">
        <f>CV81-AU81</f>
        <v>0</v>
      </c>
      <c r="EZ81" s="235">
        <f>FA81</f>
        <v>0</v>
      </c>
      <c r="FA81" s="269">
        <f>CY81-AX81</f>
        <v>0</v>
      </c>
      <c r="FB81" s="235">
        <f>FC81</f>
        <v>0</v>
      </c>
      <c r="FC81" s="269">
        <f>CZ81-AY81</f>
        <v>0</v>
      </c>
      <c r="FD81" s="235">
        <f>FE81</f>
        <v>0</v>
      </c>
      <c r="FE81" s="269">
        <f>DA81-AZ81</f>
        <v>0</v>
      </c>
      <c r="FF81" s="235">
        <f>FG81</f>
        <v>0</v>
      </c>
      <c r="FG81" s="269">
        <f>DB81-BA81</f>
        <v>0</v>
      </c>
      <c r="FH81" s="235">
        <f>FI81</f>
        <v>0</v>
      </c>
      <c r="FI81" s="269">
        <f>DC81-BB81</f>
        <v>0</v>
      </c>
      <c r="FJ81" s="235">
        <f>FK81</f>
        <v>0</v>
      </c>
      <c r="FK81" s="269">
        <f>CX81-AW81</f>
        <v>0</v>
      </c>
      <c r="FL81" s="235">
        <f>FM81</f>
        <v>58953</v>
      </c>
      <c r="FM81" s="187">
        <f>DF81-BE81</f>
        <v>58953</v>
      </c>
      <c r="FN81" s="235">
        <f>FO81</f>
        <v>54.008249999999997</v>
      </c>
      <c r="FO81" s="187">
        <f>DH81-BG81</f>
        <v>54.008249999999997</v>
      </c>
      <c r="FP81" s="235">
        <f>FQ81</f>
        <v>54.008249999999997</v>
      </c>
      <c r="FQ81" s="187">
        <f>DJ81-BI81</f>
        <v>54.008249999999997</v>
      </c>
      <c r="FR81" s="190">
        <f>DK81-BJ81</f>
        <v>165.26524499999999</v>
      </c>
      <c r="FS81" s="245">
        <f>DL81-BK81</f>
        <v>26</v>
      </c>
      <c r="FT81" s="907">
        <f>DM81-BL81</f>
        <v>0</v>
      </c>
      <c r="FU81" s="907">
        <f>DR81-BO81</f>
        <v>0</v>
      </c>
      <c r="FV81" s="907"/>
      <c r="FW81" s="907">
        <f>DQ81-BN81</f>
        <v>18.675750000000001</v>
      </c>
      <c r="FX81" s="907">
        <f>DS81-BP81</f>
        <v>0</v>
      </c>
      <c r="FY81" s="907">
        <f>DT81-BQ81</f>
        <v>0</v>
      </c>
      <c r="FZ81" s="907">
        <f>DU81-BR81</f>
        <v>0</v>
      </c>
      <c r="GA81" s="907">
        <f>DV81-BS81</f>
        <v>0</v>
      </c>
      <c r="GB81" s="894">
        <f>GC81</f>
        <v>18.675750000000001</v>
      </c>
      <c r="GC81" s="776">
        <f t="shared" si="33"/>
        <v>18.675750000000001</v>
      </c>
      <c r="GD81" s="139"/>
      <c r="GE81" s="139"/>
      <c r="GF81" s="139"/>
      <c r="GG81" s="139"/>
      <c r="GH81" s="139"/>
      <c r="GI81" s="139"/>
      <c r="GJ81" s="139"/>
      <c r="GK81" s="139"/>
      <c r="GL81" s="139"/>
      <c r="GM81" s="139"/>
      <c r="GN81" s="139"/>
      <c r="GO81" s="139"/>
      <c r="GP81" s="139"/>
      <c r="GQ81" s="139"/>
      <c r="GR81" s="139"/>
      <c r="GS81" s="139"/>
      <c r="GT81" s="139"/>
    </row>
    <row r="82" spans="1:202" s="139" customFormat="1" ht="18.75">
      <c r="A82" s="2263"/>
      <c r="B82" s="2263"/>
      <c r="C82" s="913"/>
      <c r="D82" s="132"/>
      <c r="E82" s="132"/>
      <c r="F82" s="132"/>
      <c r="G82" s="931"/>
      <c r="H82" s="132"/>
      <c r="I82" s="136"/>
      <c r="J82" s="132"/>
      <c r="K82" s="132"/>
      <c r="L82" s="132"/>
      <c r="M82" s="132"/>
      <c r="N82" s="134"/>
      <c r="O82" s="134"/>
      <c r="P82" s="134"/>
      <c r="Q82" s="134"/>
      <c r="R82" s="137"/>
      <c r="S82" s="778"/>
      <c r="T82" s="634"/>
      <c r="V82" s="634"/>
      <c r="Z82" s="634"/>
      <c r="AB82" s="634"/>
      <c r="AD82" s="634"/>
      <c r="AI82" s="634"/>
      <c r="AK82" s="634"/>
      <c r="AM82" s="787"/>
      <c r="AN82" s="634"/>
      <c r="AP82" s="634"/>
      <c r="AR82" s="634"/>
      <c r="AT82" s="634"/>
      <c r="AV82" s="634"/>
      <c r="BD82" s="634"/>
      <c r="BF82" s="634"/>
      <c r="BH82" s="634"/>
      <c r="BJ82" s="122"/>
      <c r="BK82" s="848"/>
      <c r="BT82" s="634"/>
      <c r="BV82" s="932"/>
      <c r="CA82" s="781"/>
      <c r="CB82" s="2258"/>
      <c r="CC82" s="782"/>
      <c r="CD82" s="782"/>
      <c r="CE82" s="634"/>
      <c r="CF82" s="783"/>
      <c r="CG82" s="634"/>
      <c r="CH82" s="783"/>
      <c r="CI82" s="634"/>
      <c r="CJ82" s="102"/>
      <c r="CK82" s="634"/>
      <c r="CL82" s="102"/>
      <c r="CM82" s="634"/>
      <c r="CN82" s="784"/>
      <c r="CO82" s="784"/>
      <c r="CP82" s="784"/>
      <c r="CQ82" s="634"/>
      <c r="CR82" s="102"/>
      <c r="CS82" s="784"/>
      <c r="CT82" s="784"/>
      <c r="CU82" s="784"/>
      <c r="CV82" s="784"/>
      <c r="CW82" s="634"/>
      <c r="CX82" s="102"/>
      <c r="CY82" s="784"/>
      <c r="CZ82" s="784"/>
      <c r="DA82" s="784"/>
      <c r="DB82" s="784"/>
      <c r="DC82" s="784"/>
      <c r="DD82" s="784"/>
      <c r="DE82" s="634"/>
      <c r="DF82" s="934"/>
      <c r="DG82" s="634"/>
      <c r="DH82" s="102"/>
      <c r="DI82" s="802"/>
      <c r="DJ82" s="779"/>
      <c r="DK82" s="771"/>
      <c r="DL82" s="854"/>
      <c r="DM82" s="779"/>
      <c r="DN82" s="933"/>
      <c r="DO82" s="779"/>
      <c r="DP82" s="779"/>
      <c r="DQ82" s="787"/>
      <c r="DR82" s="779"/>
      <c r="DS82" s="779"/>
      <c r="DT82" s="779"/>
      <c r="DU82" s="779"/>
      <c r="DV82" s="779"/>
      <c r="DW82" s="802"/>
      <c r="DX82" s="788"/>
      <c r="DY82" s="2246"/>
      <c r="DZ82" s="2288"/>
      <c r="EA82" s="2231"/>
      <c r="EB82" s="187"/>
      <c r="EC82" s="2232"/>
      <c r="ED82" s="187"/>
      <c r="EE82" s="187"/>
      <c r="EF82" s="2232"/>
      <c r="EG82" s="245"/>
      <c r="EH82" s="2232"/>
      <c r="EI82" s="187"/>
      <c r="EJ82" s="2232"/>
      <c r="EK82" s="187"/>
      <c r="EL82" s="2232"/>
      <c r="EM82" s="195"/>
      <c r="EN82" s="2232"/>
      <c r="EO82" s="278"/>
      <c r="EP82" s="2232"/>
      <c r="EQ82" s="187"/>
      <c r="ER82" s="2232"/>
      <c r="ES82" s="187"/>
      <c r="ET82" s="2232"/>
      <c r="EU82" s="187">
        <f t="shared" si="32"/>
        <v>0</v>
      </c>
      <c r="EV82" s="2232"/>
      <c r="EW82" s="187"/>
      <c r="EX82" s="2232"/>
      <c r="EY82" s="278"/>
      <c r="EZ82" s="2232"/>
      <c r="FA82" s="278"/>
      <c r="FB82" s="2232"/>
      <c r="FC82" s="278"/>
      <c r="FD82" s="2232"/>
      <c r="FE82" s="278"/>
      <c r="FF82" s="2232"/>
      <c r="FG82" s="278"/>
      <c r="FH82" s="2232"/>
      <c r="FI82" s="278"/>
      <c r="FJ82" s="2232"/>
      <c r="FK82" s="278"/>
      <c r="FL82" s="2232"/>
      <c r="FM82" s="187"/>
      <c r="FN82" s="2232"/>
      <c r="FO82" s="187"/>
      <c r="FP82" s="2232"/>
      <c r="FQ82" s="187"/>
      <c r="FR82" s="190"/>
      <c r="FS82" s="195"/>
      <c r="FT82" s="789"/>
      <c r="FU82" s="789"/>
      <c r="FV82" s="789"/>
      <c r="FW82" s="789"/>
      <c r="FX82" s="789"/>
      <c r="FY82" s="789"/>
      <c r="FZ82" s="789"/>
      <c r="GA82" s="789"/>
      <c r="GB82" s="2289"/>
      <c r="GC82" s="776"/>
    </row>
    <row r="83" spans="1:202" s="228" customFormat="1" ht="18.75">
      <c r="A83" s="216"/>
      <c r="B83" s="216">
        <v>28</v>
      </c>
      <c r="C83" s="218" t="s">
        <v>703</v>
      </c>
      <c r="D83" s="218">
        <v>3178</v>
      </c>
      <c r="E83" s="218">
        <v>1</v>
      </c>
      <c r="F83" s="897">
        <v>2031780001</v>
      </c>
      <c r="G83" s="922">
        <v>23000</v>
      </c>
      <c r="H83" s="218" t="s">
        <v>733</v>
      </c>
      <c r="I83" s="222" t="s">
        <v>727</v>
      </c>
      <c r="J83" s="218">
        <v>0.91</v>
      </c>
      <c r="K83" s="218">
        <v>6.02</v>
      </c>
      <c r="L83" s="218">
        <v>0</v>
      </c>
      <c r="M83" s="218">
        <v>6.5</v>
      </c>
      <c r="N83" s="220">
        <v>21000</v>
      </c>
      <c r="O83" s="220">
        <v>0</v>
      </c>
      <c r="P83" s="220">
        <v>0</v>
      </c>
      <c r="Q83" s="220">
        <f>AL83+AO83</f>
        <v>46000</v>
      </c>
      <c r="R83" s="223">
        <v>0</v>
      </c>
      <c r="S83" s="898" t="s">
        <v>862</v>
      </c>
      <c r="T83" s="234">
        <f>U83</f>
        <v>0</v>
      </c>
      <c r="U83" s="228">
        <v>0</v>
      </c>
      <c r="V83" s="234">
        <f>W83</f>
        <v>46000</v>
      </c>
      <c r="W83" s="228">
        <v>46000</v>
      </c>
      <c r="Y83" s="228">
        <f>W83-AA83</f>
        <v>46000</v>
      </c>
      <c r="Z83" s="234">
        <f>AA83</f>
        <v>0</v>
      </c>
      <c r="AA83" s="228">
        <v>0</v>
      </c>
      <c r="AB83" s="234">
        <f>AC83</f>
        <v>0</v>
      </c>
      <c r="AC83" s="228">
        <v>0</v>
      </c>
      <c r="AD83" s="234">
        <f>AE83</f>
        <v>0</v>
      </c>
      <c r="AE83" s="228">
        <f>AG83+AF83</f>
        <v>0</v>
      </c>
      <c r="AF83" s="228">
        <v>0</v>
      </c>
      <c r="AG83" s="228">
        <v>0</v>
      </c>
      <c r="AH83" s="228">
        <v>0</v>
      </c>
      <c r="AI83" s="234">
        <f>AJ83</f>
        <v>0</v>
      </c>
      <c r="AJ83" s="228">
        <v>0</v>
      </c>
      <c r="AK83" s="234">
        <f>AL83</f>
        <v>0</v>
      </c>
      <c r="AL83" s="228">
        <v>0</v>
      </c>
      <c r="AM83" s="905">
        <v>0</v>
      </c>
      <c r="AN83" s="234">
        <f>AO83</f>
        <v>46000</v>
      </c>
      <c r="AO83" s="228">
        <f>4*11500</f>
        <v>46000</v>
      </c>
      <c r="AP83" s="234">
        <f>AQ83</f>
        <v>0</v>
      </c>
      <c r="AQ83" s="228">
        <v>0</v>
      </c>
      <c r="AR83" s="234">
        <f>AS83</f>
        <v>0</v>
      </c>
      <c r="AS83" s="228">
        <v>0</v>
      </c>
      <c r="AT83" s="234">
        <f>AU83</f>
        <v>0</v>
      </c>
      <c r="AU83" s="228">
        <v>0</v>
      </c>
      <c r="AV83" s="234">
        <f>AW83</f>
        <v>0</v>
      </c>
      <c r="AW83" s="228">
        <f>AX83+AY83+AZ83+BA83+BB83</f>
        <v>0</v>
      </c>
      <c r="AX83" s="228">
        <v>0</v>
      </c>
      <c r="AY83" s="228">
        <v>0</v>
      </c>
      <c r="AZ83" s="228">
        <v>0</v>
      </c>
      <c r="BA83" s="228">
        <v>0</v>
      </c>
      <c r="BB83" s="228">
        <v>0</v>
      </c>
      <c r="BC83" s="228">
        <v>0</v>
      </c>
      <c r="BD83" s="234">
        <f>BE83</f>
        <v>46000</v>
      </c>
      <c r="BE83" s="228">
        <f>ROUND(U83+W83,0)</f>
        <v>46000</v>
      </c>
      <c r="BF83" s="234">
        <f>BG83</f>
        <v>0</v>
      </c>
      <c r="BG83" s="228">
        <f>ROUND(U83/'[1]Projected Development Sites'!DF$134,0)</f>
        <v>0</v>
      </c>
      <c r="BH83" s="234">
        <f>BI83</f>
        <v>0</v>
      </c>
      <c r="BI83" s="228">
        <v>0</v>
      </c>
      <c r="BJ83" s="122">
        <f t="shared" si="13"/>
        <v>0</v>
      </c>
      <c r="BK83" s="928">
        <f>ROUND((AL83+AC83+AA83)/1000*3,0)+ROUND((AE83+AU83)/1000,0)+ROUND((ROUND(AH83/400,0))/2.67,0)+ROUND(AJ83/250,0)+ROUND(AO83/15000,0)+ROUND((AX83+AY83+AZ83+BB83)/1000*3,0)+ROUND(BG83/25,0)+ROUND(BU83/50,0)</f>
        <v>3</v>
      </c>
      <c r="BL83" s="228">
        <v>0</v>
      </c>
      <c r="BM83" s="228">
        <v>0</v>
      </c>
      <c r="BN83" s="228">
        <v>0</v>
      </c>
      <c r="BO83" s="228">
        <f>AC83/1000</f>
        <v>0</v>
      </c>
      <c r="BP83" s="228">
        <f>AH83/1000</f>
        <v>0</v>
      </c>
      <c r="BQ83" s="228">
        <v>0</v>
      </c>
      <c r="BR83" s="228">
        <v>0</v>
      </c>
      <c r="BS83" s="228">
        <v>0</v>
      </c>
      <c r="BT83" s="234">
        <f>BU83</f>
        <v>0</v>
      </c>
      <c r="BU83" s="228">
        <f>SUM(BL83:BS83)</f>
        <v>0</v>
      </c>
      <c r="BV83" s="929">
        <v>63</v>
      </c>
      <c r="BW83" s="228" t="s">
        <v>729</v>
      </c>
      <c r="BX83" s="228">
        <v>7.2</v>
      </c>
      <c r="BY83" s="228">
        <v>3.4</v>
      </c>
      <c r="BZ83" s="228">
        <v>6.5</v>
      </c>
      <c r="CA83" s="901"/>
      <c r="CB83" s="230" t="s">
        <v>861</v>
      </c>
      <c r="CC83" s="399">
        <f>(BX83*G83)-CF83</f>
        <v>123050</v>
      </c>
      <c r="CD83" s="399">
        <v>123050</v>
      </c>
      <c r="CE83" s="234">
        <f>CF83</f>
        <v>42550</v>
      </c>
      <c r="CF83" s="902">
        <f>2*(G83)-(0.15*1*(G83))</f>
        <v>42550</v>
      </c>
      <c r="CG83" s="234">
        <f>CH83</f>
        <v>42550</v>
      </c>
      <c r="CH83" s="902">
        <f>CF83-CJ83</f>
        <v>42550</v>
      </c>
      <c r="CI83" s="234">
        <f>CJ83</f>
        <v>0</v>
      </c>
      <c r="CJ83" s="111">
        <v>0</v>
      </c>
      <c r="CK83" s="234">
        <f>CL83</f>
        <v>0</v>
      </c>
      <c r="CL83" s="111">
        <v>0</v>
      </c>
      <c r="CM83" s="234">
        <f>CN83</f>
        <v>42550</v>
      </c>
      <c r="CN83" s="111">
        <f>CF83-(CJ83+CL83+CO83+CP83+CR83+CU83+CV83+CX83)</f>
        <v>42550</v>
      </c>
      <c r="CO83" s="903">
        <v>0</v>
      </c>
      <c r="CP83" s="903">
        <v>0</v>
      </c>
      <c r="CQ83" s="234">
        <f>CR83</f>
        <v>0</v>
      </c>
      <c r="CR83" s="111">
        <v>0</v>
      </c>
      <c r="CS83" s="903">
        <v>0</v>
      </c>
      <c r="CT83" s="903">
        <v>0</v>
      </c>
      <c r="CU83" s="903">
        <v>0</v>
      </c>
      <c r="CV83" s="903">
        <v>0</v>
      </c>
      <c r="CW83" s="234">
        <f>CX83</f>
        <v>0</v>
      </c>
      <c r="CX83" s="111">
        <f>SUM(CY83:DC83)</f>
        <v>0</v>
      </c>
      <c r="CY83" s="903">
        <f>AX83</f>
        <v>0</v>
      </c>
      <c r="CZ83" s="903">
        <f>AY83</f>
        <v>0</v>
      </c>
      <c r="DA83" s="903">
        <f>AZ83</f>
        <v>0</v>
      </c>
      <c r="DB83" s="903">
        <f>BA83</f>
        <v>0</v>
      </c>
      <c r="DC83" s="903">
        <f>BB83</f>
        <v>0</v>
      </c>
      <c r="DD83" s="903"/>
      <c r="DE83" s="234">
        <f>DF83</f>
        <v>165600</v>
      </c>
      <c r="DF83" s="111">
        <f>CC83+CF83+CV83</f>
        <v>165600</v>
      </c>
      <c r="DG83" s="234">
        <f>DH83</f>
        <v>123.05</v>
      </c>
      <c r="DH83" s="111">
        <f>CC83/1000</f>
        <v>123.05</v>
      </c>
      <c r="DI83" s="886">
        <f>DJ83</f>
        <v>123.05</v>
      </c>
      <c r="DJ83" s="899">
        <f>DH83</f>
        <v>123.05</v>
      </c>
      <c r="DK83" s="771">
        <f>3.06*DH83</f>
        <v>376.53300000000002</v>
      </c>
      <c r="DL83" s="924">
        <f>ROUND((CN83+CL83+CJ83)/1000*3,0)+ROUND((ROUND(CP83/400,0))/2.67,0)+ROUND(CV83/1000,0)+ROUND((CY83+CZ83+DA83+DC83)/1000*3,0)+ROUND(DH83/25,0)+ROUND(DX83/50,0)</f>
        <v>134</v>
      </c>
      <c r="DM83" s="899">
        <v>0</v>
      </c>
      <c r="DN83" s="925">
        <v>0</v>
      </c>
      <c r="DO83" s="899"/>
      <c r="DP83" s="899">
        <f>DJ83*0.25</f>
        <v>30.762499999999999</v>
      </c>
      <c r="DQ83" s="905">
        <f>SUM(CO83,CJ83,CN83,CR83,CU83)/1000</f>
        <v>42.55</v>
      </c>
      <c r="DR83" s="899">
        <f>CL83/1000</f>
        <v>0</v>
      </c>
      <c r="DS83" s="899">
        <f>((CP83/400)/12)</f>
        <v>0</v>
      </c>
      <c r="DT83" s="899">
        <v>0</v>
      </c>
      <c r="DU83" s="899">
        <v>0</v>
      </c>
      <c r="DV83" s="899">
        <f>IF(CX83&gt;0,"Calculate",0)</f>
        <v>0</v>
      </c>
      <c r="DW83" s="886">
        <f>DX83</f>
        <v>42.55</v>
      </c>
      <c r="DX83" s="906">
        <f>DN83+DO83+DQ83+DR83+DS83+DT83+DU83+DV83</f>
        <v>42.55</v>
      </c>
      <c r="DY83" s="234">
        <v>145</v>
      </c>
      <c r="DZ83" s="2288">
        <f>CD83-T83</f>
        <v>123050</v>
      </c>
      <c r="EA83" s="2231">
        <f>CE83-V83</f>
        <v>-3450</v>
      </c>
      <c r="EB83" s="187">
        <f>CF83-W83</f>
        <v>-3450</v>
      </c>
      <c r="EC83" s="235">
        <f>ED83</f>
        <v>42550</v>
      </c>
      <c r="ED83" s="187">
        <v>42550</v>
      </c>
      <c r="EE83" s="187">
        <f>(SUM(CJ83:CO83))-(SUM(AA83:AE83,AL83))</f>
        <v>85100</v>
      </c>
      <c r="EF83" s="235">
        <f>EG83</f>
        <v>42550</v>
      </c>
      <c r="EG83" s="187">
        <v>42550</v>
      </c>
      <c r="EH83" s="235">
        <f>EI83</f>
        <v>0</v>
      </c>
      <c r="EI83" s="187">
        <f>CL83-AC83</f>
        <v>0</v>
      </c>
      <c r="EJ83" s="235">
        <f>EK83</f>
        <v>0</v>
      </c>
      <c r="EK83" s="187">
        <f>CJ83-AA83</f>
        <v>0</v>
      </c>
      <c r="EL83" s="235">
        <f>EM83</f>
        <v>0</v>
      </c>
      <c r="EM83" s="245">
        <f>CO83-AE83</f>
        <v>0</v>
      </c>
      <c r="EN83" s="235">
        <f>EO83</f>
        <v>0</v>
      </c>
      <c r="EO83" s="269">
        <f>CP83-AH83</f>
        <v>0</v>
      </c>
      <c r="EP83" s="235">
        <f>EQ83</f>
        <v>0</v>
      </c>
      <c r="EQ83" s="187">
        <f>CR83-AJ83</f>
        <v>0</v>
      </c>
      <c r="ER83" s="235">
        <f>ES83</f>
        <v>-46000</v>
      </c>
      <c r="ES83" s="187">
        <f>CS83-AO83</f>
        <v>-46000</v>
      </c>
      <c r="ET83" s="235">
        <f>EU83</f>
        <v>0</v>
      </c>
      <c r="EU83" s="187">
        <f t="shared" si="32"/>
        <v>0</v>
      </c>
      <c r="EV83" s="235">
        <f>EW83</f>
        <v>0</v>
      </c>
      <c r="EW83" s="187">
        <f>CU83-AS83</f>
        <v>0</v>
      </c>
      <c r="EX83" s="235">
        <f>EY83</f>
        <v>0</v>
      </c>
      <c r="EY83" s="269">
        <f>CV83-AU83</f>
        <v>0</v>
      </c>
      <c r="EZ83" s="235">
        <f>FA83</f>
        <v>0</v>
      </c>
      <c r="FA83" s="269">
        <f>CY83-AX83</f>
        <v>0</v>
      </c>
      <c r="FB83" s="235">
        <f>FC83</f>
        <v>0</v>
      </c>
      <c r="FC83" s="269">
        <f>CZ83-AY83</f>
        <v>0</v>
      </c>
      <c r="FD83" s="235">
        <f>FE83</f>
        <v>0</v>
      </c>
      <c r="FE83" s="269">
        <f>DA83-AZ83</f>
        <v>0</v>
      </c>
      <c r="FF83" s="235">
        <f>FG83</f>
        <v>0</v>
      </c>
      <c r="FG83" s="269">
        <f>DB83-BA83</f>
        <v>0</v>
      </c>
      <c r="FH83" s="235">
        <f>FI83</f>
        <v>0</v>
      </c>
      <c r="FI83" s="269">
        <f>DC83-BB83</f>
        <v>0</v>
      </c>
      <c r="FJ83" s="235">
        <f>FK83</f>
        <v>0</v>
      </c>
      <c r="FK83" s="269">
        <f>CX83-AW83</f>
        <v>0</v>
      </c>
      <c r="FL83" s="235">
        <f>FM83</f>
        <v>119600</v>
      </c>
      <c r="FM83" s="187">
        <f>DF83-BE83</f>
        <v>119600</v>
      </c>
      <c r="FN83" s="235">
        <f>FO83</f>
        <v>123.05</v>
      </c>
      <c r="FO83" s="187">
        <f>DH83-BG83</f>
        <v>123.05</v>
      </c>
      <c r="FP83" s="235">
        <f>FQ83</f>
        <v>123.05</v>
      </c>
      <c r="FQ83" s="187">
        <f>DJ83-BI83</f>
        <v>123.05</v>
      </c>
      <c r="FR83" s="190">
        <f>DK83-BJ83</f>
        <v>376.53300000000002</v>
      </c>
      <c r="FS83" s="245">
        <f>DL83-BK83</f>
        <v>131</v>
      </c>
      <c r="FT83" s="907">
        <f>DM83-BL83</f>
        <v>0</v>
      </c>
      <c r="FU83" s="907">
        <f>DR83-BO83</f>
        <v>0</v>
      </c>
      <c r="FV83" s="907"/>
      <c r="FW83" s="907">
        <f>DQ83-BN83</f>
        <v>42.55</v>
      </c>
      <c r="FX83" s="907">
        <f>DS83-BP83</f>
        <v>0</v>
      </c>
      <c r="FY83" s="907">
        <f>DT83-BQ83</f>
        <v>0</v>
      </c>
      <c r="FZ83" s="907">
        <f>DU83-BR83</f>
        <v>0</v>
      </c>
      <c r="GA83" s="907">
        <f>DV83-BS83</f>
        <v>0</v>
      </c>
      <c r="GB83" s="894">
        <f>GC83</f>
        <v>42.55</v>
      </c>
      <c r="GC83" s="776">
        <f t="shared" si="33"/>
        <v>42.55</v>
      </c>
      <c r="GD83" s="139"/>
      <c r="GE83" s="139"/>
      <c r="GF83" s="139"/>
      <c r="GG83" s="139"/>
      <c r="GH83" s="139"/>
      <c r="GI83" s="139"/>
      <c r="GJ83" s="139"/>
      <c r="GK83" s="139"/>
      <c r="GL83" s="139"/>
      <c r="GM83" s="139"/>
      <c r="GN83" s="139"/>
      <c r="GO83" s="139"/>
      <c r="GP83" s="139"/>
      <c r="GQ83" s="139"/>
      <c r="GR83" s="139"/>
      <c r="GS83" s="139"/>
      <c r="GT83" s="139"/>
    </row>
    <row r="84" spans="1:202" s="139" customFormat="1" ht="18.75">
      <c r="A84" s="2263"/>
      <c r="B84" s="2263"/>
      <c r="C84" s="132"/>
      <c r="D84" s="132"/>
      <c r="E84" s="132"/>
      <c r="F84" s="777"/>
      <c r="G84" s="931"/>
      <c r="H84" s="132"/>
      <c r="I84" s="136"/>
      <c r="J84" s="132"/>
      <c r="K84" s="132"/>
      <c r="L84" s="132"/>
      <c r="M84" s="132"/>
      <c r="N84" s="134"/>
      <c r="O84" s="134"/>
      <c r="P84" s="134"/>
      <c r="Q84" s="134"/>
      <c r="R84" s="137"/>
      <c r="S84" s="778"/>
      <c r="T84" s="634"/>
      <c r="V84" s="634"/>
      <c r="Z84" s="634"/>
      <c r="AB84" s="634"/>
      <c r="AD84" s="634"/>
      <c r="AI84" s="634"/>
      <c r="AK84" s="634"/>
      <c r="AM84" s="787"/>
      <c r="AN84" s="634"/>
      <c r="AP84" s="634"/>
      <c r="AR84" s="634"/>
      <c r="AT84" s="634"/>
      <c r="AV84" s="634"/>
      <c r="BD84" s="634"/>
      <c r="BF84" s="634"/>
      <c r="BH84" s="634"/>
      <c r="BJ84" s="122"/>
      <c r="BK84" s="848"/>
      <c r="BT84" s="634"/>
      <c r="BV84" s="932"/>
      <c r="CA84" s="781"/>
      <c r="CB84" s="2258"/>
      <c r="CC84" s="782"/>
      <c r="CD84" s="782"/>
      <c r="CE84" s="634"/>
      <c r="CF84" s="783"/>
      <c r="CG84" s="634"/>
      <c r="CH84" s="783"/>
      <c r="CI84" s="634"/>
      <c r="CJ84" s="102"/>
      <c r="CK84" s="634"/>
      <c r="CL84" s="102"/>
      <c r="CM84" s="634"/>
      <c r="CN84" s="784"/>
      <c r="CO84" s="784"/>
      <c r="CP84" s="784"/>
      <c r="CQ84" s="634"/>
      <c r="CR84" s="102"/>
      <c r="CS84" s="784"/>
      <c r="CT84" s="784"/>
      <c r="CU84" s="784"/>
      <c r="CV84" s="784"/>
      <c r="CW84" s="634"/>
      <c r="CX84" s="102"/>
      <c r="CY84" s="784"/>
      <c r="CZ84" s="784"/>
      <c r="DA84" s="784"/>
      <c r="DB84" s="784"/>
      <c r="DC84" s="784"/>
      <c r="DD84" s="784"/>
      <c r="DE84" s="634"/>
      <c r="DF84" s="784"/>
      <c r="DG84" s="634"/>
      <c r="DH84" s="102"/>
      <c r="DI84" s="802"/>
      <c r="DJ84" s="779"/>
      <c r="DK84" s="771"/>
      <c r="DL84" s="854"/>
      <c r="DM84" s="779"/>
      <c r="DN84" s="933"/>
      <c r="DO84" s="779"/>
      <c r="DP84" s="779"/>
      <c r="DQ84" s="787"/>
      <c r="DR84" s="779"/>
      <c r="DS84" s="779"/>
      <c r="DT84" s="779"/>
      <c r="DU84" s="779"/>
      <c r="DV84" s="779"/>
      <c r="DW84" s="802"/>
      <c r="DX84" s="788"/>
      <c r="DY84" s="2246"/>
      <c r="DZ84" s="2288"/>
      <c r="EA84" s="2231"/>
      <c r="EB84" s="187"/>
      <c r="EC84" s="2232"/>
      <c r="ED84" s="187"/>
      <c r="EE84" s="187"/>
      <c r="EF84" s="2232"/>
      <c r="EG84" s="190"/>
      <c r="EH84" s="2232"/>
      <c r="EI84" s="187"/>
      <c r="EJ84" s="2232"/>
      <c r="EK84" s="187"/>
      <c r="EL84" s="2232"/>
      <c r="EM84" s="195"/>
      <c r="EN84" s="2232"/>
      <c r="EO84" s="278"/>
      <c r="EP84" s="2232"/>
      <c r="EQ84" s="187"/>
      <c r="ER84" s="2232"/>
      <c r="ES84" s="187"/>
      <c r="ET84" s="2232"/>
      <c r="EU84" s="187">
        <f t="shared" si="32"/>
        <v>0</v>
      </c>
      <c r="EV84" s="2232"/>
      <c r="EW84" s="187"/>
      <c r="EX84" s="2232"/>
      <c r="EY84" s="278"/>
      <c r="EZ84" s="2232"/>
      <c r="FA84" s="278"/>
      <c r="FB84" s="2232"/>
      <c r="FC84" s="278"/>
      <c r="FD84" s="2232"/>
      <c r="FE84" s="278"/>
      <c r="FF84" s="2232"/>
      <c r="FG84" s="278"/>
      <c r="FH84" s="2232"/>
      <c r="FI84" s="278"/>
      <c r="FJ84" s="2232"/>
      <c r="FK84" s="278"/>
      <c r="FL84" s="2232"/>
      <c r="FM84" s="187"/>
      <c r="FN84" s="2232"/>
      <c r="FO84" s="187"/>
      <c r="FP84" s="2232"/>
      <c r="FQ84" s="187"/>
      <c r="FR84" s="190"/>
      <c r="FS84" s="195"/>
      <c r="FT84" s="789"/>
      <c r="FU84" s="789"/>
      <c r="FV84" s="789"/>
      <c r="FW84" s="789"/>
      <c r="FX84" s="789"/>
      <c r="FY84" s="789"/>
      <c r="FZ84" s="789"/>
      <c r="GA84" s="789"/>
      <c r="GB84" s="2289"/>
      <c r="GC84" s="776"/>
    </row>
    <row r="85" spans="1:202" s="228" customFormat="1" ht="18.75">
      <c r="A85" s="216"/>
      <c r="B85" s="216">
        <v>29</v>
      </c>
      <c r="C85" s="218" t="s">
        <v>703</v>
      </c>
      <c r="D85" s="218">
        <v>3178</v>
      </c>
      <c r="E85" s="218">
        <v>60</v>
      </c>
      <c r="F85" s="897">
        <v>2031780060</v>
      </c>
      <c r="G85" s="922">
        <v>10209</v>
      </c>
      <c r="H85" s="218" t="s">
        <v>733</v>
      </c>
      <c r="I85" s="222" t="s">
        <v>727</v>
      </c>
      <c r="J85" s="218">
        <v>0.92</v>
      </c>
      <c r="K85" s="218">
        <v>6.02</v>
      </c>
      <c r="L85" s="218">
        <v>0</v>
      </c>
      <c r="M85" s="218">
        <v>6.5</v>
      </c>
      <c r="N85" s="220">
        <v>9404</v>
      </c>
      <c r="O85" s="220">
        <v>0</v>
      </c>
      <c r="P85" s="220">
        <v>0</v>
      </c>
      <c r="Q85" s="220">
        <v>9404</v>
      </c>
      <c r="R85" s="223">
        <v>0</v>
      </c>
      <c r="S85" s="898" t="s">
        <v>637</v>
      </c>
      <c r="T85" s="234">
        <f>U85</f>
        <v>0</v>
      </c>
      <c r="U85" s="228">
        <v>0</v>
      </c>
      <c r="V85" s="234">
        <f>W85</f>
        <v>9404</v>
      </c>
      <c r="W85" s="228">
        <f>N85</f>
        <v>9404</v>
      </c>
      <c r="Y85" s="228">
        <f>W85-AA85</f>
        <v>9404</v>
      </c>
      <c r="Z85" s="234">
        <f>AA85</f>
        <v>0</v>
      </c>
      <c r="AA85" s="228">
        <v>0</v>
      </c>
      <c r="AB85" s="234">
        <f>AC85</f>
        <v>0</v>
      </c>
      <c r="AC85" s="228">
        <v>0</v>
      </c>
      <c r="AD85" s="234">
        <f>AE85</f>
        <v>0</v>
      </c>
      <c r="AE85" s="228">
        <f>AG85+AF85</f>
        <v>0</v>
      </c>
      <c r="AF85" s="228">
        <v>0</v>
      </c>
      <c r="AG85" s="228">
        <v>0</v>
      </c>
      <c r="AH85" s="228">
        <v>0</v>
      </c>
      <c r="AI85" s="234">
        <f>AJ85</f>
        <v>0</v>
      </c>
      <c r="AJ85" s="228">
        <v>0</v>
      </c>
      <c r="AK85" s="234">
        <f>AL85</f>
        <v>9404</v>
      </c>
      <c r="AL85" s="228">
        <f>W85-(AA85+AC85+AE85+AH85+AJ85+AM85+AW85+AO85+AQ85+AS85+AU85)</f>
        <v>9404</v>
      </c>
      <c r="AM85" s="905">
        <v>0</v>
      </c>
      <c r="AN85" s="234">
        <f>AO85</f>
        <v>0</v>
      </c>
      <c r="AO85" s="228">
        <v>0</v>
      </c>
      <c r="AP85" s="234">
        <f>AQ85</f>
        <v>0</v>
      </c>
      <c r="AQ85" s="228">
        <v>0</v>
      </c>
      <c r="AR85" s="234">
        <f>AS85</f>
        <v>0</v>
      </c>
      <c r="AS85" s="228">
        <v>0</v>
      </c>
      <c r="AT85" s="234">
        <f>AU85</f>
        <v>0</v>
      </c>
      <c r="AU85" s="228">
        <v>0</v>
      </c>
      <c r="AV85" s="234">
        <f>AW85</f>
        <v>0</v>
      </c>
      <c r="AW85" s="228">
        <f>AX85+AY85+AZ85+BA85+BB85</f>
        <v>0</v>
      </c>
      <c r="AX85" s="228">
        <v>0</v>
      </c>
      <c r="AY85" s="228">
        <v>0</v>
      </c>
      <c r="AZ85" s="228">
        <v>0</v>
      </c>
      <c r="BA85" s="228">
        <v>0</v>
      </c>
      <c r="BB85" s="228">
        <v>0</v>
      </c>
      <c r="BC85" s="228">
        <v>0</v>
      </c>
      <c r="BD85" s="234">
        <f>BE85</f>
        <v>9404</v>
      </c>
      <c r="BE85" s="228">
        <f>ROUND(U85+W85,0)</f>
        <v>9404</v>
      </c>
      <c r="BF85" s="234">
        <f>BG85</f>
        <v>0</v>
      </c>
      <c r="BG85" s="228">
        <f>ROUND(U85/'[1]Projected Development Sites'!DF$134,0)</f>
        <v>0</v>
      </c>
      <c r="BH85" s="234">
        <f>BI85</f>
        <v>0</v>
      </c>
      <c r="BI85" s="228">
        <v>0</v>
      </c>
      <c r="BJ85" s="122">
        <f t="shared" si="13"/>
        <v>0</v>
      </c>
      <c r="BK85" s="928">
        <f>ROUND((AL85+AC85+AA85)/1000*3,0)+ROUND((AE85+AU85)/1000,0)+ROUND((ROUND(AH85/400,0))/2.67,0)+ROUND(AJ85/250,0)+ROUND(AO85/15000,0)+ROUND((AX85+AY85+AZ85+BB85)/1000*3,0)+ROUND(BG85/25,0)+ROUND(BU85/50,0)</f>
        <v>28</v>
      </c>
      <c r="BL85" s="228">
        <v>0</v>
      </c>
      <c r="BM85" s="228">
        <v>0</v>
      </c>
      <c r="BN85" s="228">
        <v>0</v>
      </c>
      <c r="BO85" s="228">
        <f>AC85/1000</f>
        <v>0</v>
      </c>
      <c r="BP85" s="228">
        <f>AH85/1000</f>
        <v>0</v>
      </c>
      <c r="BQ85" s="228">
        <v>0</v>
      </c>
      <c r="BR85" s="228">
        <v>0</v>
      </c>
      <c r="BS85" s="228">
        <v>0</v>
      </c>
      <c r="BT85" s="234">
        <f>BU85</f>
        <v>0</v>
      </c>
      <c r="BU85" s="228">
        <f>SUM(BL85:BS85)</f>
        <v>0</v>
      </c>
      <c r="BV85" s="929">
        <v>15</v>
      </c>
      <c r="BW85" s="228" t="s">
        <v>729</v>
      </c>
      <c r="BX85" s="228">
        <v>7.2</v>
      </c>
      <c r="BY85" s="228">
        <v>3.4</v>
      </c>
      <c r="BZ85" s="228">
        <v>6.5</v>
      </c>
      <c r="CA85" s="901"/>
      <c r="CB85" s="230" t="s">
        <v>861</v>
      </c>
      <c r="CC85" s="399">
        <f>(BX85*G85)-CF85</f>
        <v>54618.15</v>
      </c>
      <c r="CD85" s="399">
        <v>54618.15</v>
      </c>
      <c r="CE85" s="234">
        <f>CF85</f>
        <v>18886.650000000001</v>
      </c>
      <c r="CF85" s="902">
        <f>2*(G85)-(0.15*1*(G85))</f>
        <v>18886.650000000001</v>
      </c>
      <c r="CG85" s="234">
        <f>CH85</f>
        <v>18886.650000000001</v>
      </c>
      <c r="CH85" s="836">
        <f>CF85-CJ85</f>
        <v>18886.650000000001</v>
      </c>
      <c r="CI85" s="234">
        <f>CJ85</f>
        <v>0</v>
      </c>
      <c r="CJ85" s="111">
        <v>0</v>
      </c>
      <c r="CK85" s="234">
        <f>CL85</f>
        <v>0</v>
      </c>
      <c r="CL85" s="111">
        <v>0</v>
      </c>
      <c r="CM85" s="234">
        <f>CN85</f>
        <v>18886.650000000001</v>
      </c>
      <c r="CN85" s="903">
        <f>CF85-(CJ85+CL85+CO85+CP85+CR85+CU85+CV85+CX85)</f>
        <v>18886.650000000001</v>
      </c>
      <c r="CO85" s="903">
        <v>0</v>
      </c>
      <c r="CP85" s="903">
        <v>0</v>
      </c>
      <c r="CQ85" s="234">
        <f>CR85</f>
        <v>0</v>
      </c>
      <c r="CR85" s="111">
        <v>0</v>
      </c>
      <c r="CS85" s="903">
        <v>0</v>
      </c>
      <c r="CT85" s="903">
        <v>0</v>
      </c>
      <c r="CU85" s="903">
        <v>0</v>
      </c>
      <c r="CV85" s="903">
        <v>0</v>
      </c>
      <c r="CW85" s="234">
        <f>CX85</f>
        <v>0</v>
      </c>
      <c r="CX85" s="111">
        <f>SUM(CY85:DC85)</f>
        <v>0</v>
      </c>
      <c r="CY85" s="903">
        <f>AX85</f>
        <v>0</v>
      </c>
      <c r="CZ85" s="903">
        <f>AY85</f>
        <v>0</v>
      </c>
      <c r="DA85" s="903">
        <f>AZ85</f>
        <v>0</v>
      </c>
      <c r="DB85" s="903">
        <f>BA85</f>
        <v>0</v>
      </c>
      <c r="DC85" s="903">
        <f>BB85</f>
        <v>0</v>
      </c>
      <c r="DD85" s="903"/>
      <c r="DE85" s="234">
        <f>DF85</f>
        <v>73504.800000000003</v>
      </c>
      <c r="DF85" s="903">
        <f>CC85+CF85+CV85</f>
        <v>73504.800000000003</v>
      </c>
      <c r="DG85" s="234">
        <f>DH85</f>
        <v>54.61815</v>
      </c>
      <c r="DH85" s="111">
        <f>CC85/1000</f>
        <v>54.61815</v>
      </c>
      <c r="DI85" s="886">
        <f>DJ85</f>
        <v>54.61815</v>
      </c>
      <c r="DJ85" s="899">
        <f>DH85</f>
        <v>54.61815</v>
      </c>
      <c r="DK85" s="771">
        <f>3.06*DH85</f>
        <v>167.131539</v>
      </c>
      <c r="DL85" s="924">
        <f>ROUND((CN85+CL85+CJ85)/1000*3,0)+ROUND((ROUND(CP85/400,0))/2.67,0)+ROUND(CV85/1000,0)+ROUND((CY85+CZ85+DA85+DC85)/1000*3,0)+ROUND(DH85/25,0)+ROUND(DX85/50,0)</f>
        <v>59</v>
      </c>
      <c r="DM85" s="899">
        <v>0</v>
      </c>
      <c r="DN85" s="925">
        <v>0</v>
      </c>
      <c r="DO85" s="899"/>
      <c r="DP85" s="899">
        <f>DJ85*0.25</f>
        <v>13.6545375</v>
      </c>
      <c r="DQ85" s="905">
        <f>SUM(CO85,CJ85,CN85,CR85,CU85)/1000</f>
        <v>18.886650000000003</v>
      </c>
      <c r="DR85" s="899">
        <f>CL85/1000</f>
        <v>0</v>
      </c>
      <c r="DS85" s="899">
        <f>((CP85/400)/12)</f>
        <v>0</v>
      </c>
      <c r="DT85" s="899">
        <v>0</v>
      </c>
      <c r="DU85" s="899">
        <v>0</v>
      </c>
      <c r="DV85" s="899">
        <f>IF(CX85&gt;0,"Calculate",0)</f>
        <v>0</v>
      </c>
      <c r="DW85" s="886">
        <f>DX85</f>
        <v>18.886650000000003</v>
      </c>
      <c r="DX85" s="906">
        <f>DN85+DO85+DQ85+DR85+DS85+DT85+DU85+DV85</f>
        <v>18.886650000000003</v>
      </c>
      <c r="DY85" s="234">
        <v>145</v>
      </c>
      <c r="DZ85" s="2288">
        <f>CD85-T85</f>
        <v>54618.15</v>
      </c>
      <c r="EA85" s="2231">
        <f>CE85-V85</f>
        <v>9482.6500000000015</v>
      </c>
      <c r="EB85" s="187">
        <f>CF85-W85</f>
        <v>9482.6500000000015</v>
      </c>
      <c r="EC85" s="235">
        <f>ED85</f>
        <v>9482.6500000000015</v>
      </c>
      <c r="ED85" s="187">
        <v>9482.6500000000015</v>
      </c>
      <c r="EE85" s="187">
        <f>(SUM(CJ85:CO85))-(SUM(AA85:AE85,AL85))</f>
        <v>28369.300000000003</v>
      </c>
      <c r="EF85" s="235">
        <f>EG85</f>
        <v>9482.6500000000015</v>
      </c>
      <c r="EG85" s="245">
        <v>9482.6500000000015</v>
      </c>
      <c r="EH85" s="235">
        <f>EI85</f>
        <v>0</v>
      </c>
      <c r="EI85" s="187">
        <f>CL85-AC85</f>
        <v>0</v>
      </c>
      <c r="EJ85" s="235">
        <f>EK85</f>
        <v>0</v>
      </c>
      <c r="EK85" s="187">
        <f>CJ85-AA85</f>
        <v>0</v>
      </c>
      <c r="EL85" s="235">
        <f>EM85</f>
        <v>0</v>
      </c>
      <c r="EM85" s="245">
        <f>CO85-AE85</f>
        <v>0</v>
      </c>
      <c r="EN85" s="235">
        <f>EO85</f>
        <v>0</v>
      </c>
      <c r="EO85" s="269">
        <f>CP85-AH85</f>
        <v>0</v>
      </c>
      <c r="EP85" s="235">
        <f>EQ85</f>
        <v>0</v>
      </c>
      <c r="EQ85" s="187">
        <f>CR85-AJ85</f>
        <v>0</v>
      </c>
      <c r="ER85" s="235">
        <f>ES85</f>
        <v>0</v>
      </c>
      <c r="ES85" s="187">
        <f>CS85-AO85</f>
        <v>0</v>
      </c>
      <c r="ET85" s="235">
        <f>EU85</f>
        <v>0</v>
      </c>
      <c r="EU85" s="187">
        <f t="shared" si="32"/>
        <v>0</v>
      </c>
      <c r="EV85" s="235">
        <f>EW85</f>
        <v>0</v>
      </c>
      <c r="EW85" s="187">
        <f>CU85-AS85</f>
        <v>0</v>
      </c>
      <c r="EX85" s="235">
        <f>EY85</f>
        <v>0</v>
      </c>
      <c r="EY85" s="269">
        <f>CV85-AU85</f>
        <v>0</v>
      </c>
      <c r="EZ85" s="235">
        <f>FA85</f>
        <v>0</v>
      </c>
      <c r="FA85" s="269">
        <f>CY85-AX85</f>
        <v>0</v>
      </c>
      <c r="FB85" s="235">
        <f>FC85</f>
        <v>0</v>
      </c>
      <c r="FC85" s="269">
        <f>CZ85-AY85</f>
        <v>0</v>
      </c>
      <c r="FD85" s="235">
        <f>FE85</f>
        <v>0</v>
      </c>
      <c r="FE85" s="269">
        <f>DA85-AZ85</f>
        <v>0</v>
      </c>
      <c r="FF85" s="235">
        <f>FG85</f>
        <v>0</v>
      </c>
      <c r="FG85" s="269">
        <f>DB85-BA85</f>
        <v>0</v>
      </c>
      <c r="FH85" s="235">
        <f>FI85</f>
        <v>0</v>
      </c>
      <c r="FI85" s="269">
        <f>DC85-BB85</f>
        <v>0</v>
      </c>
      <c r="FJ85" s="235">
        <f>FK85</f>
        <v>0</v>
      </c>
      <c r="FK85" s="269">
        <f>CX85-AW85</f>
        <v>0</v>
      </c>
      <c r="FL85" s="235">
        <f>FM85</f>
        <v>64100.800000000003</v>
      </c>
      <c r="FM85" s="187">
        <f>DF85-BE85</f>
        <v>64100.800000000003</v>
      </c>
      <c r="FN85" s="235">
        <f>FO85</f>
        <v>54.61815</v>
      </c>
      <c r="FO85" s="187">
        <f>DH85-BG85</f>
        <v>54.61815</v>
      </c>
      <c r="FP85" s="235">
        <f>FQ85</f>
        <v>54.61815</v>
      </c>
      <c r="FQ85" s="187">
        <f>DJ85-BI85</f>
        <v>54.61815</v>
      </c>
      <c r="FR85" s="190">
        <f>DK85-BJ85</f>
        <v>167.131539</v>
      </c>
      <c r="FS85" s="245">
        <f>DL85-BK85</f>
        <v>31</v>
      </c>
      <c r="FT85" s="907">
        <f>DM85-BL85</f>
        <v>0</v>
      </c>
      <c r="FU85" s="907">
        <f>DR85-BO85</f>
        <v>0</v>
      </c>
      <c r="FV85" s="907"/>
      <c r="FW85" s="907">
        <f>DQ85-BN85</f>
        <v>18.886650000000003</v>
      </c>
      <c r="FX85" s="907">
        <f>DS85-BP85</f>
        <v>0</v>
      </c>
      <c r="FY85" s="907">
        <f>DT85-BQ85</f>
        <v>0</v>
      </c>
      <c r="FZ85" s="907">
        <f>DU85-BR85</f>
        <v>0</v>
      </c>
      <c r="GA85" s="907">
        <f>DV85-BS85</f>
        <v>0</v>
      </c>
      <c r="GB85" s="894">
        <f>GC85</f>
        <v>18.886650000000003</v>
      </c>
      <c r="GC85" s="776">
        <f t="shared" si="33"/>
        <v>18.886650000000003</v>
      </c>
      <c r="GD85" s="139"/>
      <c r="GE85" s="139"/>
      <c r="GF85" s="139"/>
      <c r="GG85" s="139"/>
      <c r="GH85" s="139"/>
      <c r="GI85" s="139"/>
      <c r="GJ85" s="139"/>
      <c r="GK85" s="139"/>
      <c r="GL85" s="139"/>
      <c r="GM85" s="139"/>
      <c r="GN85" s="139"/>
      <c r="GO85" s="139"/>
      <c r="GP85" s="139"/>
      <c r="GQ85" s="139"/>
      <c r="GR85" s="139"/>
      <c r="GS85" s="139"/>
      <c r="GT85" s="139"/>
    </row>
    <row r="86" spans="1:202" s="139" customFormat="1" ht="18.75">
      <c r="A86" s="2263"/>
      <c r="B86" s="2263"/>
      <c r="C86" s="132"/>
      <c r="D86" s="132"/>
      <c r="E86" s="132"/>
      <c r="F86" s="777"/>
      <c r="G86" s="931"/>
      <c r="H86" s="132"/>
      <c r="I86" s="136"/>
      <c r="J86" s="132"/>
      <c r="K86" s="132"/>
      <c r="L86" s="132"/>
      <c r="M86" s="132"/>
      <c r="N86" s="134"/>
      <c r="O86" s="134"/>
      <c r="P86" s="134"/>
      <c r="Q86" s="134"/>
      <c r="R86" s="137"/>
      <c r="S86" s="778"/>
      <c r="T86" s="634"/>
      <c r="V86" s="634"/>
      <c r="Z86" s="634"/>
      <c r="AB86" s="634"/>
      <c r="AD86" s="634"/>
      <c r="AI86" s="634"/>
      <c r="AK86" s="634"/>
      <c r="AM86" s="787"/>
      <c r="AN86" s="634"/>
      <c r="AP86" s="634"/>
      <c r="AR86" s="634"/>
      <c r="AT86" s="634"/>
      <c r="AV86" s="634"/>
      <c r="BD86" s="634"/>
      <c r="BF86" s="634"/>
      <c r="BH86" s="634"/>
      <c r="BJ86" s="122"/>
      <c r="BK86" s="848"/>
      <c r="BT86" s="634"/>
      <c r="BV86" s="932"/>
      <c r="CA86" s="781"/>
      <c r="CB86" s="2258"/>
      <c r="CC86" s="782"/>
      <c r="CD86" s="782"/>
      <c r="CE86" s="634"/>
      <c r="CF86" s="783"/>
      <c r="CG86" s="634"/>
      <c r="CH86" s="783"/>
      <c r="CI86" s="634"/>
      <c r="CJ86" s="102"/>
      <c r="CK86" s="634"/>
      <c r="CL86" s="102"/>
      <c r="CM86" s="634"/>
      <c r="CN86" s="784"/>
      <c r="CO86" s="784"/>
      <c r="CP86" s="784"/>
      <c r="CQ86" s="634"/>
      <c r="CR86" s="102"/>
      <c r="CS86" s="784"/>
      <c r="CT86" s="784"/>
      <c r="CU86" s="784"/>
      <c r="CV86" s="784"/>
      <c r="CW86" s="634"/>
      <c r="CX86" s="102"/>
      <c r="CY86" s="784"/>
      <c r="CZ86" s="784"/>
      <c r="DA86" s="784"/>
      <c r="DB86" s="784"/>
      <c r="DC86" s="784"/>
      <c r="DD86" s="784"/>
      <c r="DE86" s="634"/>
      <c r="DF86" s="784"/>
      <c r="DG86" s="634"/>
      <c r="DH86" s="102"/>
      <c r="DI86" s="802"/>
      <c r="DJ86" s="779"/>
      <c r="DK86" s="771"/>
      <c r="DL86" s="854"/>
      <c r="DM86" s="779"/>
      <c r="DN86" s="933"/>
      <c r="DO86" s="779"/>
      <c r="DP86" s="779"/>
      <c r="DQ86" s="787"/>
      <c r="DR86" s="779"/>
      <c r="DS86" s="779"/>
      <c r="DT86" s="779"/>
      <c r="DU86" s="779"/>
      <c r="DV86" s="779"/>
      <c r="DW86" s="802"/>
      <c r="DX86" s="788"/>
      <c r="DY86" s="2246"/>
      <c r="DZ86" s="2288"/>
      <c r="EA86" s="2231"/>
      <c r="EB86" s="187"/>
      <c r="EC86" s="2232"/>
      <c r="ED86" s="187"/>
      <c r="EE86" s="187"/>
      <c r="EF86" s="2232"/>
      <c r="EG86" s="245"/>
      <c r="EH86" s="2232"/>
      <c r="EI86" s="187"/>
      <c r="EJ86" s="2232"/>
      <c r="EK86" s="187"/>
      <c r="EL86" s="2232"/>
      <c r="EM86" s="195"/>
      <c r="EN86" s="2232"/>
      <c r="EO86" s="278"/>
      <c r="EP86" s="2232"/>
      <c r="EQ86" s="187"/>
      <c r="ER86" s="2232"/>
      <c r="ES86" s="187"/>
      <c r="ET86" s="2232"/>
      <c r="EU86" s="187">
        <f t="shared" si="32"/>
        <v>0</v>
      </c>
      <c r="EV86" s="2232"/>
      <c r="EW86" s="187"/>
      <c r="EX86" s="2232"/>
      <c r="EY86" s="278"/>
      <c r="EZ86" s="2232"/>
      <c r="FA86" s="278"/>
      <c r="FB86" s="2232"/>
      <c r="FC86" s="278"/>
      <c r="FD86" s="2232"/>
      <c r="FE86" s="278"/>
      <c r="FF86" s="2232"/>
      <c r="FG86" s="278"/>
      <c r="FH86" s="2232"/>
      <c r="FI86" s="278"/>
      <c r="FJ86" s="2232"/>
      <c r="FK86" s="278"/>
      <c r="FL86" s="2232"/>
      <c r="FM86" s="187"/>
      <c r="FN86" s="2232"/>
      <c r="FO86" s="187"/>
      <c r="FP86" s="2232"/>
      <c r="FQ86" s="187"/>
      <c r="FR86" s="190"/>
      <c r="FS86" s="195"/>
      <c r="FT86" s="789"/>
      <c r="FU86" s="789"/>
      <c r="FV86" s="789"/>
      <c r="FW86" s="789"/>
      <c r="FX86" s="789"/>
      <c r="FY86" s="789"/>
      <c r="FZ86" s="789"/>
      <c r="GA86" s="789"/>
      <c r="GB86" s="2289"/>
      <c r="GC86" s="776"/>
    </row>
    <row r="87" spans="1:202" s="228" customFormat="1" ht="18.75">
      <c r="A87" s="216"/>
      <c r="B87" s="216">
        <v>30</v>
      </c>
      <c r="C87" s="918" t="s">
        <v>703</v>
      </c>
      <c r="D87" s="218">
        <v>2854</v>
      </c>
      <c r="E87" s="218">
        <v>44</v>
      </c>
      <c r="F87" s="218">
        <v>2028540044</v>
      </c>
      <c r="G87" s="922">
        <v>24120</v>
      </c>
      <c r="H87" s="218" t="s">
        <v>726</v>
      </c>
      <c r="I87" s="222" t="s">
        <v>727</v>
      </c>
      <c r="J87" s="218">
        <v>0.94</v>
      </c>
      <c r="K87" s="218">
        <v>3.44</v>
      </c>
      <c r="L87" s="218">
        <v>0</v>
      </c>
      <c r="M87" s="218">
        <v>4.8</v>
      </c>
      <c r="N87" s="220">
        <v>22728</v>
      </c>
      <c r="O87" s="220">
        <v>0</v>
      </c>
      <c r="P87" s="220">
        <v>0</v>
      </c>
      <c r="Q87" s="220">
        <v>22728</v>
      </c>
      <c r="R87" s="223">
        <v>0</v>
      </c>
      <c r="S87" s="898" t="s">
        <v>637</v>
      </c>
      <c r="T87" s="234">
        <f>U87</f>
        <v>0</v>
      </c>
      <c r="U87" s="228">
        <f>Q87-N87</f>
        <v>0</v>
      </c>
      <c r="V87" s="234">
        <f>W87</f>
        <v>22728</v>
      </c>
      <c r="W87" s="228">
        <f>N87</f>
        <v>22728</v>
      </c>
      <c r="Y87" s="228">
        <f>W87-AA87</f>
        <v>22728</v>
      </c>
      <c r="Z87" s="234">
        <f>AA87</f>
        <v>0</v>
      </c>
      <c r="AA87" s="228">
        <v>0</v>
      </c>
      <c r="AB87" s="234">
        <f>AC87</f>
        <v>0</v>
      </c>
      <c r="AC87" s="228">
        <v>0</v>
      </c>
      <c r="AD87" s="234">
        <f>AE87</f>
        <v>0</v>
      </c>
      <c r="AE87" s="228">
        <f>AF87+AG87</f>
        <v>0</v>
      </c>
      <c r="AF87" s="228">
        <v>0</v>
      </c>
      <c r="AG87" s="228">
        <v>0</v>
      </c>
      <c r="AH87" s="228">
        <v>0</v>
      </c>
      <c r="AI87" s="234">
        <f>AJ87</f>
        <v>0</v>
      </c>
      <c r="AJ87" s="228">
        <v>0</v>
      </c>
      <c r="AK87" s="234">
        <f>AL87</f>
        <v>22728</v>
      </c>
      <c r="AL87" s="228">
        <f>W87-(AA87+AC87+AE87+AH87+AJ87+AM87+AW87+AO87+AQ87+AS87+AU87)</f>
        <v>22728</v>
      </c>
      <c r="AM87" s="905">
        <v>0</v>
      </c>
      <c r="AN87" s="234">
        <f>AO87</f>
        <v>0</v>
      </c>
      <c r="AO87" s="228">
        <v>0</v>
      </c>
      <c r="AP87" s="234">
        <f>AQ87</f>
        <v>0</v>
      </c>
      <c r="AQ87" s="228">
        <v>0</v>
      </c>
      <c r="AR87" s="234">
        <f>AS87</f>
        <v>0</v>
      </c>
      <c r="AS87" s="228">
        <v>0</v>
      </c>
      <c r="AT87" s="234">
        <f>AU87</f>
        <v>0</v>
      </c>
      <c r="AU87" s="228">
        <v>0</v>
      </c>
      <c r="AV87" s="234">
        <f>AW87</f>
        <v>0</v>
      </c>
      <c r="AW87" s="228">
        <f>AX87+AY87+AZ87+BA87+BB87</f>
        <v>0</v>
      </c>
      <c r="AX87" s="228">
        <v>0</v>
      </c>
      <c r="AY87" s="228">
        <v>0</v>
      </c>
      <c r="AZ87" s="228">
        <v>0</v>
      </c>
      <c r="BA87" s="228">
        <v>0</v>
      </c>
      <c r="BB87" s="228">
        <v>0</v>
      </c>
      <c r="BC87" s="228">
        <v>0</v>
      </c>
      <c r="BD87" s="234">
        <f>BE87</f>
        <v>22728</v>
      </c>
      <c r="BE87" s="228">
        <f>ROUND(U87+W87,0)</f>
        <v>22728</v>
      </c>
      <c r="BF87" s="234">
        <f>BG87</f>
        <v>0</v>
      </c>
      <c r="BG87" s="228">
        <f>ROUND(U87/'[1]Projected Development Sites'!DF$134,0)</f>
        <v>0</v>
      </c>
      <c r="BH87" s="234">
        <f>BI87</f>
        <v>0</v>
      </c>
      <c r="BI87" s="228">
        <f>'[1]Projected Development Sites'!BG$135*BG87</f>
        <v>0</v>
      </c>
      <c r="BJ87" s="122">
        <f t="shared" ref="BJ87:BJ133" si="38">ROUND(BG87*3.06,0)</f>
        <v>0</v>
      </c>
      <c r="BK87" s="928">
        <f>ROUND((AL87+AC87+AA87)/1000*3,0)+ROUND((AE87+AU87)/1000,0)+ROUND((ROUND(AH87/400,0))/2.67,0)+ROUND(AJ87/250,0)+ROUND(AO87/15000,0)+ROUND((AX87+AY87+AZ87+BB87)/1000*3,0)+ROUND(BG87/25,0)+ROUND(BU87/50,0)</f>
        <v>68</v>
      </c>
      <c r="BL87" s="228">
        <v>0</v>
      </c>
      <c r="BM87" s="228">
        <v>0</v>
      </c>
      <c r="BN87" s="228">
        <v>0</v>
      </c>
      <c r="BO87" s="228">
        <v>0</v>
      </c>
      <c r="BP87" s="228">
        <v>0</v>
      </c>
      <c r="BR87" s="228">
        <v>0</v>
      </c>
      <c r="BT87" s="234">
        <f>BU87</f>
        <v>0</v>
      </c>
      <c r="BU87" s="228">
        <f>SUM(BL87:BS87)</f>
        <v>0</v>
      </c>
      <c r="BV87" s="929">
        <v>15</v>
      </c>
      <c r="BW87" s="228" t="s">
        <v>729</v>
      </c>
      <c r="BX87" s="228">
        <v>7.2</v>
      </c>
      <c r="BY87" s="228">
        <v>3.4</v>
      </c>
      <c r="BZ87" s="228">
        <v>6.5</v>
      </c>
      <c r="CA87" s="901"/>
      <c r="CB87" s="230" t="s">
        <v>861</v>
      </c>
      <c r="CC87" s="399">
        <f>(BX87*G87)-CF87</f>
        <v>129042</v>
      </c>
      <c r="CD87" s="399">
        <v>129042</v>
      </c>
      <c r="CE87" s="234">
        <f>CF87</f>
        <v>44622</v>
      </c>
      <c r="CF87" s="902">
        <f>2*(G87)-(0.15*1*(G87))</f>
        <v>44622</v>
      </c>
      <c r="CG87" s="234">
        <f>CH87</f>
        <v>44622</v>
      </c>
      <c r="CH87" s="902">
        <f>CF87-CJ87</f>
        <v>44622</v>
      </c>
      <c r="CI87" s="234">
        <f>CJ87</f>
        <v>0</v>
      </c>
      <c r="CJ87" s="111">
        <v>0</v>
      </c>
      <c r="CK87" s="234">
        <f>CL87</f>
        <v>0</v>
      </c>
      <c r="CL87" s="111">
        <v>0</v>
      </c>
      <c r="CM87" s="234">
        <f>CN87</f>
        <v>44622</v>
      </c>
      <c r="CN87" s="111">
        <f>CF87-(CJ87+CL87+CO87+CP87+CR87+CU87+CV87+CX87)</f>
        <v>44622</v>
      </c>
      <c r="CO87" s="903">
        <v>0</v>
      </c>
      <c r="CP87" s="903">
        <v>0</v>
      </c>
      <c r="CQ87" s="234">
        <f>CR87</f>
        <v>0</v>
      </c>
      <c r="CR87" s="111">
        <v>0</v>
      </c>
      <c r="CS87" s="903">
        <v>0</v>
      </c>
      <c r="CT87" s="903">
        <v>0</v>
      </c>
      <c r="CU87" s="903">
        <v>0</v>
      </c>
      <c r="CV87" s="903">
        <v>0</v>
      </c>
      <c r="CW87" s="234">
        <f>CX87</f>
        <v>0</v>
      </c>
      <c r="CX87" s="111">
        <v>0</v>
      </c>
      <c r="CY87" s="903">
        <v>0</v>
      </c>
      <c r="CZ87" s="903">
        <v>0</v>
      </c>
      <c r="DA87" s="903">
        <v>0</v>
      </c>
      <c r="DB87" s="903">
        <v>0</v>
      </c>
      <c r="DC87" s="903">
        <v>0</v>
      </c>
      <c r="DD87" s="903"/>
      <c r="DE87" s="234">
        <f>DF87</f>
        <v>173664</v>
      </c>
      <c r="DF87" s="111">
        <f>CC87+CF87+CV87</f>
        <v>173664</v>
      </c>
      <c r="DG87" s="234">
        <f>DH87</f>
        <v>129.042</v>
      </c>
      <c r="DH87" s="111">
        <f>CC87/1000</f>
        <v>129.042</v>
      </c>
      <c r="DI87" s="886">
        <f>DJ87</f>
        <v>129.042</v>
      </c>
      <c r="DJ87" s="899">
        <f>DH87</f>
        <v>129.042</v>
      </c>
      <c r="DK87" s="771">
        <f>3.06*DH87</f>
        <v>394.86851999999999</v>
      </c>
      <c r="DL87" s="924">
        <f>ROUND((CN87+CL87+CJ87)/1000*3,0)+ROUND((ROUND(CP87/400,0))/2.67,0)+ROUND(CV87/1000,0)+ROUND((CY87+CZ87+DA87+DC87)/1000*3,0)+ROUND(DH87/25,0)+ROUND(DX87/50,0)</f>
        <v>140</v>
      </c>
      <c r="DM87" s="899">
        <v>0</v>
      </c>
      <c r="DN87" s="925">
        <v>0</v>
      </c>
      <c r="DO87" s="899"/>
      <c r="DP87" s="899">
        <f>DJ87*0.25</f>
        <v>32.2605</v>
      </c>
      <c r="DQ87" s="905">
        <f>SUM(CO87,CJ87,CN87,CR87,CU87)/1000</f>
        <v>44.622</v>
      </c>
      <c r="DR87" s="899">
        <f>CL87/1000</f>
        <v>0</v>
      </c>
      <c r="DS87" s="899">
        <f>((CP87/400)/12)</f>
        <v>0</v>
      </c>
      <c r="DT87" s="899">
        <v>0</v>
      </c>
      <c r="DU87" s="899">
        <v>0</v>
      </c>
      <c r="DV87" s="899">
        <f>IF(CX87&gt;0,"Calculate",0)</f>
        <v>0</v>
      </c>
      <c r="DW87" s="886">
        <f>DX87</f>
        <v>44.622</v>
      </c>
      <c r="DX87" s="906">
        <f>DN87+DO87+DQ87+DR87+DS87+DT87+DU87+DV87</f>
        <v>44.622</v>
      </c>
      <c r="DY87" s="234">
        <v>145</v>
      </c>
      <c r="DZ87" s="2288">
        <f>CD87-T87</f>
        <v>129042</v>
      </c>
      <c r="EA87" s="2231">
        <f>CE87-V87</f>
        <v>21894</v>
      </c>
      <c r="EB87" s="187">
        <f>CF87-W87</f>
        <v>21894</v>
      </c>
      <c r="EC87" s="235">
        <f>ED87</f>
        <v>21894</v>
      </c>
      <c r="ED87" s="187">
        <v>21894</v>
      </c>
      <c r="EE87" s="187">
        <f>(SUM(CJ87:CO87))-(SUM(AA87:AE87,AL87))</f>
        <v>66516</v>
      </c>
      <c r="EF87" s="235">
        <f>EG87</f>
        <v>21894</v>
      </c>
      <c r="EG87" s="245">
        <v>21894</v>
      </c>
      <c r="EH87" s="235">
        <f>EI87</f>
        <v>0</v>
      </c>
      <c r="EI87" s="187">
        <f>CL87-AC87</f>
        <v>0</v>
      </c>
      <c r="EJ87" s="235">
        <f>EK87</f>
        <v>0</v>
      </c>
      <c r="EK87" s="187">
        <f>CJ87-AA87</f>
        <v>0</v>
      </c>
      <c r="EL87" s="235">
        <f>EM87</f>
        <v>0</v>
      </c>
      <c r="EM87" s="245">
        <f>CO87-AE87</f>
        <v>0</v>
      </c>
      <c r="EN87" s="235">
        <f>EO87</f>
        <v>0</v>
      </c>
      <c r="EO87" s="269">
        <f>CP87-AH87</f>
        <v>0</v>
      </c>
      <c r="EP87" s="235">
        <f>EQ87</f>
        <v>0</v>
      </c>
      <c r="EQ87" s="187">
        <f>CR87-AJ87</f>
        <v>0</v>
      </c>
      <c r="ER87" s="235">
        <f>ES87</f>
        <v>0</v>
      </c>
      <c r="ES87" s="187">
        <f>CS87-AO87</f>
        <v>0</v>
      </c>
      <c r="ET87" s="235">
        <f>EU87</f>
        <v>0</v>
      </c>
      <c r="EU87" s="187">
        <f t="shared" si="32"/>
        <v>0</v>
      </c>
      <c r="EV87" s="235">
        <f>EW87</f>
        <v>0</v>
      </c>
      <c r="EW87" s="187">
        <f>CU87-AS87</f>
        <v>0</v>
      </c>
      <c r="EX87" s="235">
        <f>EY87</f>
        <v>0</v>
      </c>
      <c r="EY87" s="269">
        <f>CV87-AU87</f>
        <v>0</v>
      </c>
      <c r="EZ87" s="235">
        <f>FA87</f>
        <v>0</v>
      </c>
      <c r="FA87" s="269">
        <f>CY87-AX87</f>
        <v>0</v>
      </c>
      <c r="FB87" s="235">
        <f>FC87</f>
        <v>0</v>
      </c>
      <c r="FC87" s="269">
        <f>CZ87-AY87</f>
        <v>0</v>
      </c>
      <c r="FD87" s="235">
        <f>FE87</f>
        <v>0</v>
      </c>
      <c r="FE87" s="269">
        <f>DA87-AZ87</f>
        <v>0</v>
      </c>
      <c r="FF87" s="235">
        <f>FG87</f>
        <v>0</v>
      </c>
      <c r="FG87" s="269">
        <f>DB87-BA87</f>
        <v>0</v>
      </c>
      <c r="FH87" s="235">
        <f>FI87</f>
        <v>0</v>
      </c>
      <c r="FI87" s="269">
        <f>DC87-BB87</f>
        <v>0</v>
      </c>
      <c r="FJ87" s="235">
        <f>FK87</f>
        <v>0</v>
      </c>
      <c r="FK87" s="269">
        <f>CX87-AW87</f>
        <v>0</v>
      </c>
      <c r="FL87" s="235">
        <f>FM87</f>
        <v>150936</v>
      </c>
      <c r="FM87" s="187">
        <f>DF87-BE87</f>
        <v>150936</v>
      </c>
      <c r="FN87" s="235">
        <f>FO87</f>
        <v>129.042</v>
      </c>
      <c r="FO87" s="187">
        <f>DH87-BG87</f>
        <v>129.042</v>
      </c>
      <c r="FP87" s="235">
        <f>FQ87</f>
        <v>129.042</v>
      </c>
      <c r="FQ87" s="187">
        <f>DJ87-BI87</f>
        <v>129.042</v>
      </c>
      <c r="FR87" s="190">
        <f>DK87-BJ87</f>
        <v>394.86851999999999</v>
      </c>
      <c r="FS87" s="245">
        <f>DL87-BK87</f>
        <v>72</v>
      </c>
      <c r="FT87" s="907">
        <f>DM87-BL87</f>
        <v>0</v>
      </c>
      <c r="FU87" s="907">
        <f>DR87-BO87</f>
        <v>0</v>
      </c>
      <c r="FV87" s="907"/>
      <c r="FW87" s="907">
        <f>DQ87-BN87</f>
        <v>44.622</v>
      </c>
      <c r="FX87" s="907">
        <f>DS87-BP87</f>
        <v>0</v>
      </c>
      <c r="FY87" s="907">
        <f>DT87-BQ87</f>
        <v>0</v>
      </c>
      <c r="FZ87" s="907">
        <f>DU87-BR87</f>
        <v>0</v>
      </c>
      <c r="GA87" s="907">
        <f>DV87-BS87</f>
        <v>0</v>
      </c>
      <c r="GB87" s="894">
        <f>GC87</f>
        <v>44.622</v>
      </c>
      <c r="GC87" s="776">
        <f t="shared" si="33"/>
        <v>44.622</v>
      </c>
      <c r="GD87" s="139"/>
      <c r="GE87" s="139"/>
      <c r="GF87" s="139"/>
      <c r="GG87" s="139"/>
      <c r="GH87" s="139"/>
      <c r="GI87" s="139"/>
      <c r="GJ87" s="139"/>
      <c r="GK87" s="139"/>
      <c r="GL87" s="139"/>
      <c r="GM87" s="139"/>
      <c r="GN87" s="139"/>
      <c r="GO87" s="139"/>
      <c r="GP87" s="139"/>
      <c r="GQ87" s="139"/>
      <c r="GR87" s="139"/>
      <c r="GS87" s="139"/>
      <c r="GT87" s="139"/>
    </row>
    <row r="88" spans="1:202" s="139" customFormat="1" ht="18.75">
      <c r="A88" s="2263"/>
      <c r="B88" s="2263"/>
      <c r="C88" s="913"/>
      <c r="D88" s="132"/>
      <c r="E88" s="132"/>
      <c r="F88" s="132"/>
      <c r="G88" s="931"/>
      <c r="H88" s="132"/>
      <c r="I88" s="136"/>
      <c r="J88" s="132"/>
      <c r="K88" s="132"/>
      <c r="L88" s="132"/>
      <c r="M88" s="132"/>
      <c r="N88" s="134"/>
      <c r="O88" s="134"/>
      <c r="P88" s="134"/>
      <c r="Q88" s="134"/>
      <c r="R88" s="137"/>
      <c r="S88" s="778"/>
      <c r="T88" s="634"/>
      <c r="V88" s="634"/>
      <c r="Z88" s="634"/>
      <c r="AB88" s="634"/>
      <c r="AD88" s="634"/>
      <c r="AI88" s="634"/>
      <c r="AK88" s="634"/>
      <c r="AM88" s="787"/>
      <c r="AN88" s="634"/>
      <c r="AP88" s="634"/>
      <c r="AR88" s="634"/>
      <c r="AT88" s="634"/>
      <c r="AV88" s="634"/>
      <c r="BD88" s="634"/>
      <c r="BF88" s="634"/>
      <c r="BH88" s="634"/>
      <c r="BJ88" s="122"/>
      <c r="BK88" s="848"/>
      <c r="BT88" s="634"/>
      <c r="BV88" s="932"/>
      <c r="CA88" s="781"/>
      <c r="CB88" s="2258"/>
      <c r="CC88" s="782"/>
      <c r="CD88" s="782"/>
      <c r="CE88" s="634"/>
      <c r="CF88" s="783"/>
      <c r="CG88" s="634"/>
      <c r="CH88" s="783"/>
      <c r="CI88" s="634"/>
      <c r="CJ88" s="102"/>
      <c r="CK88" s="634"/>
      <c r="CL88" s="102"/>
      <c r="CM88" s="634"/>
      <c r="CN88" s="784"/>
      <c r="CO88" s="784"/>
      <c r="CP88" s="784"/>
      <c r="CQ88" s="634"/>
      <c r="CR88" s="102"/>
      <c r="CS88" s="784"/>
      <c r="CT88" s="784"/>
      <c r="CU88" s="784"/>
      <c r="CV88" s="784"/>
      <c r="CW88" s="634"/>
      <c r="CX88" s="102"/>
      <c r="CY88" s="784"/>
      <c r="CZ88" s="784"/>
      <c r="DA88" s="784"/>
      <c r="DB88" s="784"/>
      <c r="DC88" s="784"/>
      <c r="DD88" s="784"/>
      <c r="DE88" s="634"/>
      <c r="DF88" s="934"/>
      <c r="DG88" s="634"/>
      <c r="DH88" s="102"/>
      <c r="DI88" s="802"/>
      <c r="DJ88" s="779"/>
      <c r="DK88" s="771"/>
      <c r="DL88" s="854"/>
      <c r="DM88" s="779"/>
      <c r="DN88" s="933"/>
      <c r="DO88" s="779"/>
      <c r="DP88" s="779"/>
      <c r="DQ88" s="787"/>
      <c r="DR88" s="779"/>
      <c r="DS88" s="779"/>
      <c r="DT88" s="779"/>
      <c r="DU88" s="779"/>
      <c r="DV88" s="779"/>
      <c r="DW88" s="802"/>
      <c r="DX88" s="788"/>
      <c r="DY88" s="2246"/>
      <c r="DZ88" s="2288"/>
      <c r="EA88" s="2231"/>
      <c r="EB88" s="187"/>
      <c r="EC88" s="2232"/>
      <c r="ED88" s="187"/>
      <c r="EE88" s="187"/>
      <c r="EF88" s="2232"/>
      <c r="EG88" s="245"/>
      <c r="EH88" s="2232"/>
      <c r="EI88" s="187"/>
      <c r="EJ88" s="2232"/>
      <c r="EK88" s="187"/>
      <c r="EL88" s="2232"/>
      <c r="EM88" s="195"/>
      <c r="EN88" s="2232"/>
      <c r="EO88" s="278"/>
      <c r="EP88" s="2232"/>
      <c r="EQ88" s="187"/>
      <c r="ER88" s="2232"/>
      <c r="ES88" s="187"/>
      <c r="ET88" s="2232"/>
      <c r="EU88" s="187">
        <f t="shared" si="32"/>
        <v>0</v>
      </c>
      <c r="EV88" s="2232"/>
      <c r="EW88" s="187"/>
      <c r="EX88" s="2232"/>
      <c r="EY88" s="278"/>
      <c r="EZ88" s="2232"/>
      <c r="FA88" s="278"/>
      <c r="FB88" s="2232"/>
      <c r="FC88" s="278"/>
      <c r="FD88" s="2232"/>
      <c r="FE88" s="278"/>
      <c r="FF88" s="2232"/>
      <c r="FG88" s="278"/>
      <c r="FH88" s="2232"/>
      <c r="FI88" s="278"/>
      <c r="FJ88" s="2232"/>
      <c r="FK88" s="278"/>
      <c r="FL88" s="2232"/>
      <c r="FM88" s="187"/>
      <c r="FN88" s="2232"/>
      <c r="FO88" s="187"/>
      <c r="FP88" s="2232"/>
      <c r="FQ88" s="187"/>
      <c r="FR88" s="190"/>
      <c r="FS88" s="195"/>
      <c r="FT88" s="789"/>
      <c r="FU88" s="789"/>
      <c r="FV88" s="789"/>
      <c r="FW88" s="789"/>
      <c r="FX88" s="789"/>
      <c r="FY88" s="789"/>
      <c r="FZ88" s="789"/>
      <c r="GA88" s="789"/>
      <c r="GB88" s="2289"/>
      <c r="GC88" s="776"/>
    </row>
    <row r="89" spans="1:202" s="228" customFormat="1" ht="18.75">
      <c r="A89" s="216"/>
      <c r="B89" s="216">
        <v>31</v>
      </c>
      <c r="C89" s="218" t="s">
        <v>703</v>
      </c>
      <c r="D89" s="218">
        <v>2829</v>
      </c>
      <c r="E89" s="218">
        <v>45</v>
      </c>
      <c r="F89" s="218">
        <v>2028290045</v>
      </c>
      <c r="G89" s="922">
        <v>26174</v>
      </c>
      <c r="H89" s="218" t="s">
        <v>733</v>
      </c>
      <c r="I89" s="222" t="s">
        <v>727</v>
      </c>
      <c r="J89" s="218">
        <v>0.6</v>
      </c>
      <c r="K89" s="218">
        <v>6.02</v>
      </c>
      <c r="L89" s="218">
        <v>0</v>
      </c>
      <c r="M89" s="218">
        <v>6.5</v>
      </c>
      <c r="N89" s="220">
        <v>15800</v>
      </c>
      <c r="O89" s="220">
        <v>0</v>
      </c>
      <c r="P89" s="220">
        <v>0</v>
      </c>
      <c r="Q89" s="220">
        <v>15800</v>
      </c>
      <c r="R89" s="223">
        <v>0</v>
      </c>
      <c r="S89" s="898" t="s">
        <v>637</v>
      </c>
      <c r="T89" s="234">
        <f>U89</f>
        <v>0</v>
      </c>
      <c r="U89" s="228">
        <f>Q89-N89</f>
        <v>0</v>
      </c>
      <c r="V89" s="234">
        <f>W89</f>
        <v>15800</v>
      </c>
      <c r="W89" s="228">
        <f>N89</f>
        <v>15800</v>
      </c>
      <c r="Y89" s="228">
        <f>W89-AA89</f>
        <v>15800</v>
      </c>
      <c r="Z89" s="234">
        <f>AA89</f>
        <v>0</v>
      </c>
      <c r="AA89" s="228">
        <v>0</v>
      </c>
      <c r="AB89" s="234">
        <f>AC89</f>
        <v>0</v>
      </c>
      <c r="AC89" s="228">
        <v>0</v>
      </c>
      <c r="AD89" s="234">
        <f>AE89</f>
        <v>0</v>
      </c>
      <c r="AE89" s="228">
        <f>AF89+AG89</f>
        <v>0</v>
      </c>
      <c r="AF89" s="228">
        <v>0</v>
      </c>
      <c r="AG89" s="228">
        <v>0</v>
      </c>
      <c r="AH89" s="228">
        <v>0</v>
      </c>
      <c r="AI89" s="234">
        <f>AJ89</f>
        <v>0</v>
      </c>
      <c r="AJ89" s="228">
        <v>0</v>
      </c>
      <c r="AK89" s="234">
        <f>AL89</f>
        <v>15800</v>
      </c>
      <c r="AL89" s="228">
        <f>W89-(AA89+AC89+AE89+AH89+AJ89+AM89+AW89+AO89+AQ89+AS89+AU89)</f>
        <v>15800</v>
      </c>
      <c r="AM89" s="905">
        <v>0</v>
      </c>
      <c r="AN89" s="234">
        <f>AO89</f>
        <v>0</v>
      </c>
      <c r="AO89" s="228">
        <v>0</v>
      </c>
      <c r="AP89" s="234">
        <f>AQ89</f>
        <v>0</v>
      </c>
      <c r="AQ89" s="228">
        <v>0</v>
      </c>
      <c r="AR89" s="234">
        <f>AS89</f>
        <v>0</v>
      </c>
      <c r="AS89" s="228">
        <v>0</v>
      </c>
      <c r="AT89" s="234">
        <f>AU89</f>
        <v>0</v>
      </c>
      <c r="AU89" s="228">
        <v>0</v>
      </c>
      <c r="AV89" s="234">
        <f>AW89</f>
        <v>0</v>
      </c>
      <c r="AW89" s="228">
        <f>AX89+AY89+AZ89+BA89+BB89</f>
        <v>0</v>
      </c>
      <c r="AX89" s="228">
        <v>0</v>
      </c>
      <c r="AY89" s="228">
        <v>0</v>
      </c>
      <c r="AZ89" s="228">
        <v>0</v>
      </c>
      <c r="BA89" s="228">
        <v>0</v>
      </c>
      <c r="BB89" s="228">
        <v>0</v>
      </c>
      <c r="BC89" s="228">
        <v>0</v>
      </c>
      <c r="BD89" s="234">
        <f>BE89</f>
        <v>15800</v>
      </c>
      <c r="BE89" s="228">
        <f>ROUND(U89+W89,0)</f>
        <v>15800</v>
      </c>
      <c r="BF89" s="234">
        <f>BG89</f>
        <v>0</v>
      </c>
      <c r="BG89" s="228">
        <f>ROUND(U89/'[1]Projected Development Sites'!DF$134,0)</f>
        <v>0</v>
      </c>
      <c r="BH89" s="234">
        <f>BI89</f>
        <v>0</v>
      </c>
      <c r="BI89" s="228">
        <f>'[1]Projected Development Sites'!BG$135*BG89</f>
        <v>0</v>
      </c>
      <c r="BJ89" s="122">
        <f t="shared" si="38"/>
        <v>0</v>
      </c>
      <c r="BK89" s="928">
        <f>ROUND((AL89+AC89+AA89)/1000*3,0)+ROUND((AE89+AU89)/1000,0)+ROUND((ROUND(AH89/400,0))/2.67,0)+ROUND(AJ89/250,0)+ROUND(AO89/15000,0)+ROUND((AX89+AY89+AZ89+BB89)/1000*3,0)+ROUND(BG89/25,0)+ROUND(BU89/50,0)</f>
        <v>47</v>
      </c>
      <c r="BL89" s="228">
        <v>0</v>
      </c>
      <c r="BM89" s="228">
        <v>0</v>
      </c>
      <c r="BN89" s="228">
        <v>0</v>
      </c>
      <c r="BO89" s="228">
        <v>0</v>
      </c>
      <c r="BP89" s="228">
        <v>0</v>
      </c>
      <c r="BR89" s="228">
        <v>0</v>
      </c>
      <c r="BT89" s="234">
        <f>BU89</f>
        <v>0</v>
      </c>
      <c r="BU89" s="228">
        <f>SUM(BL89:BS89)</f>
        <v>0</v>
      </c>
      <c r="BV89" s="929">
        <v>15</v>
      </c>
      <c r="BW89" s="228" t="s">
        <v>729</v>
      </c>
      <c r="BX89" s="228">
        <v>7.2</v>
      </c>
      <c r="BY89" s="228">
        <v>3.4</v>
      </c>
      <c r="BZ89" s="228">
        <v>6.5</v>
      </c>
      <c r="CA89" s="901"/>
      <c r="CB89" s="230" t="s">
        <v>861</v>
      </c>
      <c r="CC89" s="399">
        <f>(BX89*G89)-CF89</f>
        <v>140030.90000000002</v>
      </c>
      <c r="CD89" s="399">
        <v>140030.90000000002</v>
      </c>
      <c r="CE89" s="234">
        <f>CF89</f>
        <v>48421.9</v>
      </c>
      <c r="CF89" s="902">
        <f>2*(G89)-(0.15*1*(G89))</f>
        <v>48421.9</v>
      </c>
      <c r="CG89" s="234">
        <f>CH89</f>
        <v>48421.9</v>
      </c>
      <c r="CH89" s="836">
        <f>CF89-CJ89</f>
        <v>48421.9</v>
      </c>
      <c r="CI89" s="234">
        <f>CJ89</f>
        <v>0</v>
      </c>
      <c r="CJ89" s="111">
        <v>0</v>
      </c>
      <c r="CK89" s="234">
        <f>CL89</f>
        <v>0</v>
      </c>
      <c r="CL89" s="111">
        <v>0</v>
      </c>
      <c r="CM89" s="234">
        <f>CN89</f>
        <v>48421.9</v>
      </c>
      <c r="CN89" s="903">
        <f>CF89-(CJ89+CL89+CO89+CP89+CR89+CU89+CV89+CX89)</f>
        <v>48421.9</v>
      </c>
      <c r="CO89" s="903">
        <v>0</v>
      </c>
      <c r="CP89" s="903">
        <v>0</v>
      </c>
      <c r="CQ89" s="234">
        <f>CR89</f>
        <v>0</v>
      </c>
      <c r="CR89" s="111">
        <v>0</v>
      </c>
      <c r="CS89" s="903">
        <v>0</v>
      </c>
      <c r="CT89" s="903">
        <v>0</v>
      </c>
      <c r="CU89" s="903">
        <v>0</v>
      </c>
      <c r="CV89" s="903">
        <v>0</v>
      </c>
      <c r="CW89" s="234">
        <f>CX89</f>
        <v>0</v>
      </c>
      <c r="CX89" s="111">
        <v>0</v>
      </c>
      <c r="CY89" s="903">
        <v>0</v>
      </c>
      <c r="CZ89" s="903">
        <v>0</v>
      </c>
      <c r="DA89" s="903">
        <v>0</v>
      </c>
      <c r="DB89" s="903">
        <v>0</v>
      </c>
      <c r="DC89" s="903">
        <v>0</v>
      </c>
      <c r="DD89" s="903"/>
      <c r="DE89" s="234">
        <f>DF89</f>
        <v>188452.80000000002</v>
      </c>
      <c r="DF89" s="903">
        <f>CC89+CF89+CV89</f>
        <v>188452.80000000002</v>
      </c>
      <c r="DG89" s="234">
        <f>DH89</f>
        <v>140.03090000000003</v>
      </c>
      <c r="DH89" s="111">
        <f>CC89/1000</f>
        <v>140.03090000000003</v>
      </c>
      <c r="DI89" s="886">
        <f>DJ89</f>
        <v>140.03090000000003</v>
      </c>
      <c r="DJ89" s="899">
        <f>DH89</f>
        <v>140.03090000000003</v>
      </c>
      <c r="DK89" s="771">
        <f>3.06*DH89</f>
        <v>428.49455400000011</v>
      </c>
      <c r="DL89" s="924">
        <f>ROUND((CN89+CL89+CJ89)/1000*3,0)+ROUND((ROUND(CP89/400,0))/2.67,0)+ROUND(CV89/1000,0)+ROUND((CY89+CZ89+DA89+DC89)/1000*3,0)+ROUND(DH89/25,0)+ROUND(DX89/50,0)</f>
        <v>152</v>
      </c>
      <c r="DM89" s="899">
        <v>0</v>
      </c>
      <c r="DN89" s="925">
        <v>0</v>
      </c>
      <c r="DO89" s="899"/>
      <c r="DP89" s="899">
        <f>DJ89*0.25</f>
        <v>35.007725000000008</v>
      </c>
      <c r="DQ89" s="905">
        <f>SUM(CO89,CJ89,CN89,CR89,CU89)/1000</f>
        <v>48.421900000000001</v>
      </c>
      <c r="DR89" s="899">
        <f>CL89/1000</f>
        <v>0</v>
      </c>
      <c r="DS89" s="899">
        <f>((CP89/400)/12)</f>
        <v>0</v>
      </c>
      <c r="DT89" s="899">
        <v>0</v>
      </c>
      <c r="DU89" s="899">
        <v>0</v>
      </c>
      <c r="DV89" s="899">
        <f>IF(CX89&gt;0,"Calculate",0)</f>
        <v>0</v>
      </c>
      <c r="DW89" s="886">
        <f>DX89</f>
        <v>48.421900000000001</v>
      </c>
      <c r="DX89" s="906">
        <f>DN89+DO89+DQ89+DR89+DS89+DT89+DU89+DV89</f>
        <v>48.421900000000001</v>
      </c>
      <c r="DY89" s="234">
        <v>145</v>
      </c>
      <c r="DZ89" s="2288">
        <f>CD89-T89</f>
        <v>140030.90000000002</v>
      </c>
      <c r="EA89" s="2231">
        <f>CE89-V89</f>
        <v>32621.9</v>
      </c>
      <c r="EB89" s="187">
        <f>CF89-W89</f>
        <v>32621.9</v>
      </c>
      <c r="EC89" s="235">
        <f>ED89</f>
        <v>32621.9</v>
      </c>
      <c r="ED89" s="187">
        <v>32621.9</v>
      </c>
      <c r="EE89" s="187">
        <f>(SUM(CJ89:CO89))-(SUM(AA89:AE89,AL89))</f>
        <v>81043.8</v>
      </c>
      <c r="EF89" s="235">
        <f>EG89</f>
        <v>32621.9</v>
      </c>
      <c r="EG89" s="245">
        <v>32621.9</v>
      </c>
      <c r="EH89" s="235">
        <f>EI89</f>
        <v>0</v>
      </c>
      <c r="EI89" s="187">
        <f>CL89-AC89</f>
        <v>0</v>
      </c>
      <c r="EJ89" s="235">
        <f>EK89</f>
        <v>0</v>
      </c>
      <c r="EK89" s="187">
        <f>CJ89-AA89</f>
        <v>0</v>
      </c>
      <c r="EL89" s="235">
        <f>EM89</f>
        <v>0</v>
      </c>
      <c r="EM89" s="245">
        <f>CO89-AE89</f>
        <v>0</v>
      </c>
      <c r="EN89" s="235">
        <f>EO89</f>
        <v>0</v>
      </c>
      <c r="EO89" s="269">
        <f>CP89-AH89</f>
        <v>0</v>
      </c>
      <c r="EP89" s="235">
        <f>EQ89</f>
        <v>0</v>
      </c>
      <c r="EQ89" s="187">
        <f>CR89-AJ89</f>
        <v>0</v>
      </c>
      <c r="ER89" s="235">
        <f>ES89</f>
        <v>0</v>
      </c>
      <c r="ES89" s="187">
        <f>CS89-AO89</f>
        <v>0</v>
      </c>
      <c r="ET89" s="235">
        <f>EU89</f>
        <v>0</v>
      </c>
      <c r="EU89" s="187">
        <f t="shared" si="32"/>
        <v>0</v>
      </c>
      <c r="EV89" s="235">
        <f>EW89</f>
        <v>0</v>
      </c>
      <c r="EW89" s="187">
        <f>CU89-AS89</f>
        <v>0</v>
      </c>
      <c r="EX89" s="235">
        <f>EY89</f>
        <v>0</v>
      </c>
      <c r="EY89" s="269">
        <f>CV89-AU89</f>
        <v>0</v>
      </c>
      <c r="EZ89" s="235">
        <f>FA89</f>
        <v>0</v>
      </c>
      <c r="FA89" s="269">
        <f>CY89-AX89</f>
        <v>0</v>
      </c>
      <c r="FB89" s="235">
        <f>FC89</f>
        <v>0</v>
      </c>
      <c r="FC89" s="269">
        <f>CZ89-AY89</f>
        <v>0</v>
      </c>
      <c r="FD89" s="235">
        <f>FE89</f>
        <v>0</v>
      </c>
      <c r="FE89" s="269">
        <f>DA89-AZ89</f>
        <v>0</v>
      </c>
      <c r="FF89" s="235">
        <f>FG89</f>
        <v>0</v>
      </c>
      <c r="FG89" s="269">
        <f>DB89-BA89</f>
        <v>0</v>
      </c>
      <c r="FH89" s="235">
        <f>FI89</f>
        <v>0</v>
      </c>
      <c r="FI89" s="269">
        <f>DC89-BB89</f>
        <v>0</v>
      </c>
      <c r="FJ89" s="235">
        <f>FK89</f>
        <v>0</v>
      </c>
      <c r="FK89" s="269">
        <f>CX89-AW89</f>
        <v>0</v>
      </c>
      <c r="FL89" s="235">
        <f>FM89</f>
        <v>172652.80000000002</v>
      </c>
      <c r="FM89" s="187">
        <f>DF89-BE89</f>
        <v>172652.80000000002</v>
      </c>
      <c r="FN89" s="235">
        <f>FO89</f>
        <v>140.03090000000003</v>
      </c>
      <c r="FO89" s="187">
        <f>DH89-BG89</f>
        <v>140.03090000000003</v>
      </c>
      <c r="FP89" s="235">
        <f>FQ89</f>
        <v>140.03090000000003</v>
      </c>
      <c r="FQ89" s="187">
        <f>DJ89-BI89</f>
        <v>140.03090000000003</v>
      </c>
      <c r="FR89" s="190">
        <f>DK89-BJ89</f>
        <v>428.49455400000011</v>
      </c>
      <c r="FS89" s="245">
        <f>DL89-BK89</f>
        <v>105</v>
      </c>
      <c r="FT89" s="907">
        <f>DM89-BL89</f>
        <v>0</v>
      </c>
      <c r="FU89" s="907">
        <f>DR89-BO89</f>
        <v>0</v>
      </c>
      <c r="FV89" s="907"/>
      <c r="FW89" s="907">
        <f>DQ89-BN89</f>
        <v>48.421900000000001</v>
      </c>
      <c r="FX89" s="907">
        <f>DS89-BP89</f>
        <v>0</v>
      </c>
      <c r="FY89" s="907">
        <f>DT89-BQ89</f>
        <v>0</v>
      </c>
      <c r="FZ89" s="907">
        <f>DU89-BR89</f>
        <v>0</v>
      </c>
      <c r="GA89" s="907">
        <f>DV89-BS89</f>
        <v>0</v>
      </c>
      <c r="GB89" s="894">
        <f>GC89</f>
        <v>48.421900000000001</v>
      </c>
      <c r="GC89" s="776">
        <f t="shared" si="33"/>
        <v>48.421900000000001</v>
      </c>
      <c r="GD89" s="139"/>
      <c r="GE89" s="139"/>
      <c r="GF89" s="139"/>
      <c r="GG89" s="139"/>
      <c r="GH89" s="139"/>
      <c r="GI89" s="139"/>
      <c r="GJ89" s="139"/>
      <c r="GK89" s="139"/>
      <c r="GL89" s="139"/>
      <c r="GM89" s="139"/>
      <c r="GN89" s="139"/>
      <c r="GO89" s="139"/>
      <c r="GP89" s="139"/>
      <c r="GQ89" s="139"/>
      <c r="GR89" s="139"/>
      <c r="GS89" s="139"/>
      <c r="GT89" s="139"/>
    </row>
    <row r="90" spans="1:202" s="139" customFormat="1" ht="18.75">
      <c r="A90" s="2263"/>
      <c r="B90" s="2263"/>
      <c r="C90" s="132"/>
      <c r="D90" s="132"/>
      <c r="E90" s="132"/>
      <c r="F90" s="132"/>
      <c r="G90" s="931"/>
      <c r="H90" s="132"/>
      <c r="I90" s="136"/>
      <c r="J90" s="132"/>
      <c r="K90" s="132"/>
      <c r="L90" s="132"/>
      <c r="M90" s="132"/>
      <c r="N90" s="134"/>
      <c r="O90" s="134"/>
      <c r="P90" s="134"/>
      <c r="Q90" s="134"/>
      <c r="R90" s="137"/>
      <c r="S90" s="778"/>
      <c r="T90" s="634"/>
      <c r="V90" s="634"/>
      <c r="Z90" s="634"/>
      <c r="AB90" s="634"/>
      <c r="AD90" s="634"/>
      <c r="AI90" s="634"/>
      <c r="AK90" s="634"/>
      <c r="AM90" s="787"/>
      <c r="AN90" s="634"/>
      <c r="AP90" s="634"/>
      <c r="AR90" s="634"/>
      <c r="AT90" s="634"/>
      <c r="AV90" s="634"/>
      <c r="BD90" s="634"/>
      <c r="BF90" s="634"/>
      <c r="BH90" s="634"/>
      <c r="BJ90" s="122"/>
      <c r="BK90" s="848"/>
      <c r="BT90" s="634"/>
      <c r="BV90" s="932"/>
      <c r="CA90" s="781"/>
      <c r="CB90" s="2258"/>
      <c r="CC90" s="782"/>
      <c r="CD90" s="782"/>
      <c r="CE90" s="634"/>
      <c r="CF90" s="783"/>
      <c r="CG90" s="634"/>
      <c r="CH90" s="783"/>
      <c r="CI90" s="634"/>
      <c r="CJ90" s="102"/>
      <c r="CK90" s="634"/>
      <c r="CL90" s="102"/>
      <c r="CM90" s="634"/>
      <c r="CN90" s="784"/>
      <c r="CO90" s="784"/>
      <c r="CP90" s="784"/>
      <c r="CQ90" s="634"/>
      <c r="CR90" s="102"/>
      <c r="CS90" s="784"/>
      <c r="CT90" s="784"/>
      <c r="CU90" s="784"/>
      <c r="CV90" s="784"/>
      <c r="CW90" s="634"/>
      <c r="CX90" s="102"/>
      <c r="CY90" s="784"/>
      <c r="CZ90" s="784"/>
      <c r="DA90" s="784"/>
      <c r="DB90" s="784"/>
      <c r="DC90" s="784"/>
      <c r="DD90" s="784"/>
      <c r="DE90" s="634"/>
      <c r="DF90" s="784"/>
      <c r="DG90" s="634"/>
      <c r="DH90" s="102"/>
      <c r="DI90" s="802"/>
      <c r="DJ90" s="779"/>
      <c r="DK90" s="771"/>
      <c r="DL90" s="854"/>
      <c r="DM90" s="779"/>
      <c r="DN90" s="933"/>
      <c r="DO90" s="779"/>
      <c r="DP90" s="779"/>
      <c r="DQ90" s="787"/>
      <c r="DR90" s="779"/>
      <c r="DS90" s="779"/>
      <c r="DT90" s="779"/>
      <c r="DU90" s="779"/>
      <c r="DV90" s="779"/>
      <c r="DW90" s="802"/>
      <c r="DX90" s="788"/>
      <c r="DY90" s="2246"/>
      <c r="DZ90" s="2288"/>
      <c r="EA90" s="2231"/>
      <c r="EB90" s="187"/>
      <c r="EC90" s="2232"/>
      <c r="ED90" s="187"/>
      <c r="EE90" s="187"/>
      <c r="EF90" s="2232"/>
      <c r="EG90" s="245"/>
      <c r="EH90" s="2232"/>
      <c r="EI90" s="187"/>
      <c r="EJ90" s="2232"/>
      <c r="EK90" s="187"/>
      <c r="EL90" s="2232"/>
      <c r="EM90" s="195"/>
      <c r="EN90" s="2232"/>
      <c r="EO90" s="278"/>
      <c r="EP90" s="2232"/>
      <c r="EQ90" s="187"/>
      <c r="ER90" s="2232"/>
      <c r="ES90" s="187"/>
      <c r="ET90" s="2232"/>
      <c r="EU90" s="187">
        <f t="shared" si="32"/>
        <v>0</v>
      </c>
      <c r="EV90" s="2232"/>
      <c r="EW90" s="187"/>
      <c r="EX90" s="2232"/>
      <c r="EY90" s="278"/>
      <c r="EZ90" s="2232"/>
      <c r="FA90" s="278"/>
      <c r="FB90" s="2232"/>
      <c r="FC90" s="278"/>
      <c r="FD90" s="2232"/>
      <c r="FE90" s="278"/>
      <c r="FF90" s="2232"/>
      <c r="FG90" s="278"/>
      <c r="FH90" s="2232"/>
      <c r="FI90" s="278"/>
      <c r="FJ90" s="2232"/>
      <c r="FK90" s="278"/>
      <c r="FL90" s="2232"/>
      <c r="FM90" s="187"/>
      <c r="FN90" s="2232"/>
      <c r="FO90" s="187"/>
      <c r="FP90" s="2232"/>
      <c r="FQ90" s="187"/>
      <c r="FR90" s="190"/>
      <c r="FS90" s="195"/>
      <c r="FT90" s="789"/>
      <c r="FU90" s="789"/>
      <c r="FV90" s="789"/>
      <c r="FW90" s="789"/>
      <c r="FX90" s="789"/>
      <c r="FY90" s="789"/>
      <c r="FZ90" s="789"/>
      <c r="GA90" s="789"/>
      <c r="GB90" s="2289"/>
      <c r="GC90" s="776"/>
    </row>
    <row r="91" spans="1:202" s="228" customFormat="1" ht="18.75">
      <c r="A91" s="216"/>
      <c r="B91" s="216">
        <v>32</v>
      </c>
      <c r="C91" s="918" t="s">
        <v>703</v>
      </c>
      <c r="D91" s="218">
        <v>2854</v>
      </c>
      <c r="E91" s="218">
        <v>42</v>
      </c>
      <c r="F91" s="218">
        <v>2028540042</v>
      </c>
      <c r="G91" s="922">
        <v>5000</v>
      </c>
      <c r="H91" s="218" t="s">
        <v>726</v>
      </c>
      <c r="I91" s="222" t="s">
        <v>706</v>
      </c>
      <c r="J91" s="218">
        <v>1</v>
      </c>
      <c r="K91" s="218">
        <v>3.44</v>
      </c>
      <c r="L91" s="218">
        <v>0</v>
      </c>
      <c r="M91" s="218">
        <v>4.8</v>
      </c>
      <c r="N91" s="220">
        <v>5000</v>
      </c>
      <c r="O91" s="220">
        <v>0</v>
      </c>
      <c r="P91" s="220">
        <v>0</v>
      </c>
      <c r="Q91" s="220">
        <v>5000</v>
      </c>
      <c r="R91" s="223">
        <v>0</v>
      </c>
      <c r="S91" s="898" t="s">
        <v>637</v>
      </c>
      <c r="T91" s="234">
        <f>U91</f>
        <v>0</v>
      </c>
      <c r="U91" s="228">
        <f>Q91-N91</f>
        <v>0</v>
      </c>
      <c r="V91" s="234">
        <f>W91</f>
        <v>5000</v>
      </c>
      <c r="W91" s="228">
        <f>N91</f>
        <v>5000</v>
      </c>
      <c r="Y91" s="228">
        <f>W91-AA91</f>
        <v>5000</v>
      </c>
      <c r="Z91" s="234">
        <f>AA91</f>
        <v>0</v>
      </c>
      <c r="AA91" s="228">
        <v>0</v>
      </c>
      <c r="AB91" s="234">
        <f>AC91</f>
        <v>0</v>
      </c>
      <c r="AC91" s="228">
        <v>0</v>
      </c>
      <c r="AD91" s="234">
        <f>AE91</f>
        <v>0</v>
      </c>
      <c r="AE91" s="228">
        <f>AF91+AG91</f>
        <v>0</v>
      </c>
      <c r="AF91" s="228">
        <v>0</v>
      </c>
      <c r="AG91" s="228">
        <v>0</v>
      </c>
      <c r="AH91" s="228">
        <v>0</v>
      </c>
      <c r="AI91" s="234">
        <f>AJ91</f>
        <v>0</v>
      </c>
      <c r="AJ91" s="228">
        <v>0</v>
      </c>
      <c r="AK91" s="234">
        <f>AL91</f>
        <v>5000</v>
      </c>
      <c r="AL91" s="228">
        <f>W91-(AA91+AC91+AE91+AH91+AJ91+AM91+AW91+AO91+AQ91+AS91+AU91)</f>
        <v>5000</v>
      </c>
      <c r="AM91" s="905">
        <v>0</v>
      </c>
      <c r="AN91" s="234">
        <f>AO91</f>
        <v>0</v>
      </c>
      <c r="AO91" s="228">
        <v>0</v>
      </c>
      <c r="AP91" s="234">
        <f>AQ91</f>
        <v>0</v>
      </c>
      <c r="AQ91" s="228">
        <v>0</v>
      </c>
      <c r="AR91" s="234">
        <f>AS91</f>
        <v>0</v>
      </c>
      <c r="AS91" s="228">
        <v>0</v>
      </c>
      <c r="AT91" s="234">
        <f>AU91</f>
        <v>0</v>
      </c>
      <c r="AU91" s="228">
        <v>0</v>
      </c>
      <c r="AV91" s="234">
        <f>AW91</f>
        <v>0</v>
      </c>
      <c r="AW91" s="228">
        <f>AX91+AY91+AZ91+BA91+BB91</f>
        <v>0</v>
      </c>
      <c r="AX91" s="228">
        <v>0</v>
      </c>
      <c r="AY91" s="228">
        <v>0</v>
      </c>
      <c r="AZ91" s="228">
        <v>0</v>
      </c>
      <c r="BA91" s="228">
        <v>0</v>
      </c>
      <c r="BB91" s="228">
        <v>0</v>
      </c>
      <c r="BC91" s="228">
        <v>0</v>
      </c>
      <c r="BD91" s="234">
        <f>BE91</f>
        <v>5000</v>
      </c>
      <c r="BE91" s="228">
        <f>ROUND(U91+W91,0)</f>
        <v>5000</v>
      </c>
      <c r="BF91" s="234">
        <f>BG91</f>
        <v>0</v>
      </c>
      <c r="BG91" s="228">
        <f>ROUND(U91/'[1]Projected Development Sites'!DF$134,0)</f>
        <v>0</v>
      </c>
      <c r="BH91" s="234">
        <f>BI91</f>
        <v>0</v>
      </c>
      <c r="BI91" s="228">
        <f>'[1]Projected Development Sites'!BG$135*BG91</f>
        <v>0</v>
      </c>
      <c r="BJ91" s="122">
        <f t="shared" si="38"/>
        <v>0</v>
      </c>
      <c r="BK91" s="928">
        <f>ROUND((AL91+AC91+AA91)/1000*3,0)+ROUND((AE91+AU91)/1000,0)+ROUND((ROUND(AH91/400,0))/2.67,0)+ROUND(AJ91/250,0)+ROUND(AO91/15000,0)+ROUND((AX91+AY91+AZ91+BB91)/1000*3,0)+ROUND(BG91/25,0)+ROUND(BU91/50,0)</f>
        <v>15</v>
      </c>
      <c r="BL91" s="228">
        <v>0</v>
      </c>
      <c r="BM91" s="228">
        <v>0</v>
      </c>
      <c r="BN91" s="228">
        <v>0</v>
      </c>
      <c r="BO91" s="228">
        <v>0</v>
      </c>
      <c r="BP91" s="228">
        <v>0</v>
      </c>
      <c r="BR91" s="228">
        <v>0</v>
      </c>
      <c r="BT91" s="234">
        <f>BU91</f>
        <v>0</v>
      </c>
      <c r="BU91" s="228">
        <f>SUM(BL91:BS91)</f>
        <v>0</v>
      </c>
      <c r="BV91" s="929">
        <v>15</v>
      </c>
      <c r="BW91" s="228" t="s">
        <v>729</v>
      </c>
      <c r="BX91" s="228">
        <v>7.2</v>
      </c>
      <c r="BY91" s="228">
        <v>3.4</v>
      </c>
      <c r="BZ91" s="228">
        <v>6.5</v>
      </c>
      <c r="CA91" s="901"/>
      <c r="CB91" s="230" t="s">
        <v>861</v>
      </c>
      <c r="CC91" s="399">
        <f>(BX91*G91)-CF91</f>
        <v>26750</v>
      </c>
      <c r="CD91" s="399">
        <v>26750</v>
      </c>
      <c r="CE91" s="234">
        <f>CF91</f>
        <v>9250</v>
      </c>
      <c r="CF91" s="902">
        <f>2*(G91)-(0.15*1*(G91))</f>
        <v>9250</v>
      </c>
      <c r="CG91" s="234">
        <f>CH91</f>
        <v>9250</v>
      </c>
      <c r="CH91" s="902">
        <f>CF91-CJ91</f>
        <v>9250</v>
      </c>
      <c r="CI91" s="234">
        <f>CJ91</f>
        <v>0</v>
      </c>
      <c r="CJ91" s="111">
        <v>0</v>
      </c>
      <c r="CK91" s="234">
        <f>CL91</f>
        <v>0</v>
      </c>
      <c r="CL91" s="111">
        <v>0</v>
      </c>
      <c r="CM91" s="234">
        <f>CN91</f>
        <v>9250</v>
      </c>
      <c r="CN91" s="111">
        <f>CF91-(CJ91+CL91+CO91+CP91+CR91+CU91+CV91+CX91)</f>
        <v>9250</v>
      </c>
      <c r="CO91" s="903">
        <v>0</v>
      </c>
      <c r="CP91" s="903">
        <v>0</v>
      </c>
      <c r="CQ91" s="234">
        <f>CR91</f>
        <v>0</v>
      </c>
      <c r="CR91" s="111">
        <v>0</v>
      </c>
      <c r="CS91" s="903">
        <v>0</v>
      </c>
      <c r="CT91" s="903">
        <v>0</v>
      </c>
      <c r="CU91" s="903">
        <v>0</v>
      </c>
      <c r="CV91" s="903">
        <v>0</v>
      </c>
      <c r="CW91" s="234">
        <f>CX91</f>
        <v>0</v>
      </c>
      <c r="CX91" s="111">
        <v>0</v>
      </c>
      <c r="CY91" s="903">
        <v>0</v>
      </c>
      <c r="CZ91" s="903">
        <v>0</v>
      </c>
      <c r="DA91" s="903">
        <v>0</v>
      </c>
      <c r="DB91" s="903">
        <v>0</v>
      </c>
      <c r="DC91" s="903">
        <v>0</v>
      </c>
      <c r="DD91" s="903"/>
      <c r="DE91" s="234">
        <f>DF91</f>
        <v>36000</v>
      </c>
      <c r="DF91" s="111">
        <f>CC91+CF91+CV91</f>
        <v>36000</v>
      </c>
      <c r="DG91" s="234">
        <f>DH91</f>
        <v>26.75</v>
      </c>
      <c r="DH91" s="111">
        <f>CC91/1000</f>
        <v>26.75</v>
      </c>
      <c r="DI91" s="886">
        <f>DJ91</f>
        <v>26.75</v>
      </c>
      <c r="DJ91" s="899">
        <f>DH91</f>
        <v>26.75</v>
      </c>
      <c r="DK91" s="771">
        <f>3.06*DH91</f>
        <v>81.855000000000004</v>
      </c>
      <c r="DL91" s="924">
        <f>ROUND((CN91+CL91+CJ91)/1000*3,0)+ROUND((ROUND(CP91/400,0))/2.67,0)+ROUND(CV91/1000,0)+ROUND((CY91+CZ91+DA91+DC91)/1000*3,0)+ROUND(DH91/25,0)+ROUND(DX91/50,0)</f>
        <v>29</v>
      </c>
      <c r="DM91" s="899">
        <v>0</v>
      </c>
      <c r="DN91" s="925">
        <v>0</v>
      </c>
      <c r="DO91" s="899"/>
      <c r="DP91" s="899">
        <f>DJ91*0.25</f>
        <v>6.6875</v>
      </c>
      <c r="DQ91" s="905">
        <f>SUM(CO91,CJ91,CN91,CR91,CU91)/1000</f>
        <v>9.25</v>
      </c>
      <c r="DR91" s="899">
        <f>CL91/1000</f>
        <v>0</v>
      </c>
      <c r="DS91" s="899">
        <f>((CP91/400)/12)</f>
        <v>0</v>
      </c>
      <c r="DT91" s="899">
        <v>0</v>
      </c>
      <c r="DU91" s="899">
        <v>0</v>
      </c>
      <c r="DV91" s="899">
        <f>IF(CX91&gt;0,"Calculate",0)</f>
        <v>0</v>
      </c>
      <c r="DW91" s="886">
        <f>DX91</f>
        <v>9.25</v>
      </c>
      <c r="DX91" s="906">
        <f>DN91+DO91+DQ91+DR91+DS91+DT91+DU91+DV91</f>
        <v>9.25</v>
      </c>
      <c r="DY91" s="234">
        <v>165</v>
      </c>
      <c r="DZ91" s="2288">
        <f>CD91-T91</f>
        <v>26750</v>
      </c>
      <c r="EA91" s="2231">
        <f>CE91-V91</f>
        <v>4250</v>
      </c>
      <c r="EB91" s="187">
        <f>CF91-W91</f>
        <v>4250</v>
      </c>
      <c r="EC91" s="235">
        <f>ED91</f>
        <v>4250</v>
      </c>
      <c r="ED91" s="187">
        <v>4250</v>
      </c>
      <c r="EE91" s="187">
        <f>(SUM(CJ91:CO91))-(SUM(AA91:AE91,AL91))</f>
        <v>13500</v>
      </c>
      <c r="EF91" s="235">
        <f>EG91</f>
        <v>4250</v>
      </c>
      <c r="EG91" s="245">
        <v>4250</v>
      </c>
      <c r="EH91" s="235">
        <f>EI91</f>
        <v>0</v>
      </c>
      <c r="EI91" s="187">
        <f>CL91-AC91</f>
        <v>0</v>
      </c>
      <c r="EJ91" s="235">
        <f>EK91</f>
        <v>0</v>
      </c>
      <c r="EK91" s="187">
        <f>CJ91-AA91</f>
        <v>0</v>
      </c>
      <c r="EL91" s="235">
        <f>EM91</f>
        <v>0</v>
      </c>
      <c r="EM91" s="245">
        <f>CO91-AE91</f>
        <v>0</v>
      </c>
      <c r="EN91" s="235">
        <f>EO91</f>
        <v>0</v>
      </c>
      <c r="EO91" s="269">
        <f>CP91-AH91</f>
        <v>0</v>
      </c>
      <c r="EP91" s="235">
        <f>EQ91</f>
        <v>0</v>
      </c>
      <c r="EQ91" s="187">
        <f>CR91-AJ91</f>
        <v>0</v>
      </c>
      <c r="ER91" s="235">
        <f>ES91</f>
        <v>0</v>
      </c>
      <c r="ES91" s="187">
        <f>CS91-AO91</f>
        <v>0</v>
      </c>
      <c r="ET91" s="235">
        <f>EU91</f>
        <v>0</v>
      </c>
      <c r="EU91" s="187">
        <f t="shared" si="32"/>
        <v>0</v>
      </c>
      <c r="EV91" s="235">
        <f>EW91</f>
        <v>0</v>
      </c>
      <c r="EW91" s="187">
        <f>CU91-AS91</f>
        <v>0</v>
      </c>
      <c r="EX91" s="235">
        <f>EY91</f>
        <v>0</v>
      </c>
      <c r="EY91" s="269">
        <f>CV91-AU91</f>
        <v>0</v>
      </c>
      <c r="EZ91" s="235">
        <f>FA91</f>
        <v>0</v>
      </c>
      <c r="FA91" s="269">
        <f>CY91-AX91</f>
        <v>0</v>
      </c>
      <c r="FB91" s="235">
        <f>FC91</f>
        <v>0</v>
      </c>
      <c r="FC91" s="269">
        <f>CZ91-AY91</f>
        <v>0</v>
      </c>
      <c r="FD91" s="235">
        <f>FE91</f>
        <v>0</v>
      </c>
      <c r="FE91" s="269">
        <f>DA91-AZ91</f>
        <v>0</v>
      </c>
      <c r="FF91" s="235">
        <f>FG91</f>
        <v>0</v>
      </c>
      <c r="FG91" s="269">
        <f>DB91-BA91</f>
        <v>0</v>
      </c>
      <c r="FH91" s="235">
        <f>FI91</f>
        <v>0</v>
      </c>
      <c r="FI91" s="269">
        <f>DC91-BB91</f>
        <v>0</v>
      </c>
      <c r="FJ91" s="235">
        <f>FK91</f>
        <v>0</v>
      </c>
      <c r="FK91" s="269">
        <f>CX91-AW91</f>
        <v>0</v>
      </c>
      <c r="FL91" s="235">
        <f>FM91</f>
        <v>31000</v>
      </c>
      <c r="FM91" s="187">
        <f>DF91-BE91</f>
        <v>31000</v>
      </c>
      <c r="FN91" s="235">
        <f>FO91</f>
        <v>26.75</v>
      </c>
      <c r="FO91" s="187">
        <f>DH91-BG91</f>
        <v>26.75</v>
      </c>
      <c r="FP91" s="235">
        <f>FQ91</f>
        <v>26.75</v>
      </c>
      <c r="FQ91" s="187">
        <f>DJ91-BI91</f>
        <v>26.75</v>
      </c>
      <c r="FR91" s="190">
        <f>DK91-BJ91</f>
        <v>81.855000000000004</v>
      </c>
      <c r="FS91" s="245">
        <f>DL91-BK91</f>
        <v>14</v>
      </c>
      <c r="FT91" s="907">
        <f>DM91-BL91</f>
        <v>0</v>
      </c>
      <c r="FU91" s="907">
        <f>DR91-BO91</f>
        <v>0</v>
      </c>
      <c r="FV91" s="907"/>
      <c r="FW91" s="907">
        <f>DQ91-BN91</f>
        <v>9.25</v>
      </c>
      <c r="FX91" s="907">
        <f>DS91-BP91</f>
        <v>0</v>
      </c>
      <c r="FY91" s="907">
        <f>DT91-BQ91</f>
        <v>0</v>
      </c>
      <c r="FZ91" s="907">
        <f>DU91-BR91</f>
        <v>0</v>
      </c>
      <c r="GA91" s="907">
        <f>DV91-BS91</f>
        <v>0</v>
      </c>
      <c r="GB91" s="894">
        <f>GC91</f>
        <v>9.25</v>
      </c>
      <c r="GC91" s="776">
        <f t="shared" si="33"/>
        <v>9.25</v>
      </c>
      <c r="GD91" s="139"/>
      <c r="GE91" s="139"/>
      <c r="GF91" s="139"/>
      <c r="GG91" s="139"/>
      <c r="GH91" s="139"/>
      <c r="GI91" s="139"/>
      <c r="GJ91" s="139"/>
      <c r="GK91" s="139"/>
      <c r="GL91" s="139"/>
      <c r="GM91" s="139"/>
      <c r="GN91" s="139"/>
      <c r="GO91" s="139"/>
      <c r="GP91" s="139"/>
      <c r="GQ91" s="139"/>
      <c r="GR91" s="139"/>
      <c r="GS91" s="139"/>
      <c r="GT91" s="139"/>
    </row>
    <row r="92" spans="1:202" s="139" customFormat="1" ht="18.75">
      <c r="A92" s="2263"/>
      <c r="B92" s="2263"/>
      <c r="C92" s="913"/>
      <c r="D92" s="132"/>
      <c r="E92" s="132"/>
      <c r="F92" s="132"/>
      <c r="G92" s="931"/>
      <c r="H92" s="132"/>
      <c r="I92" s="136"/>
      <c r="J92" s="132"/>
      <c r="K92" s="132"/>
      <c r="L92" s="132"/>
      <c r="M92" s="132"/>
      <c r="N92" s="134"/>
      <c r="O92" s="134"/>
      <c r="P92" s="134"/>
      <c r="Q92" s="134"/>
      <c r="R92" s="137"/>
      <c r="S92" s="778"/>
      <c r="T92" s="634"/>
      <c r="V92" s="634"/>
      <c r="Z92" s="634"/>
      <c r="AB92" s="634"/>
      <c r="AD92" s="634"/>
      <c r="AI92" s="634"/>
      <c r="AK92" s="634"/>
      <c r="AM92" s="787"/>
      <c r="AN92" s="634"/>
      <c r="AP92" s="634"/>
      <c r="AR92" s="634"/>
      <c r="AT92" s="634"/>
      <c r="AV92" s="634"/>
      <c r="BD92" s="634"/>
      <c r="BF92" s="634"/>
      <c r="BH92" s="634"/>
      <c r="BJ92" s="122"/>
      <c r="BK92" s="848"/>
      <c r="BT92" s="634"/>
      <c r="BV92" s="932"/>
      <c r="CA92" s="781"/>
      <c r="CB92" s="2258"/>
      <c r="CC92" s="782"/>
      <c r="CD92" s="782"/>
      <c r="CE92" s="634"/>
      <c r="CF92" s="840"/>
      <c r="CG92" s="634"/>
      <c r="CH92" s="840"/>
      <c r="CI92" s="634"/>
      <c r="CJ92" s="102"/>
      <c r="CK92" s="634"/>
      <c r="CL92" s="102"/>
      <c r="CM92" s="634"/>
      <c r="CN92" s="784"/>
      <c r="CO92" s="784"/>
      <c r="CP92" s="784"/>
      <c r="CQ92" s="634"/>
      <c r="CR92" s="102"/>
      <c r="CS92" s="784"/>
      <c r="CT92" s="784"/>
      <c r="CU92" s="784"/>
      <c r="CV92" s="784"/>
      <c r="CW92" s="634"/>
      <c r="CX92" s="102"/>
      <c r="CY92" s="784"/>
      <c r="CZ92" s="784"/>
      <c r="DA92" s="784"/>
      <c r="DB92" s="784"/>
      <c r="DC92" s="784"/>
      <c r="DD92" s="784"/>
      <c r="DE92" s="634"/>
      <c r="DF92" s="934"/>
      <c r="DG92" s="634"/>
      <c r="DH92" s="102"/>
      <c r="DI92" s="802"/>
      <c r="DJ92" s="779"/>
      <c r="DK92" s="771"/>
      <c r="DL92" s="854"/>
      <c r="DM92" s="779"/>
      <c r="DN92" s="933"/>
      <c r="DO92" s="779"/>
      <c r="DP92" s="779"/>
      <c r="DQ92" s="787"/>
      <c r="DR92" s="779"/>
      <c r="DS92" s="779"/>
      <c r="DT92" s="779"/>
      <c r="DU92" s="779"/>
      <c r="DV92" s="779"/>
      <c r="DW92" s="802"/>
      <c r="DX92" s="788"/>
      <c r="DY92" s="2246"/>
      <c r="DZ92" s="2288"/>
      <c r="EA92" s="2231"/>
      <c r="EB92" s="187"/>
      <c r="EC92" s="2232"/>
      <c r="ED92" s="187"/>
      <c r="EE92" s="187"/>
      <c r="EF92" s="2232"/>
      <c r="EG92" s="245"/>
      <c r="EH92" s="2232"/>
      <c r="EI92" s="187"/>
      <c r="EJ92" s="2232"/>
      <c r="EK92" s="187"/>
      <c r="EL92" s="2232"/>
      <c r="EM92" s="195"/>
      <c r="EN92" s="2232"/>
      <c r="EO92" s="278"/>
      <c r="EP92" s="2232"/>
      <c r="EQ92" s="187"/>
      <c r="ER92" s="2232"/>
      <c r="ES92" s="187"/>
      <c r="ET92" s="2232"/>
      <c r="EU92" s="187">
        <f t="shared" si="32"/>
        <v>0</v>
      </c>
      <c r="EV92" s="2232"/>
      <c r="EW92" s="187"/>
      <c r="EX92" s="2232"/>
      <c r="EY92" s="278"/>
      <c r="EZ92" s="2232"/>
      <c r="FA92" s="278"/>
      <c r="FB92" s="2232"/>
      <c r="FC92" s="278"/>
      <c r="FD92" s="2232"/>
      <c r="FE92" s="278"/>
      <c r="FF92" s="2232"/>
      <c r="FG92" s="278"/>
      <c r="FH92" s="2232"/>
      <c r="FI92" s="278"/>
      <c r="FJ92" s="2232"/>
      <c r="FK92" s="278"/>
      <c r="FL92" s="2232"/>
      <c r="FM92" s="187"/>
      <c r="FN92" s="2232"/>
      <c r="FO92" s="187"/>
      <c r="FP92" s="2232"/>
      <c r="FQ92" s="187"/>
      <c r="FR92" s="190"/>
      <c r="FS92" s="195"/>
      <c r="FT92" s="789"/>
      <c r="FU92" s="789"/>
      <c r="FV92" s="789"/>
      <c r="FW92" s="789"/>
      <c r="FX92" s="789"/>
      <c r="FY92" s="789"/>
      <c r="FZ92" s="789"/>
      <c r="GA92" s="789"/>
      <c r="GB92" s="2289"/>
      <c r="GC92" s="776"/>
    </row>
    <row r="93" spans="1:202" s="228" customFormat="1" ht="18.75">
      <c r="A93" s="216"/>
      <c r="B93" s="216">
        <v>33</v>
      </c>
      <c r="C93" s="918" t="s">
        <v>703</v>
      </c>
      <c r="D93" s="218">
        <v>2854</v>
      </c>
      <c r="E93" s="218">
        <v>39</v>
      </c>
      <c r="F93" s="897">
        <v>2028540039</v>
      </c>
      <c r="G93" s="922">
        <v>7500</v>
      </c>
      <c r="H93" s="218" t="s">
        <v>726</v>
      </c>
      <c r="I93" s="222" t="s">
        <v>706</v>
      </c>
      <c r="J93" s="218">
        <v>0.67</v>
      </c>
      <c r="K93" s="218">
        <v>3.44</v>
      </c>
      <c r="L93" s="218">
        <v>0</v>
      </c>
      <c r="M93" s="218">
        <v>4.8</v>
      </c>
      <c r="N93" s="220">
        <v>5000</v>
      </c>
      <c r="O93" s="220">
        <v>0</v>
      </c>
      <c r="P93" s="220">
        <v>0</v>
      </c>
      <c r="Q93" s="220">
        <v>5000</v>
      </c>
      <c r="R93" s="223">
        <v>0</v>
      </c>
      <c r="S93" s="898" t="s">
        <v>863</v>
      </c>
      <c r="T93" s="234">
        <f>U93</f>
        <v>0</v>
      </c>
      <c r="U93" s="228">
        <v>0</v>
      </c>
      <c r="V93" s="234">
        <f>W93</f>
        <v>5000</v>
      </c>
      <c r="W93" s="228">
        <f>N93</f>
        <v>5000</v>
      </c>
      <c r="Y93" s="228">
        <f>W93-AA93</f>
        <v>0</v>
      </c>
      <c r="Z93" s="234">
        <f>AA93</f>
        <v>5000</v>
      </c>
      <c r="AA93" s="228">
        <v>5000</v>
      </c>
      <c r="AB93" s="234">
        <f>AC93</f>
        <v>0</v>
      </c>
      <c r="AC93" s="228">
        <v>0</v>
      </c>
      <c r="AD93" s="234">
        <f>AE93</f>
        <v>0</v>
      </c>
      <c r="AE93" s="228">
        <v>0</v>
      </c>
      <c r="AF93" s="228">
        <v>0</v>
      </c>
      <c r="AG93" s="228">
        <v>0</v>
      </c>
      <c r="AH93" s="228">
        <v>0</v>
      </c>
      <c r="AI93" s="234">
        <f>AJ93</f>
        <v>0</v>
      </c>
      <c r="AJ93" s="228">
        <v>0</v>
      </c>
      <c r="AK93" s="234">
        <f>AL93</f>
        <v>0</v>
      </c>
      <c r="AL93" s="228">
        <f>W93-(AA93+AC93+AE93+AH93+AJ93+AM93+AW93+AO93+AQ93+AS93+AU93)</f>
        <v>0</v>
      </c>
      <c r="AM93" s="905">
        <v>0</v>
      </c>
      <c r="AN93" s="234">
        <f>AO93</f>
        <v>0</v>
      </c>
      <c r="AO93" s="228">
        <v>0</v>
      </c>
      <c r="AP93" s="234">
        <f>AQ93</f>
        <v>0</v>
      </c>
      <c r="AQ93" s="228">
        <v>0</v>
      </c>
      <c r="AR93" s="234">
        <f>AS93</f>
        <v>0</v>
      </c>
      <c r="AS93" s="228">
        <v>0</v>
      </c>
      <c r="AT93" s="234">
        <f>AU93</f>
        <v>0</v>
      </c>
      <c r="AU93" s="228">
        <v>0</v>
      </c>
      <c r="AV93" s="234">
        <f>AW93</f>
        <v>0</v>
      </c>
      <c r="AW93" s="228">
        <f>AX93+AY93+AZ93+BA93+BB93</f>
        <v>0</v>
      </c>
      <c r="AX93" s="228">
        <v>0</v>
      </c>
      <c r="AY93" s="228">
        <v>0</v>
      </c>
      <c r="AZ93" s="228">
        <v>0</v>
      </c>
      <c r="BA93" s="228">
        <v>0</v>
      </c>
      <c r="BB93" s="228">
        <v>0</v>
      </c>
      <c r="BC93" s="228">
        <v>0</v>
      </c>
      <c r="BD93" s="234">
        <f>BE93</f>
        <v>5000</v>
      </c>
      <c r="BE93" s="228">
        <f>ROUND(U93+W93,0)</f>
        <v>5000</v>
      </c>
      <c r="BF93" s="234">
        <f>BG93</f>
        <v>0</v>
      </c>
      <c r="BG93" s="228">
        <f>ROUND(U93/'[1]Projected Development Sites'!DF$134,0)</f>
        <v>0</v>
      </c>
      <c r="BH93" s="234">
        <f>BI93</f>
        <v>0</v>
      </c>
      <c r="BI93" s="228">
        <f>'[1]Projected Development Sites'!BG$135*BG93</f>
        <v>0</v>
      </c>
      <c r="BJ93" s="122">
        <f t="shared" si="38"/>
        <v>0</v>
      </c>
      <c r="BK93" s="928">
        <f>ROUND((Y93+AC93+AA93)/1000*3,0)+ROUND((AE93+AU93)/1000,0)+ROUND((ROUND(AH93/400,0))/2.67,0)+ROUND(AM93/250,0)+ROUND(AO93/15000,0)+ROUND((AX93+AY93+AZ93+BB93)/1000*3,0)+ROUND(BG93/25,0)+ROUND('A-App Potential sites'!BU342/50,0)</f>
        <v>15</v>
      </c>
      <c r="BL93" s="228">
        <v>0</v>
      </c>
      <c r="BM93" s="228">
        <v>0</v>
      </c>
      <c r="BN93" s="228">
        <v>0</v>
      </c>
      <c r="BO93" s="228">
        <f>AC93/1000</f>
        <v>0</v>
      </c>
      <c r="BP93" s="228">
        <f>((AH93/400)/12)</f>
        <v>0</v>
      </c>
      <c r="BQ93" s="228">
        <f>IFERROR(VLOOKUP(F93,#REF!,3,FALSE),0)</f>
        <v>0</v>
      </c>
      <c r="BR93" s="228">
        <v>0</v>
      </c>
      <c r="BS93" s="228">
        <f>IF(BB93&gt;0,"Calculate",0)</f>
        <v>0</v>
      </c>
      <c r="BT93" s="234">
        <f>BU93</f>
        <v>0</v>
      </c>
      <c r="BU93" s="228">
        <f>SUM(BL93:BS93)</f>
        <v>0</v>
      </c>
      <c r="BV93" s="929">
        <v>15</v>
      </c>
      <c r="BW93" s="228" t="s">
        <v>729</v>
      </c>
      <c r="BX93" s="228">
        <v>7.2</v>
      </c>
      <c r="BY93" s="228">
        <v>3.4</v>
      </c>
      <c r="BZ93" s="228">
        <v>6.5</v>
      </c>
      <c r="CA93" s="901"/>
      <c r="CB93" s="230" t="s">
        <v>864</v>
      </c>
      <c r="CC93" s="399">
        <f>(BX93*G93)-CF93</f>
        <v>40125</v>
      </c>
      <c r="CD93" s="399">
        <v>40125</v>
      </c>
      <c r="CE93" s="234">
        <f>CF93</f>
        <v>13875</v>
      </c>
      <c r="CF93" s="902">
        <f>2*(G93)-(0.15*1*(G93))</f>
        <v>13875</v>
      </c>
      <c r="CG93" s="234">
        <f>CH93</f>
        <v>0</v>
      </c>
      <c r="CH93" s="902">
        <f>CF93-CJ93</f>
        <v>0</v>
      </c>
      <c r="CI93" s="234">
        <f>CJ93</f>
        <v>13875</v>
      </c>
      <c r="CJ93" s="111">
        <f>CF93</f>
        <v>13875</v>
      </c>
      <c r="CK93" s="234">
        <f>CL93</f>
        <v>0</v>
      </c>
      <c r="CL93" s="111">
        <v>0</v>
      </c>
      <c r="CM93" s="234">
        <f>CN93</f>
        <v>0</v>
      </c>
      <c r="CN93" s="111">
        <f>CF93-(CJ93+CL93+CO93+CP93+CR93+CU93+CV93+CX93)</f>
        <v>0</v>
      </c>
      <c r="CO93" s="903">
        <v>0</v>
      </c>
      <c r="CP93" s="903">
        <v>0</v>
      </c>
      <c r="CQ93" s="234">
        <f>CR93</f>
        <v>0</v>
      </c>
      <c r="CR93" s="111">
        <v>0</v>
      </c>
      <c r="CS93" s="903">
        <v>0</v>
      </c>
      <c r="CT93" s="903">
        <v>0</v>
      </c>
      <c r="CU93" s="903">
        <v>0</v>
      </c>
      <c r="CV93" s="903">
        <v>0</v>
      </c>
      <c r="CW93" s="234">
        <f>CX93</f>
        <v>0</v>
      </c>
      <c r="CX93" s="111">
        <f>SUM(CY93:DC93)</f>
        <v>0</v>
      </c>
      <c r="CY93" s="903">
        <v>0</v>
      </c>
      <c r="CZ93" s="903">
        <v>0</v>
      </c>
      <c r="DA93" s="903">
        <v>0</v>
      </c>
      <c r="DB93" s="903">
        <v>0</v>
      </c>
      <c r="DC93" s="903">
        <v>0</v>
      </c>
      <c r="DD93" s="903"/>
      <c r="DE93" s="234">
        <f>DF93</f>
        <v>54000</v>
      </c>
      <c r="DF93" s="111">
        <f>CC93+CF93+CV93+CX93</f>
        <v>54000</v>
      </c>
      <c r="DG93" s="234">
        <f>DH93</f>
        <v>40.125</v>
      </c>
      <c r="DH93" s="111">
        <f>CC93/1000</f>
        <v>40.125</v>
      </c>
      <c r="DI93" s="886">
        <f>DJ93</f>
        <v>40.125</v>
      </c>
      <c r="DJ93" s="899">
        <f>DH93</f>
        <v>40.125</v>
      </c>
      <c r="DK93" s="771">
        <f>3.06*DH93</f>
        <v>122.7825</v>
      </c>
      <c r="DL93" s="924">
        <f>ROUND((CN93+CL93+CJ93)/1000*3,0)+ROUND((ROUND(CP93/400,0))/2.67,0)+ROUND(CV93/1000,0)+ROUND((CY93+CZ93+DA93+DC93)/1000*3,0)+ROUND(DH93/25,0)+ROUND(DX93/50,0)</f>
        <v>44</v>
      </c>
      <c r="DM93" s="899">
        <v>0</v>
      </c>
      <c r="DN93" s="925">
        <v>0</v>
      </c>
      <c r="DO93" s="899">
        <v>0</v>
      </c>
      <c r="DP93" s="899">
        <f>DJ93*0.25</f>
        <v>10.03125</v>
      </c>
      <c r="DQ93" s="905">
        <f>SUM(CO93,CJ93,CN93,CR93,CU93)/1000</f>
        <v>13.875</v>
      </c>
      <c r="DR93" s="899">
        <f>CL93/1000</f>
        <v>0</v>
      </c>
      <c r="DS93" s="899">
        <f>((CP93/400)/12)</f>
        <v>0</v>
      </c>
      <c r="DT93" s="899">
        <v>0</v>
      </c>
      <c r="DU93" s="899">
        <v>0</v>
      </c>
      <c r="DV93" s="899">
        <f>IF(CX93&gt;0,"Calculate",0)</f>
        <v>0</v>
      </c>
      <c r="DW93" s="886">
        <f>DX93</f>
        <v>13.875</v>
      </c>
      <c r="DX93" s="906">
        <f>DN93+DO93+DQ93+DR93+DS93+DT93+DU93+DV93</f>
        <v>13.875</v>
      </c>
      <c r="DY93" s="234">
        <v>165</v>
      </c>
      <c r="DZ93" s="2288">
        <f>CD93-T93</f>
        <v>40125</v>
      </c>
      <c r="EA93" s="2231">
        <f>CE93-V93</f>
        <v>8875</v>
      </c>
      <c r="EB93" s="187">
        <f>CF93-W93</f>
        <v>8875</v>
      </c>
      <c r="EC93" s="235">
        <f>ED93</f>
        <v>8875</v>
      </c>
      <c r="ED93" s="187">
        <v>8875</v>
      </c>
      <c r="EE93" s="187">
        <f>(SUM(CJ93:CO93))-(SUM(AA93:AE93,AL93))</f>
        <v>8875</v>
      </c>
      <c r="EF93" s="235">
        <f>EG93</f>
        <v>0</v>
      </c>
      <c r="EG93" s="187">
        <v>0</v>
      </c>
      <c r="EH93" s="235">
        <f>EI93</f>
        <v>0</v>
      </c>
      <c r="EI93" s="187">
        <f>CL93-AC93</f>
        <v>0</v>
      </c>
      <c r="EJ93" s="235">
        <f>EK93</f>
        <v>8875</v>
      </c>
      <c r="EK93" s="187">
        <f>CJ93-AA93</f>
        <v>8875</v>
      </c>
      <c r="EL93" s="235">
        <f>EM93</f>
        <v>0</v>
      </c>
      <c r="EM93" s="245">
        <f>CO93-AE93</f>
        <v>0</v>
      </c>
      <c r="EN93" s="235">
        <f>EO93</f>
        <v>0</v>
      </c>
      <c r="EO93" s="269">
        <f>CP93-AH93</f>
        <v>0</v>
      </c>
      <c r="EP93" s="235">
        <f>EQ93</f>
        <v>0</v>
      </c>
      <c r="EQ93" s="187">
        <f>CR93-AJ93</f>
        <v>0</v>
      </c>
      <c r="ER93" s="235">
        <f>ES93</f>
        <v>0</v>
      </c>
      <c r="ES93" s="187">
        <f>CS93-AO93</f>
        <v>0</v>
      </c>
      <c r="ET93" s="235">
        <f>EU93</f>
        <v>0</v>
      </c>
      <c r="EU93" s="187">
        <f t="shared" si="32"/>
        <v>0</v>
      </c>
      <c r="EV93" s="235">
        <f>EW93</f>
        <v>0</v>
      </c>
      <c r="EW93" s="187">
        <f>CU93-AS93</f>
        <v>0</v>
      </c>
      <c r="EX93" s="235">
        <f>EY93</f>
        <v>0</v>
      </c>
      <c r="EY93" s="269">
        <f>CV93-AU93</f>
        <v>0</v>
      </c>
      <c r="EZ93" s="235">
        <f>FA93</f>
        <v>0</v>
      </c>
      <c r="FA93" s="269">
        <f>CY93-AX93</f>
        <v>0</v>
      </c>
      <c r="FB93" s="235">
        <f>FC93</f>
        <v>0</v>
      </c>
      <c r="FC93" s="269">
        <f>CZ93-AY93</f>
        <v>0</v>
      </c>
      <c r="FD93" s="235">
        <f>FE93</f>
        <v>0</v>
      </c>
      <c r="FE93" s="269">
        <f>DA93-AZ93</f>
        <v>0</v>
      </c>
      <c r="FF93" s="235">
        <f>FG93</f>
        <v>0</v>
      </c>
      <c r="FG93" s="269">
        <f>DB93-BA93</f>
        <v>0</v>
      </c>
      <c r="FH93" s="235">
        <f>FI93</f>
        <v>0</v>
      </c>
      <c r="FI93" s="269">
        <f>DC93-BB93</f>
        <v>0</v>
      </c>
      <c r="FJ93" s="235">
        <f>FK93</f>
        <v>0</v>
      </c>
      <c r="FK93" s="269">
        <f>CX93-AW93</f>
        <v>0</v>
      </c>
      <c r="FL93" s="235">
        <f>FM93</f>
        <v>49000</v>
      </c>
      <c r="FM93" s="187">
        <f>DF93-BE93</f>
        <v>49000</v>
      </c>
      <c r="FN93" s="235">
        <f>FO93</f>
        <v>40.125</v>
      </c>
      <c r="FO93" s="187">
        <f>DH93-BG93</f>
        <v>40.125</v>
      </c>
      <c r="FP93" s="235">
        <f>FQ93</f>
        <v>40.125</v>
      </c>
      <c r="FQ93" s="187">
        <f>DJ93-BI93</f>
        <v>40.125</v>
      </c>
      <c r="FR93" s="190">
        <f>DK93-BJ93</f>
        <v>122.7825</v>
      </c>
      <c r="FS93" s="245">
        <f>DL93-BK93</f>
        <v>29</v>
      </c>
      <c r="FT93" s="907">
        <f>DM93-BL93</f>
        <v>0</v>
      </c>
      <c r="FU93" s="907">
        <f>DR93-BO93</f>
        <v>0</v>
      </c>
      <c r="FV93" s="907"/>
      <c r="FW93" s="907">
        <f>DQ93-BN93</f>
        <v>13.875</v>
      </c>
      <c r="FX93" s="907">
        <f>DS93-BP93</f>
        <v>0</v>
      </c>
      <c r="FY93" s="907">
        <f>DT93-BQ93</f>
        <v>0</v>
      </c>
      <c r="FZ93" s="907">
        <f>DU93-BR93</f>
        <v>0</v>
      </c>
      <c r="GA93" s="907">
        <f>DV93-BS93</f>
        <v>0</v>
      </c>
      <c r="GB93" s="894">
        <f>GC93</f>
        <v>13.875</v>
      </c>
      <c r="GC93" s="776">
        <f t="shared" si="33"/>
        <v>13.875</v>
      </c>
      <c r="GD93" s="139"/>
      <c r="GE93" s="139"/>
      <c r="GF93" s="139"/>
      <c r="GG93" s="139"/>
      <c r="GH93" s="139"/>
      <c r="GI93" s="139"/>
      <c r="GJ93" s="139"/>
      <c r="GK93" s="139"/>
      <c r="GL93" s="139"/>
      <c r="GM93" s="139"/>
      <c r="GN93" s="139"/>
      <c r="GO93" s="139"/>
      <c r="GP93" s="139"/>
      <c r="GQ93" s="139"/>
      <c r="GR93" s="139"/>
      <c r="GS93" s="139"/>
      <c r="GT93" s="139"/>
    </row>
    <row r="94" spans="1:202" s="139" customFormat="1" ht="18.75">
      <c r="A94" s="2263"/>
      <c r="B94" s="2263"/>
      <c r="C94" s="132"/>
      <c r="D94" s="132"/>
      <c r="E94" s="132"/>
      <c r="F94" s="777"/>
      <c r="G94" s="137"/>
      <c r="H94" s="132"/>
      <c r="I94" s="136"/>
      <c r="J94" s="132"/>
      <c r="K94" s="132"/>
      <c r="L94" s="132"/>
      <c r="M94" s="132"/>
      <c r="N94" s="134"/>
      <c r="O94" s="134"/>
      <c r="P94" s="134"/>
      <c r="Q94" s="134"/>
      <c r="R94" s="137"/>
      <c r="S94" s="778"/>
      <c r="T94" s="634"/>
      <c r="U94" s="102"/>
      <c r="V94" s="634"/>
      <c r="W94" s="102"/>
      <c r="X94" s="102"/>
      <c r="Y94" s="102"/>
      <c r="Z94" s="634"/>
      <c r="AA94" s="102"/>
      <c r="AB94" s="634"/>
      <c r="AC94" s="102"/>
      <c r="AD94" s="634"/>
      <c r="AE94" s="102"/>
      <c r="AF94" s="102"/>
      <c r="AG94" s="102"/>
      <c r="AH94" s="102"/>
      <c r="AI94" s="634"/>
      <c r="AJ94" s="102"/>
      <c r="AK94" s="634"/>
      <c r="AL94" s="102"/>
      <c r="AM94" s="779"/>
      <c r="AN94" s="634"/>
      <c r="AO94" s="102"/>
      <c r="AP94" s="634"/>
      <c r="AQ94" s="102"/>
      <c r="AR94" s="634"/>
      <c r="AS94" s="102"/>
      <c r="AT94" s="634"/>
      <c r="AU94" s="102"/>
      <c r="AV94" s="634"/>
      <c r="AW94" s="102"/>
      <c r="AX94" s="102"/>
      <c r="AY94" s="102"/>
      <c r="AZ94" s="102"/>
      <c r="BA94" s="102"/>
      <c r="BB94" s="102"/>
      <c r="BC94" s="102"/>
      <c r="BD94" s="634"/>
      <c r="BE94" s="102"/>
      <c r="BF94" s="634"/>
      <c r="BG94" s="102"/>
      <c r="BH94" s="634"/>
      <c r="BI94" s="102"/>
      <c r="BJ94" s="122"/>
      <c r="BK94" s="186"/>
      <c r="BL94" s="102"/>
      <c r="BM94" s="102"/>
      <c r="BN94" s="102"/>
      <c r="BO94" s="102"/>
      <c r="BP94" s="102"/>
      <c r="BQ94" s="102"/>
      <c r="BR94" s="102"/>
      <c r="BS94" s="102"/>
      <c r="BT94" s="634"/>
      <c r="BU94" s="102"/>
      <c r="BW94" s="780"/>
      <c r="CA94" s="781"/>
      <c r="CB94" s="2258"/>
      <c r="CC94" s="782"/>
      <c r="CD94" s="782"/>
      <c r="CE94" s="634"/>
      <c r="CF94" s="783"/>
      <c r="CG94" s="634"/>
      <c r="CH94" s="783"/>
      <c r="CI94" s="634"/>
      <c r="CK94" s="634"/>
      <c r="CM94" s="634"/>
      <c r="CN94" s="784"/>
      <c r="CO94" s="784"/>
      <c r="CP94" s="784"/>
      <c r="CQ94" s="634"/>
      <c r="CR94" s="102"/>
      <c r="CS94" s="784"/>
      <c r="CT94" s="784"/>
      <c r="CU94" s="784"/>
      <c r="CV94" s="784"/>
      <c r="CW94" s="634"/>
      <c r="CX94" s="102"/>
      <c r="CY94" s="784"/>
      <c r="CZ94" s="784"/>
      <c r="DA94" s="784"/>
      <c r="DB94" s="784"/>
      <c r="DC94" s="784"/>
      <c r="DD94" s="784"/>
      <c r="DE94" s="634"/>
      <c r="DF94" s="784"/>
      <c r="DG94" s="634"/>
      <c r="DH94" s="296"/>
      <c r="DI94" s="802"/>
      <c r="DJ94" s="785"/>
      <c r="DK94" s="771"/>
      <c r="DL94" s="772"/>
      <c r="DM94" s="787"/>
      <c r="DN94" s="787"/>
      <c r="DO94" s="787"/>
      <c r="DP94" s="787"/>
      <c r="DQ94" s="787"/>
      <c r="DR94" s="787"/>
      <c r="DS94" s="787"/>
      <c r="DT94" s="787"/>
      <c r="DU94" s="787"/>
      <c r="DV94" s="787"/>
      <c r="DW94" s="802"/>
      <c r="DX94" s="788"/>
      <c r="DY94" s="634"/>
      <c r="DZ94" s="2288"/>
      <c r="EA94" s="2231"/>
      <c r="EB94" s="187"/>
      <c r="EC94" s="2232"/>
      <c r="ED94" s="187"/>
      <c r="EE94" s="187"/>
      <c r="EF94" s="2232"/>
      <c r="EG94" s="187"/>
      <c r="EH94" s="2232"/>
      <c r="EI94" s="187"/>
      <c r="EJ94" s="2232"/>
      <c r="EK94" s="187"/>
      <c r="EL94" s="2232"/>
      <c r="EM94" s="195"/>
      <c r="EN94" s="2232"/>
      <c r="EO94" s="195"/>
      <c r="EP94" s="2232"/>
      <c r="EQ94" s="187"/>
      <c r="ER94" s="2232"/>
      <c r="ES94" s="187"/>
      <c r="ET94" s="2232"/>
      <c r="EU94" s="187">
        <f t="shared" si="32"/>
        <v>0</v>
      </c>
      <c r="EV94" s="2232"/>
      <c r="EW94" s="187"/>
      <c r="EX94" s="2232"/>
      <c r="EY94" s="195"/>
      <c r="EZ94" s="2232"/>
      <c r="FA94" s="195"/>
      <c r="FB94" s="2232"/>
      <c r="FC94" s="195"/>
      <c r="FD94" s="2232"/>
      <c r="FE94" s="195"/>
      <c r="FF94" s="2232"/>
      <c r="FG94" s="195"/>
      <c r="FH94" s="2232"/>
      <c r="FI94" s="195"/>
      <c r="FJ94" s="2232"/>
      <c r="FK94" s="195"/>
      <c r="FL94" s="2232"/>
      <c r="FM94" s="187"/>
      <c r="FN94" s="2232"/>
      <c r="FO94" s="187"/>
      <c r="FP94" s="2232"/>
      <c r="FQ94" s="187"/>
      <c r="FR94" s="195"/>
      <c r="FS94" s="195"/>
      <c r="FT94" s="789"/>
      <c r="FU94" s="789"/>
      <c r="FV94" s="789"/>
      <c r="FW94" s="789"/>
      <c r="FX94" s="789"/>
      <c r="FY94" s="789"/>
      <c r="FZ94" s="789"/>
      <c r="GA94" s="789"/>
      <c r="GB94" s="2289"/>
      <c r="GC94" s="776"/>
    </row>
    <row r="95" spans="1:202" s="228" customFormat="1" ht="18.75">
      <c r="A95" s="216"/>
      <c r="B95" s="216">
        <v>34</v>
      </c>
      <c r="C95" s="918" t="s">
        <v>703</v>
      </c>
      <c r="D95" s="218">
        <v>2863</v>
      </c>
      <c r="E95" s="218">
        <v>46</v>
      </c>
      <c r="F95" s="218">
        <v>2028630046</v>
      </c>
      <c r="G95" s="223">
        <v>10833</v>
      </c>
      <c r="H95" s="218" t="s">
        <v>726</v>
      </c>
      <c r="I95" s="222" t="s">
        <v>706</v>
      </c>
      <c r="J95" s="218">
        <v>1.5</v>
      </c>
      <c r="K95" s="218">
        <v>4</v>
      </c>
      <c r="L95" s="218">
        <v>0</v>
      </c>
      <c r="M95" s="218">
        <v>4.8</v>
      </c>
      <c r="N95" s="220">
        <v>16200</v>
      </c>
      <c r="O95" s="220">
        <v>0</v>
      </c>
      <c r="P95" s="220">
        <v>4100</v>
      </c>
      <c r="Q95" s="220">
        <v>16200</v>
      </c>
      <c r="R95" s="223">
        <v>0</v>
      </c>
      <c r="S95" s="898" t="s">
        <v>695</v>
      </c>
      <c r="T95" s="234">
        <f>U95</f>
        <v>0</v>
      </c>
      <c r="U95" s="111">
        <f>Q95-N95</f>
        <v>0</v>
      </c>
      <c r="V95" s="234">
        <f>W95</f>
        <v>16200</v>
      </c>
      <c r="W95" s="111">
        <f>N95</f>
        <v>16200</v>
      </c>
      <c r="X95" s="111"/>
      <c r="Y95" s="111">
        <f>W95-AA95</f>
        <v>16200</v>
      </c>
      <c r="Z95" s="234">
        <f>AA95</f>
        <v>0</v>
      </c>
      <c r="AA95" s="111">
        <v>0</v>
      </c>
      <c r="AB95" s="234">
        <f>AC95</f>
        <v>0</v>
      </c>
      <c r="AC95" s="111">
        <v>0</v>
      </c>
      <c r="AD95" s="234">
        <f>AE95</f>
        <v>0</v>
      </c>
      <c r="AE95" s="111">
        <f>AF95+AG95</f>
        <v>0</v>
      </c>
      <c r="AF95" s="111">
        <v>0</v>
      </c>
      <c r="AG95" s="111">
        <v>0</v>
      </c>
      <c r="AH95" s="111">
        <v>0</v>
      </c>
      <c r="AI95" s="234">
        <f>AJ95</f>
        <v>4100</v>
      </c>
      <c r="AJ95" s="111">
        <f>P95</f>
        <v>4100</v>
      </c>
      <c r="AK95" s="234">
        <f>AL95</f>
        <v>8100</v>
      </c>
      <c r="AL95" s="111">
        <f>W95-(AA95+AC95+AE95+AH95+AJ95+AM95+AW95+AO95+AQ95+AS95+AU95)</f>
        <v>8100</v>
      </c>
      <c r="AM95" s="899">
        <v>0</v>
      </c>
      <c r="AN95" s="234">
        <f>AO95</f>
        <v>4000</v>
      </c>
      <c r="AO95" s="111">
        <v>4000</v>
      </c>
      <c r="AP95" s="234">
        <f>AQ95</f>
        <v>0</v>
      </c>
      <c r="AQ95" s="111">
        <v>0</v>
      </c>
      <c r="AR95" s="234">
        <f>AS95</f>
        <v>0</v>
      </c>
      <c r="AS95" s="111">
        <v>0</v>
      </c>
      <c r="AT95" s="234">
        <f>AU95</f>
        <v>0</v>
      </c>
      <c r="AU95" s="111">
        <v>0</v>
      </c>
      <c r="AV95" s="234">
        <f>AW95</f>
        <v>0</v>
      </c>
      <c r="AW95" s="111">
        <f>AX95+AY95+AZ95+BA95+BB95</f>
        <v>0</v>
      </c>
      <c r="AX95" s="111">
        <v>0</v>
      </c>
      <c r="AY95" s="111">
        <v>0</v>
      </c>
      <c r="AZ95" s="111">
        <v>0</v>
      </c>
      <c r="BA95" s="111">
        <v>0</v>
      </c>
      <c r="BB95" s="111">
        <v>0</v>
      </c>
      <c r="BC95" s="111">
        <v>0</v>
      </c>
      <c r="BD95" s="234">
        <f>BE95</f>
        <v>16200</v>
      </c>
      <c r="BE95" s="111">
        <f>U95+W95</f>
        <v>16200</v>
      </c>
      <c r="BF95" s="234">
        <f>BG95</f>
        <v>0</v>
      </c>
      <c r="BG95" s="111">
        <v>0</v>
      </c>
      <c r="BH95" s="234">
        <f>BI95</f>
        <v>0</v>
      </c>
      <c r="BI95" s="111">
        <f>'[1]Projected Development Sites'!BG$135*BG95</f>
        <v>0</v>
      </c>
      <c r="BJ95" s="122">
        <f t="shared" si="38"/>
        <v>0</v>
      </c>
      <c r="BK95" s="306">
        <f>ROUND((AL95+AC95+AA95)/1000*3,0)+ROUND((AE95+AU95)/1000,0)+ROUND((ROUND(AH95/400,0))/2.67,0)+ROUND(AJ95/250,0)+ROUND(AO95/15000,0)+ROUND((AX95+AY95+AZ95+BB95)/1000*3,0)+ROUND(BG95/25,0)+ROUND(BU95/50,0)</f>
        <v>40</v>
      </c>
      <c r="BL95" s="111">
        <v>0</v>
      </c>
      <c r="BM95" s="111">
        <v>0</v>
      </c>
      <c r="BN95" s="111">
        <v>0</v>
      </c>
      <c r="BO95" s="111">
        <v>0</v>
      </c>
      <c r="BP95" s="111">
        <v>0</v>
      </c>
      <c r="BQ95" s="111">
        <v>0</v>
      </c>
      <c r="BR95" s="111">
        <v>0</v>
      </c>
      <c r="BS95" s="111">
        <v>0</v>
      </c>
      <c r="BT95" s="234">
        <f>BU95</f>
        <v>0</v>
      </c>
      <c r="BU95" s="111">
        <v>0</v>
      </c>
      <c r="BV95" s="228">
        <v>30</v>
      </c>
      <c r="BW95" s="900" t="s">
        <v>729</v>
      </c>
      <c r="BX95" s="228">
        <v>7.2</v>
      </c>
      <c r="BY95" s="228">
        <v>3.4</v>
      </c>
      <c r="BZ95" s="228">
        <v>6.5</v>
      </c>
      <c r="CA95" s="901"/>
      <c r="CB95" s="230" t="s">
        <v>716</v>
      </c>
      <c r="CC95" s="399">
        <f>(BX95*G95)-CF95</f>
        <v>68789.55</v>
      </c>
      <c r="CD95" s="399">
        <v>68789.55</v>
      </c>
      <c r="CE95" s="234">
        <f>CF95</f>
        <v>9208.0499999999993</v>
      </c>
      <c r="CF95" s="902">
        <f>1*(G95)-(0.15*1*(G95))</f>
        <v>9208.0499999999993</v>
      </c>
      <c r="CG95" s="234">
        <f>CH95</f>
        <v>9208.0499999999993</v>
      </c>
      <c r="CH95" s="836">
        <f>CF95-CJ95</f>
        <v>9208.0499999999993</v>
      </c>
      <c r="CI95" s="234">
        <f>CJ95</f>
        <v>0</v>
      </c>
      <c r="CJ95" s="228">
        <v>0</v>
      </c>
      <c r="CK95" s="234">
        <f>CL95</f>
        <v>0</v>
      </c>
      <c r="CL95" s="228">
        <v>0</v>
      </c>
      <c r="CM95" s="234">
        <f>CN95</f>
        <v>9208.0499999999993</v>
      </c>
      <c r="CN95" s="903">
        <f>CF95-(CJ95+CL95+CO95+CP95+CR95+CU95+CV95+CX95)</f>
        <v>9208.0499999999993</v>
      </c>
      <c r="CO95" s="903">
        <v>0</v>
      </c>
      <c r="CP95" s="903">
        <v>0</v>
      </c>
      <c r="CQ95" s="234">
        <f>CR95</f>
        <v>0</v>
      </c>
      <c r="CR95" s="111">
        <v>0</v>
      </c>
      <c r="CS95" s="903">
        <v>0</v>
      </c>
      <c r="CT95" s="903">
        <v>0</v>
      </c>
      <c r="CU95" s="903">
        <v>0</v>
      </c>
      <c r="CV95" s="903">
        <v>0</v>
      </c>
      <c r="CW95" s="234">
        <f>CX95</f>
        <v>0</v>
      </c>
      <c r="CX95" s="111">
        <f>SUM(CY95:DC95)</f>
        <v>0</v>
      </c>
      <c r="CY95" s="903">
        <f>AX95</f>
        <v>0</v>
      </c>
      <c r="CZ95" s="903">
        <f>AY95</f>
        <v>0</v>
      </c>
      <c r="DA95" s="903">
        <f>AZ95</f>
        <v>0</v>
      </c>
      <c r="DB95" s="903">
        <f>BA95</f>
        <v>0</v>
      </c>
      <c r="DC95" s="903">
        <f>BB95</f>
        <v>0</v>
      </c>
      <c r="DD95" s="903"/>
      <c r="DE95" s="234">
        <f>DF95</f>
        <v>77997.600000000006</v>
      </c>
      <c r="DF95" s="903">
        <f>CC95+CF95</f>
        <v>77997.600000000006</v>
      </c>
      <c r="DG95" s="234">
        <f>DH95</f>
        <v>69</v>
      </c>
      <c r="DH95" s="228">
        <f>ROUND(CC95/'[1]Projected Development Sites'!DF$134,0)</f>
        <v>69</v>
      </c>
      <c r="DI95" s="886">
        <f>DJ95</f>
        <v>69</v>
      </c>
      <c r="DJ95" s="803">
        <f>'[1]Projected Development Sites'!DK$136*DH95</f>
        <v>69</v>
      </c>
      <c r="DK95" s="771">
        <f>3.06*DH95</f>
        <v>211.14000000000001</v>
      </c>
      <c r="DL95" s="772">
        <f>ROUND((CN95+CL95+CJ95)/1000*3,0)+ROUND((ROUND(CP95/400,0))/2.67,0)+ROUND(CV95/1000,0)+ROUND((CY95+CZ95+DA95+DC95)/1000*3,0)+ROUND(DH95/25,0)+ROUND(DX95/50,0)</f>
        <v>31</v>
      </c>
      <c r="DM95" s="905">
        <v>0</v>
      </c>
      <c r="DN95" s="905"/>
      <c r="DO95" s="905">
        <v>0</v>
      </c>
      <c r="DP95" s="905">
        <f>0.25*DJ95</f>
        <v>17.25</v>
      </c>
      <c r="DQ95" s="905">
        <f>SUM(CO95,CJ95,CN95,CR95,CU95)/1000</f>
        <v>9.2080500000000001</v>
      </c>
      <c r="DR95" s="905">
        <f>CL95/1000</f>
        <v>0</v>
      </c>
      <c r="DS95" s="905">
        <f>((CP95/400)/12)</f>
        <v>0</v>
      </c>
      <c r="DT95" s="905">
        <v>0</v>
      </c>
      <c r="DU95" s="905">
        <v>0</v>
      </c>
      <c r="DV95" s="905">
        <f>CX95/1000</f>
        <v>0</v>
      </c>
      <c r="DW95" s="886">
        <f>DX95</f>
        <v>9.2080500000000001</v>
      </c>
      <c r="DX95" s="906">
        <f>SUM(DM95,DO95,DQ95:DV95)</f>
        <v>9.2080500000000001</v>
      </c>
      <c r="DY95" s="837">
        <v>165</v>
      </c>
      <c r="DZ95" s="2288">
        <f>CD95-T95</f>
        <v>68789.55</v>
      </c>
      <c r="EA95" s="2231">
        <f>CE95-V95</f>
        <v>-6991.9500000000007</v>
      </c>
      <c r="EB95" s="187">
        <f>CF95-W95</f>
        <v>-6991.9500000000007</v>
      </c>
      <c r="EC95" s="235">
        <f>ED95</f>
        <v>1108.0499999999993</v>
      </c>
      <c r="ED95" s="187">
        <v>1108.0499999999993</v>
      </c>
      <c r="EE95" s="187">
        <f>(SUM(CJ95:CO95))-(SUM(AA95:AE95,AL95))</f>
        <v>10316.099999999999</v>
      </c>
      <c r="EF95" s="235">
        <f>EG95</f>
        <v>1108.0499999999993</v>
      </c>
      <c r="EG95" s="245">
        <v>1108.0499999999993</v>
      </c>
      <c r="EH95" s="235">
        <f>EI95</f>
        <v>0</v>
      </c>
      <c r="EI95" s="187">
        <f>CL95-AC95</f>
        <v>0</v>
      </c>
      <c r="EJ95" s="235">
        <f>EK95</f>
        <v>0</v>
      </c>
      <c r="EK95" s="187">
        <f>CJ95-AA95</f>
        <v>0</v>
      </c>
      <c r="EL95" s="235">
        <f>EM95</f>
        <v>0</v>
      </c>
      <c r="EM95" s="245">
        <f>CO95-AE95</f>
        <v>0</v>
      </c>
      <c r="EN95" s="235">
        <f>EO95</f>
        <v>0</v>
      </c>
      <c r="EO95" s="245">
        <f>CP95-AH95</f>
        <v>0</v>
      </c>
      <c r="EP95" s="235">
        <f>EQ95</f>
        <v>-4100</v>
      </c>
      <c r="EQ95" s="187">
        <f>CR95-AJ95</f>
        <v>-4100</v>
      </c>
      <c r="ER95" s="235">
        <f>ES95</f>
        <v>-4000</v>
      </c>
      <c r="ES95" s="187">
        <f>CS95-AO95</f>
        <v>-4000</v>
      </c>
      <c r="ET95" s="235">
        <f>EU95</f>
        <v>0</v>
      </c>
      <c r="EU95" s="187">
        <f t="shared" si="32"/>
        <v>0</v>
      </c>
      <c r="EV95" s="235">
        <f>EW95</f>
        <v>0</v>
      </c>
      <c r="EW95" s="187">
        <f>CU95-AS95</f>
        <v>0</v>
      </c>
      <c r="EX95" s="235">
        <f>EY95</f>
        <v>0</v>
      </c>
      <c r="EY95" s="245">
        <f>CV95-AU95</f>
        <v>0</v>
      </c>
      <c r="EZ95" s="235">
        <f>FA95</f>
        <v>0</v>
      </c>
      <c r="FA95" s="245">
        <f>CY95-AX95</f>
        <v>0</v>
      </c>
      <c r="FB95" s="235">
        <f>FC95</f>
        <v>0</v>
      </c>
      <c r="FC95" s="245">
        <f>CZ95-AY95</f>
        <v>0</v>
      </c>
      <c r="FD95" s="235">
        <f>FE95</f>
        <v>0</v>
      </c>
      <c r="FE95" s="245">
        <f>DA95-AZ95</f>
        <v>0</v>
      </c>
      <c r="FF95" s="235">
        <f>FG95</f>
        <v>0</v>
      </c>
      <c r="FG95" s="245">
        <f>DB95-BA95</f>
        <v>0</v>
      </c>
      <c r="FH95" s="235">
        <f>FI95</f>
        <v>0</v>
      </c>
      <c r="FI95" s="245">
        <f>DC95-BB95</f>
        <v>0</v>
      </c>
      <c r="FJ95" s="235">
        <f>FK95</f>
        <v>0</v>
      </c>
      <c r="FK95" s="245">
        <f>CX95-AW95</f>
        <v>0</v>
      </c>
      <c r="FL95" s="235">
        <f>FM95</f>
        <v>61797.600000000006</v>
      </c>
      <c r="FM95" s="187">
        <f>DF95-BE95</f>
        <v>61797.600000000006</v>
      </c>
      <c r="FN95" s="235">
        <f>FO95</f>
        <v>69</v>
      </c>
      <c r="FO95" s="187">
        <f>DH95-BG95</f>
        <v>69</v>
      </c>
      <c r="FP95" s="235">
        <f>FQ95</f>
        <v>69</v>
      </c>
      <c r="FQ95" s="187">
        <f>DJ95-BI95</f>
        <v>69</v>
      </c>
      <c r="FR95" s="245">
        <f>DK95-BJ95</f>
        <v>211.14000000000001</v>
      </c>
      <c r="FS95" s="245">
        <f>DL95-BK95</f>
        <v>-9</v>
      </c>
      <c r="FT95" s="907">
        <f>DM95-BL95</f>
        <v>0</v>
      </c>
      <c r="FU95" s="907">
        <f>DR95-BO95</f>
        <v>0</v>
      </c>
      <c r="FV95" s="907">
        <f>DO95-BM95</f>
        <v>0</v>
      </c>
      <c r="FW95" s="907">
        <f>DQ95-BN95</f>
        <v>9.2080500000000001</v>
      </c>
      <c r="FX95" s="907">
        <f>DS95-BP95</f>
        <v>0</v>
      </c>
      <c r="FY95" s="907">
        <f>DT95-BQ95</f>
        <v>0</v>
      </c>
      <c r="FZ95" s="907">
        <f>DU95-BR95</f>
        <v>0</v>
      </c>
      <c r="GA95" s="907">
        <f>DV95-BS95</f>
        <v>0</v>
      </c>
      <c r="GB95" s="894">
        <f>GC95</f>
        <v>9.2080500000000001</v>
      </c>
      <c r="GC95" s="776">
        <f t="shared" si="33"/>
        <v>9.2080500000000001</v>
      </c>
      <c r="GD95" s="139"/>
      <c r="GE95" s="139"/>
      <c r="GF95" s="139"/>
      <c r="GG95" s="139"/>
      <c r="GH95" s="139"/>
      <c r="GI95" s="139"/>
      <c r="GJ95" s="139"/>
      <c r="GK95" s="139"/>
      <c r="GL95" s="139"/>
      <c r="GM95" s="139"/>
      <c r="GN95" s="139"/>
      <c r="GO95" s="139"/>
      <c r="GP95" s="139"/>
      <c r="GQ95" s="139"/>
      <c r="GR95" s="139"/>
      <c r="GS95" s="139"/>
      <c r="GT95" s="139"/>
    </row>
    <row r="96" spans="1:202" s="139" customFormat="1" ht="18.75">
      <c r="A96" s="2263"/>
      <c r="B96" s="2263"/>
      <c r="C96" s="913"/>
      <c r="D96" s="132"/>
      <c r="E96" s="132"/>
      <c r="F96" s="132"/>
      <c r="G96" s="137"/>
      <c r="H96" s="132"/>
      <c r="I96" s="136"/>
      <c r="J96" s="132"/>
      <c r="K96" s="132"/>
      <c r="L96" s="132"/>
      <c r="M96" s="132"/>
      <c r="N96" s="134"/>
      <c r="O96" s="134"/>
      <c r="P96" s="134"/>
      <c r="Q96" s="134"/>
      <c r="R96" s="137"/>
      <c r="S96" s="778"/>
      <c r="T96" s="634"/>
      <c r="U96" s="102"/>
      <c r="V96" s="634"/>
      <c r="W96" s="102"/>
      <c r="X96" s="102"/>
      <c r="Y96" s="102"/>
      <c r="Z96" s="634"/>
      <c r="AA96" s="102"/>
      <c r="AB96" s="634"/>
      <c r="AC96" s="102"/>
      <c r="AD96" s="634"/>
      <c r="AE96" s="102"/>
      <c r="AF96" s="102"/>
      <c r="AG96" s="102"/>
      <c r="AH96" s="102"/>
      <c r="AI96" s="634"/>
      <c r="AJ96" s="102"/>
      <c r="AK96" s="634"/>
      <c r="AL96" s="102"/>
      <c r="AM96" s="779"/>
      <c r="AN96" s="634"/>
      <c r="AO96" s="102"/>
      <c r="AP96" s="634"/>
      <c r="AQ96" s="102"/>
      <c r="AR96" s="634"/>
      <c r="AS96" s="102"/>
      <c r="AT96" s="634"/>
      <c r="AU96" s="102"/>
      <c r="AV96" s="634"/>
      <c r="AW96" s="102"/>
      <c r="AX96" s="102"/>
      <c r="AY96" s="102"/>
      <c r="AZ96" s="102"/>
      <c r="BA96" s="102"/>
      <c r="BB96" s="102"/>
      <c r="BC96" s="102"/>
      <c r="BD96" s="634"/>
      <c r="BE96" s="102"/>
      <c r="BF96" s="634"/>
      <c r="BG96" s="102"/>
      <c r="BH96" s="634"/>
      <c r="BI96" s="102"/>
      <c r="BJ96" s="122"/>
      <c r="BK96" s="186"/>
      <c r="BL96" s="102"/>
      <c r="BM96" s="102"/>
      <c r="BN96" s="102"/>
      <c r="BO96" s="102"/>
      <c r="BP96" s="102"/>
      <c r="BQ96" s="102"/>
      <c r="BR96" s="102"/>
      <c r="BS96" s="102"/>
      <c r="BT96" s="634"/>
      <c r="BU96" s="102"/>
      <c r="BV96" s="935"/>
      <c r="CA96" s="781"/>
      <c r="CB96" s="2258"/>
      <c r="CC96" s="782"/>
      <c r="CD96" s="782"/>
      <c r="CE96" s="634"/>
      <c r="CF96" s="783"/>
      <c r="CG96" s="634"/>
      <c r="CH96" s="783"/>
      <c r="CI96" s="634"/>
      <c r="CK96" s="634"/>
      <c r="CM96" s="634"/>
      <c r="CN96" s="784"/>
      <c r="CO96" s="784"/>
      <c r="CP96" s="784"/>
      <c r="CQ96" s="634"/>
      <c r="CR96" s="102"/>
      <c r="CS96" s="784"/>
      <c r="CT96" s="784"/>
      <c r="CU96" s="784"/>
      <c r="CV96" s="784"/>
      <c r="CW96" s="634"/>
      <c r="CX96" s="102"/>
      <c r="CY96" s="784"/>
      <c r="CZ96" s="784"/>
      <c r="DA96" s="784"/>
      <c r="DB96" s="784"/>
      <c r="DC96" s="784"/>
      <c r="DD96" s="784"/>
      <c r="DE96" s="634"/>
      <c r="DF96" s="784"/>
      <c r="DG96" s="634"/>
      <c r="DI96" s="802"/>
      <c r="DJ96" s="785"/>
      <c r="DK96" s="771"/>
      <c r="DL96" s="772"/>
      <c r="DM96" s="787"/>
      <c r="DN96" s="787"/>
      <c r="DO96" s="787"/>
      <c r="DP96" s="787"/>
      <c r="DQ96" s="787"/>
      <c r="DR96" s="787"/>
      <c r="DS96" s="787"/>
      <c r="DT96" s="787"/>
      <c r="DU96" s="787"/>
      <c r="DV96" s="787"/>
      <c r="DW96" s="802"/>
      <c r="DX96" s="788"/>
      <c r="DY96" s="634"/>
      <c r="DZ96" s="2288"/>
      <c r="EA96" s="2231"/>
      <c r="EB96" s="187"/>
      <c r="EC96" s="2232"/>
      <c r="ED96" s="187"/>
      <c r="EE96" s="187"/>
      <c r="EF96" s="2232"/>
      <c r="EG96" s="190"/>
      <c r="EH96" s="2232"/>
      <c r="EI96" s="187"/>
      <c r="EJ96" s="2232"/>
      <c r="EK96" s="187"/>
      <c r="EL96" s="2232"/>
      <c r="EM96" s="195"/>
      <c r="EN96" s="2232"/>
      <c r="EO96" s="195"/>
      <c r="EP96" s="2232"/>
      <c r="EQ96" s="187"/>
      <c r="ER96" s="2232"/>
      <c r="ES96" s="187"/>
      <c r="ET96" s="2232"/>
      <c r="EU96" s="187">
        <f t="shared" si="32"/>
        <v>0</v>
      </c>
      <c r="EV96" s="2232"/>
      <c r="EW96" s="187"/>
      <c r="EX96" s="2232"/>
      <c r="EY96" s="195"/>
      <c r="EZ96" s="2232"/>
      <c r="FA96" s="195"/>
      <c r="FB96" s="2232"/>
      <c r="FC96" s="195"/>
      <c r="FD96" s="2232"/>
      <c r="FE96" s="195"/>
      <c r="FF96" s="2232"/>
      <c r="FG96" s="195"/>
      <c r="FH96" s="2232"/>
      <c r="FI96" s="195"/>
      <c r="FJ96" s="2232"/>
      <c r="FK96" s="195"/>
      <c r="FL96" s="2232"/>
      <c r="FM96" s="187"/>
      <c r="FN96" s="2232"/>
      <c r="FO96" s="187"/>
      <c r="FP96" s="2232"/>
      <c r="FQ96" s="187"/>
      <c r="FR96" s="245"/>
      <c r="FS96" s="195"/>
      <c r="FT96" s="789"/>
      <c r="FU96" s="789"/>
      <c r="FV96" s="789"/>
      <c r="FW96" s="789"/>
      <c r="FX96" s="789"/>
      <c r="FY96" s="789"/>
      <c r="FZ96" s="789"/>
      <c r="GA96" s="789"/>
      <c r="GB96" s="2289"/>
      <c r="GC96" s="776"/>
    </row>
    <row r="97" spans="1:202" s="228" customFormat="1" ht="18.75">
      <c r="A97" s="216"/>
      <c r="B97" s="216">
        <v>35</v>
      </c>
      <c r="C97" s="918" t="s">
        <v>703</v>
      </c>
      <c r="D97" s="218">
        <v>2854</v>
      </c>
      <c r="E97" s="218">
        <v>30</v>
      </c>
      <c r="F97" s="218">
        <v>2028540030</v>
      </c>
      <c r="G97" s="922">
        <v>10000</v>
      </c>
      <c r="H97" s="218" t="s">
        <v>726</v>
      </c>
      <c r="I97" s="222" t="s">
        <v>706</v>
      </c>
      <c r="J97" s="218">
        <v>0</v>
      </c>
      <c r="K97" s="218">
        <v>3.44</v>
      </c>
      <c r="L97" s="218">
        <v>0</v>
      </c>
      <c r="M97" s="218">
        <v>4.8</v>
      </c>
      <c r="N97" s="220">
        <v>0</v>
      </c>
      <c r="O97" s="220">
        <v>0</v>
      </c>
      <c r="P97" s="220">
        <v>0</v>
      </c>
      <c r="Q97" s="220">
        <v>0</v>
      </c>
      <c r="R97" s="223">
        <v>0</v>
      </c>
      <c r="S97" s="898" t="s">
        <v>723</v>
      </c>
      <c r="T97" s="234">
        <f>U97</f>
        <v>0</v>
      </c>
      <c r="U97" s="228">
        <f>Q97-N97</f>
        <v>0</v>
      </c>
      <c r="V97" s="234">
        <f>W97</f>
        <v>0</v>
      </c>
      <c r="W97" s="228">
        <f>N97</f>
        <v>0</v>
      </c>
      <c r="Y97" s="228">
        <f>W97-AA97</f>
        <v>0</v>
      </c>
      <c r="Z97" s="234">
        <f>AA97</f>
        <v>0</v>
      </c>
      <c r="AA97" s="228">
        <v>0</v>
      </c>
      <c r="AB97" s="234">
        <f>AC97</f>
        <v>0</v>
      </c>
      <c r="AC97" s="228">
        <v>0</v>
      </c>
      <c r="AD97" s="234">
        <f>AE97</f>
        <v>0</v>
      </c>
      <c r="AE97" s="228">
        <f>AF97+AG97</f>
        <v>0</v>
      </c>
      <c r="AF97" s="228">
        <v>0</v>
      </c>
      <c r="AG97" s="228">
        <v>0</v>
      </c>
      <c r="AH97" s="228">
        <v>0</v>
      </c>
      <c r="AI97" s="234">
        <f>AJ97</f>
        <v>0</v>
      </c>
      <c r="AJ97" s="228">
        <v>0</v>
      </c>
      <c r="AK97" s="234">
        <f>AL97</f>
        <v>0</v>
      </c>
      <c r="AL97" s="228">
        <f>W97-(AA97+AC97+AE97+AH97+AJ97+AM97+AW97+AO97+AQ97+AS97+AU97)</f>
        <v>0</v>
      </c>
      <c r="AM97" s="905">
        <v>0</v>
      </c>
      <c r="AN97" s="234">
        <f>AO97</f>
        <v>0</v>
      </c>
      <c r="AO97" s="228">
        <v>0</v>
      </c>
      <c r="AP97" s="234">
        <f>AQ97</f>
        <v>0</v>
      </c>
      <c r="AQ97" s="228">
        <v>0</v>
      </c>
      <c r="AR97" s="234">
        <f>AS97</f>
        <v>0</v>
      </c>
      <c r="AS97" s="228">
        <v>0</v>
      </c>
      <c r="AT97" s="234">
        <f>AU97</f>
        <v>0</v>
      </c>
      <c r="AU97" s="228">
        <v>0</v>
      </c>
      <c r="AV97" s="234">
        <f>AW97</f>
        <v>0</v>
      </c>
      <c r="AW97" s="228">
        <f>AX97+AY97+AZ97+BA97+BB97</f>
        <v>0</v>
      </c>
      <c r="AX97" s="228">
        <v>0</v>
      </c>
      <c r="AY97" s="228">
        <v>0</v>
      </c>
      <c r="AZ97" s="228">
        <v>0</v>
      </c>
      <c r="BA97" s="228">
        <v>0</v>
      </c>
      <c r="BB97" s="228">
        <v>0</v>
      </c>
      <c r="BC97" s="228">
        <v>0</v>
      </c>
      <c r="BD97" s="234">
        <f>BE97</f>
        <v>0</v>
      </c>
      <c r="BE97" s="228">
        <f>ROUND(U97+W97,0)</f>
        <v>0</v>
      </c>
      <c r="BF97" s="234">
        <f>BG97</f>
        <v>0</v>
      </c>
      <c r="BG97" s="228">
        <f>ROUND(U97/'[1]Projected Development Sites'!DF$134,0)</f>
        <v>0</v>
      </c>
      <c r="BH97" s="234">
        <f>BI97</f>
        <v>0</v>
      </c>
      <c r="BI97" s="228">
        <f>'[1]Projected Development Sites'!BG$135*BG97</f>
        <v>0</v>
      </c>
      <c r="BJ97" s="122">
        <f t="shared" si="38"/>
        <v>0</v>
      </c>
      <c r="BK97" s="928">
        <f>ROUND((AL97+AC97+AA97)/1000*3,0)+ROUND((AE97+AU97)/1000,0)+ROUND((ROUND(AH97/400,0))/2.67,0)+ROUND(AJ97/250,0)+ROUND(AO97/15000,0)+ROUND((AX97+AY97+AZ97+BB97)/1000*3,0)+ROUND(BG97/25,0)+ROUND(BU97/50,0)</f>
        <v>1</v>
      </c>
      <c r="BL97" s="228">
        <v>0</v>
      </c>
      <c r="BM97" s="228">
        <v>0</v>
      </c>
      <c r="BN97" s="228">
        <v>0</v>
      </c>
      <c r="BO97" s="228">
        <v>0</v>
      </c>
      <c r="BP97" s="228">
        <v>0</v>
      </c>
      <c r="BQ97" s="279">
        <f>10000/300</f>
        <v>33.333333333333336</v>
      </c>
      <c r="BR97" s="228">
        <v>0</v>
      </c>
      <c r="BT97" s="234">
        <f>BU97</f>
        <v>33.333333333333336</v>
      </c>
      <c r="BU97" s="936">
        <f>SUM(BL97:BS97)</f>
        <v>33.333333333333336</v>
      </c>
      <c r="BV97" s="929">
        <v>0</v>
      </c>
      <c r="BW97" s="228" t="s">
        <v>729</v>
      </c>
      <c r="BX97" s="228">
        <v>7.2</v>
      </c>
      <c r="BY97" s="228">
        <v>3.4</v>
      </c>
      <c r="BZ97" s="228">
        <v>6.5</v>
      </c>
      <c r="CA97" s="901"/>
      <c r="CB97" s="230" t="s">
        <v>861</v>
      </c>
      <c r="CC97" s="399">
        <f>(BX97*G97)-CF97</f>
        <v>53500</v>
      </c>
      <c r="CD97" s="399">
        <v>53500</v>
      </c>
      <c r="CE97" s="234">
        <f>CF97</f>
        <v>18500</v>
      </c>
      <c r="CF97" s="902">
        <f>2*(G97)-(0.15*1*(G97))</f>
        <v>18500</v>
      </c>
      <c r="CG97" s="234">
        <f>CH97</f>
        <v>18500</v>
      </c>
      <c r="CH97" s="902">
        <f>CF97-CJ97</f>
        <v>18500</v>
      </c>
      <c r="CI97" s="234">
        <f>CJ97</f>
        <v>0</v>
      </c>
      <c r="CJ97" s="111">
        <v>0</v>
      </c>
      <c r="CK97" s="234">
        <f>CL97</f>
        <v>0</v>
      </c>
      <c r="CL97" s="111">
        <v>0</v>
      </c>
      <c r="CM97" s="234">
        <f>CN97</f>
        <v>18500</v>
      </c>
      <c r="CN97" s="111">
        <f>CF97-(CJ97+CL97+CO97+CP97+CR97+CU97+CV97+CX97)</f>
        <v>18500</v>
      </c>
      <c r="CO97" s="903">
        <v>0</v>
      </c>
      <c r="CP97" s="903">
        <v>0</v>
      </c>
      <c r="CQ97" s="234">
        <f>CR97</f>
        <v>0</v>
      </c>
      <c r="CR97" s="111">
        <v>0</v>
      </c>
      <c r="CS97" s="903">
        <v>0</v>
      </c>
      <c r="CT97" s="903"/>
      <c r="CU97" s="903"/>
      <c r="CV97" s="903"/>
      <c r="CW97" s="234">
        <f>CX97</f>
        <v>0</v>
      </c>
      <c r="CX97" s="111">
        <v>0</v>
      </c>
      <c r="CY97" s="903"/>
      <c r="CZ97" s="903"/>
      <c r="DA97" s="903"/>
      <c r="DB97" s="903"/>
      <c r="DC97" s="903"/>
      <c r="DD97" s="903"/>
      <c r="DE97" s="234">
        <f>DF97</f>
        <v>72000</v>
      </c>
      <c r="DF97" s="111">
        <f>CC97+CF97+CV97</f>
        <v>72000</v>
      </c>
      <c r="DG97" s="234">
        <f>DH97</f>
        <v>53.5</v>
      </c>
      <c r="DH97" s="111">
        <f>CC97/1000</f>
        <v>53.5</v>
      </c>
      <c r="DI97" s="886">
        <f>DJ97</f>
        <v>53.5</v>
      </c>
      <c r="DJ97" s="899">
        <f>DH97</f>
        <v>53.5</v>
      </c>
      <c r="DK97" s="771">
        <f>3.06*DH97</f>
        <v>163.71</v>
      </c>
      <c r="DL97" s="924">
        <f>ROUND((CN97+CL97+CJ97)/1000*3,0)+ROUND((ROUND(CP97/400,0))/2.67,0)+ROUND(CV97/1000,0)+ROUND((CY97+CZ97+DA97+DC97)/1000*3,0)+ROUND(DH97/25,0)+ROUND(DX97/50,0)</f>
        <v>58</v>
      </c>
      <c r="DM97" s="899">
        <v>0</v>
      </c>
      <c r="DN97" s="925">
        <v>0</v>
      </c>
      <c r="DO97" s="899"/>
      <c r="DP97" s="899">
        <f>DJ97*0.25</f>
        <v>13.375</v>
      </c>
      <c r="DQ97" s="905">
        <f>SUM(CO97,CJ97,CN97,CR97,CU97)/1000</f>
        <v>18.5</v>
      </c>
      <c r="DR97" s="899">
        <f>CL97/1000</f>
        <v>0</v>
      </c>
      <c r="DS97" s="899">
        <f>((CP97/400)/12)</f>
        <v>0</v>
      </c>
      <c r="DT97" s="899">
        <v>0</v>
      </c>
      <c r="DU97" s="899">
        <v>0</v>
      </c>
      <c r="DV97" s="899">
        <f>IF(CX97&gt;0,"Calculate",0)</f>
        <v>0</v>
      </c>
      <c r="DW97" s="886">
        <f>DX97</f>
        <v>18.5</v>
      </c>
      <c r="DX97" s="906">
        <f>DN97+DO97+DQ97+DR97+DS97+DT97+DU97+DV97</f>
        <v>18.5</v>
      </c>
      <c r="DY97" s="234">
        <v>165</v>
      </c>
      <c r="DZ97" s="2288">
        <f>CD97-T97</f>
        <v>53500</v>
      </c>
      <c r="EA97" s="2231">
        <f>CE97-V97</f>
        <v>18500</v>
      </c>
      <c r="EB97" s="187">
        <f>CF97-W97</f>
        <v>18500</v>
      </c>
      <c r="EC97" s="235">
        <f>ED97</f>
        <v>18500</v>
      </c>
      <c r="ED97" s="187">
        <v>18500</v>
      </c>
      <c r="EE97" s="187">
        <f>(SUM(CJ97:CO97))-(SUM(AA97:AE97,AL97))</f>
        <v>37000</v>
      </c>
      <c r="EF97" s="235">
        <f>EG97</f>
        <v>18500</v>
      </c>
      <c r="EG97" s="245">
        <v>18500</v>
      </c>
      <c r="EH97" s="235">
        <f>EI97</f>
        <v>0</v>
      </c>
      <c r="EI97" s="187">
        <f>CL97-AC97</f>
        <v>0</v>
      </c>
      <c r="EJ97" s="235">
        <f>EK97</f>
        <v>0</v>
      </c>
      <c r="EK97" s="187">
        <f>CJ97-AA97</f>
        <v>0</v>
      </c>
      <c r="EL97" s="235">
        <f>EM97</f>
        <v>0</v>
      </c>
      <c r="EM97" s="245">
        <f>CO97-AE97</f>
        <v>0</v>
      </c>
      <c r="EN97" s="235">
        <f>EO97</f>
        <v>0</v>
      </c>
      <c r="EO97" s="269">
        <f>CP97-AH97</f>
        <v>0</v>
      </c>
      <c r="EP97" s="235">
        <f>EQ97</f>
        <v>0</v>
      </c>
      <c r="EQ97" s="187">
        <f>CR97-AJ97</f>
        <v>0</v>
      </c>
      <c r="ER97" s="235">
        <f>ES97</f>
        <v>0</v>
      </c>
      <c r="ES97" s="187">
        <f>CS97-AO97</f>
        <v>0</v>
      </c>
      <c r="ET97" s="235">
        <f>EU97</f>
        <v>0</v>
      </c>
      <c r="EU97" s="187">
        <f t="shared" si="32"/>
        <v>0</v>
      </c>
      <c r="EV97" s="235">
        <f>EW97</f>
        <v>0</v>
      </c>
      <c r="EW97" s="187">
        <f>CU97-AS97</f>
        <v>0</v>
      </c>
      <c r="EX97" s="235">
        <f>EY97</f>
        <v>0</v>
      </c>
      <c r="EY97" s="269">
        <f>CV97-AU97</f>
        <v>0</v>
      </c>
      <c r="EZ97" s="235">
        <f>FA97</f>
        <v>0</v>
      </c>
      <c r="FA97" s="269">
        <f>CY97-AX97</f>
        <v>0</v>
      </c>
      <c r="FB97" s="235">
        <f>FC97</f>
        <v>0</v>
      </c>
      <c r="FC97" s="269">
        <f>CZ97-AY97</f>
        <v>0</v>
      </c>
      <c r="FD97" s="235">
        <f>FE97</f>
        <v>0</v>
      </c>
      <c r="FE97" s="269">
        <f>DA97-AZ97</f>
        <v>0</v>
      </c>
      <c r="FF97" s="235">
        <f>FG97</f>
        <v>0</v>
      </c>
      <c r="FG97" s="269">
        <f>DB97-BA97</f>
        <v>0</v>
      </c>
      <c r="FH97" s="235">
        <f>FI97</f>
        <v>0</v>
      </c>
      <c r="FI97" s="269">
        <f>DC97-BB97</f>
        <v>0</v>
      </c>
      <c r="FJ97" s="235">
        <f>FK97</f>
        <v>0</v>
      </c>
      <c r="FK97" s="269">
        <f>CX97-AW97</f>
        <v>0</v>
      </c>
      <c r="FL97" s="235">
        <f>FM97</f>
        <v>72000</v>
      </c>
      <c r="FM97" s="187">
        <f>DF97-BE97</f>
        <v>72000</v>
      </c>
      <c r="FN97" s="235">
        <f>FO97</f>
        <v>53.5</v>
      </c>
      <c r="FO97" s="187">
        <f>DH97-BG97</f>
        <v>53.5</v>
      </c>
      <c r="FP97" s="235">
        <f>FQ97</f>
        <v>53.5</v>
      </c>
      <c r="FQ97" s="187">
        <f>DJ97-BI97</f>
        <v>53.5</v>
      </c>
      <c r="FR97" s="245">
        <f>DK97-BJ97</f>
        <v>163.71</v>
      </c>
      <c r="FS97" s="245">
        <f>DL97-BK97</f>
        <v>57</v>
      </c>
      <c r="FT97" s="907">
        <f>DM97-BL97</f>
        <v>0</v>
      </c>
      <c r="FU97" s="907">
        <f>DR97-BO97</f>
        <v>0</v>
      </c>
      <c r="FV97" s="907"/>
      <c r="FW97" s="907">
        <f>DQ97-BN97</f>
        <v>18.5</v>
      </c>
      <c r="FX97" s="907">
        <f>DS97-BP97</f>
        <v>0</v>
      </c>
      <c r="FY97" s="907">
        <f>DT97-BQ97</f>
        <v>-33.333333333333336</v>
      </c>
      <c r="FZ97" s="907">
        <f>DU97-BR97</f>
        <v>0</v>
      </c>
      <c r="GA97" s="907">
        <f>DV97-BS97</f>
        <v>0</v>
      </c>
      <c r="GB97" s="894">
        <f>GC97</f>
        <v>-14.833333333333336</v>
      </c>
      <c r="GC97" s="776">
        <f t="shared" si="33"/>
        <v>-14.833333333333336</v>
      </c>
      <c r="GD97" s="139"/>
      <c r="GE97" s="139"/>
      <c r="GF97" s="139"/>
      <c r="GG97" s="139"/>
      <c r="GH97" s="139"/>
      <c r="GI97" s="139"/>
      <c r="GJ97" s="139"/>
      <c r="GK97" s="139"/>
      <c r="GL97" s="139"/>
      <c r="GM97" s="139"/>
      <c r="GN97" s="139"/>
      <c r="GO97" s="139"/>
      <c r="GP97" s="139"/>
      <c r="GQ97" s="139"/>
      <c r="GR97" s="139"/>
      <c r="GS97" s="139"/>
      <c r="GT97" s="139"/>
    </row>
    <row r="98" spans="1:202" s="139" customFormat="1" ht="18.75">
      <c r="A98" s="2263"/>
      <c r="B98" s="2263"/>
      <c r="C98" s="913"/>
      <c r="D98" s="132"/>
      <c r="E98" s="132"/>
      <c r="F98" s="132"/>
      <c r="G98" s="137"/>
      <c r="H98" s="132"/>
      <c r="I98" s="136"/>
      <c r="J98" s="132"/>
      <c r="K98" s="132"/>
      <c r="L98" s="132"/>
      <c r="M98" s="132"/>
      <c r="N98" s="134"/>
      <c r="O98" s="134"/>
      <c r="P98" s="134"/>
      <c r="Q98" s="134"/>
      <c r="R98" s="137"/>
      <c r="S98" s="778"/>
      <c r="T98" s="634"/>
      <c r="U98" s="102"/>
      <c r="V98" s="634"/>
      <c r="W98" s="102"/>
      <c r="X98" s="102"/>
      <c r="Y98" s="102"/>
      <c r="Z98" s="634"/>
      <c r="AA98" s="102"/>
      <c r="AB98" s="634"/>
      <c r="AC98" s="102"/>
      <c r="AD98" s="634"/>
      <c r="AE98" s="102"/>
      <c r="AF98" s="102"/>
      <c r="AG98" s="102"/>
      <c r="AH98" s="102"/>
      <c r="AI98" s="634"/>
      <c r="AJ98" s="102"/>
      <c r="AK98" s="634"/>
      <c r="AL98" s="102"/>
      <c r="AM98" s="779"/>
      <c r="AN98" s="634"/>
      <c r="AO98" s="102"/>
      <c r="AP98" s="634"/>
      <c r="AQ98" s="102"/>
      <c r="AR98" s="634"/>
      <c r="AS98" s="102"/>
      <c r="AT98" s="634"/>
      <c r="AU98" s="102"/>
      <c r="AV98" s="634"/>
      <c r="AW98" s="102"/>
      <c r="AX98" s="102"/>
      <c r="AY98" s="102"/>
      <c r="AZ98" s="102"/>
      <c r="BA98" s="102"/>
      <c r="BB98" s="102"/>
      <c r="BC98" s="102"/>
      <c r="BD98" s="634"/>
      <c r="BE98" s="102"/>
      <c r="BF98" s="634"/>
      <c r="BG98" s="102"/>
      <c r="BH98" s="634"/>
      <c r="BI98" s="102"/>
      <c r="BJ98" s="122"/>
      <c r="BK98" s="186"/>
      <c r="BL98" s="102"/>
      <c r="BM98" s="102"/>
      <c r="BN98" s="102"/>
      <c r="BO98" s="102"/>
      <c r="BP98" s="102"/>
      <c r="BQ98" s="102"/>
      <c r="BR98" s="102"/>
      <c r="BS98" s="102"/>
      <c r="BT98" s="634"/>
      <c r="BU98" s="102"/>
      <c r="BW98" s="780"/>
      <c r="BZ98" s="921"/>
      <c r="CA98" s="627"/>
      <c r="CB98" s="2258"/>
      <c r="CC98" s="782"/>
      <c r="CD98" s="782"/>
      <c r="CE98" s="634"/>
      <c r="CF98" s="840"/>
      <c r="CG98" s="634"/>
      <c r="CH98" s="840"/>
      <c r="CI98" s="634"/>
      <c r="CK98" s="634"/>
      <c r="CM98" s="634"/>
      <c r="CN98" s="784"/>
      <c r="CO98" s="784"/>
      <c r="CP98" s="784"/>
      <c r="CQ98" s="634"/>
      <c r="CR98" s="102"/>
      <c r="CS98" s="784"/>
      <c r="CT98" s="784"/>
      <c r="CU98" s="784"/>
      <c r="CV98" s="784"/>
      <c r="CW98" s="634"/>
      <c r="CX98" s="784"/>
      <c r="CY98" s="784"/>
      <c r="CZ98" s="784"/>
      <c r="DA98" s="784"/>
      <c r="DB98" s="784"/>
      <c r="DC98" s="784"/>
      <c r="DD98" s="784"/>
      <c r="DE98" s="634"/>
      <c r="DF98" s="784"/>
      <c r="DG98" s="634"/>
      <c r="DI98" s="802"/>
      <c r="DJ98" s="787"/>
      <c r="DK98" s="771"/>
      <c r="DL98" s="772"/>
      <c r="DM98" s="787"/>
      <c r="DN98" s="787"/>
      <c r="DO98" s="787"/>
      <c r="DP98" s="787"/>
      <c r="DQ98" s="787"/>
      <c r="DR98" s="787"/>
      <c r="DS98" s="787"/>
      <c r="DT98" s="787"/>
      <c r="DU98" s="787"/>
      <c r="DV98" s="787"/>
      <c r="DW98" s="802"/>
      <c r="DX98" s="788"/>
      <c r="DY98" s="634"/>
      <c r="DZ98" s="2288"/>
      <c r="EA98" s="2231"/>
      <c r="EB98" s="187"/>
      <c r="EC98" s="2232"/>
      <c r="ED98" s="187"/>
      <c r="EE98" s="187"/>
      <c r="EF98" s="2232"/>
      <c r="EG98" s="187"/>
      <c r="EH98" s="2232"/>
      <c r="EI98" s="187"/>
      <c r="EJ98" s="2232"/>
      <c r="EK98" s="187"/>
      <c r="EL98" s="2232"/>
      <c r="EM98" s="195"/>
      <c r="EN98" s="2232"/>
      <c r="EO98" s="195"/>
      <c r="EP98" s="2232"/>
      <c r="EQ98" s="187"/>
      <c r="ER98" s="2232"/>
      <c r="ES98" s="187"/>
      <c r="ET98" s="2232"/>
      <c r="EU98" s="187">
        <f t="shared" si="32"/>
        <v>0</v>
      </c>
      <c r="EV98" s="2232"/>
      <c r="EW98" s="187"/>
      <c r="EX98" s="2232"/>
      <c r="EY98" s="195"/>
      <c r="EZ98" s="2232"/>
      <c r="FA98" s="195"/>
      <c r="FB98" s="2232"/>
      <c r="FC98" s="195"/>
      <c r="FD98" s="2232"/>
      <c r="FE98" s="195"/>
      <c r="FF98" s="2232"/>
      <c r="FG98" s="195"/>
      <c r="FH98" s="2232"/>
      <c r="FI98" s="195"/>
      <c r="FJ98" s="2232"/>
      <c r="FK98" s="195"/>
      <c r="FL98" s="2232"/>
      <c r="FM98" s="187"/>
      <c r="FN98" s="2232"/>
      <c r="FO98" s="187"/>
      <c r="FP98" s="2232"/>
      <c r="FQ98" s="187"/>
      <c r="FR98" s="245"/>
      <c r="FS98" s="195"/>
      <c r="FT98" s="789"/>
      <c r="FU98" s="789"/>
      <c r="FV98" s="789"/>
      <c r="FW98" s="789"/>
      <c r="FX98" s="789"/>
      <c r="FY98" s="789"/>
      <c r="FZ98" s="789"/>
      <c r="GA98" s="789"/>
      <c r="GB98" s="2289"/>
      <c r="GC98" s="776"/>
    </row>
    <row r="99" spans="1:202" s="228" customFormat="1" ht="18.75">
      <c r="A99" s="216"/>
      <c r="B99" s="216">
        <v>36</v>
      </c>
      <c r="C99" s="218" t="s">
        <v>703</v>
      </c>
      <c r="D99" s="218">
        <v>2863</v>
      </c>
      <c r="E99" s="218">
        <v>54</v>
      </c>
      <c r="F99" s="897">
        <v>2028630054</v>
      </c>
      <c r="G99" s="223">
        <v>10833</v>
      </c>
      <c r="H99" s="218" t="s">
        <v>726</v>
      </c>
      <c r="I99" s="222" t="s">
        <v>706</v>
      </c>
      <c r="J99" s="218">
        <v>1.5</v>
      </c>
      <c r="K99" s="218">
        <v>4</v>
      </c>
      <c r="L99" s="218">
        <v>0</v>
      </c>
      <c r="M99" s="218">
        <v>4.8</v>
      </c>
      <c r="N99" s="220">
        <v>16200</v>
      </c>
      <c r="O99" s="220">
        <v>0</v>
      </c>
      <c r="P99" s="220">
        <v>0</v>
      </c>
      <c r="Q99" s="220">
        <v>16200</v>
      </c>
      <c r="R99" s="223">
        <v>0</v>
      </c>
      <c r="S99" s="898" t="s">
        <v>865</v>
      </c>
      <c r="T99" s="234">
        <f>U99</f>
        <v>0</v>
      </c>
      <c r="U99" s="111">
        <v>0</v>
      </c>
      <c r="V99" s="234">
        <f>W99</f>
        <v>16200</v>
      </c>
      <c r="W99" s="111">
        <f>N99</f>
        <v>16200</v>
      </c>
      <c r="X99" s="111"/>
      <c r="Y99" s="111">
        <f>W99-AA99</f>
        <v>16200</v>
      </c>
      <c r="Z99" s="234">
        <f>AA99</f>
        <v>0</v>
      </c>
      <c r="AA99" s="111">
        <v>0</v>
      </c>
      <c r="AB99" s="234">
        <f>AC99</f>
        <v>0</v>
      </c>
      <c r="AC99" s="111">
        <v>0</v>
      </c>
      <c r="AD99" s="234">
        <f>AE99</f>
        <v>0</v>
      </c>
      <c r="AE99" s="111">
        <f>AG99+AF99</f>
        <v>0</v>
      </c>
      <c r="AF99" s="111">
        <v>0</v>
      </c>
      <c r="AG99" s="111">
        <v>0</v>
      </c>
      <c r="AH99" s="111">
        <v>0</v>
      </c>
      <c r="AI99" s="234">
        <f>AJ99</f>
        <v>0</v>
      </c>
      <c r="AJ99" s="111">
        <v>0</v>
      </c>
      <c r="AK99" s="234">
        <f>AL99</f>
        <v>7290</v>
      </c>
      <c r="AL99" s="111">
        <f>W99-(AA99+AC99+AE99+AH99+AJ99+AM99+AW99+AO99+AQ99+AS99+AU99)</f>
        <v>7290</v>
      </c>
      <c r="AM99" s="899">
        <v>0</v>
      </c>
      <c r="AN99" s="234">
        <f>AO99</f>
        <v>0</v>
      </c>
      <c r="AO99" s="111">
        <v>0</v>
      </c>
      <c r="AP99" s="234">
        <f>AQ99</f>
        <v>0</v>
      </c>
      <c r="AQ99" s="111">
        <v>0</v>
      </c>
      <c r="AR99" s="234">
        <f>AS99</f>
        <v>0</v>
      </c>
      <c r="AS99" s="111">
        <v>0</v>
      </c>
      <c r="AT99" s="234">
        <f>AU99</f>
        <v>0</v>
      </c>
      <c r="AU99" s="111">
        <v>0</v>
      </c>
      <c r="AV99" s="234">
        <f>AW99</f>
        <v>8910</v>
      </c>
      <c r="AW99" s="111">
        <f>AX99+AY99+AZ99+BA99+BB99</f>
        <v>8910</v>
      </c>
      <c r="AX99" s="111">
        <v>0</v>
      </c>
      <c r="AY99" s="111">
        <f>0.55*W99</f>
        <v>8910</v>
      </c>
      <c r="AZ99" s="111">
        <v>0</v>
      </c>
      <c r="BA99" s="111">
        <v>0</v>
      </c>
      <c r="BB99" s="111">
        <v>0</v>
      </c>
      <c r="BC99" s="111">
        <v>0</v>
      </c>
      <c r="BD99" s="234">
        <f>BE99</f>
        <v>16200</v>
      </c>
      <c r="BE99" s="111">
        <f>U99+W99</f>
        <v>16200</v>
      </c>
      <c r="BF99" s="234">
        <f>BG99</f>
        <v>0</v>
      </c>
      <c r="BG99" s="111">
        <f>U99/1000</f>
        <v>0</v>
      </c>
      <c r="BH99" s="234">
        <f>BI99</f>
        <v>0</v>
      </c>
      <c r="BI99" s="111">
        <v>0</v>
      </c>
      <c r="BJ99" s="122">
        <f t="shared" si="38"/>
        <v>0</v>
      </c>
      <c r="BK99" s="306">
        <f>ROUND((Y99+AC99+AA99)/1000*3,0)+ROUND((AE99+AU99)/1000,0)+ROUND((ROUND(AH99/400,0))/2.67,0)+ROUND(AM99/250,0)+ROUND(AO99/15000,0)+ROUND((AX99+AY99+AZ99+BB99)/1000*3,0)+ROUND(BG99/25,0)+ROUND(BU43/50,0)</f>
        <v>76</v>
      </c>
      <c r="BL99" s="111">
        <v>0</v>
      </c>
      <c r="BM99" s="111">
        <v>0</v>
      </c>
      <c r="BN99" s="111">
        <v>0</v>
      </c>
      <c r="BO99" s="111">
        <f>AC99/1000</f>
        <v>0</v>
      </c>
      <c r="BP99" s="111">
        <f>AH99/1000</f>
        <v>0</v>
      </c>
      <c r="BQ99" s="111">
        <v>0</v>
      </c>
      <c r="BR99" s="111">
        <v>0</v>
      </c>
      <c r="BS99" s="111">
        <v>0</v>
      </c>
      <c r="BT99" s="234">
        <f>BU99</f>
        <v>0</v>
      </c>
      <c r="BU99" s="111">
        <f>SUM(BL99:BS99)</f>
        <v>0</v>
      </c>
      <c r="BV99" s="228">
        <v>25</v>
      </c>
      <c r="BW99" s="900" t="s">
        <v>729</v>
      </c>
      <c r="BX99" s="228">
        <v>7.2</v>
      </c>
      <c r="BY99" s="228">
        <v>3.4</v>
      </c>
      <c r="BZ99" s="228">
        <v>6.5</v>
      </c>
      <c r="CA99" s="901"/>
      <c r="CB99" s="230" t="s">
        <v>866</v>
      </c>
      <c r="CC99" s="399">
        <f>(BX99*G99)-CF99</f>
        <v>69087.600000000006</v>
      </c>
      <c r="CD99" s="399">
        <v>69087.600000000006</v>
      </c>
      <c r="CE99" s="234">
        <f>CF99</f>
        <v>8910</v>
      </c>
      <c r="CF99" s="902">
        <f>CX99</f>
        <v>8910</v>
      </c>
      <c r="CG99" s="234">
        <f>CH99</f>
        <v>8910</v>
      </c>
      <c r="CH99" s="902">
        <f>CF99-CJ99</f>
        <v>8910</v>
      </c>
      <c r="CI99" s="234">
        <f>CJ99</f>
        <v>0</v>
      </c>
      <c r="CJ99" s="228">
        <v>0</v>
      </c>
      <c r="CK99" s="234">
        <f>CL99</f>
        <v>0</v>
      </c>
      <c r="CL99" s="228">
        <v>0</v>
      </c>
      <c r="CM99" s="234">
        <f>CN99</f>
        <v>0</v>
      </c>
      <c r="CN99" s="111">
        <f>CF99-(CJ99+CL99+CO99+CP99+CR99+CU99+CV99+CX99)</f>
        <v>0</v>
      </c>
      <c r="CO99" s="903">
        <v>0</v>
      </c>
      <c r="CP99" s="903">
        <v>0</v>
      </c>
      <c r="CQ99" s="234">
        <f>CR99</f>
        <v>0</v>
      </c>
      <c r="CR99" s="111">
        <v>0</v>
      </c>
      <c r="CS99" s="903">
        <v>0</v>
      </c>
      <c r="CT99" s="903">
        <v>0</v>
      </c>
      <c r="CU99" s="903">
        <v>0</v>
      </c>
      <c r="CV99" s="903">
        <v>0</v>
      </c>
      <c r="CW99" s="234">
        <f>CX99</f>
        <v>8910</v>
      </c>
      <c r="CX99" s="111">
        <f>SUM(CY99:DC99)</f>
        <v>8910</v>
      </c>
      <c r="CY99" s="903">
        <f>AX99</f>
        <v>0</v>
      </c>
      <c r="CZ99" s="903">
        <f>AY99</f>
        <v>8910</v>
      </c>
      <c r="DA99" s="903">
        <f>AZ99</f>
        <v>0</v>
      </c>
      <c r="DB99" s="903">
        <f>BA99</f>
        <v>0</v>
      </c>
      <c r="DC99" s="903">
        <f>BB99</f>
        <v>0</v>
      </c>
      <c r="DD99" s="903"/>
      <c r="DE99" s="234">
        <f>DF99</f>
        <v>77997.600000000006</v>
      </c>
      <c r="DF99" s="903">
        <f>CC99+CF99</f>
        <v>77997.600000000006</v>
      </c>
      <c r="DG99" s="234">
        <f>DH99</f>
        <v>69.087600000000009</v>
      </c>
      <c r="DH99" s="904">
        <f>CC99/'[1]Projected Development Sites'!DF$134</f>
        <v>69.087600000000009</v>
      </c>
      <c r="DI99" s="886">
        <f>DJ99</f>
        <v>69.087600000000009</v>
      </c>
      <c r="DJ99" s="803">
        <f>'[1]Projected Development Sites'!DK$136*DH99</f>
        <v>69.087600000000009</v>
      </c>
      <c r="DK99" s="771">
        <f>3.06*DH99</f>
        <v>211.40805600000004</v>
      </c>
      <c r="DL99" s="772">
        <f>ROUND((CN99+CL99+CJ99)/1000*3,0)+ROUND((ROUND(CP99/400,0))/2.67,0)+ROUND(CV99/1000,0)+ROUND((CY99+CZ99+DA99+DC99)/1000*3,0)+ROUND(DH99/25,0)+ROUND(DX99/50,0)</f>
        <v>30</v>
      </c>
      <c r="DM99" s="905">
        <v>0</v>
      </c>
      <c r="DN99" s="905"/>
      <c r="DO99" s="905">
        <v>0</v>
      </c>
      <c r="DP99" s="905">
        <f>0.25*DJ99</f>
        <v>17.271900000000002</v>
      </c>
      <c r="DQ99" s="905">
        <f>SUM(CO99,CJ99,CN99,CR99,CU99)/1000</f>
        <v>0</v>
      </c>
      <c r="DR99" s="905">
        <f>CL99/1000</f>
        <v>0</v>
      </c>
      <c r="DS99" s="905">
        <f>((CP99/400)/12)</f>
        <v>0</v>
      </c>
      <c r="DT99" s="905">
        <v>0</v>
      </c>
      <c r="DU99" s="905">
        <v>0</v>
      </c>
      <c r="DV99" s="905">
        <f>CX99/1000</f>
        <v>8.91</v>
      </c>
      <c r="DW99" s="886">
        <f>DX99</f>
        <v>8.91</v>
      </c>
      <c r="DX99" s="906">
        <f>SUM(DM99,DO99,DQ99:DV99)</f>
        <v>8.91</v>
      </c>
      <c r="DY99" s="837">
        <v>165</v>
      </c>
      <c r="DZ99" s="2288">
        <f>CD99-T99</f>
        <v>69087.600000000006</v>
      </c>
      <c r="EA99" s="2231">
        <f>CE99-V99</f>
        <v>-7290</v>
      </c>
      <c r="EB99" s="187">
        <f>CF99-W99</f>
        <v>-7290</v>
      </c>
      <c r="EC99" s="235">
        <f>ED99</f>
        <v>-7290</v>
      </c>
      <c r="ED99" s="187">
        <v>-7290</v>
      </c>
      <c r="EE99" s="187">
        <f>(SUM(CJ99:CO99))-(SUM(AA99:AE99,AL99))</f>
        <v>-7290</v>
      </c>
      <c r="EF99" s="235">
        <f>EG99</f>
        <v>-7290</v>
      </c>
      <c r="EG99" s="190">
        <v>-7290</v>
      </c>
      <c r="EH99" s="235">
        <f>EI99</f>
        <v>0</v>
      </c>
      <c r="EI99" s="187">
        <f>CL99-AC99</f>
        <v>0</v>
      </c>
      <c r="EJ99" s="235">
        <f>EK99</f>
        <v>0</v>
      </c>
      <c r="EK99" s="187">
        <f>CJ99-AA99</f>
        <v>0</v>
      </c>
      <c r="EL99" s="235">
        <f>EM99</f>
        <v>0</v>
      </c>
      <c r="EM99" s="245">
        <f>CO99-AE99</f>
        <v>0</v>
      </c>
      <c r="EN99" s="235">
        <f>EO99</f>
        <v>0</v>
      </c>
      <c r="EO99" s="245">
        <f>CP99-AH99</f>
        <v>0</v>
      </c>
      <c r="EP99" s="235">
        <f>EQ99</f>
        <v>0</v>
      </c>
      <c r="EQ99" s="187">
        <f>CR99-AJ99</f>
        <v>0</v>
      </c>
      <c r="ER99" s="235">
        <f>ES99</f>
        <v>0</v>
      </c>
      <c r="ES99" s="187">
        <f>CS99-AO99</f>
        <v>0</v>
      </c>
      <c r="ET99" s="235">
        <f>EU99</f>
        <v>0</v>
      </c>
      <c r="EU99" s="187">
        <f t="shared" si="32"/>
        <v>0</v>
      </c>
      <c r="EV99" s="235">
        <f>EW99</f>
        <v>0</v>
      </c>
      <c r="EW99" s="187">
        <f>CU99-AS99</f>
        <v>0</v>
      </c>
      <c r="EX99" s="235">
        <f>EY99</f>
        <v>0</v>
      </c>
      <c r="EY99" s="245">
        <f>CV99-AU99</f>
        <v>0</v>
      </c>
      <c r="EZ99" s="235">
        <f>FA99</f>
        <v>0</v>
      </c>
      <c r="FA99" s="245">
        <f>CY99-AX99</f>
        <v>0</v>
      </c>
      <c r="FB99" s="235">
        <f>FC99</f>
        <v>0</v>
      </c>
      <c r="FC99" s="245">
        <f>CZ99-AY99</f>
        <v>0</v>
      </c>
      <c r="FD99" s="235">
        <f>FE99</f>
        <v>0</v>
      </c>
      <c r="FE99" s="245">
        <f>DA99-AZ99</f>
        <v>0</v>
      </c>
      <c r="FF99" s="235">
        <f>FG99</f>
        <v>0</v>
      </c>
      <c r="FG99" s="245">
        <f>DB99-BA99</f>
        <v>0</v>
      </c>
      <c r="FH99" s="235">
        <f>FI99</f>
        <v>0</v>
      </c>
      <c r="FI99" s="245">
        <f>DC99-BB99</f>
        <v>0</v>
      </c>
      <c r="FJ99" s="235">
        <f>FK99</f>
        <v>0</v>
      </c>
      <c r="FK99" s="245">
        <f>CX99-AW99</f>
        <v>0</v>
      </c>
      <c r="FL99" s="235">
        <f>FM99</f>
        <v>61797.600000000006</v>
      </c>
      <c r="FM99" s="187">
        <f>DF99-BE99</f>
        <v>61797.600000000006</v>
      </c>
      <c r="FN99" s="235">
        <f>FO99</f>
        <v>69.087600000000009</v>
      </c>
      <c r="FO99" s="187">
        <f>DH99-BG99</f>
        <v>69.087600000000009</v>
      </c>
      <c r="FP99" s="235">
        <f>FQ99</f>
        <v>69.087600000000009</v>
      </c>
      <c r="FQ99" s="187">
        <f>DJ99-BI99</f>
        <v>69.087600000000009</v>
      </c>
      <c r="FR99" s="245">
        <f>DK99-BJ99</f>
        <v>211.40805600000004</v>
      </c>
      <c r="FS99" s="245">
        <f>DL99-BK99</f>
        <v>-46</v>
      </c>
      <c r="FT99" s="907">
        <f>DM99-BL99</f>
        <v>0</v>
      </c>
      <c r="FU99" s="907">
        <f>DR99-BO99</f>
        <v>0</v>
      </c>
      <c r="FV99" s="907">
        <f>DO99-BM99</f>
        <v>0</v>
      </c>
      <c r="FW99" s="907">
        <f>DQ99-BN99</f>
        <v>0</v>
      </c>
      <c r="FX99" s="907">
        <f>DS99-BP99</f>
        <v>0</v>
      </c>
      <c r="FY99" s="907">
        <f>DT99-BQ99</f>
        <v>0</v>
      </c>
      <c r="FZ99" s="907">
        <f>DU99-BR99</f>
        <v>0</v>
      </c>
      <c r="GA99" s="907">
        <f>DV99-BS99</f>
        <v>8.91</v>
      </c>
      <c r="GB99" s="894">
        <f>GC99</f>
        <v>8.91</v>
      </c>
      <c r="GC99" s="776">
        <f t="shared" si="33"/>
        <v>8.91</v>
      </c>
      <c r="GD99" s="139"/>
      <c r="GE99" s="139"/>
      <c r="GF99" s="139"/>
      <c r="GG99" s="139"/>
      <c r="GH99" s="139"/>
      <c r="GI99" s="139"/>
      <c r="GJ99" s="139"/>
      <c r="GK99" s="139"/>
      <c r="GL99" s="139"/>
      <c r="GM99" s="139"/>
      <c r="GN99" s="139"/>
      <c r="GO99" s="139"/>
      <c r="GP99" s="139"/>
      <c r="GQ99" s="139"/>
      <c r="GR99" s="139"/>
      <c r="GS99" s="139"/>
      <c r="GT99" s="139"/>
    </row>
    <row r="100" spans="1:202" s="139" customFormat="1" ht="18.75">
      <c r="A100" s="2263"/>
      <c r="B100" s="2263"/>
      <c r="C100" s="132"/>
      <c r="D100" s="132"/>
      <c r="E100" s="132"/>
      <c r="F100" s="777"/>
      <c r="G100" s="137"/>
      <c r="H100" s="132"/>
      <c r="I100" s="136"/>
      <c r="J100" s="132"/>
      <c r="K100" s="132"/>
      <c r="L100" s="132"/>
      <c r="M100" s="132"/>
      <c r="N100" s="134"/>
      <c r="O100" s="134"/>
      <c r="P100" s="134"/>
      <c r="Q100" s="134"/>
      <c r="R100" s="137"/>
      <c r="S100" s="778"/>
      <c r="T100" s="634"/>
      <c r="U100" s="102"/>
      <c r="V100" s="634"/>
      <c r="W100" s="102"/>
      <c r="X100" s="102"/>
      <c r="Y100" s="102"/>
      <c r="Z100" s="634"/>
      <c r="AA100" s="102"/>
      <c r="AB100" s="634"/>
      <c r="AC100" s="102"/>
      <c r="AD100" s="634"/>
      <c r="AE100" s="102"/>
      <c r="AF100" s="102"/>
      <c r="AG100" s="102"/>
      <c r="AH100" s="102"/>
      <c r="AI100" s="634"/>
      <c r="AJ100" s="102"/>
      <c r="AK100" s="634"/>
      <c r="AL100" s="102"/>
      <c r="AM100" s="779"/>
      <c r="AN100" s="634"/>
      <c r="AO100" s="102"/>
      <c r="AP100" s="634"/>
      <c r="AQ100" s="102"/>
      <c r="AR100" s="634"/>
      <c r="AS100" s="102"/>
      <c r="AT100" s="634"/>
      <c r="AU100" s="102"/>
      <c r="AV100" s="634"/>
      <c r="AW100" s="102"/>
      <c r="AX100" s="102"/>
      <c r="AY100" s="102"/>
      <c r="AZ100" s="102"/>
      <c r="BA100" s="102"/>
      <c r="BB100" s="102"/>
      <c r="BC100" s="102"/>
      <c r="BD100" s="634"/>
      <c r="BE100" s="102"/>
      <c r="BF100" s="634"/>
      <c r="BG100" s="102"/>
      <c r="BH100" s="634"/>
      <c r="BI100" s="102"/>
      <c r="BJ100" s="122"/>
      <c r="BK100" s="186"/>
      <c r="BL100" s="102"/>
      <c r="BM100" s="102"/>
      <c r="BN100" s="102"/>
      <c r="BO100" s="102"/>
      <c r="BP100" s="102"/>
      <c r="BQ100" s="102"/>
      <c r="BR100" s="102"/>
      <c r="BS100" s="102"/>
      <c r="BT100" s="634"/>
      <c r="BU100" s="102"/>
      <c r="BW100" s="780"/>
      <c r="CA100" s="781"/>
      <c r="CB100" s="2258"/>
      <c r="CC100" s="782"/>
      <c r="CD100" s="782"/>
      <c r="CE100" s="634"/>
      <c r="CF100" s="840"/>
      <c r="CG100" s="634"/>
      <c r="CH100" s="840"/>
      <c r="CI100" s="634"/>
      <c r="CK100" s="634"/>
      <c r="CM100" s="634"/>
      <c r="CN100" s="784"/>
      <c r="CO100" s="784"/>
      <c r="CP100" s="784"/>
      <c r="CQ100" s="634"/>
      <c r="CR100" s="102"/>
      <c r="CS100" s="784"/>
      <c r="CT100" s="784"/>
      <c r="CU100" s="784"/>
      <c r="CV100" s="784"/>
      <c r="CW100" s="634"/>
      <c r="CX100" s="784"/>
      <c r="CY100" s="784"/>
      <c r="CZ100" s="784"/>
      <c r="DA100" s="784"/>
      <c r="DB100" s="784"/>
      <c r="DC100" s="784"/>
      <c r="DD100" s="784"/>
      <c r="DE100" s="634"/>
      <c r="DF100" s="784"/>
      <c r="DG100" s="634"/>
      <c r="DH100" s="296"/>
      <c r="DI100" s="802"/>
      <c r="DJ100" s="785"/>
      <c r="DK100" s="771"/>
      <c r="DL100" s="772"/>
      <c r="DM100" s="787"/>
      <c r="DN100" s="787"/>
      <c r="DO100" s="787"/>
      <c r="DP100" s="787"/>
      <c r="DQ100" s="787"/>
      <c r="DR100" s="787"/>
      <c r="DS100" s="787"/>
      <c r="DT100" s="787"/>
      <c r="DU100" s="787"/>
      <c r="DV100" s="787"/>
      <c r="DW100" s="802"/>
      <c r="DX100" s="788"/>
      <c r="DY100" s="634"/>
      <c r="DZ100" s="2288"/>
      <c r="EA100" s="2231"/>
      <c r="EB100" s="187"/>
      <c r="EC100" s="2232"/>
      <c r="ED100" s="187"/>
      <c r="EE100" s="187"/>
      <c r="EF100" s="2232"/>
      <c r="EG100" s="245"/>
      <c r="EH100" s="2232"/>
      <c r="EI100" s="187"/>
      <c r="EJ100" s="2232"/>
      <c r="EK100" s="187"/>
      <c r="EL100" s="2232"/>
      <c r="EM100" s="195"/>
      <c r="EN100" s="2232"/>
      <c r="EO100" s="195"/>
      <c r="EP100" s="2232"/>
      <c r="EQ100" s="187"/>
      <c r="ER100" s="2232"/>
      <c r="ES100" s="187"/>
      <c r="ET100" s="2232"/>
      <c r="EU100" s="187">
        <f t="shared" si="32"/>
        <v>0</v>
      </c>
      <c r="EV100" s="2232"/>
      <c r="EW100" s="187"/>
      <c r="EX100" s="2232"/>
      <c r="EY100" s="195"/>
      <c r="EZ100" s="2232"/>
      <c r="FA100" s="195"/>
      <c r="FB100" s="2232"/>
      <c r="FC100" s="195"/>
      <c r="FD100" s="2232"/>
      <c r="FE100" s="195"/>
      <c r="FF100" s="2232"/>
      <c r="FG100" s="195"/>
      <c r="FH100" s="2232"/>
      <c r="FI100" s="195"/>
      <c r="FJ100" s="2232"/>
      <c r="FK100" s="195"/>
      <c r="FL100" s="2232"/>
      <c r="FM100" s="187"/>
      <c r="FN100" s="2232"/>
      <c r="FO100" s="187"/>
      <c r="FP100" s="2232"/>
      <c r="FQ100" s="187"/>
      <c r="FR100" s="195"/>
      <c r="FS100" s="195"/>
      <c r="FT100" s="789"/>
      <c r="FU100" s="789"/>
      <c r="FV100" s="789"/>
      <c r="FW100" s="789"/>
      <c r="FX100" s="789"/>
      <c r="FY100" s="789"/>
      <c r="FZ100" s="789"/>
      <c r="GA100" s="789"/>
      <c r="GB100" s="2289"/>
      <c r="GC100" s="776"/>
    </row>
    <row r="101" spans="1:202" s="228" customFormat="1" ht="18.75">
      <c r="A101" s="216"/>
      <c r="B101" s="216">
        <v>37</v>
      </c>
      <c r="C101" s="218" t="s">
        <v>703</v>
      </c>
      <c r="D101" s="218">
        <v>2863</v>
      </c>
      <c r="E101" s="218">
        <v>1</v>
      </c>
      <c r="F101" s="897">
        <v>2028630001</v>
      </c>
      <c r="G101" s="223">
        <v>20800</v>
      </c>
      <c r="H101" s="218" t="s">
        <v>726</v>
      </c>
      <c r="I101" s="222" t="s">
        <v>706</v>
      </c>
      <c r="J101" s="218">
        <v>1.51</v>
      </c>
      <c r="K101" s="218">
        <v>4</v>
      </c>
      <c r="L101" s="218">
        <v>0</v>
      </c>
      <c r="M101" s="218">
        <v>4.8</v>
      </c>
      <c r="N101" s="220">
        <v>31460</v>
      </c>
      <c r="O101" s="220">
        <v>0</v>
      </c>
      <c r="P101" s="220">
        <v>0</v>
      </c>
      <c r="Q101" s="220">
        <v>31460</v>
      </c>
      <c r="R101" s="223">
        <v>0</v>
      </c>
      <c r="S101" s="898" t="s">
        <v>865</v>
      </c>
      <c r="T101" s="234">
        <f>U101</f>
        <v>0</v>
      </c>
      <c r="U101" s="111">
        <v>0</v>
      </c>
      <c r="V101" s="234">
        <f>W101</f>
        <v>31460</v>
      </c>
      <c r="W101" s="111">
        <f>N101</f>
        <v>31460</v>
      </c>
      <c r="X101" s="111"/>
      <c r="Y101" s="111">
        <f>W101-AA101</f>
        <v>31460</v>
      </c>
      <c r="Z101" s="234">
        <f>AA101</f>
        <v>0</v>
      </c>
      <c r="AA101" s="111">
        <v>0</v>
      </c>
      <c r="AB101" s="234">
        <f>AC101</f>
        <v>0</v>
      </c>
      <c r="AC101" s="111">
        <v>0</v>
      </c>
      <c r="AD101" s="234">
        <f>AE101</f>
        <v>0</v>
      </c>
      <c r="AE101" s="111">
        <f>AG101+AF101</f>
        <v>0</v>
      </c>
      <c r="AF101" s="111">
        <v>0</v>
      </c>
      <c r="AG101" s="111">
        <v>0</v>
      </c>
      <c r="AH101" s="111">
        <v>0</v>
      </c>
      <c r="AI101" s="234">
        <f>AJ101</f>
        <v>0</v>
      </c>
      <c r="AJ101" s="111">
        <v>0</v>
      </c>
      <c r="AK101" s="234">
        <f>AL101</f>
        <v>6130</v>
      </c>
      <c r="AL101" s="111">
        <f>W101-(AA101+AC101+AE101+AH101+AJ101+AM101+AW101+AO101+AQ101+AS101+AU101)</f>
        <v>6130</v>
      </c>
      <c r="AM101" s="899">
        <v>0</v>
      </c>
      <c r="AN101" s="234">
        <f>AO101</f>
        <v>0</v>
      </c>
      <c r="AO101" s="111">
        <v>0</v>
      </c>
      <c r="AP101" s="234">
        <f>AQ101</f>
        <v>0</v>
      </c>
      <c r="AQ101" s="111">
        <v>0</v>
      </c>
      <c r="AR101" s="234">
        <f>AS101</f>
        <v>0</v>
      </c>
      <c r="AS101" s="111">
        <v>0</v>
      </c>
      <c r="AT101" s="234">
        <f>AU101</f>
        <v>0</v>
      </c>
      <c r="AU101" s="111">
        <v>0</v>
      </c>
      <c r="AV101" s="234">
        <f>AW101</f>
        <v>25330</v>
      </c>
      <c r="AW101" s="111">
        <f>AX101+AY101+AZ101+BA101+BB101</f>
        <v>25330</v>
      </c>
      <c r="AX101" s="111">
        <v>0</v>
      </c>
      <c r="AY101" s="111">
        <v>25330</v>
      </c>
      <c r="AZ101" s="111">
        <v>0</v>
      </c>
      <c r="BA101" s="111">
        <v>0</v>
      </c>
      <c r="BB101" s="111">
        <v>0</v>
      </c>
      <c r="BC101" s="111">
        <v>0</v>
      </c>
      <c r="BD101" s="234">
        <f>BE101</f>
        <v>31460</v>
      </c>
      <c r="BE101" s="111">
        <f>U101+W101</f>
        <v>31460</v>
      </c>
      <c r="BF101" s="234">
        <f>BG101</f>
        <v>0</v>
      </c>
      <c r="BG101" s="111">
        <f>U101/1000</f>
        <v>0</v>
      </c>
      <c r="BH101" s="234">
        <f>BI101</f>
        <v>0</v>
      </c>
      <c r="BI101" s="111">
        <v>0</v>
      </c>
      <c r="BJ101" s="122">
        <f t="shared" si="38"/>
        <v>0</v>
      </c>
      <c r="BK101" s="306">
        <f>ROUND((Y101+AC101+AA101)/1000*3,0)+ROUND((AE101+AU101)/1000,0)+ROUND((ROUND(AH101/400,0))/2.67,0)+ROUND(AM101/250,0)+ROUND(AO101/15000,0)+ROUND((AX101+AY101+AZ101+BB101)/1000*3,0)+ROUND(BG101/25,0)+ROUND(BU45/50,0)</f>
        <v>170</v>
      </c>
      <c r="BL101" s="111">
        <v>0</v>
      </c>
      <c r="BM101" s="111">
        <v>0</v>
      </c>
      <c r="BN101" s="111">
        <v>0</v>
      </c>
      <c r="BO101" s="111">
        <f>AC101/1000</f>
        <v>0</v>
      </c>
      <c r="BP101" s="111">
        <f>AH101/1000</f>
        <v>0</v>
      </c>
      <c r="BQ101" s="111">
        <v>0</v>
      </c>
      <c r="BR101" s="111">
        <v>0</v>
      </c>
      <c r="BS101" s="111">
        <v>0</v>
      </c>
      <c r="BT101" s="234">
        <f>BU101</f>
        <v>0</v>
      </c>
      <c r="BU101" s="111">
        <f>SUM(BL101:BS101)</f>
        <v>0</v>
      </c>
      <c r="BV101" s="228">
        <v>47</v>
      </c>
      <c r="BW101" s="900" t="s">
        <v>729</v>
      </c>
      <c r="BX101" s="228">
        <v>7.2</v>
      </c>
      <c r="BY101" s="228">
        <v>3.4</v>
      </c>
      <c r="BZ101" s="228">
        <v>6.5</v>
      </c>
      <c r="CA101" s="901"/>
      <c r="CB101" s="230" t="s">
        <v>866</v>
      </c>
      <c r="CC101" s="399">
        <f>(BX101*G101)-CF101</f>
        <v>124430</v>
      </c>
      <c r="CD101" s="399">
        <v>124430</v>
      </c>
      <c r="CE101" s="234">
        <f>CF101</f>
        <v>25330</v>
      </c>
      <c r="CF101" s="902">
        <f>CX101</f>
        <v>25330</v>
      </c>
      <c r="CG101" s="234">
        <f>CH101</f>
        <v>25330</v>
      </c>
      <c r="CH101" s="902">
        <f>CF101-CJ101</f>
        <v>25330</v>
      </c>
      <c r="CI101" s="234">
        <f>CJ101</f>
        <v>0</v>
      </c>
      <c r="CJ101" s="228">
        <v>0</v>
      </c>
      <c r="CK101" s="234">
        <f>CL101</f>
        <v>0</v>
      </c>
      <c r="CL101" s="228">
        <v>0</v>
      </c>
      <c r="CM101" s="234">
        <f>CN101</f>
        <v>0</v>
      </c>
      <c r="CN101" s="111">
        <f>CF101-(CJ101+CL101+CO101+CP101+CR101+CU101+CV101+CX101)</f>
        <v>0</v>
      </c>
      <c r="CO101" s="903">
        <v>0</v>
      </c>
      <c r="CP101" s="903">
        <v>0</v>
      </c>
      <c r="CQ101" s="234">
        <f>CR101</f>
        <v>0</v>
      </c>
      <c r="CR101" s="111">
        <v>0</v>
      </c>
      <c r="CS101" s="903">
        <v>0</v>
      </c>
      <c r="CT101" s="903">
        <v>0</v>
      </c>
      <c r="CU101" s="903">
        <v>0</v>
      </c>
      <c r="CV101" s="903">
        <v>0</v>
      </c>
      <c r="CW101" s="234">
        <f>CX101</f>
        <v>25330</v>
      </c>
      <c r="CX101" s="111">
        <f>SUM(CY101:DC101)</f>
        <v>25330</v>
      </c>
      <c r="CY101" s="903">
        <f>AX101</f>
        <v>0</v>
      </c>
      <c r="CZ101" s="903">
        <f>AY101</f>
        <v>25330</v>
      </c>
      <c r="DA101" s="903">
        <f>AZ101</f>
        <v>0</v>
      </c>
      <c r="DB101" s="903">
        <f>BA101</f>
        <v>0</v>
      </c>
      <c r="DC101" s="903">
        <f>BB101</f>
        <v>0</v>
      </c>
      <c r="DD101" s="903"/>
      <c r="DE101" s="234">
        <f>DF101</f>
        <v>149760</v>
      </c>
      <c r="DF101" s="111">
        <f>CC101+CF101</f>
        <v>149760</v>
      </c>
      <c r="DG101" s="234">
        <f>DH101</f>
        <v>124.43</v>
      </c>
      <c r="DH101" s="904">
        <f>CC101/'[1]Projected Development Sites'!DF$134</f>
        <v>124.43</v>
      </c>
      <c r="DI101" s="886">
        <f>DJ101</f>
        <v>124.43</v>
      </c>
      <c r="DJ101" s="803">
        <f>'[1]Projected Development Sites'!DK$136*DH101</f>
        <v>124.43</v>
      </c>
      <c r="DK101" s="771">
        <f>3.06*DH101</f>
        <v>380.75580000000002</v>
      </c>
      <c r="DL101" s="772">
        <f>ROUND((CN101+CL101+CJ101)/1000*3,0)+ROUND((ROUND(CP101/400,0))/2.67,0)+ROUND(CV101/1000,0)+ROUND((CY101+CZ101+DA101+DC101)/1000*3,0)+ROUND(DH101/25,0)+ROUND(DX101/50,0)</f>
        <v>82</v>
      </c>
      <c r="DM101" s="905">
        <v>0</v>
      </c>
      <c r="DN101" s="905"/>
      <c r="DO101" s="905">
        <v>0</v>
      </c>
      <c r="DP101" s="905">
        <f>0.25*DJ101</f>
        <v>31.107500000000002</v>
      </c>
      <c r="DQ101" s="905">
        <f>SUM(CO101,CJ101,CN101,CR101,CU101)/1000</f>
        <v>0</v>
      </c>
      <c r="DR101" s="905">
        <f>CL101/1000</f>
        <v>0</v>
      </c>
      <c r="DS101" s="905">
        <f>((CP101/400)/12)</f>
        <v>0</v>
      </c>
      <c r="DT101" s="905">
        <v>0</v>
      </c>
      <c r="DU101" s="905">
        <v>0</v>
      </c>
      <c r="DV101" s="905">
        <f>CX101/1000</f>
        <v>25.33</v>
      </c>
      <c r="DW101" s="886">
        <f>DX101</f>
        <v>25.33</v>
      </c>
      <c r="DX101" s="906">
        <f>SUM(DM101,DO101,DQ101:DV101)</f>
        <v>25.33</v>
      </c>
      <c r="DY101" s="837">
        <v>165</v>
      </c>
      <c r="DZ101" s="2288">
        <f>CD101-T101</f>
        <v>124430</v>
      </c>
      <c r="EA101" s="2231">
        <f>CE101-V101</f>
        <v>-6130</v>
      </c>
      <c r="EB101" s="187">
        <f>CF101-W101</f>
        <v>-6130</v>
      </c>
      <c r="EC101" s="235">
        <f>ED101</f>
        <v>-6130</v>
      </c>
      <c r="ED101" s="187">
        <v>-6130</v>
      </c>
      <c r="EE101" s="187">
        <f>(SUM(CJ101:CO101))-(SUM(AA101:AE101,AL101))</f>
        <v>-6130</v>
      </c>
      <c r="EF101" s="235">
        <f>EG101</f>
        <v>-6130</v>
      </c>
      <c r="EG101" s="245">
        <v>-6130</v>
      </c>
      <c r="EH101" s="235">
        <f>EI101</f>
        <v>0</v>
      </c>
      <c r="EI101" s="187">
        <f>CL101-AC101</f>
        <v>0</v>
      </c>
      <c r="EJ101" s="235">
        <f>EK101</f>
        <v>0</v>
      </c>
      <c r="EK101" s="187">
        <f>CJ101-AA101</f>
        <v>0</v>
      </c>
      <c r="EL101" s="235">
        <f>EM101</f>
        <v>0</v>
      </c>
      <c r="EM101" s="245">
        <f>CO101-AE101</f>
        <v>0</v>
      </c>
      <c r="EN101" s="235">
        <f>EO101</f>
        <v>0</v>
      </c>
      <c r="EO101" s="245">
        <f>CP101-AH101</f>
        <v>0</v>
      </c>
      <c r="EP101" s="235">
        <f>EQ101</f>
        <v>0</v>
      </c>
      <c r="EQ101" s="187">
        <f>CR101-AJ101</f>
        <v>0</v>
      </c>
      <c r="ER101" s="235">
        <f>ES101</f>
        <v>0</v>
      </c>
      <c r="ES101" s="187">
        <f>CS101-AO101</f>
        <v>0</v>
      </c>
      <c r="ET101" s="235">
        <f>EU101</f>
        <v>0</v>
      </c>
      <c r="EU101" s="187">
        <f t="shared" si="32"/>
        <v>0</v>
      </c>
      <c r="EV101" s="235">
        <f>EW101</f>
        <v>0</v>
      </c>
      <c r="EW101" s="187">
        <f>CU101-AS101</f>
        <v>0</v>
      </c>
      <c r="EX101" s="235">
        <f>EY101</f>
        <v>0</v>
      </c>
      <c r="EY101" s="245">
        <f>CV101-AU101</f>
        <v>0</v>
      </c>
      <c r="EZ101" s="235">
        <f>FA101</f>
        <v>0</v>
      </c>
      <c r="FA101" s="245">
        <f>CY101-AX101</f>
        <v>0</v>
      </c>
      <c r="FB101" s="235">
        <f>FC101</f>
        <v>0</v>
      </c>
      <c r="FC101" s="245">
        <f>CZ101-AY101</f>
        <v>0</v>
      </c>
      <c r="FD101" s="235">
        <f>FE101</f>
        <v>0</v>
      </c>
      <c r="FE101" s="245">
        <f>DA101-AZ101</f>
        <v>0</v>
      </c>
      <c r="FF101" s="235">
        <f>FG101</f>
        <v>0</v>
      </c>
      <c r="FG101" s="245">
        <f>DB101-BA101</f>
        <v>0</v>
      </c>
      <c r="FH101" s="235">
        <f>FI101</f>
        <v>0</v>
      </c>
      <c r="FI101" s="245">
        <f>DC101-BB101</f>
        <v>0</v>
      </c>
      <c r="FJ101" s="235">
        <f>FK101</f>
        <v>0</v>
      </c>
      <c r="FK101" s="245">
        <f>CX101-AW101</f>
        <v>0</v>
      </c>
      <c r="FL101" s="235">
        <f>FM101</f>
        <v>118300</v>
      </c>
      <c r="FM101" s="187">
        <f>DF101-BE101</f>
        <v>118300</v>
      </c>
      <c r="FN101" s="235">
        <f>FO101</f>
        <v>124.43</v>
      </c>
      <c r="FO101" s="187">
        <f>DH101-BG101</f>
        <v>124.43</v>
      </c>
      <c r="FP101" s="235">
        <f>FQ101</f>
        <v>124.43</v>
      </c>
      <c r="FQ101" s="187">
        <f>DJ101-BI101</f>
        <v>124.43</v>
      </c>
      <c r="FR101" s="245">
        <f>DK101-BJ101</f>
        <v>380.75580000000002</v>
      </c>
      <c r="FS101" s="245">
        <f>DL101-BK101</f>
        <v>-88</v>
      </c>
      <c r="FT101" s="907">
        <f>DM101-BL101</f>
        <v>0</v>
      </c>
      <c r="FU101" s="907">
        <f>DR101-BO101</f>
        <v>0</v>
      </c>
      <c r="FV101" s="907">
        <f>DO101-BM101</f>
        <v>0</v>
      </c>
      <c r="FW101" s="907">
        <f>DQ101-BN101</f>
        <v>0</v>
      </c>
      <c r="FX101" s="907">
        <f>DS101-BP101</f>
        <v>0</v>
      </c>
      <c r="FY101" s="907">
        <f>DT101-BQ101</f>
        <v>0</v>
      </c>
      <c r="FZ101" s="907">
        <f>DU101-BR101</f>
        <v>0</v>
      </c>
      <c r="GA101" s="907">
        <f>DV101-BS101</f>
        <v>25.33</v>
      </c>
      <c r="GB101" s="894">
        <f>GC101</f>
        <v>25.33</v>
      </c>
      <c r="GC101" s="776">
        <f t="shared" si="33"/>
        <v>25.33</v>
      </c>
      <c r="GD101" s="139"/>
      <c r="GE101" s="139"/>
      <c r="GF101" s="139"/>
      <c r="GG101" s="139"/>
      <c r="GH101" s="139"/>
      <c r="GI101" s="139"/>
      <c r="GJ101" s="139"/>
      <c r="GK101" s="139"/>
      <c r="GL101" s="139"/>
      <c r="GM101" s="139"/>
      <c r="GN101" s="139"/>
      <c r="GO101" s="139"/>
      <c r="GP101" s="139"/>
      <c r="GQ101" s="139"/>
      <c r="GR101" s="139"/>
      <c r="GS101" s="139"/>
      <c r="GT101" s="139"/>
    </row>
    <row r="102" spans="1:202" s="139" customFormat="1" ht="18.75">
      <c r="A102" s="2263"/>
      <c r="B102" s="2263"/>
      <c r="C102" s="132"/>
      <c r="D102" s="132"/>
      <c r="E102" s="132"/>
      <c r="F102" s="777"/>
      <c r="G102" s="137"/>
      <c r="H102" s="132"/>
      <c r="I102" s="136"/>
      <c r="J102" s="132"/>
      <c r="K102" s="132"/>
      <c r="L102" s="132"/>
      <c r="M102" s="132"/>
      <c r="N102" s="134"/>
      <c r="O102" s="134"/>
      <c r="P102" s="134"/>
      <c r="Q102" s="134"/>
      <c r="R102" s="137"/>
      <c r="S102" s="778"/>
      <c r="T102" s="634"/>
      <c r="U102" s="102"/>
      <c r="V102" s="634"/>
      <c r="W102" s="102"/>
      <c r="X102" s="102"/>
      <c r="Y102" s="102"/>
      <c r="Z102" s="634"/>
      <c r="AA102" s="266"/>
      <c r="AB102" s="634"/>
      <c r="AC102" s="102"/>
      <c r="AD102" s="634"/>
      <c r="AE102" s="102"/>
      <c r="AF102" s="102"/>
      <c r="AG102" s="102"/>
      <c r="AH102" s="102"/>
      <c r="AI102" s="634"/>
      <c r="AJ102" s="102"/>
      <c r="AK102" s="634"/>
      <c r="AL102" s="102"/>
      <c r="AM102" s="779"/>
      <c r="AN102" s="634"/>
      <c r="AO102" s="102"/>
      <c r="AP102" s="634"/>
      <c r="AQ102" s="102"/>
      <c r="AR102" s="634"/>
      <c r="AS102" s="102"/>
      <c r="AT102" s="634"/>
      <c r="AU102" s="102"/>
      <c r="AV102" s="634"/>
      <c r="AW102" s="102"/>
      <c r="AX102" s="102"/>
      <c r="AY102" s="102"/>
      <c r="AZ102" s="102"/>
      <c r="BA102" s="102"/>
      <c r="BB102" s="102"/>
      <c r="BC102" s="102"/>
      <c r="BD102" s="634"/>
      <c r="BE102" s="102"/>
      <c r="BF102" s="634"/>
      <c r="BG102" s="102"/>
      <c r="BH102" s="634"/>
      <c r="BI102" s="102"/>
      <c r="BJ102" s="122"/>
      <c r="BK102" s="186"/>
      <c r="BL102" s="102"/>
      <c r="BM102" s="102"/>
      <c r="BN102" s="102"/>
      <c r="BO102" s="102"/>
      <c r="BP102" s="102"/>
      <c r="BQ102" s="102"/>
      <c r="BR102" s="102"/>
      <c r="BS102" s="102"/>
      <c r="BT102" s="634"/>
      <c r="BU102" s="102"/>
      <c r="BW102" s="780"/>
      <c r="CA102" s="781"/>
      <c r="CB102" s="2258"/>
      <c r="CC102" s="782"/>
      <c r="CD102" s="782"/>
      <c r="CE102" s="634"/>
      <c r="CF102" s="783"/>
      <c r="CG102" s="634"/>
      <c r="CH102" s="783"/>
      <c r="CI102" s="634"/>
      <c r="CK102" s="634"/>
      <c r="CM102" s="634"/>
      <c r="CN102" s="784"/>
      <c r="CO102" s="784"/>
      <c r="CP102" s="784"/>
      <c r="CQ102" s="634"/>
      <c r="CR102" s="102"/>
      <c r="CS102" s="784"/>
      <c r="CT102" s="784"/>
      <c r="CU102" s="784"/>
      <c r="CV102" s="784"/>
      <c r="CW102" s="634"/>
      <c r="CX102" s="102"/>
      <c r="CY102" s="784"/>
      <c r="CZ102" s="784"/>
      <c r="DA102" s="784"/>
      <c r="DB102" s="784"/>
      <c r="DC102" s="784"/>
      <c r="DD102" s="784"/>
      <c r="DE102" s="634"/>
      <c r="DF102" s="784"/>
      <c r="DG102" s="634"/>
      <c r="DH102" s="296"/>
      <c r="DI102" s="802"/>
      <c r="DJ102" s="785"/>
      <c r="DK102" s="771"/>
      <c r="DL102" s="772"/>
      <c r="DM102" s="787"/>
      <c r="DN102" s="787"/>
      <c r="DO102" s="787"/>
      <c r="DP102" s="787"/>
      <c r="DQ102" s="787"/>
      <c r="DR102" s="787"/>
      <c r="DS102" s="787"/>
      <c r="DT102" s="787"/>
      <c r="DU102" s="787"/>
      <c r="DV102" s="787"/>
      <c r="DW102" s="802"/>
      <c r="DX102" s="788"/>
      <c r="DY102" s="634"/>
      <c r="DZ102" s="2288"/>
      <c r="EA102" s="2231"/>
      <c r="EB102" s="187"/>
      <c r="EC102" s="2232"/>
      <c r="ED102" s="187"/>
      <c r="EE102" s="187"/>
      <c r="EF102" s="2232"/>
      <c r="EG102" s="245"/>
      <c r="EH102" s="2232"/>
      <c r="EI102" s="187"/>
      <c r="EJ102" s="2232"/>
      <c r="EK102" s="187"/>
      <c r="EL102" s="2232"/>
      <c r="EM102" s="195"/>
      <c r="EN102" s="2232"/>
      <c r="EO102" s="195"/>
      <c r="EP102" s="2232"/>
      <c r="EQ102" s="187"/>
      <c r="ER102" s="2232"/>
      <c r="ES102" s="187"/>
      <c r="ET102" s="2232"/>
      <c r="EU102" s="187">
        <f t="shared" si="32"/>
        <v>0</v>
      </c>
      <c r="EV102" s="2232"/>
      <c r="EW102" s="187"/>
      <c r="EX102" s="2232"/>
      <c r="EY102" s="195"/>
      <c r="EZ102" s="2232"/>
      <c r="FA102" s="195"/>
      <c r="FB102" s="2232"/>
      <c r="FC102" s="195"/>
      <c r="FD102" s="2232"/>
      <c r="FE102" s="195"/>
      <c r="FF102" s="2232"/>
      <c r="FG102" s="195"/>
      <c r="FH102" s="2232"/>
      <c r="FI102" s="195"/>
      <c r="FJ102" s="2232"/>
      <c r="FK102" s="195"/>
      <c r="FL102" s="2232"/>
      <c r="FM102" s="187"/>
      <c r="FN102" s="2232"/>
      <c r="FO102" s="187"/>
      <c r="FP102" s="2232"/>
      <c r="FQ102" s="187"/>
      <c r="FR102" s="195"/>
      <c r="FS102" s="195"/>
      <c r="FT102" s="789"/>
      <c r="FU102" s="789"/>
      <c r="FV102" s="789"/>
      <c r="FW102" s="789"/>
      <c r="FX102" s="789"/>
      <c r="FY102" s="789"/>
      <c r="FZ102" s="789"/>
      <c r="GA102" s="789"/>
      <c r="GB102" s="2289"/>
      <c r="GC102" s="776"/>
    </row>
    <row r="103" spans="1:202" s="228" customFormat="1" ht="18.75">
      <c r="A103" s="216"/>
      <c r="B103" s="216">
        <v>38</v>
      </c>
      <c r="C103" s="218" t="s">
        <v>703</v>
      </c>
      <c r="D103" s="218">
        <v>2862</v>
      </c>
      <c r="E103" s="218">
        <v>90</v>
      </c>
      <c r="F103" s="897">
        <v>2028620090</v>
      </c>
      <c r="G103" s="223">
        <v>18874</v>
      </c>
      <c r="H103" s="218" t="s">
        <v>704</v>
      </c>
      <c r="I103" s="222"/>
      <c r="J103" s="218">
        <v>1.96</v>
      </c>
      <c r="K103" s="218">
        <v>0</v>
      </c>
      <c r="L103" s="218">
        <v>2</v>
      </c>
      <c r="M103" s="218">
        <v>6.5</v>
      </c>
      <c r="N103" s="220">
        <v>37000</v>
      </c>
      <c r="O103" s="220">
        <f>AE103</f>
        <v>16612.599999999999</v>
      </c>
      <c r="P103" s="220">
        <v>0</v>
      </c>
      <c r="Q103" s="220">
        <v>37000</v>
      </c>
      <c r="R103" s="223">
        <v>0</v>
      </c>
      <c r="S103" s="898" t="s">
        <v>867</v>
      </c>
      <c r="T103" s="234">
        <f>U103</f>
        <v>0</v>
      </c>
      <c r="U103" s="111">
        <v>0</v>
      </c>
      <c r="V103" s="234">
        <f>W103</f>
        <v>37000</v>
      </c>
      <c r="W103" s="111">
        <f>N103</f>
        <v>37000</v>
      </c>
      <c r="X103" s="111"/>
      <c r="Y103" s="111">
        <f>W103-AA103</f>
        <v>35112.6</v>
      </c>
      <c r="Z103" s="234">
        <f>AA103</f>
        <v>1887.4</v>
      </c>
      <c r="AA103" s="111">
        <f>0.1*G103</f>
        <v>1887.4</v>
      </c>
      <c r="AB103" s="234">
        <f>AC103</f>
        <v>0</v>
      </c>
      <c r="AC103" s="111">
        <v>0</v>
      </c>
      <c r="AD103" s="234">
        <f>AE103</f>
        <v>16612.599999999999</v>
      </c>
      <c r="AE103" s="111">
        <f>AG103+AF103</f>
        <v>16612.599999999999</v>
      </c>
      <c r="AF103" s="111">
        <v>0</v>
      </c>
      <c r="AG103" s="111">
        <f>(0.5*N103)-AA103</f>
        <v>16612.599999999999</v>
      </c>
      <c r="AH103" s="111">
        <v>0</v>
      </c>
      <c r="AI103" s="234">
        <f>AJ103</f>
        <v>0</v>
      </c>
      <c r="AJ103" s="111">
        <v>0</v>
      </c>
      <c r="AK103" s="234">
        <f>AL103</f>
        <v>0</v>
      </c>
      <c r="AL103" s="111">
        <f>W103-(AA103+AC103+AE103+AH103+AJ103+AM103+AW103+AO103+AQ103+AS103+AU103)</f>
        <v>0</v>
      </c>
      <c r="AM103" s="899">
        <v>0</v>
      </c>
      <c r="AN103" s="234">
        <f>AO103</f>
        <v>0</v>
      </c>
      <c r="AO103" s="111">
        <v>0</v>
      </c>
      <c r="AP103" s="234">
        <f>AQ103</f>
        <v>18500</v>
      </c>
      <c r="AQ103" s="111">
        <f>Q103/2</f>
        <v>18500</v>
      </c>
      <c r="AR103" s="234">
        <f>AS103</f>
        <v>0</v>
      </c>
      <c r="AS103" s="111">
        <v>0</v>
      </c>
      <c r="AT103" s="234">
        <f>AU103</f>
        <v>0</v>
      </c>
      <c r="AU103" s="111">
        <v>0</v>
      </c>
      <c r="AV103" s="234">
        <f>AW103</f>
        <v>0</v>
      </c>
      <c r="AW103" s="111">
        <f>AX103+AY103+AZ103+BA103+BB103</f>
        <v>0</v>
      </c>
      <c r="AX103" s="111">
        <v>0</v>
      </c>
      <c r="AY103" s="111">
        <v>0</v>
      </c>
      <c r="AZ103" s="111">
        <v>0</v>
      </c>
      <c r="BA103" s="111">
        <v>0</v>
      </c>
      <c r="BB103" s="111">
        <v>0</v>
      </c>
      <c r="BC103" s="111">
        <v>0</v>
      </c>
      <c r="BD103" s="234">
        <f>BE103</f>
        <v>37000</v>
      </c>
      <c r="BE103" s="111">
        <f>U103+W103</f>
        <v>37000</v>
      </c>
      <c r="BF103" s="234">
        <f>BG103</f>
        <v>0</v>
      </c>
      <c r="BG103" s="111">
        <f>U103/1000</f>
        <v>0</v>
      </c>
      <c r="BH103" s="234">
        <f>BI103</f>
        <v>0</v>
      </c>
      <c r="BI103" s="111">
        <v>0</v>
      </c>
      <c r="BJ103" s="122">
        <f t="shared" si="38"/>
        <v>0</v>
      </c>
      <c r="BK103" s="306">
        <f>ROUND((Y103+AC103+AA103)/1000*3,0)+ROUND((AE103+AU103)/1000,0)+ROUND((ROUND(AH103/400,0))/2.67,0)+ROUND(AM103/250,0)+ROUND(AO103/15000,0)+ROUND((AX103+AY103+AZ103+BB103)/1000*3,0)+ROUND(BG103/25,0)+ROUND(BU267/50,0)</f>
        <v>128</v>
      </c>
      <c r="BL103" s="111">
        <v>0</v>
      </c>
      <c r="BM103" s="111">
        <v>0</v>
      </c>
      <c r="BN103" s="111">
        <v>0</v>
      </c>
      <c r="BO103" s="111">
        <f>AC103/1000</f>
        <v>0</v>
      </c>
      <c r="BP103" s="111">
        <f>AH103/1000</f>
        <v>0</v>
      </c>
      <c r="BQ103" s="111">
        <v>30</v>
      </c>
      <c r="BR103" s="111">
        <v>0</v>
      </c>
      <c r="BS103" s="111">
        <v>0</v>
      </c>
      <c r="BT103" s="234">
        <f>BU103</f>
        <v>30</v>
      </c>
      <c r="BU103" s="111">
        <f>SUM(BL103:BS103)</f>
        <v>30</v>
      </c>
      <c r="BV103" s="228">
        <v>25</v>
      </c>
      <c r="BW103" s="900" t="s">
        <v>729</v>
      </c>
      <c r="BX103" s="228">
        <v>7.2</v>
      </c>
      <c r="BY103" s="228">
        <v>3.4</v>
      </c>
      <c r="BZ103" s="228">
        <v>6.5</v>
      </c>
      <c r="CA103" s="901"/>
      <c r="CB103" s="230" t="s">
        <v>716</v>
      </c>
      <c r="CC103" s="399">
        <f>(BX103*G103)-CF103</f>
        <v>119849.90000000002</v>
      </c>
      <c r="CD103" s="399">
        <v>119849.90000000002</v>
      </c>
      <c r="CE103" s="234">
        <f>CF103</f>
        <v>16042.9</v>
      </c>
      <c r="CF103" s="836">
        <f>1*(G103)-(0.15*1*(G103))</f>
        <v>16042.9</v>
      </c>
      <c r="CG103" s="234">
        <f>CH103</f>
        <v>16042.9</v>
      </c>
      <c r="CH103" s="836">
        <f>CF103-CJ103</f>
        <v>16042.9</v>
      </c>
      <c r="CI103" s="234">
        <f>CJ103</f>
        <v>0</v>
      </c>
      <c r="CJ103" s="228">
        <v>0</v>
      </c>
      <c r="CK103" s="234">
        <f>CL103</f>
        <v>0</v>
      </c>
      <c r="CL103" s="228">
        <v>0</v>
      </c>
      <c r="CM103" s="234">
        <f>CN103</f>
        <v>16042.9</v>
      </c>
      <c r="CN103" s="903">
        <f>CF103-(CJ103+CL103+CO103+CP103+CR103+CU103+CV103+CX103)</f>
        <v>16042.9</v>
      </c>
      <c r="CO103" s="903">
        <v>0</v>
      </c>
      <c r="CP103" s="903">
        <v>0</v>
      </c>
      <c r="CQ103" s="234">
        <f>CR103</f>
        <v>0</v>
      </c>
      <c r="CR103" s="111">
        <v>0</v>
      </c>
      <c r="CS103" s="903">
        <v>0</v>
      </c>
      <c r="CT103" s="903">
        <v>0</v>
      </c>
      <c r="CU103" s="903">
        <v>0</v>
      </c>
      <c r="CV103" s="903">
        <v>0</v>
      </c>
      <c r="CW103" s="234">
        <f>CX103</f>
        <v>0</v>
      </c>
      <c r="CX103" s="111">
        <f>SUM(CY103:DC103)</f>
        <v>0</v>
      </c>
      <c r="CY103" s="903">
        <f>AX103</f>
        <v>0</v>
      </c>
      <c r="CZ103" s="903">
        <f>AY103</f>
        <v>0</v>
      </c>
      <c r="DA103" s="903">
        <f>AZ103</f>
        <v>0</v>
      </c>
      <c r="DB103" s="903">
        <f>BA103</f>
        <v>0</v>
      </c>
      <c r="DC103" s="903">
        <f>BB103</f>
        <v>0</v>
      </c>
      <c r="DD103" s="903"/>
      <c r="DE103" s="234">
        <f>DF103</f>
        <v>135892.80000000002</v>
      </c>
      <c r="DF103" s="903">
        <f>CC103+CF103</f>
        <v>135892.80000000002</v>
      </c>
      <c r="DG103" s="234">
        <f>DH103</f>
        <v>119.84990000000002</v>
      </c>
      <c r="DH103" s="904">
        <f>CC103/'[1]Projected Development Sites'!DF$134</f>
        <v>119.84990000000002</v>
      </c>
      <c r="DI103" s="886">
        <f>DJ103</f>
        <v>119.84990000000002</v>
      </c>
      <c r="DJ103" s="803">
        <f>'[1]Projected Development Sites'!DK$136*DH103</f>
        <v>119.84990000000002</v>
      </c>
      <c r="DK103" s="771">
        <f>3.06*DH103</f>
        <v>366.74069400000008</v>
      </c>
      <c r="DL103" s="772">
        <f>ROUND((CN103+CL103+CJ103)/1000*3,0)+ROUND((ROUND(CP103/400,0))/2.67,0)+ROUND(CV103/1000,0)+ROUND((CY103+CZ103+DA103+DC103)/1000*3,0)+ROUND(DH103/25,0)+ROUND(DX103/50,0)</f>
        <v>53</v>
      </c>
      <c r="DM103" s="905">
        <v>0</v>
      </c>
      <c r="DN103" s="905"/>
      <c r="DO103" s="905">
        <v>0</v>
      </c>
      <c r="DP103" s="905">
        <f>0.25*DJ103</f>
        <v>29.962475000000005</v>
      </c>
      <c r="DQ103" s="905">
        <f>SUM(CO103,CJ103,CN103,CR103,CU103)/1000</f>
        <v>16.042899999999999</v>
      </c>
      <c r="DR103" s="905">
        <f>CL103/1000</f>
        <v>0</v>
      </c>
      <c r="DS103" s="905">
        <f>((CP103/400)/12)</f>
        <v>0</v>
      </c>
      <c r="DT103" s="905">
        <v>0</v>
      </c>
      <c r="DU103" s="905">
        <v>0</v>
      </c>
      <c r="DV103" s="905">
        <f>CX103/1000</f>
        <v>0</v>
      </c>
      <c r="DW103" s="886">
        <f>DX103</f>
        <v>16.042899999999999</v>
      </c>
      <c r="DX103" s="906">
        <f>SUM(DM103,DO103,DQ103:DV103)</f>
        <v>16.042899999999999</v>
      </c>
      <c r="DY103" s="837">
        <v>165</v>
      </c>
      <c r="DZ103" s="2288">
        <f>CD103-T103</f>
        <v>119849.90000000002</v>
      </c>
      <c r="EA103" s="2231">
        <f>CE103-V103</f>
        <v>-20957.099999999999</v>
      </c>
      <c r="EB103" s="187">
        <f>CF103-W103</f>
        <v>-20957.099999999999</v>
      </c>
      <c r="EC103" s="235">
        <f>ED103</f>
        <v>-2457.1000000000004</v>
      </c>
      <c r="ED103" s="187">
        <v>-2457.1000000000004</v>
      </c>
      <c r="EE103" s="187">
        <f>(SUM(CJ103:CO103))-(SUM(AA103:AE103,AL103))</f>
        <v>-3026.7999999999993</v>
      </c>
      <c r="EF103" s="235">
        <f>EG103</f>
        <v>16042.9</v>
      </c>
      <c r="EG103" s="245">
        <v>16042.9</v>
      </c>
      <c r="EH103" s="235">
        <f>EI103</f>
        <v>0</v>
      </c>
      <c r="EI103" s="187">
        <f>CL103-AC103</f>
        <v>0</v>
      </c>
      <c r="EJ103" s="235">
        <f>EK103</f>
        <v>-1887.4</v>
      </c>
      <c r="EK103" s="187">
        <f>CJ103-AA103</f>
        <v>-1887.4</v>
      </c>
      <c r="EL103" s="235">
        <f>EM103</f>
        <v>-16612.599999999999</v>
      </c>
      <c r="EM103" s="245">
        <f>CO103-AE103</f>
        <v>-16612.599999999999</v>
      </c>
      <c r="EN103" s="235">
        <f>EO103</f>
        <v>0</v>
      </c>
      <c r="EO103" s="245">
        <f>CP103-AH103</f>
        <v>0</v>
      </c>
      <c r="EP103" s="235">
        <f>EQ103</f>
        <v>0</v>
      </c>
      <c r="EQ103" s="187">
        <f>CR103-AJ103</f>
        <v>0</v>
      </c>
      <c r="ER103" s="235">
        <f>ES103</f>
        <v>0</v>
      </c>
      <c r="ES103" s="187">
        <f>CS103-AO103</f>
        <v>0</v>
      </c>
      <c r="ET103" s="235">
        <f>EU103</f>
        <v>-18500</v>
      </c>
      <c r="EU103" s="187">
        <f t="shared" si="32"/>
        <v>-18500</v>
      </c>
      <c r="EV103" s="235">
        <f>EW103</f>
        <v>0</v>
      </c>
      <c r="EW103" s="187">
        <f>CU103-AS103</f>
        <v>0</v>
      </c>
      <c r="EX103" s="235">
        <f>EY103</f>
        <v>0</v>
      </c>
      <c r="EY103" s="245">
        <f>CV103-AU103</f>
        <v>0</v>
      </c>
      <c r="EZ103" s="235">
        <f>FA103</f>
        <v>0</v>
      </c>
      <c r="FA103" s="245">
        <f>CY103-AX103</f>
        <v>0</v>
      </c>
      <c r="FB103" s="235">
        <f>FC103</f>
        <v>0</v>
      </c>
      <c r="FC103" s="245">
        <f>CZ103-AY103</f>
        <v>0</v>
      </c>
      <c r="FD103" s="235">
        <f>FE103</f>
        <v>0</v>
      </c>
      <c r="FE103" s="245">
        <f>DA103-AZ103</f>
        <v>0</v>
      </c>
      <c r="FF103" s="235">
        <f>FG103</f>
        <v>0</v>
      </c>
      <c r="FG103" s="245">
        <f>DB103-BA103</f>
        <v>0</v>
      </c>
      <c r="FH103" s="235">
        <f>FI103</f>
        <v>0</v>
      </c>
      <c r="FI103" s="245">
        <f>DC103-BB103</f>
        <v>0</v>
      </c>
      <c r="FJ103" s="235">
        <f>FK103</f>
        <v>0</v>
      </c>
      <c r="FK103" s="245">
        <f>CX103-AW103</f>
        <v>0</v>
      </c>
      <c r="FL103" s="235">
        <f>FM103</f>
        <v>98892.800000000017</v>
      </c>
      <c r="FM103" s="187">
        <f>DF103-BE103</f>
        <v>98892.800000000017</v>
      </c>
      <c r="FN103" s="235">
        <f>FO103</f>
        <v>119.84990000000002</v>
      </c>
      <c r="FO103" s="187">
        <f>DH103-BG103</f>
        <v>119.84990000000002</v>
      </c>
      <c r="FP103" s="235">
        <f>FQ103</f>
        <v>119.84990000000002</v>
      </c>
      <c r="FQ103" s="187">
        <f>DJ103-BI103</f>
        <v>119.84990000000002</v>
      </c>
      <c r="FR103" s="245">
        <f>DK103-BJ103</f>
        <v>366.74069400000008</v>
      </c>
      <c r="FS103" s="245">
        <f>DL103-BK103</f>
        <v>-75</v>
      </c>
      <c r="FT103" s="907">
        <f>DM103-BL103</f>
        <v>0</v>
      </c>
      <c r="FU103" s="907">
        <f>DR103-BO103</f>
        <v>0</v>
      </c>
      <c r="FV103" s="907">
        <f>DO103-BM103</f>
        <v>0</v>
      </c>
      <c r="FW103" s="907">
        <f>DQ103-BN103</f>
        <v>16.042899999999999</v>
      </c>
      <c r="FX103" s="907">
        <f>DS103-BP103</f>
        <v>0</v>
      </c>
      <c r="FY103" s="907">
        <f>DT103-BQ103</f>
        <v>-30</v>
      </c>
      <c r="FZ103" s="907">
        <f>DU103-BR103</f>
        <v>0</v>
      </c>
      <c r="GA103" s="907">
        <f>DV103-BS103</f>
        <v>0</v>
      </c>
      <c r="GB103" s="894">
        <f>GC103</f>
        <v>-13.957100000000001</v>
      </c>
      <c r="GC103" s="776">
        <f t="shared" si="33"/>
        <v>-13.957100000000001</v>
      </c>
      <c r="GD103" s="139"/>
      <c r="GE103" s="139"/>
      <c r="GF103" s="139"/>
      <c r="GG103" s="139"/>
      <c r="GH103" s="139"/>
      <c r="GI103" s="139"/>
      <c r="GJ103" s="139"/>
      <c r="GK103" s="139"/>
      <c r="GL103" s="139"/>
      <c r="GM103" s="139"/>
      <c r="GN103" s="139"/>
      <c r="GO103" s="139"/>
      <c r="GP103" s="139"/>
      <c r="GQ103" s="139"/>
      <c r="GR103" s="139"/>
      <c r="GS103" s="139"/>
      <c r="GT103" s="139"/>
    </row>
    <row r="104" spans="1:202" s="139" customFormat="1" ht="18.75">
      <c r="A104" s="2263"/>
      <c r="B104" s="2263"/>
      <c r="C104" s="132"/>
      <c r="D104" s="132"/>
      <c r="E104" s="132"/>
      <c r="F104" s="777"/>
      <c r="G104" s="137"/>
      <c r="H104" s="132"/>
      <c r="I104" s="136"/>
      <c r="J104" s="132"/>
      <c r="K104" s="132"/>
      <c r="L104" s="132"/>
      <c r="M104" s="132"/>
      <c r="N104" s="134"/>
      <c r="O104" s="134"/>
      <c r="P104" s="134"/>
      <c r="Q104" s="134"/>
      <c r="R104" s="137"/>
      <c r="S104" s="778"/>
      <c r="T104" s="634"/>
      <c r="U104" s="102"/>
      <c r="V104" s="634"/>
      <c r="W104" s="102"/>
      <c r="X104" s="102"/>
      <c r="Y104" s="102"/>
      <c r="Z104" s="634"/>
      <c r="AA104" s="102"/>
      <c r="AB104" s="634"/>
      <c r="AC104" s="102"/>
      <c r="AD104" s="634"/>
      <c r="AE104" s="102"/>
      <c r="AF104" s="102"/>
      <c r="AG104" s="102"/>
      <c r="AH104" s="102"/>
      <c r="AI104" s="634"/>
      <c r="AJ104" s="102"/>
      <c r="AK104" s="634"/>
      <c r="AL104" s="102"/>
      <c r="AM104" s="779"/>
      <c r="AN104" s="634"/>
      <c r="AO104" s="102"/>
      <c r="AP104" s="634"/>
      <c r="AQ104" s="102"/>
      <c r="AR104" s="634"/>
      <c r="AS104" s="102"/>
      <c r="AT104" s="634"/>
      <c r="AU104" s="102"/>
      <c r="AV104" s="634"/>
      <c r="AW104" s="102"/>
      <c r="AX104" s="102"/>
      <c r="AY104" s="102"/>
      <c r="AZ104" s="102"/>
      <c r="BA104" s="102"/>
      <c r="BB104" s="102"/>
      <c r="BC104" s="102"/>
      <c r="BD104" s="634"/>
      <c r="BE104" s="102"/>
      <c r="BF104" s="634"/>
      <c r="BG104" s="102"/>
      <c r="BH104" s="634"/>
      <c r="BI104" s="102"/>
      <c r="BJ104" s="122"/>
      <c r="BK104" s="186"/>
      <c r="BL104" s="102"/>
      <c r="BM104" s="102"/>
      <c r="BN104" s="102"/>
      <c r="BO104" s="102"/>
      <c r="BP104" s="102"/>
      <c r="BQ104" s="102"/>
      <c r="BR104" s="102"/>
      <c r="BS104" s="102"/>
      <c r="BT104" s="634"/>
      <c r="BU104" s="102"/>
      <c r="BW104" s="780"/>
      <c r="CA104" s="781"/>
      <c r="CB104" s="2258"/>
      <c r="CC104" s="782"/>
      <c r="CD104" s="782"/>
      <c r="CE104" s="634"/>
      <c r="CF104" s="783"/>
      <c r="CG104" s="634"/>
      <c r="CH104" s="783"/>
      <c r="CI104" s="634"/>
      <c r="CK104" s="634"/>
      <c r="CM104" s="634"/>
      <c r="CN104" s="784"/>
      <c r="CO104" s="784"/>
      <c r="CP104" s="784"/>
      <c r="CQ104" s="634"/>
      <c r="CR104" s="102"/>
      <c r="CS104" s="784"/>
      <c r="CT104" s="784"/>
      <c r="CU104" s="784"/>
      <c r="CV104" s="784"/>
      <c r="CW104" s="634"/>
      <c r="CX104" s="102"/>
      <c r="CY104" s="784"/>
      <c r="CZ104" s="784"/>
      <c r="DA104" s="784"/>
      <c r="DB104" s="784"/>
      <c r="DC104" s="784"/>
      <c r="DD104" s="784"/>
      <c r="DE104" s="634"/>
      <c r="DF104" s="784"/>
      <c r="DG104" s="634"/>
      <c r="DH104" s="296"/>
      <c r="DI104" s="802"/>
      <c r="DJ104" s="785"/>
      <c r="DK104" s="771"/>
      <c r="DL104" s="772"/>
      <c r="DM104" s="787"/>
      <c r="DN104" s="787"/>
      <c r="DO104" s="787"/>
      <c r="DP104" s="787"/>
      <c r="DQ104" s="787"/>
      <c r="DR104" s="787"/>
      <c r="DS104" s="787"/>
      <c r="DT104" s="787"/>
      <c r="DU104" s="787"/>
      <c r="DV104" s="787"/>
      <c r="DW104" s="802"/>
      <c r="DX104" s="788"/>
      <c r="DY104" s="634"/>
      <c r="DZ104" s="2288"/>
      <c r="EA104" s="2231"/>
      <c r="EB104" s="187"/>
      <c r="EC104" s="2232"/>
      <c r="ED104" s="187"/>
      <c r="EE104" s="187"/>
      <c r="EF104" s="2232"/>
      <c r="EG104" s="245"/>
      <c r="EH104" s="2232"/>
      <c r="EI104" s="187"/>
      <c r="EJ104" s="2232"/>
      <c r="EK104" s="187"/>
      <c r="EL104" s="2232"/>
      <c r="EM104" s="195"/>
      <c r="EN104" s="2232"/>
      <c r="EO104" s="195"/>
      <c r="EP104" s="2232"/>
      <c r="EQ104" s="187"/>
      <c r="ER104" s="2232"/>
      <c r="ES104" s="187"/>
      <c r="ET104" s="2232"/>
      <c r="EU104" s="187">
        <f t="shared" si="32"/>
        <v>0</v>
      </c>
      <c r="EV104" s="2232"/>
      <c r="EW104" s="187"/>
      <c r="EX104" s="2232"/>
      <c r="EY104" s="195"/>
      <c r="EZ104" s="2232"/>
      <c r="FA104" s="195"/>
      <c r="FB104" s="2232"/>
      <c r="FC104" s="195"/>
      <c r="FD104" s="2232"/>
      <c r="FE104" s="195"/>
      <c r="FF104" s="2232"/>
      <c r="FG104" s="195"/>
      <c r="FH104" s="2232"/>
      <c r="FI104" s="195"/>
      <c r="FJ104" s="2232"/>
      <c r="FK104" s="195"/>
      <c r="FL104" s="2232"/>
      <c r="FM104" s="187"/>
      <c r="FN104" s="2232"/>
      <c r="FO104" s="187"/>
      <c r="FP104" s="2232"/>
      <c r="FQ104" s="187"/>
      <c r="FR104" s="195"/>
      <c r="FS104" s="195"/>
      <c r="FT104" s="789"/>
      <c r="FU104" s="789"/>
      <c r="FV104" s="789"/>
      <c r="FW104" s="789"/>
      <c r="FX104" s="789"/>
      <c r="FY104" s="789"/>
      <c r="FZ104" s="789"/>
      <c r="GA104" s="789"/>
      <c r="GB104" s="2289"/>
      <c r="GC104" s="776"/>
    </row>
    <row r="105" spans="1:202" s="228" customFormat="1" ht="18.75">
      <c r="A105" s="216"/>
      <c r="B105" s="216">
        <v>39</v>
      </c>
      <c r="C105" s="218" t="s">
        <v>703</v>
      </c>
      <c r="D105" s="218">
        <v>2853</v>
      </c>
      <c r="E105" s="218">
        <v>17</v>
      </c>
      <c r="F105" s="897">
        <v>2028530017</v>
      </c>
      <c r="G105" s="223">
        <v>12500</v>
      </c>
      <c r="H105" s="218" t="s">
        <v>704</v>
      </c>
      <c r="I105" s="222"/>
      <c r="J105" s="218">
        <v>1</v>
      </c>
      <c r="K105" s="218">
        <v>0</v>
      </c>
      <c r="L105" s="218">
        <v>2</v>
      </c>
      <c r="M105" s="218">
        <v>6.5</v>
      </c>
      <c r="N105" s="220">
        <v>12500</v>
      </c>
      <c r="O105" s="220">
        <f>AE105</f>
        <v>12500</v>
      </c>
      <c r="P105" s="220">
        <v>0</v>
      </c>
      <c r="Q105" s="220">
        <v>12500</v>
      </c>
      <c r="R105" s="223">
        <v>0</v>
      </c>
      <c r="S105" s="898" t="s">
        <v>641</v>
      </c>
      <c r="T105" s="234">
        <f>U105</f>
        <v>0</v>
      </c>
      <c r="U105" s="111">
        <v>0</v>
      </c>
      <c r="V105" s="234">
        <f>W105</f>
        <v>12500</v>
      </c>
      <c r="W105" s="111">
        <f>N105</f>
        <v>12500</v>
      </c>
      <c r="X105" s="111"/>
      <c r="Y105" s="111">
        <f>W105-AA105</f>
        <v>12500</v>
      </c>
      <c r="Z105" s="234">
        <f>AA105</f>
        <v>0</v>
      </c>
      <c r="AA105" s="111">
        <v>0</v>
      </c>
      <c r="AB105" s="234">
        <f>AC105</f>
        <v>0</v>
      </c>
      <c r="AC105" s="111">
        <v>0</v>
      </c>
      <c r="AD105" s="234">
        <f>AE105</f>
        <v>12500</v>
      </c>
      <c r="AE105" s="111">
        <f>AG105+AF105</f>
        <v>12500</v>
      </c>
      <c r="AF105" s="111">
        <v>0</v>
      </c>
      <c r="AG105" s="111">
        <f>W105</f>
        <v>12500</v>
      </c>
      <c r="AH105" s="111">
        <v>0</v>
      </c>
      <c r="AI105" s="234">
        <f>AJ105</f>
        <v>0</v>
      </c>
      <c r="AJ105" s="111">
        <v>0</v>
      </c>
      <c r="AK105" s="234">
        <f>AL105</f>
        <v>0</v>
      </c>
      <c r="AL105" s="111">
        <f>W105-(AA105+AC105+AE105+AH105+AJ105+AM105+AW105+AO105+AQ105+AS105+AU105)</f>
        <v>0</v>
      </c>
      <c r="AM105" s="899">
        <v>0</v>
      </c>
      <c r="AN105" s="234">
        <f>AO105</f>
        <v>0</v>
      </c>
      <c r="AO105" s="111">
        <v>0</v>
      </c>
      <c r="AP105" s="234">
        <f>AQ105</f>
        <v>0</v>
      </c>
      <c r="AQ105" s="111">
        <v>0</v>
      </c>
      <c r="AR105" s="234">
        <f>AS105</f>
        <v>0</v>
      </c>
      <c r="AS105" s="111">
        <v>0</v>
      </c>
      <c r="AT105" s="234">
        <f>AU105</f>
        <v>0</v>
      </c>
      <c r="AU105" s="111">
        <v>0</v>
      </c>
      <c r="AV105" s="234">
        <f>AW105</f>
        <v>0</v>
      </c>
      <c r="AW105" s="111">
        <f>AX105+AY105+AZ105+BA105+BB105</f>
        <v>0</v>
      </c>
      <c r="AX105" s="111">
        <v>0</v>
      </c>
      <c r="AY105" s="111">
        <v>0</v>
      </c>
      <c r="AZ105" s="111">
        <v>0</v>
      </c>
      <c r="BA105" s="111">
        <v>0</v>
      </c>
      <c r="BB105" s="111">
        <v>0</v>
      </c>
      <c r="BC105" s="111">
        <v>0</v>
      </c>
      <c r="BD105" s="234">
        <f>BE105</f>
        <v>12500</v>
      </c>
      <c r="BE105" s="111">
        <f>U105+W105</f>
        <v>12500</v>
      </c>
      <c r="BF105" s="234">
        <f>BG105</f>
        <v>0</v>
      </c>
      <c r="BG105" s="111">
        <f>U105/1000</f>
        <v>0</v>
      </c>
      <c r="BH105" s="234">
        <f>BI105</f>
        <v>0</v>
      </c>
      <c r="BI105" s="111">
        <v>0</v>
      </c>
      <c r="BJ105" s="122">
        <f t="shared" si="38"/>
        <v>0</v>
      </c>
      <c r="BK105" s="306">
        <f>ROUND((Y105+AC105+AA105)/1000*3,0)+ROUND((AE105+AU105)/1000,0)+ROUND((ROUND(AH105/400,0))/2.67,0)+ROUND(AM105/250,0)+ROUND(AO105/15000,0)+ROUND((AX105+AY105+AZ105+BB105)/1000*3,0)+ROUND(BG105/25,0)+ROUND(BU266/50,0)</f>
        <v>51</v>
      </c>
      <c r="BL105" s="111">
        <v>0</v>
      </c>
      <c r="BM105" s="111">
        <v>0</v>
      </c>
      <c r="BN105" s="111">
        <v>0</v>
      </c>
      <c r="BO105" s="111">
        <f>AC105/1000</f>
        <v>0</v>
      </c>
      <c r="BP105" s="111">
        <f>AH105/1000</f>
        <v>0</v>
      </c>
      <c r="BQ105" s="111">
        <v>0</v>
      </c>
      <c r="BR105" s="111">
        <v>0</v>
      </c>
      <c r="BS105" s="111">
        <v>0</v>
      </c>
      <c r="BT105" s="234">
        <f>BU105</f>
        <v>0</v>
      </c>
      <c r="BU105" s="111">
        <v>0</v>
      </c>
      <c r="BV105" s="228">
        <v>15</v>
      </c>
      <c r="BW105" s="900" t="s">
        <v>729</v>
      </c>
      <c r="BX105" s="228">
        <v>7.2</v>
      </c>
      <c r="BY105" s="228">
        <v>3.4</v>
      </c>
      <c r="BZ105" s="228">
        <v>6.5</v>
      </c>
      <c r="CA105" s="901"/>
      <c r="CB105" s="230" t="s">
        <v>716</v>
      </c>
      <c r="CC105" s="399">
        <f>(BX105*G105)-CF105</f>
        <v>79375</v>
      </c>
      <c r="CD105" s="399">
        <v>79375</v>
      </c>
      <c r="CE105" s="234">
        <f>CF105</f>
        <v>10625</v>
      </c>
      <c r="CF105" s="902">
        <f>1*(G105)-(0.15*1*(G105))</f>
        <v>10625</v>
      </c>
      <c r="CG105" s="234">
        <f>CH105</f>
        <v>10625</v>
      </c>
      <c r="CH105" s="902">
        <f>CF105-CJ105</f>
        <v>10625</v>
      </c>
      <c r="CI105" s="234">
        <f>CJ105</f>
        <v>0</v>
      </c>
      <c r="CJ105" s="228">
        <v>0</v>
      </c>
      <c r="CK105" s="234">
        <f>CL105</f>
        <v>0</v>
      </c>
      <c r="CL105" s="228">
        <v>0</v>
      </c>
      <c r="CM105" s="234">
        <f>CN105</f>
        <v>10625</v>
      </c>
      <c r="CN105" s="111">
        <f>CF105-(CJ105+CL105+CO105+CP105+CR105+CU105+CV105+CX105)</f>
        <v>10625</v>
      </c>
      <c r="CO105" s="903">
        <v>0</v>
      </c>
      <c r="CP105" s="903">
        <v>0</v>
      </c>
      <c r="CQ105" s="234">
        <f>CR105</f>
        <v>0</v>
      </c>
      <c r="CR105" s="111">
        <v>0</v>
      </c>
      <c r="CS105" s="903">
        <v>0</v>
      </c>
      <c r="CT105" s="903">
        <v>0</v>
      </c>
      <c r="CU105" s="903">
        <v>0</v>
      </c>
      <c r="CV105" s="903">
        <v>0</v>
      </c>
      <c r="CW105" s="234">
        <f>CX105</f>
        <v>0</v>
      </c>
      <c r="CX105" s="111">
        <f>SUM(CY105:DC105)</f>
        <v>0</v>
      </c>
      <c r="CY105" s="903">
        <f>AX105</f>
        <v>0</v>
      </c>
      <c r="CZ105" s="903">
        <f>AY105</f>
        <v>0</v>
      </c>
      <c r="DA105" s="903">
        <f>AZ105</f>
        <v>0</v>
      </c>
      <c r="DB105" s="903">
        <f>BA105</f>
        <v>0</v>
      </c>
      <c r="DC105" s="903">
        <f>BB105</f>
        <v>0</v>
      </c>
      <c r="DD105" s="903"/>
      <c r="DE105" s="234">
        <f>DF105</f>
        <v>90000</v>
      </c>
      <c r="DF105" s="111">
        <f>CC105+CF105</f>
        <v>90000</v>
      </c>
      <c r="DG105" s="234">
        <f>DH105</f>
        <v>79.375</v>
      </c>
      <c r="DH105" s="904">
        <f>CC105/'[1]Projected Development Sites'!DF$134</f>
        <v>79.375</v>
      </c>
      <c r="DI105" s="886">
        <f>DJ105</f>
        <v>79.375</v>
      </c>
      <c r="DJ105" s="803">
        <f>'[1]Projected Development Sites'!DK$136*DH105</f>
        <v>79.375</v>
      </c>
      <c r="DK105" s="771">
        <f>3.06*DH105</f>
        <v>242.88750000000002</v>
      </c>
      <c r="DL105" s="772">
        <f>ROUND((CN105+CL105+CJ105)/1000*3,0)+ROUND((ROUND(CP105/400,0))/2.67,0)+ROUND(CV105/1000,0)+ROUND((CY105+CZ105+DA105+DC105)/1000*3,0)+ROUND(DH105/25,0)+ROUND(DX105/50,0)</f>
        <v>35</v>
      </c>
      <c r="DM105" s="905">
        <v>0</v>
      </c>
      <c r="DN105" s="905"/>
      <c r="DO105" s="905">
        <v>0</v>
      </c>
      <c r="DP105" s="905">
        <f>0.25*DJ105</f>
        <v>19.84375</v>
      </c>
      <c r="DQ105" s="905">
        <f>SUM(CO105,CJ105,CN105,CR105,CU105)/1000</f>
        <v>10.625</v>
      </c>
      <c r="DR105" s="905">
        <f>CL105/1000</f>
        <v>0</v>
      </c>
      <c r="DS105" s="905">
        <f>((CP105/400)/12)</f>
        <v>0</v>
      </c>
      <c r="DT105" s="905">
        <v>0</v>
      </c>
      <c r="DU105" s="905">
        <v>0</v>
      </c>
      <c r="DV105" s="905">
        <f>CX105/1000</f>
        <v>0</v>
      </c>
      <c r="DW105" s="886">
        <f>DX105</f>
        <v>10.625</v>
      </c>
      <c r="DX105" s="906">
        <f>SUM(DM105,DO105,DQ105:DV105)</f>
        <v>10.625</v>
      </c>
      <c r="DY105" s="837">
        <v>165</v>
      </c>
      <c r="DZ105" s="2288">
        <f>CD105-T105</f>
        <v>79375</v>
      </c>
      <c r="EA105" s="2231">
        <f>CE105-V105</f>
        <v>-1875</v>
      </c>
      <c r="EB105" s="187">
        <f>CF105-W105</f>
        <v>-1875</v>
      </c>
      <c r="EC105" s="235">
        <f>ED105</f>
        <v>-1875</v>
      </c>
      <c r="ED105" s="187">
        <v>-1875</v>
      </c>
      <c r="EE105" s="187">
        <f>(SUM(CJ105:CO105))-(SUM(AA105:AE105,AL105))</f>
        <v>-3750</v>
      </c>
      <c r="EF105" s="235">
        <f>EG105</f>
        <v>10625</v>
      </c>
      <c r="EG105" s="187">
        <v>10625</v>
      </c>
      <c r="EH105" s="235">
        <f>EI105</f>
        <v>0</v>
      </c>
      <c r="EI105" s="187">
        <f>CL105-AC105</f>
        <v>0</v>
      </c>
      <c r="EJ105" s="235">
        <f>EK105</f>
        <v>0</v>
      </c>
      <c r="EK105" s="187">
        <f>CJ105-AA105</f>
        <v>0</v>
      </c>
      <c r="EL105" s="235">
        <f>EM105</f>
        <v>-12500</v>
      </c>
      <c r="EM105" s="245">
        <f>CO105-AE105</f>
        <v>-12500</v>
      </c>
      <c r="EN105" s="235">
        <f>EO105</f>
        <v>0</v>
      </c>
      <c r="EO105" s="245">
        <f>CP105-AH105</f>
        <v>0</v>
      </c>
      <c r="EP105" s="235">
        <f>EQ105</f>
        <v>0</v>
      </c>
      <c r="EQ105" s="187">
        <f>CR105-AJ105</f>
        <v>0</v>
      </c>
      <c r="ER105" s="235">
        <f>ES105</f>
        <v>0</v>
      </c>
      <c r="ES105" s="187">
        <f>CS105-AO105</f>
        <v>0</v>
      </c>
      <c r="ET105" s="235">
        <f>EU105</f>
        <v>0</v>
      </c>
      <c r="EU105" s="187">
        <f t="shared" si="32"/>
        <v>0</v>
      </c>
      <c r="EV105" s="235">
        <f>EW105</f>
        <v>0</v>
      </c>
      <c r="EW105" s="187">
        <f>CU105-AS105</f>
        <v>0</v>
      </c>
      <c r="EX105" s="235">
        <f>EY105</f>
        <v>0</v>
      </c>
      <c r="EY105" s="245">
        <f>CV105-AU105</f>
        <v>0</v>
      </c>
      <c r="EZ105" s="235">
        <f>FA105</f>
        <v>0</v>
      </c>
      <c r="FA105" s="245">
        <f>CY105-AX105</f>
        <v>0</v>
      </c>
      <c r="FB105" s="235">
        <f>FC105</f>
        <v>0</v>
      </c>
      <c r="FC105" s="245">
        <f>CZ105-AY105</f>
        <v>0</v>
      </c>
      <c r="FD105" s="235">
        <f>FE105</f>
        <v>0</v>
      </c>
      <c r="FE105" s="245">
        <f>DA105-AZ105</f>
        <v>0</v>
      </c>
      <c r="FF105" s="235">
        <f>FG105</f>
        <v>0</v>
      </c>
      <c r="FG105" s="245">
        <f>DB105-BA105</f>
        <v>0</v>
      </c>
      <c r="FH105" s="235">
        <f>FI105</f>
        <v>0</v>
      </c>
      <c r="FI105" s="245">
        <f>DC105-BB105</f>
        <v>0</v>
      </c>
      <c r="FJ105" s="235">
        <f>FK105</f>
        <v>0</v>
      </c>
      <c r="FK105" s="245">
        <f>CX105-AW105</f>
        <v>0</v>
      </c>
      <c r="FL105" s="235">
        <f>FM105</f>
        <v>77500</v>
      </c>
      <c r="FM105" s="187">
        <f>DF105-BE105</f>
        <v>77500</v>
      </c>
      <c r="FN105" s="235">
        <f>FO105</f>
        <v>79.375</v>
      </c>
      <c r="FO105" s="187">
        <f>DH105-BG105</f>
        <v>79.375</v>
      </c>
      <c r="FP105" s="235">
        <f>FQ105</f>
        <v>79.375</v>
      </c>
      <c r="FQ105" s="187">
        <f>DJ105-BI105</f>
        <v>79.375</v>
      </c>
      <c r="FR105" s="245">
        <f>DK105-BJ105</f>
        <v>242.88750000000002</v>
      </c>
      <c r="FS105" s="245">
        <f>DL105-BK105</f>
        <v>-16</v>
      </c>
      <c r="FT105" s="907">
        <f>DM105-BL105</f>
        <v>0</v>
      </c>
      <c r="FU105" s="907">
        <f>DR105-BO105</f>
        <v>0</v>
      </c>
      <c r="FV105" s="907">
        <f>DO105-BM105</f>
        <v>0</v>
      </c>
      <c r="FW105" s="907">
        <f>DQ105-BN105</f>
        <v>10.625</v>
      </c>
      <c r="FX105" s="907">
        <f>DS105-BP105</f>
        <v>0</v>
      </c>
      <c r="FY105" s="907">
        <f>DT105-BQ105</f>
        <v>0</v>
      </c>
      <c r="FZ105" s="907">
        <f>DU105-BR105</f>
        <v>0</v>
      </c>
      <c r="GA105" s="907">
        <f>DV105-BS105</f>
        <v>0</v>
      </c>
      <c r="GB105" s="894">
        <f>GC105</f>
        <v>10.625</v>
      </c>
      <c r="GC105" s="776">
        <f t="shared" si="33"/>
        <v>10.625</v>
      </c>
      <c r="GD105" s="139"/>
      <c r="GE105" s="139"/>
      <c r="GF105" s="139"/>
      <c r="GG105" s="139"/>
      <c r="GH105" s="139"/>
      <c r="GI105" s="139"/>
      <c r="GJ105" s="139"/>
      <c r="GK105" s="139"/>
      <c r="GL105" s="139"/>
      <c r="GM105" s="139"/>
      <c r="GN105" s="139"/>
      <c r="GO105" s="139"/>
      <c r="GP105" s="139"/>
      <c r="GQ105" s="139"/>
      <c r="GR105" s="139"/>
      <c r="GS105" s="139"/>
      <c r="GT105" s="139"/>
    </row>
    <row r="106" spans="1:202" s="139" customFormat="1" ht="18.75">
      <c r="A106" s="2263"/>
      <c r="B106" s="2263"/>
      <c r="C106" s="132"/>
      <c r="D106" s="132"/>
      <c r="E106" s="132"/>
      <c r="F106" s="777"/>
      <c r="G106" s="137"/>
      <c r="H106" s="132"/>
      <c r="I106" s="136"/>
      <c r="J106" s="132"/>
      <c r="K106" s="132"/>
      <c r="L106" s="132"/>
      <c r="M106" s="132"/>
      <c r="N106" s="134"/>
      <c r="O106" s="134"/>
      <c r="P106" s="134"/>
      <c r="Q106" s="134"/>
      <c r="R106" s="137"/>
      <c r="S106" s="778"/>
      <c r="T106" s="634"/>
      <c r="U106" s="102"/>
      <c r="V106" s="634"/>
      <c r="W106" s="102"/>
      <c r="X106" s="102"/>
      <c r="Y106" s="102"/>
      <c r="Z106" s="634"/>
      <c r="AA106" s="102"/>
      <c r="AB106" s="634"/>
      <c r="AC106" s="102"/>
      <c r="AD106" s="634"/>
      <c r="AE106" s="102"/>
      <c r="AF106" s="102"/>
      <c r="AG106" s="102"/>
      <c r="AH106" s="102"/>
      <c r="AI106" s="634"/>
      <c r="AJ106" s="102"/>
      <c r="AK106" s="634"/>
      <c r="AL106" s="102"/>
      <c r="AM106" s="779"/>
      <c r="AN106" s="634"/>
      <c r="AO106" s="102"/>
      <c r="AP106" s="634"/>
      <c r="AQ106" s="102"/>
      <c r="AR106" s="634"/>
      <c r="AS106" s="102"/>
      <c r="AT106" s="634"/>
      <c r="AU106" s="102"/>
      <c r="AV106" s="634"/>
      <c r="AW106" s="102"/>
      <c r="AX106" s="102"/>
      <c r="AY106" s="102"/>
      <c r="AZ106" s="102"/>
      <c r="BA106" s="102"/>
      <c r="BB106" s="102"/>
      <c r="BC106" s="102"/>
      <c r="BD106" s="634"/>
      <c r="BE106" s="102"/>
      <c r="BF106" s="634"/>
      <c r="BG106" s="102"/>
      <c r="BH106" s="634"/>
      <c r="BI106" s="102"/>
      <c r="BJ106" s="122"/>
      <c r="BK106" s="186"/>
      <c r="BL106" s="102"/>
      <c r="BM106" s="102"/>
      <c r="BN106" s="102"/>
      <c r="BO106" s="102"/>
      <c r="BP106" s="102"/>
      <c r="BQ106" s="102"/>
      <c r="BR106" s="102"/>
      <c r="BS106" s="102"/>
      <c r="BT106" s="634"/>
      <c r="BU106" s="102"/>
      <c r="BW106" s="780"/>
      <c r="CA106" s="781"/>
      <c r="CB106" s="2258"/>
      <c r="CC106" s="782"/>
      <c r="CD106" s="782"/>
      <c r="CE106" s="634"/>
      <c r="CF106" s="840"/>
      <c r="CG106" s="634"/>
      <c r="CH106" s="840"/>
      <c r="CI106" s="634"/>
      <c r="CK106" s="634"/>
      <c r="CM106" s="634"/>
      <c r="CN106" s="784"/>
      <c r="CO106" s="784"/>
      <c r="CP106" s="784"/>
      <c r="CQ106" s="634"/>
      <c r="CR106" s="102"/>
      <c r="CS106" s="784"/>
      <c r="CT106" s="784"/>
      <c r="CU106" s="784"/>
      <c r="CV106" s="784"/>
      <c r="CW106" s="634"/>
      <c r="CX106" s="102"/>
      <c r="CY106" s="784"/>
      <c r="CZ106" s="784"/>
      <c r="DA106" s="784"/>
      <c r="DB106" s="784"/>
      <c r="DC106" s="784"/>
      <c r="DD106" s="784"/>
      <c r="DE106" s="634"/>
      <c r="DF106" s="784"/>
      <c r="DG106" s="634"/>
      <c r="DH106" s="296"/>
      <c r="DI106" s="802"/>
      <c r="DJ106" s="785"/>
      <c r="DK106" s="771"/>
      <c r="DL106" s="772"/>
      <c r="DM106" s="787"/>
      <c r="DN106" s="787"/>
      <c r="DO106" s="787"/>
      <c r="DP106" s="787"/>
      <c r="DQ106" s="787"/>
      <c r="DR106" s="787"/>
      <c r="DS106" s="787"/>
      <c r="DT106" s="787"/>
      <c r="DU106" s="787"/>
      <c r="DV106" s="787"/>
      <c r="DW106" s="802"/>
      <c r="DX106" s="788"/>
      <c r="DY106" s="634"/>
      <c r="DZ106" s="2288"/>
      <c r="EA106" s="2231"/>
      <c r="EB106" s="187"/>
      <c r="EC106" s="2232"/>
      <c r="ED106" s="187"/>
      <c r="EE106" s="187"/>
      <c r="EF106" s="2232"/>
      <c r="EG106" s="245"/>
      <c r="EH106" s="2232"/>
      <c r="EI106" s="187"/>
      <c r="EJ106" s="2232"/>
      <c r="EK106" s="187"/>
      <c r="EL106" s="2232"/>
      <c r="EM106" s="195"/>
      <c r="EN106" s="2232"/>
      <c r="EO106" s="195"/>
      <c r="EP106" s="2232"/>
      <c r="EQ106" s="187"/>
      <c r="ER106" s="2232"/>
      <c r="ES106" s="187"/>
      <c r="ET106" s="2232"/>
      <c r="EU106" s="187">
        <f t="shared" si="32"/>
        <v>0</v>
      </c>
      <c r="EV106" s="2232"/>
      <c r="EW106" s="187"/>
      <c r="EX106" s="2232"/>
      <c r="EY106" s="195"/>
      <c r="EZ106" s="2232"/>
      <c r="FA106" s="195"/>
      <c r="FB106" s="2232"/>
      <c r="FC106" s="195"/>
      <c r="FD106" s="2232"/>
      <c r="FE106" s="195"/>
      <c r="FF106" s="2232"/>
      <c r="FG106" s="195"/>
      <c r="FH106" s="2232"/>
      <c r="FI106" s="195"/>
      <c r="FJ106" s="2232"/>
      <c r="FK106" s="195"/>
      <c r="FL106" s="2232"/>
      <c r="FM106" s="187"/>
      <c r="FN106" s="2232"/>
      <c r="FO106" s="187"/>
      <c r="FP106" s="2232"/>
      <c r="FQ106" s="187"/>
      <c r="FR106" s="195"/>
      <c r="FS106" s="195"/>
      <c r="FT106" s="789"/>
      <c r="FU106" s="789"/>
      <c r="FV106" s="789"/>
      <c r="FW106" s="789"/>
      <c r="FX106" s="789"/>
      <c r="FY106" s="789"/>
      <c r="FZ106" s="789"/>
      <c r="GA106" s="789"/>
      <c r="GB106" s="2289"/>
      <c r="GC106" s="776"/>
    </row>
    <row r="107" spans="1:202" s="878" customFormat="1" ht="25.5">
      <c r="A107" s="216"/>
      <c r="B107" s="216">
        <v>40</v>
      </c>
      <c r="C107" s="937" t="s">
        <v>703</v>
      </c>
      <c r="D107" s="869">
        <v>2862</v>
      </c>
      <c r="E107" s="869">
        <v>103</v>
      </c>
      <c r="F107" s="869">
        <v>2028620103</v>
      </c>
      <c r="G107" s="874">
        <v>40038</v>
      </c>
      <c r="H107" s="869" t="s">
        <v>704</v>
      </c>
      <c r="I107" s="872"/>
      <c r="J107" s="869">
        <v>1.1399999999999999</v>
      </c>
      <c r="K107" s="869">
        <v>0</v>
      </c>
      <c r="L107" s="869">
        <v>2</v>
      </c>
      <c r="M107" s="869">
        <v>6.5</v>
      </c>
      <c r="N107" s="873">
        <v>45800</v>
      </c>
      <c r="O107" s="873">
        <v>0</v>
      </c>
      <c r="P107" s="873">
        <v>0</v>
      </c>
      <c r="Q107" s="873">
        <v>45800</v>
      </c>
      <c r="R107" s="874">
        <v>0</v>
      </c>
      <c r="S107" s="875" t="s">
        <v>731</v>
      </c>
      <c r="T107" s="234">
        <f>U107</f>
        <v>0</v>
      </c>
      <c r="U107" s="876">
        <f>Q107-N107</f>
        <v>0</v>
      </c>
      <c r="V107" s="234">
        <f>W107</f>
        <v>45800</v>
      </c>
      <c r="W107" s="876">
        <f>N107</f>
        <v>45800</v>
      </c>
      <c r="X107" s="876"/>
      <c r="Y107" s="876">
        <f>W107-AA107</f>
        <v>45800</v>
      </c>
      <c r="Z107" s="234">
        <f>AA107</f>
        <v>0</v>
      </c>
      <c r="AA107" s="876">
        <v>0</v>
      </c>
      <c r="AB107" s="234">
        <f>AC107</f>
        <v>0</v>
      </c>
      <c r="AC107" s="876">
        <v>0</v>
      </c>
      <c r="AD107" s="234">
        <f>AE107</f>
        <v>0</v>
      </c>
      <c r="AE107" s="876">
        <f>AF107+AG107</f>
        <v>0</v>
      </c>
      <c r="AF107" s="876">
        <v>0</v>
      </c>
      <c r="AG107" s="876">
        <v>0</v>
      </c>
      <c r="AH107" s="876">
        <v>0</v>
      </c>
      <c r="AI107" s="234">
        <f>AJ107</f>
        <v>0</v>
      </c>
      <c r="AJ107" s="876">
        <v>0</v>
      </c>
      <c r="AK107" s="234">
        <f>AL107</f>
        <v>0</v>
      </c>
      <c r="AL107" s="876">
        <f>W107-(AA107+AC107+AE107+AH107+AJ107+AM107+AW107+AO107+AQ107+AS107+AU107)</f>
        <v>0</v>
      </c>
      <c r="AM107" s="877">
        <v>0</v>
      </c>
      <c r="AN107" s="234">
        <f>AO107</f>
        <v>0</v>
      </c>
      <c r="AO107" s="876">
        <v>0</v>
      </c>
      <c r="AP107" s="234">
        <f>AQ107</f>
        <v>0</v>
      </c>
      <c r="AQ107" s="876">
        <v>0</v>
      </c>
      <c r="AR107" s="234">
        <f>AS107</f>
        <v>45800</v>
      </c>
      <c r="AS107" s="876">
        <f>W107</f>
        <v>45800</v>
      </c>
      <c r="AT107" s="234">
        <f>AU107</f>
        <v>0</v>
      </c>
      <c r="AU107" s="876">
        <v>0</v>
      </c>
      <c r="AV107" s="234">
        <f>AW107</f>
        <v>0</v>
      </c>
      <c r="AW107" s="876">
        <f>AX107+AY107+AZ107+BA107+BB107</f>
        <v>0</v>
      </c>
      <c r="AX107" s="876">
        <v>0</v>
      </c>
      <c r="AY107" s="876">
        <v>0</v>
      </c>
      <c r="AZ107" s="876">
        <v>0</v>
      </c>
      <c r="BA107" s="876">
        <v>0</v>
      </c>
      <c r="BB107" s="876">
        <v>0</v>
      </c>
      <c r="BC107" s="876">
        <v>0</v>
      </c>
      <c r="BD107" s="234">
        <f>BE107</f>
        <v>45800</v>
      </c>
      <c r="BE107" s="876">
        <f>U107+W107</f>
        <v>45800</v>
      </c>
      <c r="BF107" s="234">
        <f>BG107</f>
        <v>0</v>
      </c>
      <c r="BG107" s="876">
        <v>0</v>
      </c>
      <c r="BH107" s="234">
        <f>BI107</f>
        <v>0</v>
      </c>
      <c r="BI107" s="876">
        <f>'[1]Projected Development Sites'!BG$135*BG107</f>
        <v>0</v>
      </c>
      <c r="BJ107" s="2260">
        <f t="shared" si="38"/>
        <v>0</v>
      </c>
      <c r="BK107" s="306">
        <f>ROUND((AL107+AC107+AA107)/1000*3,0)+ROUND((AE107+AU107)/1000,0)+ROUND((ROUND(AH107/400,0))/2.67,0)+ROUND(AJ107/250,0)+ROUND(AO107/15000,0)+ROUND((AX107+AY107+AZ107+BB107)/1000*3,0)+ROUND(BG107/25,0)+ROUND(BU107/50,0)</f>
        <v>0</v>
      </c>
      <c r="BL107" s="876">
        <v>0</v>
      </c>
      <c r="BM107" s="876">
        <v>0</v>
      </c>
      <c r="BN107" s="876">
        <v>0</v>
      </c>
      <c r="BO107" s="876">
        <v>0</v>
      </c>
      <c r="BP107" s="876">
        <v>0</v>
      </c>
      <c r="BQ107" s="876">
        <v>0</v>
      </c>
      <c r="BR107" s="876">
        <v>0</v>
      </c>
      <c r="BS107" s="876">
        <v>0</v>
      </c>
      <c r="BT107" s="234">
        <f>BU107</f>
        <v>0</v>
      </c>
      <c r="BU107" s="876">
        <f>SUM(BL107:BS107)</f>
        <v>0</v>
      </c>
      <c r="BV107" s="878">
        <v>15</v>
      </c>
      <c r="BW107" s="879" t="s">
        <v>729</v>
      </c>
      <c r="BX107" s="878">
        <v>7.2</v>
      </c>
      <c r="BY107" s="878">
        <v>3.4</v>
      </c>
      <c r="BZ107" s="878">
        <v>6.5</v>
      </c>
      <c r="CA107" s="938"/>
      <c r="CB107" s="881" t="s">
        <v>868</v>
      </c>
      <c r="CC107" s="882">
        <f>(BX107*G107)-CF107</f>
        <v>242473.60000000003</v>
      </c>
      <c r="CD107" s="882">
        <v>242473.60000000003</v>
      </c>
      <c r="CE107" s="234">
        <f>CF107</f>
        <v>45800</v>
      </c>
      <c r="CF107" s="883">
        <f>W107</f>
        <v>45800</v>
      </c>
      <c r="CG107" s="234">
        <f>CH107</f>
        <v>45800</v>
      </c>
      <c r="CH107" s="883">
        <f>CF107-CJ107</f>
        <v>45800</v>
      </c>
      <c r="CI107" s="234">
        <f>CJ107</f>
        <v>0</v>
      </c>
      <c r="CJ107" s="878">
        <v>0</v>
      </c>
      <c r="CK107" s="234">
        <f>CL107</f>
        <v>0</v>
      </c>
      <c r="CL107" s="878">
        <v>0</v>
      </c>
      <c r="CM107" s="234">
        <f>CN107</f>
        <v>0</v>
      </c>
      <c r="CN107" s="876">
        <v>0</v>
      </c>
      <c r="CO107" s="884">
        <v>0</v>
      </c>
      <c r="CP107" s="884">
        <v>0</v>
      </c>
      <c r="CQ107" s="234">
        <f>CR107</f>
        <v>0</v>
      </c>
      <c r="CR107" s="876">
        <v>0</v>
      </c>
      <c r="CS107" s="884">
        <v>0</v>
      </c>
      <c r="CT107" s="884">
        <v>0</v>
      </c>
      <c r="CU107" s="884">
        <v>0</v>
      </c>
      <c r="CV107" s="884">
        <v>0</v>
      </c>
      <c r="CW107" s="234">
        <f>CX107</f>
        <v>0</v>
      </c>
      <c r="CX107" s="876">
        <f>SUM(CY107:DC107)</f>
        <v>0</v>
      </c>
      <c r="CY107" s="884">
        <f>AX107</f>
        <v>0</v>
      </c>
      <c r="CZ107" s="884">
        <v>0</v>
      </c>
      <c r="DA107" s="884">
        <v>0</v>
      </c>
      <c r="DB107" s="884">
        <v>0</v>
      </c>
      <c r="DC107" s="884">
        <v>0</v>
      </c>
      <c r="DD107" s="884"/>
      <c r="DE107" s="234">
        <f>DF107</f>
        <v>288273.60000000003</v>
      </c>
      <c r="DF107" s="884">
        <f>CC107+CF107</f>
        <v>288273.60000000003</v>
      </c>
      <c r="DG107" s="234">
        <f>DH107</f>
        <v>242</v>
      </c>
      <c r="DH107" s="878">
        <f>ROUND(CC107/'[1]Projected Development Sites'!DF$134,0)</f>
        <v>242</v>
      </c>
      <c r="DI107" s="886">
        <f>DJ107</f>
        <v>242</v>
      </c>
      <c r="DJ107" s="887">
        <f>'[1]Projected Development Sites'!DK$136*DH107</f>
        <v>242</v>
      </c>
      <c r="DK107" s="939">
        <f>3.06*DH107</f>
        <v>740.52</v>
      </c>
      <c r="DL107" s="772">
        <f>ROUND((CN107+CL107+CJ107)/1000*3,0)+ROUND((ROUND(CP107/400,0))/2.67,0)+ROUND(CV107/1000,0)+ROUND((CY107+CZ107+DA107+DC107)/1000*3,0)+ROUND(DH107/25,0)+ROUND(DX107/50,0)</f>
        <v>10</v>
      </c>
      <c r="DM107" s="888">
        <v>0</v>
      </c>
      <c r="DN107" s="888"/>
      <c r="DO107" s="888">
        <v>0</v>
      </c>
      <c r="DP107" s="888">
        <f>0.25*DJ107</f>
        <v>60.5</v>
      </c>
      <c r="DQ107" s="888">
        <f>SUM(CO107,CJ107,CN107,CR107,CU107)/1000</f>
        <v>0</v>
      </c>
      <c r="DR107" s="888">
        <f>CL107/1000</f>
        <v>0</v>
      </c>
      <c r="DS107" s="888">
        <f>((CP107/400)/12)</f>
        <v>0</v>
      </c>
      <c r="DT107" s="888">
        <v>0</v>
      </c>
      <c r="DU107" s="888">
        <v>0</v>
      </c>
      <c r="DV107" s="888">
        <f>CX107/1000</f>
        <v>0</v>
      </c>
      <c r="DW107" s="886">
        <f>DX107</f>
        <v>0</v>
      </c>
      <c r="DX107" s="889">
        <f>SUM(DM107,DO107,DQ107:DV107)</f>
        <v>0</v>
      </c>
      <c r="DY107" s="837">
        <v>165</v>
      </c>
      <c r="DZ107" s="2288">
        <f>CD107-T107</f>
        <v>242473.60000000003</v>
      </c>
      <c r="EA107" s="2231">
        <f>CE107-V107</f>
        <v>0</v>
      </c>
      <c r="EB107" s="890">
        <f>CF107-W107</f>
        <v>0</v>
      </c>
      <c r="EC107" s="235">
        <f>ED107</f>
        <v>0</v>
      </c>
      <c r="ED107" s="890">
        <v>0</v>
      </c>
      <c r="EE107" s="890">
        <f>(SUM(CJ107:CO107))-(SUM(AA107:AE107,AL107))</f>
        <v>0</v>
      </c>
      <c r="EF107" s="235">
        <f>EG107</f>
        <v>0</v>
      </c>
      <c r="EG107" s="892">
        <v>0</v>
      </c>
      <c r="EH107" s="235">
        <f>EI107</f>
        <v>0</v>
      </c>
      <c r="EI107" s="890">
        <f>CL107-AC107</f>
        <v>0</v>
      </c>
      <c r="EJ107" s="235">
        <f>EK107</f>
        <v>0</v>
      </c>
      <c r="EK107" s="890">
        <f>CJ107-AA107</f>
        <v>0</v>
      </c>
      <c r="EL107" s="235">
        <f>EM107</f>
        <v>0</v>
      </c>
      <c r="EM107" s="892">
        <f>CO107-AE107</f>
        <v>0</v>
      </c>
      <c r="EN107" s="235">
        <f>EO107</f>
        <v>0</v>
      </c>
      <c r="EO107" s="892">
        <f>CP107-AH107</f>
        <v>0</v>
      </c>
      <c r="EP107" s="235">
        <f>EQ107</f>
        <v>0</v>
      </c>
      <c r="EQ107" s="890">
        <f>CR107-AJ107</f>
        <v>0</v>
      </c>
      <c r="ER107" s="235">
        <f>ES107</f>
        <v>0</v>
      </c>
      <c r="ES107" s="890">
        <f>CS107-AO107</f>
        <v>0</v>
      </c>
      <c r="ET107" s="235">
        <f>EU107</f>
        <v>0</v>
      </c>
      <c r="EU107" s="890">
        <f t="shared" si="32"/>
        <v>0</v>
      </c>
      <c r="EV107" s="235">
        <f>EW107</f>
        <v>-45800</v>
      </c>
      <c r="EW107" s="890">
        <f>CU107-AS107</f>
        <v>-45800</v>
      </c>
      <c r="EX107" s="235">
        <f>EY107</f>
        <v>0</v>
      </c>
      <c r="EY107" s="892">
        <f>CV107-AU107</f>
        <v>0</v>
      </c>
      <c r="EZ107" s="235">
        <f>FA107</f>
        <v>0</v>
      </c>
      <c r="FA107" s="892">
        <f>CY107-AX107</f>
        <v>0</v>
      </c>
      <c r="FB107" s="235">
        <f>FC107</f>
        <v>0</v>
      </c>
      <c r="FC107" s="892">
        <f>CZ107-AY107</f>
        <v>0</v>
      </c>
      <c r="FD107" s="235">
        <f>FE107</f>
        <v>0</v>
      </c>
      <c r="FE107" s="892">
        <f>DA107-AZ107</f>
        <v>0</v>
      </c>
      <c r="FF107" s="235">
        <f>FG107</f>
        <v>0</v>
      </c>
      <c r="FG107" s="892">
        <f>DB107-BA107</f>
        <v>0</v>
      </c>
      <c r="FH107" s="235">
        <f>FI107</f>
        <v>0</v>
      </c>
      <c r="FI107" s="892">
        <f>DC107-BB107</f>
        <v>0</v>
      </c>
      <c r="FJ107" s="235">
        <f>FK107</f>
        <v>0</v>
      </c>
      <c r="FK107" s="892">
        <f>CX107-AW107</f>
        <v>0</v>
      </c>
      <c r="FL107" s="235">
        <f>FM107</f>
        <v>242473.60000000003</v>
      </c>
      <c r="FM107" s="890">
        <f>DF107-BE107</f>
        <v>242473.60000000003</v>
      </c>
      <c r="FN107" s="235">
        <f>FO107</f>
        <v>242</v>
      </c>
      <c r="FO107" s="890">
        <f>DH107-BG107</f>
        <v>242</v>
      </c>
      <c r="FP107" s="235">
        <f>FQ107</f>
        <v>242</v>
      </c>
      <c r="FQ107" s="890">
        <f>DJ107-BI107</f>
        <v>242</v>
      </c>
      <c r="FR107" s="892">
        <f>DK107-BJ107</f>
        <v>740.52</v>
      </c>
      <c r="FS107" s="892">
        <f>DL107-BK107</f>
        <v>10</v>
      </c>
      <c r="FT107" s="893">
        <f>DM107-BL107</f>
        <v>0</v>
      </c>
      <c r="FU107" s="893">
        <f>DR107-BO107</f>
        <v>0</v>
      </c>
      <c r="FV107" s="893">
        <f>DO107-BM107</f>
        <v>0</v>
      </c>
      <c r="FW107" s="893">
        <f>DQ107-BN107</f>
        <v>0</v>
      </c>
      <c r="FX107" s="893">
        <f>DS107-BP107</f>
        <v>0</v>
      </c>
      <c r="FY107" s="893">
        <f>DT107-BQ107</f>
        <v>0</v>
      </c>
      <c r="FZ107" s="893">
        <f>DU107-BR107</f>
        <v>0</v>
      </c>
      <c r="GA107" s="893">
        <f>DV107-BS107</f>
        <v>0</v>
      </c>
      <c r="GB107" s="894">
        <f>GC107</f>
        <v>0</v>
      </c>
      <c r="GC107" s="895">
        <f t="shared" si="33"/>
        <v>0</v>
      </c>
      <c r="GD107" s="896"/>
      <c r="GE107" s="896"/>
      <c r="GF107" s="896"/>
      <c r="GG107" s="896"/>
      <c r="GH107" s="896"/>
      <c r="GI107" s="896"/>
      <c r="GJ107" s="896"/>
      <c r="GK107" s="896"/>
      <c r="GL107" s="896"/>
      <c r="GM107" s="896"/>
      <c r="GN107" s="896"/>
      <c r="GO107" s="896"/>
      <c r="GP107" s="896"/>
      <c r="GQ107" s="896"/>
      <c r="GR107" s="896"/>
      <c r="GS107" s="896"/>
      <c r="GT107" s="896"/>
    </row>
    <row r="108" spans="1:202" s="139" customFormat="1" ht="18.75">
      <c r="A108" s="2263"/>
      <c r="B108" s="2263"/>
      <c r="C108" s="132"/>
      <c r="D108" s="132"/>
      <c r="E108" s="132"/>
      <c r="F108" s="777"/>
      <c r="G108" s="137"/>
      <c r="H108" s="132"/>
      <c r="I108" s="136"/>
      <c r="J108" s="132"/>
      <c r="K108" s="132"/>
      <c r="L108" s="132"/>
      <c r="M108" s="132"/>
      <c r="N108" s="134"/>
      <c r="O108" s="134"/>
      <c r="P108" s="134"/>
      <c r="Q108" s="134"/>
      <c r="R108" s="137"/>
      <c r="S108" s="778"/>
      <c r="T108" s="634"/>
      <c r="U108" s="102"/>
      <c r="V108" s="634"/>
      <c r="W108" s="102"/>
      <c r="X108" s="102"/>
      <c r="Y108" s="102"/>
      <c r="Z108" s="634"/>
      <c r="AA108" s="102"/>
      <c r="AB108" s="634"/>
      <c r="AC108" s="102"/>
      <c r="AD108" s="634"/>
      <c r="AE108" s="102"/>
      <c r="AF108" s="102"/>
      <c r="AG108" s="102"/>
      <c r="AH108" s="102"/>
      <c r="AI108" s="634"/>
      <c r="AJ108" s="102"/>
      <c r="AK108" s="634"/>
      <c r="AL108" s="102"/>
      <c r="AM108" s="779"/>
      <c r="AN108" s="634"/>
      <c r="AO108" s="102"/>
      <c r="AP108" s="634"/>
      <c r="AQ108" s="102"/>
      <c r="AR108" s="634"/>
      <c r="AS108" s="102"/>
      <c r="AT108" s="634"/>
      <c r="AU108" s="102"/>
      <c r="AV108" s="634"/>
      <c r="AW108" s="102"/>
      <c r="AX108" s="102"/>
      <c r="AY108" s="102"/>
      <c r="AZ108" s="102"/>
      <c r="BA108" s="102"/>
      <c r="BB108" s="102"/>
      <c r="BC108" s="102"/>
      <c r="BD108" s="634"/>
      <c r="BE108" s="102"/>
      <c r="BF108" s="634"/>
      <c r="BG108" s="102"/>
      <c r="BH108" s="634"/>
      <c r="BI108" s="102"/>
      <c r="BJ108" s="122"/>
      <c r="BK108" s="186"/>
      <c r="BL108" s="102"/>
      <c r="BM108" s="102"/>
      <c r="BN108" s="102"/>
      <c r="BO108" s="102"/>
      <c r="BP108" s="102"/>
      <c r="BQ108" s="102"/>
      <c r="BR108" s="102"/>
      <c r="BS108" s="102"/>
      <c r="BT108" s="634"/>
      <c r="BU108" s="102"/>
      <c r="BW108" s="780"/>
      <c r="CA108" s="781"/>
      <c r="CB108" s="2258"/>
      <c r="CC108" s="782"/>
      <c r="CD108" s="782"/>
      <c r="CE108" s="634"/>
      <c r="CF108" s="783"/>
      <c r="CG108" s="634"/>
      <c r="CH108" s="783"/>
      <c r="CI108" s="634"/>
      <c r="CK108" s="634"/>
      <c r="CM108" s="634"/>
      <c r="CN108" s="784"/>
      <c r="CO108" s="784"/>
      <c r="CP108" s="784"/>
      <c r="CQ108" s="634"/>
      <c r="CR108" s="102"/>
      <c r="CS108" s="784"/>
      <c r="CT108" s="784"/>
      <c r="CU108" s="784"/>
      <c r="CV108" s="784"/>
      <c r="CW108" s="634"/>
      <c r="CX108" s="102"/>
      <c r="CY108" s="784"/>
      <c r="CZ108" s="784"/>
      <c r="DA108" s="784"/>
      <c r="DB108" s="784"/>
      <c r="DC108" s="784"/>
      <c r="DD108" s="784"/>
      <c r="DE108" s="634"/>
      <c r="DF108" s="784"/>
      <c r="DG108" s="634"/>
      <c r="DH108" s="296"/>
      <c r="DI108" s="802"/>
      <c r="DJ108" s="785"/>
      <c r="DK108" s="771"/>
      <c r="DL108" s="772"/>
      <c r="DM108" s="787"/>
      <c r="DN108" s="787"/>
      <c r="DO108" s="787"/>
      <c r="DP108" s="787"/>
      <c r="DQ108" s="787"/>
      <c r="DR108" s="787"/>
      <c r="DS108" s="787"/>
      <c r="DT108" s="787"/>
      <c r="DU108" s="787"/>
      <c r="DV108" s="787"/>
      <c r="DW108" s="802"/>
      <c r="DX108" s="788"/>
      <c r="DY108" s="634"/>
      <c r="DZ108" s="2288"/>
      <c r="EA108" s="2231"/>
      <c r="EB108" s="187"/>
      <c r="EC108" s="2232"/>
      <c r="ED108" s="187"/>
      <c r="EE108" s="187"/>
      <c r="EF108" s="2232"/>
      <c r="EG108" s="245"/>
      <c r="EH108" s="2232"/>
      <c r="EI108" s="187"/>
      <c r="EJ108" s="2232"/>
      <c r="EK108" s="187"/>
      <c r="EL108" s="2232"/>
      <c r="EM108" s="195"/>
      <c r="EN108" s="2232"/>
      <c r="EO108" s="195"/>
      <c r="EP108" s="2232"/>
      <c r="EQ108" s="187"/>
      <c r="ER108" s="2232"/>
      <c r="ES108" s="187"/>
      <c r="ET108" s="2232"/>
      <c r="EU108" s="187">
        <f t="shared" si="32"/>
        <v>0</v>
      </c>
      <c r="EV108" s="2232"/>
      <c r="EW108" s="187"/>
      <c r="EX108" s="2232"/>
      <c r="EY108" s="195"/>
      <c r="EZ108" s="2232"/>
      <c r="FA108" s="195"/>
      <c r="FB108" s="2232"/>
      <c r="FC108" s="195"/>
      <c r="FD108" s="2232"/>
      <c r="FE108" s="195"/>
      <c r="FF108" s="2232"/>
      <c r="FG108" s="195"/>
      <c r="FH108" s="2232"/>
      <c r="FI108" s="195"/>
      <c r="FJ108" s="2232"/>
      <c r="FK108" s="195"/>
      <c r="FL108" s="2232"/>
      <c r="FM108" s="187"/>
      <c r="FN108" s="2232"/>
      <c r="FO108" s="187"/>
      <c r="FP108" s="2232"/>
      <c r="FQ108" s="187"/>
      <c r="FR108" s="195"/>
      <c r="FS108" s="195"/>
      <c r="FT108" s="789"/>
      <c r="FU108" s="789"/>
      <c r="FV108" s="789"/>
      <c r="FW108" s="789"/>
      <c r="FX108" s="789"/>
      <c r="FY108" s="789"/>
      <c r="FZ108" s="789"/>
      <c r="GA108" s="789"/>
      <c r="GB108" s="2286"/>
      <c r="GC108" s="776"/>
    </row>
    <row r="109" spans="1:202" s="127" customFormat="1" ht="15" customHeight="1">
      <c r="A109" s="2588"/>
      <c r="B109" s="2588">
        <v>41</v>
      </c>
      <c r="C109" s="911" t="s">
        <v>703</v>
      </c>
      <c r="D109" s="115">
        <v>2853</v>
      </c>
      <c r="E109" s="115">
        <v>11</v>
      </c>
      <c r="F109" s="115">
        <v>2028530011</v>
      </c>
      <c r="G109" s="120">
        <v>4350</v>
      </c>
      <c r="H109" s="115" t="s">
        <v>704</v>
      </c>
      <c r="I109" s="119"/>
      <c r="J109" s="115">
        <v>1.96</v>
      </c>
      <c r="K109" s="115">
        <v>0</v>
      </c>
      <c r="L109" s="115">
        <v>2</v>
      </c>
      <c r="M109" s="115">
        <v>6.5</v>
      </c>
      <c r="N109" s="117">
        <v>8510</v>
      </c>
      <c r="O109" s="117">
        <v>0</v>
      </c>
      <c r="P109" s="117">
        <v>0</v>
      </c>
      <c r="Q109" s="117">
        <v>8510</v>
      </c>
      <c r="R109" s="120">
        <v>0</v>
      </c>
      <c r="S109" s="764" t="s">
        <v>711</v>
      </c>
      <c r="T109" s="2600">
        <f>SUM(U109:U112)</f>
        <v>0</v>
      </c>
      <c r="U109" s="122">
        <f>Q109-N109</f>
        <v>0</v>
      </c>
      <c r="V109" s="2600">
        <f>SUM(W109:W112)</f>
        <v>27562</v>
      </c>
      <c r="W109" s="122">
        <f>N109</f>
        <v>8510</v>
      </c>
      <c r="X109" s="122"/>
      <c r="Y109" s="122">
        <f>W109-AA109</f>
        <v>8510</v>
      </c>
      <c r="Z109" s="2600">
        <f>SUM(AA109:AA112)</f>
        <v>0</v>
      </c>
      <c r="AA109" s="122">
        <v>0</v>
      </c>
      <c r="AB109" s="2600">
        <f>SUM(AC109:AC112)</f>
        <v>0</v>
      </c>
      <c r="AC109" s="122">
        <v>0</v>
      </c>
      <c r="AD109" s="2600">
        <f>SUM(AE109:AE112)</f>
        <v>19052</v>
      </c>
      <c r="AE109" s="122">
        <f>AF109+AG109</f>
        <v>0</v>
      </c>
      <c r="AF109" s="122">
        <v>0</v>
      </c>
      <c r="AG109" s="122">
        <v>0</v>
      </c>
      <c r="AH109" s="122">
        <v>0</v>
      </c>
      <c r="AI109" s="2600">
        <f>SUM(AJ109:AJ112)</f>
        <v>0</v>
      </c>
      <c r="AJ109" s="122">
        <f>P109</f>
        <v>0</v>
      </c>
      <c r="AK109" s="2600">
        <f>SUM(AL109:AL112)</f>
        <v>0</v>
      </c>
      <c r="AL109" s="122">
        <f>W109-(AA109+AC109+AE109+AH109+AJ109+AM109+AW109+AO109+AQ109+AS109+AU109)</f>
        <v>0</v>
      </c>
      <c r="AM109" s="765">
        <v>0</v>
      </c>
      <c r="AN109" s="2600">
        <f>SUM(AO109:AO112)</f>
        <v>0</v>
      </c>
      <c r="AO109" s="122">
        <v>0</v>
      </c>
      <c r="AP109" s="2600">
        <f>SUM(AQ109:AQ112)</f>
        <v>8510</v>
      </c>
      <c r="AQ109" s="122">
        <v>8510</v>
      </c>
      <c r="AR109" s="2600">
        <f>SUM(AS109:AS112)</f>
        <v>0</v>
      </c>
      <c r="AS109" s="122">
        <v>0</v>
      </c>
      <c r="AT109" s="2600">
        <f>SUM(AU109:AU112)</f>
        <v>0</v>
      </c>
      <c r="AU109" s="122">
        <v>0</v>
      </c>
      <c r="AV109" s="2600">
        <f>SUM(AW109:AW112)</f>
        <v>0</v>
      </c>
      <c r="AW109" s="122">
        <f>AX109+AY109+AZ109+BA109+BB109</f>
        <v>0</v>
      </c>
      <c r="AX109" s="122">
        <v>0</v>
      </c>
      <c r="AY109" s="122">
        <v>0</v>
      </c>
      <c r="AZ109" s="122">
        <v>0</v>
      </c>
      <c r="BA109" s="122">
        <v>0</v>
      </c>
      <c r="BB109" s="122">
        <v>0</v>
      </c>
      <c r="BC109" s="122">
        <v>0</v>
      </c>
      <c r="BD109" s="2600">
        <f>SUM(BE109:BE112)</f>
        <v>27562</v>
      </c>
      <c r="BE109" s="122">
        <f>U109+W109</f>
        <v>8510</v>
      </c>
      <c r="BF109" s="2600">
        <f>SUM(BG109:BG112)</f>
        <v>0</v>
      </c>
      <c r="BG109" s="122">
        <v>0</v>
      </c>
      <c r="BH109" s="2600">
        <f>SUM(BI109:BI112)</f>
        <v>0</v>
      </c>
      <c r="BI109" s="122">
        <f>'[1]Projected Development Sites'!BG$135*BG109</f>
        <v>0</v>
      </c>
      <c r="BJ109" s="122">
        <f t="shared" si="38"/>
        <v>0</v>
      </c>
      <c r="BK109" s="129">
        <f>ROUND((AL109+AC109+AA109)/1000*3,0)+ROUND((AE109+AU109)/1000,0)+ROUND((ROUND(AH109/400,0))/2.67,0)+ROUND(AJ109/250,0)+ROUND(AO109/15000,0)+ROUND((AX109+AY109+AZ109+BB109)/1000*3,0)+ROUND(BG109/25,0)+ROUND(BU109/50,0)</f>
        <v>0</v>
      </c>
      <c r="BL109" s="122">
        <v>0</v>
      </c>
      <c r="BM109" s="122">
        <v>0</v>
      </c>
      <c r="BN109" s="122">
        <v>0</v>
      </c>
      <c r="BO109" s="122">
        <v>0</v>
      </c>
      <c r="BP109" s="122">
        <v>0</v>
      </c>
      <c r="BQ109" s="122">
        <v>0</v>
      </c>
      <c r="BR109" s="122">
        <v>0</v>
      </c>
      <c r="BS109" s="122">
        <v>0</v>
      </c>
      <c r="BT109" s="2600">
        <f>SUM(BU109:BU112)</f>
        <v>0</v>
      </c>
      <c r="BU109" s="122">
        <v>0</v>
      </c>
      <c r="BV109" s="127">
        <v>35</v>
      </c>
      <c r="BW109" s="766" t="s">
        <v>729</v>
      </c>
      <c r="BX109" s="127">
        <v>7.2</v>
      </c>
      <c r="BY109" s="127">
        <v>3.4</v>
      </c>
      <c r="BZ109" s="127">
        <v>6.5</v>
      </c>
      <c r="CA109" s="912"/>
      <c r="CB109" s="2596" t="s">
        <v>716</v>
      </c>
      <c r="CC109" s="768">
        <f>(BX109*G109)-CF109</f>
        <v>27622.5</v>
      </c>
      <c r="CD109" s="2731">
        <f>SUM(CC109:CC112)</f>
        <v>162096.45000000001</v>
      </c>
      <c r="CE109" s="2600">
        <f>SUM(CF109:CF112)</f>
        <v>21697.95</v>
      </c>
      <c r="CF109" s="838">
        <f>1*(G109)-(0.15*1*(G109))</f>
        <v>3697.5</v>
      </c>
      <c r="CG109" s="2600">
        <f>SUM(CH109:CH112)</f>
        <v>21697.95</v>
      </c>
      <c r="CH109" s="769">
        <f>CF109-CJ109</f>
        <v>3697.5</v>
      </c>
      <c r="CI109" s="2600">
        <f>SUM(CJ109:CJ112)</f>
        <v>0</v>
      </c>
      <c r="CJ109" s="127">
        <v>0</v>
      </c>
      <c r="CK109" s="2600">
        <f>SUM(CL109:CL112)</f>
        <v>0</v>
      </c>
      <c r="CL109" s="127">
        <v>0</v>
      </c>
      <c r="CM109" s="2600">
        <f>SUM(CN109:CN112)</f>
        <v>21697.95</v>
      </c>
      <c r="CN109" s="770">
        <f>CF109-(CJ109+CL109+CO109+CP109+CR109+CU109+CV109+CX109)</f>
        <v>3697.5</v>
      </c>
      <c r="CO109" s="770">
        <v>0</v>
      </c>
      <c r="CP109" s="770">
        <v>0</v>
      </c>
      <c r="CQ109" s="2600">
        <f>SUM(CR109:CR112)</f>
        <v>0</v>
      </c>
      <c r="CR109" s="122">
        <v>0</v>
      </c>
      <c r="CS109" s="770">
        <v>0</v>
      </c>
      <c r="CT109" s="770">
        <v>0</v>
      </c>
      <c r="CU109" s="770">
        <v>0</v>
      </c>
      <c r="CV109" s="770">
        <v>0</v>
      </c>
      <c r="CW109" s="2600">
        <f>SUM(CX109:CX112)</f>
        <v>0</v>
      </c>
      <c r="CX109" s="122">
        <f>SUM(CY109:DC109)</f>
        <v>0</v>
      </c>
      <c r="CY109" s="770">
        <f t="shared" ref="CY109:DC112" si="39">AX109</f>
        <v>0</v>
      </c>
      <c r="CZ109" s="770">
        <f t="shared" si="39"/>
        <v>0</v>
      </c>
      <c r="DA109" s="770">
        <f t="shared" si="39"/>
        <v>0</v>
      </c>
      <c r="DB109" s="770">
        <f t="shared" si="39"/>
        <v>0</v>
      </c>
      <c r="DC109" s="770">
        <f t="shared" si="39"/>
        <v>0</v>
      </c>
      <c r="DD109" s="770"/>
      <c r="DE109" s="2600">
        <f>SUM(DF109:DF112)</f>
        <v>183794.4</v>
      </c>
      <c r="DF109" s="122">
        <f>CC109+CF109</f>
        <v>31320</v>
      </c>
      <c r="DG109" s="2600">
        <f>SUM(DH109:DH112)</f>
        <v>163</v>
      </c>
      <c r="DH109" s="127">
        <f>ROUND(CC109/'[1]Projected Development Sites'!DF$134,0)</f>
        <v>28</v>
      </c>
      <c r="DI109" s="2722">
        <f>SUM(DJ109:DJ112)</f>
        <v>163</v>
      </c>
      <c r="DJ109" s="771">
        <f>'[1]Projected Development Sites'!DK$136*DH109</f>
        <v>28</v>
      </c>
      <c r="DK109" s="771">
        <f>3.06*DH109</f>
        <v>85.68</v>
      </c>
      <c r="DL109" s="772">
        <f>ROUND((CN109+CL109+CJ109)/1000*3,0)+ROUND((ROUND(CP109/400,0))/2.67,0)+ROUND(CV109/1000,0)+ROUND((CY109+CZ109+DA109+DC109)/1000*3,0)+ROUND(DH109/25,0)+ROUND(DX109/50,0)</f>
        <v>12</v>
      </c>
      <c r="DM109" s="773">
        <v>0</v>
      </c>
      <c r="DN109" s="773"/>
      <c r="DO109" s="773">
        <v>0</v>
      </c>
      <c r="DP109" s="773">
        <f>0.25*DJ109</f>
        <v>7</v>
      </c>
      <c r="DQ109" s="773">
        <f>SUM(CO109,CJ109,CN109,CR109,CU109)/1000</f>
        <v>3.6974999999999998</v>
      </c>
      <c r="DR109" s="773">
        <f>CL109/1000</f>
        <v>0</v>
      </c>
      <c r="DS109" s="773">
        <f>((CP109/400)/12)</f>
        <v>0</v>
      </c>
      <c r="DT109" s="773">
        <v>0</v>
      </c>
      <c r="DU109" s="773">
        <v>0</v>
      </c>
      <c r="DV109" s="773">
        <f>CX109/1000</f>
        <v>0</v>
      </c>
      <c r="DW109" s="2722">
        <f>SUM(DX109:DX112)</f>
        <v>21.697949999999999</v>
      </c>
      <c r="DX109" s="774">
        <f>SUM(DM109,DO109,DQ109:DV109)</f>
        <v>3.6974999999999998</v>
      </c>
      <c r="DY109" s="2725">
        <v>165</v>
      </c>
      <c r="DZ109" s="2728">
        <f>CD109-T109</f>
        <v>162096.45000000001</v>
      </c>
      <c r="EA109" s="2602">
        <f>CE109-V109</f>
        <v>-5864.0499999999993</v>
      </c>
      <c r="EB109" s="187">
        <f>CF109-W109</f>
        <v>-4812.5</v>
      </c>
      <c r="EC109" s="2602">
        <f>SUM(ED109:ED112)</f>
        <v>2645.95</v>
      </c>
      <c r="ED109" s="187">
        <v>3697.5</v>
      </c>
      <c r="EE109" s="187">
        <f>(SUM(CJ109:CO109))-(SUM(AA109:AE109,AL109))</f>
        <v>6343.4500000000007</v>
      </c>
      <c r="EF109" s="2602">
        <f>SUM(EG109:EG112)</f>
        <v>21697.95</v>
      </c>
      <c r="EG109" s="187">
        <v>3697.5</v>
      </c>
      <c r="EH109" s="2602">
        <f>SUM(EI109:EI112)</f>
        <v>0</v>
      </c>
      <c r="EI109" s="187">
        <f>CL109-AC109</f>
        <v>0</v>
      </c>
      <c r="EJ109" s="2602">
        <f>SUM(EK109:EK112)</f>
        <v>0</v>
      </c>
      <c r="EK109" s="187">
        <f>CJ109-AA109</f>
        <v>0</v>
      </c>
      <c r="EL109" s="2602">
        <f>SUM(EM109:EM112)</f>
        <v>-19052</v>
      </c>
      <c r="EM109" s="187">
        <f>CO109-AE109</f>
        <v>0</v>
      </c>
      <c r="EN109" s="2602">
        <f>SUM(EO109:EO112)</f>
        <v>0</v>
      </c>
      <c r="EO109" s="187">
        <f>CP109-AH109</f>
        <v>0</v>
      </c>
      <c r="EP109" s="2602">
        <f>SUM(EQ109:EQ112)</f>
        <v>0</v>
      </c>
      <c r="EQ109" s="187">
        <f>CR109-AJ109</f>
        <v>0</v>
      </c>
      <c r="ER109" s="2602">
        <f>SUM(ES109:ES112)</f>
        <v>0</v>
      </c>
      <c r="ES109" s="187">
        <f>CS109-AO109</f>
        <v>0</v>
      </c>
      <c r="ET109" s="2602">
        <f>SUM(EU109:EU112)</f>
        <v>-8510</v>
      </c>
      <c r="EU109" s="187">
        <f t="shared" si="32"/>
        <v>-8510</v>
      </c>
      <c r="EV109" s="2602">
        <f>SUM(EW109:EW112)</f>
        <v>0</v>
      </c>
      <c r="EW109" s="187">
        <f>CU109-AS109</f>
        <v>0</v>
      </c>
      <c r="EX109" s="2602">
        <f>SUM(EY109:EY112)</f>
        <v>0</v>
      </c>
      <c r="EY109" s="187">
        <f>CV109-AU109</f>
        <v>0</v>
      </c>
      <c r="EZ109" s="2602">
        <f>SUM(FA109:FA112)</f>
        <v>0</v>
      </c>
      <c r="FA109" s="187">
        <f>CY109-AX109</f>
        <v>0</v>
      </c>
      <c r="FB109" s="2602">
        <f>SUM(FC109:FC112)</f>
        <v>0</v>
      </c>
      <c r="FC109" s="187">
        <f>CZ109-AY109</f>
        <v>0</v>
      </c>
      <c r="FD109" s="2602">
        <f>SUM(FE109:FE112)</f>
        <v>0</v>
      </c>
      <c r="FE109" s="187">
        <f>DA109-AZ109</f>
        <v>0</v>
      </c>
      <c r="FF109" s="2602">
        <f>SUM(FG109:FG112)</f>
        <v>0</v>
      </c>
      <c r="FG109" s="187">
        <f>DB109-BA109</f>
        <v>0</v>
      </c>
      <c r="FH109" s="2602">
        <f>SUM(FI109:FI112)</f>
        <v>0</v>
      </c>
      <c r="FI109" s="187">
        <f>DC109-BB109</f>
        <v>0</v>
      </c>
      <c r="FJ109" s="2602">
        <f>SUM(FK109:FK112)</f>
        <v>0</v>
      </c>
      <c r="FK109" s="187">
        <f>CX109-AW109</f>
        <v>0</v>
      </c>
      <c r="FL109" s="2602">
        <f>SUM(FM109:FM112)</f>
        <v>156232.4</v>
      </c>
      <c r="FM109" s="187">
        <f>DF109-BE109</f>
        <v>22810</v>
      </c>
      <c r="FN109" s="2602">
        <f>SUM(FO109:FO112)</f>
        <v>163</v>
      </c>
      <c r="FO109" s="187">
        <f>DH109-BG109</f>
        <v>28</v>
      </c>
      <c r="FP109" s="2602">
        <f>SUM(FQ109:FQ112)</f>
        <v>163</v>
      </c>
      <c r="FQ109" s="187">
        <f t="shared" ref="FQ109:FT112" si="40">DJ109-BI109</f>
        <v>28</v>
      </c>
      <c r="FR109" s="187">
        <f t="shared" si="40"/>
        <v>85.68</v>
      </c>
      <c r="FS109" s="187">
        <f t="shared" si="40"/>
        <v>12</v>
      </c>
      <c r="FT109" s="775">
        <f t="shared" si="40"/>
        <v>0</v>
      </c>
      <c r="FU109" s="775">
        <f>DR109-BO109</f>
        <v>0</v>
      </c>
      <c r="FV109" s="775">
        <f>DO109-BM109</f>
        <v>0</v>
      </c>
      <c r="FW109" s="775">
        <f>DQ109-BN109</f>
        <v>3.6974999999999998</v>
      </c>
      <c r="FX109" s="775">
        <f t="shared" ref="FX109:GA112" si="41">DS109-BP109</f>
        <v>0</v>
      </c>
      <c r="FY109" s="775">
        <f t="shared" si="41"/>
        <v>0</v>
      </c>
      <c r="FZ109" s="775">
        <f t="shared" si="41"/>
        <v>0</v>
      </c>
      <c r="GA109" s="775">
        <f t="shared" si="41"/>
        <v>0</v>
      </c>
      <c r="GB109" s="2734">
        <f>SUM(GC109:GC112)</f>
        <v>21.697949999999999</v>
      </c>
      <c r="GC109" s="776">
        <f t="shared" si="33"/>
        <v>3.6974999999999998</v>
      </c>
      <c r="GD109" s="139"/>
      <c r="GE109" s="139"/>
      <c r="GF109" s="139"/>
      <c r="GG109" s="139"/>
      <c r="GH109" s="139"/>
      <c r="GI109" s="139"/>
      <c r="GJ109" s="139"/>
      <c r="GK109" s="139"/>
      <c r="GL109" s="139"/>
      <c r="GM109" s="139"/>
      <c r="GN109" s="139"/>
      <c r="GO109" s="139"/>
      <c r="GP109" s="139"/>
      <c r="GQ109" s="139"/>
      <c r="GR109" s="139"/>
      <c r="GS109" s="139"/>
      <c r="GT109" s="139"/>
    </row>
    <row r="110" spans="1:202" s="139" customFormat="1" ht="15" customHeight="1">
      <c r="A110" s="2660"/>
      <c r="B110" s="2660"/>
      <c r="C110" s="913" t="s">
        <v>710</v>
      </c>
      <c r="D110" s="132">
        <v>2853</v>
      </c>
      <c r="E110" s="132">
        <v>9</v>
      </c>
      <c r="F110" s="132">
        <v>2028530009</v>
      </c>
      <c r="G110" s="137">
        <v>10325</v>
      </c>
      <c r="H110" s="132" t="s">
        <v>704</v>
      </c>
      <c r="I110" s="136"/>
      <c r="J110" s="132">
        <v>1</v>
      </c>
      <c r="K110" s="132">
        <v>0</v>
      </c>
      <c r="L110" s="132">
        <v>2</v>
      </c>
      <c r="M110" s="132">
        <v>6.5</v>
      </c>
      <c r="N110" s="134">
        <v>10300</v>
      </c>
      <c r="O110" s="134">
        <v>10300</v>
      </c>
      <c r="P110" s="134">
        <v>0</v>
      </c>
      <c r="Q110" s="134">
        <v>10300</v>
      </c>
      <c r="R110" s="137">
        <v>0</v>
      </c>
      <c r="S110" s="778" t="s">
        <v>711</v>
      </c>
      <c r="T110" s="2643"/>
      <c r="U110" s="102">
        <f>Q110-N110</f>
        <v>0</v>
      </c>
      <c r="V110" s="2643"/>
      <c r="W110" s="102">
        <f>N110</f>
        <v>10300</v>
      </c>
      <c r="X110" s="102"/>
      <c r="Y110" s="102">
        <f>W110-AA110</f>
        <v>10300</v>
      </c>
      <c r="Z110" s="2643"/>
      <c r="AA110" s="102">
        <v>0</v>
      </c>
      <c r="AB110" s="2643"/>
      <c r="AC110" s="102">
        <v>0</v>
      </c>
      <c r="AD110" s="2643"/>
      <c r="AE110" s="102">
        <f>AF110+AG110</f>
        <v>10300</v>
      </c>
      <c r="AF110" s="102">
        <v>0</v>
      </c>
      <c r="AG110" s="102">
        <f>W110</f>
        <v>10300</v>
      </c>
      <c r="AH110" s="102">
        <v>0</v>
      </c>
      <c r="AI110" s="2643"/>
      <c r="AJ110" s="102">
        <f>P110</f>
        <v>0</v>
      </c>
      <c r="AK110" s="2643"/>
      <c r="AL110" s="102">
        <f>W110-(AA110+AC110+AE110+AH110+AJ110+AM110+AW110+AO110+AQ110+AS110+AU110)</f>
        <v>0</v>
      </c>
      <c r="AM110" s="779">
        <v>0</v>
      </c>
      <c r="AN110" s="2643"/>
      <c r="AO110" s="102">
        <v>0</v>
      </c>
      <c r="AP110" s="2643"/>
      <c r="AQ110" s="102">
        <v>0</v>
      </c>
      <c r="AR110" s="2643"/>
      <c r="AS110" s="102">
        <v>0</v>
      </c>
      <c r="AT110" s="2643"/>
      <c r="AU110" s="102">
        <v>0</v>
      </c>
      <c r="AV110" s="2643"/>
      <c r="AW110" s="102">
        <f>AX110+AY110+AZ110+BA110+BB110</f>
        <v>0</v>
      </c>
      <c r="AX110" s="102">
        <v>0</v>
      </c>
      <c r="AY110" s="102">
        <v>0</v>
      </c>
      <c r="AZ110" s="102">
        <v>0</v>
      </c>
      <c r="BA110" s="102">
        <v>0</v>
      </c>
      <c r="BB110" s="102">
        <v>0</v>
      </c>
      <c r="BC110" s="102">
        <v>0</v>
      </c>
      <c r="BD110" s="2643"/>
      <c r="BE110" s="102">
        <f>U110+W110</f>
        <v>10300</v>
      </c>
      <c r="BF110" s="2643"/>
      <c r="BG110" s="102">
        <v>0</v>
      </c>
      <c r="BH110" s="2643"/>
      <c r="BI110" s="102">
        <f>'[1]Projected Development Sites'!BG$135*BG110</f>
        <v>0</v>
      </c>
      <c r="BJ110" s="102">
        <f t="shared" si="38"/>
        <v>0</v>
      </c>
      <c r="BK110" s="186">
        <f>ROUND((AL110+AC110+AA110)/1000*3,0)+ROUND((AE110+AU110)/1000,0)+ROUND((ROUND(AH110/400,0))/2.67,0)+ROUND(AJ110/250,0)+ROUND(AO110/15000,0)+ROUND((AX110+AY110+AZ110+BB110)/1000*3,0)+ROUND(BG110/25,0)+ROUND(BU110/50,0)</f>
        <v>10</v>
      </c>
      <c r="BL110" s="102">
        <v>0</v>
      </c>
      <c r="BM110" s="102">
        <v>0</v>
      </c>
      <c r="BN110" s="102">
        <v>0</v>
      </c>
      <c r="BO110" s="102">
        <v>0</v>
      </c>
      <c r="BP110" s="102">
        <v>0</v>
      </c>
      <c r="BQ110" s="102">
        <v>0</v>
      </c>
      <c r="BR110" s="102">
        <v>0</v>
      </c>
      <c r="BS110" s="102">
        <v>0</v>
      </c>
      <c r="BT110" s="2643"/>
      <c r="BU110" s="102">
        <v>0</v>
      </c>
      <c r="BV110" s="139">
        <v>15</v>
      </c>
      <c r="BW110" s="780" t="s">
        <v>729</v>
      </c>
      <c r="BX110" s="139">
        <v>7.2</v>
      </c>
      <c r="BY110" s="139">
        <v>3.4</v>
      </c>
      <c r="BZ110" s="139">
        <v>6.5</v>
      </c>
      <c r="CA110" s="627"/>
      <c r="CB110" s="2662"/>
      <c r="CC110" s="782">
        <f>(BX110*G110)-CF110</f>
        <v>65563.75</v>
      </c>
      <c r="CD110" s="2732"/>
      <c r="CE110" s="2643"/>
      <c r="CF110" s="840">
        <f>1*(G110)-(0.15*1*(G110))</f>
        <v>8776.25</v>
      </c>
      <c r="CG110" s="2643"/>
      <c r="CH110" s="783">
        <f>CF110-CJ110</f>
        <v>8776.25</v>
      </c>
      <c r="CI110" s="2643"/>
      <c r="CJ110" s="139">
        <v>0</v>
      </c>
      <c r="CK110" s="2643"/>
      <c r="CL110" s="139">
        <v>0</v>
      </c>
      <c r="CM110" s="2643"/>
      <c r="CN110" s="784">
        <f>CF110-(CJ110+CL110+CO110+CP110+CR110+CU110+CV110+CX110)</f>
        <v>8776.25</v>
      </c>
      <c r="CO110" s="784">
        <v>0</v>
      </c>
      <c r="CP110" s="784">
        <v>0</v>
      </c>
      <c r="CQ110" s="2643"/>
      <c r="CR110" s="102">
        <v>0</v>
      </c>
      <c r="CS110" s="784">
        <v>0</v>
      </c>
      <c r="CT110" s="784">
        <v>0</v>
      </c>
      <c r="CU110" s="784">
        <v>0</v>
      </c>
      <c r="CV110" s="784">
        <v>0</v>
      </c>
      <c r="CW110" s="2643"/>
      <c r="CX110" s="102">
        <f>SUM(CY110:DC110)</f>
        <v>0</v>
      </c>
      <c r="CY110" s="784">
        <f t="shared" si="39"/>
        <v>0</v>
      </c>
      <c r="CZ110" s="784">
        <f t="shared" si="39"/>
        <v>0</v>
      </c>
      <c r="DA110" s="784">
        <f t="shared" si="39"/>
        <v>0</v>
      </c>
      <c r="DB110" s="784">
        <f t="shared" si="39"/>
        <v>0</v>
      </c>
      <c r="DC110" s="784">
        <f t="shared" si="39"/>
        <v>0</v>
      </c>
      <c r="DD110" s="784"/>
      <c r="DE110" s="2643"/>
      <c r="DF110" s="102">
        <f>CC110+CF110</f>
        <v>74340</v>
      </c>
      <c r="DG110" s="2643"/>
      <c r="DH110" s="139">
        <f>ROUND(CC110/'[1]Projected Development Sites'!DF$134,0)</f>
        <v>66</v>
      </c>
      <c r="DI110" s="2723"/>
      <c r="DJ110" s="785">
        <f>'[1]Projected Development Sites'!DK$136*DH110</f>
        <v>66</v>
      </c>
      <c r="DK110" s="785">
        <f>3.06*DH110</f>
        <v>201.96</v>
      </c>
      <c r="DL110" s="786">
        <f>ROUND((CN110+CL110+CJ110)/1000*3,0)+ROUND((ROUND(CP110/400,0))/2.67,0)+ROUND(CV110/1000,0)+ROUND((CY110+CZ110+DA110+DC110)/1000*3,0)+ROUND(DH110/25,0)+ROUND(DX110/50,0)</f>
        <v>29</v>
      </c>
      <c r="DM110" s="787">
        <v>0</v>
      </c>
      <c r="DN110" s="787"/>
      <c r="DO110" s="787">
        <v>0</v>
      </c>
      <c r="DP110" s="787">
        <f>0.25*DJ110</f>
        <v>16.5</v>
      </c>
      <c r="DQ110" s="787">
        <f>SUM(CO110,CJ110,CN110,CR110,CU110)/1000</f>
        <v>8.7762499999999992</v>
      </c>
      <c r="DR110" s="787">
        <f>CL110/1000</f>
        <v>0</v>
      </c>
      <c r="DS110" s="787">
        <f>((CP110/400)/12)</f>
        <v>0</v>
      </c>
      <c r="DT110" s="787">
        <v>0</v>
      </c>
      <c r="DU110" s="787">
        <v>0</v>
      </c>
      <c r="DV110" s="787">
        <f>CX110/1000</f>
        <v>0</v>
      </c>
      <c r="DW110" s="2723"/>
      <c r="DX110" s="788">
        <f>SUM(DM110,DO110,DQ110:DV110)</f>
        <v>8.7762499999999992</v>
      </c>
      <c r="DY110" s="2726"/>
      <c r="DZ110" s="2729"/>
      <c r="EA110" s="2665"/>
      <c r="EB110" s="195">
        <f>CF110-W110</f>
        <v>-1523.75</v>
      </c>
      <c r="EC110" s="2665"/>
      <c r="ED110" s="195">
        <v>-1523.75</v>
      </c>
      <c r="EE110" s="195">
        <f>(SUM(CJ110:CO110))-(SUM(AA110:AE110,AL110))</f>
        <v>-1523.75</v>
      </c>
      <c r="EF110" s="2665"/>
      <c r="EG110" s="195">
        <v>8776.25</v>
      </c>
      <c r="EH110" s="2665"/>
      <c r="EI110" s="195">
        <f>CL110-AC110</f>
        <v>0</v>
      </c>
      <c r="EJ110" s="2665"/>
      <c r="EK110" s="195">
        <f>CJ110-AA110</f>
        <v>0</v>
      </c>
      <c r="EL110" s="2665"/>
      <c r="EM110" s="195">
        <f>CO110-AE110</f>
        <v>-10300</v>
      </c>
      <c r="EN110" s="2665"/>
      <c r="EO110" s="195">
        <f>CP110-AH110</f>
        <v>0</v>
      </c>
      <c r="EP110" s="2665"/>
      <c r="EQ110" s="195">
        <f>CR110-AJ110</f>
        <v>0</v>
      </c>
      <c r="ER110" s="2665"/>
      <c r="ES110" s="195">
        <f>CS110-AO110</f>
        <v>0</v>
      </c>
      <c r="ET110" s="2665"/>
      <c r="EU110" s="195">
        <f t="shared" si="32"/>
        <v>0</v>
      </c>
      <c r="EV110" s="2665"/>
      <c r="EW110" s="195">
        <f>CU110-AS110</f>
        <v>0</v>
      </c>
      <c r="EX110" s="2665"/>
      <c r="EY110" s="195">
        <f>CV110-AU110</f>
        <v>0</v>
      </c>
      <c r="EZ110" s="2665"/>
      <c r="FA110" s="195">
        <f>CY110-AX110</f>
        <v>0</v>
      </c>
      <c r="FB110" s="2665"/>
      <c r="FC110" s="195">
        <f>CZ110-AY110</f>
        <v>0</v>
      </c>
      <c r="FD110" s="2665"/>
      <c r="FE110" s="195">
        <f>DA110-AZ110</f>
        <v>0</v>
      </c>
      <c r="FF110" s="2665"/>
      <c r="FG110" s="195">
        <f>DB110-BA110</f>
        <v>0</v>
      </c>
      <c r="FH110" s="2665"/>
      <c r="FI110" s="195">
        <f>DC110-BB110</f>
        <v>0</v>
      </c>
      <c r="FJ110" s="2665"/>
      <c r="FK110" s="195">
        <f>CX110-AW110</f>
        <v>0</v>
      </c>
      <c r="FL110" s="2665"/>
      <c r="FM110" s="195">
        <f>DF110-BE110</f>
        <v>64040</v>
      </c>
      <c r="FN110" s="2665"/>
      <c r="FO110" s="195">
        <f>DH110-BG110</f>
        <v>66</v>
      </c>
      <c r="FP110" s="2665"/>
      <c r="FQ110" s="195">
        <f t="shared" si="40"/>
        <v>66</v>
      </c>
      <c r="FR110" s="195">
        <f t="shared" si="40"/>
        <v>201.96</v>
      </c>
      <c r="FS110" s="195">
        <f t="shared" si="40"/>
        <v>19</v>
      </c>
      <c r="FT110" s="789">
        <f t="shared" si="40"/>
        <v>0</v>
      </c>
      <c r="FU110" s="789">
        <f>DR110-BO110</f>
        <v>0</v>
      </c>
      <c r="FV110" s="789">
        <f>DO110-BM110</f>
        <v>0</v>
      </c>
      <c r="FW110" s="789">
        <f>DQ110-BN110</f>
        <v>8.7762499999999992</v>
      </c>
      <c r="FX110" s="789">
        <f t="shared" si="41"/>
        <v>0</v>
      </c>
      <c r="FY110" s="789">
        <f t="shared" si="41"/>
        <v>0</v>
      </c>
      <c r="FZ110" s="789">
        <f t="shared" si="41"/>
        <v>0</v>
      </c>
      <c r="GA110" s="789">
        <f t="shared" si="41"/>
        <v>0</v>
      </c>
      <c r="GB110" s="2735"/>
      <c r="GC110" s="790">
        <f t="shared" si="33"/>
        <v>8.7762499999999992</v>
      </c>
    </row>
    <row r="111" spans="1:202" s="139" customFormat="1" ht="15" customHeight="1">
      <c r="A111" s="2660"/>
      <c r="B111" s="2660"/>
      <c r="C111" s="913" t="s">
        <v>721</v>
      </c>
      <c r="D111" s="132">
        <v>2853</v>
      </c>
      <c r="E111" s="132">
        <v>12</v>
      </c>
      <c r="F111" s="132">
        <v>2028530012</v>
      </c>
      <c r="G111" s="137">
        <v>5852</v>
      </c>
      <c r="H111" s="132" t="s">
        <v>704</v>
      </c>
      <c r="I111" s="136"/>
      <c r="J111" s="132">
        <v>1</v>
      </c>
      <c r="K111" s="132">
        <v>0</v>
      </c>
      <c r="L111" s="132">
        <v>2</v>
      </c>
      <c r="M111" s="132">
        <v>6.5</v>
      </c>
      <c r="N111" s="134">
        <v>5852</v>
      </c>
      <c r="O111" s="134">
        <v>5852</v>
      </c>
      <c r="P111" s="134">
        <v>0</v>
      </c>
      <c r="Q111" s="134">
        <v>5852</v>
      </c>
      <c r="R111" s="137">
        <v>0</v>
      </c>
      <c r="S111" s="778" t="s">
        <v>711</v>
      </c>
      <c r="T111" s="2643"/>
      <c r="U111" s="102">
        <f>Q111-N111</f>
        <v>0</v>
      </c>
      <c r="V111" s="2643"/>
      <c r="W111" s="102">
        <f>N111</f>
        <v>5852</v>
      </c>
      <c r="X111" s="102"/>
      <c r="Y111" s="102">
        <f>W111-AA111</f>
        <v>5852</v>
      </c>
      <c r="Z111" s="2643"/>
      <c r="AA111" s="102">
        <v>0</v>
      </c>
      <c r="AB111" s="2643"/>
      <c r="AC111" s="102">
        <v>0</v>
      </c>
      <c r="AD111" s="2643"/>
      <c r="AE111" s="102">
        <f>AF111+AG111</f>
        <v>5852</v>
      </c>
      <c r="AF111" s="102">
        <v>0</v>
      </c>
      <c r="AG111" s="102">
        <v>5852</v>
      </c>
      <c r="AH111" s="102">
        <v>0</v>
      </c>
      <c r="AI111" s="2643"/>
      <c r="AJ111" s="102">
        <f>P111</f>
        <v>0</v>
      </c>
      <c r="AK111" s="2643"/>
      <c r="AL111" s="102">
        <f>W111-(AA111+AC111+AE111+AH111+AJ111+AM111+AW111+AO111+AQ111+AS111+AU111)</f>
        <v>0</v>
      </c>
      <c r="AM111" s="779">
        <v>0</v>
      </c>
      <c r="AN111" s="2643"/>
      <c r="AO111" s="102">
        <v>0</v>
      </c>
      <c r="AP111" s="2643"/>
      <c r="AQ111" s="102">
        <v>0</v>
      </c>
      <c r="AR111" s="2643"/>
      <c r="AS111" s="102">
        <v>0</v>
      </c>
      <c r="AT111" s="2643"/>
      <c r="AU111" s="102">
        <v>0</v>
      </c>
      <c r="AV111" s="2643"/>
      <c r="AW111" s="102">
        <f>AX111+AY111+AZ111+BA111+BB111</f>
        <v>0</v>
      </c>
      <c r="AX111" s="102">
        <v>0</v>
      </c>
      <c r="AY111" s="102">
        <v>0</v>
      </c>
      <c r="AZ111" s="102">
        <v>0</v>
      </c>
      <c r="BA111" s="102">
        <v>0</v>
      </c>
      <c r="BB111" s="102">
        <v>0</v>
      </c>
      <c r="BC111" s="102">
        <v>0</v>
      </c>
      <c r="BD111" s="2643"/>
      <c r="BE111" s="102">
        <f>U111+W111</f>
        <v>5852</v>
      </c>
      <c r="BF111" s="2643"/>
      <c r="BG111" s="102">
        <v>0</v>
      </c>
      <c r="BH111" s="2643"/>
      <c r="BI111" s="102">
        <f>'[1]Projected Development Sites'!BG$135*BG111</f>
        <v>0</v>
      </c>
      <c r="BJ111" s="102">
        <f t="shared" si="38"/>
        <v>0</v>
      </c>
      <c r="BK111" s="186">
        <f>ROUND((AL111+AC111+AA111)/1000*3,0)+ROUND((AE111+AU111)/1000,0)+ROUND((ROUND(AH111/400,0))/2.67,0)+ROUND(AJ111/250,0)+ROUND(AO111/15000,0)+ROUND((AX111+AY111+AZ111+BB111)/1000*3,0)+ROUND(BG111/25,0)+ROUND(BU111/50,0)</f>
        <v>6</v>
      </c>
      <c r="BL111" s="102">
        <v>0</v>
      </c>
      <c r="BM111" s="102">
        <v>0</v>
      </c>
      <c r="BN111" s="102">
        <v>0</v>
      </c>
      <c r="BO111" s="102">
        <v>0</v>
      </c>
      <c r="BP111" s="102">
        <v>0</v>
      </c>
      <c r="BQ111" s="102">
        <v>0</v>
      </c>
      <c r="BR111" s="102">
        <v>0</v>
      </c>
      <c r="BS111" s="102">
        <v>0</v>
      </c>
      <c r="BT111" s="2643"/>
      <c r="BU111" s="102">
        <v>0</v>
      </c>
      <c r="BV111" s="139">
        <v>15</v>
      </c>
      <c r="BW111" s="780" t="s">
        <v>729</v>
      </c>
      <c r="BX111" s="139">
        <v>7.2</v>
      </c>
      <c r="BY111" s="139">
        <v>3.4</v>
      </c>
      <c r="BZ111" s="139">
        <v>6.5</v>
      </c>
      <c r="CA111" s="627"/>
      <c r="CB111" s="2662"/>
      <c r="CC111" s="782">
        <f>(BX111*G111)-CF111</f>
        <v>37160.200000000004</v>
      </c>
      <c r="CD111" s="2732"/>
      <c r="CE111" s="2643"/>
      <c r="CF111" s="840">
        <f>1*(G111)-(0.15*1*(G111))</f>
        <v>4974.2</v>
      </c>
      <c r="CG111" s="2643"/>
      <c r="CH111" s="783">
        <f>CF111-CJ111</f>
        <v>4974.2</v>
      </c>
      <c r="CI111" s="2643"/>
      <c r="CJ111" s="139">
        <v>0</v>
      </c>
      <c r="CK111" s="2643"/>
      <c r="CL111" s="139">
        <v>0</v>
      </c>
      <c r="CM111" s="2643"/>
      <c r="CN111" s="784">
        <f>CF111-(CJ111+CL111+CO111+CP111+CR111+CU111+CV111+CX111)</f>
        <v>4974.2</v>
      </c>
      <c r="CO111" s="784">
        <v>0</v>
      </c>
      <c r="CP111" s="784">
        <v>0</v>
      </c>
      <c r="CQ111" s="2643"/>
      <c r="CR111" s="102">
        <v>0</v>
      </c>
      <c r="CS111" s="784">
        <v>0</v>
      </c>
      <c r="CT111" s="784">
        <v>0</v>
      </c>
      <c r="CU111" s="784">
        <v>0</v>
      </c>
      <c r="CV111" s="784">
        <v>0</v>
      </c>
      <c r="CW111" s="2643"/>
      <c r="CX111" s="102">
        <f>SUM(CY111:DC111)</f>
        <v>0</v>
      </c>
      <c r="CY111" s="784">
        <f t="shared" si="39"/>
        <v>0</v>
      </c>
      <c r="CZ111" s="784">
        <f t="shared" si="39"/>
        <v>0</v>
      </c>
      <c r="DA111" s="784">
        <f t="shared" si="39"/>
        <v>0</v>
      </c>
      <c r="DB111" s="784">
        <f t="shared" si="39"/>
        <v>0</v>
      </c>
      <c r="DC111" s="784">
        <f t="shared" si="39"/>
        <v>0</v>
      </c>
      <c r="DD111" s="784"/>
      <c r="DE111" s="2643"/>
      <c r="DF111" s="784">
        <f>CC111+CF111</f>
        <v>42134.400000000001</v>
      </c>
      <c r="DG111" s="2643"/>
      <c r="DH111" s="139">
        <f>ROUND(CC111/'[1]Projected Development Sites'!DF$134,0)</f>
        <v>37</v>
      </c>
      <c r="DI111" s="2723"/>
      <c r="DJ111" s="785">
        <f>'[1]Projected Development Sites'!DK$136*DH111</f>
        <v>37</v>
      </c>
      <c r="DK111" s="785">
        <f>3.06*DH111</f>
        <v>113.22</v>
      </c>
      <c r="DL111" s="786">
        <f>ROUND((CN111+CL111+CJ111)/1000*3,0)+ROUND((ROUND(CP111/400,0))/2.67,0)+ROUND(CV111/1000,0)+ROUND((CY111+CZ111+DA111+DC111)/1000*3,0)+ROUND(DH111/25,0)+ROUND(DX111/50,0)</f>
        <v>16</v>
      </c>
      <c r="DM111" s="787">
        <v>0</v>
      </c>
      <c r="DN111" s="787"/>
      <c r="DO111" s="787">
        <v>0</v>
      </c>
      <c r="DP111" s="787">
        <f>0.25*DJ111</f>
        <v>9.25</v>
      </c>
      <c r="DQ111" s="787">
        <f>SUM(CO111,CJ111,CN111,CR111,CU111)/1000</f>
        <v>4.9741999999999997</v>
      </c>
      <c r="DR111" s="787">
        <f>CL111/1000</f>
        <v>0</v>
      </c>
      <c r="DS111" s="787">
        <f>((CP111/400)/12)</f>
        <v>0</v>
      </c>
      <c r="DT111" s="787">
        <v>0</v>
      </c>
      <c r="DU111" s="787">
        <v>0</v>
      </c>
      <c r="DV111" s="787">
        <f>CX111/1000</f>
        <v>0</v>
      </c>
      <c r="DW111" s="2723"/>
      <c r="DX111" s="788">
        <f>SUM(DM111,DO111,DQ111:DV111)</f>
        <v>4.9741999999999997</v>
      </c>
      <c r="DY111" s="2726"/>
      <c r="DZ111" s="2729"/>
      <c r="EA111" s="2665"/>
      <c r="EB111" s="195">
        <f>CF111-W111</f>
        <v>-877.80000000000018</v>
      </c>
      <c r="EC111" s="2665"/>
      <c r="ED111" s="195">
        <v>-877.80000000000018</v>
      </c>
      <c r="EE111" s="195">
        <f>(SUM(CJ111:CO111))-(SUM(AA111:AE111,AL111))</f>
        <v>-877.80000000000018</v>
      </c>
      <c r="EF111" s="2665"/>
      <c r="EG111" s="195">
        <v>4974.2</v>
      </c>
      <c r="EH111" s="2665"/>
      <c r="EI111" s="195">
        <f>CL111-AC111</f>
        <v>0</v>
      </c>
      <c r="EJ111" s="2665"/>
      <c r="EK111" s="195">
        <f>CJ111-AA111</f>
        <v>0</v>
      </c>
      <c r="EL111" s="2665"/>
      <c r="EM111" s="195">
        <f>CO111-AE111</f>
        <v>-5852</v>
      </c>
      <c r="EN111" s="2665"/>
      <c r="EO111" s="195">
        <f>CP111-AH111</f>
        <v>0</v>
      </c>
      <c r="EP111" s="2665"/>
      <c r="EQ111" s="195">
        <f>CR111-AJ111</f>
        <v>0</v>
      </c>
      <c r="ER111" s="2665"/>
      <c r="ES111" s="195">
        <f>CS111-AO111</f>
        <v>0</v>
      </c>
      <c r="ET111" s="2665"/>
      <c r="EU111" s="195">
        <f t="shared" si="32"/>
        <v>0</v>
      </c>
      <c r="EV111" s="2665"/>
      <c r="EW111" s="195">
        <f>CU111-AS111</f>
        <v>0</v>
      </c>
      <c r="EX111" s="2665"/>
      <c r="EY111" s="195">
        <f>CV111-AU111</f>
        <v>0</v>
      </c>
      <c r="EZ111" s="2665"/>
      <c r="FA111" s="195">
        <f>CY111-AX111</f>
        <v>0</v>
      </c>
      <c r="FB111" s="2665"/>
      <c r="FC111" s="195">
        <f>CZ111-AY111</f>
        <v>0</v>
      </c>
      <c r="FD111" s="2665"/>
      <c r="FE111" s="195">
        <f>DA111-AZ111</f>
        <v>0</v>
      </c>
      <c r="FF111" s="2665"/>
      <c r="FG111" s="195">
        <f>DB111-BA111</f>
        <v>0</v>
      </c>
      <c r="FH111" s="2665"/>
      <c r="FI111" s="195">
        <f>DC111-BB111</f>
        <v>0</v>
      </c>
      <c r="FJ111" s="2665"/>
      <c r="FK111" s="195">
        <f>CX111-AW111</f>
        <v>0</v>
      </c>
      <c r="FL111" s="2665"/>
      <c r="FM111" s="195">
        <f>DF111-BE111</f>
        <v>36282.400000000001</v>
      </c>
      <c r="FN111" s="2665"/>
      <c r="FO111" s="195">
        <f>DH111-BG111</f>
        <v>37</v>
      </c>
      <c r="FP111" s="2665"/>
      <c r="FQ111" s="195">
        <f t="shared" si="40"/>
        <v>37</v>
      </c>
      <c r="FR111" s="195">
        <f t="shared" si="40"/>
        <v>113.22</v>
      </c>
      <c r="FS111" s="195">
        <f t="shared" si="40"/>
        <v>10</v>
      </c>
      <c r="FT111" s="789">
        <f t="shared" si="40"/>
        <v>0</v>
      </c>
      <c r="FU111" s="789">
        <f>DR111-BO111</f>
        <v>0</v>
      </c>
      <c r="FV111" s="789">
        <f>DO111-BM111</f>
        <v>0</v>
      </c>
      <c r="FW111" s="789">
        <f>DQ111-BN111</f>
        <v>4.9741999999999997</v>
      </c>
      <c r="FX111" s="789">
        <f t="shared" si="41"/>
        <v>0</v>
      </c>
      <c r="FY111" s="789">
        <f t="shared" si="41"/>
        <v>0</v>
      </c>
      <c r="FZ111" s="789">
        <f t="shared" si="41"/>
        <v>0</v>
      </c>
      <c r="GA111" s="789">
        <f t="shared" si="41"/>
        <v>0</v>
      </c>
      <c r="GB111" s="2735"/>
      <c r="GC111" s="790">
        <f t="shared" si="33"/>
        <v>4.9741999999999997</v>
      </c>
    </row>
    <row r="112" spans="1:202" s="81" customFormat="1" ht="15" customHeight="1">
      <c r="A112" s="2589"/>
      <c r="B112" s="2589"/>
      <c r="C112" s="915" t="s">
        <v>724</v>
      </c>
      <c r="D112" s="66">
        <v>2853</v>
      </c>
      <c r="E112" s="66">
        <v>15</v>
      </c>
      <c r="F112" s="66">
        <v>2028530015</v>
      </c>
      <c r="G112" s="71">
        <v>5000</v>
      </c>
      <c r="H112" s="66" t="s">
        <v>704</v>
      </c>
      <c r="I112" s="70"/>
      <c r="J112" s="66">
        <v>0.57999999999999996</v>
      </c>
      <c r="K112" s="66">
        <v>0</v>
      </c>
      <c r="L112" s="66">
        <v>2</v>
      </c>
      <c r="M112" s="66">
        <v>6.5</v>
      </c>
      <c r="N112" s="68">
        <v>2900</v>
      </c>
      <c r="O112" s="68">
        <v>2900</v>
      </c>
      <c r="P112" s="68">
        <v>0</v>
      </c>
      <c r="Q112" s="68">
        <v>2900</v>
      </c>
      <c r="R112" s="71">
        <v>0</v>
      </c>
      <c r="S112" s="791" t="s">
        <v>711</v>
      </c>
      <c r="T112" s="2601"/>
      <c r="U112" s="74">
        <f>Q112-N112</f>
        <v>0</v>
      </c>
      <c r="V112" s="2601"/>
      <c r="W112" s="74">
        <f>N112</f>
        <v>2900</v>
      </c>
      <c r="X112" s="74"/>
      <c r="Y112" s="74">
        <f>W112-AA112</f>
        <v>2900</v>
      </c>
      <c r="Z112" s="2601"/>
      <c r="AA112" s="74">
        <v>0</v>
      </c>
      <c r="AB112" s="2601"/>
      <c r="AC112" s="74">
        <v>0</v>
      </c>
      <c r="AD112" s="2601"/>
      <c r="AE112" s="74">
        <f>AF112+AG112</f>
        <v>2900</v>
      </c>
      <c r="AF112" s="74">
        <v>0</v>
      </c>
      <c r="AG112" s="74">
        <v>2900</v>
      </c>
      <c r="AH112" s="74">
        <v>0</v>
      </c>
      <c r="AI112" s="2601"/>
      <c r="AJ112" s="74">
        <f>P112</f>
        <v>0</v>
      </c>
      <c r="AK112" s="2601"/>
      <c r="AL112" s="74">
        <f>W112-(AA112+AC112+AE112+AH112+AJ112+AM112+AW112+AO112+AQ112+AS112+AU112)</f>
        <v>0</v>
      </c>
      <c r="AM112" s="792">
        <v>0</v>
      </c>
      <c r="AN112" s="2601"/>
      <c r="AO112" s="74">
        <v>0</v>
      </c>
      <c r="AP112" s="2601"/>
      <c r="AQ112" s="74">
        <v>0</v>
      </c>
      <c r="AR112" s="2601"/>
      <c r="AS112" s="74">
        <v>0</v>
      </c>
      <c r="AT112" s="2601"/>
      <c r="AU112" s="74">
        <v>0</v>
      </c>
      <c r="AV112" s="2601"/>
      <c r="AW112" s="74">
        <f>AX112+AY112+AZ112+BA112+BB112</f>
        <v>0</v>
      </c>
      <c r="AX112" s="74">
        <v>0</v>
      </c>
      <c r="AY112" s="74">
        <v>0</v>
      </c>
      <c r="AZ112" s="74">
        <v>0</v>
      </c>
      <c r="BA112" s="74">
        <v>0</v>
      </c>
      <c r="BB112" s="74">
        <v>0</v>
      </c>
      <c r="BC112" s="74">
        <v>0</v>
      </c>
      <c r="BD112" s="2601"/>
      <c r="BE112" s="74">
        <f>U112+W112</f>
        <v>2900</v>
      </c>
      <c r="BF112" s="2601"/>
      <c r="BG112" s="74">
        <v>0</v>
      </c>
      <c r="BH112" s="2601"/>
      <c r="BI112" s="74">
        <f>'[1]Projected Development Sites'!BG$135*BG112</f>
        <v>0</v>
      </c>
      <c r="BJ112" s="74">
        <f t="shared" si="38"/>
        <v>0</v>
      </c>
      <c r="BK112" s="88">
        <f>ROUND((AL112+AC112+AA112)/1000*3,0)+ROUND((AE112+AU112)/1000,0)+ROUND((ROUND(AH112/400,0))/2.67,0)+ROUND(AJ112/250,0)+ROUND(AO112/15000,0)+ROUND((AX112+AY112+AZ112+BB112)/1000*3,0)+ROUND(BG112/25,0)+ROUND(BU112/50,0)</f>
        <v>3</v>
      </c>
      <c r="BL112" s="74">
        <v>0</v>
      </c>
      <c r="BM112" s="74">
        <v>0</v>
      </c>
      <c r="BN112" s="74">
        <v>0</v>
      </c>
      <c r="BO112" s="74">
        <v>0</v>
      </c>
      <c r="BP112" s="74">
        <v>0</v>
      </c>
      <c r="BQ112" s="74">
        <v>0</v>
      </c>
      <c r="BR112" s="74">
        <v>0</v>
      </c>
      <c r="BS112" s="74">
        <v>0</v>
      </c>
      <c r="BT112" s="2601"/>
      <c r="BU112" s="74">
        <v>0</v>
      </c>
      <c r="BV112" s="81">
        <v>15</v>
      </c>
      <c r="BW112" s="793" t="s">
        <v>729</v>
      </c>
      <c r="BX112" s="81">
        <v>7.2</v>
      </c>
      <c r="BY112" s="81">
        <v>3.4</v>
      </c>
      <c r="BZ112" s="81">
        <v>6.5</v>
      </c>
      <c r="CA112" s="916"/>
      <c r="CB112" s="2597"/>
      <c r="CC112" s="795">
        <f>(BX112*G112)-CF112</f>
        <v>31750</v>
      </c>
      <c r="CD112" s="2733"/>
      <c r="CE112" s="2601"/>
      <c r="CF112" s="843">
        <f>1*(G112)-(0.15*1*(G112))</f>
        <v>4250</v>
      </c>
      <c r="CG112" s="2601"/>
      <c r="CH112" s="843">
        <f>CF112-CJ112</f>
        <v>4250</v>
      </c>
      <c r="CI112" s="2601"/>
      <c r="CJ112" s="81">
        <v>0</v>
      </c>
      <c r="CK112" s="2601"/>
      <c r="CL112" s="81">
        <v>0</v>
      </c>
      <c r="CM112" s="2601"/>
      <c r="CN112" s="74">
        <f>CF112-(CJ112+CL112+CO112+CP112+CR112+CU112+CV112+CX112)</f>
        <v>4250</v>
      </c>
      <c r="CO112" s="797">
        <v>0</v>
      </c>
      <c r="CP112" s="797">
        <v>0</v>
      </c>
      <c r="CQ112" s="2601"/>
      <c r="CR112" s="74">
        <v>0</v>
      </c>
      <c r="CS112" s="797">
        <v>0</v>
      </c>
      <c r="CT112" s="797">
        <v>0</v>
      </c>
      <c r="CU112" s="797">
        <v>0</v>
      </c>
      <c r="CV112" s="797">
        <v>0</v>
      </c>
      <c r="CW112" s="2601"/>
      <c r="CX112" s="74">
        <f>SUM(CY112:DC112)</f>
        <v>0</v>
      </c>
      <c r="CY112" s="797">
        <f t="shared" si="39"/>
        <v>0</v>
      </c>
      <c r="CZ112" s="797">
        <f t="shared" si="39"/>
        <v>0</v>
      </c>
      <c r="DA112" s="797">
        <f t="shared" si="39"/>
        <v>0</v>
      </c>
      <c r="DB112" s="797">
        <f t="shared" si="39"/>
        <v>0</v>
      </c>
      <c r="DC112" s="797">
        <f t="shared" si="39"/>
        <v>0</v>
      </c>
      <c r="DD112" s="797"/>
      <c r="DE112" s="2601"/>
      <c r="DF112" s="74">
        <f>CC112+CF112</f>
        <v>36000</v>
      </c>
      <c r="DG112" s="2601"/>
      <c r="DH112" s="81">
        <f>ROUND(CC112/'[1]Projected Development Sites'!DF$134,0)</f>
        <v>32</v>
      </c>
      <c r="DI112" s="2724"/>
      <c r="DJ112" s="798">
        <f>'[1]Projected Development Sites'!DK$136*DH112</f>
        <v>32</v>
      </c>
      <c r="DK112" s="798">
        <f>3.06*DH112</f>
        <v>97.92</v>
      </c>
      <c r="DL112" s="786">
        <f>ROUND((CN112+CL112+CJ112)/1000*3,0)+ROUND((ROUND(CP112/400,0))/2.67,0)+ROUND(CV112/1000,0)+ROUND((CY112+CZ112+DA112+DC112)/1000*3,0)+ROUND(DH112/25,0)+ROUND(DX112/50,0)</f>
        <v>14</v>
      </c>
      <c r="DM112" s="799">
        <v>0</v>
      </c>
      <c r="DN112" s="799"/>
      <c r="DO112" s="799">
        <v>0</v>
      </c>
      <c r="DP112" s="799">
        <f>0.25*DJ112</f>
        <v>8</v>
      </c>
      <c r="DQ112" s="799">
        <f>SUM(CO112,CJ112,CN112,CR112,CU112)/1000</f>
        <v>4.25</v>
      </c>
      <c r="DR112" s="799">
        <f>CL112/1000</f>
        <v>0</v>
      </c>
      <c r="DS112" s="799">
        <f>((CP112/400)/12)</f>
        <v>0</v>
      </c>
      <c r="DT112" s="799">
        <v>0</v>
      </c>
      <c r="DU112" s="799">
        <v>0</v>
      </c>
      <c r="DV112" s="799">
        <f>CX112/1000</f>
        <v>0</v>
      </c>
      <c r="DW112" s="2724"/>
      <c r="DX112" s="800">
        <f>SUM(DM112,DO112,DQ112:DV112)</f>
        <v>4.25</v>
      </c>
      <c r="DY112" s="2727"/>
      <c r="DZ112" s="2730"/>
      <c r="EA112" s="2603"/>
      <c r="EB112" s="195">
        <f>CF112-W112</f>
        <v>1350</v>
      </c>
      <c r="EC112" s="2603"/>
      <c r="ED112" s="190">
        <v>1350</v>
      </c>
      <c r="EE112" s="195">
        <f>(SUM(CJ112:CO112))-(SUM(AA112:AE112,AL112))</f>
        <v>1350</v>
      </c>
      <c r="EF112" s="2603"/>
      <c r="EG112" s="190">
        <v>4250</v>
      </c>
      <c r="EH112" s="2603"/>
      <c r="EI112" s="195">
        <f>CL112-AC112</f>
        <v>0</v>
      </c>
      <c r="EJ112" s="2603"/>
      <c r="EK112" s="195">
        <f>CJ112-AA112</f>
        <v>0</v>
      </c>
      <c r="EL112" s="2603"/>
      <c r="EM112" s="190">
        <f>CO112-AE112</f>
        <v>-2900</v>
      </c>
      <c r="EN112" s="2603"/>
      <c r="EO112" s="190">
        <f>CP112-AH112</f>
        <v>0</v>
      </c>
      <c r="EP112" s="2603"/>
      <c r="EQ112" s="195">
        <f>CR112-AJ112</f>
        <v>0</v>
      </c>
      <c r="ER112" s="2603"/>
      <c r="ES112" s="195">
        <f>CS112-AO112</f>
        <v>0</v>
      </c>
      <c r="ET112" s="2603"/>
      <c r="EU112" s="190">
        <f t="shared" si="32"/>
        <v>0</v>
      </c>
      <c r="EV112" s="2603"/>
      <c r="EW112" s="195">
        <f>CU112-AS112</f>
        <v>0</v>
      </c>
      <c r="EX112" s="2603"/>
      <c r="EY112" s="190">
        <f>CV112-AU112</f>
        <v>0</v>
      </c>
      <c r="EZ112" s="2603"/>
      <c r="FA112" s="190">
        <f>CY112-AX112</f>
        <v>0</v>
      </c>
      <c r="FB112" s="2603"/>
      <c r="FC112" s="190">
        <f>CZ112-AY112</f>
        <v>0</v>
      </c>
      <c r="FD112" s="2603"/>
      <c r="FE112" s="190">
        <f>DA112-AZ112</f>
        <v>0</v>
      </c>
      <c r="FF112" s="2603"/>
      <c r="FG112" s="190">
        <f>DB112-BA112</f>
        <v>0</v>
      </c>
      <c r="FH112" s="2603"/>
      <c r="FI112" s="190">
        <f>DC112-BB112</f>
        <v>0</v>
      </c>
      <c r="FJ112" s="2603"/>
      <c r="FK112" s="190">
        <f>CX112-AW112</f>
        <v>0</v>
      </c>
      <c r="FL112" s="2603"/>
      <c r="FM112" s="195">
        <f>DF112-BE112</f>
        <v>33100</v>
      </c>
      <c r="FN112" s="2603"/>
      <c r="FO112" s="195">
        <f>DH112-BG112</f>
        <v>32</v>
      </c>
      <c r="FP112" s="2603"/>
      <c r="FQ112" s="195">
        <f t="shared" si="40"/>
        <v>32</v>
      </c>
      <c r="FR112" s="190">
        <f t="shared" si="40"/>
        <v>97.92</v>
      </c>
      <c r="FS112" s="190">
        <f t="shared" si="40"/>
        <v>11</v>
      </c>
      <c r="FT112" s="801">
        <f t="shared" si="40"/>
        <v>0</v>
      </c>
      <c r="FU112" s="801">
        <f>DR112-BO112</f>
        <v>0</v>
      </c>
      <c r="FV112" s="801">
        <f>DO112-BM112</f>
        <v>0</v>
      </c>
      <c r="FW112" s="801">
        <f>DQ112-BN112</f>
        <v>4.25</v>
      </c>
      <c r="FX112" s="801">
        <f t="shared" si="41"/>
        <v>0</v>
      </c>
      <c r="FY112" s="801">
        <f t="shared" si="41"/>
        <v>0</v>
      </c>
      <c r="FZ112" s="801">
        <f t="shared" si="41"/>
        <v>0</v>
      </c>
      <c r="GA112" s="801">
        <f t="shared" si="41"/>
        <v>0</v>
      </c>
      <c r="GB112" s="2736"/>
      <c r="GC112" s="845">
        <f t="shared" si="33"/>
        <v>4.25</v>
      </c>
      <c r="GD112" s="139"/>
      <c r="GE112" s="139"/>
      <c r="GF112" s="139"/>
      <c r="GG112" s="139"/>
      <c r="GH112" s="139"/>
      <c r="GI112" s="139"/>
      <c r="GJ112" s="139"/>
      <c r="GK112" s="139"/>
      <c r="GL112" s="139"/>
      <c r="GM112" s="139"/>
      <c r="GN112" s="139"/>
      <c r="GO112" s="139"/>
      <c r="GP112" s="139"/>
      <c r="GQ112" s="139"/>
      <c r="GR112" s="139"/>
      <c r="GS112" s="139"/>
      <c r="GT112" s="139"/>
    </row>
    <row r="113" spans="1:202" s="139" customFormat="1" ht="18.75">
      <c r="A113" s="2263"/>
      <c r="B113" s="2263"/>
      <c r="C113" s="132"/>
      <c r="D113" s="132"/>
      <c r="E113" s="132"/>
      <c r="F113" s="777"/>
      <c r="G113" s="137"/>
      <c r="H113" s="132"/>
      <c r="I113" s="136"/>
      <c r="J113" s="132"/>
      <c r="K113" s="132"/>
      <c r="L113" s="132"/>
      <c r="M113" s="132"/>
      <c r="N113" s="134"/>
      <c r="O113" s="134"/>
      <c r="P113" s="134"/>
      <c r="Q113" s="134"/>
      <c r="R113" s="137"/>
      <c r="S113" s="778"/>
      <c r="T113" s="634"/>
      <c r="U113" s="102"/>
      <c r="V113" s="634"/>
      <c r="W113" s="102"/>
      <c r="X113" s="102"/>
      <c r="Y113" s="102"/>
      <c r="Z113" s="634"/>
      <c r="AA113" s="266"/>
      <c r="AB113" s="634"/>
      <c r="AC113" s="102"/>
      <c r="AD113" s="634"/>
      <c r="AE113" s="102"/>
      <c r="AF113" s="102"/>
      <c r="AG113" s="102"/>
      <c r="AH113" s="102"/>
      <c r="AI113" s="634"/>
      <c r="AJ113" s="102"/>
      <c r="AK113" s="634"/>
      <c r="AL113" s="102"/>
      <c r="AM113" s="779"/>
      <c r="AN113" s="634"/>
      <c r="AO113" s="102"/>
      <c r="AP113" s="634"/>
      <c r="AQ113" s="102"/>
      <c r="AR113" s="634"/>
      <c r="AS113" s="102"/>
      <c r="AT113" s="634"/>
      <c r="AU113" s="102"/>
      <c r="AV113" s="634"/>
      <c r="AW113" s="102"/>
      <c r="AX113" s="102"/>
      <c r="AY113" s="102"/>
      <c r="AZ113" s="102"/>
      <c r="BA113" s="102"/>
      <c r="BB113" s="102"/>
      <c r="BC113" s="102"/>
      <c r="BD113" s="634"/>
      <c r="BE113" s="102"/>
      <c r="BF113" s="634"/>
      <c r="BG113" s="102"/>
      <c r="BH113" s="634"/>
      <c r="BI113" s="102"/>
      <c r="BJ113" s="122"/>
      <c r="BK113" s="186"/>
      <c r="BL113" s="102"/>
      <c r="BM113" s="102"/>
      <c r="BN113" s="102"/>
      <c r="BO113" s="102"/>
      <c r="BP113" s="102"/>
      <c r="BQ113" s="102"/>
      <c r="BR113" s="102"/>
      <c r="BS113" s="102"/>
      <c r="BT113" s="634"/>
      <c r="BU113" s="102"/>
      <c r="BW113" s="780"/>
      <c r="CA113" s="781"/>
      <c r="CB113" s="2258"/>
      <c r="CC113" s="782"/>
      <c r="CD113" s="782"/>
      <c r="CE113" s="634"/>
      <c r="CF113" s="783"/>
      <c r="CG113" s="634"/>
      <c r="CH113" s="783"/>
      <c r="CI113" s="634"/>
      <c r="CK113" s="634"/>
      <c r="CM113" s="634"/>
      <c r="CN113" s="784"/>
      <c r="CO113" s="784"/>
      <c r="CP113" s="784"/>
      <c r="CQ113" s="634"/>
      <c r="CR113" s="102"/>
      <c r="CS113" s="784"/>
      <c r="CT113" s="784"/>
      <c r="CU113" s="784"/>
      <c r="CV113" s="784"/>
      <c r="CW113" s="634"/>
      <c r="CX113" s="102"/>
      <c r="CY113" s="784"/>
      <c r="CZ113" s="784"/>
      <c r="DA113" s="784"/>
      <c r="DB113" s="784"/>
      <c r="DC113" s="784"/>
      <c r="DD113" s="784"/>
      <c r="DE113" s="634"/>
      <c r="DF113" s="784"/>
      <c r="DG113" s="634"/>
      <c r="DH113" s="296"/>
      <c r="DI113" s="802"/>
      <c r="DJ113" s="785"/>
      <c r="DK113" s="771"/>
      <c r="DL113" s="772"/>
      <c r="DM113" s="787"/>
      <c r="DN113" s="787"/>
      <c r="DO113" s="787"/>
      <c r="DP113" s="787"/>
      <c r="DQ113" s="787"/>
      <c r="DR113" s="787"/>
      <c r="DS113" s="787"/>
      <c r="DT113" s="787"/>
      <c r="DU113" s="787"/>
      <c r="DV113" s="787"/>
      <c r="DW113" s="802"/>
      <c r="DX113" s="788"/>
      <c r="DY113" s="634"/>
      <c r="DZ113" s="2288"/>
      <c r="EA113" s="2231"/>
      <c r="EB113" s="187"/>
      <c r="EC113" s="2232"/>
      <c r="ED113" s="187"/>
      <c r="EE113" s="187"/>
      <c r="EF113" s="2232"/>
      <c r="EG113" s="245"/>
      <c r="EH113" s="2232"/>
      <c r="EI113" s="187"/>
      <c r="EJ113" s="2232"/>
      <c r="EK113" s="187"/>
      <c r="EL113" s="2232"/>
      <c r="EM113" s="195"/>
      <c r="EN113" s="2232"/>
      <c r="EO113" s="195"/>
      <c r="EP113" s="2232"/>
      <c r="EQ113" s="187"/>
      <c r="ER113" s="2232"/>
      <c r="ES113" s="187"/>
      <c r="ET113" s="2232"/>
      <c r="EU113" s="187">
        <f t="shared" si="32"/>
        <v>0</v>
      </c>
      <c r="EV113" s="2232"/>
      <c r="EW113" s="187"/>
      <c r="EX113" s="2232"/>
      <c r="EY113" s="195"/>
      <c r="EZ113" s="2232"/>
      <c r="FA113" s="195"/>
      <c r="FB113" s="2232"/>
      <c r="FC113" s="195"/>
      <c r="FD113" s="2232"/>
      <c r="FE113" s="195"/>
      <c r="FF113" s="2232"/>
      <c r="FG113" s="195"/>
      <c r="FH113" s="2232"/>
      <c r="FI113" s="195"/>
      <c r="FJ113" s="2232"/>
      <c r="FK113" s="195"/>
      <c r="FL113" s="2232"/>
      <c r="FM113" s="187"/>
      <c r="FN113" s="2232"/>
      <c r="FO113" s="187"/>
      <c r="FP113" s="2232"/>
      <c r="FQ113" s="187"/>
      <c r="FR113" s="195"/>
      <c r="FS113" s="195"/>
      <c r="FT113" s="789"/>
      <c r="FU113" s="789"/>
      <c r="FV113" s="789"/>
      <c r="FW113" s="789"/>
      <c r="FX113" s="789"/>
      <c r="FY113" s="789"/>
      <c r="FZ113" s="789"/>
      <c r="GA113" s="789"/>
      <c r="GB113" s="2286"/>
      <c r="GC113" s="776"/>
    </row>
    <row r="114" spans="1:202" s="127" customFormat="1" ht="15" customHeight="1">
      <c r="A114" s="2588"/>
      <c r="B114" s="2588">
        <v>42</v>
      </c>
      <c r="C114" s="115" t="s">
        <v>703</v>
      </c>
      <c r="D114" s="115">
        <v>2853</v>
      </c>
      <c r="E114" s="115">
        <v>6</v>
      </c>
      <c r="F114" s="763">
        <v>2028530006</v>
      </c>
      <c r="G114" s="120">
        <v>5774</v>
      </c>
      <c r="H114" s="115" t="s">
        <v>704</v>
      </c>
      <c r="I114" s="119"/>
      <c r="J114" s="115">
        <v>2.25</v>
      </c>
      <c r="K114" s="115">
        <v>0</v>
      </c>
      <c r="L114" s="115">
        <v>2</v>
      </c>
      <c r="M114" s="115">
        <v>6.5</v>
      </c>
      <c r="N114" s="117">
        <v>13000</v>
      </c>
      <c r="O114" s="117">
        <f>AE114</f>
        <v>6500</v>
      </c>
      <c r="P114" s="117">
        <v>0</v>
      </c>
      <c r="Q114" s="117">
        <v>13000</v>
      </c>
      <c r="R114" s="120">
        <v>0</v>
      </c>
      <c r="S114" s="764" t="s">
        <v>737</v>
      </c>
      <c r="T114" s="2600">
        <f>SUM(U114:U115)</f>
        <v>0</v>
      </c>
      <c r="U114" s="122">
        <v>0</v>
      </c>
      <c r="V114" s="2600">
        <f>SUM(W114:W115)</f>
        <v>37840</v>
      </c>
      <c r="W114" s="122">
        <f>N114</f>
        <v>13000</v>
      </c>
      <c r="X114" s="122"/>
      <c r="Y114" s="122">
        <f>W114-AA114</f>
        <v>13000</v>
      </c>
      <c r="Z114" s="2600">
        <f>SUM(AA114:AA115)</f>
        <v>2484</v>
      </c>
      <c r="AA114" s="122">
        <v>0</v>
      </c>
      <c r="AB114" s="2600">
        <f>SUM(AC114:AC115)</f>
        <v>0</v>
      </c>
      <c r="AC114" s="122">
        <v>0</v>
      </c>
      <c r="AD114" s="2600">
        <f>SUM(AE114:AE115)</f>
        <v>16436</v>
      </c>
      <c r="AE114" s="122">
        <f>AG114+AF114</f>
        <v>6500</v>
      </c>
      <c r="AF114" s="122">
        <v>0</v>
      </c>
      <c r="AG114" s="122">
        <f>0.5*W114</f>
        <v>6500</v>
      </c>
      <c r="AH114" s="122">
        <v>0</v>
      </c>
      <c r="AI114" s="2600">
        <f>SUM(AJ114:AJ115)</f>
        <v>0</v>
      </c>
      <c r="AJ114" s="122">
        <v>0</v>
      </c>
      <c r="AK114" s="2600">
        <f>SUM(AL114:AL115)</f>
        <v>0</v>
      </c>
      <c r="AL114" s="122">
        <f>W114-(AA114+AC114+AE114+AH114+AJ114+AM114+AW114+AO114+AQ114+AS114+AU114)</f>
        <v>0</v>
      </c>
      <c r="AM114" s="765">
        <v>0</v>
      </c>
      <c r="AN114" s="2600">
        <f>SUM(AO114:AO115)</f>
        <v>0</v>
      </c>
      <c r="AO114" s="122">
        <v>0</v>
      </c>
      <c r="AP114" s="2600">
        <f>SUM(AQ114:AQ115)</f>
        <v>18920</v>
      </c>
      <c r="AQ114" s="122">
        <f>13000-AG114</f>
        <v>6500</v>
      </c>
      <c r="AR114" s="2600">
        <f>SUM(AS114:AS115)</f>
        <v>0</v>
      </c>
      <c r="AS114" s="122">
        <v>0</v>
      </c>
      <c r="AT114" s="2600">
        <f>SUM(AU114:AU115)</f>
        <v>0</v>
      </c>
      <c r="AU114" s="122">
        <v>0</v>
      </c>
      <c r="AV114" s="2600">
        <f>SUM(AW114:AW115)</f>
        <v>0</v>
      </c>
      <c r="AW114" s="122">
        <f>AX114+AY114+AZ114+BA114+BB114</f>
        <v>0</v>
      </c>
      <c r="AX114" s="122">
        <v>0</v>
      </c>
      <c r="AY114" s="122">
        <v>0</v>
      </c>
      <c r="AZ114" s="122">
        <v>0</v>
      </c>
      <c r="BA114" s="122">
        <v>0</v>
      </c>
      <c r="BB114" s="122">
        <v>0</v>
      </c>
      <c r="BC114" s="122">
        <v>0</v>
      </c>
      <c r="BD114" s="2600">
        <f>SUM(BE114:BE115)</f>
        <v>37840</v>
      </c>
      <c r="BE114" s="122">
        <f>U114+W114</f>
        <v>13000</v>
      </c>
      <c r="BF114" s="2600">
        <f>SUM(BG114:BG115)</f>
        <v>0</v>
      </c>
      <c r="BG114" s="122">
        <f>U114/1000</f>
        <v>0</v>
      </c>
      <c r="BH114" s="2600">
        <f>SUM(BI114:BI115)</f>
        <v>0</v>
      </c>
      <c r="BI114" s="122">
        <v>0</v>
      </c>
      <c r="BJ114" s="122">
        <f t="shared" si="38"/>
        <v>0</v>
      </c>
      <c r="BK114" s="129">
        <f>ROUND((Y114+AC114+AA114)/1000*3,0)+ROUND((AE114+AU114)/1000,0)+ROUND((ROUND(AH114/400,0))/2.67,0)+ROUND(AM114/250,0)+ROUND(AO114/15000,0)+ROUND((AX114+AY114+AZ114+BB114)/1000*3,0)+ROUND(BG114/25,0)+ROUND(BU42/50,0)</f>
        <v>46</v>
      </c>
      <c r="BL114" s="122">
        <v>0</v>
      </c>
      <c r="BM114" s="122">
        <v>0</v>
      </c>
      <c r="BN114" s="122">
        <v>0</v>
      </c>
      <c r="BO114" s="122">
        <f>AC114/1000</f>
        <v>0</v>
      </c>
      <c r="BP114" s="122">
        <f>AH114/1000</f>
        <v>0</v>
      </c>
      <c r="BQ114" s="122">
        <v>20</v>
      </c>
      <c r="BR114" s="122">
        <v>0</v>
      </c>
      <c r="BS114" s="122">
        <v>0</v>
      </c>
      <c r="BT114" s="2600">
        <f>SUM(BU114:BU115)</f>
        <v>40</v>
      </c>
      <c r="BU114" s="122">
        <f>SUM(BL114:BS114)</f>
        <v>20</v>
      </c>
      <c r="BV114" s="127">
        <v>25</v>
      </c>
      <c r="BW114" s="766" t="s">
        <v>729</v>
      </c>
      <c r="BX114" s="127">
        <v>7.2</v>
      </c>
      <c r="BY114" s="127">
        <v>3.4</v>
      </c>
      <c r="BZ114" s="127">
        <v>6.5</v>
      </c>
      <c r="CA114" s="767"/>
      <c r="CB114" s="2596" t="s">
        <v>869</v>
      </c>
      <c r="CC114" s="768">
        <f>(BX114*G114)-CF114</f>
        <v>36664.9</v>
      </c>
      <c r="CD114" s="2731">
        <f>SUM(CC114:CC115)</f>
        <v>115531.9</v>
      </c>
      <c r="CE114" s="2600">
        <f>SUM(CF114:CF115)</f>
        <v>15464.9</v>
      </c>
      <c r="CF114" s="769">
        <f>1*(G114)-(0.15*1*(G114))</f>
        <v>4907.8999999999996</v>
      </c>
      <c r="CG114" s="2600">
        <f>SUM(CH114:CH115)</f>
        <v>12980.9</v>
      </c>
      <c r="CH114" s="769">
        <f>CF114-CJ114</f>
        <v>4907.8999999999996</v>
      </c>
      <c r="CI114" s="2600">
        <f>SUM(CJ114:CJ115)</f>
        <v>2484</v>
      </c>
      <c r="CJ114" s="127">
        <v>0</v>
      </c>
      <c r="CK114" s="2600">
        <f>SUM(CL114:CL115)</f>
        <v>0</v>
      </c>
      <c r="CL114" s="127">
        <v>0</v>
      </c>
      <c r="CM114" s="2600">
        <f>SUM(CN114:CN115)</f>
        <v>12980.9</v>
      </c>
      <c r="CN114" s="770">
        <f>CF114-(CJ114+CL114+CO114+CP114+CR114+CU114+CV114+CX114)</f>
        <v>4907.8999999999996</v>
      </c>
      <c r="CO114" s="770">
        <v>0</v>
      </c>
      <c r="CP114" s="770">
        <v>0</v>
      </c>
      <c r="CQ114" s="2600">
        <f>SUM(CR114:CR115)</f>
        <v>0</v>
      </c>
      <c r="CR114" s="122">
        <v>0</v>
      </c>
      <c r="CS114" s="770">
        <v>0</v>
      </c>
      <c r="CT114" s="770">
        <v>0</v>
      </c>
      <c r="CU114" s="770">
        <v>0</v>
      </c>
      <c r="CV114" s="770">
        <v>0</v>
      </c>
      <c r="CW114" s="2600">
        <f>SUM(CX114:CX115)</f>
        <v>0</v>
      </c>
      <c r="CX114" s="122">
        <f>SUM(CY114:DC114)</f>
        <v>0</v>
      </c>
      <c r="CY114" s="770">
        <f t="shared" ref="CY114:DC115" si="42">AX114</f>
        <v>0</v>
      </c>
      <c r="CZ114" s="770">
        <f t="shared" si="42"/>
        <v>0</v>
      </c>
      <c r="DA114" s="770">
        <f t="shared" si="42"/>
        <v>0</v>
      </c>
      <c r="DB114" s="770">
        <f t="shared" si="42"/>
        <v>0</v>
      </c>
      <c r="DC114" s="770">
        <f t="shared" si="42"/>
        <v>0</v>
      </c>
      <c r="DD114" s="770"/>
      <c r="DE114" s="2600">
        <f>SUM(DF114:DF115)</f>
        <v>130996.8</v>
      </c>
      <c r="DF114" s="770">
        <f>CC114+CF114</f>
        <v>41572.800000000003</v>
      </c>
      <c r="DG114" s="2600">
        <f>SUM(DH114:DH115)</f>
        <v>115.53190000000001</v>
      </c>
      <c r="DH114" s="293">
        <f>CC114/'[1]Projected Development Sites'!DF$134</f>
        <v>36.664900000000003</v>
      </c>
      <c r="DI114" s="2722">
        <f>SUM(DJ114:DJ115)</f>
        <v>115.53190000000001</v>
      </c>
      <c r="DJ114" s="771">
        <f>'[1]Projected Development Sites'!DK$136*DH114</f>
        <v>36.664900000000003</v>
      </c>
      <c r="DK114" s="771">
        <f>3.06*DH114</f>
        <v>112.19459400000001</v>
      </c>
      <c r="DL114" s="772">
        <f>ROUND((CN114+CL114+CJ114)/1000*3,0)+ROUND((ROUND(CP114/400,0))/2.67,0)+ROUND(CV114/1000,0)+ROUND((CY114+CZ114+DA114+DC114)/1000*3,0)+ROUND(DH114/25,0)+ROUND(DX114/50,0)</f>
        <v>16</v>
      </c>
      <c r="DM114" s="773">
        <v>0</v>
      </c>
      <c r="DN114" s="773"/>
      <c r="DO114" s="773">
        <v>0</v>
      </c>
      <c r="DP114" s="773">
        <f>0.25*DJ114</f>
        <v>9.1662250000000007</v>
      </c>
      <c r="DQ114" s="773">
        <f>SUM(CO114,CJ114,CN114,CR114,CU114)/1000</f>
        <v>4.9078999999999997</v>
      </c>
      <c r="DR114" s="773">
        <f>CL114/1000</f>
        <v>0</v>
      </c>
      <c r="DS114" s="773">
        <f>((CP114/400)/12)</f>
        <v>0</v>
      </c>
      <c r="DT114" s="773">
        <v>0</v>
      </c>
      <c r="DU114" s="773">
        <v>0</v>
      </c>
      <c r="DV114" s="773">
        <f>CX114/1000</f>
        <v>0</v>
      </c>
      <c r="DW114" s="2722">
        <f>SUM(DX114:DX115)</f>
        <v>15.4649</v>
      </c>
      <c r="DX114" s="774">
        <f>SUM(DM114,DO114,DQ114:DV114)</f>
        <v>4.9078999999999997</v>
      </c>
      <c r="DY114" s="2725">
        <v>165</v>
      </c>
      <c r="DZ114" s="2728">
        <f>CD114-T114</f>
        <v>115531.9</v>
      </c>
      <c r="EA114" s="2602">
        <f>CE114-V114</f>
        <v>-22375.1</v>
      </c>
      <c r="EB114" s="187">
        <f>CF114-W114</f>
        <v>-8092.1</v>
      </c>
      <c r="EC114" s="2602">
        <f>SUM(ED114:ED115)</f>
        <v>-3455.1000000000004</v>
      </c>
      <c r="ED114" s="187">
        <v>-1592.1000000000004</v>
      </c>
      <c r="EE114" s="187">
        <f>(SUM(CJ114:CO114))-(SUM(AA114:AE114,AL114))</f>
        <v>-5047.2000000000007</v>
      </c>
      <c r="EF114" s="2602">
        <f>SUM(EG114:EG115)</f>
        <v>12980.9</v>
      </c>
      <c r="EG114" s="187">
        <v>4907.8999999999996</v>
      </c>
      <c r="EH114" s="2602">
        <f>SUM(EI114:EI115)</f>
        <v>0</v>
      </c>
      <c r="EI114" s="187">
        <f>CL114-AC114</f>
        <v>0</v>
      </c>
      <c r="EJ114" s="2602">
        <f>SUM(EK114:EK115)</f>
        <v>0</v>
      </c>
      <c r="EK114" s="187">
        <f>CJ114-AA114</f>
        <v>0</v>
      </c>
      <c r="EL114" s="2602">
        <f>SUM(EM114:EM115)</f>
        <v>-16436</v>
      </c>
      <c r="EM114" s="187">
        <f>CO114-AE114</f>
        <v>-6500</v>
      </c>
      <c r="EN114" s="2602">
        <f>SUM(EO114:EO115)</f>
        <v>0</v>
      </c>
      <c r="EO114" s="187">
        <f>CP114-AH114</f>
        <v>0</v>
      </c>
      <c r="EP114" s="2602">
        <f>SUM(EQ114:EQ115)</f>
        <v>0</v>
      </c>
      <c r="EQ114" s="187">
        <f>CR114-AJ114</f>
        <v>0</v>
      </c>
      <c r="ER114" s="2602">
        <f>SUM(ES114:ES115)</f>
        <v>0</v>
      </c>
      <c r="ES114" s="187">
        <f>CS114-AO114</f>
        <v>0</v>
      </c>
      <c r="ET114" s="2602">
        <f>SUM(EU114:EU115)</f>
        <v>-18920</v>
      </c>
      <c r="EU114" s="187">
        <f t="shared" si="32"/>
        <v>-6500</v>
      </c>
      <c r="EV114" s="2602">
        <f>SUM(EW114:EW115)</f>
        <v>0</v>
      </c>
      <c r="EW114" s="187">
        <f>CU114-AS114</f>
        <v>0</v>
      </c>
      <c r="EX114" s="2602">
        <f>SUM(EY114:EY115)</f>
        <v>0</v>
      </c>
      <c r="EY114" s="187">
        <f>CV114-AU114</f>
        <v>0</v>
      </c>
      <c r="EZ114" s="2602">
        <f>SUM(FA114:FA115)</f>
        <v>0</v>
      </c>
      <c r="FA114" s="187">
        <f>CY114-AX114</f>
        <v>0</v>
      </c>
      <c r="FB114" s="2602">
        <f>SUM(FC114:FC115)</f>
        <v>0</v>
      </c>
      <c r="FC114" s="187">
        <f>CZ114-AY114</f>
        <v>0</v>
      </c>
      <c r="FD114" s="2602">
        <f>SUM(FE114:FE115)</f>
        <v>0</v>
      </c>
      <c r="FE114" s="187">
        <f>DA114-AZ114</f>
        <v>0</v>
      </c>
      <c r="FF114" s="2602">
        <f>SUM(FG114:FG115)</f>
        <v>0</v>
      </c>
      <c r="FG114" s="187">
        <f>DB114-BA114</f>
        <v>0</v>
      </c>
      <c r="FH114" s="2602">
        <f>SUM(FI114:FI115)</f>
        <v>0</v>
      </c>
      <c r="FI114" s="187">
        <f>DC114-BB114</f>
        <v>0</v>
      </c>
      <c r="FJ114" s="2602">
        <f>SUM(FK114:FK115)</f>
        <v>0</v>
      </c>
      <c r="FK114" s="187">
        <f>CX114-AW114</f>
        <v>0</v>
      </c>
      <c r="FL114" s="2602">
        <f>SUM(FM114:FM115)</f>
        <v>93156.800000000003</v>
      </c>
      <c r="FM114" s="187">
        <f>DF114-BE114</f>
        <v>28572.800000000003</v>
      </c>
      <c r="FN114" s="2602">
        <f>SUM(FO114:FO115)</f>
        <v>115.53190000000001</v>
      </c>
      <c r="FO114" s="187">
        <f>DH114-BG114</f>
        <v>36.664900000000003</v>
      </c>
      <c r="FP114" s="2602">
        <f>SUM(FQ114:FQ115)</f>
        <v>115.53190000000001</v>
      </c>
      <c r="FQ114" s="187">
        <f t="shared" ref="FQ114:FT115" si="43">DJ114-BI114</f>
        <v>36.664900000000003</v>
      </c>
      <c r="FR114" s="187">
        <f t="shared" si="43"/>
        <v>112.19459400000001</v>
      </c>
      <c r="FS114" s="187">
        <f t="shared" si="43"/>
        <v>-30</v>
      </c>
      <c r="FT114" s="775">
        <f t="shared" si="43"/>
        <v>0</v>
      </c>
      <c r="FU114" s="775">
        <f>DR114-BO114</f>
        <v>0</v>
      </c>
      <c r="FV114" s="775">
        <f>DO114-BM114</f>
        <v>0</v>
      </c>
      <c r="FW114" s="775">
        <f>DQ114-BN114</f>
        <v>4.9078999999999997</v>
      </c>
      <c r="FX114" s="775">
        <f t="shared" ref="FX114:GA115" si="44">DS114-BP114</f>
        <v>0</v>
      </c>
      <c r="FY114" s="775">
        <f t="shared" si="44"/>
        <v>-20</v>
      </c>
      <c r="FZ114" s="775">
        <f t="shared" si="44"/>
        <v>0</v>
      </c>
      <c r="GA114" s="775">
        <f t="shared" si="44"/>
        <v>0</v>
      </c>
      <c r="GB114" s="2734">
        <f>SUM(GC114:GC115)</f>
        <v>-24.5351</v>
      </c>
      <c r="GC114" s="776">
        <f t="shared" si="33"/>
        <v>-15.0921</v>
      </c>
      <c r="GD114" s="139"/>
      <c r="GE114" s="139"/>
      <c r="GF114" s="139"/>
      <c r="GG114" s="139"/>
      <c r="GH114" s="139"/>
      <c r="GI114" s="139"/>
      <c r="GJ114" s="139"/>
      <c r="GK114" s="139"/>
      <c r="GL114" s="139"/>
      <c r="GM114" s="139"/>
      <c r="GN114" s="139"/>
      <c r="GO114" s="139"/>
      <c r="GP114" s="139"/>
      <c r="GQ114" s="139"/>
      <c r="GR114" s="139"/>
      <c r="GS114" s="139"/>
      <c r="GT114" s="139"/>
    </row>
    <row r="115" spans="1:202" s="81" customFormat="1" ht="15" customHeight="1">
      <c r="A115" s="2589"/>
      <c r="B115" s="2589"/>
      <c r="C115" s="66" t="s">
        <v>710</v>
      </c>
      <c r="D115" s="66">
        <v>2853</v>
      </c>
      <c r="E115" s="66">
        <v>1</v>
      </c>
      <c r="F115" s="841">
        <v>2028530001</v>
      </c>
      <c r="G115" s="71">
        <v>12420</v>
      </c>
      <c r="H115" s="66" t="s">
        <v>704</v>
      </c>
      <c r="I115" s="70"/>
      <c r="J115" s="66">
        <v>2</v>
      </c>
      <c r="K115" s="66">
        <v>0</v>
      </c>
      <c r="L115" s="66">
        <v>2</v>
      </c>
      <c r="M115" s="66">
        <v>6.5</v>
      </c>
      <c r="N115" s="68">
        <v>24840</v>
      </c>
      <c r="O115" s="68">
        <f>AE115</f>
        <v>9936</v>
      </c>
      <c r="P115" s="68">
        <v>0</v>
      </c>
      <c r="Q115" s="68">
        <v>24840</v>
      </c>
      <c r="R115" s="71">
        <v>0</v>
      </c>
      <c r="S115" s="791" t="s">
        <v>870</v>
      </c>
      <c r="T115" s="2601"/>
      <c r="U115" s="74">
        <v>0</v>
      </c>
      <c r="V115" s="2601"/>
      <c r="W115" s="74">
        <f>N115</f>
        <v>24840</v>
      </c>
      <c r="X115" s="74"/>
      <c r="Y115" s="74">
        <f>W115-AA115</f>
        <v>22356</v>
      </c>
      <c r="Z115" s="2601"/>
      <c r="AA115" s="74">
        <f>0.1*W115</f>
        <v>2484</v>
      </c>
      <c r="AB115" s="2601"/>
      <c r="AC115" s="74">
        <v>0</v>
      </c>
      <c r="AD115" s="2601"/>
      <c r="AE115" s="74">
        <f>AG115+AF115</f>
        <v>9936</v>
      </c>
      <c r="AF115" s="74">
        <v>0</v>
      </c>
      <c r="AG115" s="74">
        <f>W115-AA115-AQ115</f>
        <v>9936</v>
      </c>
      <c r="AH115" s="74">
        <v>0</v>
      </c>
      <c r="AI115" s="2601"/>
      <c r="AJ115" s="74">
        <v>0</v>
      </c>
      <c r="AK115" s="2601"/>
      <c r="AL115" s="74">
        <f>W115-(AA115+AC115+AE115+AH115+AJ115+AM115+AW115+AO115+AQ115+AS115+AU115)</f>
        <v>0</v>
      </c>
      <c r="AM115" s="792">
        <v>0</v>
      </c>
      <c r="AN115" s="2601"/>
      <c r="AO115" s="74">
        <v>0</v>
      </c>
      <c r="AP115" s="2601"/>
      <c r="AQ115" s="74">
        <f>0.5*W115</f>
        <v>12420</v>
      </c>
      <c r="AR115" s="2601"/>
      <c r="AS115" s="74">
        <v>0</v>
      </c>
      <c r="AT115" s="2601"/>
      <c r="AU115" s="74">
        <v>0</v>
      </c>
      <c r="AV115" s="2601"/>
      <c r="AW115" s="74">
        <f>AX115+AY115+AZ115+BA115+BB115</f>
        <v>0</v>
      </c>
      <c r="AX115" s="74">
        <v>0</v>
      </c>
      <c r="AY115" s="74">
        <v>0</v>
      </c>
      <c r="AZ115" s="74">
        <v>0</v>
      </c>
      <c r="BA115" s="74">
        <v>0</v>
      </c>
      <c r="BB115" s="74">
        <v>0</v>
      </c>
      <c r="BC115" s="74">
        <v>0</v>
      </c>
      <c r="BD115" s="2601"/>
      <c r="BE115" s="74">
        <f>U115+W115</f>
        <v>24840</v>
      </c>
      <c r="BF115" s="2601"/>
      <c r="BG115" s="74">
        <f>U115/1000</f>
        <v>0</v>
      </c>
      <c r="BH115" s="2601"/>
      <c r="BI115" s="74">
        <v>0</v>
      </c>
      <c r="BJ115" s="74">
        <f t="shared" si="38"/>
        <v>0</v>
      </c>
      <c r="BK115" s="88">
        <f>ROUND((Y115+AC115+AA115)/1000*3,0)+ROUND((AE115+AU115)/1000,0)+ROUND((ROUND(AH115/400,0))/2.67,0)+ROUND(AM115/250,0)+ROUND(AO115/15000,0)+ROUND((AX115+AY115+AZ115+BB115)/1000*3,0)+ROUND(BG115/25,0)+ROUND(BU43/50,0)</f>
        <v>85</v>
      </c>
      <c r="BL115" s="74">
        <v>0</v>
      </c>
      <c r="BM115" s="74">
        <v>0</v>
      </c>
      <c r="BN115" s="74">
        <v>0</v>
      </c>
      <c r="BO115" s="74">
        <f>AC115/1000</f>
        <v>0</v>
      </c>
      <c r="BP115" s="74">
        <f>AH115/1000</f>
        <v>0</v>
      </c>
      <c r="BQ115" s="74">
        <v>20</v>
      </c>
      <c r="BR115" s="74">
        <v>0</v>
      </c>
      <c r="BS115" s="74">
        <v>0</v>
      </c>
      <c r="BT115" s="2601"/>
      <c r="BU115" s="74">
        <f>SUM(BL115:BS115)</f>
        <v>20</v>
      </c>
      <c r="BV115" s="81">
        <v>25</v>
      </c>
      <c r="BW115" s="793" t="s">
        <v>729</v>
      </c>
      <c r="BX115" s="81">
        <v>7.2</v>
      </c>
      <c r="BY115" s="81">
        <v>3.4</v>
      </c>
      <c r="BZ115" s="81">
        <v>6.5</v>
      </c>
      <c r="CA115" s="794"/>
      <c r="CB115" s="2597"/>
      <c r="CC115" s="795">
        <f>(BX115*G115)-CF115</f>
        <v>78867</v>
      </c>
      <c r="CD115" s="2733"/>
      <c r="CE115" s="2601"/>
      <c r="CF115" s="843">
        <f>1*(G115)-(0.15*1*(G115))</f>
        <v>10557</v>
      </c>
      <c r="CG115" s="2601"/>
      <c r="CH115" s="843">
        <f>CF115-CJ115</f>
        <v>8073</v>
      </c>
      <c r="CI115" s="2601"/>
      <c r="CJ115" s="795">
        <v>2484</v>
      </c>
      <c r="CK115" s="2601"/>
      <c r="CL115" s="81">
        <v>0</v>
      </c>
      <c r="CM115" s="2601"/>
      <c r="CN115" s="74">
        <f>CF115-(CJ115+CL115+CO115+CP115+CR115+CU115+CV115+CX115)</f>
        <v>8073</v>
      </c>
      <c r="CO115" s="797">
        <v>0</v>
      </c>
      <c r="CP115" s="797">
        <v>0</v>
      </c>
      <c r="CQ115" s="2601"/>
      <c r="CR115" s="74">
        <v>0</v>
      </c>
      <c r="CS115" s="797">
        <v>0</v>
      </c>
      <c r="CT115" s="797">
        <v>0</v>
      </c>
      <c r="CU115" s="797">
        <v>0</v>
      </c>
      <c r="CV115" s="797">
        <v>0</v>
      </c>
      <c r="CW115" s="2601"/>
      <c r="CX115" s="74">
        <f>SUM(CY115:DC115)</f>
        <v>0</v>
      </c>
      <c r="CY115" s="797">
        <f t="shared" si="42"/>
        <v>0</v>
      </c>
      <c r="CZ115" s="797">
        <f t="shared" si="42"/>
        <v>0</v>
      </c>
      <c r="DA115" s="797">
        <f t="shared" si="42"/>
        <v>0</v>
      </c>
      <c r="DB115" s="797">
        <f t="shared" si="42"/>
        <v>0</v>
      </c>
      <c r="DC115" s="797">
        <f t="shared" si="42"/>
        <v>0</v>
      </c>
      <c r="DD115" s="797"/>
      <c r="DE115" s="2601"/>
      <c r="DF115" s="74">
        <f>CC115+CF115</f>
        <v>89424</v>
      </c>
      <c r="DG115" s="2601"/>
      <c r="DH115" s="303">
        <f>CC115/'[1]Projected Development Sites'!DF$134</f>
        <v>78.867000000000004</v>
      </c>
      <c r="DI115" s="2724"/>
      <c r="DJ115" s="798">
        <f>'[1]Projected Development Sites'!DK$136*DH115</f>
        <v>78.867000000000004</v>
      </c>
      <c r="DK115" s="798">
        <f>3.06*DH115</f>
        <v>241.33302</v>
      </c>
      <c r="DL115" s="917">
        <f>ROUND((CN115+CL115+CJ115)/1000*3,0)+ROUND((ROUND(CP115/400,0))/2.67,0)+ROUND(CV115/1000,0)+ROUND((CY115+CZ115+DA115+DC115)/1000*3,0)+ROUND(DH115/25,0)+ROUND(DX115/50,0)</f>
        <v>35</v>
      </c>
      <c r="DM115" s="799">
        <v>0</v>
      </c>
      <c r="DN115" s="799"/>
      <c r="DO115" s="799">
        <v>0</v>
      </c>
      <c r="DP115" s="799">
        <f>0.25*DJ115</f>
        <v>19.716750000000001</v>
      </c>
      <c r="DQ115" s="799">
        <f>SUM(CO115,CJ115,CN115,CR115,CU115)/1000</f>
        <v>10.557</v>
      </c>
      <c r="DR115" s="799">
        <f>CL115/1000</f>
        <v>0</v>
      </c>
      <c r="DS115" s="799">
        <f>((CP115/400)/12)</f>
        <v>0</v>
      </c>
      <c r="DT115" s="799">
        <v>0</v>
      </c>
      <c r="DU115" s="799">
        <v>0</v>
      </c>
      <c r="DV115" s="799">
        <f>CX115/1000</f>
        <v>0</v>
      </c>
      <c r="DW115" s="2724"/>
      <c r="DX115" s="800">
        <f>SUM(DM115,DO115,DQ115:DV115)</f>
        <v>10.557</v>
      </c>
      <c r="DY115" s="2727"/>
      <c r="DZ115" s="2730"/>
      <c r="EA115" s="2603"/>
      <c r="EB115" s="195">
        <f>CF115-W115</f>
        <v>-14283</v>
      </c>
      <c r="EC115" s="2603"/>
      <c r="ED115" s="190">
        <v>-1863</v>
      </c>
      <c r="EE115" s="195">
        <f>(SUM(CJ115:CO115))-(SUM(AA115:AE115,AL115))</f>
        <v>-1863</v>
      </c>
      <c r="EF115" s="2603"/>
      <c r="EG115" s="195">
        <v>8073</v>
      </c>
      <c r="EH115" s="2603"/>
      <c r="EI115" s="195">
        <f>CL115-AC115</f>
        <v>0</v>
      </c>
      <c r="EJ115" s="2603"/>
      <c r="EK115" s="195">
        <f>CJ115-AA115</f>
        <v>0</v>
      </c>
      <c r="EL115" s="2603"/>
      <c r="EM115" s="190">
        <f>CO115-AE115</f>
        <v>-9936</v>
      </c>
      <c r="EN115" s="2603"/>
      <c r="EO115" s="190">
        <f>CP115-AH115</f>
        <v>0</v>
      </c>
      <c r="EP115" s="2603"/>
      <c r="EQ115" s="195">
        <f>CR115-AJ115</f>
        <v>0</v>
      </c>
      <c r="ER115" s="2603"/>
      <c r="ES115" s="195">
        <f>CS115-AO115</f>
        <v>0</v>
      </c>
      <c r="ET115" s="2603"/>
      <c r="EU115" s="190">
        <f t="shared" si="32"/>
        <v>-12420</v>
      </c>
      <c r="EV115" s="2603"/>
      <c r="EW115" s="195">
        <f>CU115-AS115</f>
        <v>0</v>
      </c>
      <c r="EX115" s="2603"/>
      <c r="EY115" s="190">
        <f>CV115-AU115</f>
        <v>0</v>
      </c>
      <c r="EZ115" s="2603"/>
      <c r="FA115" s="190">
        <f>CY115-AX115</f>
        <v>0</v>
      </c>
      <c r="FB115" s="2603"/>
      <c r="FC115" s="190">
        <f>CZ115-AY115</f>
        <v>0</v>
      </c>
      <c r="FD115" s="2603"/>
      <c r="FE115" s="190">
        <f>DA115-AZ115</f>
        <v>0</v>
      </c>
      <c r="FF115" s="2603"/>
      <c r="FG115" s="190">
        <f>DB115-BA115</f>
        <v>0</v>
      </c>
      <c r="FH115" s="2603"/>
      <c r="FI115" s="190">
        <f>DC115-BB115</f>
        <v>0</v>
      </c>
      <c r="FJ115" s="2603"/>
      <c r="FK115" s="190">
        <f>CX115-AW115</f>
        <v>0</v>
      </c>
      <c r="FL115" s="2603"/>
      <c r="FM115" s="195">
        <f>DF115-BE115</f>
        <v>64584</v>
      </c>
      <c r="FN115" s="2603"/>
      <c r="FO115" s="195">
        <f>DH115-BG115</f>
        <v>78.867000000000004</v>
      </c>
      <c r="FP115" s="2603"/>
      <c r="FQ115" s="195">
        <f t="shared" si="43"/>
        <v>78.867000000000004</v>
      </c>
      <c r="FR115" s="190">
        <f t="shared" si="43"/>
        <v>241.33302</v>
      </c>
      <c r="FS115" s="190">
        <f t="shared" si="43"/>
        <v>-50</v>
      </c>
      <c r="FT115" s="801">
        <f t="shared" si="43"/>
        <v>0</v>
      </c>
      <c r="FU115" s="801">
        <f>DR115-BO115</f>
        <v>0</v>
      </c>
      <c r="FV115" s="801">
        <f>DO115-BM115</f>
        <v>0</v>
      </c>
      <c r="FW115" s="801">
        <f>DQ115-BN115</f>
        <v>10.557</v>
      </c>
      <c r="FX115" s="801">
        <f t="shared" si="44"/>
        <v>0</v>
      </c>
      <c r="FY115" s="801">
        <f t="shared" si="44"/>
        <v>-20</v>
      </c>
      <c r="FZ115" s="801">
        <f t="shared" si="44"/>
        <v>0</v>
      </c>
      <c r="GA115" s="801">
        <f t="shared" si="44"/>
        <v>0</v>
      </c>
      <c r="GB115" s="2736"/>
      <c r="GC115" s="845">
        <f t="shared" si="33"/>
        <v>-9.4429999999999996</v>
      </c>
      <c r="GD115" s="139"/>
      <c r="GE115" s="139"/>
      <c r="GF115" s="139"/>
      <c r="GG115" s="139"/>
      <c r="GH115" s="139"/>
      <c r="GI115" s="139"/>
      <c r="GJ115" s="139"/>
      <c r="GK115" s="139"/>
      <c r="GL115" s="139"/>
      <c r="GM115" s="139"/>
      <c r="GN115" s="139"/>
      <c r="GO115" s="139"/>
      <c r="GP115" s="139"/>
      <c r="GQ115" s="139"/>
      <c r="GR115" s="139"/>
      <c r="GS115" s="139"/>
      <c r="GT115" s="139"/>
    </row>
    <row r="116" spans="1:202" s="139" customFormat="1" ht="18.75">
      <c r="A116" s="2263"/>
      <c r="B116" s="2263"/>
      <c r="C116" s="132"/>
      <c r="D116" s="132"/>
      <c r="E116" s="132"/>
      <c r="F116" s="777"/>
      <c r="G116" s="137"/>
      <c r="H116" s="132"/>
      <c r="I116" s="136"/>
      <c r="J116" s="132"/>
      <c r="K116" s="132"/>
      <c r="L116" s="132"/>
      <c r="M116" s="132"/>
      <c r="N116" s="134"/>
      <c r="O116" s="134"/>
      <c r="P116" s="134"/>
      <c r="Q116" s="134"/>
      <c r="R116" s="137"/>
      <c r="S116" s="778"/>
      <c r="T116" s="634"/>
      <c r="U116" s="102"/>
      <c r="V116" s="634"/>
      <c r="W116" s="102"/>
      <c r="X116" s="102"/>
      <c r="Y116" s="102"/>
      <c r="Z116" s="634"/>
      <c r="AA116" s="102"/>
      <c r="AB116" s="634"/>
      <c r="AC116" s="102"/>
      <c r="AD116" s="634"/>
      <c r="AE116" s="102"/>
      <c r="AF116" s="102"/>
      <c r="AG116" s="102"/>
      <c r="AH116" s="102"/>
      <c r="AI116" s="634"/>
      <c r="AJ116" s="102"/>
      <c r="AK116" s="634"/>
      <c r="AL116" s="102"/>
      <c r="AM116" s="779"/>
      <c r="AN116" s="634"/>
      <c r="AO116" s="102"/>
      <c r="AP116" s="634"/>
      <c r="AQ116" s="102"/>
      <c r="AR116" s="634"/>
      <c r="AS116" s="102"/>
      <c r="AT116" s="634"/>
      <c r="AU116" s="102"/>
      <c r="AV116" s="634"/>
      <c r="AW116" s="102"/>
      <c r="AX116" s="102"/>
      <c r="AY116" s="102"/>
      <c r="AZ116" s="102"/>
      <c r="BA116" s="102"/>
      <c r="BB116" s="102"/>
      <c r="BC116" s="102"/>
      <c r="BD116" s="634"/>
      <c r="BE116" s="102"/>
      <c r="BF116" s="634"/>
      <c r="BG116" s="102"/>
      <c r="BH116" s="634"/>
      <c r="BI116" s="102"/>
      <c r="BJ116" s="122"/>
      <c r="BK116" s="186"/>
      <c r="BL116" s="102"/>
      <c r="BM116" s="102"/>
      <c r="BN116" s="102"/>
      <c r="BO116" s="102"/>
      <c r="BP116" s="102"/>
      <c r="BQ116" s="102"/>
      <c r="BR116" s="102"/>
      <c r="BS116" s="102"/>
      <c r="BT116" s="634"/>
      <c r="BU116" s="102"/>
      <c r="BW116" s="780"/>
      <c r="CA116" s="781"/>
      <c r="CB116" s="2258"/>
      <c r="CC116" s="782"/>
      <c r="CD116" s="782"/>
      <c r="CE116" s="634"/>
      <c r="CF116" s="783"/>
      <c r="CG116" s="634"/>
      <c r="CH116" s="783"/>
      <c r="CI116" s="634"/>
      <c r="CK116" s="634"/>
      <c r="CM116" s="634"/>
      <c r="CN116" s="784"/>
      <c r="CO116" s="784"/>
      <c r="CP116" s="784"/>
      <c r="CQ116" s="634"/>
      <c r="CR116" s="102"/>
      <c r="CS116" s="784"/>
      <c r="CT116" s="784"/>
      <c r="CU116" s="784"/>
      <c r="CV116" s="784"/>
      <c r="CW116" s="634"/>
      <c r="CX116" s="784"/>
      <c r="CY116" s="784"/>
      <c r="CZ116" s="784"/>
      <c r="DA116" s="784"/>
      <c r="DB116" s="784"/>
      <c r="DC116" s="784"/>
      <c r="DD116" s="784"/>
      <c r="DE116" s="634"/>
      <c r="DF116" s="784"/>
      <c r="DG116" s="634"/>
      <c r="DH116" s="296"/>
      <c r="DI116" s="802"/>
      <c r="DJ116" s="785"/>
      <c r="DK116" s="771"/>
      <c r="DL116" s="786"/>
      <c r="DM116" s="787"/>
      <c r="DN116" s="787"/>
      <c r="DO116" s="787"/>
      <c r="DP116" s="787"/>
      <c r="DQ116" s="787"/>
      <c r="DR116" s="787"/>
      <c r="DS116" s="787"/>
      <c r="DT116" s="787"/>
      <c r="DU116" s="787"/>
      <c r="DV116" s="787"/>
      <c r="DW116" s="802"/>
      <c r="DX116" s="788"/>
      <c r="DY116" s="634"/>
      <c r="DZ116" s="2288"/>
      <c r="EA116" s="2231"/>
      <c r="EB116" s="187"/>
      <c r="EC116" s="2232"/>
      <c r="ED116" s="187"/>
      <c r="EE116" s="187"/>
      <c r="EF116" s="2232"/>
      <c r="EG116" s="245"/>
      <c r="EH116" s="2232"/>
      <c r="EI116" s="187"/>
      <c r="EJ116" s="2232"/>
      <c r="EK116" s="187"/>
      <c r="EL116" s="2232"/>
      <c r="EM116" s="195"/>
      <c r="EN116" s="2232"/>
      <c r="EO116" s="195"/>
      <c r="EP116" s="2232"/>
      <c r="EQ116" s="187"/>
      <c r="ER116" s="2232"/>
      <c r="ES116" s="187"/>
      <c r="ET116" s="2232"/>
      <c r="EU116" s="187">
        <f t="shared" si="32"/>
        <v>0</v>
      </c>
      <c r="EV116" s="2232"/>
      <c r="EW116" s="187"/>
      <c r="EX116" s="2232"/>
      <c r="EY116" s="195"/>
      <c r="EZ116" s="2232"/>
      <c r="FA116" s="195"/>
      <c r="FB116" s="2232"/>
      <c r="FC116" s="195"/>
      <c r="FD116" s="2232"/>
      <c r="FE116" s="195"/>
      <c r="FF116" s="2232"/>
      <c r="FG116" s="195"/>
      <c r="FH116" s="2232"/>
      <c r="FI116" s="195"/>
      <c r="FJ116" s="2232"/>
      <c r="FK116" s="195"/>
      <c r="FL116" s="2232"/>
      <c r="FM116" s="187"/>
      <c r="FN116" s="2232"/>
      <c r="FO116" s="187"/>
      <c r="FP116" s="2232"/>
      <c r="FQ116" s="187"/>
      <c r="FR116" s="195"/>
      <c r="FS116" s="195"/>
      <c r="FT116" s="789"/>
      <c r="FU116" s="789"/>
      <c r="FV116" s="789"/>
      <c r="FW116" s="789"/>
      <c r="FX116" s="789"/>
      <c r="FY116" s="789"/>
      <c r="FZ116" s="789"/>
      <c r="GA116" s="789"/>
      <c r="GB116" s="2286"/>
      <c r="GC116" s="776"/>
    </row>
    <row r="117" spans="1:202" s="156" customFormat="1" ht="15" customHeight="1">
      <c r="A117" s="2618"/>
      <c r="B117" s="2618">
        <v>43</v>
      </c>
      <c r="C117" s="140" t="s">
        <v>703</v>
      </c>
      <c r="D117" s="140">
        <v>2852</v>
      </c>
      <c r="E117" s="140">
        <v>9</v>
      </c>
      <c r="F117" s="804">
        <v>2028520009</v>
      </c>
      <c r="G117" s="145">
        <v>12994</v>
      </c>
      <c r="H117" s="140" t="s">
        <v>726</v>
      </c>
      <c r="I117" s="144" t="s">
        <v>706</v>
      </c>
      <c r="J117" s="140">
        <v>0.7</v>
      </c>
      <c r="K117" s="140">
        <v>4</v>
      </c>
      <c r="L117" s="140">
        <v>0</v>
      </c>
      <c r="M117" s="140">
        <v>4.8</v>
      </c>
      <c r="N117" s="142">
        <v>9089</v>
      </c>
      <c r="O117" s="142">
        <f>AE117</f>
        <v>3029.5</v>
      </c>
      <c r="P117" s="142">
        <v>0</v>
      </c>
      <c r="Q117" s="142">
        <v>9089</v>
      </c>
      <c r="R117" s="145">
        <v>0</v>
      </c>
      <c r="S117" s="805" t="s">
        <v>871</v>
      </c>
      <c r="T117" s="2628">
        <f>SUM(U117:U119)</f>
        <v>0</v>
      </c>
      <c r="U117" s="148">
        <v>0</v>
      </c>
      <c r="V117" s="2628">
        <f>SUM(W117:W119)</f>
        <v>20197</v>
      </c>
      <c r="W117" s="148">
        <f>N117</f>
        <v>9089</v>
      </c>
      <c r="X117" s="148"/>
      <c r="Y117" s="148">
        <f>W117-AA117</f>
        <v>9089</v>
      </c>
      <c r="Z117" s="2628">
        <f>SUM(AA117:AA119)</f>
        <v>0</v>
      </c>
      <c r="AA117" s="148">
        <v>0</v>
      </c>
      <c r="AB117" s="2628">
        <f>SUM(AC117:AC119)</f>
        <v>5933</v>
      </c>
      <c r="AC117" s="148">
        <v>0</v>
      </c>
      <c r="AD117" s="2628">
        <f>SUM(AE117:AE119)</f>
        <v>8204.5</v>
      </c>
      <c r="AE117" s="148">
        <f>AG117+AF117</f>
        <v>3029.5</v>
      </c>
      <c r="AF117" s="148">
        <v>0</v>
      </c>
      <c r="AG117" s="148">
        <v>3029.5</v>
      </c>
      <c r="AH117" s="148">
        <v>0</v>
      </c>
      <c r="AI117" s="2628">
        <f>SUM(AJ117:AJ119)</f>
        <v>0</v>
      </c>
      <c r="AJ117" s="148">
        <v>0</v>
      </c>
      <c r="AK117" s="2628">
        <f>SUM(AL117:AL119)</f>
        <v>2530</v>
      </c>
      <c r="AL117" s="148">
        <f>W117-(AA117+AC117+AE117+AH117+AJ117+AM117+AW117+AO117+AQ117+AS117+AU117)</f>
        <v>2530</v>
      </c>
      <c r="AM117" s="806">
        <v>0</v>
      </c>
      <c r="AN117" s="2628">
        <f>SUM(AO117:AO119)</f>
        <v>0</v>
      </c>
      <c r="AO117" s="148">
        <v>0</v>
      </c>
      <c r="AP117" s="2628">
        <f>SUM(AQ117:AQ119)</f>
        <v>3029.5</v>
      </c>
      <c r="AQ117" s="148">
        <f>6059/2</f>
        <v>3029.5</v>
      </c>
      <c r="AR117" s="2628">
        <f>SUM(AS117:AS119)</f>
        <v>0</v>
      </c>
      <c r="AS117" s="148">
        <v>0</v>
      </c>
      <c r="AT117" s="2628">
        <f>SUM(AU117:AU119)</f>
        <v>0</v>
      </c>
      <c r="AU117" s="148">
        <v>0</v>
      </c>
      <c r="AV117" s="2628">
        <f>SUM(AW117:AW119)</f>
        <v>500</v>
      </c>
      <c r="AW117" s="148">
        <f>AX117+AY117+AZ117+BA117+BB117</f>
        <v>500</v>
      </c>
      <c r="AX117" s="148">
        <v>0</v>
      </c>
      <c r="AY117" s="148">
        <v>0</v>
      </c>
      <c r="AZ117" s="148">
        <v>0</v>
      </c>
      <c r="BA117" s="148">
        <v>0</v>
      </c>
      <c r="BB117" s="148">
        <v>500</v>
      </c>
      <c r="BC117" s="148">
        <v>0</v>
      </c>
      <c r="BD117" s="2628">
        <f>SUM(BE117:BE119)</f>
        <v>20197</v>
      </c>
      <c r="BE117" s="148">
        <f>U117+W117</f>
        <v>9089</v>
      </c>
      <c r="BF117" s="2628">
        <f>SUM(BG117:BG119)</f>
        <v>0</v>
      </c>
      <c r="BG117" s="148">
        <f>U117/1000</f>
        <v>0</v>
      </c>
      <c r="BH117" s="2628">
        <f>SUM(BI117:BI119)</f>
        <v>0</v>
      </c>
      <c r="BI117" s="148">
        <v>0</v>
      </c>
      <c r="BJ117" s="148">
        <f t="shared" si="38"/>
        <v>0</v>
      </c>
      <c r="BK117" s="908">
        <f>ROUND((Y117+AC117+AA117)/1000*3,0)+ROUND((AE117+AU117)/1000,0)+ROUND((ROUND(AH117/400,0))/2.67,0)+ROUND(AM117/250,0)+ROUND(AO117/15000,0)+ROUND((AX117+AY117+AZ117+BB117)/1000*3,0)+ROUND(BG117/25,0)+ROUND(BU63/50,0)</f>
        <v>32</v>
      </c>
      <c r="BL117" s="148">
        <v>0</v>
      </c>
      <c r="BM117" s="148"/>
      <c r="BN117" s="148">
        <v>0</v>
      </c>
      <c r="BO117" s="148">
        <f>AC117/1000</f>
        <v>0</v>
      </c>
      <c r="BP117" s="148">
        <f>AH117/1000</f>
        <v>0</v>
      </c>
      <c r="BQ117" s="148">
        <f>0.5*(AQ117/300)</f>
        <v>5.0491666666666664</v>
      </c>
      <c r="BR117" s="148">
        <v>0</v>
      </c>
      <c r="BS117" s="148">
        <v>0</v>
      </c>
      <c r="BT117" s="2628">
        <f>SUM(BU117:BU119)</f>
        <v>28.982166666666664</v>
      </c>
      <c r="BU117" s="148">
        <f>SUM(BL117:BS117)</f>
        <v>5.0491666666666664</v>
      </c>
      <c r="BV117" s="156">
        <v>15</v>
      </c>
      <c r="BW117" s="808" t="s">
        <v>774</v>
      </c>
      <c r="BX117" s="156">
        <v>5.6</v>
      </c>
      <c r="BY117" s="156">
        <v>2</v>
      </c>
      <c r="BZ117" s="156">
        <v>4.2</v>
      </c>
      <c r="CA117" s="809" t="s">
        <v>706</v>
      </c>
      <c r="CB117" s="2622" t="s">
        <v>872</v>
      </c>
      <c r="CC117" s="810">
        <f>(BX117*G117)-CF117</f>
        <v>48727.499999999993</v>
      </c>
      <c r="CD117" s="2743">
        <f>SUM(CC117:CC119)</f>
        <v>100154.99999999999</v>
      </c>
      <c r="CE117" s="2628">
        <f>SUM(CF117:CF119)</f>
        <v>49409.8</v>
      </c>
      <c r="CF117" s="811">
        <f>2*(G117)-(0.15*1*(G117))</f>
        <v>24038.9</v>
      </c>
      <c r="CG117" s="2628">
        <f>SUM(CH117:CH119)</f>
        <v>44354.850000000006</v>
      </c>
      <c r="CH117" s="940">
        <f>CF117-CJ117</f>
        <v>24038.9</v>
      </c>
      <c r="CI117" s="2628">
        <f>SUM(CJ117:CJ119)</f>
        <v>5054.95</v>
      </c>
      <c r="CJ117" s="156">
        <v>0</v>
      </c>
      <c r="CK117" s="2628">
        <f>SUM(CL117:CL119)</f>
        <v>0</v>
      </c>
      <c r="CL117" s="156">
        <v>0</v>
      </c>
      <c r="CM117" s="2628">
        <f>SUM(CN117:CN119)</f>
        <v>37907.850000000006</v>
      </c>
      <c r="CN117" s="812">
        <f>CF117-(CJ117+CL117+CO117+CP117+CR117+CU117+CV117+CX117)</f>
        <v>23538.9</v>
      </c>
      <c r="CO117" s="812">
        <v>0</v>
      </c>
      <c r="CP117" s="812">
        <v>0</v>
      </c>
      <c r="CQ117" s="2628">
        <f>SUM(CR117:CR119)</f>
        <v>0</v>
      </c>
      <c r="CR117" s="148">
        <v>0</v>
      </c>
      <c r="CS117" s="812">
        <v>0</v>
      </c>
      <c r="CT117" s="812">
        <v>0</v>
      </c>
      <c r="CU117" s="812">
        <v>0</v>
      </c>
      <c r="CV117" s="812">
        <v>0</v>
      </c>
      <c r="CW117" s="2628">
        <f>SUM(CX117:CX119)</f>
        <v>500</v>
      </c>
      <c r="CX117" s="812">
        <f>SUM(CY117:DC117)</f>
        <v>500</v>
      </c>
      <c r="CY117" s="812">
        <f t="shared" ref="CY117:DC119" si="45">AX117</f>
        <v>0</v>
      </c>
      <c r="CZ117" s="812">
        <f t="shared" si="45"/>
        <v>0</v>
      </c>
      <c r="DA117" s="812">
        <f t="shared" si="45"/>
        <v>0</v>
      </c>
      <c r="DB117" s="812">
        <f t="shared" si="45"/>
        <v>0</v>
      </c>
      <c r="DC117" s="812">
        <f t="shared" si="45"/>
        <v>500</v>
      </c>
      <c r="DD117" s="812"/>
      <c r="DE117" s="2628">
        <f>SUM(DF117:DF119)</f>
        <v>149564.79999999999</v>
      </c>
      <c r="DF117" s="812">
        <f>CC117+CF117</f>
        <v>72766.399999999994</v>
      </c>
      <c r="DG117" s="2628">
        <f>SUM(DH117:DH119)</f>
        <v>100.15499999999999</v>
      </c>
      <c r="DH117" s="813">
        <f>CC117/'[1]Projected Development Sites'!DF$134</f>
        <v>48.727499999999992</v>
      </c>
      <c r="DI117" s="2737">
        <f>SUM(DJ117:DJ119)</f>
        <v>100.15499999999999</v>
      </c>
      <c r="DJ117" s="814">
        <f>'[1]Projected Development Sites'!DK$136*DH117</f>
        <v>48.727499999999992</v>
      </c>
      <c r="DK117" s="814">
        <f>3.06*DH117</f>
        <v>149.10614999999999</v>
      </c>
      <c r="DL117" s="815">
        <f>ROUND((CN117+CL117+CJ117)/1000*3,0)+ROUND((ROUND(CP117/400,0))/2.67,0)+ROUND(CV117/1000,0)+ROUND((CY117+CZ117+DA117+DC117)/1000*3,0)+ROUND(DH117/25,0)+ROUND(DX117/50,0)</f>
        <v>75</v>
      </c>
      <c r="DM117" s="816">
        <v>0</v>
      </c>
      <c r="DN117" s="816"/>
      <c r="DO117" s="816">
        <v>0</v>
      </c>
      <c r="DP117" s="816">
        <f>0.25*DJ117</f>
        <v>12.181874999999998</v>
      </c>
      <c r="DQ117" s="816">
        <f>SUM(CO117,CJ117,CN117,CR117,CU117)/1000</f>
        <v>23.538900000000002</v>
      </c>
      <c r="DR117" s="816">
        <f>CL117/1000</f>
        <v>0</v>
      </c>
      <c r="DS117" s="816">
        <f>((CP117/400)/12)</f>
        <v>0</v>
      </c>
      <c r="DT117" s="816">
        <v>0</v>
      </c>
      <c r="DU117" s="816">
        <v>0</v>
      </c>
      <c r="DV117" s="816">
        <f>CX117/1000</f>
        <v>0.5</v>
      </c>
      <c r="DW117" s="2737">
        <f>SUM(DX117:DX119)</f>
        <v>43.462800000000001</v>
      </c>
      <c r="DX117" s="817">
        <f>SUM(DM117,DO117,DQ117:DV117)</f>
        <v>24.038900000000002</v>
      </c>
      <c r="DY117" s="2739">
        <v>145</v>
      </c>
      <c r="DZ117" s="2741">
        <f>CD117-T117</f>
        <v>100154.99999999999</v>
      </c>
      <c r="EA117" s="2630">
        <f>CE117-V117</f>
        <v>29212.800000000003</v>
      </c>
      <c r="EB117" s="281">
        <f>CF117-W117</f>
        <v>14949.900000000001</v>
      </c>
      <c r="EC117" s="2630">
        <f>SUM(ED117:ED119)</f>
        <v>5534.2999999999993</v>
      </c>
      <c r="ED117" s="281">
        <v>4985.3999999999996</v>
      </c>
      <c r="EE117" s="281">
        <f>(SUM(CJ117:CO117))-(SUM(AA117:AE117,AL117))</f>
        <v>41749.750000000007</v>
      </c>
      <c r="EF117" s="2630">
        <f>SUM(EG117:EG119)</f>
        <v>14616.849999999999</v>
      </c>
      <c r="EG117" s="281">
        <v>8014.9</v>
      </c>
      <c r="EH117" s="2630">
        <f>SUM(EI117:EI119)</f>
        <v>-5933</v>
      </c>
      <c r="EI117" s="281">
        <f>CL117-AC117</f>
        <v>0</v>
      </c>
      <c r="EJ117" s="2630">
        <f>SUM(EK117:EK119)</f>
        <v>5054.95</v>
      </c>
      <c r="EK117" s="281">
        <f>CJ117-AA117</f>
        <v>0</v>
      </c>
      <c r="EL117" s="2630">
        <f>SUM(EM117:EM119)</f>
        <v>-8204.5</v>
      </c>
      <c r="EM117" s="281">
        <f>CO117-AE117</f>
        <v>-3029.5</v>
      </c>
      <c r="EN117" s="2630">
        <f>SUM(EO117:EO119)</f>
        <v>0</v>
      </c>
      <c r="EO117" s="281">
        <f>CP117-AH117</f>
        <v>0</v>
      </c>
      <c r="EP117" s="2630">
        <f>SUM(EQ117:EQ119)</f>
        <v>0</v>
      </c>
      <c r="EQ117" s="281">
        <f>CR117-AJ117</f>
        <v>0</v>
      </c>
      <c r="ER117" s="2630">
        <f>SUM(ES117:ES119)</f>
        <v>0</v>
      </c>
      <c r="ES117" s="281">
        <f>CS117-AO117</f>
        <v>0</v>
      </c>
      <c r="ET117" s="2630">
        <f>SUM(EU117:EU119)</f>
        <v>-3029.5</v>
      </c>
      <c r="EU117" s="281">
        <f t="shared" si="32"/>
        <v>-3029.5</v>
      </c>
      <c r="EV117" s="2630">
        <f>SUM(EW117:EW119)</f>
        <v>0</v>
      </c>
      <c r="EW117" s="281">
        <f>CU117-AS117</f>
        <v>0</v>
      </c>
      <c r="EX117" s="2630">
        <f>SUM(EY117:EY119)</f>
        <v>0</v>
      </c>
      <c r="EY117" s="281">
        <f>CV117-AU117</f>
        <v>0</v>
      </c>
      <c r="EZ117" s="2630">
        <f>SUM(FA117:FA119)</f>
        <v>0</v>
      </c>
      <c r="FA117" s="281">
        <f>CY117-AX117</f>
        <v>0</v>
      </c>
      <c r="FB117" s="2630">
        <f>SUM(FC117:FC119)</f>
        <v>0</v>
      </c>
      <c r="FC117" s="281">
        <f>CZ117-AY117</f>
        <v>0</v>
      </c>
      <c r="FD117" s="2630">
        <f>SUM(FE117:FE119)</f>
        <v>0</v>
      </c>
      <c r="FE117" s="281">
        <f>DA117-AZ117</f>
        <v>0</v>
      </c>
      <c r="FF117" s="2630">
        <f>SUM(FG117:FG119)</f>
        <v>0</v>
      </c>
      <c r="FG117" s="281">
        <f>DB117-BA117</f>
        <v>0</v>
      </c>
      <c r="FH117" s="2630">
        <f>SUM(FI117:FI119)</f>
        <v>0</v>
      </c>
      <c r="FI117" s="281">
        <f>DC117-BB117</f>
        <v>0</v>
      </c>
      <c r="FJ117" s="2630">
        <f>SUM(FK117:FK119)</f>
        <v>0</v>
      </c>
      <c r="FK117" s="281">
        <f>CX117-AW117</f>
        <v>0</v>
      </c>
      <c r="FL117" s="2630">
        <f>SUM(FM117:FM119)</f>
        <v>129367.79999999999</v>
      </c>
      <c r="FM117" s="281">
        <f>DF117-BE117</f>
        <v>63677.399999999994</v>
      </c>
      <c r="FN117" s="2630">
        <f>SUM(FO117:FO119)</f>
        <v>100.15499999999999</v>
      </c>
      <c r="FO117" s="281">
        <f>DH117-BG117</f>
        <v>48.727499999999992</v>
      </c>
      <c r="FP117" s="2630">
        <f>SUM(FQ117:FQ119)</f>
        <v>100.15499999999999</v>
      </c>
      <c r="FQ117" s="281">
        <f t="shared" ref="FQ117:FT119" si="46">DJ117-BI117</f>
        <v>48.727499999999992</v>
      </c>
      <c r="FR117" s="281">
        <f t="shared" si="46"/>
        <v>149.10614999999999</v>
      </c>
      <c r="FS117" s="281">
        <f t="shared" si="46"/>
        <v>43</v>
      </c>
      <c r="FT117" s="818">
        <f t="shared" si="46"/>
        <v>0</v>
      </c>
      <c r="FU117" s="818">
        <f>DR117-BO117</f>
        <v>0</v>
      </c>
      <c r="FV117" s="818">
        <f>DO117-BM117</f>
        <v>0</v>
      </c>
      <c r="FW117" s="818">
        <f>DQ117-BN117</f>
        <v>23.538900000000002</v>
      </c>
      <c r="FX117" s="818">
        <f t="shared" ref="FX117:GA119" si="47">DS117-BP117</f>
        <v>0</v>
      </c>
      <c r="FY117" s="818">
        <f t="shared" si="47"/>
        <v>-5.0491666666666664</v>
      </c>
      <c r="FZ117" s="818">
        <f t="shared" si="47"/>
        <v>0</v>
      </c>
      <c r="GA117" s="818">
        <f t="shared" si="47"/>
        <v>0.5</v>
      </c>
      <c r="GB117" s="2754">
        <f>SUM(GC117:GC119)</f>
        <v>14.48063333333333</v>
      </c>
      <c r="GC117" s="819">
        <f t="shared" si="33"/>
        <v>18.989733333333334</v>
      </c>
      <c r="GD117" s="210"/>
      <c r="GE117" s="210"/>
      <c r="GF117" s="210"/>
      <c r="GG117" s="210"/>
      <c r="GH117" s="210"/>
      <c r="GI117" s="210"/>
      <c r="GJ117" s="210"/>
      <c r="GK117" s="210"/>
      <c r="GL117" s="210"/>
      <c r="GM117" s="210"/>
      <c r="GN117" s="210"/>
      <c r="GO117" s="210"/>
      <c r="GP117" s="210"/>
      <c r="GQ117" s="210"/>
      <c r="GR117" s="210"/>
      <c r="GS117" s="210"/>
      <c r="GT117" s="210"/>
    </row>
    <row r="118" spans="1:202" s="210" customFormat="1" ht="15" customHeight="1">
      <c r="A118" s="2645"/>
      <c r="B118" s="2645"/>
      <c r="C118" s="199" t="s">
        <v>710</v>
      </c>
      <c r="D118" s="199">
        <v>2852</v>
      </c>
      <c r="E118" s="199">
        <v>4</v>
      </c>
      <c r="F118" s="941">
        <v>2028520004</v>
      </c>
      <c r="G118" s="204">
        <v>7767</v>
      </c>
      <c r="H118" s="199" t="s">
        <v>726</v>
      </c>
      <c r="I118" s="203" t="s">
        <v>706</v>
      </c>
      <c r="J118" s="199">
        <v>0.67</v>
      </c>
      <c r="K118" s="199">
        <v>4</v>
      </c>
      <c r="L118" s="199">
        <v>0</v>
      </c>
      <c r="M118" s="199">
        <v>4.8</v>
      </c>
      <c r="N118" s="201">
        <v>5175</v>
      </c>
      <c r="O118" s="201">
        <f>Q118</f>
        <v>5175</v>
      </c>
      <c r="P118" s="201">
        <v>0</v>
      </c>
      <c r="Q118" s="201">
        <v>5175</v>
      </c>
      <c r="R118" s="204">
        <v>0</v>
      </c>
      <c r="S118" s="942" t="s">
        <v>711</v>
      </c>
      <c r="T118" s="2653"/>
      <c r="U118" s="178">
        <v>0</v>
      </c>
      <c r="V118" s="2653"/>
      <c r="W118" s="178">
        <f>N118</f>
        <v>5175</v>
      </c>
      <c r="X118" s="178"/>
      <c r="Y118" s="178">
        <f>W118-AA118</f>
        <v>5175</v>
      </c>
      <c r="Z118" s="2653"/>
      <c r="AA118" s="178">
        <v>0</v>
      </c>
      <c r="AB118" s="2653"/>
      <c r="AC118" s="178">
        <v>0</v>
      </c>
      <c r="AD118" s="2653"/>
      <c r="AE118" s="178">
        <f>AG118+AF118</f>
        <v>5175</v>
      </c>
      <c r="AF118" s="178">
        <v>0</v>
      </c>
      <c r="AG118" s="178">
        <f>W118</f>
        <v>5175</v>
      </c>
      <c r="AH118" s="178">
        <v>0</v>
      </c>
      <c r="AI118" s="2653"/>
      <c r="AJ118" s="178">
        <v>0</v>
      </c>
      <c r="AK118" s="2653"/>
      <c r="AL118" s="178">
        <f>W118-(AA118+AC118+AE118+AH118+AJ118+AM118+AW118+AO118+AQ118+AS118+AU118)</f>
        <v>0</v>
      </c>
      <c r="AM118" s="943">
        <v>0</v>
      </c>
      <c r="AN118" s="2653"/>
      <c r="AO118" s="178">
        <v>0</v>
      </c>
      <c r="AP118" s="2653"/>
      <c r="AQ118" s="178">
        <v>0</v>
      </c>
      <c r="AR118" s="2653"/>
      <c r="AS118" s="178">
        <v>0</v>
      </c>
      <c r="AT118" s="2653"/>
      <c r="AU118" s="178">
        <v>0</v>
      </c>
      <c r="AV118" s="2653"/>
      <c r="AW118" s="178">
        <f>AX118+AY118+AZ118+BA118+BB118</f>
        <v>0</v>
      </c>
      <c r="AX118" s="178">
        <v>0</v>
      </c>
      <c r="AY118" s="178">
        <v>0</v>
      </c>
      <c r="AZ118" s="178">
        <v>0</v>
      </c>
      <c r="BA118" s="178">
        <v>0</v>
      </c>
      <c r="BB118" s="178">
        <v>0</v>
      </c>
      <c r="BC118" s="178">
        <v>0</v>
      </c>
      <c r="BD118" s="2653"/>
      <c r="BE118" s="178">
        <f>U118+W118</f>
        <v>5175</v>
      </c>
      <c r="BF118" s="2653"/>
      <c r="BG118" s="178">
        <f>U118/1000</f>
        <v>0</v>
      </c>
      <c r="BH118" s="2653"/>
      <c r="BI118" s="178">
        <v>0</v>
      </c>
      <c r="BJ118" s="178">
        <f t="shared" si="38"/>
        <v>0</v>
      </c>
      <c r="BK118" s="807">
        <f>ROUND((Y118+AC118+AA118)/1000*3,0)+ROUND((AE118+AU118)/1000,0)+ROUND((ROUND(AH118/400,0))/2.67,0)+ROUND(AM118/250,0)+ROUND(AO118/15000,0)+ROUND((AX118+AY118+AZ118+BB118)/1000*3,0)+ROUND(BG118/25,0)+ROUND(BU64/50,0)</f>
        <v>21</v>
      </c>
      <c r="BL118" s="178">
        <v>0</v>
      </c>
      <c r="BM118" s="178"/>
      <c r="BN118" s="178">
        <v>0</v>
      </c>
      <c r="BO118" s="178">
        <f>AC118/1000</f>
        <v>0</v>
      </c>
      <c r="BP118" s="178">
        <f>AH118/1000</f>
        <v>0</v>
      </c>
      <c r="BQ118" s="178">
        <v>0</v>
      </c>
      <c r="BR118" s="178">
        <v>0</v>
      </c>
      <c r="BS118" s="178">
        <v>0</v>
      </c>
      <c r="BT118" s="2653"/>
      <c r="BU118" s="178">
        <f>SUM(BL118:BS118)</f>
        <v>0</v>
      </c>
      <c r="BV118" s="210">
        <v>15</v>
      </c>
      <c r="BW118" s="944" t="s">
        <v>774</v>
      </c>
      <c r="BX118" s="210">
        <v>5.6</v>
      </c>
      <c r="BY118" s="210">
        <v>2</v>
      </c>
      <c r="BZ118" s="210">
        <v>4.2</v>
      </c>
      <c r="CA118" s="945" t="s">
        <v>706</v>
      </c>
      <c r="CB118" s="2650"/>
      <c r="CC118" s="946">
        <f>(BX118*G118)-CF118</f>
        <v>29126.249999999996</v>
      </c>
      <c r="CD118" s="2753"/>
      <c r="CE118" s="2653"/>
      <c r="CF118" s="826">
        <f>2*(G118)-(0.15*1*(G118))</f>
        <v>14368.95</v>
      </c>
      <c r="CG118" s="2653"/>
      <c r="CH118" s="826">
        <f>CF118-CJ118</f>
        <v>14368.95</v>
      </c>
      <c r="CI118" s="2653"/>
      <c r="CJ118" s="210">
        <v>0</v>
      </c>
      <c r="CK118" s="2653"/>
      <c r="CL118" s="210">
        <v>0</v>
      </c>
      <c r="CM118" s="2653"/>
      <c r="CN118" s="178">
        <f>CF118-(CJ118+CL118+CO118+CP118+CR118+CU118+CV118+CX118)</f>
        <v>14368.95</v>
      </c>
      <c r="CO118" s="947">
        <v>0</v>
      </c>
      <c r="CP118" s="947">
        <v>0</v>
      </c>
      <c r="CQ118" s="2653"/>
      <c r="CR118" s="178">
        <v>0</v>
      </c>
      <c r="CS118" s="947">
        <v>0</v>
      </c>
      <c r="CT118" s="947">
        <v>0</v>
      </c>
      <c r="CU118" s="947">
        <v>0</v>
      </c>
      <c r="CV118" s="947">
        <v>0</v>
      </c>
      <c r="CW118" s="2653"/>
      <c r="CX118" s="178">
        <f>SUM(CY118:DC118)</f>
        <v>0</v>
      </c>
      <c r="CY118" s="947">
        <f t="shared" si="45"/>
        <v>0</v>
      </c>
      <c r="CZ118" s="947">
        <f t="shared" si="45"/>
        <v>0</v>
      </c>
      <c r="DA118" s="947">
        <f t="shared" si="45"/>
        <v>0</v>
      </c>
      <c r="DB118" s="947">
        <f t="shared" si="45"/>
        <v>0</v>
      </c>
      <c r="DC118" s="947">
        <f t="shared" si="45"/>
        <v>0</v>
      </c>
      <c r="DD118" s="947"/>
      <c r="DE118" s="2653"/>
      <c r="DF118" s="947">
        <f>CC118+CF118</f>
        <v>43495.199999999997</v>
      </c>
      <c r="DG118" s="2653"/>
      <c r="DH118" s="948">
        <f>CC118/'[1]Projected Development Sites'!DF$134</f>
        <v>29.126249999999995</v>
      </c>
      <c r="DI118" s="2757"/>
      <c r="DJ118" s="949">
        <f>'[1]Projected Development Sites'!DK$136*DH118</f>
        <v>29.126249999999995</v>
      </c>
      <c r="DK118" s="949">
        <f>3.06*DH118</f>
        <v>89.126324999999994</v>
      </c>
      <c r="DL118" s="950">
        <f>ROUND((CN118+CL118+CJ118)/1000*3,0)+ROUND((ROUND(CP118/400,0))/2.67,0)+ROUND(CV118/1000,0)+ROUND((CY118+CZ118+DA118+DC118)/1000*3,0)+ROUND(DH118/25,0)+ROUND(DX118/50,0)</f>
        <v>44</v>
      </c>
      <c r="DM118" s="951">
        <v>0</v>
      </c>
      <c r="DN118" s="951"/>
      <c r="DO118" s="951">
        <v>0</v>
      </c>
      <c r="DP118" s="951">
        <f>0.25*DJ118</f>
        <v>7.2815624999999988</v>
      </c>
      <c r="DQ118" s="951">
        <f>SUM(CO118,CJ118,CN118,CR118,CU118)/1000</f>
        <v>14.36895</v>
      </c>
      <c r="DR118" s="951">
        <f>CL118/1000</f>
        <v>0</v>
      </c>
      <c r="DS118" s="951">
        <f>((CP118/400)/12)</f>
        <v>0</v>
      </c>
      <c r="DT118" s="951">
        <v>0</v>
      </c>
      <c r="DU118" s="951">
        <v>0</v>
      </c>
      <c r="DV118" s="951">
        <f>CX118/1000</f>
        <v>0</v>
      </c>
      <c r="DW118" s="2757"/>
      <c r="DX118" s="952">
        <f>SUM(DM118,DO118,DQ118:DV118)</f>
        <v>14.36895</v>
      </c>
      <c r="DY118" s="2751"/>
      <c r="DZ118" s="2752"/>
      <c r="EA118" s="2654"/>
      <c r="EB118" s="284">
        <f>CF118-W118</f>
        <v>9193.9500000000007</v>
      </c>
      <c r="EC118" s="2654"/>
      <c r="ED118" s="284">
        <v>1426.9499999999998</v>
      </c>
      <c r="EE118" s="284">
        <f>(SUM(CJ118:CO118))-(SUM(AA118:AE118,AL118))</f>
        <v>9193.9500000000007</v>
      </c>
      <c r="EF118" s="2654"/>
      <c r="EG118" s="284">
        <v>6601.95</v>
      </c>
      <c r="EH118" s="2654"/>
      <c r="EI118" s="284">
        <f>CL118-AC118</f>
        <v>0</v>
      </c>
      <c r="EJ118" s="2654"/>
      <c r="EK118" s="284">
        <f>CJ118-AA118</f>
        <v>0</v>
      </c>
      <c r="EL118" s="2654"/>
      <c r="EM118" s="284">
        <f>CO118-AE118</f>
        <v>-5175</v>
      </c>
      <c r="EN118" s="2654"/>
      <c r="EO118" s="284">
        <f>CP118-AH118</f>
        <v>0</v>
      </c>
      <c r="EP118" s="2654"/>
      <c r="EQ118" s="284">
        <f>CR118-AJ118</f>
        <v>0</v>
      </c>
      <c r="ER118" s="2654"/>
      <c r="ES118" s="284">
        <f>CS118-AO118</f>
        <v>0</v>
      </c>
      <c r="ET118" s="2654"/>
      <c r="EU118" s="284">
        <f t="shared" si="32"/>
        <v>0</v>
      </c>
      <c r="EV118" s="2654"/>
      <c r="EW118" s="284">
        <f>CU118-AS118</f>
        <v>0</v>
      </c>
      <c r="EX118" s="2654"/>
      <c r="EY118" s="284">
        <f>CV118-AU118</f>
        <v>0</v>
      </c>
      <c r="EZ118" s="2654"/>
      <c r="FA118" s="284">
        <f>CY118-AX118</f>
        <v>0</v>
      </c>
      <c r="FB118" s="2654"/>
      <c r="FC118" s="284">
        <f>CZ118-AY118</f>
        <v>0</v>
      </c>
      <c r="FD118" s="2654"/>
      <c r="FE118" s="284">
        <f>DA118-AZ118</f>
        <v>0</v>
      </c>
      <c r="FF118" s="2654"/>
      <c r="FG118" s="284">
        <f>DB118-BA118</f>
        <v>0</v>
      </c>
      <c r="FH118" s="2654"/>
      <c r="FI118" s="284">
        <f>DC118-BB118</f>
        <v>0</v>
      </c>
      <c r="FJ118" s="2654"/>
      <c r="FK118" s="284">
        <f>CX118-AW118</f>
        <v>0</v>
      </c>
      <c r="FL118" s="2654"/>
      <c r="FM118" s="284">
        <f>DF118-BE118</f>
        <v>38320.199999999997</v>
      </c>
      <c r="FN118" s="2654"/>
      <c r="FO118" s="284">
        <f>DH118-BG118</f>
        <v>29.126249999999995</v>
      </c>
      <c r="FP118" s="2654"/>
      <c r="FQ118" s="284">
        <f t="shared" si="46"/>
        <v>29.126249999999995</v>
      </c>
      <c r="FR118" s="284">
        <f t="shared" si="46"/>
        <v>89.126324999999994</v>
      </c>
      <c r="FS118" s="284">
        <f t="shared" si="46"/>
        <v>23</v>
      </c>
      <c r="FT118" s="953">
        <f t="shared" si="46"/>
        <v>0</v>
      </c>
      <c r="FU118" s="953">
        <f>DR118-BO118</f>
        <v>0</v>
      </c>
      <c r="FV118" s="953">
        <f>DO118-BM118</f>
        <v>0</v>
      </c>
      <c r="FW118" s="953">
        <f>DQ118-BN118</f>
        <v>14.36895</v>
      </c>
      <c r="FX118" s="953">
        <f t="shared" si="47"/>
        <v>0</v>
      </c>
      <c r="FY118" s="953">
        <f t="shared" si="47"/>
        <v>0</v>
      </c>
      <c r="FZ118" s="953">
        <f t="shared" si="47"/>
        <v>0</v>
      </c>
      <c r="GA118" s="953">
        <f t="shared" si="47"/>
        <v>0</v>
      </c>
      <c r="GB118" s="2755"/>
      <c r="GC118" s="954">
        <f t="shared" si="33"/>
        <v>14.36895</v>
      </c>
    </row>
    <row r="119" spans="1:202" s="176" customFormat="1" ht="15" customHeight="1">
      <c r="A119" s="2619"/>
      <c r="B119" s="2619"/>
      <c r="C119" s="162" t="s">
        <v>721</v>
      </c>
      <c r="D119" s="162">
        <v>2852</v>
      </c>
      <c r="E119" s="162">
        <v>1</v>
      </c>
      <c r="F119" s="162">
        <v>2028520001</v>
      </c>
      <c r="G119" s="167">
        <v>5947</v>
      </c>
      <c r="H119" s="162" t="s">
        <v>726</v>
      </c>
      <c r="I119" s="166" t="s">
        <v>742</v>
      </c>
      <c r="J119" s="162">
        <v>1</v>
      </c>
      <c r="K119" s="162">
        <v>4</v>
      </c>
      <c r="L119" s="162">
        <v>0</v>
      </c>
      <c r="M119" s="162">
        <v>4.8</v>
      </c>
      <c r="N119" s="164">
        <v>5933</v>
      </c>
      <c r="O119" s="164">
        <v>0</v>
      </c>
      <c r="P119" s="164">
        <v>0</v>
      </c>
      <c r="Q119" s="164">
        <v>5933</v>
      </c>
      <c r="R119" s="167">
        <v>0</v>
      </c>
      <c r="S119" s="820" t="s">
        <v>637</v>
      </c>
      <c r="T119" s="2629"/>
      <c r="U119" s="170">
        <v>0</v>
      </c>
      <c r="V119" s="2629"/>
      <c r="W119" s="170">
        <v>5933</v>
      </c>
      <c r="X119" s="170"/>
      <c r="Y119" s="170">
        <f>W119-AA119</f>
        <v>5933</v>
      </c>
      <c r="Z119" s="2629"/>
      <c r="AA119" s="170">
        <v>0</v>
      </c>
      <c r="AB119" s="2629"/>
      <c r="AC119" s="170">
        <f>W119</f>
        <v>5933</v>
      </c>
      <c r="AD119" s="2629"/>
      <c r="AE119" s="170">
        <f>AG119+AF119</f>
        <v>0</v>
      </c>
      <c r="AF119" s="170">
        <v>0</v>
      </c>
      <c r="AG119" s="170">
        <v>0</v>
      </c>
      <c r="AH119" s="170">
        <v>0</v>
      </c>
      <c r="AI119" s="2629"/>
      <c r="AJ119" s="170">
        <v>0</v>
      </c>
      <c r="AK119" s="2629"/>
      <c r="AL119" s="170">
        <f>W119-(AA119+AC119+AE119+AH119+AJ119+AM119+AW119+AO119+AQ119+AS119+AU119)</f>
        <v>0</v>
      </c>
      <c r="AM119" s="821">
        <v>0</v>
      </c>
      <c r="AN119" s="2629"/>
      <c r="AO119" s="170">
        <v>0</v>
      </c>
      <c r="AP119" s="2629"/>
      <c r="AQ119" s="170">
        <v>0</v>
      </c>
      <c r="AR119" s="2629"/>
      <c r="AS119" s="170">
        <v>0</v>
      </c>
      <c r="AT119" s="2629"/>
      <c r="AU119" s="170">
        <v>0</v>
      </c>
      <c r="AV119" s="2629"/>
      <c r="AW119" s="170">
        <v>0</v>
      </c>
      <c r="AX119" s="170">
        <v>0</v>
      </c>
      <c r="AY119" s="170">
        <v>0</v>
      </c>
      <c r="AZ119" s="170">
        <v>0</v>
      </c>
      <c r="BA119" s="170">
        <v>0</v>
      </c>
      <c r="BB119" s="170">
        <v>0</v>
      </c>
      <c r="BC119" s="170">
        <v>0</v>
      </c>
      <c r="BD119" s="2629"/>
      <c r="BE119" s="170">
        <f>ROUND(U119+W119+AW119+AX119,0)</f>
        <v>5933</v>
      </c>
      <c r="BF119" s="2629"/>
      <c r="BG119" s="170">
        <f>ROUND(U119/'[1]Projected Development Sites'!DF$134,0)</f>
        <v>0</v>
      </c>
      <c r="BH119" s="2629"/>
      <c r="BI119" s="170">
        <v>0</v>
      </c>
      <c r="BJ119" s="170">
        <f t="shared" si="38"/>
        <v>0</v>
      </c>
      <c r="BK119" s="807">
        <f>ROUND((Y119+AC119+AA119)/1000*3,0)+ROUND((AE119+AU119)/1000,0)+ROUND((ROUND(AH119/400,0))/2.67,0)+ROUND(AM119/250,0)+ROUND(AO119/15000,0)+ROUND((AX119+AY119+AZ119+BB119)/1000*3,0)+ROUND(BG119/25,0)+ROUND(BU65/50,0)</f>
        <v>36</v>
      </c>
      <c r="BL119" s="822">
        <f>ROUND((AM119+AC119+AA119)/1000*3,0)+ROUND((AE119+AU119)/1000,0)+ROUND((ROUND(AH119/400,0))/2.67,0)+ROUND(AJ119/250,0)+ROUND(AO119/15000,0)+ROUND((AX119+AY119+AZ119+BB119)/1000*3,0)+ROUND(BG119/25,0)+ROUND('[1]Projected Development Sites'!BS142/50,0)</f>
        <v>18</v>
      </c>
      <c r="BM119" s="822"/>
      <c r="BN119" s="170">
        <v>0</v>
      </c>
      <c r="BO119" s="170">
        <f>AC119/1000</f>
        <v>5.9329999999999998</v>
      </c>
      <c r="BP119" s="170">
        <f>AH119/1000</f>
        <v>0</v>
      </c>
      <c r="BQ119" s="170">
        <v>0</v>
      </c>
      <c r="BR119" s="170">
        <v>0</v>
      </c>
      <c r="BS119" s="170">
        <v>0</v>
      </c>
      <c r="BT119" s="2629"/>
      <c r="BU119" s="170">
        <f>SUM(BL119:BS119)</f>
        <v>23.933</v>
      </c>
      <c r="BV119" s="176">
        <v>15</v>
      </c>
      <c r="BW119" s="823" t="s">
        <v>774</v>
      </c>
      <c r="BX119" s="176">
        <v>5.6</v>
      </c>
      <c r="BY119" s="176">
        <v>2</v>
      </c>
      <c r="BZ119" s="176">
        <v>4.2</v>
      </c>
      <c r="CA119" s="824" t="s">
        <v>706</v>
      </c>
      <c r="CB119" s="2623"/>
      <c r="CC119" s="825">
        <f>(BX119*G119)-CF119</f>
        <v>22301.249999999996</v>
      </c>
      <c r="CD119" s="2744"/>
      <c r="CE119" s="2629"/>
      <c r="CF119" s="826">
        <f>2*(G119)-(0.15*1*(G119))</f>
        <v>11001.95</v>
      </c>
      <c r="CG119" s="2629"/>
      <c r="CH119" s="827">
        <f>CF119-CJ119</f>
        <v>5947.0000000000009</v>
      </c>
      <c r="CI119" s="2629"/>
      <c r="CJ119" s="825">
        <f>1*(G119)-(0.15*1*(G119))</f>
        <v>5054.95</v>
      </c>
      <c r="CK119" s="2629"/>
      <c r="CL119" s="176">
        <v>0</v>
      </c>
      <c r="CM119" s="2629"/>
      <c r="CN119" s="170">
        <v>0</v>
      </c>
      <c r="CO119" s="828">
        <v>0</v>
      </c>
      <c r="CP119" s="828">
        <v>0</v>
      </c>
      <c r="CQ119" s="2629"/>
      <c r="CR119" s="170">
        <v>0</v>
      </c>
      <c r="CS119" s="828">
        <v>0</v>
      </c>
      <c r="CT119" s="828">
        <v>0</v>
      </c>
      <c r="CU119" s="828">
        <v>0</v>
      </c>
      <c r="CV119" s="828">
        <v>0</v>
      </c>
      <c r="CW119" s="2629"/>
      <c r="CX119" s="170">
        <f>SUM(CY119:DC119)</f>
        <v>0</v>
      </c>
      <c r="CY119" s="828">
        <f t="shared" si="45"/>
        <v>0</v>
      </c>
      <c r="CZ119" s="828">
        <f t="shared" si="45"/>
        <v>0</v>
      </c>
      <c r="DA119" s="828">
        <f t="shared" si="45"/>
        <v>0</v>
      </c>
      <c r="DB119" s="828">
        <f t="shared" si="45"/>
        <v>0</v>
      </c>
      <c r="DC119" s="828">
        <f t="shared" si="45"/>
        <v>0</v>
      </c>
      <c r="DD119" s="828"/>
      <c r="DE119" s="2629"/>
      <c r="DF119" s="828">
        <f>CC119+CF119</f>
        <v>33303.199999999997</v>
      </c>
      <c r="DG119" s="2629"/>
      <c r="DH119" s="829">
        <f>CC119/'[1]Projected Development Sites'!DF$134</f>
        <v>22.301249999999996</v>
      </c>
      <c r="DI119" s="2738"/>
      <c r="DJ119" s="830">
        <f>'[1]Projected Development Sites'!DK$136*DH119</f>
        <v>22.301249999999996</v>
      </c>
      <c r="DK119" s="830">
        <f>3.06*DH119</f>
        <v>68.241824999999992</v>
      </c>
      <c r="DL119" s="950">
        <f>ROUND((CN119+CL119+CJ119)/1000*3,0)+ROUND((ROUND(CP119/400,0))/2.67,0)+ROUND(CV119/1000,0)+ROUND((CY119+CZ119+DA119+DC119)/1000*3,0)+ROUND(DH119/25,0)+ROUND(DX119/50,0)</f>
        <v>16</v>
      </c>
      <c r="DM119" s="832">
        <v>0</v>
      </c>
      <c r="DN119" s="832"/>
      <c r="DO119" s="832">
        <v>0</v>
      </c>
      <c r="DP119" s="832">
        <f>0.25*DJ119</f>
        <v>5.575312499999999</v>
      </c>
      <c r="DQ119" s="832">
        <f>SUM(CO119,CJ119,CN119,CR119,CU119)/1000</f>
        <v>5.0549499999999998</v>
      </c>
      <c r="DR119" s="832">
        <f>CL119/1000</f>
        <v>0</v>
      </c>
      <c r="DS119" s="832">
        <f>((CP119/400)/12)</f>
        <v>0</v>
      </c>
      <c r="DT119" s="832">
        <f>IF(CX119&gt;0,"Calculate",0)</f>
        <v>0</v>
      </c>
      <c r="DU119" s="832">
        <v>0</v>
      </c>
      <c r="DV119" s="832">
        <f>CX119/1000</f>
        <v>0</v>
      </c>
      <c r="DW119" s="2738"/>
      <c r="DX119" s="910">
        <f>SUM(DM119,DO119,DQ119:DV119)</f>
        <v>5.0549499999999998</v>
      </c>
      <c r="DY119" s="2740"/>
      <c r="DZ119" s="2742"/>
      <c r="EA119" s="2631"/>
      <c r="EB119" s="284">
        <f>CF119-W119</f>
        <v>5068.9500000000007</v>
      </c>
      <c r="EC119" s="2631"/>
      <c r="ED119" s="284">
        <v>-878.05000000000018</v>
      </c>
      <c r="EE119" s="284">
        <f>(SUM(CJ119:CO119))-(SUM(AA119:AE119,AL119))</f>
        <v>-878.05000000000018</v>
      </c>
      <c r="EF119" s="2631"/>
      <c r="EG119" s="287">
        <v>0</v>
      </c>
      <c r="EH119" s="2631"/>
      <c r="EI119" s="284">
        <f>CL119-AC119</f>
        <v>-5933</v>
      </c>
      <c r="EJ119" s="2631"/>
      <c r="EK119" s="284">
        <f>CJ119-AA119</f>
        <v>5054.95</v>
      </c>
      <c r="EL119" s="2631"/>
      <c r="EM119" s="287">
        <f>CO119-AE119</f>
        <v>0</v>
      </c>
      <c r="EN119" s="2631"/>
      <c r="EO119" s="287">
        <f>CP119-AH119</f>
        <v>0</v>
      </c>
      <c r="EP119" s="2631"/>
      <c r="EQ119" s="284">
        <f>CR119-AJ119</f>
        <v>0</v>
      </c>
      <c r="ER119" s="2631"/>
      <c r="ES119" s="284">
        <f>CS119-AO119</f>
        <v>0</v>
      </c>
      <c r="ET119" s="2631"/>
      <c r="EU119" s="287">
        <f t="shared" si="32"/>
        <v>0</v>
      </c>
      <c r="EV119" s="2631"/>
      <c r="EW119" s="284">
        <f>CU119-AS119</f>
        <v>0</v>
      </c>
      <c r="EX119" s="2631"/>
      <c r="EY119" s="287">
        <f>CV119-AU119</f>
        <v>0</v>
      </c>
      <c r="EZ119" s="2631"/>
      <c r="FA119" s="287">
        <f>CY119-AX119</f>
        <v>0</v>
      </c>
      <c r="FB119" s="2631"/>
      <c r="FC119" s="287">
        <f>CZ119-AY119</f>
        <v>0</v>
      </c>
      <c r="FD119" s="2631"/>
      <c r="FE119" s="287">
        <f>DA119-AZ119</f>
        <v>0</v>
      </c>
      <c r="FF119" s="2631"/>
      <c r="FG119" s="287">
        <f>DB119-BA119</f>
        <v>0</v>
      </c>
      <c r="FH119" s="2631"/>
      <c r="FI119" s="287">
        <f>DC119-BB119</f>
        <v>0</v>
      </c>
      <c r="FJ119" s="2631"/>
      <c r="FK119" s="287">
        <f>CX119-AW119</f>
        <v>0</v>
      </c>
      <c r="FL119" s="2631"/>
      <c r="FM119" s="284">
        <f>DF119-BE119</f>
        <v>27370.199999999997</v>
      </c>
      <c r="FN119" s="2631"/>
      <c r="FO119" s="284">
        <f>DH119-BG119</f>
        <v>22.301249999999996</v>
      </c>
      <c r="FP119" s="2631"/>
      <c r="FQ119" s="284">
        <f t="shared" si="46"/>
        <v>22.301249999999996</v>
      </c>
      <c r="FR119" s="287">
        <f t="shared" si="46"/>
        <v>68.241824999999992</v>
      </c>
      <c r="FS119" s="287">
        <f t="shared" si="46"/>
        <v>-20</v>
      </c>
      <c r="FT119" s="834">
        <f t="shared" si="46"/>
        <v>-18</v>
      </c>
      <c r="FU119" s="834">
        <f>DR119-BO119</f>
        <v>-5.9329999999999998</v>
      </c>
      <c r="FV119" s="834">
        <f>DO119-BM119</f>
        <v>0</v>
      </c>
      <c r="FW119" s="834">
        <f>DQ119-BN119</f>
        <v>5.0549499999999998</v>
      </c>
      <c r="FX119" s="834">
        <f t="shared" si="47"/>
        <v>0</v>
      </c>
      <c r="FY119" s="834">
        <f t="shared" si="47"/>
        <v>0</v>
      </c>
      <c r="FZ119" s="834">
        <f t="shared" si="47"/>
        <v>0</v>
      </c>
      <c r="GA119" s="834">
        <f t="shared" si="47"/>
        <v>0</v>
      </c>
      <c r="GB119" s="2756"/>
      <c r="GC119" s="954">
        <f t="shared" si="33"/>
        <v>-18.878050000000002</v>
      </c>
      <c r="GD119" s="210"/>
      <c r="GE119" s="210"/>
      <c r="GF119" s="210"/>
      <c r="GG119" s="210"/>
      <c r="GH119" s="210"/>
      <c r="GI119" s="210"/>
      <c r="GJ119" s="210"/>
      <c r="GK119" s="210"/>
      <c r="GL119" s="210"/>
      <c r="GM119" s="210"/>
      <c r="GN119" s="210"/>
      <c r="GO119" s="210"/>
      <c r="GP119" s="210"/>
      <c r="GQ119" s="210"/>
      <c r="GR119" s="210"/>
      <c r="GS119" s="210"/>
      <c r="GT119" s="210"/>
    </row>
    <row r="120" spans="1:202" s="139" customFormat="1" ht="18.75">
      <c r="A120" s="2263"/>
      <c r="B120" s="2263"/>
      <c r="C120" s="132"/>
      <c r="D120" s="132"/>
      <c r="E120" s="132"/>
      <c r="F120" s="132"/>
      <c r="G120" s="137"/>
      <c r="H120" s="132"/>
      <c r="I120" s="136"/>
      <c r="J120" s="132"/>
      <c r="K120" s="132"/>
      <c r="L120" s="132"/>
      <c r="M120" s="132"/>
      <c r="N120" s="134"/>
      <c r="O120" s="134"/>
      <c r="P120" s="134"/>
      <c r="Q120" s="134"/>
      <c r="R120" s="137"/>
      <c r="S120" s="778"/>
      <c r="T120" s="634"/>
      <c r="U120" s="102"/>
      <c r="V120" s="634"/>
      <c r="W120" s="102"/>
      <c r="X120" s="102"/>
      <c r="Y120" s="102"/>
      <c r="Z120" s="634"/>
      <c r="AA120" s="102"/>
      <c r="AB120" s="634"/>
      <c r="AC120" s="102"/>
      <c r="AD120" s="634"/>
      <c r="AE120" s="102"/>
      <c r="AF120" s="102"/>
      <c r="AG120" s="102"/>
      <c r="AH120" s="102"/>
      <c r="AI120" s="634"/>
      <c r="AJ120" s="102"/>
      <c r="AK120" s="634"/>
      <c r="AL120" s="102"/>
      <c r="AM120" s="779"/>
      <c r="AN120" s="634"/>
      <c r="AO120" s="102"/>
      <c r="AP120" s="634"/>
      <c r="AQ120" s="102"/>
      <c r="AR120" s="634"/>
      <c r="AS120" s="102"/>
      <c r="AT120" s="634"/>
      <c r="AU120" s="102"/>
      <c r="AV120" s="634"/>
      <c r="AW120" s="102"/>
      <c r="AX120" s="102"/>
      <c r="AY120" s="102"/>
      <c r="AZ120" s="102"/>
      <c r="BA120" s="102"/>
      <c r="BB120" s="102"/>
      <c r="BC120" s="102"/>
      <c r="BD120" s="634"/>
      <c r="BE120" s="102"/>
      <c r="BF120" s="634"/>
      <c r="BG120" s="102"/>
      <c r="BH120" s="634"/>
      <c r="BI120" s="102"/>
      <c r="BJ120" s="122"/>
      <c r="BK120" s="306"/>
      <c r="BL120" s="186"/>
      <c r="BM120" s="186"/>
      <c r="BN120" s="102"/>
      <c r="BO120" s="102"/>
      <c r="BP120" s="102"/>
      <c r="BQ120" s="102"/>
      <c r="BR120" s="102"/>
      <c r="BS120" s="102"/>
      <c r="BT120" s="634"/>
      <c r="BU120" s="102"/>
      <c r="BW120" s="780"/>
      <c r="CA120" s="781"/>
      <c r="CB120" s="2258"/>
      <c r="CC120" s="782"/>
      <c r="CD120" s="782"/>
      <c r="CE120" s="634"/>
      <c r="CF120" s="902"/>
      <c r="CG120" s="634"/>
      <c r="CH120" s="840"/>
      <c r="CI120" s="634"/>
      <c r="CK120" s="634"/>
      <c r="CM120" s="634"/>
      <c r="CN120" s="784"/>
      <c r="CO120" s="784"/>
      <c r="CP120" s="784"/>
      <c r="CQ120" s="634"/>
      <c r="CR120" s="102"/>
      <c r="CS120" s="784"/>
      <c r="CT120" s="784"/>
      <c r="CU120" s="784"/>
      <c r="CV120" s="784"/>
      <c r="CW120" s="634"/>
      <c r="CX120" s="102"/>
      <c r="CY120" s="784"/>
      <c r="CZ120" s="784"/>
      <c r="DA120" s="784"/>
      <c r="DB120" s="784"/>
      <c r="DC120" s="784"/>
      <c r="DD120" s="784"/>
      <c r="DE120" s="634"/>
      <c r="DF120" s="784"/>
      <c r="DG120" s="634"/>
      <c r="DH120" s="296"/>
      <c r="DI120" s="802"/>
      <c r="DJ120" s="785"/>
      <c r="DK120" s="771"/>
      <c r="DL120" s="772"/>
      <c r="DM120" s="787"/>
      <c r="DN120" s="787"/>
      <c r="DO120" s="787"/>
      <c r="DP120" s="787"/>
      <c r="DQ120" s="787"/>
      <c r="DR120" s="787"/>
      <c r="DS120" s="787"/>
      <c r="DT120" s="787"/>
      <c r="DU120" s="787"/>
      <c r="DV120" s="787"/>
      <c r="DW120" s="802"/>
      <c r="DX120" s="788"/>
      <c r="DY120" s="2246"/>
      <c r="DZ120" s="2288"/>
      <c r="EA120" s="2231"/>
      <c r="EB120" s="187"/>
      <c r="EC120" s="2232"/>
      <c r="ED120" s="187"/>
      <c r="EE120" s="187"/>
      <c r="EF120" s="2232"/>
      <c r="EG120" s="245"/>
      <c r="EH120" s="2232"/>
      <c r="EI120" s="187"/>
      <c r="EJ120" s="2232"/>
      <c r="EK120" s="187"/>
      <c r="EL120" s="2232"/>
      <c r="EM120" s="195"/>
      <c r="EN120" s="2232"/>
      <c r="EO120" s="195"/>
      <c r="EP120" s="2232"/>
      <c r="EQ120" s="187"/>
      <c r="ER120" s="2232"/>
      <c r="ES120" s="187"/>
      <c r="ET120" s="2232"/>
      <c r="EU120" s="187">
        <f t="shared" si="32"/>
        <v>0</v>
      </c>
      <c r="EV120" s="2232"/>
      <c r="EW120" s="245"/>
      <c r="EX120" s="2232"/>
      <c r="EY120" s="195"/>
      <c r="EZ120" s="2232"/>
      <c r="FA120" s="195"/>
      <c r="FB120" s="2232"/>
      <c r="FC120" s="195"/>
      <c r="FD120" s="2232"/>
      <c r="FE120" s="195"/>
      <c r="FF120" s="2232"/>
      <c r="FG120" s="195"/>
      <c r="FH120" s="2232"/>
      <c r="FI120" s="195"/>
      <c r="FJ120" s="2232"/>
      <c r="FK120" s="195"/>
      <c r="FL120" s="2232"/>
      <c r="FM120" s="187"/>
      <c r="FN120" s="2232"/>
      <c r="FO120" s="187"/>
      <c r="FP120" s="2232"/>
      <c r="FQ120" s="187"/>
      <c r="FR120" s="195"/>
      <c r="FS120" s="195"/>
      <c r="FT120" s="789"/>
      <c r="FU120" s="789"/>
      <c r="FV120" s="789"/>
      <c r="FW120" s="789"/>
      <c r="FX120" s="789"/>
      <c r="FY120" s="789"/>
      <c r="FZ120" s="789"/>
      <c r="GA120" s="789"/>
      <c r="GB120" s="2286"/>
      <c r="GC120" s="776"/>
    </row>
    <row r="121" spans="1:202" s="127" customFormat="1" ht="15" customHeight="1">
      <c r="A121" s="2588"/>
      <c r="B121" s="2588">
        <v>44</v>
      </c>
      <c r="C121" s="115" t="s">
        <v>703</v>
      </c>
      <c r="D121" s="115">
        <v>2851</v>
      </c>
      <c r="E121" s="115">
        <v>1</v>
      </c>
      <c r="F121" s="115">
        <v>2028510001</v>
      </c>
      <c r="G121" s="955">
        <v>3082</v>
      </c>
      <c r="H121" s="115" t="s">
        <v>726</v>
      </c>
      <c r="I121" s="119" t="s">
        <v>742</v>
      </c>
      <c r="J121" s="115">
        <v>1</v>
      </c>
      <c r="K121" s="115">
        <v>4</v>
      </c>
      <c r="L121" s="115">
        <v>0</v>
      </c>
      <c r="M121" s="115">
        <v>4.8</v>
      </c>
      <c r="N121" s="117">
        <v>3070</v>
      </c>
      <c r="O121" s="117">
        <v>0</v>
      </c>
      <c r="P121" s="117">
        <v>0</v>
      </c>
      <c r="Q121" s="117">
        <v>3070</v>
      </c>
      <c r="R121" s="120">
        <v>0</v>
      </c>
      <c r="S121" s="764" t="s">
        <v>873</v>
      </c>
      <c r="T121" s="2600">
        <f>SUM(U121:U122)</f>
        <v>0</v>
      </c>
      <c r="U121" s="122">
        <v>0</v>
      </c>
      <c r="V121" s="2600">
        <f>SUM(W121:W122)</f>
        <v>17548</v>
      </c>
      <c r="W121" s="122">
        <v>3070</v>
      </c>
      <c r="X121" s="122"/>
      <c r="Y121" s="122">
        <f>W121-AA121</f>
        <v>0</v>
      </c>
      <c r="Z121" s="2600">
        <f>SUM(AA121:AA122)</f>
        <v>3070</v>
      </c>
      <c r="AA121" s="122">
        <v>3070</v>
      </c>
      <c r="AB121" s="2600">
        <f>SUM(AC121:AC122)</f>
        <v>0</v>
      </c>
      <c r="AC121" s="122">
        <v>0</v>
      </c>
      <c r="AD121" s="2600">
        <f>SUM(AE121:AE122)</f>
        <v>0</v>
      </c>
      <c r="AE121" s="122">
        <v>0</v>
      </c>
      <c r="AF121" s="122">
        <v>0</v>
      </c>
      <c r="AG121" s="122">
        <v>0</v>
      </c>
      <c r="AH121" s="122">
        <v>0</v>
      </c>
      <c r="AI121" s="2600">
        <f>SUM(AJ121:AJ122)</f>
        <v>0</v>
      </c>
      <c r="AJ121" s="122">
        <v>0</v>
      </c>
      <c r="AK121" s="2600">
        <f>SUM(AL121:AL122)</f>
        <v>14478</v>
      </c>
      <c r="AL121" s="122">
        <f>W121-(AA121+AC121+AE121+AH121+AJ121+AM121+AW121+AO121+AQ121+AS121+AU121)</f>
        <v>0</v>
      </c>
      <c r="AM121" s="765">
        <v>0</v>
      </c>
      <c r="AN121" s="2600">
        <f>SUM(AO121:AO122)</f>
        <v>0</v>
      </c>
      <c r="AO121" s="122">
        <v>0</v>
      </c>
      <c r="AP121" s="2600">
        <f>SUM(AQ121:AQ122)</f>
        <v>0</v>
      </c>
      <c r="AQ121" s="122">
        <v>0</v>
      </c>
      <c r="AR121" s="2600">
        <f>SUM(AS121:AS122)</f>
        <v>0</v>
      </c>
      <c r="AS121" s="122">
        <v>0</v>
      </c>
      <c r="AT121" s="2600">
        <f>SUM(AU121:AU122)</f>
        <v>0</v>
      </c>
      <c r="AU121" s="122">
        <v>0</v>
      </c>
      <c r="AV121" s="2600">
        <f>SUM(AW121:AW122)</f>
        <v>0</v>
      </c>
      <c r="AW121" s="122">
        <v>0</v>
      </c>
      <c r="AX121" s="122">
        <v>0</v>
      </c>
      <c r="AY121" s="122">
        <v>0</v>
      </c>
      <c r="AZ121" s="122">
        <v>0</v>
      </c>
      <c r="BA121" s="122">
        <v>0</v>
      </c>
      <c r="BB121" s="122">
        <v>0</v>
      </c>
      <c r="BC121" s="122">
        <v>0</v>
      </c>
      <c r="BD121" s="2600">
        <f>SUM(BE121:BE122)</f>
        <v>17548</v>
      </c>
      <c r="BE121" s="122">
        <f>ROUND(U121+W121,0)</f>
        <v>3070</v>
      </c>
      <c r="BF121" s="2600">
        <f>SUM(BG121:BG122)</f>
        <v>0</v>
      </c>
      <c r="BG121" s="122">
        <f>ROUND(U121/'[1]Projected Development Sites'!DF$134,0)</f>
        <v>0</v>
      </c>
      <c r="BH121" s="2600">
        <f>SUM(BI121:BI122)</f>
        <v>0</v>
      </c>
      <c r="BI121" s="122">
        <f>'[1]Projected Development Sites'!BG$135*BG121</f>
        <v>0</v>
      </c>
      <c r="BJ121" s="122">
        <f t="shared" si="38"/>
        <v>0</v>
      </c>
      <c r="BK121" s="129">
        <f>ROUND((AL121+AC121+AA121)/1000*3,0)+ROUND((AE121+AU121)/1000,0)+ROUND((ROUND(AH121/400,0))/2.67,0)+ROUND(AJ121/250,0)+ROUND(AO121/15000,0)+ROUND((AX121+AY121+AZ121+BB121)/1000*3,0)+ROUND(BG121/25,0)+ROUND(BU121/50,0)</f>
        <v>9</v>
      </c>
      <c r="BL121" s="122">
        <v>0</v>
      </c>
      <c r="BM121" s="122">
        <v>0</v>
      </c>
      <c r="BN121" s="122">
        <f>W121/1000</f>
        <v>3.07</v>
      </c>
      <c r="BO121" s="122">
        <f>AC121/1000</f>
        <v>0</v>
      </c>
      <c r="BP121" s="122">
        <f>((AH121/400)/12)</f>
        <v>0</v>
      </c>
      <c r="BQ121" s="122">
        <f>IFERROR(VLOOKUP(F121,#REF!,3,FALSE),0)</f>
        <v>0</v>
      </c>
      <c r="BR121" s="122">
        <v>0</v>
      </c>
      <c r="BS121" s="122">
        <f>IF(BB121&gt;0,"Calculate",0)</f>
        <v>0</v>
      </c>
      <c r="BT121" s="2600">
        <f>SUM(BU121:BU122)</f>
        <v>17.547999999999998</v>
      </c>
      <c r="BU121" s="122">
        <f>SUM(BL121:BS121)</f>
        <v>3.07</v>
      </c>
      <c r="BV121" s="122">
        <v>15</v>
      </c>
      <c r="BW121" s="956" t="s">
        <v>774</v>
      </c>
      <c r="BX121" s="127">
        <v>5.6</v>
      </c>
      <c r="BY121" s="127">
        <v>2</v>
      </c>
      <c r="BZ121" s="127">
        <v>4.2</v>
      </c>
      <c r="CA121" s="767" t="s">
        <v>706</v>
      </c>
      <c r="CB121" s="2596" t="s">
        <v>843</v>
      </c>
      <c r="CC121" s="768">
        <f>(BX121*G121)-CF121</f>
        <v>14189.199999999997</v>
      </c>
      <c r="CD121" s="2731">
        <f>SUM(CC121:CC122)</f>
        <v>73697.199999999983</v>
      </c>
      <c r="CE121" s="2600">
        <f>SUM(CF121:CF122)</f>
        <v>13718.8</v>
      </c>
      <c r="CF121" s="838">
        <f>W121</f>
        <v>3070</v>
      </c>
      <c r="CG121" s="2600">
        <f>SUM(CH121:CH122)</f>
        <v>10648.8</v>
      </c>
      <c r="CH121" s="838">
        <f>CF121-CJ121</f>
        <v>0</v>
      </c>
      <c r="CI121" s="2600">
        <f>SUM(CJ121:CJ122)</f>
        <v>3070</v>
      </c>
      <c r="CJ121" s="122">
        <v>3070</v>
      </c>
      <c r="CK121" s="2600">
        <f>SUM(CL121:CL122)</f>
        <v>0</v>
      </c>
      <c r="CL121" s="122">
        <v>0</v>
      </c>
      <c r="CM121" s="2600">
        <f>SUM(CN121:CN122)</f>
        <v>10648.8</v>
      </c>
      <c r="CN121" s="122">
        <f>CF121-(CJ121+CL121+CO121+CP121+CR121+CU121+CV121+CX121)</f>
        <v>0</v>
      </c>
      <c r="CO121" s="770">
        <v>0</v>
      </c>
      <c r="CP121" s="770">
        <v>0</v>
      </c>
      <c r="CQ121" s="2600">
        <f>SUM(CR121:CR122)</f>
        <v>0</v>
      </c>
      <c r="CR121" s="122">
        <v>0</v>
      </c>
      <c r="CS121" s="770">
        <v>0</v>
      </c>
      <c r="CT121" s="770">
        <v>0</v>
      </c>
      <c r="CU121" s="770">
        <v>0</v>
      </c>
      <c r="CV121" s="770">
        <v>0</v>
      </c>
      <c r="CW121" s="2600">
        <f>SUM(CX121:CX122)</f>
        <v>0</v>
      </c>
      <c r="CX121" s="122">
        <v>0</v>
      </c>
      <c r="CY121" s="770">
        <v>0</v>
      </c>
      <c r="CZ121" s="770">
        <v>0</v>
      </c>
      <c r="DA121" s="770">
        <v>0</v>
      </c>
      <c r="DB121" s="770">
        <v>0</v>
      </c>
      <c r="DC121" s="770">
        <v>0</v>
      </c>
      <c r="DD121" s="770"/>
      <c r="DE121" s="2600">
        <f>SUM(DF121:DF122)</f>
        <v>87415.999999999985</v>
      </c>
      <c r="DF121" s="770">
        <f>CC121+CF121</f>
        <v>17259.199999999997</v>
      </c>
      <c r="DG121" s="2600">
        <f>SUM(DH121:DH122)</f>
        <v>73.697199999999981</v>
      </c>
      <c r="DH121" s="122">
        <f>CC121/1000</f>
        <v>14.189199999999998</v>
      </c>
      <c r="DI121" s="2722">
        <f>SUM(DJ121:DJ122)</f>
        <v>73.697199999999981</v>
      </c>
      <c r="DJ121" s="765">
        <f>'[1]Projected Development Sites'!DK$136*DH121</f>
        <v>14.189199999999998</v>
      </c>
      <c r="DK121" s="771">
        <f>3.06*DH121</f>
        <v>43.418951999999997</v>
      </c>
      <c r="DL121" s="957">
        <f>ROUND((CN121+CL121+CJ121)/1000*3,0)+ROUND((ROUND(CP121/400,0))/2.67,0)+ROUND(CV121/1000,0)+ROUND((CY121+CZ121+DA121+DC121)/1000*3,0)+ROUND(DH121/25,0)+ROUND(DX121/50,0)</f>
        <v>10</v>
      </c>
      <c r="DM121" s="2290">
        <v>0</v>
      </c>
      <c r="DN121" s="2290">
        <v>0</v>
      </c>
      <c r="DO121" s="765">
        <v>0</v>
      </c>
      <c r="DP121" s="765">
        <f>DJ121*0.25</f>
        <v>3.5472999999999995</v>
      </c>
      <c r="DQ121" s="765">
        <f>ROUND((CN121+CO121+CJ121+CR121+CU121)/1000,0)</f>
        <v>3</v>
      </c>
      <c r="DR121" s="765">
        <f>CL121/1000</f>
        <v>0</v>
      </c>
      <c r="DS121" s="765">
        <f>((CP121/400)/12)</f>
        <v>0</v>
      </c>
      <c r="DT121" s="765">
        <v>0</v>
      </c>
      <c r="DU121" s="765">
        <v>0</v>
      </c>
      <c r="DV121" s="765">
        <f>CX121/1000</f>
        <v>0</v>
      </c>
      <c r="DW121" s="2722">
        <f>SUM(DX121:DX122)</f>
        <v>14</v>
      </c>
      <c r="DX121" s="774">
        <f>DN121+DO121+DQ121+DR121+DS121+DT121+DU121+DV121</f>
        <v>3</v>
      </c>
      <c r="DY121" s="2690">
        <v>145</v>
      </c>
      <c r="DZ121" s="2728">
        <f>CD121-T121</f>
        <v>73697.199999999983</v>
      </c>
      <c r="EA121" s="2602">
        <f>CE121-V121</f>
        <v>-3829.2000000000007</v>
      </c>
      <c r="EB121" s="187">
        <f>CF121-W121</f>
        <v>0</v>
      </c>
      <c r="EC121" s="2602">
        <f>SUM(ED121:ED122)</f>
        <v>-3829.2000000000007</v>
      </c>
      <c r="ED121" s="187">
        <v>0</v>
      </c>
      <c r="EE121" s="187">
        <f>(SUM(CJ121:CO121))-(SUM(AA121:AE121,AL121))</f>
        <v>10648.8</v>
      </c>
      <c r="EF121" s="2602">
        <f>SUM(EG121:EG122)</f>
        <v>-3829.2000000000007</v>
      </c>
      <c r="EG121" s="245">
        <v>0</v>
      </c>
      <c r="EH121" s="2602">
        <f>SUM(EI121:EI122)</f>
        <v>0</v>
      </c>
      <c r="EI121" s="187">
        <f>CL121-AC121</f>
        <v>0</v>
      </c>
      <c r="EJ121" s="2602">
        <f>SUM(EK121:EK122)</f>
        <v>0</v>
      </c>
      <c r="EK121" s="187">
        <f>CJ121-AA121</f>
        <v>0</v>
      </c>
      <c r="EL121" s="2602">
        <f>SUM(EM121:EM122)</f>
        <v>0</v>
      </c>
      <c r="EM121" s="187">
        <f>CO121-AE121</f>
        <v>0</v>
      </c>
      <c r="EN121" s="2602">
        <f>SUM(EO121:EO122)</f>
        <v>0</v>
      </c>
      <c r="EO121" s="187">
        <f>CP121-AH121</f>
        <v>0</v>
      </c>
      <c r="EP121" s="2602">
        <f>SUM(EQ121:EQ122)</f>
        <v>0</v>
      </c>
      <c r="EQ121" s="187">
        <f>CR121-AJ121</f>
        <v>0</v>
      </c>
      <c r="ER121" s="2602">
        <f>SUM(ES121:ES122)</f>
        <v>0</v>
      </c>
      <c r="ES121" s="187">
        <f>CS121-AO121</f>
        <v>0</v>
      </c>
      <c r="ET121" s="2602">
        <f>SUM(EU121:EU122)</f>
        <v>0</v>
      </c>
      <c r="EU121" s="187">
        <f t="shared" si="32"/>
        <v>0</v>
      </c>
      <c r="EV121" s="2602">
        <f>SUM(EW121:EW122)</f>
        <v>0</v>
      </c>
      <c r="EW121" s="187">
        <f>CU121-AS121</f>
        <v>0</v>
      </c>
      <c r="EX121" s="2602">
        <f>SUM(EY121:EY122)</f>
        <v>0</v>
      </c>
      <c r="EY121" s="187">
        <f>CV121-AU121</f>
        <v>0</v>
      </c>
      <c r="EZ121" s="2602">
        <f>SUM(FA121:FA122)</f>
        <v>0</v>
      </c>
      <c r="FA121" s="187">
        <f>CY121-AX121</f>
        <v>0</v>
      </c>
      <c r="FB121" s="2602">
        <f>SUM(FC121:FC122)</f>
        <v>0</v>
      </c>
      <c r="FC121" s="187">
        <f>CZ121-AY121</f>
        <v>0</v>
      </c>
      <c r="FD121" s="2602">
        <f>SUM(FE121:FE122)</f>
        <v>0</v>
      </c>
      <c r="FE121" s="187">
        <f>DA121-AZ121</f>
        <v>0</v>
      </c>
      <c r="FF121" s="2602">
        <f>SUM(FG121:FG122)</f>
        <v>0</v>
      </c>
      <c r="FG121" s="187">
        <f>DB121-BA121</f>
        <v>0</v>
      </c>
      <c r="FH121" s="2602">
        <f>SUM(FI121:FI122)</f>
        <v>0</v>
      </c>
      <c r="FI121" s="187">
        <f>DC121-BB121</f>
        <v>0</v>
      </c>
      <c r="FJ121" s="2602">
        <f>SUM(FK121:FK122)</f>
        <v>0</v>
      </c>
      <c r="FK121" s="187">
        <f>CX121-AW121</f>
        <v>0</v>
      </c>
      <c r="FL121" s="2602">
        <f>SUM(FM121:FM122)</f>
        <v>69867.999999999985</v>
      </c>
      <c r="FM121" s="187">
        <f>DF121-BE121</f>
        <v>14189.199999999997</v>
      </c>
      <c r="FN121" s="2602">
        <f>SUM(FO121:FO122)</f>
        <v>73.697199999999981</v>
      </c>
      <c r="FO121" s="187">
        <f>DH121-BG121</f>
        <v>14.189199999999998</v>
      </c>
      <c r="FP121" s="2602">
        <f>SUM(FQ121:FQ122)</f>
        <v>73.697199999999981</v>
      </c>
      <c r="FQ121" s="187">
        <f t="shared" ref="FQ121:FT122" si="48">DJ121-BI121</f>
        <v>14.189199999999998</v>
      </c>
      <c r="FR121" s="187">
        <f t="shared" si="48"/>
        <v>43.418951999999997</v>
      </c>
      <c r="FS121" s="187">
        <f t="shared" si="48"/>
        <v>1</v>
      </c>
      <c r="FT121" s="775">
        <f t="shared" si="48"/>
        <v>0</v>
      </c>
      <c r="FU121" s="775">
        <f>DR121-BO121</f>
        <v>0</v>
      </c>
      <c r="FV121" s="775"/>
      <c r="FW121" s="775">
        <f>DQ121-BN121</f>
        <v>-6.999999999999984E-2</v>
      </c>
      <c r="FX121" s="775">
        <f t="shared" ref="FX121:GA122" si="49">DS121-BP121</f>
        <v>0</v>
      </c>
      <c r="FY121" s="775">
        <f t="shared" si="49"/>
        <v>0</v>
      </c>
      <c r="FZ121" s="775">
        <f t="shared" si="49"/>
        <v>0</v>
      </c>
      <c r="GA121" s="775">
        <f t="shared" si="49"/>
        <v>0</v>
      </c>
      <c r="GB121" s="2734">
        <f>SUM(GC121:GC122)</f>
        <v>-3.5479999999999996</v>
      </c>
      <c r="GC121" s="776">
        <f t="shared" si="33"/>
        <v>-6.999999999999984E-2</v>
      </c>
      <c r="GD121" s="139"/>
      <c r="GE121" s="139"/>
      <c r="GF121" s="139"/>
      <c r="GG121" s="139"/>
      <c r="GH121" s="139"/>
      <c r="GI121" s="139"/>
      <c r="GJ121" s="139"/>
      <c r="GK121" s="139"/>
      <c r="GL121" s="139"/>
      <c r="GM121" s="139"/>
      <c r="GN121" s="139"/>
      <c r="GO121" s="139"/>
      <c r="GP121" s="139"/>
      <c r="GQ121" s="139"/>
      <c r="GR121" s="139"/>
      <c r="GS121" s="139"/>
      <c r="GT121" s="139"/>
    </row>
    <row r="122" spans="1:202" s="81" customFormat="1" ht="15" customHeight="1">
      <c r="A122" s="2589"/>
      <c r="B122" s="2589"/>
      <c r="C122" s="66" t="s">
        <v>710</v>
      </c>
      <c r="D122" s="66">
        <v>2851</v>
      </c>
      <c r="E122" s="66">
        <v>2</v>
      </c>
      <c r="F122" s="66">
        <v>2028510002</v>
      </c>
      <c r="G122" s="958">
        <v>12528</v>
      </c>
      <c r="H122" s="66" t="s">
        <v>726</v>
      </c>
      <c r="I122" s="70" t="s">
        <v>742</v>
      </c>
      <c r="J122" s="66">
        <v>1.1599999999999999</v>
      </c>
      <c r="K122" s="66">
        <v>4</v>
      </c>
      <c r="L122" s="66">
        <v>0</v>
      </c>
      <c r="M122" s="66">
        <v>4.8</v>
      </c>
      <c r="N122" s="68">
        <v>14478</v>
      </c>
      <c r="O122" s="68">
        <v>0</v>
      </c>
      <c r="P122" s="68">
        <v>0</v>
      </c>
      <c r="Q122" s="68">
        <v>14478</v>
      </c>
      <c r="R122" s="71">
        <v>0</v>
      </c>
      <c r="S122" s="791" t="s">
        <v>637</v>
      </c>
      <c r="T122" s="2601"/>
      <c r="U122" s="74">
        <v>0</v>
      </c>
      <c r="V122" s="2601"/>
      <c r="W122" s="74">
        <v>14478</v>
      </c>
      <c r="X122" s="74"/>
      <c r="Y122" s="74">
        <f>W122-AA122</f>
        <v>14478</v>
      </c>
      <c r="Z122" s="2601"/>
      <c r="AA122" s="74">
        <v>0</v>
      </c>
      <c r="AB122" s="2601"/>
      <c r="AC122" s="74">
        <v>0</v>
      </c>
      <c r="AD122" s="2601"/>
      <c r="AE122" s="74">
        <v>0</v>
      </c>
      <c r="AF122" s="74">
        <v>0</v>
      </c>
      <c r="AG122" s="74">
        <v>0</v>
      </c>
      <c r="AH122" s="74">
        <v>0</v>
      </c>
      <c r="AI122" s="2601"/>
      <c r="AJ122" s="74">
        <v>0</v>
      </c>
      <c r="AK122" s="2601"/>
      <c r="AL122" s="74">
        <f>W122-(AA122+AC122+AE122+AH122+AJ122+AM122+AW122+AO122+AQ122+AS122+AU122)</f>
        <v>14478</v>
      </c>
      <c r="AM122" s="792">
        <v>0</v>
      </c>
      <c r="AN122" s="2601"/>
      <c r="AO122" s="74">
        <v>0</v>
      </c>
      <c r="AP122" s="2601"/>
      <c r="AQ122" s="74">
        <v>0</v>
      </c>
      <c r="AR122" s="2601"/>
      <c r="AS122" s="74">
        <v>0</v>
      </c>
      <c r="AT122" s="2601"/>
      <c r="AU122" s="74">
        <v>0</v>
      </c>
      <c r="AV122" s="2601"/>
      <c r="AW122" s="74">
        <v>0</v>
      </c>
      <c r="AX122" s="74">
        <v>0</v>
      </c>
      <c r="AY122" s="74">
        <v>0</v>
      </c>
      <c r="AZ122" s="74">
        <v>0</v>
      </c>
      <c r="BA122" s="74">
        <v>0</v>
      </c>
      <c r="BB122" s="74">
        <v>0</v>
      </c>
      <c r="BC122" s="74">
        <v>0</v>
      </c>
      <c r="BD122" s="2601"/>
      <c r="BE122" s="74">
        <f>ROUND(U122+W122,0)</f>
        <v>14478</v>
      </c>
      <c r="BF122" s="2601"/>
      <c r="BG122" s="74">
        <f>ROUND(U122/'[1]Projected Development Sites'!DF$134,0)</f>
        <v>0</v>
      </c>
      <c r="BH122" s="2601"/>
      <c r="BI122" s="74">
        <f>'[1]Projected Development Sites'!BG$135*BG122</f>
        <v>0</v>
      </c>
      <c r="BJ122" s="74">
        <f t="shared" si="38"/>
        <v>0</v>
      </c>
      <c r="BK122" s="88">
        <f>ROUND((AL122+AC122+AA122)/1000*3,0)+ROUND((AE122+AU122)/1000,0)+ROUND((ROUND(AH122/400,0))/2.67,0)+ROUND(AJ122/250,0)+ROUND(AO122/15000,0)+ROUND((AX122+AY122+AZ122+BB122)/1000*3,0)+ROUND(BG122/25,0)+ROUND(BU122/50,0)</f>
        <v>43</v>
      </c>
      <c r="BL122" s="74">
        <v>0</v>
      </c>
      <c r="BM122" s="74">
        <v>0</v>
      </c>
      <c r="BN122" s="74">
        <f>W122/1000</f>
        <v>14.478</v>
      </c>
      <c r="BO122" s="74">
        <f>AC122/1000</f>
        <v>0</v>
      </c>
      <c r="BP122" s="74">
        <f>((AH122/400)/12)</f>
        <v>0</v>
      </c>
      <c r="BQ122" s="74">
        <f>IFERROR(VLOOKUP(F122,#REF!,3,FALSE),0)</f>
        <v>0</v>
      </c>
      <c r="BR122" s="74">
        <v>0</v>
      </c>
      <c r="BS122" s="74">
        <f>IF(BB122&gt;0,"Calculate",0)</f>
        <v>0</v>
      </c>
      <c r="BT122" s="2601"/>
      <c r="BU122" s="74">
        <f>SUM(BL122:BS122)</f>
        <v>14.478</v>
      </c>
      <c r="BV122" s="74">
        <v>15</v>
      </c>
      <c r="BW122" s="959" t="s">
        <v>774</v>
      </c>
      <c r="BX122" s="81">
        <v>5.6</v>
      </c>
      <c r="BY122" s="81">
        <v>2</v>
      </c>
      <c r="BZ122" s="81">
        <v>4.2</v>
      </c>
      <c r="CA122" s="794" t="s">
        <v>706</v>
      </c>
      <c r="CB122" s="2597"/>
      <c r="CC122" s="795">
        <f>(BX122*G122)-CF122</f>
        <v>59507.999999999985</v>
      </c>
      <c r="CD122" s="2733"/>
      <c r="CE122" s="2601"/>
      <c r="CF122" s="843">
        <f>1*(G122)-(0.15*1*(G122))</f>
        <v>10648.8</v>
      </c>
      <c r="CG122" s="2601"/>
      <c r="CH122" s="796">
        <f>CF122-CJ122</f>
        <v>10648.8</v>
      </c>
      <c r="CI122" s="2601"/>
      <c r="CJ122" s="74">
        <v>0</v>
      </c>
      <c r="CK122" s="2601"/>
      <c r="CL122" s="74">
        <v>0</v>
      </c>
      <c r="CM122" s="2601"/>
      <c r="CN122" s="797">
        <f>CF122-(CJ122+CL122+CO122+CP122+CR122+CU122+CV122+CX122)</f>
        <v>10648.8</v>
      </c>
      <c r="CO122" s="797">
        <v>0</v>
      </c>
      <c r="CP122" s="797">
        <v>0</v>
      </c>
      <c r="CQ122" s="2601"/>
      <c r="CR122" s="74">
        <v>0</v>
      </c>
      <c r="CS122" s="797">
        <v>0</v>
      </c>
      <c r="CT122" s="797">
        <v>0</v>
      </c>
      <c r="CU122" s="797">
        <v>0</v>
      </c>
      <c r="CV122" s="797">
        <v>0</v>
      </c>
      <c r="CW122" s="2601"/>
      <c r="CX122" s="74">
        <v>0</v>
      </c>
      <c r="CY122" s="797">
        <v>0</v>
      </c>
      <c r="CZ122" s="797">
        <v>0</v>
      </c>
      <c r="DA122" s="797">
        <v>0</v>
      </c>
      <c r="DB122" s="797">
        <v>0</v>
      </c>
      <c r="DC122" s="797">
        <v>0</v>
      </c>
      <c r="DD122" s="797"/>
      <c r="DE122" s="2601"/>
      <c r="DF122" s="797">
        <f>CC122+CF122</f>
        <v>70156.799999999988</v>
      </c>
      <c r="DG122" s="2601"/>
      <c r="DH122" s="74">
        <f>CC122/1000</f>
        <v>59.507999999999988</v>
      </c>
      <c r="DI122" s="2724"/>
      <c r="DJ122" s="792">
        <f>'[1]Projected Development Sites'!DK$136*DH122</f>
        <v>59.507999999999988</v>
      </c>
      <c r="DK122" s="798">
        <f>3.06*DH122</f>
        <v>182.09447999999998</v>
      </c>
      <c r="DL122" s="960">
        <f>ROUND((CN122+CL122+CJ122)/1000*3,0)+ROUND((ROUND(CP122/400,0))/2.67,0)+ROUND(CV122/1000,0)+ROUND((CY122+CZ122+DA122+DC122)/1000*3,0)+ROUND(DH122/25,0)+ROUND(DX122/50,0)</f>
        <v>34</v>
      </c>
      <c r="DM122" s="2291">
        <v>0</v>
      </c>
      <c r="DN122" s="2291">
        <v>0</v>
      </c>
      <c r="DO122" s="792">
        <v>0</v>
      </c>
      <c r="DP122" s="792">
        <f>DJ122*0.25</f>
        <v>14.876999999999997</v>
      </c>
      <c r="DQ122" s="792">
        <f>ROUND((CN122+CO122+CJ122+CR122+CU122)/1000,0)</f>
        <v>11</v>
      </c>
      <c r="DR122" s="792">
        <f>CL122/1000</f>
        <v>0</v>
      </c>
      <c r="DS122" s="792">
        <f>((CP122/400)/12)</f>
        <v>0</v>
      </c>
      <c r="DT122" s="792">
        <v>0</v>
      </c>
      <c r="DU122" s="792">
        <v>0</v>
      </c>
      <c r="DV122" s="792">
        <f>CX122/1000</f>
        <v>0</v>
      </c>
      <c r="DW122" s="2724"/>
      <c r="DX122" s="800">
        <f>DN122+DO122+DQ122+DR122+DS122+DT122+DU122+DV122</f>
        <v>11</v>
      </c>
      <c r="DY122" s="2692"/>
      <c r="DZ122" s="2730"/>
      <c r="EA122" s="2603"/>
      <c r="EB122" s="195">
        <f>CF122-W122</f>
        <v>-3829.2000000000007</v>
      </c>
      <c r="EC122" s="2603"/>
      <c r="ED122" s="190">
        <v>-3829.2000000000007</v>
      </c>
      <c r="EE122" s="195">
        <f>(SUM(CJ122:CO122))-(SUM(AA122:AE122,AL122))</f>
        <v>-3829.2000000000007</v>
      </c>
      <c r="EF122" s="2603"/>
      <c r="EG122" s="245">
        <v>-3829.2000000000007</v>
      </c>
      <c r="EH122" s="2603"/>
      <c r="EI122" s="195">
        <f>CL122-AC122</f>
        <v>0</v>
      </c>
      <c r="EJ122" s="2603"/>
      <c r="EK122" s="195">
        <f>CJ122-AA122</f>
        <v>0</v>
      </c>
      <c r="EL122" s="2603"/>
      <c r="EM122" s="190">
        <f>CO122-AE122</f>
        <v>0</v>
      </c>
      <c r="EN122" s="2603"/>
      <c r="EO122" s="190">
        <f>CP122-AH122</f>
        <v>0</v>
      </c>
      <c r="EP122" s="2603"/>
      <c r="EQ122" s="190">
        <f>CR122-AJ122</f>
        <v>0</v>
      </c>
      <c r="ER122" s="2603"/>
      <c r="ES122" s="190">
        <f>CS122-AO122</f>
        <v>0</v>
      </c>
      <c r="ET122" s="2603"/>
      <c r="EU122" s="190">
        <f t="shared" si="32"/>
        <v>0</v>
      </c>
      <c r="EV122" s="2603"/>
      <c r="EW122" s="190">
        <f>CU122-AS122</f>
        <v>0</v>
      </c>
      <c r="EX122" s="2603"/>
      <c r="EY122" s="190">
        <f>CV122-AU122</f>
        <v>0</v>
      </c>
      <c r="EZ122" s="2603"/>
      <c r="FA122" s="190">
        <f>CY122-AX122</f>
        <v>0</v>
      </c>
      <c r="FB122" s="2603"/>
      <c r="FC122" s="190">
        <f>CZ122-AY122</f>
        <v>0</v>
      </c>
      <c r="FD122" s="2603"/>
      <c r="FE122" s="190">
        <f>DA122-AZ122</f>
        <v>0</v>
      </c>
      <c r="FF122" s="2603"/>
      <c r="FG122" s="190">
        <f>DB122-BA122</f>
        <v>0</v>
      </c>
      <c r="FH122" s="2603"/>
      <c r="FI122" s="190">
        <f>DC122-BB122</f>
        <v>0</v>
      </c>
      <c r="FJ122" s="2603"/>
      <c r="FK122" s="190">
        <f>CX122-AW122</f>
        <v>0</v>
      </c>
      <c r="FL122" s="2603"/>
      <c r="FM122" s="195">
        <f>DF122-BE122</f>
        <v>55678.799999999988</v>
      </c>
      <c r="FN122" s="2603"/>
      <c r="FO122" s="195">
        <f>DH122-BG122</f>
        <v>59.507999999999988</v>
      </c>
      <c r="FP122" s="2603"/>
      <c r="FQ122" s="195">
        <f t="shared" si="48"/>
        <v>59.507999999999988</v>
      </c>
      <c r="FR122" s="190">
        <f t="shared" si="48"/>
        <v>182.09447999999998</v>
      </c>
      <c r="FS122" s="190">
        <f t="shared" si="48"/>
        <v>-9</v>
      </c>
      <c r="FT122" s="801">
        <f t="shared" si="48"/>
        <v>0</v>
      </c>
      <c r="FU122" s="801">
        <f>DR122-BO122</f>
        <v>0</v>
      </c>
      <c r="FV122" s="801"/>
      <c r="FW122" s="801">
        <f>DQ122-BN122</f>
        <v>-3.4779999999999998</v>
      </c>
      <c r="FX122" s="801">
        <f t="shared" si="49"/>
        <v>0</v>
      </c>
      <c r="FY122" s="801">
        <f t="shared" si="49"/>
        <v>0</v>
      </c>
      <c r="FZ122" s="801">
        <f t="shared" si="49"/>
        <v>0</v>
      </c>
      <c r="GA122" s="801">
        <f t="shared" si="49"/>
        <v>0</v>
      </c>
      <c r="GB122" s="2736"/>
      <c r="GC122" s="845">
        <f t="shared" si="33"/>
        <v>-3.4779999999999998</v>
      </c>
      <c r="GD122" s="139"/>
      <c r="GE122" s="139"/>
      <c r="GF122" s="139"/>
      <c r="GG122" s="139"/>
      <c r="GH122" s="139"/>
      <c r="GI122" s="139"/>
      <c r="GJ122" s="139"/>
      <c r="GK122" s="139"/>
      <c r="GL122" s="139"/>
      <c r="GM122" s="139"/>
      <c r="GN122" s="139"/>
      <c r="GO122" s="139"/>
      <c r="GP122" s="139"/>
      <c r="GQ122" s="139"/>
      <c r="GR122" s="139"/>
      <c r="GS122" s="139"/>
      <c r="GT122" s="139"/>
    </row>
    <row r="123" spans="1:202" s="139" customFormat="1" ht="18.75">
      <c r="A123" s="2263"/>
      <c r="B123" s="2263"/>
      <c r="C123" s="132"/>
      <c r="D123" s="132"/>
      <c r="E123" s="132"/>
      <c r="F123" s="777"/>
      <c r="G123" s="137"/>
      <c r="H123" s="132"/>
      <c r="I123" s="136"/>
      <c r="J123" s="132"/>
      <c r="K123" s="132"/>
      <c r="L123" s="132"/>
      <c r="M123" s="132"/>
      <c r="N123" s="134"/>
      <c r="O123" s="134"/>
      <c r="P123" s="134"/>
      <c r="Q123" s="134"/>
      <c r="R123" s="137"/>
      <c r="S123" s="778"/>
      <c r="T123" s="634"/>
      <c r="U123" s="102"/>
      <c r="V123" s="634"/>
      <c r="W123" s="102"/>
      <c r="X123" s="102"/>
      <c r="Y123" s="102"/>
      <c r="Z123" s="634"/>
      <c r="AA123" s="102"/>
      <c r="AB123" s="634"/>
      <c r="AC123" s="102"/>
      <c r="AD123" s="634"/>
      <c r="AE123" s="102"/>
      <c r="AF123" s="102"/>
      <c r="AG123" s="102"/>
      <c r="AH123" s="102"/>
      <c r="AI123" s="634"/>
      <c r="AJ123" s="102"/>
      <c r="AK123" s="634"/>
      <c r="AL123" s="102"/>
      <c r="AM123" s="779"/>
      <c r="AN123" s="634"/>
      <c r="AO123" s="102"/>
      <c r="AP123" s="634"/>
      <c r="AQ123" s="102"/>
      <c r="AR123" s="634"/>
      <c r="AS123" s="102"/>
      <c r="AT123" s="634"/>
      <c r="AU123" s="102"/>
      <c r="AV123" s="634"/>
      <c r="AW123" s="102"/>
      <c r="AX123" s="102"/>
      <c r="AY123" s="102"/>
      <c r="AZ123" s="102"/>
      <c r="BA123" s="102"/>
      <c r="BB123" s="102"/>
      <c r="BC123" s="102"/>
      <c r="BD123" s="634"/>
      <c r="BE123" s="102"/>
      <c r="BF123" s="634"/>
      <c r="BG123" s="102"/>
      <c r="BH123" s="634"/>
      <c r="BI123" s="102"/>
      <c r="BJ123" s="122"/>
      <c r="BK123" s="186"/>
      <c r="BL123" s="102"/>
      <c r="BM123" s="102"/>
      <c r="BN123" s="102"/>
      <c r="BO123" s="102"/>
      <c r="BP123" s="102"/>
      <c r="BQ123" s="102"/>
      <c r="BR123" s="102"/>
      <c r="BS123" s="102"/>
      <c r="BT123" s="634"/>
      <c r="BU123" s="102"/>
      <c r="BW123" s="780"/>
      <c r="CA123" s="781"/>
      <c r="CB123" s="2258"/>
      <c r="CC123" s="782"/>
      <c r="CD123" s="782"/>
      <c r="CE123" s="634"/>
      <c r="CF123" s="840"/>
      <c r="CG123" s="634"/>
      <c r="CH123" s="783"/>
      <c r="CI123" s="634"/>
      <c r="CK123" s="634"/>
      <c r="CM123" s="634"/>
      <c r="CN123" s="784"/>
      <c r="CO123" s="784"/>
      <c r="CP123" s="784"/>
      <c r="CQ123" s="634"/>
      <c r="CR123" s="102"/>
      <c r="CS123" s="784"/>
      <c r="CT123" s="784"/>
      <c r="CU123" s="784"/>
      <c r="CV123" s="784"/>
      <c r="CW123" s="634"/>
      <c r="CX123" s="784"/>
      <c r="CY123" s="784"/>
      <c r="CZ123" s="784"/>
      <c r="DA123" s="784"/>
      <c r="DB123" s="784"/>
      <c r="DC123" s="784"/>
      <c r="DD123" s="784"/>
      <c r="DE123" s="634"/>
      <c r="DF123" s="784"/>
      <c r="DG123" s="634"/>
      <c r="DH123" s="296"/>
      <c r="DI123" s="802"/>
      <c r="DJ123" s="785"/>
      <c r="DK123" s="771"/>
      <c r="DL123" s="786"/>
      <c r="DM123" s="787"/>
      <c r="DN123" s="787"/>
      <c r="DO123" s="787"/>
      <c r="DP123" s="787"/>
      <c r="DQ123" s="787"/>
      <c r="DR123" s="787"/>
      <c r="DS123" s="787"/>
      <c r="DT123" s="787"/>
      <c r="DU123" s="787"/>
      <c r="DV123" s="787"/>
      <c r="DW123" s="802"/>
      <c r="DX123" s="788"/>
      <c r="DY123" s="634"/>
      <c r="DZ123" s="2288"/>
      <c r="EA123" s="2231"/>
      <c r="EB123" s="187"/>
      <c r="EC123" s="2232"/>
      <c r="ED123" s="187"/>
      <c r="EE123" s="187"/>
      <c r="EF123" s="2232"/>
      <c r="EG123" s="245"/>
      <c r="EH123" s="2232"/>
      <c r="EI123" s="187"/>
      <c r="EJ123" s="2232"/>
      <c r="EK123" s="187"/>
      <c r="EL123" s="2232"/>
      <c r="EM123" s="195"/>
      <c r="EN123" s="2232"/>
      <c r="EO123" s="195"/>
      <c r="EP123" s="2232"/>
      <c r="EQ123" s="195"/>
      <c r="ER123" s="2232"/>
      <c r="ES123" s="195"/>
      <c r="ET123" s="2232"/>
      <c r="EU123" s="187">
        <f t="shared" si="32"/>
        <v>0</v>
      </c>
      <c r="EV123" s="2232"/>
      <c r="EW123" s="195"/>
      <c r="EX123" s="2232"/>
      <c r="EY123" s="195"/>
      <c r="EZ123" s="2232"/>
      <c r="FA123" s="195"/>
      <c r="FB123" s="2232"/>
      <c r="FC123" s="195"/>
      <c r="FD123" s="2232"/>
      <c r="FE123" s="195"/>
      <c r="FF123" s="2232"/>
      <c r="FG123" s="195"/>
      <c r="FH123" s="2232"/>
      <c r="FI123" s="195"/>
      <c r="FJ123" s="2232"/>
      <c r="FK123" s="195"/>
      <c r="FL123" s="2232"/>
      <c r="FM123" s="187"/>
      <c r="FN123" s="2232"/>
      <c r="FO123" s="187"/>
      <c r="FP123" s="2232"/>
      <c r="FQ123" s="187"/>
      <c r="FR123" s="195"/>
      <c r="FS123" s="195"/>
      <c r="FT123" s="789"/>
      <c r="FU123" s="789"/>
      <c r="FV123" s="789"/>
      <c r="FW123" s="789"/>
      <c r="FX123" s="789"/>
      <c r="FY123" s="789"/>
      <c r="FZ123" s="789"/>
      <c r="GA123" s="789"/>
      <c r="GB123" s="2289"/>
      <c r="GC123" s="776"/>
    </row>
    <row r="124" spans="1:202" s="878" customFormat="1" ht="25.5">
      <c r="A124" s="216"/>
      <c r="B124" s="216">
        <v>45</v>
      </c>
      <c r="C124" s="869" t="s">
        <v>703</v>
      </c>
      <c r="D124" s="869">
        <v>2850</v>
      </c>
      <c r="E124" s="869">
        <v>9</v>
      </c>
      <c r="F124" s="870">
        <v>2028500009</v>
      </c>
      <c r="G124" s="874">
        <v>15831</v>
      </c>
      <c r="H124" s="869" t="s">
        <v>726</v>
      </c>
      <c r="I124" s="872" t="s">
        <v>706</v>
      </c>
      <c r="J124" s="869">
        <v>0.7</v>
      </c>
      <c r="K124" s="869">
        <v>4</v>
      </c>
      <c r="L124" s="869">
        <v>0</v>
      </c>
      <c r="M124" s="869">
        <v>4.8</v>
      </c>
      <c r="N124" s="873">
        <v>11150</v>
      </c>
      <c r="O124" s="873">
        <v>0</v>
      </c>
      <c r="P124" s="873">
        <v>0</v>
      </c>
      <c r="Q124" s="873">
        <v>11150</v>
      </c>
      <c r="R124" s="874">
        <v>0</v>
      </c>
      <c r="S124" s="875" t="s">
        <v>856</v>
      </c>
      <c r="T124" s="234">
        <f>U124</f>
        <v>0</v>
      </c>
      <c r="U124" s="876">
        <v>0</v>
      </c>
      <c r="V124" s="234">
        <f>W124</f>
        <v>11150</v>
      </c>
      <c r="W124" s="876">
        <f>N124</f>
        <v>11150</v>
      </c>
      <c r="X124" s="876"/>
      <c r="Y124" s="876">
        <f>W124-AA124</f>
        <v>11150</v>
      </c>
      <c r="Z124" s="234">
        <f>AA124</f>
        <v>0</v>
      </c>
      <c r="AA124" s="876">
        <v>0</v>
      </c>
      <c r="AB124" s="234">
        <f>AC124</f>
        <v>3902.4999999999995</v>
      </c>
      <c r="AC124" s="876">
        <f>0.35*W124</f>
        <v>3902.4999999999995</v>
      </c>
      <c r="AD124" s="234">
        <f>AE124</f>
        <v>0</v>
      </c>
      <c r="AE124" s="876">
        <f>AG124+AF124</f>
        <v>0</v>
      </c>
      <c r="AF124" s="876">
        <v>0</v>
      </c>
      <c r="AG124" s="876">
        <v>0</v>
      </c>
      <c r="AH124" s="876">
        <v>0</v>
      </c>
      <c r="AI124" s="234">
        <f>AJ124</f>
        <v>0</v>
      </c>
      <c r="AJ124" s="876">
        <v>0</v>
      </c>
      <c r="AK124" s="234">
        <f>AL124</f>
        <v>5017.5</v>
      </c>
      <c r="AL124" s="876">
        <f>W124-(AA124+AC124+AE124+AH124+AJ124+AM124+AW124+AO124+AQ124+AS124+AU124)</f>
        <v>5017.5</v>
      </c>
      <c r="AM124" s="877">
        <v>0</v>
      </c>
      <c r="AN124" s="234">
        <f>AO124</f>
        <v>0</v>
      </c>
      <c r="AO124" s="876">
        <v>0</v>
      </c>
      <c r="AP124" s="234">
        <f>AQ124</f>
        <v>0</v>
      </c>
      <c r="AQ124" s="876">
        <v>0</v>
      </c>
      <c r="AR124" s="234">
        <f>AS124</f>
        <v>0</v>
      </c>
      <c r="AS124" s="876">
        <v>0</v>
      </c>
      <c r="AT124" s="234">
        <f>AU124</f>
        <v>0</v>
      </c>
      <c r="AU124" s="876">
        <v>0</v>
      </c>
      <c r="AV124" s="234">
        <f>AW124</f>
        <v>2230</v>
      </c>
      <c r="AW124" s="876">
        <f>AX124+AY124+AZ124+BA124+BB124</f>
        <v>2230</v>
      </c>
      <c r="AX124" s="876">
        <f>0.1*W124</f>
        <v>1115</v>
      </c>
      <c r="AY124" s="876">
        <f>0.1*Y124</f>
        <v>1115</v>
      </c>
      <c r="AZ124" s="876">
        <v>0</v>
      </c>
      <c r="BA124" s="876">
        <v>0</v>
      </c>
      <c r="BB124" s="876">
        <v>0</v>
      </c>
      <c r="BC124" s="876">
        <v>0</v>
      </c>
      <c r="BD124" s="234">
        <f>BE124</f>
        <v>11150</v>
      </c>
      <c r="BE124" s="876">
        <f>U124+W124</f>
        <v>11150</v>
      </c>
      <c r="BF124" s="234">
        <f>BG124</f>
        <v>0</v>
      </c>
      <c r="BG124" s="876">
        <f>U124/1000</f>
        <v>0</v>
      </c>
      <c r="BH124" s="234">
        <f>BI124</f>
        <v>0</v>
      </c>
      <c r="BI124" s="876">
        <v>0</v>
      </c>
      <c r="BJ124" s="2260">
        <f t="shared" si="38"/>
        <v>0</v>
      </c>
      <c r="BK124" s="306">
        <f>ROUND((Y124+AC124+AA124)/1000*3,0)+ROUND((AE124+AU124)/1000,0)+ROUND((ROUND(AH124/400,0))/2.67,0)+ROUND(AM124/250,0)+ROUND(AO124/15000,0)+ROUND((AX124+AY124+AZ124+BB124)/1000*3,0)+ROUND(BG124/25,0)+ROUND(BU49/50,0)</f>
        <v>52</v>
      </c>
      <c r="BL124" s="876">
        <v>0</v>
      </c>
      <c r="BM124" s="876">
        <v>0</v>
      </c>
      <c r="BN124" s="876">
        <v>0</v>
      </c>
      <c r="BO124" s="876">
        <f>AC124/1000</f>
        <v>3.9024999999999994</v>
      </c>
      <c r="BP124" s="876">
        <f>AH124/1000</f>
        <v>0</v>
      </c>
      <c r="BQ124" s="876">
        <v>0</v>
      </c>
      <c r="BR124" s="876">
        <v>0</v>
      </c>
      <c r="BS124" s="876">
        <v>0</v>
      </c>
      <c r="BT124" s="234">
        <f>BU124</f>
        <v>3.9024999999999994</v>
      </c>
      <c r="BU124" s="876">
        <f>SUM(BL124:BS124)</f>
        <v>3.9024999999999994</v>
      </c>
      <c r="BV124" s="878">
        <v>15</v>
      </c>
      <c r="BW124" s="879" t="s">
        <v>741</v>
      </c>
      <c r="BX124" s="878">
        <v>7.2</v>
      </c>
      <c r="BY124" s="878">
        <v>2</v>
      </c>
      <c r="BZ124" s="878">
        <v>6.5</v>
      </c>
      <c r="CA124" s="880" t="s">
        <v>706</v>
      </c>
      <c r="CB124" s="881" t="s">
        <v>874</v>
      </c>
      <c r="CC124" s="882">
        <f>(BX124*G124)-CF124</f>
        <v>100526.84999999999</v>
      </c>
      <c r="CD124" s="882">
        <v>100526.84999999999</v>
      </c>
      <c r="CE124" s="234">
        <f>CF124</f>
        <v>13456.35</v>
      </c>
      <c r="CF124" s="883">
        <f>1*(G124)-(0.15*1*(G124))</f>
        <v>13456.35</v>
      </c>
      <c r="CG124" s="234">
        <f>CH124</f>
        <v>13456.35</v>
      </c>
      <c r="CH124" s="961">
        <f>CF124-CJ124</f>
        <v>13456.35</v>
      </c>
      <c r="CI124" s="234">
        <f>CJ124</f>
        <v>0</v>
      </c>
      <c r="CJ124" s="878">
        <v>0</v>
      </c>
      <c r="CK124" s="234">
        <f>CL124</f>
        <v>0</v>
      </c>
      <c r="CL124" s="878">
        <v>0</v>
      </c>
      <c r="CM124" s="234">
        <f>CN124</f>
        <v>11226.35</v>
      </c>
      <c r="CN124" s="884">
        <f>CF124-(CJ124+CL124+CO124+CP124+CR124+CU124+CV124+CX124)</f>
        <v>11226.35</v>
      </c>
      <c r="CO124" s="884">
        <v>0</v>
      </c>
      <c r="CP124" s="884">
        <v>0</v>
      </c>
      <c r="CQ124" s="234">
        <f>CR124</f>
        <v>0</v>
      </c>
      <c r="CR124" s="876">
        <v>0</v>
      </c>
      <c r="CS124" s="884">
        <v>0</v>
      </c>
      <c r="CT124" s="884">
        <v>0</v>
      </c>
      <c r="CU124" s="884">
        <v>0</v>
      </c>
      <c r="CV124" s="884">
        <v>0</v>
      </c>
      <c r="CW124" s="234">
        <f>CX124</f>
        <v>2230</v>
      </c>
      <c r="CX124" s="884">
        <f>SUM(CY124:DC124)</f>
        <v>2230</v>
      </c>
      <c r="CY124" s="884">
        <f>AX124</f>
        <v>1115</v>
      </c>
      <c r="CZ124" s="884">
        <f>AY124</f>
        <v>1115</v>
      </c>
      <c r="DA124" s="884">
        <f>AZ124</f>
        <v>0</v>
      </c>
      <c r="DB124" s="884">
        <f>BA124</f>
        <v>0</v>
      </c>
      <c r="DC124" s="884">
        <f>BB124</f>
        <v>0</v>
      </c>
      <c r="DD124" s="884"/>
      <c r="DE124" s="234">
        <f>DF124</f>
        <v>113983.2</v>
      </c>
      <c r="DF124" s="884">
        <f>CC124+CF124</f>
        <v>113983.2</v>
      </c>
      <c r="DG124" s="234">
        <f>DH124</f>
        <v>100.52685</v>
      </c>
      <c r="DH124" s="885">
        <f>CC124/'[1]Projected Development Sites'!DF$134</f>
        <v>100.52685</v>
      </c>
      <c r="DI124" s="886">
        <f>DJ124</f>
        <v>100.52685</v>
      </c>
      <c r="DJ124" s="887">
        <f>'[1]Projected Development Sites'!DK$136*DH124</f>
        <v>100.52685</v>
      </c>
      <c r="DK124" s="939">
        <f>3.06*DH124</f>
        <v>307.61216100000001</v>
      </c>
      <c r="DL124" s="772">
        <f>ROUND((CN124+CL124+CJ124)/1000*3,0)+ROUND((ROUND(CP124/400,0))/2.67,0)+ROUND(CV124/1000,0)+ROUND((CY124+CZ124+DA124+DC124)/1000*3,0)+ROUND(DH124/25,0)+ROUND(DX124/50,0)</f>
        <v>45</v>
      </c>
      <c r="DM124" s="888">
        <v>0</v>
      </c>
      <c r="DN124" s="888"/>
      <c r="DO124" s="888">
        <v>0</v>
      </c>
      <c r="DP124" s="888">
        <f>0.25*DJ124</f>
        <v>25.131712499999999</v>
      </c>
      <c r="DQ124" s="888">
        <f>SUM(CO124,CJ124,CN124,CR124,CU124)/1000</f>
        <v>11.22635</v>
      </c>
      <c r="DR124" s="888">
        <f>CL124/1000</f>
        <v>0</v>
      </c>
      <c r="DS124" s="888">
        <f>((CP124/400)/12)</f>
        <v>0</v>
      </c>
      <c r="DT124" s="888">
        <v>0</v>
      </c>
      <c r="DU124" s="888">
        <v>0</v>
      </c>
      <c r="DV124" s="888">
        <f>CX124/1000</f>
        <v>2.23</v>
      </c>
      <c r="DW124" s="886">
        <f>DX124</f>
        <v>13.45635</v>
      </c>
      <c r="DX124" s="889">
        <f>SUM(DM124,DO124,DQ124:DV124)</f>
        <v>13.45635</v>
      </c>
      <c r="DY124" s="837">
        <v>145</v>
      </c>
      <c r="DZ124" s="2288">
        <f>CD124-T124</f>
        <v>100526.84999999999</v>
      </c>
      <c r="EA124" s="2231">
        <f>CE124-V124</f>
        <v>2306.3500000000004</v>
      </c>
      <c r="EB124" s="890">
        <f>CF124-W124</f>
        <v>2306.3500000000004</v>
      </c>
      <c r="EC124" s="235">
        <f>ED124</f>
        <v>2306.3500000000004</v>
      </c>
      <c r="ED124" s="890">
        <v>2306.3500000000004</v>
      </c>
      <c r="EE124" s="890">
        <f>(SUM(CJ124:CO124))-(SUM(AA124:AE124,AL124))</f>
        <v>9630.2000000000007</v>
      </c>
      <c r="EF124" s="235">
        <f>EG124</f>
        <v>6208.85</v>
      </c>
      <c r="EG124" s="892">
        <v>6208.85</v>
      </c>
      <c r="EH124" s="235">
        <f>EI124</f>
        <v>-3902.4999999999995</v>
      </c>
      <c r="EI124" s="890">
        <f>CL124-AC124</f>
        <v>-3902.4999999999995</v>
      </c>
      <c r="EJ124" s="235">
        <f>EK124</f>
        <v>0</v>
      </c>
      <c r="EK124" s="890">
        <f>CJ124-AA124</f>
        <v>0</v>
      </c>
      <c r="EL124" s="235">
        <f>EM124</f>
        <v>0</v>
      </c>
      <c r="EM124" s="892">
        <f>CO124-AE124</f>
        <v>0</v>
      </c>
      <c r="EN124" s="235">
        <f>EO124</f>
        <v>0</v>
      </c>
      <c r="EO124" s="892">
        <f>CP124-AH124</f>
        <v>0</v>
      </c>
      <c r="EP124" s="235">
        <f>EQ124</f>
        <v>0</v>
      </c>
      <c r="EQ124" s="890">
        <f>CR124-AJ124</f>
        <v>0</v>
      </c>
      <c r="ER124" s="235">
        <f>ES124</f>
        <v>0</v>
      </c>
      <c r="ES124" s="890">
        <f>CS124-AO124</f>
        <v>0</v>
      </c>
      <c r="ET124" s="235">
        <f>EU124</f>
        <v>0</v>
      </c>
      <c r="EU124" s="890">
        <f t="shared" si="32"/>
        <v>0</v>
      </c>
      <c r="EV124" s="235">
        <f>EW124</f>
        <v>0</v>
      </c>
      <c r="EW124" s="890">
        <f>CU124-AS124</f>
        <v>0</v>
      </c>
      <c r="EX124" s="235">
        <f>EY124</f>
        <v>0</v>
      </c>
      <c r="EY124" s="892">
        <f>CV124-AU124</f>
        <v>0</v>
      </c>
      <c r="EZ124" s="235">
        <f>FA124</f>
        <v>0</v>
      </c>
      <c r="FA124" s="892">
        <f>CY124-AX124</f>
        <v>0</v>
      </c>
      <c r="FB124" s="235">
        <f>FC124</f>
        <v>0</v>
      </c>
      <c r="FC124" s="892">
        <f>CZ124-AY124</f>
        <v>0</v>
      </c>
      <c r="FD124" s="235">
        <f>FE124</f>
        <v>0</v>
      </c>
      <c r="FE124" s="892">
        <f>DA124-AZ124</f>
        <v>0</v>
      </c>
      <c r="FF124" s="235">
        <f>FG124</f>
        <v>0</v>
      </c>
      <c r="FG124" s="892">
        <f>DB124-BA124</f>
        <v>0</v>
      </c>
      <c r="FH124" s="235">
        <f>FI124</f>
        <v>0</v>
      </c>
      <c r="FI124" s="892">
        <f>DC124-BB124</f>
        <v>0</v>
      </c>
      <c r="FJ124" s="235">
        <f>FK124</f>
        <v>0</v>
      </c>
      <c r="FK124" s="892">
        <f>CX124-AW124</f>
        <v>0</v>
      </c>
      <c r="FL124" s="235">
        <f>FM124</f>
        <v>102833.2</v>
      </c>
      <c r="FM124" s="890">
        <f>DF124-BE124</f>
        <v>102833.2</v>
      </c>
      <c r="FN124" s="235">
        <f>FO124</f>
        <v>100.52685</v>
      </c>
      <c r="FO124" s="890">
        <f>DH124-BG124</f>
        <v>100.52685</v>
      </c>
      <c r="FP124" s="235">
        <f>FQ124</f>
        <v>100.52685</v>
      </c>
      <c r="FQ124" s="890">
        <f>DJ124-BI124</f>
        <v>100.52685</v>
      </c>
      <c r="FR124" s="892">
        <f>DK124-BJ124</f>
        <v>307.61216100000001</v>
      </c>
      <c r="FS124" s="892">
        <f>DL124-BK124</f>
        <v>-7</v>
      </c>
      <c r="FT124" s="893">
        <f>DM124-BL124</f>
        <v>0</v>
      </c>
      <c r="FU124" s="893">
        <f>DR124-BO124</f>
        <v>-3.9024999999999994</v>
      </c>
      <c r="FV124" s="893">
        <f>DO124-BM124</f>
        <v>0</v>
      </c>
      <c r="FW124" s="893">
        <f>DQ124-BN124</f>
        <v>11.22635</v>
      </c>
      <c r="FX124" s="893">
        <f>DS124-BP124</f>
        <v>0</v>
      </c>
      <c r="FY124" s="893">
        <f>DT124-BQ124</f>
        <v>0</v>
      </c>
      <c r="FZ124" s="893">
        <f>DU124-BR124</f>
        <v>0</v>
      </c>
      <c r="GA124" s="893">
        <f>DV124-BS124</f>
        <v>2.23</v>
      </c>
      <c r="GB124" s="894">
        <f>GC124</f>
        <v>9.5538500000000006</v>
      </c>
      <c r="GC124" s="895">
        <f t="shared" si="33"/>
        <v>9.5538500000000006</v>
      </c>
      <c r="GD124" s="896"/>
      <c r="GE124" s="896"/>
      <c r="GF124" s="896"/>
      <c r="GG124" s="896"/>
      <c r="GH124" s="896"/>
      <c r="GI124" s="896"/>
      <c r="GJ124" s="896"/>
      <c r="GK124" s="896"/>
      <c r="GL124" s="896"/>
      <c r="GM124" s="896"/>
      <c r="GN124" s="896"/>
      <c r="GO124" s="896"/>
      <c r="GP124" s="896"/>
      <c r="GQ124" s="896"/>
      <c r="GR124" s="896"/>
      <c r="GS124" s="896"/>
      <c r="GT124" s="896"/>
    </row>
    <row r="125" spans="1:202" s="139" customFormat="1" ht="18.75">
      <c r="A125" s="2263"/>
      <c r="B125" s="2263"/>
      <c r="C125" s="132"/>
      <c r="D125" s="132"/>
      <c r="E125" s="132"/>
      <c r="F125" s="777"/>
      <c r="G125" s="137"/>
      <c r="H125" s="132"/>
      <c r="I125" s="136"/>
      <c r="J125" s="132"/>
      <c r="K125" s="132"/>
      <c r="L125" s="132"/>
      <c r="M125" s="132"/>
      <c r="N125" s="134"/>
      <c r="O125" s="134"/>
      <c r="P125" s="134"/>
      <c r="Q125" s="134"/>
      <c r="R125" s="137"/>
      <c r="S125" s="778"/>
      <c r="T125" s="634"/>
      <c r="U125" s="102"/>
      <c r="V125" s="634"/>
      <c r="W125" s="102"/>
      <c r="X125" s="102"/>
      <c r="Y125" s="102"/>
      <c r="Z125" s="634"/>
      <c r="AA125" s="102"/>
      <c r="AB125" s="634"/>
      <c r="AC125" s="102"/>
      <c r="AD125" s="634"/>
      <c r="AE125" s="102"/>
      <c r="AF125" s="102"/>
      <c r="AG125" s="102"/>
      <c r="AH125" s="102"/>
      <c r="AI125" s="634"/>
      <c r="AJ125" s="102"/>
      <c r="AK125" s="634"/>
      <c r="AL125" s="102"/>
      <c r="AM125" s="779"/>
      <c r="AN125" s="634"/>
      <c r="AO125" s="102"/>
      <c r="AP125" s="634"/>
      <c r="AQ125" s="102"/>
      <c r="AR125" s="634"/>
      <c r="AS125" s="102"/>
      <c r="AT125" s="634"/>
      <c r="AU125" s="102"/>
      <c r="AV125" s="634"/>
      <c r="AW125" s="102"/>
      <c r="AX125" s="102"/>
      <c r="AY125" s="102"/>
      <c r="AZ125" s="102"/>
      <c r="BA125" s="102"/>
      <c r="BB125" s="102"/>
      <c r="BC125" s="102"/>
      <c r="BD125" s="634"/>
      <c r="BE125" s="102"/>
      <c r="BF125" s="634"/>
      <c r="BG125" s="102"/>
      <c r="BH125" s="634"/>
      <c r="BI125" s="102"/>
      <c r="BJ125" s="122"/>
      <c r="BK125" s="186"/>
      <c r="BL125" s="102"/>
      <c r="BM125" s="102"/>
      <c r="BN125" s="102"/>
      <c r="BO125" s="102"/>
      <c r="BP125" s="102"/>
      <c r="BQ125" s="102"/>
      <c r="BR125" s="102"/>
      <c r="BS125" s="102"/>
      <c r="BT125" s="634"/>
      <c r="BU125" s="102"/>
      <c r="BW125" s="780"/>
      <c r="CA125" s="781"/>
      <c r="CB125" s="2258"/>
      <c r="CC125" s="782"/>
      <c r="CD125" s="782"/>
      <c r="CE125" s="634"/>
      <c r="CF125" s="840"/>
      <c r="CG125" s="634"/>
      <c r="CH125" s="783"/>
      <c r="CI125" s="634"/>
      <c r="CK125" s="634"/>
      <c r="CM125" s="634"/>
      <c r="CN125" s="784"/>
      <c r="CO125" s="784"/>
      <c r="CP125" s="784"/>
      <c r="CQ125" s="634"/>
      <c r="CR125" s="102"/>
      <c r="CS125" s="784"/>
      <c r="CT125" s="784"/>
      <c r="CU125" s="784"/>
      <c r="CV125" s="784"/>
      <c r="CW125" s="634"/>
      <c r="CX125" s="784"/>
      <c r="CY125" s="784"/>
      <c r="CZ125" s="784"/>
      <c r="DA125" s="784"/>
      <c r="DB125" s="784"/>
      <c r="DC125" s="784"/>
      <c r="DD125" s="784"/>
      <c r="DE125" s="634"/>
      <c r="DF125" s="784"/>
      <c r="DG125" s="634"/>
      <c r="DH125" s="296"/>
      <c r="DI125" s="802"/>
      <c r="DJ125" s="785"/>
      <c r="DK125" s="771"/>
      <c r="DL125" s="772"/>
      <c r="DM125" s="787"/>
      <c r="DN125" s="787"/>
      <c r="DO125" s="787"/>
      <c r="DP125" s="787"/>
      <c r="DQ125" s="787"/>
      <c r="DR125" s="787"/>
      <c r="DS125" s="787"/>
      <c r="DT125" s="787"/>
      <c r="DU125" s="787"/>
      <c r="DV125" s="787"/>
      <c r="DW125" s="802"/>
      <c r="DX125" s="788"/>
      <c r="DY125" s="634"/>
      <c r="DZ125" s="2288"/>
      <c r="EA125" s="2231"/>
      <c r="EB125" s="187"/>
      <c r="EC125" s="2232"/>
      <c r="ED125" s="187"/>
      <c r="EE125" s="187"/>
      <c r="EF125" s="2232"/>
      <c r="EG125" s="245"/>
      <c r="EH125" s="2232"/>
      <c r="EI125" s="187"/>
      <c r="EJ125" s="2232"/>
      <c r="EK125" s="187"/>
      <c r="EL125" s="2232"/>
      <c r="EM125" s="195"/>
      <c r="EN125" s="2232"/>
      <c r="EO125" s="195"/>
      <c r="EP125" s="2232"/>
      <c r="EQ125" s="187"/>
      <c r="ER125" s="2232"/>
      <c r="ES125" s="187"/>
      <c r="ET125" s="2232"/>
      <c r="EU125" s="187">
        <f t="shared" si="32"/>
        <v>0</v>
      </c>
      <c r="EV125" s="2232"/>
      <c r="EW125" s="187"/>
      <c r="EX125" s="2232"/>
      <c r="EY125" s="195"/>
      <c r="EZ125" s="2232"/>
      <c r="FA125" s="195"/>
      <c r="FB125" s="2232"/>
      <c r="FC125" s="195"/>
      <c r="FD125" s="2232"/>
      <c r="FE125" s="195"/>
      <c r="FF125" s="2232"/>
      <c r="FG125" s="195"/>
      <c r="FH125" s="2232"/>
      <c r="FI125" s="195"/>
      <c r="FJ125" s="2232"/>
      <c r="FK125" s="195"/>
      <c r="FL125" s="2232"/>
      <c r="FM125" s="187"/>
      <c r="FN125" s="2232"/>
      <c r="FO125" s="187"/>
      <c r="FP125" s="2232"/>
      <c r="FQ125" s="187"/>
      <c r="FR125" s="195"/>
      <c r="FS125" s="195"/>
      <c r="FT125" s="789"/>
      <c r="FU125" s="789"/>
      <c r="FV125" s="789"/>
      <c r="FW125" s="789"/>
      <c r="FX125" s="789"/>
      <c r="FY125" s="789"/>
      <c r="FZ125" s="789"/>
      <c r="GA125" s="789"/>
      <c r="GB125" s="2286"/>
      <c r="GC125" s="776"/>
    </row>
    <row r="126" spans="1:202" s="127" customFormat="1" ht="15" customHeight="1">
      <c r="A126" s="2588"/>
      <c r="B126" s="2588">
        <v>46</v>
      </c>
      <c r="C126" s="115" t="s">
        <v>703</v>
      </c>
      <c r="D126" s="115">
        <v>2861</v>
      </c>
      <c r="E126" s="115">
        <v>74</v>
      </c>
      <c r="F126" s="763">
        <v>2028610074</v>
      </c>
      <c r="G126" s="120">
        <v>12514</v>
      </c>
      <c r="H126" s="115" t="s">
        <v>726</v>
      </c>
      <c r="I126" s="119" t="s">
        <v>706</v>
      </c>
      <c r="J126" s="115">
        <v>1.03</v>
      </c>
      <c r="K126" s="115">
        <v>4</v>
      </c>
      <c r="L126" s="115">
        <v>0</v>
      </c>
      <c r="M126" s="115">
        <v>4.8</v>
      </c>
      <c r="N126" s="117">
        <v>12830</v>
      </c>
      <c r="O126" s="117">
        <f>0.8*Q126</f>
        <v>10264</v>
      </c>
      <c r="P126" s="117">
        <v>0</v>
      </c>
      <c r="Q126" s="117">
        <v>12830</v>
      </c>
      <c r="R126" s="120">
        <v>0</v>
      </c>
      <c r="S126" s="764" t="s">
        <v>761</v>
      </c>
      <c r="T126" s="2600">
        <f>SUM(U126:U127)</f>
        <v>0</v>
      </c>
      <c r="U126" s="122">
        <v>0</v>
      </c>
      <c r="V126" s="2600">
        <f>SUM(W126:W127)</f>
        <v>14580</v>
      </c>
      <c r="W126" s="122">
        <f>N126</f>
        <v>12830</v>
      </c>
      <c r="X126" s="122"/>
      <c r="Y126" s="122">
        <f>W126-AA126</f>
        <v>12830</v>
      </c>
      <c r="Z126" s="2600">
        <f>SUM(AA126:AA127)</f>
        <v>0</v>
      </c>
      <c r="AA126" s="122">
        <v>0</v>
      </c>
      <c r="AB126" s="2600">
        <f>SUM(AC126:AC127)</f>
        <v>0</v>
      </c>
      <c r="AC126" s="122">
        <v>0</v>
      </c>
      <c r="AD126" s="2600">
        <f>SUM(AE126:AE127)</f>
        <v>12014</v>
      </c>
      <c r="AE126" s="122">
        <f>AG126+AF126</f>
        <v>10264</v>
      </c>
      <c r="AF126" s="122">
        <v>0</v>
      </c>
      <c r="AG126" s="122">
        <f>O126</f>
        <v>10264</v>
      </c>
      <c r="AH126" s="122">
        <v>0</v>
      </c>
      <c r="AI126" s="2600">
        <f>SUM(AJ126:AJ127)</f>
        <v>0</v>
      </c>
      <c r="AJ126" s="122">
        <v>0</v>
      </c>
      <c r="AK126" s="2600">
        <f>SUM(AL126:AL127)</f>
        <v>2566</v>
      </c>
      <c r="AL126" s="122">
        <f>W126-(AA126+AC126+AE126+AH126+AJ126+AM126+AW126+AO126+AQ126+AS126+AU126)</f>
        <v>2566</v>
      </c>
      <c r="AM126" s="765">
        <v>0</v>
      </c>
      <c r="AN126" s="2600">
        <f>SUM(AO126:AO127)</f>
        <v>0</v>
      </c>
      <c r="AO126" s="122">
        <v>0</v>
      </c>
      <c r="AP126" s="2600">
        <f>SUM(AQ126:AQ127)</f>
        <v>0</v>
      </c>
      <c r="AQ126" s="122">
        <v>0</v>
      </c>
      <c r="AR126" s="2600">
        <f>SUM(AS126:AS127)</f>
        <v>0</v>
      </c>
      <c r="AS126" s="122">
        <v>0</v>
      </c>
      <c r="AT126" s="2600">
        <f>SUM(AU126:AU127)</f>
        <v>0</v>
      </c>
      <c r="AU126" s="122">
        <v>0</v>
      </c>
      <c r="AV126" s="2600">
        <f>SUM(AW126:AW127)</f>
        <v>0</v>
      </c>
      <c r="AW126" s="122">
        <f>AX126+AY126+AZ126+BA126+BB126</f>
        <v>0</v>
      </c>
      <c r="AX126" s="122">
        <v>0</v>
      </c>
      <c r="AY126" s="122">
        <v>0</v>
      </c>
      <c r="AZ126" s="122">
        <v>0</v>
      </c>
      <c r="BA126" s="122">
        <v>0</v>
      </c>
      <c r="BB126" s="122">
        <v>0</v>
      </c>
      <c r="BC126" s="122">
        <v>0</v>
      </c>
      <c r="BD126" s="2600">
        <f>SUM(BE126:BE127)</f>
        <v>14580</v>
      </c>
      <c r="BE126" s="122">
        <f>U126+W126</f>
        <v>12830</v>
      </c>
      <c r="BF126" s="2600">
        <f>SUM(BG126:BG127)</f>
        <v>0</v>
      </c>
      <c r="BG126" s="122">
        <f>U126/1000</f>
        <v>0</v>
      </c>
      <c r="BH126" s="2600">
        <f>SUM(BI126:BI127)</f>
        <v>0</v>
      </c>
      <c r="BI126" s="122">
        <v>0</v>
      </c>
      <c r="BJ126" s="122">
        <f t="shared" si="38"/>
        <v>0</v>
      </c>
      <c r="BK126" s="129">
        <f>ROUND((Y126+AC126+AA126)/1000*3,0)+ROUND((AE126+AU126)/1000,0)+ROUND((ROUND(AH126/400,0))/2.67,0)+ROUND(AM126/250,0)+ROUND(AO126/15000,0)+ROUND((AX126+AY126+AZ126+BB126)/1000*3,0)+ROUND(BG126/25,0)+ROUND(BU248/50,0)</f>
        <v>48</v>
      </c>
      <c r="BL126" s="122">
        <v>0</v>
      </c>
      <c r="BM126" s="122">
        <v>0</v>
      </c>
      <c r="BN126" s="122">
        <v>0</v>
      </c>
      <c r="BO126" s="122">
        <f>AC126/1000</f>
        <v>0</v>
      </c>
      <c r="BP126" s="122">
        <f>AH126/1000</f>
        <v>0</v>
      </c>
      <c r="BQ126" s="122">
        <v>0</v>
      </c>
      <c r="BR126" s="122">
        <v>0</v>
      </c>
      <c r="BS126" s="122">
        <v>0</v>
      </c>
      <c r="BT126" s="2600">
        <f>SUM(BU126:BU127)</f>
        <v>0</v>
      </c>
      <c r="BU126" s="122">
        <f>SUM(BL126:BS126)</f>
        <v>0</v>
      </c>
      <c r="BV126" s="127">
        <v>15</v>
      </c>
      <c r="BW126" s="766" t="s">
        <v>741</v>
      </c>
      <c r="BX126" s="127">
        <v>7.2</v>
      </c>
      <c r="BY126" s="127">
        <v>2</v>
      </c>
      <c r="BZ126" s="127">
        <v>6.5</v>
      </c>
      <c r="CA126" s="767" t="s">
        <v>706</v>
      </c>
      <c r="CB126" s="2596" t="s">
        <v>716</v>
      </c>
      <c r="CC126" s="768">
        <f>(BX126*G126)-CF126</f>
        <v>79463.900000000009</v>
      </c>
      <c r="CD126" s="2731">
        <f>SUM(CC126:CC127)</f>
        <v>95338.900000000009</v>
      </c>
      <c r="CE126" s="2600">
        <f>SUM(CF126:CF127)</f>
        <v>12761.9</v>
      </c>
      <c r="CF126" s="838">
        <f>1*(G126)-(0.15*1*(G126))</f>
        <v>10636.9</v>
      </c>
      <c r="CG126" s="2600">
        <f>SUM(CH126:CH127)</f>
        <v>12761.9</v>
      </c>
      <c r="CH126" s="769">
        <f>CF126-CJ126</f>
        <v>10636.9</v>
      </c>
      <c r="CI126" s="2600">
        <f>SUM(CJ126:CJ127)</f>
        <v>0</v>
      </c>
      <c r="CJ126" s="127">
        <v>0</v>
      </c>
      <c r="CK126" s="2600">
        <f>SUM(CL126:CL127)</f>
        <v>0</v>
      </c>
      <c r="CL126" s="127">
        <v>0</v>
      </c>
      <c r="CM126" s="2600">
        <f>SUM(CN126:CN127)</f>
        <v>12761.9</v>
      </c>
      <c r="CN126" s="770">
        <f>CF126-(CJ126+CL126+CO126+CP126+CR126+CU126+CV126+CX126)</f>
        <v>10636.9</v>
      </c>
      <c r="CO126" s="770">
        <v>0</v>
      </c>
      <c r="CP126" s="770">
        <v>0</v>
      </c>
      <c r="CQ126" s="2600">
        <f>SUM(CR126:CR127)</f>
        <v>0</v>
      </c>
      <c r="CR126" s="122">
        <v>0</v>
      </c>
      <c r="CS126" s="770">
        <v>0</v>
      </c>
      <c r="CT126" s="770">
        <v>0</v>
      </c>
      <c r="CU126" s="770">
        <v>0</v>
      </c>
      <c r="CV126" s="770">
        <v>0</v>
      </c>
      <c r="CW126" s="2600">
        <f>SUM(CX126:CX127)</f>
        <v>0</v>
      </c>
      <c r="CX126" s="122">
        <f>SUM(CY126:DC126)</f>
        <v>0</v>
      </c>
      <c r="CY126" s="770">
        <f t="shared" ref="CY126:DC127" si="50">AX126</f>
        <v>0</v>
      </c>
      <c r="CZ126" s="770">
        <f t="shared" si="50"/>
        <v>0</v>
      </c>
      <c r="DA126" s="770">
        <f t="shared" si="50"/>
        <v>0</v>
      </c>
      <c r="DB126" s="770">
        <f t="shared" si="50"/>
        <v>0</v>
      </c>
      <c r="DC126" s="770">
        <f t="shared" si="50"/>
        <v>0</v>
      </c>
      <c r="DD126" s="770"/>
      <c r="DE126" s="2600">
        <f>SUM(DF126:DF127)</f>
        <v>108100.8</v>
      </c>
      <c r="DF126" s="770">
        <f>CC126+CF126</f>
        <v>90100.800000000003</v>
      </c>
      <c r="DG126" s="2600">
        <f>SUM(DH126:DH127)</f>
        <v>95.33890000000001</v>
      </c>
      <c r="DH126" s="293">
        <f>CC126/'[1]Projected Development Sites'!DF$134</f>
        <v>79.46390000000001</v>
      </c>
      <c r="DI126" s="2722">
        <f>SUM(DJ126:DJ127)</f>
        <v>95.33890000000001</v>
      </c>
      <c r="DJ126" s="771">
        <f>'[1]Projected Development Sites'!DK$136*DH126</f>
        <v>79.46390000000001</v>
      </c>
      <c r="DK126" s="771">
        <f>3.06*DH126</f>
        <v>243.15953400000004</v>
      </c>
      <c r="DL126" s="772">
        <f>ROUND((CN126+CL126+CJ126)/1000*3,0)+ROUND((ROUND(CP126/400,0))/2.67,0)+ROUND(CV126/1000,0)+ROUND((CY126+CZ126+DA126+DC126)/1000*3,0)+ROUND(DH126/25,0)+ROUND(DX126/50,0)</f>
        <v>35</v>
      </c>
      <c r="DM126" s="773">
        <v>0</v>
      </c>
      <c r="DN126" s="773"/>
      <c r="DO126" s="773">
        <v>0</v>
      </c>
      <c r="DP126" s="773">
        <f>0.25*DJ126</f>
        <v>19.865975000000002</v>
      </c>
      <c r="DQ126" s="773">
        <f>SUM(CO126,CJ126,CN126,CR126,CU126)/1000</f>
        <v>10.636899999999999</v>
      </c>
      <c r="DR126" s="773">
        <f>CL126/1000</f>
        <v>0</v>
      </c>
      <c r="DS126" s="773">
        <f>((CP126/400)/12)</f>
        <v>0</v>
      </c>
      <c r="DT126" s="773">
        <f>IF(CX126&gt;0,"Calculate",0)</f>
        <v>0</v>
      </c>
      <c r="DU126" s="773">
        <v>0</v>
      </c>
      <c r="DV126" s="773">
        <f>CX126/1000</f>
        <v>0</v>
      </c>
      <c r="DW126" s="2722">
        <f>SUM(DX126:DX127)</f>
        <v>12.761899999999999</v>
      </c>
      <c r="DX126" s="774">
        <f>SUM(DM126,DO126,DQ126:DV126)</f>
        <v>10.636899999999999</v>
      </c>
      <c r="DY126" s="2725">
        <v>145</v>
      </c>
      <c r="DZ126" s="2728">
        <f>CD126-T126</f>
        <v>95338.900000000009</v>
      </c>
      <c r="EA126" s="2602">
        <f>CE126-V126</f>
        <v>-1818.1000000000004</v>
      </c>
      <c r="EB126" s="187">
        <f>CF126-W126</f>
        <v>-2193.1000000000004</v>
      </c>
      <c r="EC126" s="2602">
        <f>SUM(ED126:ED127)</f>
        <v>-1818.1000000000004</v>
      </c>
      <c r="ED126" s="187">
        <v>-2193.1000000000004</v>
      </c>
      <c r="EE126" s="187">
        <f>(SUM(CJ126:CO126))-(SUM(AA126:AE126,AL126))</f>
        <v>-1445.2000000000007</v>
      </c>
      <c r="EF126" s="2602">
        <f>SUM(EG126:EG127)</f>
        <v>10195.9</v>
      </c>
      <c r="EG126" s="187">
        <v>8070.9</v>
      </c>
      <c r="EH126" s="2602">
        <f>SUM(EI126:EI127)</f>
        <v>0</v>
      </c>
      <c r="EI126" s="187">
        <f>CL126-AC126</f>
        <v>0</v>
      </c>
      <c r="EJ126" s="2602">
        <f>SUM(EK126:EK127)</f>
        <v>0</v>
      </c>
      <c r="EK126" s="187">
        <f>CJ126-AA126</f>
        <v>0</v>
      </c>
      <c r="EL126" s="2602">
        <f>SUM(EM126:EM127)</f>
        <v>-12014</v>
      </c>
      <c r="EM126" s="187">
        <f>CO126-AE126</f>
        <v>-10264</v>
      </c>
      <c r="EN126" s="2602">
        <f>SUM(EO126:EO127)</f>
        <v>0</v>
      </c>
      <c r="EO126" s="187">
        <f>CP126-AH126</f>
        <v>0</v>
      </c>
      <c r="EP126" s="2602">
        <f>SUM(EQ126:EQ127)</f>
        <v>0</v>
      </c>
      <c r="EQ126" s="187">
        <f>CR126-AJ126</f>
        <v>0</v>
      </c>
      <c r="ER126" s="2602">
        <f>SUM(ES126:ES127)</f>
        <v>0</v>
      </c>
      <c r="ES126" s="187">
        <f>CS126-AO126</f>
        <v>0</v>
      </c>
      <c r="ET126" s="2602">
        <f>SUM(EU126:EU127)</f>
        <v>0</v>
      </c>
      <c r="EU126" s="187">
        <f t="shared" si="32"/>
        <v>0</v>
      </c>
      <c r="EV126" s="2602">
        <f>SUM(EW126:EW127)</f>
        <v>0</v>
      </c>
      <c r="EW126" s="187">
        <f>CU126-AS126</f>
        <v>0</v>
      </c>
      <c r="EX126" s="2602">
        <f>SUM(EY126:EY127)</f>
        <v>0</v>
      </c>
      <c r="EY126" s="187">
        <f>CV126-AU126</f>
        <v>0</v>
      </c>
      <c r="EZ126" s="2602">
        <f>SUM(FA126:FA127)</f>
        <v>0</v>
      </c>
      <c r="FA126" s="187">
        <f>CY126-AX126</f>
        <v>0</v>
      </c>
      <c r="FB126" s="2602">
        <f>SUM(FC126:FC127)</f>
        <v>0</v>
      </c>
      <c r="FC126" s="187">
        <f>CZ126-AY126</f>
        <v>0</v>
      </c>
      <c r="FD126" s="2602">
        <f>SUM(FE126:FE127)</f>
        <v>0</v>
      </c>
      <c r="FE126" s="187">
        <f>DA126-AZ126</f>
        <v>0</v>
      </c>
      <c r="FF126" s="2602">
        <f>SUM(FG126:FG127)</f>
        <v>0</v>
      </c>
      <c r="FG126" s="187">
        <f>DB126-BA126</f>
        <v>0</v>
      </c>
      <c r="FH126" s="2602">
        <f>SUM(FI126:FI127)</f>
        <v>0</v>
      </c>
      <c r="FI126" s="187">
        <f>DC126-BB126</f>
        <v>0</v>
      </c>
      <c r="FJ126" s="2602">
        <f>SUM(FK126:FK127)</f>
        <v>0</v>
      </c>
      <c r="FK126" s="187">
        <f>CX126-AW126</f>
        <v>0</v>
      </c>
      <c r="FL126" s="2602">
        <f>SUM(FM126:FM127)</f>
        <v>93520.8</v>
      </c>
      <c r="FM126" s="187">
        <f>DF126-BE126</f>
        <v>77270.8</v>
      </c>
      <c r="FN126" s="2602">
        <f>SUM(FO126:FO127)</f>
        <v>95.33890000000001</v>
      </c>
      <c r="FO126" s="187">
        <f>DH126-BG126</f>
        <v>79.46390000000001</v>
      </c>
      <c r="FP126" s="2602">
        <f>SUM(FQ126:FQ127)</f>
        <v>95.33890000000001</v>
      </c>
      <c r="FQ126" s="187">
        <f t="shared" ref="FQ126:FT127" si="51">DJ126-BI126</f>
        <v>79.46390000000001</v>
      </c>
      <c r="FR126" s="187">
        <f t="shared" si="51"/>
        <v>243.15953400000004</v>
      </c>
      <c r="FS126" s="187">
        <f t="shared" si="51"/>
        <v>-13</v>
      </c>
      <c r="FT126" s="775">
        <f t="shared" si="51"/>
        <v>0</v>
      </c>
      <c r="FU126" s="775">
        <f>DR126-BO126</f>
        <v>0</v>
      </c>
      <c r="FV126" s="775">
        <f>DO126-BM126</f>
        <v>0</v>
      </c>
      <c r="FW126" s="775">
        <f>DQ126-BN126</f>
        <v>10.636899999999999</v>
      </c>
      <c r="FX126" s="775">
        <f t="shared" ref="FX126:GA127" si="52">DS126-BP126</f>
        <v>0</v>
      </c>
      <c r="FY126" s="775">
        <f t="shared" si="52"/>
        <v>0</v>
      </c>
      <c r="FZ126" s="775">
        <f t="shared" si="52"/>
        <v>0</v>
      </c>
      <c r="GA126" s="775">
        <f t="shared" si="52"/>
        <v>0</v>
      </c>
      <c r="GB126" s="2734">
        <f>SUM(GC126:GC127)</f>
        <v>12.761899999999999</v>
      </c>
      <c r="GC126" s="776">
        <f t="shared" si="33"/>
        <v>10.636899999999999</v>
      </c>
      <c r="GD126" s="139"/>
      <c r="GE126" s="139"/>
      <c r="GF126" s="139"/>
      <c r="GG126" s="139"/>
      <c r="GH126" s="139"/>
      <c r="GI126" s="139"/>
      <c r="GJ126" s="139"/>
      <c r="GK126" s="139"/>
      <c r="GL126" s="139"/>
      <c r="GM126" s="139"/>
      <c r="GN126" s="139"/>
      <c r="GO126" s="139"/>
      <c r="GP126" s="139"/>
      <c r="GQ126" s="139"/>
      <c r="GR126" s="139"/>
      <c r="GS126" s="139"/>
      <c r="GT126" s="139"/>
    </row>
    <row r="127" spans="1:202" s="81" customFormat="1" ht="15" customHeight="1">
      <c r="A127" s="2589"/>
      <c r="B127" s="2589"/>
      <c r="C127" s="66" t="s">
        <v>710</v>
      </c>
      <c r="D127" s="66">
        <v>2861</v>
      </c>
      <c r="E127" s="66">
        <v>79</v>
      </c>
      <c r="F127" s="66">
        <v>2028610079</v>
      </c>
      <c r="G127" s="71">
        <v>2500</v>
      </c>
      <c r="H127" s="66" t="s">
        <v>726</v>
      </c>
      <c r="I127" s="70" t="s">
        <v>706</v>
      </c>
      <c r="J127" s="66">
        <v>0.7</v>
      </c>
      <c r="K127" s="66">
        <v>4</v>
      </c>
      <c r="L127" s="66">
        <v>0</v>
      </c>
      <c r="M127" s="66">
        <v>4.8</v>
      </c>
      <c r="N127" s="68">
        <v>1750</v>
      </c>
      <c r="O127" s="68"/>
      <c r="P127" s="68">
        <v>0</v>
      </c>
      <c r="Q127" s="68">
        <v>1750</v>
      </c>
      <c r="R127" s="71">
        <v>0</v>
      </c>
      <c r="S127" s="791" t="s">
        <v>711</v>
      </c>
      <c r="T127" s="2601"/>
      <c r="U127" s="74">
        <v>0</v>
      </c>
      <c r="V127" s="2601"/>
      <c r="W127" s="74">
        <f>N127</f>
        <v>1750</v>
      </c>
      <c r="X127" s="74"/>
      <c r="Y127" s="74">
        <f>W127-AA127</f>
        <v>1750</v>
      </c>
      <c r="Z127" s="2601"/>
      <c r="AA127" s="74">
        <v>0</v>
      </c>
      <c r="AB127" s="2601"/>
      <c r="AC127" s="74">
        <v>0</v>
      </c>
      <c r="AD127" s="2601"/>
      <c r="AE127" s="74">
        <f>AG127+AF127</f>
        <v>1750</v>
      </c>
      <c r="AF127" s="74">
        <v>0</v>
      </c>
      <c r="AG127" s="74">
        <v>1750</v>
      </c>
      <c r="AH127" s="74">
        <v>0</v>
      </c>
      <c r="AI127" s="2601"/>
      <c r="AJ127" s="74">
        <v>0</v>
      </c>
      <c r="AK127" s="2601"/>
      <c r="AL127" s="74">
        <f>W127-(AA127+AC127+AE127+AH127+AJ127+AM127+AW127+AO127+AQ127+AS127+AU127)</f>
        <v>0</v>
      </c>
      <c r="AM127" s="792">
        <v>0</v>
      </c>
      <c r="AN127" s="2601"/>
      <c r="AO127" s="74">
        <v>0</v>
      </c>
      <c r="AP127" s="2601"/>
      <c r="AQ127" s="74">
        <v>0</v>
      </c>
      <c r="AR127" s="2601"/>
      <c r="AS127" s="74">
        <v>0</v>
      </c>
      <c r="AT127" s="2601"/>
      <c r="AU127" s="74">
        <v>0</v>
      </c>
      <c r="AV127" s="2601"/>
      <c r="AW127" s="74">
        <v>0</v>
      </c>
      <c r="AX127" s="74">
        <v>0</v>
      </c>
      <c r="AY127" s="74">
        <v>0</v>
      </c>
      <c r="AZ127" s="74">
        <v>0</v>
      </c>
      <c r="BA127" s="74">
        <v>0</v>
      </c>
      <c r="BB127" s="74">
        <v>0</v>
      </c>
      <c r="BC127" s="74">
        <v>0</v>
      </c>
      <c r="BD127" s="2601"/>
      <c r="BE127" s="74">
        <f>U127+W127</f>
        <v>1750</v>
      </c>
      <c r="BF127" s="2601"/>
      <c r="BG127" s="74">
        <f>U127/1000</f>
        <v>0</v>
      </c>
      <c r="BH127" s="2601"/>
      <c r="BI127" s="74">
        <v>0</v>
      </c>
      <c r="BJ127" s="74">
        <f t="shared" si="38"/>
        <v>0</v>
      </c>
      <c r="BK127" s="88">
        <f>ROUND((Y127+AC127+AA127)/1000*3,0)+ROUND((AE127+AU127)/1000,0)+ROUND((ROUND(AH127/400,0))/2.67,0)+ROUND(AM127/250,0)+ROUND(AO127/15000,0)+ROUND((AX127+AY127+AZ127+BB127)/1000*3,0)+ROUND(BG127/25,0)+ROUND(BU56/50,0)</f>
        <v>8</v>
      </c>
      <c r="BL127" s="74">
        <v>0</v>
      </c>
      <c r="BM127" s="74">
        <v>0</v>
      </c>
      <c r="BN127" s="74">
        <v>0</v>
      </c>
      <c r="BO127" s="74">
        <v>0</v>
      </c>
      <c r="BP127" s="74">
        <v>0</v>
      </c>
      <c r="BQ127" s="74">
        <v>0</v>
      </c>
      <c r="BR127" s="74">
        <v>0</v>
      </c>
      <c r="BS127" s="74">
        <v>0</v>
      </c>
      <c r="BT127" s="2601"/>
      <c r="BU127" s="74">
        <v>0</v>
      </c>
      <c r="BV127" s="81">
        <v>15</v>
      </c>
      <c r="BW127" s="793" t="s">
        <v>741</v>
      </c>
      <c r="BX127" s="81">
        <v>7.2</v>
      </c>
      <c r="BY127" s="81">
        <v>2</v>
      </c>
      <c r="BZ127" s="81">
        <v>6.5</v>
      </c>
      <c r="CA127" s="794" t="s">
        <v>706</v>
      </c>
      <c r="CB127" s="2597"/>
      <c r="CC127" s="795">
        <f>(BX127*G127)-CF127</f>
        <v>15875</v>
      </c>
      <c r="CD127" s="2733"/>
      <c r="CE127" s="2601"/>
      <c r="CF127" s="843">
        <f>1*(G127)-(0.15*1*(G127))</f>
        <v>2125</v>
      </c>
      <c r="CG127" s="2601"/>
      <c r="CH127" s="843">
        <f>CF127-CJ127</f>
        <v>2125</v>
      </c>
      <c r="CI127" s="2601"/>
      <c r="CJ127" s="81">
        <v>0</v>
      </c>
      <c r="CK127" s="2601"/>
      <c r="CL127" s="81">
        <v>0</v>
      </c>
      <c r="CM127" s="2601"/>
      <c r="CN127" s="74">
        <f>CF127-(CJ127+CL127+CO127+CP127+CR127+CU127+CV127+CX127)</f>
        <v>2125</v>
      </c>
      <c r="CO127" s="797">
        <v>0</v>
      </c>
      <c r="CP127" s="797">
        <v>0</v>
      </c>
      <c r="CQ127" s="2601"/>
      <c r="CR127" s="74">
        <v>0</v>
      </c>
      <c r="CS127" s="797">
        <v>0</v>
      </c>
      <c r="CT127" s="797">
        <v>0</v>
      </c>
      <c r="CU127" s="797">
        <v>0</v>
      </c>
      <c r="CV127" s="797">
        <v>0</v>
      </c>
      <c r="CW127" s="2601"/>
      <c r="CX127" s="74">
        <f>SUM(CY127:DC127)</f>
        <v>0</v>
      </c>
      <c r="CY127" s="797">
        <f t="shared" si="50"/>
        <v>0</v>
      </c>
      <c r="CZ127" s="797">
        <f t="shared" si="50"/>
        <v>0</v>
      </c>
      <c r="DA127" s="797">
        <f t="shared" si="50"/>
        <v>0</v>
      </c>
      <c r="DB127" s="797">
        <f t="shared" si="50"/>
        <v>0</v>
      </c>
      <c r="DC127" s="797">
        <f t="shared" si="50"/>
        <v>0</v>
      </c>
      <c r="DD127" s="797"/>
      <c r="DE127" s="2601"/>
      <c r="DF127" s="74">
        <f>CC127+CF127</f>
        <v>18000</v>
      </c>
      <c r="DG127" s="2601"/>
      <c r="DH127" s="303">
        <f>CC127/'[1]Projected Development Sites'!DF$134</f>
        <v>15.875</v>
      </c>
      <c r="DI127" s="2724"/>
      <c r="DJ127" s="798">
        <f>'[1]Projected Development Sites'!DK$136*DH127</f>
        <v>15.875</v>
      </c>
      <c r="DK127" s="798">
        <f>3.06*DH127</f>
        <v>48.577500000000001</v>
      </c>
      <c r="DL127" s="917">
        <f>ROUND((CN127+CL127+CJ127)/1000*3,0)+ROUND((ROUND(CP127/400,0))/2.67,0)+ROUND(CV127/1000,0)+ROUND((CY127+CZ127+DA127+DC127)/1000*3,0)+ROUND(DH127/25,0)+ROUND(DX127/50,0)</f>
        <v>7</v>
      </c>
      <c r="DM127" s="799">
        <v>0</v>
      </c>
      <c r="DN127" s="799"/>
      <c r="DO127" s="799">
        <v>0</v>
      </c>
      <c r="DP127" s="799">
        <f>0.25*DJ127</f>
        <v>3.96875</v>
      </c>
      <c r="DQ127" s="799">
        <f>SUM(CO127,CJ127,CN127,CR127,CU127)/1000</f>
        <v>2.125</v>
      </c>
      <c r="DR127" s="799">
        <f>CL127/1000</f>
        <v>0</v>
      </c>
      <c r="DS127" s="799">
        <f>((CP127/400)/12)</f>
        <v>0</v>
      </c>
      <c r="DT127" s="799">
        <f>IF(CX127&gt;0,"Calculate",0)</f>
        <v>0</v>
      </c>
      <c r="DU127" s="799">
        <v>0</v>
      </c>
      <c r="DV127" s="799">
        <f>CX127/1000</f>
        <v>0</v>
      </c>
      <c r="DW127" s="2724"/>
      <c r="DX127" s="800">
        <f>SUM(DM127,DO127,DQ127:DV127)</f>
        <v>2.125</v>
      </c>
      <c r="DY127" s="2727"/>
      <c r="DZ127" s="2730"/>
      <c r="EA127" s="2603"/>
      <c r="EB127" s="195">
        <f>CF127-W127</f>
        <v>375</v>
      </c>
      <c r="EC127" s="2603"/>
      <c r="ED127" s="195">
        <v>375</v>
      </c>
      <c r="EE127" s="195">
        <f>(SUM(CJ127:CO127))-(SUM(AA127:AE127,AL127))</f>
        <v>375</v>
      </c>
      <c r="EF127" s="2603"/>
      <c r="EG127" s="195">
        <v>2125</v>
      </c>
      <c r="EH127" s="2603"/>
      <c r="EI127" s="195">
        <f>CL127-AC127</f>
        <v>0</v>
      </c>
      <c r="EJ127" s="2603"/>
      <c r="EK127" s="195">
        <f>CJ127-AA127</f>
        <v>0</v>
      </c>
      <c r="EL127" s="2603"/>
      <c r="EM127" s="190">
        <f>CO127-AE127</f>
        <v>-1750</v>
      </c>
      <c r="EN127" s="2603"/>
      <c r="EO127" s="190">
        <f>CP127-AH127</f>
        <v>0</v>
      </c>
      <c r="EP127" s="2603"/>
      <c r="EQ127" s="195">
        <f>CR127-AJ127</f>
        <v>0</v>
      </c>
      <c r="ER127" s="2603"/>
      <c r="ES127" s="195">
        <f>CS127-AO127</f>
        <v>0</v>
      </c>
      <c r="ET127" s="2603"/>
      <c r="EU127" s="190">
        <f t="shared" si="32"/>
        <v>0</v>
      </c>
      <c r="EV127" s="2603"/>
      <c r="EW127" s="195">
        <f>CU127-AS127</f>
        <v>0</v>
      </c>
      <c r="EX127" s="2603"/>
      <c r="EY127" s="190">
        <f>CV127-AQ127</f>
        <v>0</v>
      </c>
      <c r="EZ127" s="2603"/>
      <c r="FA127" s="190">
        <f>CY127-AX127</f>
        <v>0</v>
      </c>
      <c r="FB127" s="2603"/>
      <c r="FC127" s="190">
        <f>CZ127-AY127</f>
        <v>0</v>
      </c>
      <c r="FD127" s="2603"/>
      <c r="FE127" s="190">
        <f>DA127-AZ127</f>
        <v>0</v>
      </c>
      <c r="FF127" s="2603"/>
      <c r="FG127" s="190">
        <f>DB127-BA127</f>
        <v>0</v>
      </c>
      <c r="FH127" s="2603"/>
      <c r="FI127" s="190">
        <f>DC127-BB127</f>
        <v>0</v>
      </c>
      <c r="FJ127" s="2603"/>
      <c r="FK127" s="190">
        <f>CX127-AW127</f>
        <v>0</v>
      </c>
      <c r="FL127" s="2603"/>
      <c r="FM127" s="195">
        <f>DF127-BE127</f>
        <v>16250</v>
      </c>
      <c r="FN127" s="2603"/>
      <c r="FO127" s="195">
        <f>DH127-BG127</f>
        <v>15.875</v>
      </c>
      <c r="FP127" s="2603"/>
      <c r="FQ127" s="195">
        <f t="shared" si="51"/>
        <v>15.875</v>
      </c>
      <c r="FR127" s="190">
        <f t="shared" si="51"/>
        <v>48.577500000000001</v>
      </c>
      <c r="FS127" s="190">
        <f t="shared" si="51"/>
        <v>-1</v>
      </c>
      <c r="FT127" s="801">
        <f t="shared" si="51"/>
        <v>0</v>
      </c>
      <c r="FU127" s="801">
        <f>DR127-BO127</f>
        <v>0</v>
      </c>
      <c r="FV127" s="801">
        <f>DO127-BM127</f>
        <v>0</v>
      </c>
      <c r="FW127" s="801">
        <f>DQ127-BN127</f>
        <v>2.125</v>
      </c>
      <c r="FX127" s="801">
        <f t="shared" si="52"/>
        <v>0</v>
      </c>
      <c r="FY127" s="801">
        <f t="shared" si="52"/>
        <v>0</v>
      </c>
      <c r="FZ127" s="801">
        <f t="shared" si="52"/>
        <v>0</v>
      </c>
      <c r="GA127" s="801">
        <f t="shared" si="52"/>
        <v>0</v>
      </c>
      <c r="GB127" s="2736"/>
      <c r="GC127" s="790">
        <f t="shared" si="33"/>
        <v>2.125</v>
      </c>
      <c r="GD127" s="139"/>
      <c r="GE127" s="139"/>
      <c r="GF127" s="139"/>
      <c r="GG127" s="139"/>
      <c r="GH127" s="139"/>
      <c r="GI127" s="139"/>
      <c r="GJ127" s="139"/>
      <c r="GK127" s="139"/>
      <c r="GL127" s="139"/>
      <c r="GM127" s="139"/>
      <c r="GN127" s="139"/>
      <c r="GO127" s="139"/>
      <c r="GP127" s="139"/>
      <c r="GQ127" s="139"/>
      <c r="GR127" s="139"/>
      <c r="GS127" s="139"/>
      <c r="GT127" s="139"/>
    </row>
    <row r="128" spans="1:202" s="139" customFormat="1" ht="18.75">
      <c r="A128" s="2263"/>
      <c r="B128" s="2263"/>
      <c r="C128" s="132"/>
      <c r="D128" s="132"/>
      <c r="E128" s="132"/>
      <c r="F128" s="132"/>
      <c r="G128" s="137"/>
      <c r="H128" s="132"/>
      <c r="I128" s="136"/>
      <c r="J128" s="132"/>
      <c r="K128" s="132"/>
      <c r="L128" s="132"/>
      <c r="M128" s="132"/>
      <c r="N128" s="134"/>
      <c r="O128" s="134"/>
      <c r="P128" s="134"/>
      <c r="Q128" s="134"/>
      <c r="R128" s="137"/>
      <c r="S128" s="778"/>
      <c r="T128" s="634"/>
      <c r="U128" s="102"/>
      <c r="V128" s="634"/>
      <c r="W128" s="102"/>
      <c r="X128" s="102"/>
      <c r="Y128" s="102"/>
      <c r="Z128" s="634"/>
      <c r="AA128" s="102"/>
      <c r="AB128" s="634"/>
      <c r="AC128" s="102"/>
      <c r="AD128" s="634"/>
      <c r="AE128" s="102"/>
      <c r="AF128" s="102"/>
      <c r="AG128" s="102"/>
      <c r="AH128" s="102"/>
      <c r="AI128" s="634"/>
      <c r="AJ128" s="102"/>
      <c r="AK128" s="634"/>
      <c r="AL128" s="102"/>
      <c r="AM128" s="779"/>
      <c r="AN128" s="634"/>
      <c r="AO128" s="102"/>
      <c r="AP128" s="634"/>
      <c r="AQ128" s="102"/>
      <c r="AR128" s="634"/>
      <c r="AS128" s="102"/>
      <c r="AT128" s="634"/>
      <c r="AU128" s="102"/>
      <c r="AV128" s="634"/>
      <c r="AW128" s="102"/>
      <c r="AX128" s="102"/>
      <c r="AY128" s="102"/>
      <c r="AZ128" s="102"/>
      <c r="BA128" s="102"/>
      <c r="BB128" s="102"/>
      <c r="BC128" s="102"/>
      <c r="BD128" s="634"/>
      <c r="BE128" s="102"/>
      <c r="BF128" s="634"/>
      <c r="BG128" s="102"/>
      <c r="BH128" s="634"/>
      <c r="BI128" s="102"/>
      <c r="BJ128" s="122"/>
      <c r="BK128" s="186"/>
      <c r="BL128" s="102"/>
      <c r="BM128" s="102"/>
      <c r="BN128" s="102"/>
      <c r="BO128" s="102"/>
      <c r="BP128" s="102"/>
      <c r="BQ128" s="102"/>
      <c r="BR128" s="102"/>
      <c r="BS128" s="102"/>
      <c r="BT128" s="634"/>
      <c r="BU128" s="102"/>
      <c r="BW128" s="780"/>
      <c r="CA128" s="781"/>
      <c r="CB128" s="2258"/>
      <c r="CC128" s="782"/>
      <c r="CD128" s="782"/>
      <c r="CE128" s="634"/>
      <c r="CF128" s="840"/>
      <c r="CG128" s="634"/>
      <c r="CH128" s="840"/>
      <c r="CI128" s="634"/>
      <c r="CK128" s="634"/>
      <c r="CM128" s="634"/>
      <c r="CN128" s="784"/>
      <c r="CO128" s="784"/>
      <c r="CP128" s="784"/>
      <c r="CQ128" s="634"/>
      <c r="CR128" s="102"/>
      <c r="CS128" s="784"/>
      <c r="CT128" s="784"/>
      <c r="CU128" s="784"/>
      <c r="CV128" s="784"/>
      <c r="CW128" s="634"/>
      <c r="CX128" s="102"/>
      <c r="CY128" s="784"/>
      <c r="CZ128" s="784"/>
      <c r="DA128" s="784"/>
      <c r="DB128" s="784"/>
      <c r="DC128" s="784"/>
      <c r="DD128" s="784"/>
      <c r="DE128" s="634"/>
      <c r="DF128" s="784"/>
      <c r="DG128" s="634"/>
      <c r="DH128" s="296"/>
      <c r="DI128" s="802"/>
      <c r="DJ128" s="785"/>
      <c r="DK128" s="771"/>
      <c r="DL128" s="786"/>
      <c r="DM128" s="787"/>
      <c r="DN128" s="787"/>
      <c r="DO128" s="787"/>
      <c r="DP128" s="787"/>
      <c r="DQ128" s="787"/>
      <c r="DR128" s="787"/>
      <c r="DS128" s="787"/>
      <c r="DT128" s="787"/>
      <c r="DU128" s="787"/>
      <c r="DV128" s="787"/>
      <c r="DW128" s="802"/>
      <c r="DX128" s="788"/>
      <c r="DY128" s="634"/>
      <c r="DZ128" s="2288"/>
      <c r="EA128" s="2231"/>
      <c r="EB128" s="187"/>
      <c r="EC128" s="2232"/>
      <c r="ED128" s="187"/>
      <c r="EE128" s="187"/>
      <c r="EF128" s="2232"/>
      <c r="EG128" s="245"/>
      <c r="EH128" s="2232"/>
      <c r="EI128" s="187"/>
      <c r="EJ128" s="2232"/>
      <c r="EK128" s="187"/>
      <c r="EL128" s="2232"/>
      <c r="EM128" s="195"/>
      <c r="EN128" s="2232"/>
      <c r="EO128" s="195"/>
      <c r="EP128" s="2232"/>
      <c r="EQ128" s="187"/>
      <c r="ER128" s="2232"/>
      <c r="ES128" s="187"/>
      <c r="ET128" s="2232"/>
      <c r="EU128" s="187">
        <f t="shared" si="32"/>
        <v>0</v>
      </c>
      <c r="EV128" s="2232"/>
      <c r="EW128" s="187"/>
      <c r="EX128" s="2232"/>
      <c r="EY128" s="195"/>
      <c r="EZ128" s="2232"/>
      <c r="FA128" s="195"/>
      <c r="FB128" s="2232"/>
      <c r="FC128" s="195"/>
      <c r="FD128" s="2232"/>
      <c r="FE128" s="195"/>
      <c r="FF128" s="2232"/>
      <c r="FG128" s="195"/>
      <c r="FH128" s="2232"/>
      <c r="FI128" s="195"/>
      <c r="FJ128" s="2232"/>
      <c r="FK128" s="195"/>
      <c r="FL128" s="2232"/>
      <c r="FM128" s="187"/>
      <c r="FN128" s="2232"/>
      <c r="FO128" s="187"/>
      <c r="FP128" s="2232"/>
      <c r="FQ128" s="187"/>
      <c r="FR128" s="195"/>
      <c r="FS128" s="195"/>
      <c r="FT128" s="789"/>
      <c r="FU128" s="789"/>
      <c r="FV128" s="789"/>
      <c r="FW128" s="789"/>
      <c r="FX128" s="789"/>
      <c r="FY128" s="789"/>
      <c r="FZ128" s="789"/>
      <c r="GA128" s="789"/>
      <c r="GB128" s="2286"/>
      <c r="GC128" s="776"/>
    </row>
    <row r="129" spans="1:202" s="127" customFormat="1" ht="15" customHeight="1">
      <c r="A129" s="2588"/>
      <c r="B129" s="2588">
        <v>47</v>
      </c>
      <c r="C129" s="911" t="s">
        <v>703</v>
      </c>
      <c r="D129" s="115">
        <v>2849</v>
      </c>
      <c r="E129" s="115">
        <v>5</v>
      </c>
      <c r="F129" s="763">
        <v>2028490005</v>
      </c>
      <c r="G129" s="120">
        <v>10000</v>
      </c>
      <c r="H129" s="115" t="s">
        <v>704</v>
      </c>
      <c r="I129" s="119"/>
      <c r="J129" s="115">
        <v>1</v>
      </c>
      <c r="K129" s="115">
        <v>0</v>
      </c>
      <c r="L129" s="115">
        <v>2</v>
      </c>
      <c r="M129" s="115">
        <v>6.5</v>
      </c>
      <c r="N129" s="117">
        <v>10000</v>
      </c>
      <c r="O129" s="117">
        <f>0.5*N129</f>
        <v>5000</v>
      </c>
      <c r="P129" s="117">
        <v>0</v>
      </c>
      <c r="Q129" s="117">
        <v>10000</v>
      </c>
      <c r="R129" s="120">
        <v>0</v>
      </c>
      <c r="S129" s="764" t="s">
        <v>711</v>
      </c>
      <c r="T129" s="2600">
        <f>SUM(U129:U130)</f>
        <v>0</v>
      </c>
      <c r="U129" s="122">
        <v>0</v>
      </c>
      <c r="V129" s="2600">
        <f>SUM(W129:W130)</f>
        <v>32000</v>
      </c>
      <c r="W129" s="122">
        <f>N129</f>
        <v>10000</v>
      </c>
      <c r="X129" s="122"/>
      <c r="Y129" s="122">
        <f>W129-AA129</f>
        <v>10000</v>
      </c>
      <c r="Z129" s="2600">
        <f>SUM(AA129:AA130)</f>
        <v>0</v>
      </c>
      <c r="AA129" s="122">
        <v>0</v>
      </c>
      <c r="AB129" s="2600">
        <f>SUM(AC129:AC130)</f>
        <v>0</v>
      </c>
      <c r="AC129" s="122">
        <v>0</v>
      </c>
      <c r="AD129" s="2600">
        <f>SUM(AE129:AE130)</f>
        <v>32000</v>
      </c>
      <c r="AE129" s="122">
        <f>AF129+AG129</f>
        <v>10000</v>
      </c>
      <c r="AF129" s="122">
        <f>0.5*Q129</f>
        <v>5000</v>
      </c>
      <c r="AG129" s="122">
        <f>0.5*Q129</f>
        <v>5000</v>
      </c>
      <c r="AH129" s="122">
        <v>0</v>
      </c>
      <c r="AI129" s="2600">
        <f>SUM(AJ129:AJ130)</f>
        <v>0</v>
      </c>
      <c r="AJ129" s="122">
        <v>0</v>
      </c>
      <c r="AK129" s="2600">
        <f>SUM(AL129:AL130)</f>
        <v>0</v>
      </c>
      <c r="AL129" s="122">
        <f>W129-(AA129+AC129+AE129+AH129+AJ129+AM129+AW129+AO129+AQ129+AS129+AU129)</f>
        <v>0</v>
      </c>
      <c r="AM129" s="765">
        <v>0</v>
      </c>
      <c r="AN129" s="2600">
        <f>SUM(AO129:AO130)</f>
        <v>0</v>
      </c>
      <c r="AO129" s="122">
        <v>0</v>
      </c>
      <c r="AP129" s="2600">
        <f>SUM(AQ129:AQ130)</f>
        <v>0</v>
      </c>
      <c r="AQ129" s="122">
        <v>0</v>
      </c>
      <c r="AR129" s="2600">
        <f>SUM(AS129:AS130)</f>
        <v>0</v>
      </c>
      <c r="AS129" s="122">
        <v>0</v>
      </c>
      <c r="AT129" s="2600">
        <f>SUM(AU129:AU130)</f>
        <v>0</v>
      </c>
      <c r="AU129" s="122">
        <v>0</v>
      </c>
      <c r="AV129" s="2600">
        <f>SUM(AW129:AW130)</f>
        <v>0</v>
      </c>
      <c r="AW129" s="122">
        <f>AX129+AY129+AZ129+BA129+BB129</f>
        <v>0</v>
      </c>
      <c r="AX129" s="122">
        <v>0</v>
      </c>
      <c r="AY129" s="122">
        <v>0</v>
      </c>
      <c r="AZ129" s="122">
        <v>0</v>
      </c>
      <c r="BA129" s="122">
        <v>0</v>
      </c>
      <c r="BB129" s="122">
        <v>0</v>
      </c>
      <c r="BC129" s="122">
        <v>0</v>
      </c>
      <c r="BD129" s="2600">
        <f>SUM(BE129:BE130)</f>
        <v>32000</v>
      </c>
      <c r="BE129" s="122">
        <f>ROUND(U129+W129,0)</f>
        <v>10000</v>
      </c>
      <c r="BF129" s="2600">
        <f>SUM(BG129:BG130)</f>
        <v>0</v>
      </c>
      <c r="BG129" s="122">
        <f>ROUND(U129/'[1]Projected Development Sites'!DF$134,0)</f>
        <v>0</v>
      </c>
      <c r="BH129" s="2600">
        <f>SUM(BI129:BI130)</f>
        <v>0</v>
      </c>
      <c r="BI129" s="122">
        <f>'[1]Projected Development Sites'!BG$135*BG129</f>
        <v>0</v>
      </c>
      <c r="BJ129" s="122">
        <f t="shared" si="38"/>
        <v>0</v>
      </c>
      <c r="BK129" s="129">
        <f>ROUND((AL129+AC129+AA129)/1000*3,0)+ROUND((AE129+AU129)/1000,0)+ROUND((ROUND(AH129/400,0))/2.67,0)+ROUND(AJ129/250,0)+ROUND(AO129/15000,0)+ROUND((AX129+AY129+AZ129+BB129)/1000*3,0)+ROUND(BG129/25,0)+ROUND(BU129/50,0)</f>
        <v>10</v>
      </c>
      <c r="BL129" s="122">
        <v>0</v>
      </c>
      <c r="BM129" s="122">
        <v>0</v>
      </c>
      <c r="BN129" s="122">
        <f>W129/1000</f>
        <v>10</v>
      </c>
      <c r="BO129" s="122">
        <f>AC129/1000</f>
        <v>0</v>
      </c>
      <c r="BP129" s="122">
        <f>((AH129/400)/12)</f>
        <v>0</v>
      </c>
      <c r="BQ129" s="122">
        <f>IFERROR(VLOOKUP(F129,#REF!,3,FALSE),0)</f>
        <v>0</v>
      </c>
      <c r="BR129" s="122" t="b">
        <f>IF(H129="M1-2",G129/1000)</f>
        <v>0</v>
      </c>
      <c r="BS129" s="122">
        <f>IF(BB129&gt;0,"Calculate",0)</f>
        <v>0</v>
      </c>
      <c r="BT129" s="2600">
        <f>SUM(BU129:BU130)</f>
        <v>10</v>
      </c>
      <c r="BU129" s="122">
        <f>SUM(BL129:BS129)</f>
        <v>10</v>
      </c>
      <c r="BV129" s="127">
        <v>10</v>
      </c>
      <c r="BW129" s="766" t="s">
        <v>705</v>
      </c>
      <c r="BX129" s="127">
        <v>4.5999999999999996</v>
      </c>
      <c r="BY129" s="127">
        <v>2</v>
      </c>
      <c r="BZ129" s="127">
        <v>4.5999999999999996</v>
      </c>
      <c r="CA129" s="767" t="s">
        <v>706</v>
      </c>
      <c r="CB129" s="2596" t="s">
        <v>844</v>
      </c>
      <c r="CC129" s="768">
        <f>(BX129*G129)-CF129</f>
        <v>37500</v>
      </c>
      <c r="CD129" s="2731">
        <f>SUM(CC129:CC130)</f>
        <v>97450</v>
      </c>
      <c r="CE129" s="2600">
        <f>SUM(CF129:CF130)</f>
        <v>17850</v>
      </c>
      <c r="CF129" s="838">
        <f>1*(G129)-(0.15*1*(G129))</f>
        <v>8500</v>
      </c>
      <c r="CG129" s="2600">
        <f>SUM(CH129:CH130)</f>
        <v>17850</v>
      </c>
      <c r="CH129" s="838">
        <f>CF129-CJ129</f>
        <v>8500</v>
      </c>
      <c r="CI129" s="2600">
        <f>SUM(CJ129:CJ130)</f>
        <v>0</v>
      </c>
      <c r="CJ129" s="127">
        <v>0</v>
      </c>
      <c r="CK129" s="2600">
        <f>SUM(CL129:CL130)</f>
        <v>9350</v>
      </c>
      <c r="CL129" s="127">
        <v>0</v>
      </c>
      <c r="CM129" s="2600">
        <f>SUM(CN129:CN130)</f>
        <v>8500</v>
      </c>
      <c r="CN129" s="122">
        <f>CF129-(CJ129+CL129+CO129+CP129+CR129+CU129+CV129+CX129)</f>
        <v>8500</v>
      </c>
      <c r="CO129" s="770">
        <v>0</v>
      </c>
      <c r="CP129" s="770">
        <v>0</v>
      </c>
      <c r="CQ129" s="2600">
        <f>SUM(CR129:CR130)</f>
        <v>0</v>
      </c>
      <c r="CR129" s="122">
        <v>0</v>
      </c>
      <c r="CS129" s="770">
        <v>0</v>
      </c>
      <c r="CT129" s="770">
        <v>0</v>
      </c>
      <c r="CU129" s="770">
        <v>0</v>
      </c>
      <c r="CV129" s="770">
        <v>0</v>
      </c>
      <c r="CW129" s="2600">
        <f>SUM(CX129:CX130)</f>
        <v>0</v>
      </c>
      <c r="CX129" s="122">
        <f>SUM(CY129:DC129)</f>
        <v>0</v>
      </c>
      <c r="CY129" s="770">
        <v>0</v>
      </c>
      <c r="CZ129" s="770">
        <v>0</v>
      </c>
      <c r="DA129" s="770">
        <v>0</v>
      </c>
      <c r="DB129" s="770">
        <v>0</v>
      </c>
      <c r="DC129" s="770">
        <v>0</v>
      </c>
      <c r="DD129" s="770"/>
      <c r="DE129" s="2600">
        <f>SUM(DF129:DF130)</f>
        <v>115300</v>
      </c>
      <c r="DF129" s="122">
        <f>CC129+CF129</f>
        <v>46000</v>
      </c>
      <c r="DG129" s="2600">
        <f>SUM(DH129:DH130)</f>
        <v>97.949999999999989</v>
      </c>
      <c r="DH129" s="127">
        <f>ROUND(CC129/'[1]Projected Development Sites'!DF$134,0)</f>
        <v>38</v>
      </c>
      <c r="DI129" s="2722">
        <f>SUM(DJ129:DJ130)</f>
        <v>97.949999999999989</v>
      </c>
      <c r="DJ129" s="773">
        <f>'[1]Projected Development Sites'!DK$136*DH129</f>
        <v>38</v>
      </c>
      <c r="DK129" s="771">
        <f>3.06*DH129</f>
        <v>116.28</v>
      </c>
      <c r="DL129" s="772">
        <f>ROUND((CN129+CL129+CJ129)/1000*3,0)+ROUND((ROUND(CP129/400,0))/2.67,0)+ROUND(CV129/1000,0)+ROUND((CY129+CZ129+DA129+DC129)/1000*3,0)+ROUND(DH129/25,0)+ROUND(DX129/50,0)</f>
        <v>28</v>
      </c>
      <c r="DM129" s="773">
        <v>0</v>
      </c>
      <c r="DN129" s="773"/>
      <c r="DO129" s="773">
        <v>0</v>
      </c>
      <c r="DP129" s="773">
        <f>0.25*DJ129</f>
        <v>9.5</v>
      </c>
      <c r="DQ129" s="773">
        <f>SUM(CO129,CJ129,CN129,CR129,CU129)/1000</f>
        <v>8.5</v>
      </c>
      <c r="DR129" s="773">
        <f>CL129/1000</f>
        <v>0</v>
      </c>
      <c r="DS129" s="773">
        <f>((CP129/400)/12)</f>
        <v>0</v>
      </c>
      <c r="DT129" s="773">
        <f>IF(CX129&gt;0,"Calculate",0)</f>
        <v>0</v>
      </c>
      <c r="DU129" s="773">
        <v>0</v>
      </c>
      <c r="DV129" s="773">
        <f>CX129/1000</f>
        <v>0</v>
      </c>
      <c r="DW129" s="2722">
        <f>SUM(DX129:DX130)</f>
        <v>8.5</v>
      </c>
      <c r="DX129" s="774">
        <f>SUM(DM129,DO129,DQ129:DV129)</f>
        <v>8.5</v>
      </c>
      <c r="DY129" s="2725">
        <v>115</v>
      </c>
      <c r="DZ129" s="2728">
        <f>CD129-T129</f>
        <v>97450</v>
      </c>
      <c r="EA129" s="2602">
        <f>CE129-V129</f>
        <v>-14150</v>
      </c>
      <c r="EB129" s="187">
        <f>CF129-W129</f>
        <v>-1500</v>
      </c>
      <c r="EC129" s="2602">
        <f>SUM(ED129:ED130)</f>
        <v>-14150</v>
      </c>
      <c r="ED129" s="187">
        <v>-1500</v>
      </c>
      <c r="EE129" s="187">
        <f>(SUM(CJ129:CO129))-(SUM(AA129:AE129,AL129))</f>
        <v>-15650</v>
      </c>
      <c r="EF129" s="2602">
        <f>SUM(EG129:EG130)</f>
        <v>8500</v>
      </c>
      <c r="EG129" s="187">
        <v>8500</v>
      </c>
      <c r="EH129" s="2602">
        <f>SUM(EI129:EI130)</f>
        <v>9350</v>
      </c>
      <c r="EI129" s="187">
        <f>CL129-AC129</f>
        <v>0</v>
      </c>
      <c r="EJ129" s="2602">
        <f>SUM(EK129:EK130)</f>
        <v>0</v>
      </c>
      <c r="EK129" s="187">
        <f>CJ129-AA129</f>
        <v>0</v>
      </c>
      <c r="EL129" s="2602">
        <f>SUM(EM129:EM130)</f>
        <v>-32000</v>
      </c>
      <c r="EM129" s="187">
        <f>CO129-AE129</f>
        <v>-10000</v>
      </c>
      <c r="EN129" s="2602">
        <f>SUM(EO129:EO130)</f>
        <v>0</v>
      </c>
      <c r="EO129" s="187">
        <f>CP129-AH129</f>
        <v>0</v>
      </c>
      <c r="EP129" s="2602">
        <f>SUM(EQ129:EQ130)</f>
        <v>0</v>
      </c>
      <c r="EQ129" s="187">
        <f>CR129-AJ129</f>
        <v>0</v>
      </c>
      <c r="ER129" s="2602">
        <f>SUM(ES129:ES130)</f>
        <v>0</v>
      </c>
      <c r="ES129" s="187">
        <f>CS129-AO129</f>
        <v>0</v>
      </c>
      <c r="ET129" s="2602">
        <f>SUM(EU129:EU130)</f>
        <v>0</v>
      </c>
      <c r="EU129" s="187">
        <f t="shared" si="32"/>
        <v>0</v>
      </c>
      <c r="EV129" s="2602">
        <f>SUM(EW129:EW130)</f>
        <v>0</v>
      </c>
      <c r="EW129" s="187">
        <f>CU129-AS129</f>
        <v>0</v>
      </c>
      <c r="EX129" s="2602">
        <f>SUM(EY129:EY130)</f>
        <v>0</v>
      </c>
      <c r="EY129" s="187">
        <f>CV129-AU129</f>
        <v>0</v>
      </c>
      <c r="EZ129" s="2602">
        <f>SUM(FA129:FA130)</f>
        <v>0</v>
      </c>
      <c r="FA129" s="187">
        <f>CY129-AX129</f>
        <v>0</v>
      </c>
      <c r="FB129" s="2602">
        <f>SUM(FC129:FC130)</f>
        <v>0</v>
      </c>
      <c r="FC129" s="187">
        <f>CZ129-AY129</f>
        <v>0</v>
      </c>
      <c r="FD129" s="2602">
        <f>SUM(FE129:FE130)</f>
        <v>0</v>
      </c>
      <c r="FE129" s="187">
        <f>DA129-AZ129</f>
        <v>0</v>
      </c>
      <c r="FF129" s="2602">
        <f>SUM(FG129:FG130)</f>
        <v>0</v>
      </c>
      <c r="FG129" s="187">
        <f>DB129-BA129</f>
        <v>0</v>
      </c>
      <c r="FH129" s="2602">
        <f>SUM(FI129:FI130)</f>
        <v>0</v>
      </c>
      <c r="FI129" s="187">
        <f>DC129-BB129</f>
        <v>0</v>
      </c>
      <c r="FJ129" s="2602">
        <f>SUM(FK129:FK130)</f>
        <v>0</v>
      </c>
      <c r="FK129" s="187">
        <f>CX129-AW129</f>
        <v>0</v>
      </c>
      <c r="FL129" s="2602">
        <f>SUM(FM129:FM130)</f>
        <v>83300</v>
      </c>
      <c r="FM129" s="187">
        <f>DF129-BE129</f>
        <v>36000</v>
      </c>
      <c r="FN129" s="2602">
        <f>SUM(FO129:FO130)</f>
        <v>97.949999999999989</v>
      </c>
      <c r="FO129" s="187">
        <f>DH129-BG129</f>
        <v>38</v>
      </c>
      <c r="FP129" s="2602">
        <f>SUM(FQ129:FQ130)</f>
        <v>97.949999999999989</v>
      </c>
      <c r="FQ129" s="187">
        <f t="shared" ref="FQ129:FT130" si="53">DJ129-BI129</f>
        <v>38</v>
      </c>
      <c r="FR129" s="187">
        <f t="shared" si="53"/>
        <v>116.28</v>
      </c>
      <c r="FS129" s="187">
        <f t="shared" si="53"/>
        <v>18</v>
      </c>
      <c r="FT129" s="775">
        <f t="shared" si="53"/>
        <v>0</v>
      </c>
      <c r="FU129" s="775">
        <f>DR129-BO129</f>
        <v>0</v>
      </c>
      <c r="FV129" s="775">
        <f>DO129-BM129</f>
        <v>0</v>
      </c>
      <c r="FW129" s="775">
        <f>DQ129-BN129</f>
        <v>-1.5</v>
      </c>
      <c r="FX129" s="775">
        <f t="shared" ref="FX129:GA130" si="54">DS129-BP129</f>
        <v>0</v>
      </c>
      <c r="FY129" s="775">
        <f t="shared" si="54"/>
        <v>0</v>
      </c>
      <c r="FZ129" s="775">
        <f t="shared" si="54"/>
        <v>0</v>
      </c>
      <c r="GA129" s="775">
        <f t="shared" si="54"/>
        <v>0</v>
      </c>
      <c r="GB129" s="2734">
        <f>SUM(GC129:GC130)</f>
        <v>-1.5</v>
      </c>
      <c r="GC129" s="776">
        <f t="shared" si="33"/>
        <v>-1.5</v>
      </c>
      <c r="GD129" s="139"/>
      <c r="GE129" s="139"/>
      <c r="GF129" s="139"/>
      <c r="GG129" s="139"/>
      <c r="GH129" s="139"/>
      <c r="GI129" s="139"/>
      <c r="GJ129" s="139"/>
      <c r="GK129" s="139"/>
      <c r="GL129" s="139"/>
      <c r="GM129" s="139"/>
      <c r="GN129" s="139"/>
      <c r="GO129" s="139"/>
      <c r="GP129" s="139"/>
      <c r="GQ129" s="139"/>
      <c r="GR129" s="139"/>
      <c r="GS129" s="139"/>
      <c r="GT129" s="139"/>
    </row>
    <row r="130" spans="1:202" s="81" customFormat="1" ht="15" customHeight="1">
      <c r="A130" s="2589"/>
      <c r="B130" s="2589"/>
      <c r="C130" s="66" t="s">
        <v>710</v>
      </c>
      <c r="D130" s="66">
        <v>2849</v>
      </c>
      <c r="E130" s="66">
        <v>1</v>
      </c>
      <c r="F130" s="841">
        <v>2028490001</v>
      </c>
      <c r="G130" s="71">
        <v>11000</v>
      </c>
      <c r="H130" s="66" t="s">
        <v>704</v>
      </c>
      <c r="I130" s="70"/>
      <c r="J130" s="66">
        <v>2</v>
      </c>
      <c r="K130" s="66">
        <v>0</v>
      </c>
      <c r="L130" s="66">
        <v>2</v>
      </c>
      <c r="M130" s="66">
        <v>6.5</v>
      </c>
      <c r="N130" s="68">
        <v>22000</v>
      </c>
      <c r="O130" s="68">
        <v>22000</v>
      </c>
      <c r="P130" s="68">
        <v>0</v>
      </c>
      <c r="Q130" s="68">
        <v>22000</v>
      </c>
      <c r="R130" s="71">
        <v>0</v>
      </c>
      <c r="S130" s="791" t="s">
        <v>711</v>
      </c>
      <c r="T130" s="2601"/>
      <c r="U130" s="74">
        <v>0</v>
      </c>
      <c r="V130" s="2601"/>
      <c r="W130" s="74">
        <f>N130</f>
        <v>22000</v>
      </c>
      <c r="X130" s="74"/>
      <c r="Y130" s="74">
        <f>W130-AA130</f>
        <v>22000</v>
      </c>
      <c r="Z130" s="2601"/>
      <c r="AA130" s="74">
        <v>0</v>
      </c>
      <c r="AB130" s="2601"/>
      <c r="AC130" s="74">
        <v>0</v>
      </c>
      <c r="AD130" s="2601"/>
      <c r="AE130" s="74">
        <f>AG130+AF130</f>
        <v>22000</v>
      </c>
      <c r="AF130" s="74">
        <v>0</v>
      </c>
      <c r="AG130" s="74">
        <f>O130</f>
        <v>22000</v>
      </c>
      <c r="AH130" s="74">
        <v>0</v>
      </c>
      <c r="AI130" s="2601"/>
      <c r="AJ130" s="74">
        <v>0</v>
      </c>
      <c r="AK130" s="2601"/>
      <c r="AL130" s="74">
        <f>W130-(AA130+AC130+AE130+AH130+AJ130+AM130+AW130+AO130+AQ130+AS130+AU130)</f>
        <v>0</v>
      </c>
      <c r="AM130" s="792">
        <v>0</v>
      </c>
      <c r="AN130" s="2601"/>
      <c r="AO130" s="74">
        <v>0</v>
      </c>
      <c r="AP130" s="2601"/>
      <c r="AQ130" s="74">
        <v>0</v>
      </c>
      <c r="AR130" s="2601"/>
      <c r="AS130" s="74">
        <v>0</v>
      </c>
      <c r="AT130" s="2601"/>
      <c r="AU130" s="74">
        <v>0</v>
      </c>
      <c r="AV130" s="2601"/>
      <c r="AW130" s="74">
        <f>AX130+AY130+AZ130+BA130+BB130</f>
        <v>0</v>
      </c>
      <c r="AX130" s="74">
        <v>0</v>
      </c>
      <c r="AY130" s="74">
        <v>0</v>
      </c>
      <c r="AZ130" s="74">
        <v>0</v>
      </c>
      <c r="BA130" s="74">
        <v>0</v>
      </c>
      <c r="BB130" s="74">
        <v>0</v>
      </c>
      <c r="BC130" s="74">
        <v>0</v>
      </c>
      <c r="BD130" s="2601"/>
      <c r="BE130" s="74">
        <f>ROUND(U130+W130,0)</f>
        <v>22000</v>
      </c>
      <c r="BF130" s="2601"/>
      <c r="BG130" s="74">
        <f>U130/1000</f>
        <v>0</v>
      </c>
      <c r="BH130" s="2601"/>
      <c r="BI130" s="74">
        <v>0</v>
      </c>
      <c r="BJ130" s="102">
        <f t="shared" si="38"/>
        <v>0</v>
      </c>
      <c r="BK130" s="88">
        <f>ROUND((Y130+AC130+AA130)/1000*3,0)+ROUND((AE130+AU130)/1000,0)+ROUND((ROUND(AH130/400,0))/2.67,0)+ROUND(AM130/250,0)+ROUND(AO130/15000,0)+ROUND((AX130+AY130+AZ130+BB130)/1000*3,0)+ROUND(BG130/25,0)+ROUND('A-App Potential sites'!BU174/50,0)</f>
        <v>88</v>
      </c>
      <c r="BL130" s="74">
        <v>0</v>
      </c>
      <c r="BM130" s="74">
        <v>0</v>
      </c>
      <c r="BN130" s="74">
        <v>0</v>
      </c>
      <c r="BO130" s="74">
        <f>AC130/1000</f>
        <v>0</v>
      </c>
      <c r="BP130" s="74">
        <f>AH130/1000</f>
        <v>0</v>
      </c>
      <c r="BQ130" s="74">
        <v>0</v>
      </c>
      <c r="BR130" s="74">
        <v>0</v>
      </c>
      <c r="BS130" s="74">
        <v>0</v>
      </c>
      <c r="BT130" s="2601"/>
      <c r="BU130" s="74">
        <f>SUM(BL130:BS130)</f>
        <v>0</v>
      </c>
      <c r="BV130" s="81">
        <v>25</v>
      </c>
      <c r="BW130" s="793" t="s">
        <v>705</v>
      </c>
      <c r="BX130" s="81">
        <v>4.5999999999999996</v>
      </c>
      <c r="BY130" s="81">
        <v>2</v>
      </c>
      <c r="BZ130" s="81">
        <v>4.5999999999999996</v>
      </c>
      <c r="CA130" s="794" t="s">
        <v>706</v>
      </c>
      <c r="CB130" s="2597"/>
      <c r="CC130" s="795">
        <f>(BX130*G130)+CL130</f>
        <v>59949.999999999993</v>
      </c>
      <c r="CD130" s="2733"/>
      <c r="CE130" s="2601"/>
      <c r="CF130" s="843">
        <f>1*(G130)-(0.15*1*(G130))</f>
        <v>9350</v>
      </c>
      <c r="CG130" s="2601"/>
      <c r="CH130" s="843">
        <f>CF130-CJ130</f>
        <v>9350</v>
      </c>
      <c r="CI130" s="2601"/>
      <c r="CJ130" s="81">
        <v>0</v>
      </c>
      <c r="CK130" s="2601"/>
      <c r="CL130" s="81">
        <f>CF130</f>
        <v>9350</v>
      </c>
      <c r="CM130" s="2601"/>
      <c r="CN130" s="74">
        <f>CF130-(CJ130+CL130+CO130+CP130+CR130+CU130+CV130+CX130)</f>
        <v>0</v>
      </c>
      <c r="CO130" s="797"/>
      <c r="CP130" s="797"/>
      <c r="CQ130" s="2601"/>
      <c r="CR130" s="74"/>
      <c r="CS130" s="797">
        <v>0</v>
      </c>
      <c r="CT130" s="797">
        <v>0</v>
      </c>
      <c r="CU130" s="797">
        <v>0</v>
      </c>
      <c r="CV130" s="797">
        <v>0</v>
      </c>
      <c r="CW130" s="2601"/>
      <c r="CX130" s="74">
        <f>SUM(CY130:DC130)</f>
        <v>0</v>
      </c>
      <c r="CY130" s="797">
        <f>AX130</f>
        <v>0</v>
      </c>
      <c r="CZ130" s="797">
        <f>AY130</f>
        <v>0</v>
      </c>
      <c r="DA130" s="797">
        <f>AZ130</f>
        <v>0</v>
      </c>
      <c r="DB130" s="797">
        <f>BA130</f>
        <v>0</v>
      </c>
      <c r="DC130" s="797">
        <f>BB130</f>
        <v>0</v>
      </c>
      <c r="DD130" s="797"/>
      <c r="DE130" s="2601"/>
      <c r="DF130" s="74">
        <f>CC130+CF130</f>
        <v>69300</v>
      </c>
      <c r="DG130" s="2601"/>
      <c r="DH130" s="303">
        <f>CC130/'[1]Projected Development Sites'!DF$134</f>
        <v>59.949999999999996</v>
      </c>
      <c r="DI130" s="2724"/>
      <c r="DJ130" s="798">
        <f>'[1]Projected Development Sites'!DK$136*DH130</f>
        <v>59.949999999999996</v>
      </c>
      <c r="DK130" s="785">
        <f>3.06*DH130</f>
        <v>183.447</v>
      </c>
      <c r="DL130" s="917">
        <f>ROUND((CN130+CL130+CJ130)/1000*3,0)+ROUND((ROUND(CP130/400,0))/2.67,0)+ROUND(CV130/1000,0)+ROUND((CY130+CZ130+DA130+DC130)/1000*3,0)+ROUND(DH130/25,0)+ROUND(DX130/50,0)</f>
        <v>30</v>
      </c>
      <c r="DM130" s="799">
        <v>0</v>
      </c>
      <c r="DN130" s="799"/>
      <c r="DO130" s="799">
        <v>0</v>
      </c>
      <c r="DP130" s="799">
        <f>0.25*DJ130</f>
        <v>14.987499999999999</v>
      </c>
      <c r="DQ130" s="799">
        <f>SUM(CO130,CJ130,CN130,CR130,CU130)/1000</f>
        <v>0</v>
      </c>
      <c r="DR130" s="799">
        <v>0</v>
      </c>
      <c r="DS130" s="799">
        <f>((CP130/400)/12)</f>
        <v>0</v>
      </c>
      <c r="DT130" s="799">
        <f>IF(CX130&gt;0,"Calculate",0)</f>
        <v>0</v>
      </c>
      <c r="DU130" s="799">
        <v>0</v>
      </c>
      <c r="DV130" s="799">
        <f>CX130/1000</f>
        <v>0</v>
      </c>
      <c r="DW130" s="2724"/>
      <c r="DX130" s="800">
        <f>SUM(DM130,DO130,DQ130:DV130)</f>
        <v>0</v>
      </c>
      <c r="DY130" s="2727"/>
      <c r="DZ130" s="2730"/>
      <c r="EA130" s="2603"/>
      <c r="EB130" s="195">
        <f>CF130-W130</f>
        <v>-12650</v>
      </c>
      <c r="EC130" s="2603"/>
      <c r="ED130" s="190">
        <v>-12650</v>
      </c>
      <c r="EE130" s="195">
        <f>(SUM(CJ130:CO130))-(SUM(AA130:AE130,AL130))</f>
        <v>-12650</v>
      </c>
      <c r="EF130" s="2603"/>
      <c r="EG130" s="190">
        <v>0</v>
      </c>
      <c r="EH130" s="2603"/>
      <c r="EI130" s="195">
        <f>CL130-AC130</f>
        <v>9350</v>
      </c>
      <c r="EJ130" s="2603"/>
      <c r="EK130" s="195">
        <f>CJ130-AA130</f>
        <v>0</v>
      </c>
      <c r="EL130" s="2603"/>
      <c r="EM130" s="190">
        <f>CO130-AE130</f>
        <v>-22000</v>
      </c>
      <c r="EN130" s="2603"/>
      <c r="EO130" s="190">
        <f>CP130-AH130</f>
        <v>0</v>
      </c>
      <c r="EP130" s="2603"/>
      <c r="EQ130" s="195">
        <f>CR130-AJ130</f>
        <v>0</v>
      </c>
      <c r="ER130" s="2603"/>
      <c r="ES130" s="195">
        <f>CS130-AO130</f>
        <v>0</v>
      </c>
      <c r="ET130" s="2603"/>
      <c r="EU130" s="190">
        <f t="shared" si="32"/>
        <v>0</v>
      </c>
      <c r="EV130" s="2603"/>
      <c r="EW130" s="195">
        <f>CU130-AS130</f>
        <v>0</v>
      </c>
      <c r="EX130" s="2603"/>
      <c r="EY130" s="190">
        <f>CV130-AU130</f>
        <v>0</v>
      </c>
      <c r="EZ130" s="2603"/>
      <c r="FA130" s="190">
        <f>CY130-AX130</f>
        <v>0</v>
      </c>
      <c r="FB130" s="2603"/>
      <c r="FC130" s="190">
        <f>CZ130-AY130</f>
        <v>0</v>
      </c>
      <c r="FD130" s="2603"/>
      <c r="FE130" s="190">
        <f>DA130-AZ130</f>
        <v>0</v>
      </c>
      <c r="FF130" s="2603"/>
      <c r="FG130" s="190">
        <f>DB130-BA130</f>
        <v>0</v>
      </c>
      <c r="FH130" s="2603"/>
      <c r="FI130" s="190">
        <f>DC130-BB130</f>
        <v>0</v>
      </c>
      <c r="FJ130" s="2603"/>
      <c r="FK130" s="190">
        <f>CX130-AW130</f>
        <v>0</v>
      </c>
      <c r="FL130" s="2603"/>
      <c r="FM130" s="195">
        <f>DF130-BE130</f>
        <v>47300</v>
      </c>
      <c r="FN130" s="2603"/>
      <c r="FO130" s="195">
        <f>DH130-BG130</f>
        <v>59.949999999999996</v>
      </c>
      <c r="FP130" s="2603"/>
      <c r="FQ130" s="195">
        <f t="shared" si="53"/>
        <v>59.949999999999996</v>
      </c>
      <c r="FR130" s="190">
        <f t="shared" si="53"/>
        <v>183.447</v>
      </c>
      <c r="FS130" s="190">
        <f t="shared" si="53"/>
        <v>-58</v>
      </c>
      <c r="FT130" s="801">
        <f t="shared" si="53"/>
        <v>0</v>
      </c>
      <c r="FU130" s="801">
        <f>DR130-BO130</f>
        <v>0</v>
      </c>
      <c r="FV130" s="801">
        <f>DO130-BM130</f>
        <v>0</v>
      </c>
      <c r="FW130" s="801">
        <f>DQ130-BN130</f>
        <v>0</v>
      </c>
      <c r="FX130" s="801">
        <f t="shared" si="54"/>
        <v>0</v>
      </c>
      <c r="FY130" s="801">
        <f t="shared" si="54"/>
        <v>0</v>
      </c>
      <c r="FZ130" s="801">
        <f t="shared" si="54"/>
        <v>0</v>
      </c>
      <c r="GA130" s="801">
        <f t="shared" si="54"/>
        <v>0</v>
      </c>
      <c r="GB130" s="2736"/>
      <c r="GC130" s="845">
        <f t="shared" si="33"/>
        <v>0</v>
      </c>
      <c r="GD130" s="139"/>
      <c r="GE130" s="139"/>
      <c r="GF130" s="139"/>
      <c r="GG130" s="139"/>
      <c r="GH130" s="139"/>
      <c r="GI130" s="139"/>
      <c r="GJ130" s="139"/>
      <c r="GK130" s="139"/>
      <c r="GL130" s="139"/>
      <c r="GM130" s="139"/>
      <c r="GN130" s="139"/>
      <c r="GO130" s="139"/>
      <c r="GP130" s="139"/>
      <c r="GQ130" s="139"/>
      <c r="GR130" s="139"/>
      <c r="GS130" s="139"/>
      <c r="GT130" s="139"/>
    </row>
    <row r="131" spans="1:202" s="139" customFormat="1" ht="18.75">
      <c r="A131" s="2263"/>
      <c r="B131" s="2263"/>
      <c r="C131" s="132"/>
      <c r="D131" s="132"/>
      <c r="E131" s="132"/>
      <c r="F131" s="777"/>
      <c r="G131" s="137"/>
      <c r="H131" s="132"/>
      <c r="I131" s="136"/>
      <c r="J131" s="132"/>
      <c r="K131" s="132"/>
      <c r="L131" s="132"/>
      <c r="M131" s="132"/>
      <c r="N131" s="134"/>
      <c r="O131" s="134"/>
      <c r="P131" s="134"/>
      <c r="Q131" s="134"/>
      <c r="R131" s="137"/>
      <c r="S131" s="778"/>
      <c r="T131" s="634"/>
      <c r="U131" s="102"/>
      <c r="V131" s="634"/>
      <c r="W131" s="102"/>
      <c r="X131" s="102"/>
      <c r="Y131" s="102"/>
      <c r="Z131" s="634"/>
      <c r="AA131" s="102"/>
      <c r="AB131" s="634"/>
      <c r="AC131" s="102"/>
      <c r="AD131" s="634"/>
      <c r="AE131" s="102"/>
      <c r="AF131" s="102"/>
      <c r="AG131" s="102"/>
      <c r="AH131" s="102"/>
      <c r="AI131" s="634"/>
      <c r="AJ131" s="102"/>
      <c r="AK131" s="634"/>
      <c r="AL131" s="102"/>
      <c r="AM131" s="779"/>
      <c r="AN131" s="634"/>
      <c r="AO131" s="102"/>
      <c r="AP131" s="634"/>
      <c r="AQ131" s="102"/>
      <c r="AR131" s="634"/>
      <c r="AS131" s="102"/>
      <c r="AT131" s="634"/>
      <c r="AU131" s="102"/>
      <c r="AV131" s="634"/>
      <c r="AW131" s="102"/>
      <c r="AX131" s="102"/>
      <c r="AY131" s="102"/>
      <c r="AZ131" s="102"/>
      <c r="BA131" s="102"/>
      <c r="BB131" s="102"/>
      <c r="BC131" s="102"/>
      <c r="BD131" s="634"/>
      <c r="BE131" s="102"/>
      <c r="BF131" s="634"/>
      <c r="BG131" s="102"/>
      <c r="BH131" s="634"/>
      <c r="BI131" s="102"/>
      <c r="BJ131" s="122"/>
      <c r="BK131" s="186"/>
      <c r="BL131" s="102"/>
      <c r="BM131" s="102"/>
      <c r="BN131" s="102"/>
      <c r="BO131" s="102"/>
      <c r="BP131" s="102"/>
      <c r="BQ131" s="102"/>
      <c r="BR131" s="102"/>
      <c r="BS131" s="102"/>
      <c r="BT131" s="634"/>
      <c r="BU131" s="102"/>
      <c r="BW131" s="780"/>
      <c r="CA131" s="781"/>
      <c r="CB131" s="2258"/>
      <c r="CC131" s="782"/>
      <c r="CD131" s="782"/>
      <c r="CE131" s="634"/>
      <c r="CF131" s="840"/>
      <c r="CG131" s="634"/>
      <c r="CH131" s="840"/>
      <c r="CI131" s="634"/>
      <c r="CK131" s="634"/>
      <c r="CM131" s="634"/>
      <c r="CN131" s="102"/>
      <c r="CO131" s="784"/>
      <c r="CP131" s="784"/>
      <c r="CQ131" s="634"/>
      <c r="CR131" s="102"/>
      <c r="CS131" s="784"/>
      <c r="CT131" s="784"/>
      <c r="CU131" s="784"/>
      <c r="CV131" s="784"/>
      <c r="CW131" s="634"/>
      <c r="CX131" s="102"/>
      <c r="CY131" s="784"/>
      <c r="CZ131" s="784"/>
      <c r="DA131" s="784"/>
      <c r="DB131" s="784"/>
      <c r="DC131" s="784"/>
      <c r="DD131" s="784"/>
      <c r="DE131" s="634"/>
      <c r="DF131" s="102"/>
      <c r="DG131" s="634"/>
      <c r="DH131" s="296"/>
      <c r="DI131" s="802"/>
      <c r="DJ131" s="785"/>
      <c r="DK131" s="771"/>
      <c r="DL131" s="786"/>
      <c r="DM131" s="787"/>
      <c r="DN131" s="787"/>
      <c r="DO131" s="787"/>
      <c r="DP131" s="787"/>
      <c r="DQ131" s="787"/>
      <c r="DR131" s="787"/>
      <c r="DS131" s="787"/>
      <c r="DT131" s="787"/>
      <c r="DU131" s="787"/>
      <c r="DV131" s="787"/>
      <c r="DW131" s="802"/>
      <c r="DX131" s="788"/>
      <c r="DY131" s="634"/>
      <c r="DZ131" s="2288"/>
      <c r="EA131" s="2231"/>
      <c r="EB131" s="187"/>
      <c r="EC131" s="2232"/>
      <c r="ED131" s="187"/>
      <c r="EE131" s="187"/>
      <c r="EF131" s="2232"/>
      <c r="EG131" s="187"/>
      <c r="EH131" s="2232"/>
      <c r="EI131" s="187"/>
      <c r="EJ131" s="2232"/>
      <c r="EK131" s="187"/>
      <c r="EL131" s="2232"/>
      <c r="EM131" s="195"/>
      <c r="EN131" s="2232"/>
      <c r="EO131" s="195"/>
      <c r="EP131" s="2232"/>
      <c r="EQ131" s="187"/>
      <c r="ER131" s="2232"/>
      <c r="ES131" s="187"/>
      <c r="ET131" s="2232"/>
      <c r="EU131" s="187">
        <f t="shared" si="32"/>
        <v>0</v>
      </c>
      <c r="EV131" s="2232"/>
      <c r="EW131" s="187"/>
      <c r="EX131" s="2232"/>
      <c r="EY131" s="195"/>
      <c r="EZ131" s="2232"/>
      <c r="FA131" s="195"/>
      <c r="FB131" s="2232"/>
      <c r="FC131" s="195"/>
      <c r="FD131" s="2232"/>
      <c r="FE131" s="195"/>
      <c r="FF131" s="2232"/>
      <c r="FG131" s="195"/>
      <c r="FH131" s="2232"/>
      <c r="FI131" s="195"/>
      <c r="FJ131" s="2232"/>
      <c r="FK131" s="195"/>
      <c r="FL131" s="2232"/>
      <c r="FM131" s="187"/>
      <c r="FN131" s="2232"/>
      <c r="FO131" s="187"/>
      <c r="FP131" s="2232"/>
      <c r="FQ131" s="187"/>
      <c r="FR131" s="195"/>
      <c r="FS131" s="195"/>
      <c r="FT131" s="789"/>
      <c r="FU131" s="789"/>
      <c r="FV131" s="789"/>
      <c r="FW131" s="789"/>
      <c r="FX131" s="789"/>
      <c r="FY131" s="789"/>
      <c r="FZ131" s="789"/>
      <c r="GA131" s="789"/>
      <c r="GB131" s="2286"/>
      <c r="GC131" s="776"/>
    </row>
    <row r="132" spans="1:202" s="127" customFormat="1" ht="15" customHeight="1">
      <c r="A132" s="2588"/>
      <c r="B132" s="2588">
        <v>48</v>
      </c>
      <c r="C132" s="911" t="s">
        <v>703</v>
      </c>
      <c r="D132" s="115">
        <v>2848</v>
      </c>
      <c r="E132" s="115">
        <v>12</v>
      </c>
      <c r="F132" s="763">
        <v>2028480012</v>
      </c>
      <c r="G132" s="120">
        <v>9000</v>
      </c>
      <c r="H132" s="115" t="s">
        <v>704</v>
      </c>
      <c r="I132" s="119"/>
      <c r="J132" s="115">
        <v>1.89</v>
      </c>
      <c r="K132" s="115">
        <v>0</v>
      </c>
      <c r="L132" s="115">
        <v>2</v>
      </c>
      <c r="M132" s="115">
        <v>6.5</v>
      </c>
      <c r="N132" s="117">
        <v>17000</v>
      </c>
      <c r="O132" s="117">
        <f>AE132</f>
        <v>14000</v>
      </c>
      <c r="P132" s="117">
        <v>0</v>
      </c>
      <c r="Q132" s="117">
        <v>17000</v>
      </c>
      <c r="R132" s="120">
        <v>0</v>
      </c>
      <c r="S132" s="764" t="s">
        <v>875</v>
      </c>
      <c r="T132" s="2600">
        <f>SUM(U132:U133)</f>
        <v>0</v>
      </c>
      <c r="U132" s="122">
        <v>0</v>
      </c>
      <c r="V132" s="2600">
        <f>SUM(W132:W133)</f>
        <v>22538</v>
      </c>
      <c r="W132" s="122">
        <f>N132</f>
        <v>17000</v>
      </c>
      <c r="X132" s="122"/>
      <c r="Y132" s="122">
        <f>W132-AA132</f>
        <v>17000</v>
      </c>
      <c r="Z132" s="2600">
        <f>SUM(AA132:AA133)</f>
        <v>1000</v>
      </c>
      <c r="AA132" s="122">
        <v>0</v>
      </c>
      <c r="AB132" s="2600">
        <f>SUM(AC132:AC133)</f>
        <v>0</v>
      </c>
      <c r="AC132" s="122">
        <v>0</v>
      </c>
      <c r="AD132" s="2600">
        <f>SUM(AE132:AE133)</f>
        <v>16769</v>
      </c>
      <c r="AE132" s="122">
        <f>AG132+AF132</f>
        <v>14000</v>
      </c>
      <c r="AF132" s="122">
        <v>0</v>
      </c>
      <c r="AG132" s="122">
        <v>14000</v>
      </c>
      <c r="AH132" s="122">
        <v>0</v>
      </c>
      <c r="AI132" s="2600">
        <f>SUM(AJ132:AJ133)</f>
        <v>538</v>
      </c>
      <c r="AJ132" s="122">
        <v>0</v>
      </c>
      <c r="AK132" s="2600">
        <f>SUM(AL132:AL133)</f>
        <v>0</v>
      </c>
      <c r="AL132" s="122">
        <f>W132-(AA132+AC132+AE132+AH132+AJ132+AM132+AW132+AO132+AQ132+AS132+AU132)</f>
        <v>0</v>
      </c>
      <c r="AM132" s="765">
        <v>0</v>
      </c>
      <c r="AN132" s="2600">
        <f>SUM(AO132:AO133)</f>
        <v>0</v>
      </c>
      <c r="AO132" s="122">
        <v>0</v>
      </c>
      <c r="AP132" s="2600">
        <f>SUM(AQ132:AQ133)</f>
        <v>1231</v>
      </c>
      <c r="AQ132" s="122">
        <v>0</v>
      </c>
      <c r="AR132" s="2600">
        <f>SUM(AS132:AS133)</f>
        <v>3000</v>
      </c>
      <c r="AS132" s="122">
        <v>3000</v>
      </c>
      <c r="AT132" s="2600">
        <f>SUM(AU132:AU133)</f>
        <v>0</v>
      </c>
      <c r="AU132" s="122">
        <v>0</v>
      </c>
      <c r="AV132" s="2600">
        <f>SUM(AW132:AW133)</f>
        <v>0</v>
      </c>
      <c r="AW132" s="122">
        <f>AX132+AY132+AZ132+BA132+BB132</f>
        <v>0</v>
      </c>
      <c r="AX132" s="122">
        <v>0</v>
      </c>
      <c r="AY132" s="122">
        <v>0</v>
      </c>
      <c r="AZ132" s="122">
        <v>0</v>
      </c>
      <c r="BA132" s="122">
        <v>0</v>
      </c>
      <c r="BB132" s="122">
        <v>0</v>
      </c>
      <c r="BC132" s="122">
        <v>0</v>
      </c>
      <c r="BD132" s="2600">
        <f>SUM(BE132:BE133)</f>
        <v>22538</v>
      </c>
      <c r="BE132" s="122">
        <f>U132+W132</f>
        <v>17000</v>
      </c>
      <c r="BF132" s="2600">
        <f>SUM(BG132:BG133)</f>
        <v>0</v>
      </c>
      <c r="BG132" s="122">
        <f>ROUND(U132/'[1]Projected Development Sites'!DF$134,0)</f>
        <v>0</v>
      </c>
      <c r="BH132" s="2600">
        <f>SUM(BI132:BI133)</f>
        <v>0</v>
      </c>
      <c r="BI132" s="122">
        <f>'[1]Projected Development Sites'!BG$135*BG132</f>
        <v>0</v>
      </c>
      <c r="BJ132" s="122">
        <f t="shared" si="38"/>
        <v>0</v>
      </c>
      <c r="BK132" s="129">
        <f>ROUND((Y132+AC132+AA132)/1000*3,0)+ROUND((AE132+AU132)/1000,0)+ROUND((ROUND(AH132/400,0))/2.67,0)+ROUND(AM132/250,0)+ROUND(AO132/15000,0)+ROUND((AX132+AY132+AZ132+BB132)/1000*3,0)+ROUND(BG132/25,0)+ROUND(BU346/50,0)</f>
        <v>65</v>
      </c>
      <c r="BL132" s="122">
        <v>0</v>
      </c>
      <c r="BM132" s="122">
        <v>0</v>
      </c>
      <c r="BN132" s="122">
        <f>W132/1000</f>
        <v>17</v>
      </c>
      <c r="BO132" s="122">
        <f>AC132/1000</f>
        <v>0</v>
      </c>
      <c r="BP132" s="122">
        <f>((AH132/400)/12)</f>
        <v>0</v>
      </c>
      <c r="BQ132" s="122">
        <f>IFERROR(VLOOKUP(F132,#REF!,3,FALSE),0)</f>
        <v>0</v>
      </c>
      <c r="BR132" s="122" t="b">
        <f>IF(H132="M1-2",G132/1000)</f>
        <v>0</v>
      </c>
      <c r="BS132" s="122">
        <f>IF(BB132&gt;0,"Calculate",0)</f>
        <v>0</v>
      </c>
      <c r="BT132" s="2600">
        <f>SUM(BU132:BU133)</f>
        <v>22.538</v>
      </c>
      <c r="BU132" s="122">
        <f>SUM(BL132:BS132)</f>
        <v>17</v>
      </c>
      <c r="BV132" s="127">
        <v>20</v>
      </c>
      <c r="BW132" s="766" t="s">
        <v>705</v>
      </c>
      <c r="BX132" s="127">
        <v>4.5999999999999996</v>
      </c>
      <c r="BY132" s="127">
        <v>2</v>
      </c>
      <c r="BZ132" s="127">
        <v>4.5999999999999996</v>
      </c>
      <c r="CA132" s="767" t="s">
        <v>706</v>
      </c>
      <c r="CB132" s="2596" t="s">
        <v>716</v>
      </c>
      <c r="CC132" s="768">
        <f>(BX132*G132)-CF132</f>
        <v>33750</v>
      </c>
      <c r="CD132" s="2731">
        <f>SUM(CC132:CC133)</f>
        <v>52500</v>
      </c>
      <c r="CE132" s="2600">
        <f>SUM(CF132:CF133)</f>
        <v>11900</v>
      </c>
      <c r="CF132" s="838">
        <f>1*(G132)-(0.15*1*(G132))</f>
        <v>7650</v>
      </c>
      <c r="CG132" s="2600">
        <f>SUM(CH132:CH133)</f>
        <v>0</v>
      </c>
      <c r="CH132" s="838">
        <f>CF132-CJ132</f>
        <v>0</v>
      </c>
      <c r="CI132" s="2600">
        <f>SUM(CJ132:CJ133)</f>
        <v>11900</v>
      </c>
      <c r="CJ132" s="768">
        <f>CF132</f>
        <v>7650</v>
      </c>
      <c r="CK132" s="2600">
        <f>SUM(CL132:CL133)</f>
        <v>0</v>
      </c>
      <c r="CL132" s="127">
        <v>0</v>
      </c>
      <c r="CM132" s="2600">
        <f>SUM(CN132:CN133)</f>
        <v>0</v>
      </c>
      <c r="CN132" s="122">
        <v>0</v>
      </c>
      <c r="CO132" s="770">
        <v>0</v>
      </c>
      <c r="CP132" s="770">
        <v>0</v>
      </c>
      <c r="CQ132" s="2600">
        <f>SUM(CR132:CR133)</f>
        <v>0</v>
      </c>
      <c r="CR132" s="122">
        <v>0</v>
      </c>
      <c r="CS132" s="770">
        <v>0</v>
      </c>
      <c r="CT132" s="770">
        <v>0</v>
      </c>
      <c r="CU132" s="770">
        <v>0</v>
      </c>
      <c r="CV132" s="770">
        <v>0</v>
      </c>
      <c r="CW132" s="2600">
        <f>SUM(CX132:CX133)</f>
        <v>0</v>
      </c>
      <c r="CX132" s="122">
        <f>SUM(CY132:DC132)</f>
        <v>0</v>
      </c>
      <c r="CY132" s="770">
        <v>0</v>
      </c>
      <c r="CZ132" s="770">
        <v>0</v>
      </c>
      <c r="DA132" s="770">
        <v>0</v>
      </c>
      <c r="DB132" s="770">
        <v>0</v>
      </c>
      <c r="DC132" s="770">
        <v>0</v>
      </c>
      <c r="DD132" s="770"/>
      <c r="DE132" s="2600">
        <f>SUM(DF132:DF133)</f>
        <v>64400</v>
      </c>
      <c r="DF132" s="122">
        <f>CC132+CF132</f>
        <v>41400</v>
      </c>
      <c r="DG132" s="2600">
        <f>SUM(DH132:DH133)</f>
        <v>53</v>
      </c>
      <c r="DH132" s="127">
        <f>ROUND(CC132/'[1]Projected Development Sites'!DF$134,0)</f>
        <v>34</v>
      </c>
      <c r="DI132" s="2722">
        <f>SUM(DJ132:DJ133)</f>
        <v>53</v>
      </c>
      <c r="DJ132" s="773">
        <f>'[1]Projected Development Sites'!DK$136*DH132</f>
        <v>34</v>
      </c>
      <c r="DK132" s="771">
        <f>3.06*DH132</f>
        <v>104.04</v>
      </c>
      <c r="DL132" s="772">
        <f>ROUND((CN132+CL132+CJ132)/1000*3,0)+ROUND((ROUND(CP132/400,0))/2.67,0)+ROUND(CV132/1000,0)+ROUND((CY132+CZ132+DA132+DC132)/1000*3,0)+ROUND(DH132/25,0)+ROUND(DX132/50,0)</f>
        <v>24</v>
      </c>
      <c r="DM132" s="773">
        <v>0</v>
      </c>
      <c r="DN132" s="773"/>
      <c r="DO132" s="773">
        <v>0</v>
      </c>
      <c r="DP132" s="773">
        <f>0.25*DJ132</f>
        <v>8.5</v>
      </c>
      <c r="DQ132" s="773">
        <f>SUM(CO132,CJ132,CN132,CR132,CU132)/1000</f>
        <v>7.65</v>
      </c>
      <c r="DR132" s="773">
        <f>CL132/1000</f>
        <v>0</v>
      </c>
      <c r="DS132" s="773">
        <f>((CP132/400)/12)</f>
        <v>0</v>
      </c>
      <c r="DT132" s="773">
        <f>IF(CX132&gt;0,"Calculate",0)</f>
        <v>0</v>
      </c>
      <c r="DU132" s="773">
        <v>0</v>
      </c>
      <c r="DV132" s="773">
        <f>CX132/1000</f>
        <v>0</v>
      </c>
      <c r="DW132" s="2722">
        <f>SUM(DX132:DX133)</f>
        <v>11.9</v>
      </c>
      <c r="DX132" s="774">
        <f>SUM(DM132,DO132,DQ132:DV132)</f>
        <v>7.65</v>
      </c>
      <c r="DY132" s="2725">
        <v>115</v>
      </c>
      <c r="DZ132" s="2728">
        <f>CD132-T132</f>
        <v>52500</v>
      </c>
      <c r="EA132" s="2602">
        <f>CE132-V132</f>
        <v>-10638</v>
      </c>
      <c r="EB132" s="187">
        <f>CF132-W132</f>
        <v>-9350</v>
      </c>
      <c r="EC132" s="2602">
        <f>SUM(ED132:ED133)</f>
        <v>-5869</v>
      </c>
      <c r="ED132" s="187">
        <v>-6350</v>
      </c>
      <c r="EE132" s="187">
        <f>(SUM(CJ132:CO132))-(SUM(AA132:AE132,AL132))</f>
        <v>-23119</v>
      </c>
      <c r="EF132" s="2602">
        <f>SUM(EG132:EG133)</f>
        <v>0</v>
      </c>
      <c r="EG132" s="187">
        <v>0</v>
      </c>
      <c r="EH132" s="2602">
        <f>SUM(EI132:EI133)</f>
        <v>0</v>
      </c>
      <c r="EI132" s="187">
        <f>CL132-AC132</f>
        <v>0</v>
      </c>
      <c r="EJ132" s="2602">
        <f>SUM(EK132:EK133)</f>
        <v>10900</v>
      </c>
      <c r="EK132" s="187">
        <f>CJ132-AA132</f>
        <v>7650</v>
      </c>
      <c r="EL132" s="2602">
        <f>SUM(EM132:EM133)</f>
        <v>-16769</v>
      </c>
      <c r="EM132" s="187">
        <f>CO132-AE132</f>
        <v>-14000</v>
      </c>
      <c r="EN132" s="2602">
        <f>SUM(EO132:EO133)</f>
        <v>0</v>
      </c>
      <c r="EO132" s="187">
        <f>CP132-AH132</f>
        <v>0</v>
      </c>
      <c r="EP132" s="2602">
        <f>SUM(EQ132:EQ133)</f>
        <v>-538</v>
      </c>
      <c r="EQ132" s="187">
        <f>CR132-AJ132</f>
        <v>0</v>
      </c>
      <c r="ER132" s="2602">
        <f>SUM(ES132:ES133)</f>
        <v>0</v>
      </c>
      <c r="ES132" s="187">
        <f>CS132-AO132</f>
        <v>0</v>
      </c>
      <c r="ET132" s="2602">
        <f>SUM(EU132:EU133)</f>
        <v>-1231</v>
      </c>
      <c r="EU132" s="187">
        <f t="shared" si="32"/>
        <v>0</v>
      </c>
      <c r="EV132" s="2602">
        <f>SUM(EW132:EW133)</f>
        <v>-3000</v>
      </c>
      <c r="EW132" s="187">
        <f>CU132-AS132</f>
        <v>-3000</v>
      </c>
      <c r="EX132" s="2602">
        <f>SUM(EY132:EY133)</f>
        <v>0</v>
      </c>
      <c r="EY132" s="187">
        <f>CV132-AU132</f>
        <v>0</v>
      </c>
      <c r="EZ132" s="2602">
        <f>SUM(FA132:FA133)</f>
        <v>0</v>
      </c>
      <c r="FA132" s="187">
        <f>CY132-AX132</f>
        <v>0</v>
      </c>
      <c r="FB132" s="2602">
        <f>SUM(FC132:FC133)</f>
        <v>0</v>
      </c>
      <c r="FC132" s="187">
        <f>CZ132-AY132</f>
        <v>0</v>
      </c>
      <c r="FD132" s="2602">
        <f>SUM(FE132:FE133)</f>
        <v>0</v>
      </c>
      <c r="FE132" s="187">
        <f>DA132-AZ132</f>
        <v>0</v>
      </c>
      <c r="FF132" s="2602">
        <f>SUM(FG132:FG133)</f>
        <v>0</v>
      </c>
      <c r="FG132" s="187">
        <f>DB132-BA132</f>
        <v>0</v>
      </c>
      <c r="FH132" s="2602">
        <f>SUM(FI132:FI133)</f>
        <v>0</v>
      </c>
      <c r="FI132" s="187">
        <f>DC132-BB132</f>
        <v>0</v>
      </c>
      <c r="FJ132" s="2602">
        <f>SUM(FK132:FK133)</f>
        <v>0</v>
      </c>
      <c r="FK132" s="187">
        <f>CX132-AW132</f>
        <v>0</v>
      </c>
      <c r="FL132" s="2602">
        <f>SUM(FM132:FM133)</f>
        <v>41862</v>
      </c>
      <c r="FM132" s="187">
        <f>DF132-BE132</f>
        <v>24400</v>
      </c>
      <c r="FN132" s="2602">
        <f>SUM(FO132:FO133)</f>
        <v>53</v>
      </c>
      <c r="FO132" s="187">
        <f>DH132-BG132</f>
        <v>34</v>
      </c>
      <c r="FP132" s="2602">
        <f>SUM(FQ132:FQ133)</f>
        <v>53</v>
      </c>
      <c r="FQ132" s="187">
        <f t="shared" ref="FQ132:FT133" si="55">DJ132-BI132</f>
        <v>34</v>
      </c>
      <c r="FR132" s="187">
        <f t="shared" si="55"/>
        <v>104.04</v>
      </c>
      <c r="FS132" s="187">
        <f t="shared" si="55"/>
        <v>-41</v>
      </c>
      <c r="FT132" s="775">
        <f t="shared" si="55"/>
        <v>0</v>
      </c>
      <c r="FU132" s="775">
        <f>DR132-BO132</f>
        <v>0</v>
      </c>
      <c r="FV132" s="775">
        <f>DO132-BM132</f>
        <v>0</v>
      </c>
      <c r="FW132" s="775">
        <f>DQ132-BN132</f>
        <v>-9.35</v>
      </c>
      <c r="FX132" s="775">
        <f t="shared" ref="FX132:GA133" si="56">DS132-BP132</f>
        <v>0</v>
      </c>
      <c r="FY132" s="775">
        <f t="shared" si="56"/>
        <v>0</v>
      </c>
      <c r="FZ132" s="775">
        <f t="shared" si="56"/>
        <v>0</v>
      </c>
      <c r="GA132" s="775">
        <f t="shared" si="56"/>
        <v>0</v>
      </c>
      <c r="GB132" s="2734">
        <f>SUM(GC132:GC133)</f>
        <v>-10.638</v>
      </c>
      <c r="GC132" s="776">
        <f t="shared" si="33"/>
        <v>-9.35</v>
      </c>
      <c r="GD132" s="139"/>
      <c r="GE132" s="139"/>
      <c r="GF132" s="139"/>
      <c r="GG132" s="139"/>
      <c r="GH132" s="139"/>
      <c r="GI132" s="139"/>
      <c r="GJ132" s="139"/>
      <c r="GK132" s="139"/>
      <c r="GL132" s="139"/>
      <c r="GM132" s="139"/>
      <c r="GN132" s="139"/>
      <c r="GO132" s="139"/>
      <c r="GP132" s="139"/>
      <c r="GQ132" s="139"/>
      <c r="GR132" s="139"/>
      <c r="GS132" s="139"/>
      <c r="GT132" s="139"/>
    </row>
    <row r="133" spans="1:202" s="81" customFormat="1" ht="15" customHeight="1">
      <c r="A133" s="2589"/>
      <c r="B133" s="2589"/>
      <c r="C133" s="915" t="s">
        <v>710</v>
      </c>
      <c r="D133" s="66">
        <v>2848</v>
      </c>
      <c r="E133" s="66">
        <v>16</v>
      </c>
      <c r="F133" s="841">
        <v>2028480016</v>
      </c>
      <c r="G133" s="71">
        <v>5000</v>
      </c>
      <c r="H133" s="66" t="s">
        <v>704</v>
      </c>
      <c r="I133" s="70"/>
      <c r="J133" s="66">
        <v>1.1100000000000001</v>
      </c>
      <c r="K133" s="66">
        <v>0</v>
      </c>
      <c r="L133" s="66">
        <v>2</v>
      </c>
      <c r="M133" s="66">
        <v>6.5</v>
      </c>
      <c r="N133" s="68">
        <v>5538</v>
      </c>
      <c r="O133" s="68">
        <f>0.5*N133</f>
        <v>2769</v>
      </c>
      <c r="P133" s="68">
        <v>538</v>
      </c>
      <c r="Q133" s="68">
        <v>5538</v>
      </c>
      <c r="R133" s="71">
        <v>0</v>
      </c>
      <c r="S133" s="791" t="s">
        <v>747</v>
      </c>
      <c r="T133" s="2601"/>
      <c r="U133" s="74">
        <v>0</v>
      </c>
      <c r="V133" s="2601"/>
      <c r="W133" s="74">
        <f>N133</f>
        <v>5538</v>
      </c>
      <c r="X133" s="74"/>
      <c r="Y133" s="74">
        <f>W133-AA133</f>
        <v>4538</v>
      </c>
      <c r="Z133" s="2601"/>
      <c r="AA133" s="74">
        <v>1000</v>
      </c>
      <c r="AB133" s="2601"/>
      <c r="AC133" s="74">
        <v>0</v>
      </c>
      <c r="AD133" s="2601"/>
      <c r="AE133" s="74">
        <f>AF133+AG133</f>
        <v>2769</v>
      </c>
      <c r="AF133" s="74">
        <v>0</v>
      </c>
      <c r="AG133" s="74">
        <f>O133</f>
        <v>2769</v>
      </c>
      <c r="AH133" s="74">
        <v>0</v>
      </c>
      <c r="AI133" s="2601"/>
      <c r="AJ133" s="74">
        <v>538</v>
      </c>
      <c r="AK133" s="2601"/>
      <c r="AL133" s="74">
        <f>W133-(AA133+AC133+AE133+AH133+AJ133+AM133+AW133+AO133+AQ133+AS133+AU133)</f>
        <v>0</v>
      </c>
      <c r="AM133" s="792">
        <v>0</v>
      </c>
      <c r="AN133" s="2601"/>
      <c r="AO133" s="74">
        <v>0</v>
      </c>
      <c r="AP133" s="2601"/>
      <c r="AQ133" s="74">
        <f>4000-AG133</f>
        <v>1231</v>
      </c>
      <c r="AR133" s="2601"/>
      <c r="AS133" s="74">
        <v>0</v>
      </c>
      <c r="AT133" s="2601"/>
      <c r="AU133" s="74">
        <v>0</v>
      </c>
      <c r="AV133" s="2601"/>
      <c r="AW133" s="74">
        <f>AX133+AY133+AZ133+BA133+BB133</f>
        <v>0</v>
      </c>
      <c r="AX133" s="74">
        <v>0</v>
      </c>
      <c r="AY133" s="74">
        <v>0</v>
      </c>
      <c r="AZ133" s="74">
        <v>0</v>
      </c>
      <c r="BA133" s="74">
        <v>0</v>
      </c>
      <c r="BB133" s="74">
        <v>0</v>
      </c>
      <c r="BC133" s="74">
        <v>0</v>
      </c>
      <c r="BD133" s="2601"/>
      <c r="BE133" s="74">
        <f>U133+W133</f>
        <v>5538</v>
      </c>
      <c r="BF133" s="2601"/>
      <c r="BG133" s="74">
        <f>ROUND(U133/'[1]Projected Development Sites'!DF$134,0)</f>
        <v>0</v>
      </c>
      <c r="BH133" s="2601"/>
      <c r="BI133" s="74">
        <f>'[1]Projected Development Sites'!BG$135*BG133</f>
        <v>0</v>
      </c>
      <c r="BJ133" s="102">
        <f t="shared" si="38"/>
        <v>0</v>
      </c>
      <c r="BK133" s="88">
        <f>ROUND((Y133+AC133+AA133)/1000*3,0)+ROUND((AE133+AU133)/1000,0)+ROUND((ROUND(AH133/400,0))/2.67,0)+ROUND(AM133/250,0)+ROUND(AO133/15000,0)+ROUND((AX133+AY133+AZ133+BB133)/1000*3,0)+ROUND(BG133/25,0)+ROUND(BU347/50,0)</f>
        <v>20</v>
      </c>
      <c r="BL133" s="74">
        <v>0</v>
      </c>
      <c r="BM133" s="74">
        <v>0</v>
      </c>
      <c r="BN133" s="74">
        <f>W133/1000</f>
        <v>5.5380000000000003</v>
      </c>
      <c r="BO133" s="74">
        <f>AC133/1000</f>
        <v>0</v>
      </c>
      <c r="BP133" s="74">
        <f>((AH133/400)/12)</f>
        <v>0</v>
      </c>
      <c r="BQ133" s="74">
        <f>IFERROR(VLOOKUP(F133,#REF!,3,FALSE),0)</f>
        <v>0</v>
      </c>
      <c r="BR133" s="74" t="b">
        <f>IF(H133="M1-2",G133/1000)</f>
        <v>0</v>
      </c>
      <c r="BS133" s="74">
        <f>IF(BB133&gt;0,"Calculate",0)</f>
        <v>0</v>
      </c>
      <c r="BT133" s="2601"/>
      <c r="BU133" s="74">
        <f>SUM(BL133:BS133)</f>
        <v>5.5380000000000003</v>
      </c>
      <c r="BV133" s="81">
        <v>20</v>
      </c>
      <c r="BW133" s="793" t="s">
        <v>705</v>
      </c>
      <c r="BX133" s="81">
        <v>4.5999999999999996</v>
      </c>
      <c r="BY133" s="81">
        <v>2</v>
      </c>
      <c r="BZ133" s="81">
        <v>4.5999999999999996</v>
      </c>
      <c r="CA133" s="794" t="s">
        <v>706</v>
      </c>
      <c r="CB133" s="2597"/>
      <c r="CC133" s="795">
        <f>(BX133*G133)-CF133</f>
        <v>18750</v>
      </c>
      <c r="CD133" s="2733"/>
      <c r="CE133" s="2601"/>
      <c r="CF133" s="843">
        <f>1*(G133)-(0.15*1*(G133))</f>
        <v>4250</v>
      </c>
      <c r="CG133" s="2601"/>
      <c r="CH133" s="843">
        <f>CF133-CJ133</f>
        <v>0</v>
      </c>
      <c r="CI133" s="2601"/>
      <c r="CJ133" s="795">
        <f>CF133</f>
        <v>4250</v>
      </c>
      <c r="CK133" s="2601"/>
      <c r="CL133" s="81">
        <v>0</v>
      </c>
      <c r="CM133" s="2601"/>
      <c r="CN133" s="74">
        <v>0</v>
      </c>
      <c r="CO133" s="797">
        <v>0</v>
      </c>
      <c r="CP133" s="797">
        <v>0</v>
      </c>
      <c r="CQ133" s="2601"/>
      <c r="CR133" s="74">
        <v>0</v>
      </c>
      <c r="CS133" s="797">
        <v>0</v>
      </c>
      <c r="CT133" s="797">
        <v>0</v>
      </c>
      <c r="CU133" s="797">
        <v>0</v>
      </c>
      <c r="CV133" s="797">
        <v>0</v>
      </c>
      <c r="CW133" s="2601"/>
      <c r="CX133" s="74">
        <f>SUM(CY133:DC133)</f>
        <v>0</v>
      </c>
      <c r="CY133" s="797">
        <v>0</v>
      </c>
      <c r="CZ133" s="797">
        <v>0</v>
      </c>
      <c r="DA133" s="797">
        <v>0</v>
      </c>
      <c r="DB133" s="797">
        <v>0</v>
      </c>
      <c r="DC133" s="797">
        <v>0</v>
      </c>
      <c r="DD133" s="797"/>
      <c r="DE133" s="2601"/>
      <c r="DF133" s="74">
        <f>CC133+CF133</f>
        <v>23000</v>
      </c>
      <c r="DG133" s="2601"/>
      <c r="DH133" s="81">
        <f>ROUND(CC133/'[1]Projected Development Sites'!DF$134,0)</f>
        <v>19</v>
      </c>
      <c r="DI133" s="2724"/>
      <c r="DJ133" s="799">
        <f>'[1]Projected Development Sites'!DK$136*DH133</f>
        <v>19</v>
      </c>
      <c r="DK133" s="785">
        <f>3.06*DH133</f>
        <v>58.14</v>
      </c>
      <c r="DL133" s="917">
        <f>ROUND((CN133+CL133+CJ133)/1000*3,0)+ROUND((ROUND(CP133/400,0))/2.67,0)+ROUND(CV133/1000,0)+ROUND((CY133+CZ133+DA133+DC133)/1000*3,0)+ROUND(DH133/25,0)+ROUND(DX133/50,0)</f>
        <v>14</v>
      </c>
      <c r="DM133" s="799">
        <v>0</v>
      </c>
      <c r="DN133" s="799"/>
      <c r="DO133" s="799">
        <v>0</v>
      </c>
      <c r="DP133" s="799">
        <f>0.25*DJ133</f>
        <v>4.75</v>
      </c>
      <c r="DQ133" s="799">
        <f>SUM(CO133,CJ133,CN133,CR133,CU133)/1000</f>
        <v>4.25</v>
      </c>
      <c r="DR133" s="799">
        <f>CL133/1000</f>
        <v>0</v>
      </c>
      <c r="DS133" s="799">
        <f>((CP133/400)/12)</f>
        <v>0</v>
      </c>
      <c r="DT133" s="799">
        <f>IF(CX133&gt;0,"Calculate",0)</f>
        <v>0</v>
      </c>
      <c r="DU133" s="799">
        <v>0</v>
      </c>
      <c r="DV133" s="799">
        <f>CX133/1000</f>
        <v>0</v>
      </c>
      <c r="DW133" s="2724"/>
      <c r="DX133" s="800">
        <f>SUM(DM133,DO133,DQ133:DV133)</f>
        <v>4.25</v>
      </c>
      <c r="DY133" s="2727"/>
      <c r="DZ133" s="2730"/>
      <c r="EA133" s="2603"/>
      <c r="EB133" s="195">
        <f>CF133-W133</f>
        <v>-1288</v>
      </c>
      <c r="EC133" s="2603"/>
      <c r="ED133" s="195">
        <v>481</v>
      </c>
      <c r="EE133" s="195">
        <f>(SUM(CJ133:CO133))-(SUM(AA133:AE133,AL133))</f>
        <v>481</v>
      </c>
      <c r="EF133" s="2603"/>
      <c r="EG133" s="190">
        <v>0</v>
      </c>
      <c r="EH133" s="2603"/>
      <c r="EI133" s="195">
        <f>CL133-AC133</f>
        <v>0</v>
      </c>
      <c r="EJ133" s="2603"/>
      <c r="EK133" s="195">
        <f>CJ133-AA133</f>
        <v>3250</v>
      </c>
      <c r="EL133" s="2603"/>
      <c r="EM133" s="190">
        <f>CO133-AE133</f>
        <v>-2769</v>
      </c>
      <c r="EN133" s="2603"/>
      <c r="EO133" s="190">
        <f>CP133-AH133</f>
        <v>0</v>
      </c>
      <c r="EP133" s="2603"/>
      <c r="EQ133" s="195">
        <f>CR133-AJ133</f>
        <v>-538</v>
      </c>
      <c r="ER133" s="2603"/>
      <c r="ES133" s="195">
        <f>CS133-AO133</f>
        <v>0</v>
      </c>
      <c r="ET133" s="2603"/>
      <c r="EU133" s="190">
        <f t="shared" ref="EU133:EU196" si="57">CT133-AQ133</f>
        <v>-1231</v>
      </c>
      <c r="EV133" s="2603"/>
      <c r="EW133" s="195">
        <f>CU133-AS133</f>
        <v>0</v>
      </c>
      <c r="EX133" s="2603"/>
      <c r="EY133" s="190">
        <f>CV133-AU133</f>
        <v>0</v>
      </c>
      <c r="EZ133" s="2603"/>
      <c r="FA133" s="190">
        <f>CY133-AX133</f>
        <v>0</v>
      </c>
      <c r="FB133" s="2603"/>
      <c r="FC133" s="190">
        <f>CZ133-AY133</f>
        <v>0</v>
      </c>
      <c r="FD133" s="2603"/>
      <c r="FE133" s="190">
        <f>DA133-AZ133</f>
        <v>0</v>
      </c>
      <c r="FF133" s="2603"/>
      <c r="FG133" s="190">
        <f>DB133-BA133</f>
        <v>0</v>
      </c>
      <c r="FH133" s="2603"/>
      <c r="FI133" s="190">
        <f>DC133-BB133</f>
        <v>0</v>
      </c>
      <c r="FJ133" s="2603"/>
      <c r="FK133" s="190">
        <f>CX133-AW133</f>
        <v>0</v>
      </c>
      <c r="FL133" s="2603"/>
      <c r="FM133" s="190">
        <f>DF133-BE133</f>
        <v>17462</v>
      </c>
      <c r="FN133" s="2603"/>
      <c r="FO133" s="190">
        <f>DH133-BG133</f>
        <v>19</v>
      </c>
      <c r="FP133" s="2603"/>
      <c r="FQ133" s="190">
        <f t="shared" si="55"/>
        <v>19</v>
      </c>
      <c r="FR133" s="190">
        <f t="shared" si="55"/>
        <v>58.14</v>
      </c>
      <c r="FS133" s="190">
        <f t="shared" si="55"/>
        <v>-6</v>
      </c>
      <c r="FT133" s="801">
        <f t="shared" si="55"/>
        <v>0</v>
      </c>
      <c r="FU133" s="801">
        <f>DR133-BO133</f>
        <v>0</v>
      </c>
      <c r="FV133" s="801">
        <f>DO133-BM133</f>
        <v>0</v>
      </c>
      <c r="FW133" s="801">
        <f>DQ133-BN133</f>
        <v>-1.2880000000000003</v>
      </c>
      <c r="FX133" s="801">
        <f t="shared" si="56"/>
        <v>0</v>
      </c>
      <c r="FY133" s="801">
        <f t="shared" si="56"/>
        <v>0</v>
      </c>
      <c r="FZ133" s="801">
        <f t="shared" si="56"/>
        <v>0</v>
      </c>
      <c r="GA133" s="801">
        <f t="shared" si="56"/>
        <v>0</v>
      </c>
      <c r="GB133" s="2736"/>
      <c r="GC133" s="845">
        <f t="shared" si="33"/>
        <v>-1.2880000000000003</v>
      </c>
      <c r="GD133" s="139"/>
      <c r="GE133" s="139"/>
      <c r="GF133" s="139"/>
      <c r="GG133" s="139"/>
      <c r="GH133" s="139"/>
      <c r="GI133" s="139"/>
      <c r="GJ133" s="139"/>
      <c r="GK133" s="139"/>
      <c r="GL133" s="139"/>
      <c r="GM133" s="139"/>
      <c r="GN133" s="139"/>
      <c r="GO133" s="139"/>
      <c r="GP133" s="139"/>
      <c r="GQ133" s="139"/>
      <c r="GR133" s="139"/>
      <c r="GS133" s="139"/>
      <c r="GT133" s="139"/>
    </row>
    <row r="134" spans="1:202" s="139" customFormat="1" ht="18.75">
      <c r="A134" s="2263"/>
      <c r="B134" s="2263"/>
      <c r="C134" s="913"/>
      <c r="D134" s="132"/>
      <c r="E134" s="132"/>
      <c r="F134" s="777"/>
      <c r="G134" s="137"/>
      <c r="H134" s="132"/>
      <c r="I134" s="136"/>
      <c r="J134" s="132"/>
      <c r="K134" s="132"/>
      <c r="L134" s="132"/>
      <c r="M134" s="132"/>
      <c r="N134" s="134"/>
      <c r="O134" s="134"/>
      <c r="P134" s="134"/>
      <c r="Q134" s="134"/>
      <c r="R134" s="137"/>
      <c r="S134" s="778"/>
      <c r="T134" s="634"/>
      <c r="U134" s="102"/>
      <c r="V134" s="634"/>
      <c r="W134" s="102"/>
      <c r="X134" s="102"/>
      <c r="Y134" s="102"/>
      <c r="Z134" s="634"/>
      <c r="AA134" s="102"/>
      <c r="AB134" s="634"/>
      <c r="AC134" s="102"/>
      <c r="AD134" s="634"/>
      <c r="AE134" s="102"/>
      <c r="AF134" s="102"/>
      <c r="AG134" s="102"/>
      <c r="AH134" s="102"/>
      <c r="AI134" s="634"/>
      <c r="AJ134" s="102"/>
      <c r="AK134" s="634"/>
      <c r="AL134" s="102"/>
      <c r="AM134" s="779"/>
      <c r="AN134" s="634"/>
      <c r="AO134" s="102"/>
      <c r="AP134" s="634"/>
      <c r="AQ134" s="102"/>
      <c r="AR134" s="634"/>
      <c r="AS134" s="102"/>
      <c r="AT134" s="634"/>
      <c r="AU134" s="102"/>
      <c r="AV134" s="634"/>
      <c r="AW134" s="102"/>
      <c r="AX134" s="102"/>
      <c r="AY134" s="102"/>
      <c r="AZ134" s="102"/>
      <c r="BA134" s="102"/>
      <c r="BB134" s="102"/>
      <c r="BC134" s="102"/>
      <c r="BD134" s="634"/>
      <c r="BE134" s="102"/>
      <c r="BF134" s="634"/>
      <c r="BG134" s="102"/>
      <c r="BH134" s="634"/>
      <c r="BI134" s="102"/>
      <c r="BJ134" s="111"/>
      <c r="BK134" s="186"/>
      <c r="BL134" s="102"/>
      <c r="BM134" s="102"/>
      <c r="BN134" s="102"/>
      <c r="BO134" s="102"/>
      <c r="BP134" s="102"/>
      <c r="BQ134" s="102"/>
      <c r="BR134" s="102"/>
      <c r="BS134" s="102"/>
      <c r="BT134" s="634"/>
      <c r="BU134" s="102"/>
      <c r="BW134" s="780"/>
      <c r="CA134" s="781"/>
      <c r="CB134" s="2258"/>
      <c r="CC134" s="782"/>
      <c r="CD134" s="782"/>
      <c r="CE134" s="634"/>
      <c r="CF134" s="783"/>
      <c r="CG134" s="634"/>
      <c r="CH134" s="783"/>
      <c r="CI134" s="634"/>
      <c r="CK134" s="634"/>
      <c r="CM134" s="634"/>
      <c r="CN134" s="784"/>
      <c r="CO134" s="784"/>
      <c r="CP134" s="784"/>
      <c r="CQ134" s="634"/>
      <c r="CR134" s="102"/>
      <c r="CS134" s="784"/>
      <c r="CT134" s="784"/>
      <c r="CU134" s="784"/>
      <c r="CV134" s="784"/>
      <c r="CW134" s="634"/>
      <c r="CX134" s="102"/>
      <c r="CY134" s="784"/>
      <c r="CZ134" s="784"/>
      <c r="DA134" s="784"/>
      <c r="DB134" s="784"/>
      <c r="DC134" s="784"/>
      <c r="DD134" s="784"/>
      <c r="DE134" s="634"/>
      <c r="DF134" s="784"/>
      <c r="DG134" s="634"/>
      <c r="DI134" s="802"/>
      <c r="DJ134" s="787"/>
      <c r="DK134" s="905"/>
      <c r="DL134" s="786"/>
      <c r="DM134" s="787"/>
      <c r="DN134" s="787"/>
      <c r="DO134" s="787"/>
      <c r="DP134" s="787"/>
      <c r="DQ134" s="787"/>
      <c r="DR134" s="787"/>
      <c r="DS134" s="787"/>
      <c r="DT134" s="787"/>
      <c r="DU134" s="787"/>
      <c r="DV134" s="787"/>
      <c r="DW134" s="802"/>
      <c r="DX134" s="788"/>
      <c r="DY134" s="634"/>
      <c r="DZ134" s="2288"/>
      <c r="EA134" s="2231"/>
      <c r="EB134" s="187"/>
      <c r="EC134" s="2232"/>
      <c r="ED134" s="187"/>
      <c r="EE134" s="187"/>
      <c r="EF134" s="2232"/>
      <c r="EG134" s="187"/>
      <c r="EH134" s="2232"/>
      <c r="EI134" s="187"/>
      <c r="EJ134" s="2232"/>
      <c r="EK134" s="187"/>
      <c r="EL134" s="2232"/>
      <c r="EM134" s="195"/>
      <c r="EN134" s="2232"/>
      <c r="EO134" s="195"/>
      <c r="EP134" s="2232"/>
      <c r="EQ134" s="187"/>
      <c r="ER134" s="2232"/>
      <c r="ES134" s="187"/>
      <c r="ET134" s="2232"/>
      <c r="EU134" s="187">
        <f t="shared" si="57"/>
        <v>0</v>
      </c>
      <c r="EV134" s="2232"/>
      <c r="EW134" s="187"/>
      <c r="EX134" s="2232"/>
      <c r="EY134" s="195"/>
      <c r="EZ134" s="2232"/>
      <c r="FA134" s="195"/>
      <c r="FB134" s="2232"/>
      <c r="FC134" s="195"/>
      <c r="FD134" s="2232"/>
      <c r="FE134" s="195"/>
      <c r="FF134" s="2232"/>
      <c r="FG134" s="195"/>
      <c r="FH134" s="2232"/>
      <c r="FI134" s="195"/>
      <c r="FJ134" s="2232"/>
      <c r="FK134" s="195"/>
      <c r="FL134" s="2232"/>
      <c r="FM134" s="195"/>
      <c r="FN134" s="2232"/>
      <c r="FO134" s="195"/>
      <c r="FP134" s="2232"/>
      <c r="FQ134" s="195"/>
      <c r="FR134" s="190"/>
      <c r="FS134" s="195"/>
      <c r="FT134" s="789"/>
      <c r="FU134" s="789"/>
      <c r="FV134" s="789"/>
      <c r="FW134" s="789"/>
      <c r="FX134" s="789"/>
      <c r="FY134" s="789"/>
      <c r="FZ134" s="789"/>
      <c r="GA134" s="789"/>
      <c r="GB134" s="2289"/>
      <c r="GC134" s="776"/>
    </row>
    <row r="135" spans="1:202" s="228" customFormat="1" ht="18.75">
      <c r="A135" s="216"/>
      <c r="B135" s="216">
        <v>49</v>
      </c>
      <c r="C135" s="918" t="s">
        <v>703</v>
      </c>
      <c r="D135" s="218">
        <v>2860</v>
      </c>
      <c r="E135" s="218">
        <v>34</v>
      </c>
      <c r="F135" s="218">
        <v>2028600034</v>
      </c>
      <c r="G135" s="922">
        <v>10542</v>
      </c>
      <c r="H135" s="218" t="s">
        <v>704</v>
      </c>
      <c r="I135" s="222"/>
      <c r="J135" s="218">
        <v>0.27</v>
      </c>
      <c r="K135" s="218">
        <v>0</v>
      </c>
      <c r="L135" s="218">
        <v>2</v>
      </c>
      <c r="M135" s="218">
        <v>6.5</v>
      </c>
      <c r="N135" s="220">
        <v>2800</v>
      </c>
      <c r="O135" s="220">
        <v>0</v>
      </c>
      <c r="P135" s="220">
        <v>0</v>
      </c>
      <c r="Q135" s="220">
        <v>2800</v>
      </c>
      <c r="R135" s="223">
        <v>0</v>
      </c>
      <c r="S135" s="898" t="s">
        <v>876</v>
      </c>
      <c r="T135" s="234">
        <f>U135</f>
        <v>0</v>
      </c>
      <c r="U135" s="111">
        <f>Q135-N135</f>
        <v>0</v>
      </c>
      <c r="V135" s="234">
        <f>W135</f>
        <v>2800</v>
      </c>
      <c r="W135" s="111">
        <f>N135</f>
        <v>2800</v>
      </c>
      <c r="X135" s="111"/>
      <c r="Y135" s="111">
        <f>W135-AA135</f>
        <v>2800</v>
      </c>
      <c r="Z135" s="234">
        <f>AA135</f>
        <v>0</v>
      </c>
      <c r="AA135" s="111">
        <v>0</v>
      </c>
      <c r="AB135" s="234">
        <f>AC135</f>
        <v>0</v>
      </c>
      <c r="AC135" s="111">
        <v>0</v>
      </c>
      <c r="AD135" s="234">
        <f>AE135</f>
        <v>0</v>
      </c>
      <c r="AE135" s="111">
        <v>0</v>
      </c>
      <c r="AF135" s="111">
        <f>AG135+AH135</f>
        <v>0</v>
      </c>
      <c r="AG135" s="111">
        <v>0</v>
      </c>
      <c r="AH135" s="111">
        <v>0</v>
      </c>
      <c r="AI135" s="234">
        <f>AJ135</f>
        <v>0</v>
      </c>
      <c r="AJ135" s="111">
        <v>0</v>
      </c>
      <c r="AK135" s="234">
        <f>AL135</f>
        <v>2800</v>
      </c>
      <c r="AL135" s="228">
        <f>W135-(AA135+AC135+AE135+AH135+AJ135+AM135+AW135+AO135+AQ135+AS135+AU135)</f>
        <v>2800</v>
      </c>
      <c r="AM135" s="899">
        <v>0</v>
      </c>
      <c r="AN135" s="234">
        <f>AO135</f>
        <v>0</v>
      </c>
      <c r="AO135" s="111">
        <v>0</v>
      </c>
      <c r="AP135" s="234">
        <f>AQ135</f>
        <v>0</v>
      </c>
      <c r="AQ135" s="111">
        <v>0</v>
      </c>
      <c r="AR135" s="234">
        <f>AS135</f>
        <v>0</v>
      </c>
      <c r="AS135" s="111">
        <v>0</v>
      </c>
      <c r="AT135" s="234">
        <f>AU135</f>
        <v>0</v>
      </c>
      <c r="AU135" s="111">
        <v>0</v>
      </c>
      <c r="AV135" s="234">
        <f>AW135</f>
        <v>0</v>
      </c>
      <c r="AW135" s="111">
        <f>AX135+AY135+AZ135+BA135+BB135</f>
        <v>0</v>
      </c>
      <c r="AX135" s="111">
        <v>0</v>
      </c>
      <c r="AY135" s="111">
        <v>0</v>
      </c>
      <c r="AZ135" s="111">
        <v>0</v>
      </c>
      <c r="BA135" s="111">
        <v>0</v>
      </c>
      <c r="BB135" s="111">
        <v>0</v>
      </c>
      <c r="BC135" s="111">
        <v>0</v>
      </c>
      <c r="BD135" s="234">
        <f>BE135</f>
        <v>2800</v>
      </c>
      <c r="BE135" s="111">
        <f>U135+W135</f>
        <v>2800</v>
      </c>
      <c r="BF135" s="234">
        <f>BG135</f>
        <v>0</v>
      </c>
      <c r="BG135" s="111">
        <v>0</v>
      </c>
      <c r="BH135" s="234">
        <f>BI135</f>
        <v>0</v>
      </c>
      <c r="BI135" s="111">
        <f>'[1]Projected Development Sites'!BG$135*BG135</f>
        <v>0</v>
      </c>
      <c r="BJ135" s="111">
        <f>ROUND(BG135*2.87,0)</f>
        <v>0</v>
      </c>
      <c r="BK135" s="306">
        <f>ROUND((AE135+AC135+AA135)/1000*3,0)+ROUND((AF135+AU135)/1000,0)+ROUND((ROUND(AJ135/400,0))/2.67,0)+ROUND(AL135/250,0)+ROUND(AO135/15000,0)+ROUND((AX135+AY135+AZ135+BB135)/1000*3,0)+ROUND(BG135/25,0)+ROUND(BU135/50,0)</f>
        <v>11</v>
      </c>
      <c r="BL135" s="111">
        <v>0</v>
      </c>
      <c r="BM135" s="111">
        <v>0</v>
      </c>
      <c r="BN135" s="111">
        <v>7</v>
      </c>
      <c r="BO135" s="111">
        <v>0</v>
      </c>
      <c r="BP135" s="111">
        <v>0</v>
      </c>
      <c r="BQ135" s="111">
        <v>0</v>
      </c>
      <c r="BR135" s="111">
        <v>0</v>
      </c>
      <c r="BS135" s="111">
        <v>0</v>
      </c>
      <c r="BT135" s="234">
        <f>BU135</f>
        <v>7</v>
      </c>
      <c r="BU135" s="111">
        <f>SUM(BL135:BS135)</f>
        <v>7</v>
      </c>
      <c r="BV135" s="962">
        <v>15</v>
      </c>
      <c r="BW135" s="228" t="s">
        <v>705</v>
      </c>
      <c r="BX135" s="228">
        <v>4.5999999999999996</v>
      </c>
      <c r="BY135" s="228">
        <v>2</v>
      </c>
      <c r="BZ135" s="228">
        <v>4.5999999999999996</v>
      </c>
      <c r="CA135" s="901" t="s">
        <v>706</v>
      </c>
      <c r="CB135" s="230" t="s">
        <v>716</v>
      </c>
      <c r="CC135" s="399">
        <f>(BX135*G135)-CF135</f>
        <v>39532.5</v>
      </c>
      <c r="CD135" s="399">
        <v>39532.5</v>
      </c>
      <c r="CE135" s="234">
        <f>CF135</f>
        <v>8960.7000000000007</v>
      </c>
      <c r="CF135" s="902">
        <f>1*(G135)-(0.15*1*(G135))</f>
        <v>8960.7000000000007</v>
      </c>
      <c r="CG135" s="234">
        <f>CH135</f>
        <v>8960.7000000000007</v>
      </c>
      <c r="CH135" s="836">
        <f>CF135-CJ135</f>
        <v>8960.7000000000007</v>
      </c>
      <c r="CI135" s="234">
        <f>CJ135</f>
        <v>0</v>
      </c>
      <c r="CJ135" s="111">
        <v>0</v>
      </c>
      <c r="CK135" s="234">
        <f>CL135</f>
        <v>0</v>
      </c>
      <c r="CL135" s="111">
        <v>0</v>
      </c>
      <c r="CM135" s="234">
        <f>CN135</f>
        <v>8960.7000000000007</v>
      </c>
      <c r="CN135" s="903">
        <f>CF135-(CJ135+CL135+CO135+CP135+CR135+CU135+CV135+CX135)</f>
        <v>8960.7000000000007</v>
      </c>
      <c r="CO135" s="903">
        <v>0</v>
      </c>
      <c r="CP135" s="903">
        <v>0</v>
      </c>
      <c r="CQ135" s="234">
        <f>CR135</f>
        <v>0</v>
      </c>
      <c r="CR135" s="111">
        <v>0</v>
      </c>
      <c r="CS135" s="903">
        <v>0</v>
      </c>
      <c r="CT135" s="903">
        <v>0</v>
      </c>
      <c r="CU135" s="903">
        <v>0</v>
      </c>
      <c r="CV135" s="903">
        <v>0</v>
      </c>
      <c r="CW135" s="234">
        <f>CX135</f>
        <v>0</v>
      </c>
      <c r="CX135" s="111">
        <f>SUM(CY135:DC135)</f>
        <v>0</v>
      </c>
      <c r="CY135" s="903">
        <f>AX135</f>
        <v>0</v>
      </c>
      <c r="CZ135" s="903">
        <f>AY135</f>
        <v>0</v>
      </c>
      <c r="DA135" s="903">
        <f>AZ135</f>
        <v>0</v>
      </c>
      <c r="DB135" s="903">
        <f>BA135</f>
        <v>0</v>
      </c>
      <c r="DC135" s="903">
        <f>BB135</f>
        <v>0</v>
      </c>
      <c r="DD135" s="903"/>
      <c r="DE135" s="234">
        <f>DF135</f>
        <v>48493.2</v>
      </c>
      <c r="DF135" s="903">
        <f>CC135+CF135</f>
        <v>48493.2</v>
      </c>
      <c r="DG135" s="234">
        <f>DH135</f>
        <v>39.532499999999999</v>
      </c>
      <c r="DH135" s="111">
        <f>CC135/1000</f>
        <v>39.532499999999999</v>
      </c>
      <c r="DI135" s="886">
        <f>DJ135</f>
        <v>39.532499999999999</v>
      </c>
      <c r="DJ135" s="899">
        <f>DH135</f>
        <v>39.532499999999999</v>
      </c>
      <c r="DK135" s="899">
        <f>2.87*DH135</f>
        <v>113.458275</v>
      </c>
      <c r="DL135" s="924">
        <f>ROUND((CN135+CL135+CJ135)/1000*3,0)+ROUND((ROUND(CP135/400,0))/2.67,0)+ROUND(CV135/1000,0)+ROUND((CY135+CZ135+DA135+DC135)/1000*3,0)+ROUND(DH135/25,0)+ROUND(DX135/50,0)</f>
        <v>29</v>
      </c>
      <c r="DM135" s="899">
        <v>0</v>
      </c>
      <c r="DN135" s="925">
        <v>0</v>
      </c>
      <c r="DO135" s="899">
        <v>0</v>
      </c>
      <c r="DP135" s="899">
        <f>DJ135*0.25</f>
        <v>9.8831249999999997</v>
      </c>
      <c r="DQ135" s="905">
        <f>SUM(CO135,CJ135,CN135,CR135,CU135)/1000</f>
        <v>8.960700000000001</v>
      </c>
      <c r="DR135" s="899">
        <f>CL135/1000</f>
        <v>0</v>
      </c>
      <c r="DS135" s="899">
        <f>((CP135/400)/12)</f>
        <v>0</v>
      </c>
      <c r="DT135" s="899">
        <v>0</v>
      </c>
      <c r="DU135" s="899">
        <v>0</v>
      </c>
      <c r="DV135" s="899">
        <f>IF(CX135&gt;0,"Calculate",0)</f>
        <v>0</v>
      </c>
      <c r="DW135" s="886">
        <f>DX135</f>
        <v>8.960700000000001</v>
      </c>
      <c r="DX135" s="906">
        <f>DN135+DO135+DQ135+DR135+DS135+DT135+DU135+DV135</f>
        <v>8.960700000000001</v>
      </c>
      <c r="DY135" s="234">
        <v>114</v>
      </c>
      <c r="DZ135" s="2288">
        <f>CD135-T135</f>
        <v>39532.5</v>
      </c>
      <c r="EA135" s="2231">
        <f>CE135-V135</f>
        <v>6160.7000000000007</v>
      </c>
      <c r="EB135" s="187">
        <f>CF135-W135</f>
        <v>6160.7000000000007</v>
      </c>
      <c r="EC135" s="235">
        <f>ED135</f>
        <v>6160.7000000000007</v>
      </c>
      <c r="ED135" s="187">
        <v>6160.7000000000007</v>
      </c>
      <c r="EE135" s="187">
        <f>(SUM(CJ135:CO135))-(SUM(AA135:AE135,AL135))</f>
        <v>15121.400000000001</v>
      </c>
      <c r="EF135" s="235">
        <f>EG135</f>
        <v>6160.7000000000007</v>
      </c>
      <c r="EG135" s="187">
        <v>6160.7000000000007</v>
      </c>
      <c r="EH135" s="235">
        <f>EI135</f>
        <v>0</v>
      </c>
      <c r="EI135" s="187">
        <f>CL135-AC135</f>
        <v>0</v>
      </c>
      <c r="EJ135" s="235">
        <f>EK135</f>
        <v>0</v>
      </c>
      <c r="EK135" s="187">
        <f>CJ135-AA135</f>
        <v>0</v>
      </c>
      <c r="EL135" s="235">
        <f>EM135</f>
        <v>0</v>
      </c>
      <c r="EM135" s="245">
        <f>CO135-AE135</f>
        <v>0</v>
      </c>
      <c r="EN135" s="235">
        <f>EO135</f>
        <v>0</v>
      </c>
      <c r="EO135" s="245">
        <f>CP135-AH135</f>
        <v>0</v>
      </c>
      <c r="EP135" s="235">
        <f>EQ135</f>
        <v>0</v>
      </c>
      <c r="EQ135" s="187">
        <f>CR135-AJ135</f>
        <v>0</v>
      </c>
      <c r="ER135" s="235">
        <f>ES135</f>
        <v>0</v>
      </c>
      <c r="ES135" s="187">
        <f>CS135-AO135</f>
        <v>0</v>
      </c>
      <c r="ET135" s="235">
        <f>EU135</f>
        <v>0</v>
      </c>
      <c r="EU135" s="187">
        <f t="shared" si="57"/>
        <v>0</v>
      </c>
      <c r="EV135" s="235">
        <f>EW135</f>
        <v>0</v>
      </c>
      <c r="EW135" s="187">
        <f>CU135-AS135</f>
        <v>0</v>
      </c>
      <c r="EX135" s="235">
        <f>EY135</f>
        <v>0</v>
      </c>
      <c r="EY135" s="245">
        <f>CV135-AU135</f>
        <v>0</v>
      </c>
      <c r="EZ135" s="235">
        <f>FA135</f>
        <v>0</v>
      </c>
      <c r="FA135" s="245">
        <f>CY135-AX135</f>
        <v>0</v>
      </c>
      <c r="FB135" s="235">
        <f>FC135</f>
        <v>0</v>
      </c>
      <c r="FC135" s="245">
        <f>CZ135-AY135</f>
        <v>0</v>
      </c>
      <c r="FD135" s="235">
        <f>FE135</f>
        <v>0</v>
      </c>
      <c r="FE135" s="245">
        <f>DA135-AZ135</f>
        <v>0</v>
      </c>
      <c r="FF135" s="235">
        <f>FG135</f>
        <v>0</v>
      </c>
      <c r="FG135" s="245">
        <f>DB135-BA135</f>
        <v>0</v>
      </c>
      <c r="FH135" s="235">
        <f>FI135</f>
        <v>0</v>
      </c>
      <c r="FI135" s="245">
        <f>DC135-BB135</f>
        <v>0</v>
      </c>
      <c r="FJ135" s="235">
        <f>FK135</f>
        <v>0</v>
      </c>
      <c r="FK135" s="245">
        <f>CX135-AW135</f>
        <v>0</v>
      </c>
      <c r="FL135" s="235">
        <f>FM135</f>
        <v>45693.2</v>
      </c>
      <c r="FM135" s="187">
        <f>DF135-BE135</f>
        <v>45693.2</v>
      </c>
      <c r="FN135" s="235">
        <f>FO135</f>
        <v>39.532499999999999</v>
      </c>
      <c r="FO135" s="187">
        <f>DH135-BG135</f>
        <v>39.532499999999999</v>
      </c>
      <c r="FP135" s="235">
        <f>FQ135</f>
        <v>39.532499999999999</v>
      </c>
      <c r="FQ135" s="187">
        <f>DJ135-BI135</f>
        <v>39.532499999999999</v>
      </c>
      <c r="FR135" s="190">
        <f>DK135-BJ135</f>
        <v>113.458275</v>
      </c>
      <c r="FS135" s="245">
        <f>DL135-BK135</f>
        <v>18</v>
      </c>
      <c r="FT135" s="907">
        <f>DM135-BL135</f>
        <v>0</v>
      </c>
      <c r="FU135" s="907">
        <f>DR135-BO135</f>
        <v>0</v>
      </c>
      <c r="FV135" s="907"/>
      <c r="FW135" s="907">
        <f>DQ135-BN135</f>
        <v>1.960700000000001</v>
      </c>
      <c r="FX135" s="907">
        <f>DS135-BP135</f>
        <v>0</v>
      </c>
      <c r="FY135" s="907">
        <f>DT135-BQ135</f>
        <v>0</v>
      </c>
      <c r="FZ135" s="907">
        <f>DU135-BR135</f>
        <v>0</v>
      </c>
      <c r="GA135" s="907">
        <f>DV135-BS135</f>
        <v>0</v>
      </c>
      <c r="GB135" s="894">
        <f>GC135</f>
        <v>1.960700000000001</v>
      </c>
      <c r="GC135" s="776">
        <f t="shared" ref="GC135:GC197" si="58">SUM(FT135:GA135)</f>
        <v>1.960700000000001</v>
      </c>
      <c r="GD135" s="139"/>
      <c r="GE135" s="139"/>
      <c r="GF135" s="139"/>
      <c r="GG135" s="139"/>
      <c r="GH135" s="139"/>
      <c r="GI135" s="139"/>
      <c r="GJ135" s="139"/>
      <c r="GK135" s="139"/>
      <c r="GL135" s="139"/>
      <c r="GM135" s="139"/>
      <c r="GN135" s="139"/>
      <c r="GO135" s="139"/>
      <c r="GP135" s="139"/>
      <c r="GQ135" s="139"/>
      <c r="GR135" s="139"/>
      <c r="GS135" s="139"/>
      <c r="GT135" s="139"/>
    </row>
    <row r="136" spans="1:202" s="139" customFormat="1" ht="18.75">
      <c r="A136" s="2263"/>
      <c r="B136" s="2263"/>
      <c r="C136" s="913"/>
      <c r="D136" s="132"/>
      <c r="E136" s="132"/>
      <c r="F136" s="132"/>
      <c r="G136" s="931"/>
      <c r="H136" s="132"/>
      <c r="I136" s="136"/>
      <c r="J136" s="132"/>
      <c r="K136" s="132"/>
      <c r="L136" s="132"/>
      <c r="M136" s="132"/>
      <c r="N136" s="134"/>
      <c r="O136" s="134"/>
      <c r="P136" s="134"/>
      <c r="Q136" s="134"/>
      <c r="R136" s="137"/>
      <c r="S136" s="778"/>
      <c r="T136" s="634"/>
      <c r="U136" s="102"/>
      <c r="V136" s="634"/>
      <c r="W136" s="102"/>
      <c r="X136" s="102"/>
      <c r="Y136" s="102"/>
      <c r="Z136" s="634"/>
      <c r="AA136" s="102"/>
      <c r="AB136" s="634"/>
      <c r="AC136" s="102"/>
      <c r="AD136" s="634"/>
      <c r="AE136" s="102"/>
      <c r="AF136" s="102"/>
      <c r="AG136" s="102"/>
      <c r="AH136" s="102"/>
      <c r="AI136" s="634"/>
      <c r="AJ136" s="102"/>
      <c r="AK136" s="634"/>
      <c r="AM136" s="779"/>
      <c r="AN136" s="634"/>
      <c r="AO136" s="102"/>
      <c r="AP136" s="634"/>
      <c r="AQ136" s="102"/>
      <c r="AR136" s="634"/>
      <c r="AS136" s="102"/>
      <c r="AT136" s="634"/>
      <c r="AU136" s="102"/>
      <c r="AV136" s="634"/>
      <c r="AW136" s="102"/>
      <c r="AX136" s="102"/>
      <c r="AY136" s="102"/>
      <c r="AZ136" s="102"/>
      <c r="BA136" s="102"/>
      <c r="BB136" s="102"/>
      <c r="BC136" s="102"/>
      <c r="BD136" s="634"/>
      <c r="BE136" s="102"/>
      <c r="BF136" s="634"/>
      <c r="BG136" s="102"/>
      <c r="BH136" s="634"/>
      <c r="BI136" s="102"/>
      <c r="BJ136" s="111"/>
      <c r="BK136" s="186"/>
      <c r="BL136" s="102"/>
      <c r="BM136" s="102"/>
      <c r="BN136" s="102"/>
      <c r="BO136" s="102"/>
      <c r="BP136" s="102"/>
      <c r="BQ136" s="102"/>
      <c r="BR136" s="102"/>
      <c r="BS136" s="102"/>
      <c r="BT136" s="634"/>
      <c r="BU136" s="102"/>
      <c r="BV136" s="963"/>
      <c r="CA136" s="781"/>
      <c r="CB136" s="2258"/>
      <c r="CC136" s="782"/>
      <c r="CD136" s="782"/>
      <c r="CE136" s="634"/>
      <c r="CF136" s="783"/>
      <c r="CG136" s="634"/>
      <c r="CH136" s="783"/>
      <c r="CI136" s="634"/>
      <c r="CJ136" s="102"/>
      <c r="CK136" s="634"/>
      <c r="CL136" s="102"/>
      <c r="CM136" s="634"/>
      <c r="CN136" s="784"/>
      <c r="CO136" s="784"/>
      <c r="CP136" s="784"/>
      <c r="CQ136" s="634"/>
      <c r="CR136" s="102"/>
      <c r="CS136" s="784"/>
      <c r="CT136" s="784"/>
      <c r="CU136" s="784"/>
      <c r="CV136" s="784"/>
      <c r="CW136" s="634"/>
      <c r="CX136" s="102"/>
      <c r="CY136" s="784"/>
      <c r="CZ136" s="784"/>
      <c r="DA136" s="784"/>
      <c r="DB136" s="784"/>
      <c r="DC136" s="784"/>
      <c r="DD136" s="784"/>
      <c r="DE136" s="634"/>
      <c r="DF136" s="784"/>
      <c r="DG136" s="634"/>
      <c r="DH136" s="102"/>
      <c r="DI136" s="802"/>
      <c r="DJ136" s="779"/>
      <c r="DK136" s="899"/>
      <c r="DL136" s="957"/>
      <c r="DM136" s="779"/>
      <c r="DN136" s="933"/>
      <c r="DO136" s="779"/>
      <c r="DP136" s="779"/>
      <c r="DQ136" s="787"/>
      <c r="DR136" s="779"/>
      <c r="DS136" s="779"/>
      <c r="DT136" s="779"/>
      <c r="DU136" s="779"/>
      <c r="DV136" s="779"/>
      <c r="DW136" s="802"/>
      <c r="DX136" s="788"/>
      <c r="DY136" s="2246"/>
      <c r="DZ136" s="2288"/>
      <c r="EA136" s="2231"/>
      <c r="EB136" s="187"/>
      <c r="EC136" s="2232"/>
      <c r="ED136" s="187"/>
      <c r="EE136" s="187"/>
      <c r="EF136" s="2232"/>
      <c r="EG136" s="187"/>
      <c r="EH136" s="2232"/>
      <c r="EI136" s="187"/>
      <c r="EJ136" s="2232"/>
      <c r="EK136" s="187"/>
      <c r="EL136" s="2232"/>
      <c r="EM136" s="195"/>
      <c r="EN136" s="2232"/>
      <c r="EO136" s="278"/>
      <c r="EP136" s="2232"/>
      <c r="EQ136" s="187"/>
      <c r="ER136" s="2232"/>
      <c r="ES136" s="187"/>
      <c r="ET136" s="2232"/>
      <c r="EU136" s="187">
        <f t="shared" si="57"/>
        <v>0</v>
      </c>
      <c r="EV136" s="2232"/>
      <c r="EW136" s="187"/>
      <c r="EX136" s="2232"/>
      <c r="EY136" s="278"/>
      <c r="EZ136" s="2232"/>
      <c r="FA136" s="278"/>
      <c r="FB136" s="2232"/>
      <c r="FC136" s="278"/>
      <c r="FD136" s="2232"/>
      <c r="FE136" s="278"/>
      <c r="FF136" s="2232"/>
      <c r="FG136" s="278"/>
      <c r="FH136" s="2232"/>
      <c r="FI136" s="278"/>
      <c r="FJ136" s="2232"/>
      <c r="FK136" s="278"/>
      <c r="FL136" s="2232"/>
      <c r="FM136" s="187"/>
      <c r="FN136" s="2232"/>
      <c r="FO136" s="187"/>
      <c r="FP136" s="2232"/>
      <c r="FQ136" s="187"/>
      <c r="FR136" s="195"/>
      <c r="FS136" s="195"/>
      <c r="FT136" s="789"/>
      <c r="FU136" s="789"/>
      <c r="FV136" s="789"/>
      <c r="FW136" s="789"/>
      <c r="FX136" s="789"/>
      <c r="FY136" s="789"/>
      <c r="FZ136" s="789"/>
      <c r="GA136" s="789"/>
      <c r="GB136" s="2286"/>
      <c r="GC136" s="776"/>
    </row>
    <row r="137" spans="1:202" s="156" customFormat="1" ht="15" customHeight="1">
      <c r="A137" s="2618"/>
      <c r="B137" s="2618">
        <v>50</v>
      </c>
      <c r="C137" s="140" t="s">
        <v>703</v>
      </c>
      <c r="D137" s="140">
        <v>2859</v>
      </c>
      <c r="E137" s="140">
        <v>44</v>
      </c>
      <c r="F137" s="804">
        <v>2028590044</v>
      </c>
      <c r="G137" s="145">
        <v>7314</v>
      </c>
      <c r="H137" s="140" t="s">
        <v>704</v>
      </c>
      <c r="I137" s="144"/>
      <c r="J137" s="140">
        <v>1</v>
      </c>
      <c r="K137" s="140">
        <v>0</v>
      </c>
      <c r="L137" s="140">
        <v>2</v>
      </c>
      <c r="M137" s="140">
        <v>6.5</v>
      </c>
      <c r="N137" s="142">
        <v>7300</v>
      </c>
      <c r="O137" s="142">
        <v>0</v>
      </c>
      <c r="P137" s="142">
        <v>0</v>
      </c>
      <c r="Q137" s="142">
        <v>7300</v>
      </c>
      <c r="R137" s="145">
        <v>0</v>
      </c>
      <c r="S137" s="805" t="s">
        <v>877</v>
      </c>
      <c r="T137" s="2628">
        <f>SUM(U137:U139)</f>
        <v>0</v>
      </c>
      <c r="U137" s="964">
        <v>0</v>
      </c>
      <c r="V137" s="2628">
        <f>SUM(W137:W139)</f>
        <v>34858</v>
      </c>
      <c r="W137" s="964">
        <f>N137</f>
        <v>7300</v>
      </c>
      <c r="X137" s="964"/>
      <c r="Y137" s="964">
        <f>W137-AA137</f>
        <v>5840</v>
      </c>
      <c r="Z137" s="2628">
        <f>SUM(AA137:AA139)</f>
        <v>1460</v>
      </c>
      <c r="AA137" s="964">
        <f>0.2*Q137</f>
        <v>1460</v>
      </c>
      <c r="AB137" s="2628">
        <f>SUM(AC137:AC139)</f>
        <v>0</v>
      </c>
      <c r="AC137" s="964">
        <v>0</v>
      </c>
      <c r="AD137" s="2628">
        <f>SUM(AE137:AE139)</f>
        <v>27558</v>
      </c>
      <c r="AE137" s="964">
        <f>AG137+AF137</f>
        <v>0</v>
      </c>
      <c r="AF137" s="964">
        <v>0</v>
      </c>
      <c r="AG137" s="964">
        <v>0</v>
      </c>
      <c r="AH137" s="964">
        <v>0</v>
      </c>
      <c r="AI137" s="2628">
        <f>SUM(AJ137:AJ139)</f>
        <v>0</v>
      </c>
      <c r="AJ137" s="964">
        <v>0</v>
      </c>
      <c r="AK137" s="2628">
        <f>SUM(AL137:AL139)</f>
        <v>5840</v>
      </c>
      <c r="AL137" s="964">
        <f>W137-(AA137+AC137+AE137+AH137+AJ137+AM137+AW137+AO137+AQ137+AS137+AU137)</f>
        <v>5840</v>
      </c>
      <c r="AM137" s="965">
        <v>0</v>
      </c>
      <c r="AN137" s="2628">
        <f>SUM(AO137:AO139)</f>
        <v>0</v>
      </c>
      <c r="AO137" s="964">
        <v>0</v>
      </c>
      <c r="AP137" s="2628">
        <f>SUM(AQ137:AQ139)</f>
        <v>0</v>
      </c>
      <c r="AQ137" s="964">
        <v>0</v>
      </c>
      <c r="AR137" s="2628">
        <f>SUM(AS137:AS139)</f>
        <v>0</v>
      </c>
      <c r="AS137" s="964">
        <v>0</v>
      </c>
      <c r="AT137" s="2628">
        <f>SUM(AU137:AU139)</f>
        <v>0</v>
      </c>
      <c r="AU137" s="964">
        <v>0</v>
      </c>
      <c r="AV137" s="2628">
        <f>SUM(AW137:AW139)</f>
        <v>0</v>
      </c>
      <c r="AW137" s="964">
        <f>AX137+AY137+AZ137+BA137+BB137</f>
        <v>0</v>
      </c>
      <c r="AX137" s="964">
        <v>0</v>
      </c>
      <c r="AY137" s="964">
        <v>0</v>
      </c>
      <c r="AZ137" s="964">
        <v>0</v>
      </c>
      <c r="BA137" s="964">
        <v>0</v>
      </c>
      <c r="BB137" s="964">
        <v>0</v>
      </c>
      <c r="BC137" s="964">
        <v>0</v>
      </c>
      <c r="BD137" s="2628">
        <f>SUM(BE137:BE139)</f>
        <v>34858</v>
      </c>
      <c r="BE137" s="964">
        <f>U137+W137</f>
        <v>7300</v>
      </c>
      <c r="BF137" s="2628">
        <f>SUM(BG137:BG139)</f>
        <v>0</v>
      </c>
      <c r="BG137" s="964">
        <f>U137/1000</f>
        <v>0</v>
      </c>
      <c r="BH137" s="2628">
        <f>SUM(BI137:BI139)</f>
        <v>0</v>
      </c>
      <c r="BI137" s="964">
        <v>0</v>
      </c>
      <c r="BJ137" s="964">
        <f t="shared" ref="BJ137:BJ199" si="59">ROUND(BG137*2.87,0)</f>
        <v>0</v>
      </c>
      <c r="BK137" s="966">
        <f>ROUND((Y137+AC137+AA137)/1000*3,0)+ROUND((AE137+AU137)/1000,0)+ROUND((ROUND(AH137/400,0))/2.67,0)+ROUND(AM137/250,0)+ROUND(AO137/15000,0)+ROUND((AX137+AY137+AZ137+BB137)/1000*3,0)+ROUND(BG137/25,0)+ROUND(BU256/50,0)</f>
        <v>22</v>
      </c>
      <c r="BL137" s="964">
        <v>0</v>
      </c>
      <c r="BM137" s="964">
        <v>0</v>
      </c>
      <c r="BN137" s="964">
        <v>0</v>
      </c>
      <c r="BO137" s="964">
        <f>AC137/1000</f>
        <v>0</v>
      </c>
      <c r="BP137" s="964">
        <f>AH137/1000</f>
        <v>0</v>
      </c>
      <c r="BQ137" s="964">
        <v>0</v>
      </c>
      <c r="BR137" s="964">
        <v>0</v>
      </c>
      <c r="BS137" s="964">
        <v>0</v>
      </c>
      <c r="BT137" s="2628">
        <f>SUM(BU137:BU139)</f>
        <v>0</v>
      </c>
      <c r="BU137" s="148">
        <f>SUM(BL137:BS137)</f>
        <v>0</v>
      </c>
      <c r="BV137" s="156">
        <v>15</v>
      </c>
      <c r="BW137" s="808" t="s">
        <v>705</v>
      </c>
      <c r="BX137" s="156">
        <v>4.5999999999999996</v>
      </c>
      <c r="BY137" s="156">
        <v>2</v>
      </c>
      <c r="BZ137" s="156">
        <v>4.5999999999999996</v>
      </c>
      <c r="CA137" s="809" t="s">
        <v>706</v>
      </c>
      <c r="CB137" s="2622" t="s">
        <v>719</v>
      </c>
      <c r="CC137" s="810">
        <f>(BX137*G137)-CF137</f>
        <v>20113.499999999993</v>
      </c>
      <c r="CD137" s="2743">
        <f>SUM(CC137:CC139)</f>
        <v>95897.999999999985</v>
      </c>
      <c r="CE137" s="2638">
        <f>SUM(CF137:CF139)</f>
        <v>64513.2</v>
      </c>
      <c r="CF137" s="811">
        <f>2*(G137)-(0.15*1*(G137))</f>
        <v>13530.9</v>
      </c>
      <c r="CG137" s="2638">
        <f>SUM(CH137:CH139)</f>
        <v>61593.2</v>
      </c>
      <c r="CH137" s="940">
        <f>CF137-CJ137</f>
        <v>10610.9</v>
      </c>
      <c r="CI137" s="2638">
        <f>SUM(CJ137:CJ139)</f>
        <v>2920</v>
      </c>
      <c r="CJ137" s="810">
        <f>2*AA137</f>
        <v>2920</v>
      </c>
      <c r="CK137" s="2638">
        <f>SUM(CL137:CL139)</f>
        <v>0</v>
      </c>
      <c r="CL137" s="156">
        <v>0</v>
      </c>
      <c r="CM137" s="2638">
        <f>SUM(CN137:CN139)</f>
        <v>61593.2</v>
      </c>
      <c r="CN137" s="812">
        <f>CF137-(CJ137+CL137+CO137+CP137+CR137+CU137+CV137+CX137)</f>
        <v>10610.9</v>
      </c>
      <c r="CO137" s="812">
        <v>0</v>
      </c>
      <c r="CP137" s="812">
        <v>0</v>
      </c>
      <c r="CQ137" s="2638">
        <f>SUM(CR137:CR139)</f>
        <v>0</v>
      </c>
      <c r="CR137" s="148">
        <v>0</v>
      </c>
      <c r="CS137" s="812">
        <v>0</v>
      </c>
      <c r="CT137" s="812">
        <v>0</v>
      </c>
      <c r="CU137" s="812">
        <v>0</v>
      </c>
      <c r="CV137" s="812">
        <v>0</v>
      </c>
      <c r="CW137" s="2638">
        <f>SUM(CX137:CX139)</f>
        <v>0</v>
      </c>
      <c r="CX137" s="148">
        <f>SUM(CY137:DC137)</f>
        <v>0</v>
      </c>
      <c r="CY137" s="812">
        <f>AX137</f>
        <v>0</v>
      </c>
      <c r="CZ137" s="812">
        <f>AY137</f>
        <v>0</v>
      </c>
      <c r="DA137" s="812">
        <f>AZ137</f>
        <v>0</v>
      </c>
      <c r="DB137" s="812">
        <f>BA137</f>
        <v>0</v>
      </c>
      <c r="DC137" s="812">
        <f>BB137</f>
        <v>0</v>
      </c>
      <c r="DD137" s="812"/>
      <c r="DE137" s="2638">
        <f>SUM(DF137:DF139)</f>
        <v>160411.20000000001</v>
      </c>
      <c r="DF137" s="812">
        <f>CC137+CF137</f>
        <v>33644.399999999994</v>
      </c>
      <c r="DG137" s="2638">
        <f>SUM(DH137:DH139)</f>
        <v>95.897999999999982</v>
      </c>
      <c r="DH137" s="813">
        <f>CC137/'[1]Projected Development Sites'!DF$134</f>
        <v>20.113499999999991</v>
      </c>
      <c r="DI137" s="2761">
        <f>SUM(DJ137:DJ139)</f>
        <v>95.897999999999982</v>
      </c>
      <c r="DJ137" s="814">
        <f>'[1]Projected Development Sites'!DK$136*DH137</f>
        <v>20.113499999999991</v>
      </c>
      <c r="DK137" s="806">
        <f>2.87*DH137</f>
        <v>57.725744999999975</v>
      </c>
      <c r="DL137" s="815">
        <f>ROUND((CN137+CL137+CJ137)/1000*3,0)+ROUND((ROUND(CP137/400,0))/2.67,0)+ROUND(CV137/1000,0)+ROUND((CY137+CZ137+DA137+DC137)/1000*3,0)+ROUND(DH137/25,0)+ROUND(DX137/50,0)</f>
        <v>42</v>
      </c>
      <c r="DM137" s="816">
        <v>0</v>
      </c>
      <c r="DN137" s="816"/>
      <c r="DO137" s="816">
        <v>0</v>
      </c>
      <c r="DP137" s="816">
        <f>0.25*DJ137</f>
        <v>5.0283749999999978</v>
      </c>
      <c r="DQ137" s="816">
        <f>SUM(CO137,CJ137,CN137,CR137,CU137)/1000</f>
        <v>13.530899999999999</v>
      </c>
      <c r="DR137" s="816">
        <f>CL137/1000</f>
        <v>0</v>
      </c>
      <c r="DS137" s="816">
        <f>((CP137/400)/12)</f>
        <v>0</v>
      </c>
      <c r="DT137" s="816">
        <f>IF(CX137&gt;0,"Calculate",0)</f>
        <v>0</v>
      </c>
      <c r="DU137" s="816">
        <v>0</v>
      </c>
      <c r="DV137" s="816">
        <f>CX137/1000</f>
        <v>0</v>
      </c>
      <c r="DW137" s="2761">
        <f>SUM(DX137:DX139)</f>
        <v>64.513199999999998</v>
      </c>
      <c r="DX137" s="817">
        <f>SUM(DM137,DO137,DQ137:DV137)</f>
        <v>13.530899999999999</v>
      </c>
      <c r="DY137" s="2739">
        <v>115</v>
      </c>
      <c r="DZ137" s="2741">
        <f>CD137-T137</f>
        <v>95897.999999999985</v>
      </c>
      <c r="EA137" s="2630">
        <f>CE137-V137</f>
        <v>29655.199999999997</v>
      </c>
      <c r="EB137" s="281">
        <f>CF137-W137</f>
        <v>6230.9</v>
      </c>
      <c r="EC137" s="2758">
        <f>SUM(ED137:ED139)</f>
        <v>-5216.8000000000011</v>
      </c>
      <c r="ED137" s="281">
        <v>-1083.1000000000004</v>
      </c>
      <c r="EE137" s="281">
        <f>(SUM(CJ137:CO137))-(SUM(AA137:AE137,AL137))</f>
        <v>40266.099999999991</v>
      </c>
      <c r="EF137" s="2758">
        <f>SUM(EG137:EG139)</f>
        <v>20881.199999999997</v>
      </c>
      <c r="EG137" s="281">
        <v>-2543.1000000000004</v>
      </c>
      <c r="EH137" s="2758">
        <f>SUM(EI137:EI139)</f>
        <v>0</v>
      </c>
      <c r="EI137" s="281">
        <f>CL137-AC137</f>
        <v>0</v>
      </c>
      <c r="EJ137" s="2758">
        <f>SUM(EK137:EK139)</f>
        <v>1460</v>
      </c>
      <c r="EK137" s="281">
        <f>CJ137-AA137</f>
        <v>1460</v>
      </c>
      <c r="EL137" s="2758">
        <f>SUM(EM137:EM139)</f>
        <v>-27558</v>
      </c>
      <c r="EM137" s="281">
        <f>CO137-AE137</f>
        <v>0</v>
      </c>
      <c r="EN137" s="2758">
        <f>SUM(EO137:EO139)</f>
        <v>0</v>
      </c>
      <c r="EO137" s="281">
        <f>CP137-AH137</f>
        <v>0</v>
      </c>
      <c r="EP137" s="2758">
        <f>SUM(EQ137:EQ139)</f>
        <v>0</v>
      </c>
      <c r="EQ137" s="281">
        <f>CR137-AJ137</f>
        <v>0</v>
      </c>
      <c r="ER137" s="2758">
        <f>SUM(ES137:ES139)</f>
        <v>0</v>
      </c>
      <c r="ES137" s="281">
        <f>CS137-AO137</f>
        <v>0</v>
      </c>
      <c r="ET137" s="2758">
        <f>SUM(EU137:EU139)</f>
        <v>0</v>
      </c>
      <c r="EU137" s="281">
        <f t="shared" si="57"/>
        <v>0</v>
      </c>
      <c r="EV137" s="2758">
        <f>SUM(EW137:EW139)</f>
        <v>0</v>
      </c>
      <c r="EW137" s="281">
        <f>CU137-AS137</f>
        <v>0</v>
      </c>
      <c r="EX137" s="2758">
        <f>SUM(EY137:EY139)</f>
        <v>0</v>
      </c>
      <c r="EY137" s="281">
        <f>CV137-AU137</f>
        <v>0</v>
      </c>
      <c r="EZ137" s="2758">
        <f>SUM(FA137:FA139)</f>
        <v>0</v>
      </c>
      <c r="FA137" s="281">
        <f>CY137-AX137</f>
        <v>0</v>
      </c>
      <c r="FB137" s="2758">
        <f>SUM(FC137:FC139)</f>
        <v>0</v>
      </c>
      <c r="FC137" s="281">
        <f>CZ137-AY137</f>
        <v>0</v>
      </c>
      <c r="FD137" s="2758">
        <f>SUM(FE137:FE139)</f>
        <v>0</v>
      </c>
      <c r="FE137" s="281">
        <f>DA137-AZ137</f>
        <v>0</v>
      </c>
      <c r="FF137" s="2758">
        <f>SUM(FG137:FG139)</f>
        <v>0</v>
      </c>
      <c r="FG137" s="281">
        <f>DB137-BA137</f>
        <v>0</v>
      </c>
      <c r="FH137" s="2758">
        <f>SUM(FI137:FI139)</f>
        <v>0</v>
      </c>
      <c r="FI137" s="281">
        <f>DC137-BB137</f>
        <v>0</v>
      </c>
      <c r="FJ137" s="2758">
        <f>SUM(FK137:FK139)</f>
        <v>0</v>
      </c>
      <c r="FK137" s="281">
        <f>CX137-AW137</f>
        <v>0</v>
      </c>
      <c r="FL137" s="2758">
        <f>SUM(FM137:FM139)</f>
        <v>125553.2</v>
      </c>
      <c r="FM137" s="281">
        <f>DF137-BE137</f>
        <v>26344.399999999994</v>
      </c>
      <c r="FN137" s="2758">
        <f>SUM(FO137:FO139)</f>
        <v>95.897999999999982</v>
      </c>
      <c r="FO137" s="281">
        <f>DH137-BG137</f>
        <v>20.113499999999991</v>
      </c>
      <c r="FP137" s="2758">
        <f>SUM(FQ137:FQ139)</f>
        <v>95.897999999999982</v>
      </c>
      <c r="FQ137" s="281">
        <f t="shared" ref="FQ137:FT139" si="60">DJ137-BI137</f>
        <v>20.113499999999991</v>
      </c>
      <c r="FR137" s="281">
        <f t="shared" si="60"/>
        <v>57.725744999999975</v>
      </c>
      <c r="FS137" s="281">
        <f t="shared" si="60"/>
        <v>20</v>
      </c>
      <c r="FT137" s="818">
        <f t="shared" si="60"/>
        <v>0</v>
      </c>
      <c r="FU137" s="818">
        <f>DR137-BO137</f>
        <v>0</v>
      </c>
      <c r="FV137" s="818">
        <f>DO137-BM137</f>
        <v>0</v>
      </c>
      <c r="FW137" s="818">
        <f>DQ137-BN137</f>
        <v>13.530899999999999</v>
      </c>
      <c r="FX137" s="818">
        <f t="shared" ref="FX137:GA139" si="61">DS137-BP137</f>
        <v>0</v>
      </c>
      <c r="FY137" s="818">
        <f t="shared" si="61"/>
        <v>0</v>
      </c>
      <c r="FZ137" s="818">
        <f t="shared" si="61"/>
        <v>0</v>
      </c>
      <c r="GA137" s="818">
        <f t="shared" si="61"/>
        <v>0</v>
      </c>
      <c r="GB137" s="2764">
        <f>SUM(GC137:GC139)</f>
        <v>64.513199999999998</v>
      </c>
      <c r="GC137" s="819">
        <f t="shared" si="58"/>
        <v>13.530899999999999</v>
      </c>
      <c r="GD137" s="210"/>
      <c r="GE137" s="210"/>
      <c r="GF137" s="210"/>
      <c r="GG137" s="210"/>
      <c r="GH137" s="210"/>
      <c r="GI137" s="210"/>
      <c r="GJ137" s="210"/>
      <c r="GK137" s="210"/>
      <c r="GL137" s="210"/>
      <c r="GM137" s="210"/>
      <c r="GN137" s="210"/>
      <c r="GO137" s="210"/>
      <c r="GP137" s="210"/>
      <c r="GQ137" s="210"/>
      <c r="GR137" s="210"/>
      <c r="GS137" s="210"/>
      <c r="GT137" s="210"/>
    </row>
    <row r="138" spans="1:202" s="210" customFormat="1" ht="15" customHeight="1">
      <c r="A138" s="2645"/>
      <c r="B138" s="2645"/>
      <c r="C138" s="199" t="s">
        <v>710</v>
      </c>
      <c r="D138" s="199">
        <v>2859</v>
      </c>
      <c r="E138" s="199">
        <v>46</v>
      </c>
      <c r="F138" s="199">
        <v>2028590046</v>
      </c>
      <c r="G138" s="199">
        <v>13860</v>
      </c>
      <c r="H138" s="202" t="s">
        <v>704</v>
      </c>
      <c r="I138" s="203"/>
      <c r="J138" s="199">
        <v>1</v>
      </c>
      <c r="K138" s="199">
        <v>0</v>
      </c>
      <c r="L138" s="199">
        <v>2</v>
      </c>
      <c r="M138" s="199">
        <v>6.5</v>
      </c>
      <c r="N138" s="201">
        <v>13860</v>
      </c>
      <c r="O138" s="201">
        <f>N138</f>
        <v>13860</v>
      </c>
      <c r="P138" s="201">
        <v>0</v>
      </c>
      <c r="Q138" s="201">
        <v>13860</v>
      </c>
      <c r="R138" s="204">
        <v>0</v>
      </c>
      <c r="S138" s="942" t="s">
        <v>711</v>
      </c>
      <c r="T138" s="2653"/>
      <c r="U138" s="967">
        <v>0</v>
      </c>
      <c r="V138" s="2653"/>
      <c r="W138" s="967">
        <f>N138</f>
        <v>13860</v>
      </c>
      <c r="X138" s="967"/>
      <c r="Y138" s="967">
        <f>W138-AA138</f>
        <v>13860</v>
      </c>
      <c r="Z138" s="2653"/>
      <c r="AA138" s="967">
        <v>0</v>
      </c>
      <c r="AB138" s="2653"/>
      <c r="AC138" s="967">
        <v>0</v>
      </c>
      <c r="AD138" s="2653"/>
      <c r="AE138" s="967">
        <f>AG138+AF138</f>
        <v>13860</v>
      </c>
      <c r="AF138" s="967">
        <v>0</v>
      </c>
      <c r="AG138" s="967">
        <f>O138</f>
        <v>13860</v>
      </c>
      <c r="AH138" s="967">
        <v>0</v>
      </c>
      <c r="AI138" s="2653"/>
      <c r="AJ138" s="967">
        <v>0</v>
      </c>
      <c r="AK138" s="2653"/>
      <c r="AL138" s="967">
        <f>W138-(AA138+AC138+AE138+AH138+AJ138+AM138+AW138+AO138+AQ138+AS138+AU138)</f>
        <v>0</v>
      </c>
      <c r="AM138" s="968">
        <v>0</v>
      </c>
      <c r="AN138" s="2653"/>
      <c r="AO138" s="967">
        <v>0</v>
      </c>
      <c r="AP138" s="2653"/>
      <c r="AQ138" s="967">
        <v>0</v>
      </c>
      <c r="AR138" s="2653"/>
      <c r="AS138" s="967">
        <v>0</v>
      </c>
      <c r="AT138" s="2653"/>
      <c r="AU138" s="967">
        <v>0</v>
      </c>
      <c r="AV138" s="2653"/>
      <c r="AW138" s="967">
        <f>AX138+AY138+AZ138+BA138+BB138</f>
        <v>0</v>
      </c>
      <c r="AX138" s="967">
        <v>0</v>
      </c>
      <c r="AY138" s="967">
        <v>0</v>
      </c>
      <c r="AZ138" s="967">
        <v>0</v>
      </c>
      <c r="BA138" s="967">
        <v>0</v>
      </c>
      <c r="BB138" s="967">
        <v>0</v>
      </c>
      <c r="BC138" s="967">
        <v>0</v>
      </c>
      <c r="BD138" s="2653"/>
      <c r="BE138" s="967">
        <f>U138+W138</f>
        <v>13860</v>
      </c>
      <c r="BF138" s="2653"/>
      <c r="BG138" s="967">
        <v>0</v>
      </c>
      <c r="BH138" s="2653"/>
      <c r="BI138" s="967">
        <v>0</v>
      </c>
      <c r="BJ138" s="967">
        <f t="shared" si="59"/>
        <v>0</v>
      </c>
      <c r="BK138" s="969">
        <f>ROUND((Y138+AC138+AA138)/1000*3,0)+ROUND((AE138+AU138)/1000,0)+ROUND((ROUND(AH138/400,0))/2.67,0)+ROUND(AM138/250,0)+ROUND(AO138/15000,0)+ROUND((AX138+AY138+AZ138+BB138)/1000*3,0)+ROUND(BG138/25,0)+ROUND(BU257/50,0)</f>
        <v>56</v>
      </c>
      <c r="BL138" s="967">
        <v>0</v>
      </c>
      <c r="BM138" s="967">
        <v>0</v>
      </c>
      <c r="BN138" s="967">
        <v>0</v>
      </c>
      <c r="BO138" s="967">
        <f>AC138/1000</f>
        <v>0</v>
      </c>
      <c r="BP138" s="967">
        <f>AH138/1000</f>
        <v>0</v>
      </c>
      <c r="BQ138" s="967">
        <v>0</v>
      </c>
      <c r="BR138" s="967">
        <v>0</v>
      </c>
      <c r="BS138" s="967">
        <v>0</v>
      </c>
      <c r="BT138" s="2653"/>
      <c r="BU138" s="178">
        <f>SUM(BL138:BS138)</f>
        <v>0</v>
      </c>
      <c r="BV138" s="210">
        <v>15</v>
      </c>
      <c r="BW138" s="944" t="s">
        <v>705</v>
      </c>
      <c r="BX138" s="210">
        <v>4.5999999999999996</v>
      </c>
      <c r="BY138" s="210">
        <v>2</v>
      </c>
      <c r="BZ138" s="210">
        <v>4.5999999999999996</v>
      </c>
      <c r="CA138" s="945" t="s">
        <v>706</v>
      </c>
      <c r="CB138" s="2650"/>
      <c r="CC138" s="946">
        <f>(BX138*G138)-CF138</f>
        <v>38114.999999999993</v>
      </c>
      <c r="CD138" s="2753"/>
      <c r="CE138" s="2652"/>
      <c r="CF138" s="826">
        <f>2*(G138)-(0.15*1*(G138))</f>
        <v>25641</v>
      </c>
      <c r="CG138" s="2652"/>
      <c r="CH138" s="826">
        <f>CF138-CJ138</f>
        <v>25641</v>
      </c>
      <c r="CI138" s="2652"/>
      <c r="CJ138" s="210">
        <v>0</v>
      </c>
      <c r="CK138" s="2652"/>
      <c r="CL138" s="210">
        <v>0</v>
      </c>
      <c r="CM138" s="2652"/>
      <c r="CN138" s="947">
        <f>CF138-(CJ138+CL138+CO138+CP138+CR138+CU138+CV138+CX138)</f>
        <v>25641</v>
      </c>
      <c r="CO138" s="947">
        <v>0</v>
      </c>
      <c r="CP138" s="947">
        <v>0</v>
      </c>
      <c r="CQ138" s="2652"/>
      <c r="CR138" s="178">
        <v>0</v>
      </c>
      <c r="CS138" s="947"/>
      <c r="CT138" s="947"/>
      <c r="CU138" s="947"/>
      <c r="CV138" s="947"/>
      <c r="CW138" s="2652"/>
      <c r="CX138" s="178"/>
      <c r="CY138" s="947"/>
      <c r="CZ138" s="947"/>
      <c r="DA138" s="947"/>
      <c r="DB138" s="947"/>
      <c r="DC138" s="947"/>
      <c r="DD138" s="947"/>
      <c r="DE138" s="2652"/>
      <c r="DF138" s="947">
        <f>CC138+CF138</f>
        <v>63755.999999999993</v>
      </c>
      <c r="DG138" s="2652"/>
      <c r="DH138" s="948">
        <f>CC138/'[1]Projected Development Sites'!DF$134</f>
        <v>38.114999999999995</v>
      </c>
      <c r="DI138" s="2762"/>
      <c r="DJ138" s="949">
        <f>'[1]Projected Development Sites'!DK$136*DH138</f>
        <v>38.114999999999995</v>
      </c>
      <c r="DK138" s="943">
        <f>2.87*DH138</f>
        <v>109.39004999999999</v>
      </c>
      <c r="DL138" s="950">
        <f>ROUND((CN138+CL138+CJ138)/1000*3,0)+ROUND((ROUND(CP138/400,0))/2.67,0)+ROUND(CV138/1000,0)+ROUND((CY138+CZ138+DA138+DC138)/1000*3,0)+ROUND(DH138/25,0)+ROUND(DX138/50,0)</f>
        <v>80</v>
      </c>
      <c r="DM138" s="951">
        <v>0</v>
      </c>
      <c r="DN138" s="951"/>
      <c r="DO138" s="951">
        <v>0</v>
      </c>
      <c r="DP138" s="951">
        <f>0.25*DJ138</f>
        <v>9.5287499999999987</v>
      </c>
      <c r="DQ138" s="951">
        <f>SUM(CO138,CJ138,CN138,CR138,CU138)/1000</f>
        <v>25.640999999999998</v>
      </c>
      <c r="DR138" s="951">
        <f>CL138/1000</f>
        <v>0</v>
      </c>
      <c r="DS138" s="951">
        <f>((CP138/400)/12)</f>
        <v>0</v>
      </c>
      <c r="DT138" s="951">
        <f>IF(CX138&gt;0,"Calculate",0)</f>
        <v>0</v>
      </c>
      <c r="DU138" s="951">
        <v>0</v>
      </c>
      <c r="DV138" s="951">
        <f>CX138/1000</f>
        <v>0</v>
      </c>
      <c r="DW138" s="2762"/>
      <c r="DX138" s="952">
        <f>SUM(DM138,DO138,DQ138:DV138)</f>
        <v>25.640999999999998</v>
      </c>
      <c r="DY138" s="2751"/>
      <c r="DZ138" s="2752"/>
      <c r="EA138" s="2654"/>
      <c r="EB138" s="284">
        <f>CF138-W138</f>
        <v>11781</v>
      </c>
      <c r="EC138" s="2759"/>
      <c r="ED138" s="284">
        <v>-2079</v>
      </c>
      <c r="EE138" s="284">
        <f>(SUM(CJ138:CO138))-(SUM(AA138:AE138,AL138))</f>
        <v>11781</v>
      </c>
      <c r="EF138" s="2759"/>
      <c r="EG138" s="284">
        <v>11781</v>
      </c>
      <c r="EH138" s="2759"/>
      <c r="EI138" s="284">
        <f>CL138-AC138</f>
        <v>0</v>
      </c>
      <c r="EJ138" s="2759"/>
      <c r="EK138" s="284">
        <f>CJ138-AA138</f>
        <v>0</v>
      </c>
      <c r="EL138" s="2759"/>
      <c r="EM138" s="284">
        <f>CO138-AE138</f>
        <v>-13860</v>
      </c>
      <c r="EN138" s="2759"/>
      <c r="EO138" s="284">
        <f>CP138-AH138</f>
        <v>0</v>
      </c>
      <c r="EP138" s="2759"/>
      <c r="EQ138" s="284">
        <f>CR138-AJ138</f>
        <v>0</v>
      </c>
      <c r="ER138" s="2759"/>
      <c r="ES138" s="284">
        <f>CS138-AO138</f>
        <v>0</v>
      </c>
      <c r="ET138" s="2759"/>
      <c r="EU138" s="284">
        <f t="shared" si="57"/>
        <v>0</v>
      </c>
      <c r="EV138" s="2759"/>
      <c r="EW138" s="284">
        <f>CU138-AS138</f>
        <v>0</v>
      </c>
      <c r="EX138" s="2759"/>
      <c r="EY138" s="284">
        <f>CV138-AU138</f>
        <v>0</v>
      </c>
      <c r="EZ138" s="2759"/>
      <c r="FA138" s="284">
        <f>CY138-AX138</f>
        <v>0</v>
      </c>
      <c r="FB138" s="2759"/>
      <c r="FC138" s="284">
        <f>CZ138-AY138</f>
        <v>0</v>
      </c>
      <c r="FD138" s="2759"/>
      <c r="FE138" s="284">
        <f>DA138-AZ138</f>
        <v>0</v>
      </c>
      <c r="FF138" s="2759"/>
      <c r="FG138" s="284">
        <f>DB138-BA138</f>
        <v>0</v>
      </c>
      <c r="FH138" s="2759"/>
      <c r="FI138" s="284">
        <f>DC138-BB138</f>
        <v>0</v>
      </c>
      <c r="FJ138" s="2759"/>
      <c r="FK138" s="284">
        <f>CX138-AW138</f>
        <v>0</v>
      </c>
      <c r="FL138" s="2759"/>
      <c r="FM138" s="284">
        <f>DF138-BE138</f>
        <v>49895.999999999993</v>
      </c>
      <c r="FN138" s="2759"/>
      <c r="FO138" s="284">
        <f>DH138-BG138</f>
        <v>38.114999999999995</v>
      </c>
      <c r="FP138" s="2759"/>
      <c r="FQ138" s="284">
        <f t="shared" si="60"/>
        <v>38.114999999999995</v>
      </c>
      <c r="FR138" s="284">
        <f t="shared" si="60"/>
        <v>109.39004999999999</v>
      </c>
      <c r="FS138" s="284">
        <f t="shared" si="60"/>
        <v>24</v>
      </c>
      <c r="FT138" s="953">
        <f t="shared" si="60"/>
        <v>0</v>
      </c>
      <c r="FU138" s="953">
        <f>DR138-BO138</f>
        <v>0</v>
      </c>
      <c r="FV138" s="953">
        <f>DO138-BM138</f>
        <v>0</v>
      </c>
      <c r="FW138" s="953">
        <f>DQ138-BN138</f>
        <v>25.640999999999998</v>
      </c>
      <c r="FX138" s="953">
        <f t="shared" si="61"/>
        <v>0</v>
      </c>
      <c r="FY138" s="953">
        <f t="shared" si="61"/>
        <v>0</v>
      </c>
      <c r="FZ138" s="953">
        <f t="shared" si="61"/>
        <v>0</v>
      </c>
      <c r="GA138" s="953">
        <f t="shared" si="61"/>
        <v>0</v>
      </c>
      <c r="GB138" s="2765"/>
      <c r="GC138" s="954">
        <f t="shared" si="58"/>
        <v>25.640999999999998</v>
      </c>
    </row>
    <row r="139" spans="1:202" s="176" customFormat="1" ht="15" customHeight="1">
      <c r="A139" s="2619"/>
      <c r="B139" s="2619"/>
      <c r="C139" s="162" t="s">
        <v>721</v>
      </c>
      <c r="D139" s="162">
        <v>2859</v>
      </c>
      <c r="E139" s="162">
        <v>50</v>
      </c>
      <c r="F139" s="162">
        <v>2028590050</v>
      </c>
      <c r="G139" s="162">
        <v>13698</v>
      </c>
      <c r="H139" s="165" t="s">
        <v>704</v>
      </c>
      <c r="I139" s="166"/>
      <c r="J139" s="162">
        <v>1</v>
      </c>
      <c r="K139" s="162">
        <v>0</v>
      </c>
      <c r="L139" s="162">
        <v>2</v>
      </c>
      <c r="M139" s="162">
        <v>6.5</v>
      </c>
      <c r="N139" s="164">
        <v>13698</v>
      </c>
      <c r="O139" s="164">
        <f>N139</f>
        <v>13698</v>
      </c>
      <c r="P139" s="164">
        <v>0</v>
      </c>
      <c r="Q139" s="164">
        <v>13698</v>
      </c>
      <c r="R139" s="167">
        <v>0</v>
      </c>
      <c r="S139" s="820" t="s">
        <v>711</v>
      </c>
      <c r="T139" s="2629"/>
      <c r="U139" s="970">
        <v>0</v>
      </c>
      <c r="V139" s="2629"/>
      <c r="W139" s="970">
        <f>N139</f>
        <v>13698</v>
      </c>
      <c r="X139" s="970"/>
      <c r="Y139" s="970">
        <f>W139-AA139</f>
        <v>13698</v>
      </c>
      <c r="Z139" s="2629"/>
      <c r="AA139" s="970">
        <v>0</v>
      </c>
      <c r="AB139" s="2629"/>
      <c r="AC139" s="970">
        <v>0</v>
      </c>
      <c r="AD139" s="2629"/>
      <c r="AE139" s="970">
        <f>AG139+AF139</f>
        <v>13698</v>
      </c>
      <c r="AF139" s="970">
        <v>0</v>
      </c>
      <c r="AG139" s="970">
        <f>O139</f>
        <v>13698</v>
      </c>
      <c r="AH139" s="970">
        <v>0</v>
      </c>
      <c r="AI139" s="2629"/>
      <c r="AJ139" s="970">
        <v>0</v>
      </c>
      <c r="AK139" s="2629"/>
      <c r="AL139" s="970">
        <f>W139-(AA139+AC139+AE139+AH139+AJ139+AM139+AW139+AO139+AQ139+AS139+AU139)</f>
        <v>0</v>
      </c>
      <c r="AM139" s="971">
        <v>0</v>
      </c>
      <c r="AN139" s="2629"/>
      <c r="AO139" s="970">
        <v>0</v>
      </c>
      <c r="AP139" s="2629"/>
      <c r="AQ139" s="970">
        <v>0</v>
      </c>
      <c r="AR139" s="2629"/>
      <c r="AS139" s="970">
        <v>0</v>
      </c>
      <c r="AT139" s="2629"/>
      <c r="AU139" s="970">
        <v>0</v>
      </c>
      <c r="AV139" s="2629"/>
      <c r="AW139" s="970">
        <f>AX139+AY139+AZ139+BA139+BB139</f>
        <v>0</v>
      </c>
      <c r="AX139" s="970">
        <v>0</v>
      </c>
      <c r="AY139" s="970">
        <v>0</v>
      </c>
      <c r="AZ139" s="970">
        <v>0</v>
      </c>
      <c r="BA139" s="970">
        <v>0</v>
      </c>
      <c r="BB139" s="970">
        <v>0</v>
      </c>
      <c r="BC139" s="970">
        <v>0</v>
      </c>
      <c r="BD139" s="2629"/>
      <c r="BE139" s="970">
        <f>U139+W139</f>
        <v>13698</v>
      </c>
      <c r="BF139" s="2629"/>
      <c r="BG139" s="970">
        <v>0</v>
      </c>
      <c r="BH139" s="2629"/>
      <c r="BI139" s="970">
        <v>0</v>
      </c>
      <c r="BJ139" s="970">
        <f t="shared" si="59"/>
        <v>0</v>
      </c>
      <c r="BK139" s="972">
        <f>ROUND((Y139+AC139+AA139)/1000*3,0)+ROUND((AE139+AU139)/1000,0)+ROUND((ROUND(AH139/400,0))/2.67,0)+ROUND(AM139/250,0)+ROUND(AO139/15000,0)+ROUND((AX139+AY139+AZ139+BB139)/1000*3,0)+ROUND(BG139/25,0)+ROUND(BU258/50,0)</f>
        <v>55</v>
      </c>
      <c r="BL139" s="970">
        <v>0</v>
      </c>
      <c r="BM139" s="970">
        <v>0</v>
      </c>
      <c r="BN139" s="970">
        <v>0</v>
      </c>
      <c r="BO139" s="970">
        <f>AC139/1000</f>
        <v>0</v>
      </c>
      <c r="BP139" s="970">
        <f>AH139/1000</f>
        <v>0</v>
      </c>
      <c r="BQ139" s="970">
        <v>0</v>
      </c>
      <c r="BR139" s="970">
        <v>0</v>
      </c>
      <c r="BS139" s="970">
        <v>0</v>
      </c>
      <c r="BT139" s="2629"/>
      <c r="BU139" s="170">
        <f>SUM(BL139:BS139)</f>
        <v>0</v>
      </c>
      <c r="BV139" s="176">
        <v>15</v>
      </c>
      <c r="BW139" s="823" t="s">
        <v>705</v>
      </c>
      <c r="BX139" s="176">
        <v>4.5999999999999996</v>
      </c>
      <c r="BY139" s="176">
        <v>2</v>
      </c>
      <c r="BZ139" s="176">
        <v>4.5999999999999996</v>
      </c>
      <c r="CA139" s="824" t="s">
        <v>706</v>
      </c>
      <c r="CB139" s="2623"/>
      <c r="CC139" s="825">
        <f>(BX139*G139)-CF139</f>
        <v>37669.5</v>
      </c>
      <c r="CD139" s="2744"/>
      <c r="CE139" s="2639"/>
      <c r="CF139" s="826">
        <f>2*(G139)-(0.15*1*(G139))</f>
        <v>25341.3</v>
      </c>
      <c r="CG139" s="2639"/>
      <c r="CH139" s="973">
        <f>CF139-CJ139</f>
        <v>25341.3</v>
      </c>
      <c r="CI139" s="2639"/>
      <c r="CJ139" s="176">
        <v>0</v>
      </c>
      <c r="CK139" s="2639"/>
      <c r="CL139" s="176">
        <v>0</v>
      </c>
      <c r="CM139" s="2639"/>
      <c r="CN139" s="828">
        <f>CF139-(CJ139+CL139+CO139+CP139+CR139+CU139+CV139+CX139)</f>
        <v>25341.3</v>
      </c>
      <c r="CO139" s="828">
        <v>0</v>
      </c>
      <c r="CP139" s="828">
        <v>0</v>
      </c>
      <c r="CQ139" s="2639"/>
      <c r="CR139" s="170">
        <v>0</v>
      </c>
      <c r="CS139" s="828"/>
      <c r="CT139" s="828"/>
      <c r="CU139" s="828"/>
      <c r="CV139" s="828"/>
      <c r="CW139" s="2639"/>
      <c r="CX139" s="170"/>
      <c r="CY139" s="828"/>
      <c r="CZ139" s="828"/>
      <c r="DA139" s="828"/>
      <c r="DB139" s="828"/>
      <c r="DC139" s="828"/>
      <c r="DD139" s="828"/>
      <c r="DE139" s="2639"/>
      <c r="DF139" s="828">
        <f>CC139+CF139</f>
        <v>63010.8</v>
      </c>
      <c r="DG139" s="2639"/>
      <c r="DH139" s="829">
        <f>CC139/'[1]Projected Development Sites'!DF$134</f>
        <v>37.669499999999999</v>
      </c>
      <c r="DI139" s="2763"/>
      <c r="DJ139" s="830">
        <f>'[1]Projected Development Sites'!DK$136*DH139</f>
        <v>37.669499999999999</v>
      </c>
      <c r="DK139" s="821">
        <f>2.87*DH139</f>
        <v>108.111465</v>
      </c>
      <c r="DL139" s="831">
        <f>ROUND((CN139+CL139+CJ139)/1000*3,0)+ROUND((ROUND(CP139/400,0))/2.67,0)+ROUND(CV139/1000,0)+ROUND((CY139+CZ139+DA139+DC139)/1000*3,0)+ROUND(DH139/25,0)+ROUND(DX139/50,0)</f>
        <v>79</v>
      </c>
      <c r="DM139" s="832">
        <v>0</v>
      </c>
      <c r="DN139" s="832"/>
      <c r="DO139" s="832">
        <v>0</v>
      </c>
      <c r="DP139" s="832">
        <f>0.25*DJ139</f>
        <v>9.4173749999999998</v>
      </c>
      <c r="DQ139" s="832">
        <f>SUM(CO139,CJ139,CN139,CR139,CU139)/1000</f>
        <v>25.3413</v>
      </c>
      <c r="DR139" s="832">
        <f>CL139/1000</f>
        <v>0</v>
      </c>
      <c r="DS139" s="832">
        <f>((CP139/400)/12)</f>
        <v>0</v>
      </c>
      <c r="DT139" s="832">
        <f>IF(CX139&gt;0,"Calculate",0)</f>
        <v>0</v>
      </c>
      <c r="DU139" s="832">
        <v>0</v>
      </c>
      <c r="DV139" s="832">
        <f>CX139/1000</f>
        <v>0</v>
      </c>
      <c r="DW139" s="2763"/>
      <c r="DX139" s="910">
        <f>SUM(DM139,DO139,DQ139:DV139)</f>
        <v>25.3413</v>
      </c>
      <c r="DY139" s="2740"/>
      <c r="DZ139" s="2742"/>
      <c r="EA139" s="2631"/>
      <c r="EB139" s="284">
        <f>CF139-W139</f>
        <v>11643.3</v>
      </c>
      <c r="EC139" s="2760"/>
      <c r="ED139" s="284">
        <v>-2054.7000000000007</v>
      </c>
      <c r="EE139" s="284">
        <f>(SUM(CJ139:CO139))-(SUM(AA139:AE139,AL139))</f>
        <v>11643.3</v>
      </c>
      <c r="EF139" s="2760"/>
      <c r="EG139" s="287">
        <v>11643.3</v>
      </c>
      <c r="EH139" s="2760"/>
      <c r="EI139" s="284">
        <f>CL139-AC139</f>
        <v>0</v>
      </c>
      <c r="EJ139" s="2760"/>
      <c r="EK139" s="284">
        <f>CJ139-AA139</f>
        <v>0</v>
      </c>
      <c r="EL139" s="2760"/>
      <c r="EM139" s="287">
        <f>CO139-AE139</f>
        <v>-13698</v>
      </c>
      <c r="EN139" s="2760"/>
      <c r="EO139" s="287">
        <f>CP139-AH139</f>
        <v>0</v>
      </c>
      <c r="EP139" s="2760"/>
      <c r="EQ139" s="284">
        <f>CR139-AJ139</f>
        <v>0</v>
      </c>
      <c r="ER139" s="2760"/>
      <c r="ES139" s="284">
        <f>CS139-AO139</f>
        <v>0</v>
      </c>
      <c r="ET139" s="2760"/>
      <c r="EU139" s="287">
        <f t="shared" si="57"/>
        <v>0</v>
      </c>
      <c r="EV139" s="2760"/>
      <c r="EW139" s="284">
        <f>CU139-AS139</f>
        <v>0</v>
      </c>
      <c r="EX139" s="2760"/>
      <c r="EY139" s="287">
        <f>CV139-AU139</f>
        <v>0</v>
      </c>
      <c r="EZ139" s="2760"/>
      <c r="FA139" s="287">
        <f>CY139-AX139</f>
        <v>0</v>
      </c>
      <c r="FB139" s="2760"/>
      <c r="FC139" s="287">
        <f>CZ139-AY139</f>
        <v>0</v>
      </c>
      <c r="FD139" s="2760"/>
      <c r="FE139" s="287">
        <f>DA139-AZ139</f>
        <v>0</v>
      </c>
      <c r="FF139" s="2760"/>
      <c r="FG139" s="287">
        <f>DB139-BA139</f>
        <v>0</v>
      </c>
      <c r="FH139" s="2760"/>
      <c r="FI139" s="287">
        <f>DC139-BB139</f>
        <v>0</v>
      </c>
      <c r="FJ139" s="2760"/>
      <c r="FK139" s="287">
        <f>CX139-AW139</f>
        <v>0</v>
      </c>
      <c r="FL139" s="2760"/>
      <c r="FM139" s="284">
        <f>DF139-BE139</f>
        <v>49312.800000000003</v>
      </c>
      <c r="FN139" s="2760"/>
      <c r="FO139" s="284">
        <f>DH139-BG139</f>
        <v>37.669499999999999</v>
      </c>
      <c r="FP139" s="2760"/>
      <c r="FQ139" s="284">
        <f t="shared" si="60"/>
        <v>37.669499999999999</v>
      </c>
      <c r="FR139" s="287">
        <f t="shared" si="60"/>
        <v>108.111465</v>
      </c>
      <c r="FS139" s="287">
        <f t="shared" si="60"/>
        <v>24</v>
      </c>
      <c r="FT139" s="834">
        <f t="shared" si="60"/>
        <v>0</v>
      </c>
      <c r="FU139" s="834">
        <f>DR139-BO139</f>
        <v>0</v>
      </c>
      <c r="FV139" s="834">
        <f>DO139-BM139</f>
        <v>0</v>
      </c>
      <c r="FW139" s="834">
        <f>DQ139-BN139</f>
        <v>25.3413</v>
      </c>
      <c r="FX139" s="834">
        <f t="shared" si="61"/>
        <v>0</v>
      </c>
      <c r="FY139" s="834">
        <f t="shared" si="61"/>
        <v>0</v>
      </c>
      <c r="FZ139" s="834">
        <f t="shared" si="61"/>
        <v>0</v>
      </c>
      <c r="GA139" s="834">
        <f t="shared" si="61"/>
        <v>0</v>
      </c>
      <c r="GB139" s="2766"/>
      <c r="GC139" s="835">
        <f t="shared" si="58"/>
        <v>25.3413</v>
      </c>
      <c r="GD139" s="210"/>
      <c r="GE139" s="210"/>
      <c r="GF139" s="210"/>
      <c r="GG139" s="210"/>
      <c r="GH139" s="210"/>
      <c r="GI139" s="210"/>
      <c r="GJ139" s="210"/>
      <c r="GK139" s="210"/>
      <c r="GL139" s="210"/>
      <c r="GM139" s="210"/>
      <c r="GN139" s="210"/>
      <c r="GO139" s="210"/>
      <c r="GP139" s="210"/>
      <c r="GQ139" s="210"/>
      <c r="GR139" s="210"/>
      <c r="GS139" s="210"/>
      <c r="GT139" s="210"/>
    </row>
    <row r="140" spans="1:202" s="139" customFormat="1" ht="18.75">
      <c r="A140" s="2263"/>
      <c r="B140" s="974"/>
      <c r="F140" s="921"/>
      <c r="H140" s="975"/>
      <c r="I140" s="627"/>
      <c r="N140" s="102"/>
      <c r="O140" s="102"/>
      <c r="P140" s="102"/>
      <c r="Q140" s="102"/>
      <c r="R140" s="932"/>
      <c r="S140" s="778"/>
      <c r="T140" s="634"/>
      <c r="U140" s="102"/>
      <c r="V140" s="634"/>
      <c r="W140" s="102"/>
      <c r="X140" s="102"/>
      <c r="Y140" s="102"/>
      <c r="Z140" s="634"/>
      <c r="AA140" s="102"/>
      <c r="AB140" s="634"/>
      <c r="AC140" s="102"/>
      <c r="AD140" s="634"/>
      <c r="AE140" s="102"/>
      <c r="AF140" s="102"/>
      <c r="AG140" s="102"/>
      <c r="AH140" s="102"/>
      <c r="AI140" s="634"/>
      <c r="AJ140" s="102"/>
      <c r="AK140" s="634"/>
      <c r="AL140" s="102"/>
      <c r="AM140" s="779"/>
      <c r="AN140" s="634"/>
      <c r="AO140" s="102"/>
      <c r="AP140" s="634"/>
      <c r="AQ140" s="102"/>
      <c r="AR140" s="634"/>
      <c r="AS140" s="102"/>
      <c r="AT140" s="634"/>
      <c r="AU140" s="102"/>
      <c r="AV140" s="634"/>
      <c r="AW140" s="102"/>
      <c r="AX140" s="102"/>
      <c r="AY140" s="102"/>
      <c r="AZ140" s="102"/>
      <c r="BA140" s="102"/>
      <c r="BB140" s="102"/>
      <c r="BC140" s="102"/>
      <c r="BD140" s="634"/>
      <c r="BE140" s="102"/>
      <c r="BF140" s="634"/>
      <c r="BG140" s="102"/>
      <c r="BH140" s="634"/>
      <c r="BI140" s="102"/>
      <c r="BJ140" s="111"/>
      <c r="BK140" s="102"/>
      <c r="BL140" s="102"/>
      <c r="BM140" s="102"/>
      <c r="BN140" s="102"/>
      <c r="BO140" s="102"/>
      <c r="BP140" s="102"/>
      <c r="BQ140" s="102"/>
      <c r="BR140" s="102"/>
      <c r="BS140" s="102"/>
      <c r="BT140" s="634"/>
      <c r="BU140" s="102"/>
      <c r="BW140" s="780"/>
      <c r="CA140" s="781"/>
      <c r="CB140" s="2258"/>
      <c r="CC140" s="782"/>
      <c r="CD140" s="782"/>
      <c r="CE140" s="634"/>
      <c r="CF140" s="836"/>
      <c r="CG140" s="634"/>
      <c r="CH140" s="783"/>
      <c r="CI140" s="634"/>
      <c r="CK140" s="634"/>
      <c r="CM140" s="634"/>
      <c r="CN140" s="784"/>
      <c r="CO140" s="784"/>
      <c r="CP140" s="784"/>
      <c r="CQ140" s="634"/>
      <c r="CR140" s="102"/>
      <c r="CS140" s="784"/>
      <c r="CT140" s="784"/>
      <c r="CU140" s="784"/>
      <c r="CV140" s="784"/>
      <c r="CW140" s="634"/>
      <c r="CX140" s="102"/>
      <c r="CY140" s="784"/>
      <c r="CZ140" s="784"/>
      <c r="DA140" s="784"/>
      <c r="DB140" s="784"/>
      <c r="DC140" s="784"/>
      <c r="DD140" s="784"/>
      <c r="DE140" s="634"/>
      <c r="DF140" s="784"/>
      <c r="DG140" s="634"/>
      <c r="DI140" s="802"/>
      <c r="DJ140" s="787"/>
      <c r="DK140" s="899"/>
      <c r="DL140" s="772"/>
      <c r="DM140" s="787"/>
      <c r="DN140" s="787"/>
      <c r="DO140" s="787"/>
      <c r="DP140" s="787"/>
      <c r="DQ140" s="787"/>
      <c r="DR140" s="787"/>
      <c r="DS140" s="787"/>
      <c r="DT140" s="787"/>
      <c r="DU140" s="787"/>
      <c r="DV140" s="787"/>
      <c r="DW140" s="802"/>
      <c r="DX140" s="788"/>
      <c r="DY140" s="634"/>
      <c r="DZ140" s="2288"/>
      <c r="EA140" s="2231"/>
      <c r="EB140" s="187"/>
      <c r="EC140" s="2232"/>
      <c r="ED140" s="187"/>
      <c r="EE140" s="187"/>
      <c r="EF140" s="2232"/>
      <c r="EG140" s="187"/>
      <c r="EH140" s="2232"/>
      <c r="EI140" s="187"/>
      <c r="EJ140" s="2232"/>
      <c r="EK140" s="187"/>
      <c r="EL140" s="2232"/>
      <c r="EM140" s="195"/>
      <c r="EN140" s="2232"/>
      <c r="EO140" s="195"/>
      <c r="EP140" s="2232"/>
      <c r="EQ140" s="187"/>
      <c r="ER140" s="2232"/>
      <c r="ES140" s="187"/>
      <c r="ET140" s="2232"/>
      <c r="EU140" s="187">
        <f t="shared" si="57"/>
        <v>0</v>
      </c>
      <c r="EV140" s="2232"/>
      <c r="EW140" s="187"/>
      <c r="EX140" s="2232"/>
      <c r="EY140" s="195"/>
      <c r="EZ140" s="2232"/>
      <c r="FA140" s="195"/>
      <c r="FB140" s="2232"/>
      <c r="FC140" s="195"/>
      <c r="FD140" s="2232"/>
      <c r="FE140" s="195"/>
      <c r="FF140" s="2232"/>
      <c r="FG140" s="195"/>
      <c r="FH140" s="2232"/>
      <c r="FI140" s="195"/>
      <c r="FJ140" s="2232"/>
      <c r="FK140" s="195"/>
      <c r="FL140" s="2232"/>
      <c r="FM140" s="187"/>
      <c r="FN140" s="2232"/>
      <c r="FO140" s="187"/>
      <c r="FP140" s="2232"/>
      <c r="FQ140" s="187"/>
      <c r="FR140" s="195"/>
      <c r="FS140" s="195"/>
      <c r="FT140" s="789"/>
      <c r="FU140" s="789"/>
      <c r="FV140" s="789"/>
      <c r="FW140" s="789"/>
      <c r="FX140" s="789"/>
      <c r="FY140" s="789"/>
      <c r="FZ140" s="789"/>
      <c r="GA140" s="789"/>
      <c r="GB140" s="2286"/>
      <c r="GC140" s="776"/>
    </row>
    <row r="141" spans="1:202" s="127" customFormat="1" ht="15" customHeight="1">
      <c r="A141" s="2588"/>
      <c r="B141" s="2588">
        <v>51</v>
      </c>
      <c r="C141" s="115" t="s">
        <v>703</v>
      </c>
      <c r="D141" s="115">
        <v>2846</v>
      </c>
      <c r="E141" s="115">
        <v>27</v>
      </c>
      <c r="F141" s="763">
        <v>2028460027</v>
      </c>
      <c r="G141" s="115">
        <v>8964</v>
      </c>
      <c r="H141" s="118" t="s">
        <v>704</v>
      </c>
      <c r="I141" s="119"/>
      <c r="J141" s="115">
        <v>1.96</v>
      </c>
      <c r="K141" s="115">
        <v>0</v>
      </c>
      <c r="L141" s="115">
        <v>2</v>
      </c>
      <c r="M141" s="115">
        <v>6.5</v>
      </c>
      <c r="N141" s="117">
        <v>17526</v>
      </c>
      <c r="O141" s="117">
        <f>Q141</f>
        <v>17526</v>
      </c>
      <c r="P141" s="117">
        <v>0</v>
      </c>
      <c r="Q141" s="117">
        <v>17526</v>
      </c>
      <c r="R141" s="120">
        <v>0</v>
      </c>
      <c r="S141" s="764" t="s">
        <v>711</v>
      </c>
      <c r="T141" s="2600">
        <f>SUM(U141:U143)</f>
        <v>0</v>
      </c>
      <c r="U141" s="122">
        <v>0</v>
      </c>
      <c r="V141" s="2600">
        <f>SUM(W141:W143)</f>
        <v>40776</v>
      </c>
      <c r="W141" s="122">
        <f>N141</f>
        <v>17526</v>
      </c>
      <c r="X141" s="122"/>
      <c r="Y141" s="122">
        <f>W141-AA141</f>
        <v>17526</v>
      </c>
      <c r="Z141" s="2600">
        <f>SUM(AA141:AA143)</f>
        <v>0</v>
      </c>
      <c r="AA141" s="122">
        <v>0</v>
      </c>
      <c r="AB141" s="2600">
        <f>SUM(AC141:AC143)</f>
        <v>0</v>
      </c>
      <c r="AC141" s="122">
        <v>0</v>
      </c>
      <c r="AD141" s="2600">
        <f>SUM(AE141:AE143)</f>
        <v>2500</v>
      </c>
      <c r="AE141" s="122">
        <f>AG141+AF141</f>
        <v>0</v>
      </c>
      <c r="AF141" s="122">
        <v>0</v>
      </c>
      <c r="AG141" s="122">
        <f>AQ141</f>
        <v>0</v>
      </c>
      <c r="AH141" s="122"/>
      <c r="AI141" s="2600">
        <f>SUM(AJ141:AJ143)</f>
        <v>0</v>
      </c>
      <c r="AJ141" s="122">
        <v>0</v>
      </c>
      <c r="AK141" s="2600">
        <f>SUM(AL141:AL143)</f>
        <v>25026</v>
      </c>
      <c r="AL141" s="122">
        <f>W141-(AA141+AC141+AE141+AH141+AJ141+AM141+AW141+AO141+AQ141+AS141+AU141)</f>
        <v>17526</v>
      </c>
      <c r="AM141" s="765">
        <v>0</v>
      </c>
      <c r="AN141" s="2600">
        <f>SUM(AO141:AO143)</f>
        <v>0</v>
      </c>
      <c r="AO141" s="122">
        <v>0</v>
      </c>
      <c r="AP141" s="2600">
        <f>SUM(AQ141:AQ143)</f>
        <v>13250</v>
      </c>
      <c r="AQ141" s="122">
        <v>0</v>
      </c>
      <c r="AR141" s="2600">
        <f>SUM(AS141:AS143)</f>
        <v>0</v>
      </c>
      <c r="AS141" s="122">
        <v>0</v>
      </c>
      <c r="AT141" s="2600">
        <f>SUM(AU141:AU143)</f>
        <v>0</v>
      </c>
      <c r="AU141" s="122">
        <v>0</v>
      </c>
      <c r="AV141" s="2600">
        <f>SUM(AW141:AW143)</f>
        <v>0</v>
      </c>
      <c r="AW141" s="122">
        <f>AX141+AY141+AZ141+BA141+BB141</f>
        <v>0</v>
      </c>
      <c r="AX141" s="122">
        <v>0</v>
      </c>
      <c r="AY141" s="122">
        <v>0</v>
      </c>
      <c r="AZ141" s="122">
        <v>0</v>
      </c>
      <c r="BA141" s="122">
        <v>0</v>
      </c>
      <c r="BB141" s="122">
        <v>0</v>
      </c>
      <c r="BC141" s="122">
        <v>0</v>
      </c>
      <c r="BD141" s="2600">
        <f>SUM(BE141:BE143)</f>
        <v>40776</v>
      </c>
      <c r="BE141" s="122">
        <f>U141+W141</f>
        <v>17526</v>
      </c>
      <c r="BF141" s="2600">
        <f>SUM(BG141:BG143)</f>
        <v>0</v>
      </c>
      <c r="BG141" s="122">
        <f>U141/1000</f>
        <v>0</v>
      </c>
      <c r="BH141" s="2600">
        <f>SUM(BI141:BI143)</f>
        <v>0</v>
      </c>
      <c r="BI141" s="122">
        <v>0</v>
      </c>
      <c r="BJ141" s="122">
        <f t="shared" si="59"/>
        <v>0</v>
      </c>
      <c r="BK141" s="129">
        <f>ROUND((Y141+AC141+AA141)/1000*3,0)+ROUND((AE141+AU141)/1000,0)+ROUND((ROUND(AH141/400,0))/2.67,0)+ROUND(AM141/250,0)+ROUND(AO141/15000,0)+ROUND((AX141+AY141+AZ141+BB141)/1000*3,0)+ROUND(BG141/25,0)+ROUND(BU7/50,0)</f>
        <v>53</v>
      </c>
      <c r="BL141" s="122">
        <v>0</v>
      </c>
      <c r="BM141" s="122">
        <v>0</v>
      </c>
      <c r="BN141" s="122">
        <v>0</v>
      </c>
      <c r="BO141" s="122">
        <f>AC141/1000</f>
        <v>0</v>
      </c>
      <c r="BP141" s="122">
        <f>AH141/1000</f>
        <v>0</v>
      </c>
      <c r="BQ141" s="122">
        <v>0</v>
      </c>
      <c r="BR141" s="122">
        <v>0</v>
      </c>
      <c r="BS141" s="122">
        <v>0</v>
      </c>
      <c r="BT141" s="2600">
        <f>SUM(BU141:BU143)</f>
        <v>150</v>
      </c>
      <c r="BU141" s="122">
        <f>SUM(BL141:BS141)</f>
        <v>0</v>
      </c>
      <c r="BV141" s="127">
        <v>25</v>
      </c>
      <c r="BW141" s="766" t="s">
        <v>705</v>
      </c>
      <c r="BX141" s="127">
        <v>4.5999999999999996</v>
      </c>
      <c r="BY141" s="127">
        <v>2</v>
      </c>
      <c r="BZ141" s="127">
        <v>4.5999999999999996</v>
      </c>
      <c r="CA141" s="767" t="s">
        <v>706</v>
      </c>
      <c r="CB141" s="2596" t="s">
        <v>716</v>
      </c>
      <c r="CC141" s="768">
        <f>(BX141*G141)-CF141</f>
        <v>33614.999999999993</v>
      </c>
      <c r="CD141" s="2731">
        <f>SUM(CC141:CC143)</f>
        <v>155240</v>
      </c>
      <c r="CE141" s="2600">
        <f>SUM(CF141:CF143)</f>
        <v>29294.400000000001</v>
      </c>
      <c r="CF141" s="769">
        <f>1*(G141)-(0.15*1*(G141))</f>
        <v>7619.4</v>
      </c>
      <c r="CG141" s="2600">
        <f>SUM(CH141:CH143)</f>
        <v>29294.400000000001</v>
      </c>
      <c r="CH141" s="769">
        <f>CF141-CJ141</f>
        <v>7619.4</v>
      </c>
      <c r="CI141" s="2600">
        <f>SUM(CJ141:CJ143)</f>
        <v>0</v>
      </c>
      <c r="CJ141" s="127">
        <v>0</v>
      </c>
      <c r="CK141" s="2600">
        <f>SUM(CL141:CL143)</f>
        <v>0</v>
      </c>
      <c r="CL141" s="127">
        <v>0</v>
      </c>
      <c r="CM141" s="2600">
        <f>SUM(CN141:CN143)</f>
        <v>29294.400000000001</v>
      </c>
      <c r="CN141" s="770">
        <f>CF141-(CJ141+CL141+CO141+CP141+CR141+CU141+CV141+CX141)</f>
        <v>7619.4</v>
      </c>
      <c r="CO141" s="770">
        <v>0</v>
      </c>
      <c r="CP141" s="770">
        <v>0</v>
      </c>
      <c r="CQ141" s="2600">
        <f>SUM(CR141:CR143)</f>
        <v>0</v>
      </c>
      <c r="CR141" s="122">
        <v>0</v>
      </c>
      <c r="CS141" s="770">
        <v>0</v>
      </c>
      <c r="CT141" s="770">
        <v>0</v>
      </c>
      <c r="CU141" s="770">
        <v>0</v>
      </c>
      <c r="CV141" s="770">
        <v>0</v>
      </c>
      <c r="CW141" s="2600">
        <f>SUM(CX141:CX143)</f>
        <v>0</v>
      </c>
      <c r="CX141" s="122">
        <f>SUM(CY141:DC141)</f>
        <v>0</v>
      </c>
      <c r="CY141" s="770">
        <f t="shared" ref="CY141:DC143" si="62">AX141</f>
        <v>0</v>
      </c>
      <c r="CZ141" s="770">
        <f t="shared" si="62"/>
        <v>0</v>
      </c>
      <c r="DA141" s="770">
        <f t="shared" si="62"/>
        <v>0</v>
      </c>
      <c r="DB141" s="770">
        <f t="shared" si="62"/>
        <v>0</v>
      </c>
      <c r="DC141" s="770">
        <f t="shared" si="62"/>
        <v>0</v>
      </c>
      <c r="DD141" s="770"/>
      <c r="DE141" s="2600">
        <f>SUM(DF141:DF143)</f>
        <v>184534.39999999999</v>
      </c>
      <c r="DF141" s="770">
        <f>CC141+CF141</f>
        <v>41234.399999999994</v>
      </c>
      <c r="DG141" s="2600">
        <f>SUM(DH141:DH143)</f>
        <v>155.24</v>
      </c>
      <c r="DH141" s="293">
        <f>CC141/'[1]Projected Development Sites'!DF$134</f>
        <v>33.614999999999995</v>
      </c>
      <c r="DI141" s="2722">
        <f>SUM(DJ141:DJ143)</f>
        <v>155.24</v>
      </c>
      <c r="DJ141" s="771">
        <f>'[1]Projected Development Sites'!DK$136*DH141</f>
        <v>33.614999999999995</v>
      </c>
      <c r="DK141" s="765">
        <f>2.87*DH141</f>
        <v>96.475049999999996</v>
      </c>
      <c r="DL141" s="772">
        <f>ROUND((CN141+CL141+CJ141)/1000*3,0)+ROUND((ROUND(CP141/400,0))/2.67,0)+ROUND(CV141/1000,0)+ROUND((CY141+CZ141+DA141+DC141)/1000*3,0)+ROUND(DH141/25,0)+ROUND(DX141/50,0)</f>
        <v>24</v>
      </c>
      <c r="DM141" s="773">
        <v>0</v>
      </c>
      <c r="DN141" s="773"/>
      <c r="DO141" s="773">
        <v>0</v>
      </c>
      <c r="DP141" s="773">
        <f>0.25*DJ141</f>
        <v>8.4037499999999987</v>
      </c>
      <c r="DQ141" s="773">
        <f>SUM(CO141,CJ141,CN141,CR141,CU141)/1000</f>
        <v>7.6193999999999997</v>
      </c>
      <c r="DR141" s="773">
        <f>CL141/1000</f>
        <v>0</v>
      </c>
      <c r="DS141" s="773">
        <f>((CP141/400)/12)</f>
        <v>0</v>
      </c>
      <c r="DT141" s="773">
        <f>IF(CX141&gt;0,"Calculate",0)</f>
        <v>0</v>
      </c>
      <c r="DU141" s="773">
        <v>0</v>
      </c>
      <c r="DV141" s="773">
        <f>CX141/1000</f>
        <v>0</v>
      </c>
      <c r="DW141" s="2722">
        <f>SUM(DX141:DX143)</f>
        <v>29.2944</v>
      </c>
      <c r="DX141" s="774">
        <f>SUM(DM141,DO141,DQ141:DV141)</f>
        <v>7.6193999999999997</v>
      </c>
      <c r="DY141" s="2725">
        <v>115</v>
      </c>
      <c r="DZ141" s="2728">
        <f>CD141-T141</f>
        <v>155240</v>
      </c>
      <c r="EA141" s="2602">
        <f>CE141-V141</f>
        <v>-11481.599999999999</v>
      </c>
      <c r="EB141" s="187">
        <f>CF141-W141</f>
        <v>-9906.6</v>
      </c>
      <c r="EC141" s="2602">
        <f>SUM(ED141:ED143)</f>
        <v>1768.3999999999996</v>
      </c>
      <c r="ED141" s="187">
        <v>-9906.6</v>
      </c>
      <c r="EE141" s="187">
        <f>(SUM(CJ141:CO141))-(SUM(AA141:AE141,AL141))</f>
        <v>16887.800000000003</v>
      </c>
      <c r="EF141" s="2602">
        <f>SUM(EG141:EG143)</f>
        <v>4268.3999999999996</v>
      </c>
      <c r="EG141" s="187">
        <v>-9906.6</v>
      </c>
      <c r="EH141" s="2602">
        <f>SUM(EI141:EI143)</f>
        <v>0</v>
      </c>
      <c r="EI141" s="187">
        <f>CL141-AC141</f>
        <v>0</v>
      </c>
      <c r="EJ141" s="2602">
        <f>SUM(EK141:EK143)</f>
        <v>0</v>
      </c>
      <c r="EK141" s="187">
        <f>CJ141-AA141</f>
        <v>0</v>
      </c>
      <c r="EL141" s="2602">
        <f>SUM(EM141:EM143)</f>
        <v>-2500</v>
      </c>
      <c r="EM141" s="187">
        <f>CO141-AE141</f>
        <v>0</v>
      </c>
      <c r="EN141" s="2602">
        <f>SUM(EO141:EO143)</f>
        <v>0</v>
      </c>
      <c r="EO141" s="187">
        <f>CP141-AH141</f>
        <v>0</v>
      </c>
      <c r="EP141" s="2602">
        <f>SUM(EQ141:EQ143)</f>
        <v>0</v>
      </c>
      <c r="EQ141" s="187">
        <f>CR141-AJ141</f>
        <v>0</v>
      </c>
      <c r="ER141" s="2602">
        <f>SUM(ES141:ES143)</f>
        <v>0</v>
      </c>
      <c r="ES141" s="187">
        <f>CS141-AO141</f>
        <v>0</v>
      </c>
      <c r="ET141" s="2602">
        <f>SUM(EU141:EU143)</f>
        <v>-13250</v>
      </c>
      <c r="EU141" s="187">
        <f t="shared" si="57"/>
        <v>0</v>
      </c>
      <c r="EV141" s="2602">
        <f>SUM(EW141:EW143)</f>
        <v>0</v>
      </c>
      <c r="EW141" s="187">
        <f>CU141-AS141</f>
        <v>0</v>
      </c>
      <c r="EX141" s="2602">
        <f>SUM(EY141:EY143)</f>
        <v>0</v>
      </c>
      <c r="EY141" s="187">
        <f>CV141-AU141</f>
        <v>0</v>
      </c>
      <c r="EZ141" s="2602">
        <f>SUM(FA141:FA143)</f>
        <v>0</v>
      </c>
      <c r="FA141" s="187">
        <f>CY141-AX141</f>
        <v>0</v>
      </c>
      <c r="FB141" s="2602">
        <f>SUM(FC141:FC143)</f>
        <v>0</v>
      </c>
      <c r="FC141" s="187">
        <f>CZ141-AY141</f>
        <v>0</v>
      </c>
      <c r="FD141" s="2602">
        <f>SUM(FE141:FE143)</f>
        <v>0</v>
      </c>
      <c r="FE141" s="187">
        <f>DA141-AZ141</f>
        <v>0</v>
      </c>
      <c r="FF141" s="2602">
        <f>SUM(FG141:FG143)</f>
        <v>0</v>
      </c>
      <c r="FG141" s="187">
        <f>DB141-BA141</f>
        <v>0</v>
      </c>
      <c r="FH141" s="2602">
        <f>SUM(FI141:FI143)</f>
        <v>0</v>
      </c>
      <c r="FI141" s="187">
        <f>DC141-BB141</f>
        <v>0</v>
      </c>
      <c r="FJ141" s="2602">
        <f>SUM(FK141:FK143)</f>
        <v>0</v>
      </c>
      <c r="FK141" s="187">
        <f>CX141-AW141</f>
        <v>0</v>
      </c>
      <c r="FL141" s="2602">
        <f>SUM(FM141:FM143)</f>
        <v>143758.39999999999</v>
      </c>
      <c r="FM141" s="187">
        <f>DF141-BE141</f>
        <v>23708.399999999994</v>
      </c>
      <c r="FN141" s="2602">
        <f>SUM(FO141:FO143)</f>
        <v>155.24</v>
      </c>
      <c r="FO141" s="187">
        <f>DH141-BG141</f>
        <v>33.614999999999995</v>
      </c>
      <c r="FP141" s="2602">
        <f>SUM(FQ141:FQ143)</f>
        <v>155.24</v>
      </c>
      <c r="FQ141" s="187">
        <f t="shared" ref="FQ141:FT143" si="63">DJ141-BI141</f>
        <v>33.614999999999995</v>
      </c>
      <c r="FR141" s="187">
        <f t="shared" si="63"/>
        <v>96.475049999999996</v>
      </c>
      <c r="FS141" s="187">
        <f t="shared" si="63"/>
        <v>-29</v>
      </c>
      <c r="FT141" s="775">
        <f t="shared" si="63"/>
        <v>0</v>
      </c>
      <c r="FU141" s="775">
        <f>DR141-BO141</f>
        <v>0</v>
      </c>
      <c r="FV141" s="775">
        <f>DO141-BM141</f>
        <v>0</v>
      </c>
      <c r="FW141" s="775">
        <f>DQ141-BN141</f>
        <v>7.6193999999999997</v>
      </c>
      <c r="FX141" s="775">
        <f t="shared" ref="FX141:GA143" si="64">DS141-BP141</f>
        <v>0</v>
      </c>
      <c r="FY141" s="775">
        <f t="shared" si="64"/>
        <v>0</v>
      </c>
      <c r="FZ141" s="775">
        <f t="shared" si="64"/>
        <v>0</v>
      </c>
      <c r="GA141" s="775">
        <f t="shared" si="64"/>
        <v>0</v>
      </c>
      <c r="GB141" s="2734">
        <f>SUM(GC141:GC143)</f>
        <v>-120.70559999999999</v>
      </c>
      <c r="GC141" s="776">
        <f t="shared" si="58"/>
        <v>7.6193999999999997</v>
      </c>
      <c r="GD141" s="139"/>
      <c r="GE141" s="139"/>
      <c r="GF141" s="139"/>
      <c r="GG141" s="139"/>
      <c r="GH141" s="139"/>
      <c r="GI141" s="139"/>
      <c r="GJ141" s="139"/>
      <c r="GK141" s="139"/>
      <c r="GL141" s="139"/>
      <c r="GM141" s="139"/>
      <c r="GN141" s="139"/>
      <c r="GO141" s="139"/>
      <c r="GP141" s="139"/>
      <c r="GQ141" s="139"/>
      <c r="GR141" s="139"/>
      <c r="GS141" s="139"/>
      <c r="GT141" s="139"/>
    </row>
    <row r="142" spans="1:202" s="139" customFormat="1" ht="15" customHeight="1">
      <c r="A142" s="2660"/>
      <c r="B142" s="2660"/>
      <c r="C142" s="132" t="s">
        <v>710</v>
      </c>
      <c r="D142" s="132">
        <v>2846</v>
      </c>
      <c r="E142" s="132">
        <v>32</v>
      </c>
      <c r="F142" s="777">
        <v>2028460032</v>
      </c>
      <c r="G142" s="132">
        <v>10000</v>
      </c>
      <c r="H142" s="135" t="s">
        <v>704</v>
      </c>
      <c r="I142" s="136"/>
      <c r="J142" s="132">
        <v>1</v>
      </c>
      <c r="K142" s="132">
        <v>0</v>
      </c>
      <c r="L142" s="132">
        <v>2</v>
      </c>
      <c r="M142" s="132">
        <v>6.5</v>
      </c>
      <c r="N142" s="134">
        <v>10000</v>
      </c>
      <c r="O142" s="134">
        <f>0.25*Q142</f>
        <v>2500</v>
      </c>
      <c r="P142" s="134">
        <v>0</v>
      </c>
      <c r="Q142" s="134">
        <v>10000</v>
      </c>
      <c r="R142" s="137">
        <v>0</v>
      </c>
      <c r="S142" s="778" t="s">
        <v>761</v>
      </c>
      <c r="T142" s="2643"/>
      <c r="U142" s="102">
        <v>0</v>
      </c>
      <c r="V142" s="2643"/>
      <c r="W142" s="102">
        <f>N142</f>
        <v>10000</v>
      </c>
      <c r="X142" s="102"/>
      <c r="Y142" s="102">
        <f>W142-AA142</f>
        <v>10000</v>
      </c>
      <c r="Z142" s="2643"/>
      <c r="AA142" s="102">
        <v>0</v>
      </c>
      <c r="AB142" s="2643"/>
      <c r="AC142" s="102">
        <v>0</v>
      </c>
      <c r="AD142" s="2643"/>
      <c r="AE142" s="102">
        <f>AG142+AF142</f>
        <v>2500</v>
      </c>
      <c r="AF142" s="102">
        <v>0</v>
      </c>
      <c r="AG142" s="102">
        <f>0.25*W142</f>
        <v>2500</v>
      </c>
      <c r="AH142" s="102">
        <v>0</v>
      </c>
      <c r="AI142" s="2643"/>
      <c r="AJ142" s="102">
        <v>0</v>
      </c>
      <c r="AK142" s="2643"/>
      <c r="AL142" s="102">
        <f>W142-(AA142+AC142+AE142+AH142+AJ142+AM142+AW142+AO142+AQ142+AS142+AU142)</f>
        <v>7500</v>
      </c>
      <c r="AM142" s="779">
        <v>0</v>
      </c>
      <c r="AN142" s="2643"/>
      <c r="AO142" s="102">
        <v>0</v>
      </c>
      <c r="AP142" s="2643"/>
      <c r="AQ142" s="102">
        <v>0</v>
      </c>
      <c r="AR142" s="2643"/>
      <c r="AS142" s="102">
        <v>0</v>
      </c>
      <c r="AT142" s="2643"/>
      <c r="AU142" s="102">
        <v>0</v>
      </c>
      <c r="AV142" s="2643"/>
      <c r="AW142" s="102">
        <f>AX142+AY142+AZ142+BA142+BB142</f>
        <v>0</v>
      </c>
      <c r="AX142" s="102">
        <v>0</v>
      </c>
      <c r="AY142" s="102">
        <v>0</v>
      </c>
      <c r="AZ142" s="102">
        <v>0</v>
      </c>
      <c r="BA142" s="102">
        <v>0</v>
      </c>
      <c r="BB142" s="102">
        <v>0</v>
      </c>
      <c r="BC142" s="102">
        <v>0</v>
      </c>
      <c r="BD142" s="2643"/>
      <c r="BE142" s="102">
        <f>U142+W142</f>
        <v>10000</v>
      </c>
      <c r="BF142" s="2643"/>
      <c r="BG142" s="102">
        <f>U142/1000</f>
        <v>0</v>
      </c>
      <c r="BH142" s="2643"/>
      <c r="BI142" s="102">
        <v>0</v>
      </c>
      <c r="BJ142" s="102">
        <f t="shared" si="59"/>
        <v>0</v>
      </c>
      <c r="BK142" s="186">
        <f>ROUND((Y142+AC142+AA142)/1000*3,0)+ROUND((AE142+AU142)/1000,0)+ROUND((ROUND(AH142/400,0))/2.67,0)+ROUND(AM142/250,0)+ROUND(AO142/15000,0)+ROUND((AX142+AY142+AZ142+BB142)/1000*3,0)+ROUND(BG142/25,0)+ROUND('A-App Potential sites'!BU74/50,0)</f>
        <v>33</v>
      </c>
      <c r="BL142" s="102">
        <v>0</v>
      </c>
      <c r="BM142" s="102">
        <v>0</v>
      </c>
      <c r="BN142" s="102">
        <v>0</v>
      </c>
      <c r="BO142" s="102">
        <f>AC142/1000</f>
        <v>0</v>
      </c>
      <c r="BP142" s="102">
        <f>AH142/1000</f>
        <v>0</v>
      </c>
      <c r="BQ142" s="102">
        <v>0</v>
      </c>
      <c r="BR142" s="102">
        <v>0</v>
      </c>
      <c r="BS142" s="102">
        <v>0</v>
      </c>
      <c r="BT142" s="2643"/>
      <c r="BU142" s="102">
        <f>SUM(BL142:BS142)</f>
        <v>0</v>
      </c>
      <c r="BV142" s="139">
        <v>15</v>
      </c>
      <c r="BW142" s="780" t="s">
        <v>741</v>
      </c>
      <c r="BX142" s="139">
        <v>7.2</v>
      </c>
      <c r="BY142" s="139">
        <v>2</v>
      </c>
      <c r="BZ142" s="139">
        <v>6.5</v>
      </c>
      <c r="CA142" s="781" t="s">
        <v>706</v>
      </c>
      <c r="CB142" s="2662"/>
      <c r="CC142" s="782">
        <f>(BX142*G142)-CF142</f>
        <v>63500</v>
      </c>
      <c r="CD142" s="2732"/>
      <c r="CE142" s="2643"/>
      <c r="CF142" s="840">
        <f>1*(G142)-(0.15*1*(G142))</f>
        <v>8500</v>
      </c>
      <c r="CG142" s="2643"/>
      <c r="CH142" s="840">
        <f>CF142-CJ142</f>
        <v>8500</v>
      </c>
      <c r="CI142" s="2643"/>
      <c r="CJ142" s="139">
        <v>0</v>
      </c>
      <c r="CK142" s="2643"/>
      <c r="CL142" s="139">
        <v>0</v>
      </c>
      <c r="CM142" s="2643"/>
      <c r="CN142" s="102">
        <f>CF142-(CJ142+CL142+CO142+CP142+CR142+CU142+CV142+CX142)</f>
        <v>8500</v>
      </c>
      <c r="CO142" s="784">
        <v>0</v>
      </c>
      <c r="CP142" s="784">
        <v>0</v>
      </c>
      <c r="CQ142" s="2643"/>
      <c r="CR142" s="102">
        <v>0</v>
      </c>
      <c r="CS142" s="784">
        <v>0</v>
      </c>
      <c r="CT142" s="784">
        <v>0</v>
      </c>
      <c r="CU142" s="784">
        <v>0</v>
      </c>
      <c r="CV142" s="784">
        <v>0</v>
      </c>
      <c r="CW142" s="2643"/>
      <c r="CX142" s="102">
        <f>SUM(CY142:DC142)</f>
        <v>0</v>
      </c>
      <c r="CY142" s="784">
        <f t="shared" si="62"/>
        <v>0</v>
      </c>
      <c r="CZ142" s="784">
        <f t="shared" si="62"/>
        <v>0</v>
      </c>
      <c r="DA142" s="784">
        <f t="shared" si="62"/>
        <v>0</v>
      </c>
      <c r="DB142" s="784">
        <f t="shared" si="62"/>
        <v>0</v>
      </c>
      <c r="DC142" s="784">
        <f t="shared" si="62"/>
        <v>0</v>
      </c>
      <c r="DD142" s="784"/>
      <c r="DE142" s="2643"/>
      <c r="DF142" s="102">
        <f>CC142+CF142</f>
        <v>72000</v>
      </c>
      <c r="DG142" s="2643"/>
      <c r="DH142" s="296">
        <f>CC142/'[1]Projected Development Sites'!DF$134</f>
        <v>63.5</v>
      </c>
      <c r="DI142" s="2723"/>
      <c r="DJ142" s="785">
        <f>'[1]Projected Development Sites'!DK$136*DH142</f>
        <v>63.5</v>
      </c>
      <c r="DK142" s="779">
        <f>2.87*DH142</f>
        <v>182.245</v>
      </c>
      <c r="DL142" s="786">
        <f>ROUND((CN142+CL142+CJ142)/1000*3,0)+ROUND((ROUND(CP142/400,0))/2.67,0)+ROUND(CV142/1000,0)+ROUND((CY142+CZ142+DA142+DC142)/1000*3,0)+ROUND(DH142/25,0)+ROUND(DX142/50,0)</f>
        <v>29</v>
      </c>
      <c r="DM142" s="787">
        <v>0</v>
      </c>
      <c r="DN142" s="787"/>
      <c r="DO142" s="787">
        <v>0</v>
      </c>
      <c r="DP142" s="787">
        <f>0.25*DJ142</f>
        <v>15.875</v>
      </c>
      <c r="DQ142" s="787">
        <f>SUM(CO142,CJ142,CN142,CR142,CU142)/1000</f>
        <v>8.5</v>
      </c>
      <c r="DR142" s="787">
        <f>CL142/1000</f>
        <v>0</v>
      </c>
      <c r="DS142" s="787">
        <f>((CP142/400)/12)</f>
        <v>0</v>
      </c>
      <c r="DT142" s="787">
        <f>IF(CX142&gt;0,"Calculate",0)</f>
        <v>0</v>
      </c>
      <c r="DU142" s="787">
        <v>0</v>
      </c>
      <c r="DV142" s="787">
        <f>CX142/1000</f>
        <v>0</v>
      </c>
      <c r="DW142" s="2723"/>
      <c r="DX142" s="788">
        <f>SUM(DM142,DO142,DQ142:DV142)</f>
        <v>8.5</v>
      </c>
      <c r="DY142" s="2726"/>
      <c r="DZ142" s="2729"/>
      <c r="EA142" s="2665"/>
      <c r="EB142" s="195">
        <f>CF142-W142</f>
        <v>-1500</v>
      </c>
      <c r="EC142" s="2665"/>
      <c r="ED142" s="195">
        <v>-1500</v>
      </c>
      <c r="EE142" s="195">
        <f>(SUM(CJ142:CO142))-(SUM(AA142:AE142,AL142))</f>
        <v>-1500</v>
      </c>
      <c r="EF142" s="2665"/>
      <c r="EG142" s="195">
        <v>1000</v>
      </c>
      <c r="EH142" s="2665"/>
      <c r="EI142" s="195">
        <f>CL142-AC142</f>
        <v>0</v>
      </c>
      <c r="EJ142" s="2665"/>
      <c r="EK142" s="195">
        <f>CJ142-AA142</f>
        <v>0</v>
      </c>
      <c r="EL142" s="2665"/>
      <c r="EM142" s="195">
        <f>CO142-AE142</f>
        <v>-2500</v>
      </c>
      <c r="EN142" s="2665"/>
      <c r="EO142" s="195">
        <f>CP142-AH142</f>
        <v>0</v>
      </c>
      <c r="EP142" s="2665"/>
      <c r="EQ142" s="195">
        <f>CR142-AJ142</f>
        <v>0</v>
      </c>
      <c r="ER142" s="2665"/>
      <c r="ES142" s="195">
        <f>CS142-AO142</f>
        <v>0</v>
      </c>
      <c r="ET142" s="2665"/>
      <c r="EU142" s="195">
        <f t="shared" si="57"/>
        <v>0</v>
      </c>
      <c r="EV142" s="2665"/>
      <c r="EW142" s="195">
        <f>CU142-AS142</f>
        <v>0</v>
      </c>
      <c r="EX142" s="2665"/>
      <c r="EY142" s="195">
        <f>CV142-AU142</f>
        <v>0</v>
      </c>
      <c r="EZ142" s="2665"/>
      <c r="FA142" s="195">
        <f>CY142-AX142</f>
        <v>0</v>
      </c>
      <c r="FB142" s="2665"/>
      <c r="FC142" s="195">
        <f>CZ142-AY142</f>
        <v>0</v>
      </c>
      <c r="FD142" s="2665"/>
      <c r="FE142" s="195">
        <f>DA142-AZ142</f>
        <v>0</v>
      </c>
      <c r="FF142" s="2665"/>
      <c r="FG142" s="195">
        <f>DB142-BA142</f>
        <v>0</v>
      </c>
      <c r="FH142" s="2665"/>
      <c r="FI142" s="195">
        <f>DC142-BB142</f>
        <v>0</v>
      </c>
      <c r="FJ142" s="2665"/>
      <c r="FK142" s="195">
        <f>CX142-AW142</f>
        <v>0</v>
      </c>
      <c r="FL142" s="2665"/>
      <c r="FM142" s="195">
        <f>DF142-BE142</f>
        <v>62000</v>
      </c>
      <c r="FN142" s="2665"/>
      <c r="FO142" s="195">
        <f>DH142-BG142</f>
        <v>63.5</v>
      </c>
      <c r="FP142" s="2665"/>
      <c r="FQ142" s="195">
        <f t="shared" si="63"/>
        <v>63.5</v>
      </c>
      <c r="FR142" s="195">
        <f t="shared" si="63"/>
        <v>182.245</v>
      </c>
      <c r="FS142" s="195">
        <f t="shared" si="63"/>
        <v>-4</v>
      </c>
      <c r="FT142" s="789">
        <f t="shared" si="63"/>
        <v>0</v>
      </c>
      <c r="FU142" s="789">
        <f>DR142-BO142</f>
        <v>0</v>
      </c>
      <c r="FV142" s="789">
        <f>DO142-BM142</f>
        <v>0</v>
      </c>
      <c r="FW142" s="789">
        <f>DQ142-BN142</f>
        <v>8.5</v>
      </c>
      <c r="FX142" s="789">
        <f t="shared" si="64"/>
        <v>0</v>
      </c>
      <c r="FY142" s="789">
        <f t="shared" si="64"/>
        <v>0</v>
      </c>
      <c r="FZ142" s="789">
        <f t="shared" si="64"/>
        <v>0</v>
      </c>
      <c r="GA142" s="789">
        <f t="shared" si="64"/>
        <v>0</v>
      </c>
      <c r="GB142" s="2735"/>
      <c r="GC142" s="790">
        <f t="shared" si="58"/>
        <v>8.5</v>
      </c>
    </row>
    <row r="143" spans="1:202" s="81" customFormat="1" ht="15" customHeight="1">
      <c r="A143" s="2589"/>
      <c r="B143" s="2589"/>
      <c r="C143" s="66" t="s">
        <v>721</v>
      </c>
      <c r="D143" s="66">
        <v>2846</v>
      </c>
      <c r="E143" s="66">
        <v>21</v>
      </c>
      <c r="F143" s="841">
        <v>2028460021</v>
      </c>
      <c r="G143" s="66">
        <v>15500</v>
      </c>
      <c r="H143" s="69" t="s">
        <v>704</v>
      </c>
      <c r="I143" s="70"/>
      <c r="J143" s="66">
        <v>0.85</v>
      </c>
      <c r="K143" s="66">
        <v>0</v>
      </c>
      <c r="L143" s="66">
        <v>2</v>
      </c>
      <c r="M143" s="66">
        <v>6.5</v>
      </c>
      <c r="N143" s="68">
        <v>13250</v>
      </c>
      <c r="O143" s="68">
        <f>Q143</f>
        <v>13250</v>
      </c>
      <c r="P143" s="68">
        <v>0</v>
      </c>
      <c r="Q143" s="68">
        <v>13250</v>
      </c>
      <c r="R143" s="71">
        <v>0</v>
      </c>
      <c r="S143" s="791" t="s">
        <v>720</v>
      </c>
      <c r="T143" s="2601"/>
      <c r="U143" s="74">
        <v>0</v>
      </c>
      <c r="V143" s="2601"/>
      <c r="W143" s="74">
        <f>N143</f>
        <v>13250</v>
      </c>
      <c r="X143" s="74"/>
      <c r="Y143" s="74">
        <f>W143-AA143</f>
        <v>13250</v>
      </c>
      <c r="Z143" s="2601"/>
      <c r="AA143" s="74">
        <v>0</v>
      </c>
      <c r="AB143" s="2601"/>
      <c r="AC143" s="74">
        <v>0</v>
      </c>
      <c r="AD143" s="2601"/>
      <c r="AE143" s="74">
        <f>AG143+AF143</f>
        <v>0</v>
      </c>
      <c r="AF143" s="74">
        <v>0</v>
      </c>
      <c r="AG143" s="74">
        <v>0</v>
      </c>
      <c r="AH143" s="74"/>
      <c r="AI143" s="2601"/>
      <c r="AJ143" s="74">
        <v>0</v>
      </c>
      <c r="AK143" s="2601"/>
      <c r="AL143" s="74">
        <f>W143-(AA143+AC143+AE143+AH143+AJ143+AM143+AW143+AO143+AQ143+AS143+AU143)</f>
        <v>0</v>
      </c>
      <c r="AM143" s="792">
        <v>0</v>
      </c>
      <c r="AN143" s="2601"/>
      <c r="AO143" s="74">
        <v>0</v>
      </c>
      <c r="AP143" s="2601"/>
      <c r="AQ143" s="74">
        <v>13250</v>
      </c>
      <c r="AR143" s="2601"/>
      <c r="AS143" s="74">
        <v>0</v>
      </c>
      <c r="AT143" s="2601"/>
      <c r="AU143" s="74">
        <v>0</v>
      </c>
      <c r="AV143" s="2601"/>
      <c r="AW143" s="74">
        <f>AX143+AY143+AZ143+BA143+BB143</f>
        <v>0</v>
      </c>
      <c r="AX143" s="74">
        <v>0</v>
      </c>
      <c r="AY143" s="74">
        <v>0</v>
      </c>
      <c r="AZ143" s="74">
        <v>0</v>
      </c>
      <c r="BA143" s="74">
        <v>0</v>
      </c>
      <c r="BB143" s="74">
        <v>0</v>
      </c>
      <c r="BC143" s="74">
        <v>0</v>
      </c>
      <c r="BD143" s="2601"/>
      <c r="BE143" s="74">
        <f>U143+W143</f>
        <v>13250</v>
      </c>
      <c r="BF143" s="2601"/>
      <c r="BG143" s="74">
        <f>U143/1000</f>
        <v>0</v>
      </c>
      <c r="BH143" s="2601"/>
      <c r="BI143" s="74">
        <v>0</v>
      </c>
      <c r="BJ143" s="74">
        <f t="shared" si="59"/>
        <v>0</v>
      </c>
      <c r="BK143" s="88">
        <f>ROUND((Y143+AC143+AA143)/1000*3,0)+ROUND((AE143+AU143)/1000,0)+ROUND((ROUND(AH143/400,0))/2.67,0)+ROUND(AM143/250,0)+ROUND(AO143/15000,0)+ROUND((AX143+AY143+AZ143+BB143)/1000*3,0)+ROUND(BG143/25,0)+ROUND(BU75/50,0)</f>
        <v>40</v>
      </c>
      <c r="BL143" s="74">
        <v>0</v>
      </c>
      <c r="BM143" s="74">
        <v>0</v>
      </c>
      <c r="BN143" s="74">
        <v>0</v>
      </c>
      <c r="BO143" s="74">
        <f>AC143/1000</f>
        <v>0</v>
      </c>
      <c r="BP143" s="74">
        <f>AH143/1000</f>
        <v>0</v>
      </c>
      <c r="BQ143" s="74">
        <v>150</v>
      </c>
      <c r="BR143" s="74">
        <v>0</v>
      </c>
      <c r="BS143" s="74">
        <v>0</v>
      </c>
      <c r="BT143" s="2601"/>
      <c r="BU143" s="74">
        <f>SUM(BL143:BS143)</f>
        <v>150</v>
      </c>
      <c r="BV143" s="81">
        <v>15</v>
      </c>
      <c r="BW143" s="793" t="s">
        <v>705</v>
      </c>
      <c r="BX143" s="81">
        <v>4.5999999999999996</v>
      </c>
      <c r="BY143" s="81">
        <v>2</v>
      </c>
      <c r="BZ143" s="81">
        <v>4.5999999999999996</v>
      </c>
      <c r="CA143" s="794" t="s">
        <v>706</v>
      </c>
      <c r="CB143" s="2597"/>
      <c r="CC143" s="795">
        <f>(BX143*G143)-CF143</f>
        <v>58125</v>
      </c>
      <c r="CD143" s="2733"/>
      <c r="CE143" s="2601"/>
      <c r="CF143" s="843">
        <f>1*(G143)-(0.15*1*(G143))</f>
        <v>13175</v>
      </c>
      <c r="CG143" s="2601"/>
      <c r="CH143" s="843">
        <f>CF143-CJ143</f>
        <v>13175</v>
      </c>
      <c r="CI143" s="2601"/>
      <c r="CJ143" s="81">
        <v>0</v>
      </c>
      <c r="CK143" s="2601"/>
      <c r="CL143" s="81">
        <v>0</v>
      </c>
      <c r="CM143" s="2601"/>
      <c r="CN143" s="74">
        <f>CF143-(CJ143+CL143+CO143+CP143+CR143+CU143+CV143+CX143)</f>
        <v>13175</v>
      </c>
      <c r="CO143" s="797">
        <v>0</v>
      </c>
      <c r="CP143" s="797">
        <v>0</v>
      </c>
      <c r="CQ143" s="2601"/>
      <c r="CR143" s="74">
        <v>0</v>
      </c>
      <c r="CS143" s="797">
        <v>0</v>
      </c>
      <c r="CT143" s="797">
        <v>0</v>
      </c>
      <c r="CU143" s="797">
        <v>0</v>
      </c>
      <c r="CV143" s="797">
        <v>0</v>
      </c>
      <c r="CW143" s="2601"/>
      <c r="CX143" s="74">
        <f>SUM(CY143:DC143)</f>
        <v>0</v>
      </c>
      <c r="CY143" s="797">
        <f t="shared" si="62"/>
        <v>0</v>
      </c>
      <c r="CZ143" s="797">
        <f t="shared" si="62"/>
        <v>0</v>
      </c>
      <c r="DA143" s="797">
        <f t="shared" si="62"/>
        <v>0</v>
      </c>
      <c r="DB143" s="797">
        <f t="shared" si="62"/>
        <v>0</v>
      </c>
      <c r="DC143" s="797">
        <f t="shared" si="62"/>
        <v>0</v>
      </c>
      <c r="DD143" s="797"/>
      <c r="DE143" s="2601"/>
      <c r="DF143" s="74">
        <f>CC143+CF143</f>
        <v>71300</v>
      </c>
      <c r="DG143" s="2601"/>
      <c r="DH143" s="303">
        <f>CC143/'[1]Projected Development Sites'!DF$134</f>
        <v>58.125</v>
      </c>
      <c r="DI143" s="2724"/>
      <c r="DJ143" s="798">
        <f>'[1]Projected Development Sites'!DK$136*DH143</f>
        <v>58.125</v>
      </c>
      <c r="DK143" s="792">
        <f>2.87*DH143</f>
        <v>166.81874999999999</v>
      </c>
      <c r="DL143" s="786">
        <f>ROUND((CN143+CL143+CJ143)/1000*3,0)+ROUND((ROUND(CP143/400,0))/2.67,0)+ROUND(CV143/1000,0)+ROUND((CY143+CZ143+DA143+DC143)/1000*3,0)+ROUND(DH143/25,0)+ROUND(DX143/50,0)</f>
        <v>42</v>
      </c>
      <c r="DM143" s="799">
        <v>0</v>
      </c>
      <c r="DN143" s="799"/>
      <c r="DO143" s="799">
        <v>0</v>
      </c>
      <c r="DP143" s="799">
        <f>0.25*DJ143</f>
        <v>14.53125</v>
      </c>
      <c r="DQ143" s="799">
        <f>SUM(CO143,CJ143,CN143,CR143,CU143)/1000</f>
        <v>13.175000000000001</v>
      </c>
      <c r="DR143" s="799">
        <f>CL143/1000</f>
        <v>0</v>
      </c>
      <c r="DS143" s="799">
        <f>((CP143/400)/12)</f>
        <v>0</v>
      </c>
      <c r="DT143" s="799">
        <f>IF(CX143&gt;0,"Calculate",0)</f>
        <v>0</v>
      </c>
      <c r="DU143" s="799">
        <v>0</v>
      </c>
      <c r="DV143" s="799">
        <f>CX143/1000</f>
        <v>0</v>
      </c>
      <c r="DW143" s="2724"/>
      <c r="DX143" s="800">
        <f>SUM(DM143,DO143,DQ143:DV143)</f>
        <v>13.175000000000001</v>
      </c>
      <c r="DY143" s="2727"/>
      <c r="DZ143" s="2730"/>
      <c r="EA143" s="2603"/>
      <c r="EB143" s="195">
        <f>CF143-W143</f>
        <v>-75</v>
      </c>
      <c r="EC143" s="2603"/>
      <c r="ED143" s="190">
        <v>13175</v>
      </c>
      <c r="EE143" s="195">
        <f>(SUM(CJ143:CO143))-(SUM(AA143:AE143,AL143))</f>
        <v>13175</v>
      </c>
      <c r="EF143" s="2603"/>
      <c r="EG143" s="190">
        <v>13175</v>
      </c>
      <c r="EH143" s="2603"/>
      <c r="EI143" s="195">
        <f>CL143-AC143</f>
        <v>0</v>
      </c>
      <c r="EJ143" s="2603"/>
      <c r="EK143" s="195">
        <f>CJ143-AA143</f>
        <v>0</v>
      </c>
      <c r="EL143" s="2603"/>
      <c r="EM143" s="190">
        <f>CO143-AE143</f>
        <v>0</v>
      </c>
      <c r="EN143" s="2603"/>
      <c r="EO143" s="190">
        <f>CP143-AH143</f>
        <v>0</v>
      </c>
      <c r="EP143" s="2603"/>
      <c r="EQ143" s="195">
        <f>CR143-AJ143</f>
        <v>0</v>
      </c>
      <c r="ER143" s="2603"/>
      <c r="ES143" s="195">
        <f>CS143-AO143</f>
        <v>0</v>
      </c>
      <c r="ET143" s="2603"/>
      <c r="EU143" s="195">
        <f t="shared" si="57"/>
        <v>-13250</v>
      </c>
      <c r="EV143" s="2603"/>
      <c r="EW143" s="195">
        <f>CU143-AS143</f>
        <v>0</v>
      </c>
      <c r="EX143" s="2603"/>
      <c r="EY143" s="190">
        <f>CV143-AU143</f>
        <v>0</v>
      </c>
      <c r="EZ143" s="2603"/>
      <c r="FA143" s="190">
        <f>CY143-AX143</f>
        <v>0</v>
      </c>
      <c r="FB143" s="2603"/>
      <c r="FC143" s="190">
        <f>CZ143-AY143</f>
        <v>0</v>
      </c>
      <c r="FD143" s="2603"/>
      <c r="FE143" s="190">
        <f>DA143-AZ143</f>
        <v>0</v>
      </c>
      <c r="FF143" s="2603"/>
      <c r="FG143" s="190">
        <f>DB143-BA143</f>
        <v>0</v>
      </c>
      <c r="FH143" s="2603"/>
      <c r="FI143" s="190">
        <f>DC143-BB143</f>
        <v>0</v>
      </c>
      <c r="FJ143" s="2603"/>
      <c r="FK143" s="190">
        <f>CX143-AW143</f>
        <v>0</v>
      </c>
      <c r="FL143" s="2603"/>
      <c r="FM143" s="195">
        <f>DF143-BE143</f>
        <v>58050</v>
      </c>
      <c r="FN143" s="2603"/>
      <c r="FO143" s="195">
        <f>DH143-BG143</f>
        <v>58.125</v>
      </c>
      <c r="FP143" s="2603"/>
      <c r="FQ143" s="195">
        <f t="shared" si="63"/>
        <v>58.125</v>
      </c>
      <c r="FR143" s="190">
        <f t="shared" si="63"/>
        <v>166.81874999999999</v>
      </c>
      <c r="FS143" s="190">
        <f t="shared" si="63"/>
        <v>2</v>
      </c>
      <c r="FT143" s="801">
        <f t="shared" si="63"/>
        <v>0</v>
      </c>
      <c r="FU143" s="801">
        <f>DR143-BO143</f>
        <v>0</v>
      </c>
      <c r="FV143" s="801">
        <f>DO143-BM143</f>
        <v>0</v>
      </c>
      <c r="FW143" s="801">
        <f>DQ143-BN143</f>
        <v>13.175000000000001</v>
      </c>
      <c r="FX143" s="801">
        <f t="shared" si="64"/>
        <v>0</v>
      </c>
      <c r="FY143" s="801">
        <f t="shared" si="64"/>
        <v>-150</v>
      </c>
      <c r="FZ143" s="801">
        <f t="shared" si="64"/>
        <v>0</v>
      </c>
      <c r="GA143" s="801">
        <f t="shared" si="64"/>
        <v>0</v>
      </c>
      <c r="GB143" s="2736"/>
      <c r="GC143" s="845">
        <f t="shared" si="58"/>
        <v>-136.82499999999999</v>
      </c>
      <c r="GD143" s="139"/>
      <c r="GE143" s="139"/>
      <c r="GF143" s="139"/>
      <c r="GG143" s="139"/>
      <c r="GH143" s="139"/>
      <c r="GI143" s="139"/>
      <c r="GJ143" s="139"/>
      <c r="GK143" s="139"/>
      <c r="GL143" s="139"/>
      <c r="GM143" s="139"/>
      <c r="GN143" s="139"/>
      <c r="GO143" s="139"/>
      <c r="GP143" s="139"/>
      <c r="GQ143" s="139"/>
      <c r="GR143" s="139"/>
      <c r="GS143" s="139"/>
      <c r="GT143" s="139"/>
    </row>
    <row r="144" spans="1:202" s="139" customFormat="1" ht="18.75">
      <c r="A144" s="2263"/>
      <c r="B144" s="2263"/>
      <c r="C144" s="132"/>
      <c r="D144" s="132"/>
      <c r="E144" s="132"/>
      <c r="F144" s="777"/>
      <c r="G144" s="132"/>
      <c r="H144" s="135"/>
      <c r="I144" s="136"/>
      <c r="J144" s="132"/>
      <c r="K144" s="132"/>
      <c r="L144" s="132"/>
      <c r="M144" s="132"/>
      <c r="N144" s="134"/>
      <c r="O144" s="134"/>
      <c r="P144" s="134"/>
      <c r="Q144" s="134"/>
      <c r="R144" s="137"/>
      <c r="S144" s="778"/>
      <c r="T144" s="634"/>
      <c r="U144" s="102"/>
      <c r="V144" s="634"/>
      <c r="W144" s="102"/>
      <c r="X144" s="102"/>
      <c r="Y144" s="102"/>
      <c r="Z144" s="634"/>
      <c r="AA144" s="102"/>
      <c r="AB144" s="634"/>
      <c r="AC144" s="102"/>
      <c r="AD144" s="634"/>
      <c r="AE144" s="102"/>
      <c r="AF144" s="102"/>
      <c r="AG144" s="102"/>
      <c r="AH144" s="102"/>
      <c r="AI144" s="634"/>
      <c r="AJ144" s="102"/>
      <c r="AK144" s="634"/>
      <c r="AL144" s="102"/>
      <c r="AM144" s="779"/>
      <c r="AN144" s="634"/>
      <c r="AO144" s="102"/>
      <c r="AP144" s="634"/>
      <c r="AQ144" s="102"/>
      <c r="AR144" s="634"/>
      <c r="AS144" s="102"/>
      <c r="AT144" s="634"/>
      <c r="AU144" s="102"/>
      <c r="AV144" s="634"/>
      <c r="AW144" s="102"/>
      <c r="AX144" s="102"/>
      <c r="AY144" s="102"/>
      <c r="AZ144" s="102"/>
      <c r="BA144" s="102"/>
      <c r="BB144" s="102"/>
      <c r="BC144" s="102"/>
      <c r="BD144" s="634"/>
      <c r="BE144" s="102"/>
      <c r="BF144" s="634"/>
      <c r="BG144" s="102"/>
      <c r="BH144" s="634"/>
      <c r="BI144" s="102"/>
      <c r="BJ144" s="111"/>
      <c r="BK144" s="186"/>
      <c r="BL144" s="102"/>
      <c r="BM144" s="102"/>
      <c r="BN144" s="102"/>
      <c r="BO144" s="102"/>
      <c r="BP144" s="102"/>
      <c r="BQ144" s="102"/>
      <c r="BR144" s="102"/>
      <c r="BS144" s="102"/>
      <c r="BT144" s="634"/>
      <c r="BU144" s="102"/>
      <c r="BW144" s="780"/>
      <c r="CA144" s="781"/>
      <c r="CB144" s="2258"/>
      <c r="CC144" s="782"/>
      <c r="CD144" s="782"/>
      <c r="CE144" s="634"/>
      <c r="CF144" s="840"/>
      <c r="CG144" s="634"/>
      <c r="CH144" s="840"/>
      <c r="CI144" s="634"/>
      <c r="CK144" s="634"/>
      <c r="CM144" s="634"/>
      <c r="CN144" s="784"/>
      <c r="CO144" s="784"/>
      <c r="CP144" s="784"/>
      <c r="CQ144" s="634"/>
      <c r="CR144" s="102"/>
      <c r="CS144" s="784"/>
      <c r="CT144" s="784"/>
      <c r="CU144" s="784"/>
      <c r="CV144" s="784"/>
      <c r="CW144" s="634"/>
      <c r="CX144" s="102"/>
      <c r="CY144" s="784"/>
      <c r="CZ144" s="784"/>
      <c r="DA144" s="784"/>
      <c r="DB144" s="784"/>
      <c r="DC144" s="784"/>
      <c r="DD144" s="784"/>
      <c r="DE144" s="634"/>
      <c r="DF144" s="784"/>
      <c r="DG144" s="634"/>
      <c r="DH144" s="296"/>
      <c r="DI144" s="802"/>
      <c r="DJ144" s="785"/>
      <c r="DK144" s="899"/>
      <c r="DL144" s="772"/>
      <c r="DM144" s="787"/>
      <c r="DN144" s="787"/>
      <c r="DO144" s="787"/>
      <c r="DP144" s="787"/>
      <c r="DQ144" s="787"/>
      <c r="DR144" s="787"/>
      <c r="DS144" s="787"/>
      <c r="DT144" s="787"/>
      <c r="DU144" s="787"/>
      <c r="DV144" s="787"/>
      <c r="DW144" s="802"/>
      <c r="DX144" s="788"/>
      <c r="DY144" s="634"/>
      <c r="DZ144" s="2288"/>
      <c r="EA144" s="2231"/>
      <c r="EB144" s="187"/>
      <c r="EC144" s="2232"/>
      <c r="ED144" s="187"/>
      <c r="EE144" s="187"/>
      <c r="EF144" s="2232"/>
      <c r="EG144" s="187"/>
      <c r="EH144" s="2232"/>
      <c r="EI144" s="187"/>
      <c r="EJ144" s="2232"/>
      <c r="EK144" s="187"/>
      <c r="EL144" s="2232"/>
      <c r="EM144" s="195"/>
      <c r="EN144" s="2232"/>
      <c r="EO144" s="195"/>
      <c r="EP144" s="2232"/>
      <c r="EQ144" s="187"/>
      <c r="ER144" s="2232"/>
      <c r="ES144" s="187"/>
      <c r="ET144" s="2232"/>
      <c r="EU144" s="187">
        <f t="shared" si="57"/>
        <v>0</v>
      </c>
      <c r="EV144" s="2232"/>
      <c r="EW144" s="187"/>
      <c r="EX144" s="2232"/>
      <c r="EY144" s="195"/>
      <c r="EZ144" s="2232"/>
      <c r="FA144" s="195"/>
      <c r="FB144" s="2232"/>
      <c r="FC144" s="195"/>
      <c r="FD144" s="2232"/>
      <c r="FE144" s="195"/>
      <c r="FF144" s="2232"/>
      <c r="FG144" s="195"/>
      <c r="FH144" s="2232"/>
      <c r="FI144" s="195"/>
      <c r="FJ144" s="2232"/>
      <c r="FK144" s="195"/>
      <c r="FL144" s="2232"/>
      <c r="FM144" s="187"/>
      <c r="FN144" s="2232"/>
      <c r="FO144" s="187"/>
      <c r="FP144" s="2232"/>
      <c r="FQ144" s="187"/>
      <c r="FR144" s="195"/>
      <c r="FS144" s="195"/>
      <c r="FT144" s="789"/>
      <c r="FU144" s="789"/>
      <c r="FV144" s="789"/>
      <c r="FW144" s="789"/>
      <c r="FX144" s="789"/>
      <c r="FY144" s="789"/>
      <c r="FZ144" s="789"/>
      <c r="GA144" s="789"/>
      <c r="GB144" s="2286"/>
      <c r="GC144" s="776"/>
    </row>
    <row r="145" spans="1:202" s="127" customFormat="1" ht="15" customHeight="1">
      <c r="A145" s="2588"/>
      <c r="B145" s="2588">
        <v>52</v>
      </c>
      <c r="C145" s="115" t="s">
        <v>703</v>
      </c>
      <c r="D145" s="115">
        <v>2859</v>
      </c>
      <c r="E145" s="115">
        <v>26</v>
      </c>
      <c r="F145" s="763">
        <v>2028590026</v>
      </c>
      <c r="G145" s="115">
        <v>12350</v>
      </c>
      <c r="H145" s="118" t="s">
        <v>704</v>
      </c>
      <c r="I145" s="119"/>
      <c r="J145" s="115">
        <v>2</v>
      </c>
      <c r="K145" s="115">
        <v>0</v>
      </c>
      <c r="L145" s="115">
        <v>2</v>
      </c>
      <c r="M145" s="115">
        <v>6.5</v>
      </c>
      <c r="N145" s="117">
        <v>24700</v>
      </c>
      <c r="O145" s="117">
        <v>0</v>
      </c>
      <c r="P145" s="117">
        <v>0</v>
      </c>
      <c r="Q145" s="117">
        <v>24700</v>
      </c>
      <c r="R145" s="120">
        <v>0</v>
      </c>
      <c r="S145" s="764" t="s">
        <v>720</v>
      </c>
      <c r="T145" s="2600">
        <f>SUM(U145:U147)</f>
        <v>0</v>
      </c>
      <c r="U145" s="122">
        <v>0</v>
      </c>
      <c r="V145" s="2600">
        <f>SUM(W145:W147)</f>
        <v>46100</v>
      </c>
      <c r="W145" s="122">
        <f>N145</f>
        <v>24700</v>
      </c>
      <c r="X145" s="122"/>
      <c r="Y145" s="122">
        <f>W145-AA145</f>
        <v>24700</v>
      </c>
      <c r="Z145" s="2600">
        <f>SUM(AA145:AA147)</f>
        <v>0</v>
      </c>
      <c r="AA145" s="122">
        <v>0</v>
      </c>
      <c r="AB145" s="2600">
        <f>SUM(AC145:AC147)</f>
        <v>0</v>
      </c>
      <c r="AC145" s="122">
        <v>0</v>
      </c>
      <c r="AD145" s="2600">
        <f>SUM(AE145:AE147)</f>
        <v>10400</v>
      </c>
      <c r="AE145" s="122">
        <f>AG145+AF145</f>
        <v>0</v>
      </c>
      <c r="AF145" s="122">
        <v>0</v>
      </c>
      <c r="AG145" s="122">
        <v>0</v>
      </c>
      <c r="AH145" s="122">
        <v>0</v>
      </c>
      <c r="AI145" s="2600">
        <f>SUM(AJ145:AJ147)</f>
        <v>0</v>
      </c>
      <c r="AJ145" s="122">
        <v>0</v>
      </c>
      <c r="AK145" s="2600">
        <f>SUM(AL145:AL147)</f>
        <v>0</v>
      </c>
      <c r="AL145" s="122">
        <f>W145-(AA145+AC145+AE145+AH145+AJ145+AM145+AW145+AO145+AQ145+AS145+AU145)</f>
        <v>0</v>
      </c>
      <c r="AM145" s="765">
        <v>0</v>
      </c>
      <c r="AN145" s="2600">
        <f>SUM(AO145:AO147)</f>
        <v>0</v>
      </c>
      <c r="AO145" s="122">
        <v>0</v>
      </c>
      <c r="AP145" s="2600">
        <f>SUM(AQ145:AQ147)</f>
        <v>35700</v>
      </c>
      <c r="AQ145" s="122">
        <v>24700</v>
      </c>
      <c r="AR145" s="2600">
        <f>SUM(AS145:AS147)</f>
        <v>0</v>
      </c>
      <c r="AS145" s="122">
        <v>0</v>
      </c>
      <c r="AT145" s="2600">
        <f>SUM(AU145:AU147)</f>
        <v>0</v>
      </c>
      <c r="AU145" s="122">
        <v>0</v>
      </c>
      <c r="AV145" s="2600">
        <f>SUM(AW145:AW147)</f>
        <v>0</v>
      </c>
      <c r="AW145" s="122">
        <f>AX145+AY145+AZ145+BA145+BB145</f>
        <v>0</v>
      </c>
      <c r="AX145" s="122">
        <v>0</v>
      </c>
      <c r="AY145" s="122">
        <v>0</v>
      </c>
      <c r="AZ145" s="122">
        <v>0</v>
      </c>
      <c r="BA145" s="122">
        <v>0</v>
      </c>
      <c r="BB145" s="122">
        <v>0</v>
      </c>
      <c r="BC145" s="122">
        <v>0</v>
      </c>
      <c r="BD145" s="2600">
        <f>SUM(BE145:BE147)</f>
        <v>46100</v>
      </c>
      <c r="BE145" s="122">
        <f>U145+W145</f>
        <v>24700</v>
      </c>
      <c r="BF145" s="2600">
        <f>SUM(BG145:BG147)</f>
        <v>0</v>
      </c>
      <c r="BG145" s="122">
        <f>U145/1000</f>
        <v>0</v>
      </c>
      <c r="BH145" s="2600">
        <f>SUM(BI145:BI147)</f>
        <v>0</v>
      </c>
      <c r="BI145" s="122">
        <v>0</v>
      </c>
      <c r="BJ145" s="122">
        <f t="shared" si="59"/>
        <v>0</v>
      </c>
      <c r="BK145" s="129">
        <f>ROUND((Y145+AC145+AA145)/1000*3,0)+ROUND((AE145+AU145)/1000,0)+ROUND((ROUND(AH145/400,0))/2.67,0)+ROUND(AM145/250,0)+ROUND(AO145/15000,0)+ROUND((AX145+AY145+AZ145+BB145)/1000*3,0)+ROUND(BG145/25,0)+ROUND(BU252/50,0)</f>
        <v>74</v>
      </c>
      <c r="BL145" s="122">
        <v>0</v>
      </c>
      <c r="BM145" s="122">
        <v>0</v>
      </c>
      <c r="BN145" s="122">
        <v>0</v>
      </c>
      <c r="BO145" s="122">
        <f>AC145/1000</f>
        <v>0</v>
      </c>
      <c r="BP145" s="122">
        <f>AH145/1000</f>
        <v>0</v>
      </c>
      <c r="BQ145" s="122">
        <f>AQ145/300</f>
        <v>82.333333333333329</v>
      </c>
      <c r="BR145" s="122">
        <v>0</v>
      </c>
      <c r="BS145" s="122"/>
      <c r="BT145" s="2600">
        <f>SUM(BU145:BU147)</f>
        <v>129.4</v>
      </c>
      <c r="BU145" s="122">
        <f>SUM(BL145:BS145)</f>
        <v>82.333333333333329</v>
      </c>
      <c r="BV145" s="127">
        <v>15</v>
      </c>
      <c r="BW145" s="766" t="s">
        <v>705</v>
      </c>
      <c r="BX145" s="127">
        <v>4.5999999999999996</v>
      </c>
      <c r="BY145" s="127">
        <v>0</v>
      </c>
      <c r="BZ145" s="127">
        <v>4.5999999999999996</v>
      </c>
      <c r="CA145" s="767"/>
      <c r="CB145" s="2596" t="s">
        <v>716</v>
      </c>
      <c r="CC145" s="768">
        <f>(BX145*G145)-G145</f>
        <v>44459.999999999993</v>
      </c>
      <c r="CD145" s="2748">
        <f>SUM(CC145:CC147)</f>
        <v>134399.99999999997</v>
      </c>
      <c r="CE145" s="2600">
        <f>SUM(CF145:CF147)</f>
        <v>11900</v>
      </c>
      <c r="CF145" s="838">
        <v>0</v>
      </c>
      <c r="CG145" s="2600">
        <f>SUM(CH145:CH147)</f>
        <v>11900</v>
      </c>
      <c r="CH145" s="838">
        <f>CF145-CJ145</f>
        <v>0</v>
      </c>
      <c r="CI145" s="2600">
        <f>SUM(CJ145:CJ147)</f>
        <v>0</v>
      </c>
      <c r="CJ145" s="127">
        <v>0</v>
      </c>
      <c r="CK145" s="2600">
        <f>SUM(CL145:CL147)</f>
        <v>0</v>
      </c>
      <c r="CL145" s="127">
        <v>0</v>
      </c>
      <c r="CM145" s="2600">
        <f>SUM(CN145:CN147)</f>
        <v>0</v>
      </c>
      <c r="CN145" s="122">
        <f>CF145-(CH145+CJ145+CO145+CP145+CR145+CU145+CV145+CX145)</f>
        <v>0</v>
      </c>
      <c r="CO145" s="770">
        <v>0</v>
      </c>
      <c r="CP145" s="770">
        <v>0</v>
      </c>
      <c r="CQ145" s="2600">
        <f>SUM(CR145:CR147)</f>
        <v>0</v>
      </c>
      <c r="CR145" s="122">
        <v>0</v>
      </c>
      <c r="CS145" s="770">
        <v>0</v>
      </c>
      <c r="CT145" s="770">
        <v>0</v>
      </c>
      <c r="CU145" s="770">
        <v>0</v>
      </c>
      <c r="CV145" s="770">
        <v>0</v>
      </c>
      <c r="CW145" s="2600">
        <f>SUM(CX145:CX147)</f>
        <v>0</v>
      </c>
      <c r="CX145" s="122">
        <f>SUM(CY145:DC145)</f>
        <v>0</v>
      </c>
      <c r="CY145" s="770">
        <f t="shared" ref="CY145:DC146" si="65">AX145</f>
        <v>0</v>
      </c>
      <c r="CZ145" s="770">
        <f t="shared" si="65"/>
        <v>0</v>
      </c>
      <c r="DA145" s="770">
        <f t="shared" si="65"/>
        <v>0</v>
      </c>
      <c r="DB145" s="770">
        <f t="shared" si="65"/>
        <v>0</v>
      </c>
      <c r="DC145" s="770">
        <f t="shared" si="65"/>
        <v>0</v>
      </c>
      <c r="DD145" s="770"/>
      <c r="DE145" s="2600">
        <f>SUM(DF145:DF147)</f>
        <v>146299.99999999997</v>
      </c>
      <c r="DF145" s="770">
        <f>CC145+CF145</f>
        <v>44459.999999999993</v>
      </c>
      <c r="DG145" s="2600">
        <f>SUM(DH145:DH147)</f>
        <v>133.95999999999998</v>
      </c>
      <c r="DH145" s="293">
        <f>CC145/'[1]Projected Development Sites'!DF$134</f>
        <v>44.459999999999994</v>
      </c>
      <c r="DI145" s="2722">
        <f>SUM(DJ145:DJ147)</f>
        <v>133.95999999999998</v>
      </c>
      <c r="DJ145" s="771">
        <f>'[1]Projected Development Sites'!DK$136*DH145</f>
        <v>44.459999999999994</v>
      </c>
      <c r="DK145" s="765">
        <f>2.87*DH145</f>
        <v>127.60019999999999</v>
      </c>
      <c r="DL145" s="772">
        <f>ROUND((CN145+CL145+CJ145)/1000*3,0)+ROUND((ROUND(CP145/400,0))/2.67,0)+ROUND(CV145/1000,0)+ROUND((CY145+CZ145+DA145+DC145)/1000*3,0)+ROUND(DH145/25,0)+ROUND(DX145/50,0)</f>
        <v>2</v>
      </c>
      <c r="DM145" s="773">
        <v>0</v>
      </c>
      <c r="DN145" s="773"/>
      <c r="DO145" s="773">
        <v>0</v>
      </c>
      <c r="DP145" s="773">
        <f>0.25*DJ145</f>
        <v>11.114999999999998</v>
      </c>
      <c r="DQ145" s="773">
        <f>SUM(CO145,CJ145,CN145,CR145,CU145)/1000</f>
        <v>0</v>
      </c>
      <c r="DR145" s="773">
        <f>CL145/1000</f>
        <v>0</v>
      </c>
      <c r="DS145" s="773">
        <f>((CP145/400)/12)</f>
        <v>0</v>
      </c>
      <c r="DT145" s="773">
        <f>IF(CX145&gt;0,"Calculate",0)</f>
        <v>0</v>
      </c>
      <c r="DU145" s="773">
        <v>0</v>
      </c>
      <c r="DV145" s="773">
        <f>CX145/1000</f>
        <v>0</v>
      </c>
      <c r="DW145" s="2722">
        <f>SUM(DX145:DX147)</f>
        <v>0</v>
      </c>
      <c r="DX145" s="774">
        <f>SUM(DM145,DO145,DQ145:DV145)</f>
        <v>0</v>
      </c>
      <c r="DY145" s="2725">
        <v>115</v>
      </c>
      <c r="DZ145" s="2728">
        <f>CD145-T145</f>
        <v>134399.99999999997</v>
      </c>
      <c r="EA145" s="2602">
        <f>CE145-V145</f>
        <v>-34200</v>
      </c>
      <c r="EB145" s="187">
        <f>CF145-W145</f>
        <v>-24700</v>
      </c>
      <c r="EC145" s="2602">
        <f>SUM(ED145:ED147)</f>
        <v>-10400</v>
      </c>
      <c r="ED145" s="187">
        <v>0</v>
      </c>
      <c r="EE145" s="187">
        <f>(SUM(CJ145:CO145))-(SUM(AA145:AE145,AL145))</f>
        <v>-10400</v>
      </c>
      <c r="EF145" s="2602">
        <f>SUM(EG145:EG147)</f>
        <v>0</v>
      </c>
      <c r="EG145" s="187">
        <v>0</v>
      </c>
      <c r="EH145" s="2602">
        <f>SUM(EI145:EI147)</f>
        <v>0</v>
      </c>
      <c r="EI145" s="187">
        <f>CL145-AC145</f>
        <v>0</v>
      </c>
      <c r="EJ145" s="2602">
        <f>SUM(EK145:EK147)</f>
        <v>0</v>
      </c>
      <c r="EK145" s="187">
        <f>CJ145-AA145</f>
        <v>0</v>
      </c>
      <c r="EL145" s="2602">
        <f>SUM(EM145:EM147)</f>
        <v>-10400</v>
      </c>
      <c r="EM145" s="187">
        <f>CO145-AE145</f>
        <v>0</v>
      </c>
      <c r="EN145" s="2602">
        <f>SUM(EO145:EO147)</f>
        <v>0</v>
      </c>
      <c r="EO145" s="187">
        <f>CP145-AH145</f>
        <v>0</v>
      </c>
      <c r="EP145" s="2602">
        <f>SUM(EQ145:EQ147)</f>
        <v>0</v>
      </c>
      <c r="EQ145" s="187">
        <f>CR145-AJ145</f>
        <v>0</v>
      </c>
      <c r="ER145" s="2602">
        <f>SUM(ES145:ES147)</f>
        <v>0</v>
      </c>
      <c r="ES145" s="187">
        <f>CS145-AO145</f>
        <v>0</v>
      </c>
      <c r="ET145" s="2602">
        <f>SUM(EU145:EU147)</f>
        <v>-35700</v>
      </c>
      <c r="EU145" s="187">
        <f t="shared" si="57"/>
        <v>-24700</v>
      </c>
      <c r="EV145" s="2602">
        <f>SUM(EW145:EW147)</f>
        <v>0</v>
      </c>
      <c r="EW145" s="187">
        <f>CU145-AS145</f>
        <v>0</v>
      </c>
      <c r="EX145" s="2602">
        <f>SUM(EY145:EY147)</f>
        <v>0</v>
      </c>
      <c r="EY145" s="187">
        <f>CV145-AU145</f>
        <v>0</v>
      </c>
      <c r="EZ145" s="2602">
        <f>SUM(FA145:FA147)</f>
        <v>0</v>
      </c>
      <c r="FA145" s="187">
        <f>CY145-AX145</f>
        <v>0</v>
      </c>
      <c r="FB145" s="2602">
        <f>SUM(FC145:FC147)</f>
        <v>0</v>
      </c>
      <c r="FC145" s="187">
        <f>CZ145-AY145</f>
        <v>0</v>
      </c>
      <c r="FD145" s="2602">
        <f>SUM(FE145:FE147)</f>
        <v>0</v>
      </c>
      <c r="FE145" s="187">
        <f>DA145-AZ145</f>
        <v>0</v>
      </c>
      <c r="FF145" s="2602">
        <f>SUM(FG145:FG147)</f>
        <v>0</v>
      </c>
      <c r="FG145" s="187">
        <f>DB145-BA145</f>
        <v>0</v>
      </c>
      <c r="FH145" s="2602">
        <f>SUM(FI145:FI147)</f>
        <v>0</v>
      </c>
      <c r="FI145" s="187">
        <f>DC145-BB145</f>
        <v>0</v>
      </c>
      <c r="FJ145" s="2602">
        <f>SUM(FK145:FK147)</f>
        <v>0</v>
      </c>
      <c r="FK145" s="187">
        <f>CX145-AW145</f>
        <v>0</v>
      </c>
      <c r="FL145" s="2602">
        <f>SUM(FM145:FM147)</f>
        <v>100199.99999999997</v>
      </c>
      <c r="FM145" s="187">
        <f>DF145-BE145</f>
        <v>19759.999999999993</v>
      </c>
      <c r="FN145" s="2602">
        <f>SUM(FO145:FO147)</f>
        <v>133.95999999999998</v>
      </c>
      <c r="FO145" s="187">
        <f>DH145-BG145</f>
        <v>44.459999999999994</v>
      </c>
      <c r="FP145" s="2602">
        <f>SUM(FQ145:FQ147)</f>
        <v>133.95999999999998</v>
      </c>
      <c r="FQ145" s="187">
        <f t="shared" ref="FQ145:FT147" si="66">DJ145-BI145</f>
        <v>44.459999999999994</v>
      </c>
      <c r="FR145" s="187">
        <f t="shared" si="66"/>
        <v>127.60019999999999</v>
      </c>
      <c r="FS145" s="187">
        <f t="shared" si="66"/>
        <v>-72</v>
      </c>
      <c r="FT145" s="775">
        <f t="shared" si="66"/>
        <v>0</v>
      </c>
      <c r="FU145" s="775">
        <f>DR145-BO145</f>
        <v>0</v>
      </c>
      <c r="FV145" s="775">
        <f>DO145-BM145</f>
        <v>0</v>
      </c>
      <c r="FW145" s="775">
        <f>DQ145-BN145</f>
        <v>0</v>
      </c>
      <c r="FX145" s="775">
        <f t="shared" ref="FX145:GA147" si="67">DS145-BP145</f>
        <v>0</v>
      </c>
      <c r="FY145" s="775">
        <f t="shared" si="67"/>
        <v>-82.333333333333329</v>
      </c>
      <c r="FZ145" s="775">
        <f t="shared" si="67"/>
        <v>0</v>
      </c>
      <c r="GA145" s="775">
        <f t="shared" si="67"/>
        <v>0</v>
      </c>
      <c r="GB145" s="2734">
        <f>SUM(GC145:GC147)</f>
        <v>-129.4</v>
      </c>
      <c r="GC145" s="776">
        <f t="shared" si="58"/>
        <v>-82.333333333333329</v>
      </c>
      <c r="GD145" s="139"/>
      <c r="GE145" s="139"/>
      <c r="GF145" s="139"/>
      <c r="GG145" s="139"/>
      <c r="GH145" s="139"/>
      <c r="GI145" s="139"/>
      <c r="GJ145" s="139"/>
      <c r="GK145" s="139"/>
      <c r="GL145" s="139"/>
      <c r="GM145" s="139"/>
      <c r="GN145" s="139"/>
      <c r="GO145" s="139"/>
      <c r="GP145" s="139"/>
      <c r="GQ145" s="139"/>
      <c r="GR145" s="139"/>
      <c r="GS145" s="139"/>
      <c r="GT145" s="139"/>
    </row>
    <row r="146" spans="1:202" s="127" customFormat="1" ht="15" customHeight="1">
      <c r="A146" s="2660"/>
      <c r="B146" s="2660"/>
      <c r="C146" s="132" t="s">
        <v>710</v>
      </c>
      <c r="D146" s="132">
        <v>2859</v>
      </c>
      <c r="E146" s="132">
        <v>51</v>
      </c>
      <c r="F146" s="777">
        <v>2028590051</v>
      </c>
      <c r="G146" s="132">
        <v>14000</v>
      </c>
      <c r="H146" s="135" t="s">
        <v>704</v>
      </c>
      <c r="I146" s="136"/>
      <c r="J146" s="132">
        <v>0.79</v>
      </c>
      <c r="K146" s="132">
        <v>0</v>
      </c>
      <c r="L146" s="132">
        <v>2</v>
      </c>
      <c r="M146" s="132">
        <v>6.5</v>
      </c>
      <c r="N146" s="134">
        <v>11000</v>
      </c>
      <c r="O146" s="134">
        <v>0</v>
      </c>
      <c r="P146" s="134">
        <v>0</v>
      </c>
      <c r="Q146" s="134">
        <v>11000</v>
      </c>
      <c r="R146" s="137">
        <v>0</v>
      </c>
      <c r="S146" s="778" t="s">
        <v>720</v>
      </c>
      <c r="T146" s="2643"/>
      <c r="U146" s="102">
        <v>0</v>
      </c>
      <c r="V146" s="2643"/>
      <c r="W146" s="102">
        <f>N146</f>
        <v>11000</v>
      </c>
      <c r="X146" s="102"/>
      <c r="Y146" s="102">
        <f>W146-AA146</f>
        <v>11000</v>
      </c>
      <c r="Z146" s="2643"/>
      <c r="AA146" s="102">
        <v>0</v>
      </c>
      <c r="AB146" s="2643"/>
      <c r="AC146" s="102">
        <v>0</v>
      </c>
      <c r="AD146" s="2643"/>
      <c r="AE146" s="102">
        <f>AG146+AF146</f>
        <v>0</v>
      </c>
      <c r="AF146" s="102">
        <v>0</v>
      </c>
      <c r="AG146" s="102">
        <f>O146</f>
        <v>0</v>
      </c>
      <c r="AH146" s="102">
        <v>0</v>
      </c>
      <c r="AI146" s="2643"/>
      <c r="AJ146" s="102">
        <v>0</v>
      </c>
      <c r="AK146" s="2643"/>
      <c r="AL146" s="102">
        <f>W146-(AA146+AC146+AE146+AH146+AJ146+AM146+AW146+AO146+AQ146+AS146+AU146)</f>
        <v>0</v>
      </c>
      <c r="AM146" s="779">
        <v>0</v>
      </c>
      <c r="AN146" s="2643"/>
      <c r="AO146" s="102">
        <v>0</v>
      </c>
      <c r="AP146" s="2643"/>
      <c r="AQ146" s="102">
        <v>11000</v>
      </c>
      <c r="AR146" s="2643"/>
      <c r="AS146" s="102">
        <v>0</v>
      </c>
      <c r="AT146" s="2643"/>
      <c r="AU146" s="102">
        <v>0</v>
      </c>
      <c r="AV146" s="2643"/>
      <c r="AW146" s="102">
        <f>AX146+AY146+AZ146+BA146+BB146</f>
        <v>0</v>
      </c>
      <c r="AX146" s="102">
        <v>0</v>
      </c>
      <c r="AY146" s="102">
        <v>0</v>
      </c>
      <c r="AZ146" s="102">
        <v>0</v>
      </c>
      <c r="BA146" s="102">
        <v>0</v>
      </c>
      <c r="BB146" s="102">
        <v>0</v>
      </c>
      <c r="BC146" s="102">
        <v>0</v>
      </c>
      <c r="BD146" s="2643"/>
      <c r="BE146" s="102">
        <f>U146+W146</f>
        <v>11000</v>
      </c>
      <c r="BF146" s="2643"/>
      <c r="BG146" s="102">
        <f>U146/1000</f>
        <v>0</v>
      </c>
      <c r="BH146" s="2643"/>
      <c r="BI146" s="102">
        <v>0</v>
      </c>
      <c r="BJ146" s="102">
        <f t="shared" si="59"/>
        <v>0</v>
      </c>
      <c r="BK146" s="186">
        <f>ROUND((Y146+AC146+AA146)/1000*3,0)+ROUND((AE146+AU146)/1000,0)+ROUND((ROUND(AH146/400,0))/2.67,0)+ROUND(AM146/250,0)+ROUND(AO146/15000,0)+ROUND((AX146+AY146+AZ146+BB146)/1000*3,0)+ROUND(BG146/25,0)+ROUND(BU253/50,0)</f>
        <v>33</v>
      </c>
      <c r="BL146" s="102">
        <v>0</v>
      </c>
      <c r="BM146" s="102">
        <v>0</v>
      </c>
      <c r="BN146" s="102">
        <v>0</v>
      </c>
      <c r="BO146" s="102">
        <f>AC146/1000</f>
        <v>0</v>
      </c>
      <c r="BP146" s="102">
        <f>AH146/1000</f>
        <v>0</v>
      </c>
      <c r="BQ146" s="102">
        <f>AQ146/300</f>
        <v>36.666666666666664</v>
      </c>
      <c r="BR146" s="102">
        <v>0</v>
      </c>
      <c r="BS146" s="102">
        <v>0</v>
      </c>
      <c r="BT146" s="2643"/>
      <c r="BU146" s="102">
        <f>SUM(BL146:BS146)</f>
        <v>36.666666666666664</v>
      </c>
      <c r="BV146" s="932">
        <v>15</v>
      </c>
      <c r="BW146" s="780" t="s">
        <v>705</v>
      </c>
      <c r="BX146" s="139">
        <v>4.5999999999999996</v>
      </c>
      <c r="BY146" s="139">
        <v>2</v>
      </c>
      <c r="BZ146" s="139">
        <v>4.5999999999999996</v>
      </c>
      <c r="CA146" s="781" t="s">
        <v>706</v>
      </c>
      <c r="CB146" s="2662"/>
      <c r="CC146" s="782">
        <f>(BX146*G146)-CF146</f>
        <v>52499.999999999993</v>
      </c>
      <c r="CD146" s="2750"/>
      <c r="CE146" s="2643"/>
      <c r="CF146" s="840">
        <f>1*(G146)-(0.15*1*(G146))</f>
        <v>11900</v>
      </c>
      <c r="CG146" s="2643"/>
      <c r="CH146" s="840">
        <f>CF146-CJ146</f>
        <v>11900</v>
      </c>
      <c r="CI146" s="2643"/>
      <c r="CJ146" s="139">
        <v>0</v>
      </c>
      <c r="CK146" s="2643"/>
      <c r="CL146" s="139">
        <v>0</v>
      </c>
      <c r="CM146" s="2643"/>
      <c r="CN146" s="102">
        <f>CF146-(CH146+CJ146+CO146+CP146+CR146+CU146+CV146+CX146)</f>
        <v>0</v>
      </c>
      <c r="CO146" s="784">
        <v>0</v>
      </c>
      <c r="CP146" s="784">
        <v>0</v>
      </c>
      <c r="CQ146" s="2643"/>
      <c r="CR146" s="102">
        <v>0</v>
      </c>
      <c r="CS146" s="784">
        <v>0</v>
      </c>
      <c r="CT146" s="784">
        <v>0</v>
      </c>
      <c r="CU146" s="784">
        <v>0</v>
      </c>
      <c r="CV146" s="784">
        <v>0</v>
      </c>
      <c r="CW146" s="2643"/>
      <c r="CX146" s="102">
        <f>SUM(CY146:DC146)</f>
        <v>0</v>
      </c>
      <c r="CY146" s="784">
        <f t="shared" si="65"/>
        <v>0</v>
      </c>
      <c r="CZ146" s="784">
        <f t="shared" si="65"/>
        <v>0</v>
      </c>
      <c r="DA146" s="784">
        <f t="shared" si="65"/>
        <v>0</v>
      </c>
      <c r="DB146" s="784">
        <f t="shared" si="65"/>
        <v>0</v>
      </c>
      <c r="DC146" s="784">
        <f t="shared" si="65"/>
        <v>0</v>
      </c>
      <c r="DD146" s="784"/>
      <c r="DE146" s="2643"/>
      <c r="DF146" s="102">
        <f>CC146+CF146</f>
        <v>64399.999999999993</v>
      </c>
      <c r="DG146" s="2643"/>
      <c r="DH146" s="296">
        <f>CC146/'[1]Projected Development Sites'!DF$134</f>
        <v>52.499999999999993</v>
      </c>
      <c r="DI146" s="2723"/>
      <c r="DJ146" s="785">
        <f>'[1]Projected Development Sites'!DK$136*DH146</f>
        <v>52.499999999999993</v>
      </c>
      <c r="DK146" s="779">
        <f>2.87*DH146</f>
        <v>150.67499999999998</v>
      </c>
      <c r="DL146" s="786">
        <f>ROUND((CN146+CL146+CJ146)/1000*3,0)+ROUND((ROUND(CP146/400,0))/2.67,0)+ROUND(CV146/1000,0)+ROUND((CY146+CZ146+DA146+DC146)/1000*3,0)+ROUND(DH146/25,0)+ROUND(DX146/50,0)</f>
        <v>2</v>
      </c>
      <c r="DM146" s="787">
        <v>0</v>
      </c>
      <c r="DN146" s="787"/>
      <c r="DO146" s="787">
        <v>0</v>
      </c>
      <c r="DP146" s="787">
        <f>0.25*DJ146</f>
        <v>13.124999999999998</v>
      </c>
      <c r="DQ146" s="787">
        <f>SUM(CO146,CJ146,CN146,CR146,CU146)/1000</f>
        <v>0</v>
      </c>
      <c r="DR146" s="787">
        <f>CL146/1000</f>
        <v>0</v>
      </c>
      <c r="DS146" s="787">
        <f>((CP146/400)/12)</f>
        <v>0</v>
      </c>
      <c r="DT146" s="787">
        <f>IF(CX146&gt;0,"Calculate",0)</f>
        <v>0</v>
      </c>
      <c r="DU146" s="787">
        <v>0</v>
      </c>
      <c r="DV146" s="787">
        <f>CX146/1000</f>
        <v>0</v>
      </c>
      <c r="DW146" s="2723"/>
      <c r="DX146" s="788">
        <f>SUM(DM146,DO146,DQ146:DV146)</f>
        <v>0</v>
      </c>
      <c r="DY146" s="2726"/>
      <c r="DZ146" s="2729"/>
      <c r="EA146" s="2665"/>
      <c r="EB146" s="195">
        <f>CF146-W146</f>
        <v>900</v>
      </c>
      <c r="EC146" s="2665"/>
      <c r="ED146" s="195">
        <v>0</v>
      </c>
      <c r="EE146" s="195">
        <f>(SUM(CJ146:CO146))-(SUM(AA146:AE146,AL146))</f>
        <v>0</v>
      </c>
      <c r="EF146" s="2665"/>
      <c r="EG146" s="195">
        <v>0</v>
      </c>
      <c r="EH146" s="2665"/>
      <c r="EI146" s="195">
        <f>CL146-AC146</f>
        <v>0</v>
      </c>
      <c r="EJ146" s="2665"/>
      <c r="EK146" s="195">
        <f>CJ146-AA146</f>
        <v>0</v>
      </c>
      <c r="EL146" s="2665"/>
      <c r="EM146" s="195">
        <f>CO146-AE146</f>
        <v>0</v>
      </c>
      <c r="EN146" s="2665"/>
      <c r="EO146" s="195">
        <f>CP146-AH146</f>
        <v>0</v>
      </c>
      <c r="EP146" s="2665"/>
      <c r="EQ146" s="195">
        <f>CR146-AJ146</f>
        <v>0</v>
      </c>
      <c r="ER146" s="2665"/>
      <c r="ES146" s="195">
        <f>CS146-AO146</f>
        <v>0</v>
      </c>
      <c r="ET146" s="2665"/>
      <c r="EU146" s="195">
        <f t="shared" si="57"/>
        <v>-11000</v>
      </c>
      <c r="EV146" s="2665"/>
      <c r="EW146" s="195">
        <f>CU146-AS146</f>
        <v>0</v>
      </c>
      <c r="EX146" s="2665"/>
      <c r="EY146" s="195">
        <f>CV146-AU146</f>
        <v>0</v>
      </c>
      <c r="EZ146" s="2665"/>
      <c r="FA146" s="195">
        <f>CY146-AX146</f>
        <v>0</v>
      </c>
      <c r="FB146" s="2665"/>
      <c r="FC146" s="195">
        <f>CZ146-AY146</f>
        <v>0</v>
      </c>
      <c r="FD146" s="2665"/>
      <c r="FE146" s="195">
        <f>DA146-AZ146</f>
        <v>0</v>
      </c>
      <c r="FF146" s="2665"/>
      <c r="FG146" s="195">
        <f>DB146-BA146</f>
        <v>0</v>
      </c>
      <c r="FH146" s="2665"/>
      <c r="FI146" s="195">
        <f>DC146-BB146</f>
        <v>0</v>
      </c>
      <c r="FJ146" s="2665"/>
      <c r="FK146" s="195">
        <f>CX146-AW146</f>
        <v>0</v>
      </c>
      <c r="FL146" s="2665"/>
      <c r="FM146" s="195">
        <f>DF146-BE146</f>
        <v>53399.999999999993</v>
      </c>
      <c r="FN146" s="2665"/>
      <c r="FO146" s="195">
        <f>DH146-BG146</f>
        <v>52.499999999999993</v>
      </c>
      <c r="FP146" s="2665"/>
      <c r="FQ146" s="195">
        <f t="shared" si="66"/>
        <v>52.499999999999993</v>
      </c>
      <c r="FR146" s="195">
        <f t="shared" si="66"/>
        <v>150.67499999999998</v>
      </c>
      <c r="FS146" s="195">
        <f t="shared" si="66"/>
        <v>-31</v>
      </c>
      <c r="FT146" s="789">
        <f t="shared" si="66"/>
        <v>0</v>
      </c>
      <c r="FU146" s="789">
        <f>DR146-BO146</f>
        <v>0</v>
      </c>
      <c r="FV146" s="789">
        <f>DO146-BM146</f>
        <v>0</v>
      </c>
      <c r="FW146" s="789">
        <f>DQ146-BN146</f>
        <v>0</v>
      </c>
      <c r="FX146" s="789">
        <f t="shared" si="67"/>
        <v>0</v>
      </c>
      <c r="FY146" s="789">
        <f t="shared" si="67"/>
        <v>-36.666666666666664</v>
      </c>
      <c r="FZ146" s="789">
        <f t="shared" si="67"/>
        <v>0</v>
      </c>
      <c r="GA146" s="789">
        <f t="shared" si="67"/>
        <v>0</v>
      </c>
      <c r="GB146" s="2735"/>
      <c r="GC146" s="790">
        <f t="shared" si="58"/>
        <v>-36.666666666666664</v>
      </c>
      <c r="GD146" s="139"/>
      <c r="GE146" s="139"/>
      <c r="GF146" s="139"/>
      <c r="GG146" s="139"/>
      <c r="GH146" s="139"/>
      <c r="GI146" s="139"/>
      <c r="GJ146" s="139"/>
      <c r="GK146" s="139"/>
      <c r="GL146" s="139"/>
      <c r="GM146" s="139"/>
      <c r="GN146" s="139"/>
      <c r="GO146" s="139"/>
      <c r="GP146" s="139"/>
      <c r="GQ146" s="139"/>
      <c r="GR146" s="139"/>
      <c r="GS146" s="139"/>
      <c r="GT146" s="139"/>
    </row>
    <row r="147" spans="1:202" s="81" customFormat="1" ht="15" customHeight="1">
      <c r="A147" s="2589"/>
      <c r="B147" s="2589"/>
      <c r="C147" s="915" t="s">
        <v>721</v>
      </c>
      <c r="D147" s="66">
        <v>2859</v>
      </c>
      <c r="E147" s="66">
        <v>30</v>
      </c>
      <c r="F147" s="841">
        <v>2028590030</v>
      </c>
      <c r="G147" s="66">
        <v>10400</v>
      </c>
      <c r="H147" s="69" t="s">
        <v>704</v>
      </c>
      <c r="I147" s="70"/>
      <c r="J147" s="66">
        <v>1</v>
      </c>
      <c r="K147" s="66">
        <v>0</v>
      </c>
      <c r="L147" s="66">
        <v>2</v>
      </c>
      <c r="M147" s="66">
        <v>6.5</v>
      </c>
      <c r="N147" s="68">
        <v>10400</v>
      </c>
      <c r="O147" s="68">
        <f>N147</f>
        <v>10400</v>
      </c>
      <c r="P147" s="68">
        <v>0</v>
      </c>
      <c r="Q147" s="68">
        <v>10400</v>
      </c>
      <c r="R147" s="71">
        <v>0</v>
      </c>
      <c r="S147" s="791" t="s">
        <v>711</v>
      </c>
      <c r="T147" s="2601"/>
      <c r="U147" s="74">
        <v>0</v>
      </c>
      <c r="V147" s="2601"/>
      <c r="W147" s="74">
        <f>N147</f>
        <v>10400</v>
      </c>
      <c r="X147" s="74"/>
      <c r="Y147" s="74">
        <f>W147-AA147</f>
        <v>10400</v>
      </c>
      <c r="Z147" s="2601"/>
      <c r="AA147" s="74">
        <v>0</v>
      </c>
      <c r="AB147" s="2601"/>
      <c r="AC147" s="74">
        <v>0</v>
      </c>
      <c r="AD147" s="2601"/>
      <c r="AE147" s="74">
        <f>AF147+AG147</f>
        <v>10400</v>
      </c>
      <c r="AF147" s="74">
        <f>N147</f>
        <v>10400</v>
      </c>
      <c r="AG147" s="74">
        <v>0</v>
      </c>
      <c r="AH147" s="74">
        <v>0</v>
      </c>
      <c r="AI147" s="2601"/>
      <c r="AJ147" s="74">
        <v>0</v>
      </c>
      <c r="AK147" s="2601"/>
      <c r="AL147" s="74">
        <f>W147-(AA147+AC147+AE147+AH147+AJ147+AM147+AW147+AO147+AQ147+AS147+AU147)</f>
        <v>0</v>
      </c>
      <c r="AM147" s="792">
        <v>0</v>
      </c>
      <c r="AN147" s="2601"/>
      <c r="AO147" s="74">
        <v>0</v>
      </c>
      <c r="AP147" s="2601"/>
      <c r="AQ147" s="74">
        <v>0</v>
      </c>
      <c r="AR147" s="2601"/>
      <c r="AS147" s="74">
        <v>0</v>
      </c>
      <c r="AT147" s="2601"/>
      <c r="AU147" s="74">
        <v>0</v>
      </c>
      <c r="AV147" s="2601"/>
      <c r="AW147" s="74">
        <f>AX147+AY147+AZ147+BA147+BB147</f>
        <v>0</v>
      </c>
      <c r="AX147" s="74">
        <v>0</v>
      </c>
      <c r="AY147" s="74">
        <v>0</v>
      </c>
      <c r="AZ147" s="74">
        <v>0</v>
      </c>
      <c r="BA147" s="74">
        <v>0</v>
      </c>
      <c r="BB147" s="74">
        <v>0</v>
      </c>
      <c r="BC147" s="74">
        <v>0</v>
      </c>
      <c r="BD147" s="2601"/>
      <c r="BE147" s="74">
        <f>U147+W147</f>
        <v>10400</v>
      </c>
      <c r="BF147" s="2601"/>
      <c r="BG147" s="74">
        <f>ROUND(U147/'[1]Projected Development Sites'!DF$134,0)</f>
        <v>0</v>
      </c>
      <c r="BH147" s="2601"/>
      <c r="BI147" s="74">
        <f>'[1]Projected Development Sites'!BG$135*BG147</f>
        <v>0</v>
      </c>
      <c r="BJ147" s="74">
        <f t="shared" si="59"/>
        <v>0</v>
      </c>
      <c r="BK147" s="88">
        <f>ROUND((AL147+AC147+AA147)/1000*3,0)+ROUND((AE147+AU147)/1000,0)+ROUND((ROUND(AH147/400,0))/2.67,0)+ROUND(AJ147/250,0)+ROUND(AO147/15000,0)+ROUND((AX147+AY147+AZ147+BB147)/1000*3,0)+ROUND(BG147/25,0)+ROUND(BU147/50,0)</f>
        <v>10</v>
      </c>
      <c r="BL147" s="74">
        <v>0</v>
      </c>
      <c r="BM147" s="74">
        <v>0</v>
      </c>
      <c r="BN147" s="74">
        <f>W147/1000</f>
        <v>10.4</v>
      </c>
      <c r="BO147" s="74">
        <f>AC147/1000</f>
        <v>0</v>
      </c>
      <c r="BP147" s="74">
        <f>((AH147/400)/12)</f>
        <v>0</v>
      </c>
      <c r="BQ147" s="74">
        <f>IFERROR(VLOOKUP(F147,#REF!,3,FALSE),0)</f>
        <v>0</v>
      </c>
      <c r="BR147" s="74">
        <v>0</v>
      </c>
      <c r="BS147" s="74">
        <f>IF(BB147&gt;0,"Calculate",0)</f>
        <v>0</v>
      </c>
      <c r="BT147" s="2601"/>
      <c r="BU147" s="74">
        <f>SUM(BL147:BS147)</f>
        <v>10.4</v>
      </c>
      <c r="BV147" s="976">
        <v>10</v>
      </c>
      <c r="BW147" s="793" t="s">
        <v>705</v>
      </c>
      <c r="BX147" s="81">
        <v>4.5999999999999996</v>
      </c>
      <c r="BY147" s="81">
        <v>0</v>
      </c>
      <c r="BZ147" s="81">
        <v>4.5999999999999996</v>
      </c>
      <c r="CA147" s="794"/>
      <c r="CB147" s="2597"/>
      <c r="CC147" s="782">
        <f>(BX147*G147)-G147</f>
        <v>37439.999999999993</v>
      </c>
      <c r="CD147" s="2749"/>
      <c r="CE147" s="2601"/>
      <c r="CF147" s="843">
        <v>0</v>
      </c>
      <c r="CG147" s="2601"/>
      <c r="CH147" s="843">
        <f>CF147-CJ147</f>
        <v>0</v>
      </c>
      <c r="CI147" s="2601"/>
      <c r="CJ147" s="81">
        <v>0</v>
      </c>
      <c r="CK147" s="2601"/>
      <c r="CL147" s="81">
        <v>0</v>
      </c>
      <c r="CM147" s="2601"/>
      <c r="CN147" s="74">
        <f>CF147</f>
        <v>0</v>
      </c>
      <c r="CO147" s="797">
        <v>0</v>
      </c>
      <c r="CP147" s="797">
        <v>0</v>
      </c>
      <c r="CQ147" s="2601"/>
      <c r="CR147" s="74">
        <v>0</v>
      </c>
      <c r="CS147" s="797">
        <v>0</v>
      </c>
      <c r="CT147" s="797">
        <v>0</v>
      </c>
      <c r="CU147" s="797">
        <v>0</v>
      </c>
      <c r="CV147" s="797">
        <v>0</v>
      </c>
      <c r="CW147" s="2601"/>
      <c r="CX147" s="74">
        <f>SUM(CY147:DC147)</f>
        <v>0</v>
      </c>
      <c r="CY147" s="797">
        <v>0</v>
      </c>
      <c r="CZ147" s="797">
        <v>0</v>
      </c>
      <c r="DA147" s="797">
        <v>0</v>
      </c>
      <c r="DB147" s="797">
        <v>0</v>
      </c>
      <c r="DC147" s="797">
        <v>0</v>
      </c>
      <c r="DD147" s="797"/>
      <c r="DE147" s="2601"/>
      <c r="DF147" s="74">
        <f>CC147+CF147</f>
        <v>37439.999999999993</v>
      </c>
      <c r="DG147" s="2601"/>
      <c r="DH147" s="81">
        <f>ROUND(CC147/'[1]Projected Development Sites'!DF$134,0)</f>
        <v>37</v>
      </c>
      <c r="DI147" s="2724"/>
      <c r="DJ147" s="799">
        <f>'[1]Projected Development Sites'!DK$136*DH147</f>
        <v>37</v>
      </c>
      <c r="DK147" s="792">
        <f>2.87*DH147</f>
        <v>106.19</v>
      </c>
      <c r="DL147" s="917">
        <f>ROUND((CN147+CL147+CJ147)/1000*3,0)+ROUND((ROUND(CP147/400,0))/2.67,0)+ROUND(CV147/1000,0)+ROUND((CY147+CZ147+DA147+DC147)/1000*3,0)+ROUND(DH147/25,0)+ROUND(DX147/50,0)</f>
        <v>1</v>
      </c>
      <c r="DM147" s="799">
        <v>0</v>
      </c>
      <c r="DN147" s="799"/>
      <c r="DO147" s="799">
        <v>0</v>
      </c>
      <c r="DP147" s="799">
        <f>0.25*DJ147</f>
        <v>9.25</v>
      </c>
      <c r="DQ147" s="799">
        <f>SUM(CO147,CJ147,CN147,CR147,CU147)/1000</f>
        <v>0</v>
      </c>
      <c r="DR147" s="799">
        <f>CL147/1000</f>
        <v>0</v>
      </c>
      <c r="DS147" s="799">
        <f>((CP147/400)/12)</f>
        <v>0</v>
      </c>
      <c r="DT147" s="799">
        <f>IF(CX147&gt;0,"Calculate",0)</f>
        <v>0</v>
      </c>
      <c r="DU147" s="799">
        <v>0</v>
      </c>
      <c r="DV147" s="799">
        <f>CX147/1000</f>
        <v>0</v>
      </c>
      <c r="DW147" s="2724"/>
      <c r="DX147" s="800">
        <f>SUM(DM147,DO147,DQ147:DV147)</f>
        <v>0</v>
      </c>
      <c r="DY147" s="2727"/>
      <c r="DZ147" s="2730"/>
      <c r="EA147" s="2603"/>
      <c r="EB147" s="195">
        <f>CF147-W147</f>
        <v>-10400</v>
      </c>
      <c r="EC147" s="2603"/>
      <c r="ED147" s="195">
        <v>-10400</v>
      </c>
      <c r="EE147" s="195">
        <f>(SUM(CJ147:CO147))-(SUM(AA147:AE147,AL147))</f>
        <v>-10400</v>
      </c>
      <c r="EF147" s="2603"/>
      <c r="EG147" s="190">
        <v>0</v>
      </c>
      <c r="EH147" s="2603"/>
      <c r="EI147" s="195">
        <f>CL147-AC147</f>
        <v>0</v>
      </c>
      <c r="EJ147" s="2603"/>
      <c r="EK147" s="195">
        <f>CJ147-AA147</f>
        <v>0</v>
      </c>
      <c r="EL147" s="2603"/>
      <c r="EM147" s="190">
        <f>CO147-AE147</f>
        <v>-10400</v>
      </c>
      <c r="EN147" s="2603"/>
      <c r="EO147" s="190">
        <f>CP147-AH147</f>
        <v>0</v>
      </c>
      <c r="EP147" s="2603"/>
      <c r="EQ147" s="195">
        <f>CR147-AJ147</f>
        <v>0</v>
      </c>
      <c r="ER147" s="2603"/>
      <c r="ES147" s="195">
        <f>CS147-AO147</f>
        <v>0</v>
      </c>
      <c r="ET147" s="2603"/>
      <c r="EU147" s="190">
        <f t="shared" si="57"/>
        <v>0</v>
      </c>
      <c r="EV147" s="2603"/>
      <c r="EW147" s="195">
        <f>CU147-AS147</f>
        <v>0</v>
      </c>
      <c r="EX147" s="2603"/>
      <c r="EY147" s="190">
        <f>CV147-AU147</f>
        <v>0</v>
      </c>
      <c r="EZ147" s="2603"/>
      <c r="FA147" s="190">
        <f>CY147-AX147</f>
        <v>0</v>
      </c>
      <c r="FB147" s="2603"/>
      <c r="FC147" s="190">
        <f>CZ147-AY147</f>
        <v>0</v>
      </c>
      <c r="FD147" s="2603"/>
      <c r="FE147" s="190">
        <f>DA147-AZ147</f>
        <v>0</v>
      </c>
      <c r="FF147" s="2603"/>
      <c r="FG147" s="190">
        <f>DB147-BA147</f>
        <v>0</v>
      </c>
      <c r="FH147" s="2603"/>
      <c r="FI147" s="190">
        <f>DC147-BB147</f>
        <v>0</v>
      </c>
      <c r="FJ147" s="2603"/>
      <c r="FK147" s="190">
        <f>CX147-AW147</f>
        <v>0</v>
      </c>
      <c r="FL147" s="2603"/>
      <c r="FM147" s="195">
        <f>DF147-BE147</f>
        <v>27039.999999999993</v>
      </c>
      <c r="FN147" s="2603"/>
      <c r="FO147" s="195">
        <f>DH147-BG147</f>
        <v>37</v>
      </c>
      <c r="FP147" s="2603"/>
      <c r="FQ147" s="195">
        <f t="shared" si="66"/>
        <v>37</v>
      </c>
      <c r="FR147" s="190">
        <f t="shared" si="66"/>
        <v>106.19</v>
      </c>
      <c r="FS147" s="190">
        <f t="shared" si="66"/>
        <v>-9</v>
      </c>
      <c r="FT147" s="801">
        <f t="shared" si="66"/>
        <v>0</v>
      </c>
      <c r="FU147" s="801">
        <f>DR147-BO147</f>
        <v>0</v>
      </c>
      <c r="FV147" s="801">
        <f>DO147-BM147</f>
        <v>0</v>
      </c>
      <c r="FW147" s="801">
        <f>DQ147-BN147</f>
        <v>-10.4</v>
      </c>
      <c r="FX147" s="801">
        <f t="shared" si="67"/>
        <v>0</v>
      </c>
      <c r="FY147" s="801">
        <f t="shared" si="67"/>
        <v>0</v>
      </c>
      <c r="FZ147" s="801">
        <f t="shared" si="67"/>
        <v>0</v>
      </c>
      <c r="GA147" s="801">
        <f t="shared" si="67"/>
        <v>0</v>
      </c>
      <c r="GB147" s="2736"/>
      <c r="GC147" s="845">
        <f t="shared" si="58"/>
        <v>-10.4</v>
      </c>
      <c r="GD147" s="139"/>
      <c r="GE147" s="139"/>
      <c r="GF147" s="139"/>
      <c r="GG147" s="139"/>
      <c r="GH147" s="139"/>
      <c r="GI147" s="139"/>
      <c r="GJ147" s="139"/>
      <c r="GK147" s="139"/>
      <c r="GL147" s="139"/>
      <c r="GM147" s="139"/>
      <c r="GN147" s="139"/>
      <c r="GO147" s="139"/>
      <c r="GP147" s="139"/>
      <c r="GQ147" s="139"/>
      <c r="GR147" s="139"/>
      <c r="GS147" s="139"/>
      <c r="GT147" s="139"/>
    </row>
    <row r="148" spans="1:202" s="139" customFormat="1" ht="18.75">
      <c r="A148" s="2263"/>
      <c r="B148" s="2263"/>
      <c r="C148" s="132"/>
      <c r="D148" s="132"/>
      <c r="E148" s="132"/>
      <c r="F148" s="777"/>
      <c r="G148" s="132"/>
      <c r="H148" s="135"/>
      <c r="I148" s="136"/>
      <c r="J148" s="132"/>
      <c r="K148" s="132"/>
      <c r="L148" s="132"/>
      <c r="M148" s="132"/>
      <c r="N148" s="134"/>
      <c r="O148" s="134"/>
      <c r="P148" s="134"/>
      <c r="Q148" s="134"/>
      <c r="R148" s="137"/>
      <c r="S148" s="778"/>
      <c r="T148" s="634"/>
      <c r="U148" s="102"/>
      <c r="V148" s="634"/>
      <c r="W148" s="102"/>
      <c r="X148" s="102"/>
      <c r="Y148" s="102"/>
      <c r="Z148" s="634"/>
      <c r="AA148" s="102"/>
      <c r="AB148" s="634"/>
      <c r="AC148" s="102"/>
      <c r="AD148" s="634"/>
      <c r="AE148" s="102"/>
      <c r="AF148" s="102"/>
      <c r="AG148" s="102"/>
      <c r="AH148" s="102"/>
      <c r="AI148" s="634"/>
      <c r="AJ148" s="102"/>
      <c r="AK148" s="634"/>
      <c r="AL148" s="102"/>
      <c r="AM148" s="779"/>
      <c r="AN148" s="634"/>
      <c r="AO148" s="102"/>
      <c r="AP148" s="634"/>
      <c r="AQ148" s="102"/>
      <c r="AR148" s="634"/>
      <c r="AS148" s="102"/>
      <c r="AT148" s="634"/>
      <c r="AU148" s="102"/>
      <c r="AV148" s="634"/>
      <c r="AW148" s="102"/>
      <c r="AX148" s="102"/>
      <c r="AY148" s="102"/>
      <c r="AZ148" s="102"/>
      <c r="BA148" s="102"/>
      <c r="BB148" s="102"/>
      <c r="BC148" s="102"/>
      <c r="BD148" s="634"/>
      <c r="BE148" s="102"/>
      <c r="BF148" s="634"/>
      <c r="BG148" s="102"/>
      <c r="BH148" s="634"/>
      <c r="BI148" s="102"/>
      <c r="BJ148" s="111"/>
      <c r="BK148" s="186"/>
      <c r="BL148" s="102"/>
      <c r="BM148" s="102"/>
      <c r="BN148" s="102"/>
      <c r="BO148" s="102"/>
      <c r="BP148" s="102"/>
      <c r="BQ148" s="102"/>
      <c r="BR148" s="102"/>
      <c r="BS148" s="102"/>
      <c r="BT148" s="634"/>
      <c r="BU148" s="102"/>
      <c r="BW148" s="780"/>
      <c r="CA148" s="781"/>
      <c r="CB148" s="2258"/>
      <c r="CC148" s="399"/>
      <c r="CD148" s="782"/>
      <c r="CE148" s="634"/>
      <c r="CF148" s="840"/>
      <c r="CG148" s="634"/>
      <c r="CH148" s="840"/>
      <c r="CI148" s="634"/>
      <c r="CK148" s="634"/>
      <c r="CM148" s="634"/>
      <c r="CN148" s="102"/>
      <c r="CO148" s="784"/>
      <c r="CP148" s="784"/>
      <c r="CQ148" s="634"/>
      <c r="CR148" s="102"/>
      <c r="CS148" s="784"/>
      <c r="CT148" s="784"/>
      <c r="CU148" s="784"/>
      <c r="CV148" s="784"/>
      <c r="CW148" s="634"/>
      <c r="CX148" s="102"/>
      <c r="CY148" s="784"/>
      <c r="CZ148" s="784"/>
      <c r="DA148" s="784"/>
      <c r="DB148" s="784"/>
      <c r="DC148" s="784"/>
      <c r="DD148" s="784"/>
      <c r="DE148" s="634"/>
      <c r="DF148" s="784"/>
      <c r="DG148" s="634"/>
      <c r="DH148" s="296"/>
      <c r="DI148" s="802"/>
      <c r="DJ148" s="785"/>
      <c r="DK148" s="899"/>
      <c r="DL148" s="772"/>
      <c r="DM148" s="787"/>
      <c r="DN148" s="787"/>
      <c r="DO148" s="787"/>
      <c r="DP148" s="787"/>
      <c r="DQ148" s="787"/>
      <c r="DR148" s="787"/>
      <c r="DS148" s="787"/>
      <c r="DT148" s="787"/>
      <c r="DU148" s="787"/>
      <c r="DV148" s="787"/>
      <c r="DW148" s="802"/>
      <c r="DX148" s="788"/>
      <c r="DY148" s="634"/>
      <c r="DZ148" s="2288"/>
      <c r="EA148" s="2231"/>
      <c r="EB148" s="187"/>
      <c r="EC148" s="2232"/>
      <c r="ED148" s="187"/>
      <c r="EE148" s="187"/>
      <c r="EF148" s="2232"/>
      <c r="EG148" s="187"/>
      <c r="EH148" s="2232"/>
      <c r="EI148" s="187"/>
      <c r="EJ148" s="2232"/>
      <c r="EK148" s="187"/>
      <c r="EL148" s="2232"/>
      <c r="EM148" s="195"/>
      <c r="EN148" s="2232"/>
      <c r="EO148" s="195"/>
      <c r="EP148" s="2232"/>
      <c r="EQ148" s="187"/>
      <c r="ER148" s="2232"/>
      <c r="ES148" s="187"/>
      <c r="ET148" s="2232"/>
      <c r="EU148" s="187">
        <f t="shared" si="57"/>
        <v>0</v>
      </c>
      <c r="EV148" s="2232"/>
      <c r="EW148" s="187"/>
      <c r="EX148" s="2232"/>
      <c r="EY148" s="195"/>
      <c r="EZ148" s="2232"/>
      <c r="FA148" s="195"/>
      <c r="FB148" s="2232"/>
      <c r="FC148" s="195"/>
      <c r="FD148" s="2232"/>
      <c r="FE148" s="195"/>
      <c r="FF148" s="2232"/>
      <c r="FG148" s="195"/>
      <c r="FH148" s="2232"/>
      <c r="FI148" s="195"/>
      <c r="FJ148" s="2232"/>
      <c r="FK148" s="195"/>
      <c r="FL148" s="2232"/>
      <c r="FM148" s="187"/>
      <c r="FN148" s="2232"/>
      <c r="FO148" s="187"/>
      <c r="FP148" s="2232"/>
      <c r="FQ148" s="187"/>
      <c r="FR148" s="195"/>
      <c r="FS148" s="195"/>
      <c r="FT148" s="789"/>
      <c r="FU148" s="789"/>
      <c r="FV148" s="789"/>
      <c r="FW148" s="789"/>
      <c r="FX148" s="789"/>
      <c r="FY148" s="789"/>
      <c r="FZ148" s="789"/>
      <c r="GA148" s="789"/>
      <c r="GB148" s="2289"/>
      <c r="GC148" s="776"/>
    </row>
    <row r="149" spans="1:202" s="228" customFormat="1" ht="18.75">
      <c r="A149" s="216"/>
      <c r="B149" s="216">
        <v>53</v>
      </c>
      <c r="C149" s="218" t="s">
        <v>703</v>
      </c>
      <c r="D149" s="218">
        <v>2865</v>
      </c>
      <c r="E149" s="218">
        <v>19</v>
      </c>
      <c r="F149" s="897">
        <v>2028650019</v>
      </c>
      <c r="G149" s="218">
        <v>12200</v>
      </c>
      <c r="H149" s="221" t="s">
        <v>704</v>
      </c>
      <c r="I149" s="222"/>
      <c r="J149" s="218">
        <v>1.97</v>
      </c>
      <c r="K149" s="218">
        <v>0</v>
      </c>
      <c r="L149" s="218">
        <v>2</v>
      </c>
      <c r="M149" s="218">
        <v>6.5</v>
      </c>
      <c r="N149" s="220">
        <v>24000</v>
      </c>
      <c r="O149" s="220">
        <v>0</v>
      </c>
      <c r="P149" s="220">
        <v>0</v>
      </c>
      <c r="Q149" s="220">
        <v>24000</v>
      </c>
      <c r="R149" s="223">
        <v>0</v>
      </c>
      <c r="S149" s="898" t="s">
        <v>878</v>
      </c>
      <c r="T149" s="234">
        <f>U149</f>
        <v>0</v>
      </c>
      <c r="U149" s="111">
        <v>0</v>
      </c>
      <c r="V149" s="234">
        <f>W149</f>
        <v>24000</v>
      </c>
      <c r="W149" s="111">
        <f>N149</f>
        <v>24000</v>
      </c>
      <c r="X149" s="111"/>
      <c r="Y149" s="111">
        <f>W149-AA149</f>
        <v>24000</v>
      </c>
      <c r="Z149" s="234">
        <f>AA149</f>
        <v>0</v>
      </c>
      <c r="AA149" s="111">
        <v>0</v>
      </c>
      <c r="AB149" s="234">
        <f>AC149</f>
        <v>6000</v>
      </c>
      <c r="AC149" s="111">
        <f>0.25*W149</f>
        <v>6000</v>
      </c>
      <c r="AD149" s="234">
        <f>AE149</f>
        <v>0</v>
      </c>
      <c r="AE149" s="111">
        <f>AG149+AF149</f>
        <v>0</v>
      </c>
      <c r="AF149" s="111">
        <v>0</v>
      </c>
      <c r="AG149" s="111">
        <v>0</v>
      </c>
      <c r="AH149" s="111">
        <v>0</v>
      </c>
      <c r="AI149" s="234">
        <f>AJ149</f>
        <v>0</v>
      </c>
      <c r="AJ149" s="111">
        <v>0</v>
      </c>
      <c r="AK149" s="234">
        <f>AL149</f>
        <v>0</v>
      </c>
      <c r="AL149" s="111">
        <f>W149-(AA149+AC149+AE149+AH149+AJ149+AM149+AW149+AO149+AQ149+AS149+AU149)</f>
        <v>0</v>
      </c>
      <c r="AM149" s="899">
        <v>0</v>
      </c>
      <c r="AN149" s="234">
        <f>AO149</f>
        <v>0</v>
      </c>
      <c r="AO149" s="111">
        <v>0</v>
      </c>
      <c r="AP149" s="234">
        <f>AQ149</f>
        <v>12000</v>
      </c>
      <c r="AQ149" s="111">
        <v>12000</v>
      </c>
      <c r="AR149" s="234">
        <f>AS149</f>
        <v>6000</v>
      </c>
      <c r="AS149" s="111">
        <v>6000</v>
      </c>
      <c r="AT149" s="234">
        <f>AU149</f>
        <v>0</v>
      </c>
      <c r="AU149" s="111">
        <v>0</v>
      </c>
      <c r="AV149" s="234">
        <f>AW149</f>
        <v>0</v>
      </c>
      <c r="AW149" s="111">
        <f>AX149+AY149+AZ149+BA149+BB149</f>
        <v>0</v>
      </c>
      <c r="AX149" s="111">
        <v>0</v>
      </c>
      <c r="AY149" s="111">
        <v>0</v>
      </c>
      <c r="AZ149" s="111">
        <v>0</v>
      </c>
      <c r="BA149" s="111">
        <v>0</v>
      </c>
      <c r="BB149" s="111">
        <v>0</v>
      </c>
      <c r="BC149" s="111">
        <v>0</v>
      </c>
      <c r="BD149" s="234">
        <f>BE149</f>
        <v>24000</v>
      </c>
      <c r="BE149" s="111">
        <f>U149+W149</f>
        <v>24000</v>
      </c>
      <c r="BF149" s="234">
        <f>BG149</f>
        <v>0</v>
      </c>
      <c r="BG149" s="111">
        <f>U149/1000</f>
        <v>0</v>
      </c>
      <c r="BH149" s="234">
        <f>BI149</f>
        <v>0</v>
      </c>
      <c r="BI149" s="111">
        <v>0</v>
      </c>
      <c r="BJ149" s="111">
        <f t="shared" si="59"/>
        <v>0</v>
      </c>
      <c r="BK149" s="306">
        <f>ROUND((Y149+AC149+AA149)/1000*3,0)+ROUND((AE149+AU149)/1000,0)+ROUND((ROUND(AH149/400,0))/2.67,0)+ROUND(AM149/250,0)+ROUND(AO149/15000,0)+ROUND((AX149+AY149+AZ149+BB149)/1000*3,0)+ROUND(BG149/25,0)+ROUND(BU53/50,0)</f>
        <v>90</v>
      </c>
      <c r="BL149" s="111">
        <v>0</v>
      </c>
      <c r="BM149" s="111">
        <v>0</v>
      </c>
      <c r="BN149" s="111">
        <v>0</v>
      </c>
      <c r="BO149" s="111">
        <v>0</v>
      </c>
      <c r="BP149" s="111">
        <f>AH149/1000</f>
        <v>0</v>
      </c>
      <c r="BQ149" s="111">
        <v>100</v>
      </c>
      <c r="BR149" s="111">
        <v>0</v>
      </c>
      <c r="BS149" s="111">
        <v>0</v>
      </c>
      <c r="BT149" s="234">
        <f>BU149</f>
        <v>100</v>
      </c>
      <c r="BU149" s="111">
        <f>SUM(BL149:BS149)</f>
        <v>100</v>
      </c>
      <c r="BV149" s="228">
        <v>25</v>
      </c>
      <c r="BW149" s="900" t="s">
        <v>741</v>
      </c>
      <c r="BX149" s="228">
        <v>7.2</v>
      </c>
      <c r="BY149" s="228">
        <v>0</v>
      </c>
      <c r="BZ149" s="228">
        <v>6.5</v>
      </c>
      <c r="CA149" s="901"/>
      <c r="CB149" s="230" t="s">
        <v>744</v>
      </c>
      <c r="CC149" s="399">
        <f>(BX149*G149)-G149</f>
        <v>75640</v>
      </c>
      <c r="CD149" s="399">
        <f>CC149</f>
        <v>75640</v>
      </c>
      <c r="CE149" s="234">
        <f>CF149</f>
        <v>0</v>
      </c>
      <c r="CF149" s="902">
        <v>0</v>
      </c>
      <c r="CG149" s="234">
        <f>CH149</f>
        <v>0</v>
      </c>
      <c r="CH149" s="902">
        <f>CF149-CJ149</f>
        <v>0</v>
      </c>
      <c r="CI149" s="234">
        <f>CJ149</f>
        <v>0</v>
      </c>
      <c r="CJ149" s="228">
        <v>0</v>
      </c>
      <c r="CK149" s="234">
        <f>CL149</f>
        <v>0</v>
      </c>
      <c r="CL149" s="228">
        <v>0</v>
      </c>
      <c r="CM149" s="234">
        <f>CN149</f>
        <v>0</v>
      </c>
      <c r="CN149" s="111">
        <f>CF149-(CJ149+CL149+CO149+CP149+CR149+CU149+CV149+CX149)</f>
        <v>0</v>
      </c>
      <c r="CO149" s="903">
        <v>0</v>
      </c>
      <c r="CP149" s="903">
        <v>0</v>
      </c>
      <c r="CQ149" s="234">
        <f>CR149</f>
        <v>0</v>
      </c>
      <c r="CR149" s="111">
        <v>0</v>
      </c>
      <c r="CS149" s="903">
        <v>0</v>
      </c>
      <c r="CT149" s="903">
        <v>0</v>
      </c>
      <c r="CU149" s="903">
        <v>0</v>
      </c>
      <c r="CV149" s="903">
        <v>0</v>
      </c>
      <c r="CW149" s="234">
        <f>CX149</f>
        <v>0</v>
      </c>
      <c r="CX149" s="111">
        <f>SUM(CY149:DC149)</f>
        <v>0</v>
      </c>
      <c r="CY149" s="903">
        <f>AX149</f>
        <v>0</v>
      </c>
      <c r="CZ149" s="903">
        <f>AY149</f>
        <v>0</v>
      </c>
      <c r="DA149" s="903">
        <f>AZ149</f>
        <v>0</v>
      </c>
      <c r="DB149" s="903">
        <f>BA149</f>
        <v>0</v>
      </c>
      <c r="DC149" s="903">
        <f>BB149</f>
        <v>0</v>
      </c>
      <c r="DD149" s="903"/>
      <c r="DE149" s="234">
        <f>DF149</f>
        <v>75640</v>
      </c>
      <c r="DF149" s="111">
        <f>CC149+CF149</f>
        <v>75640</v>
      </c>
      <c r="DG149" s="234">
        <f>DH149</f>
        <v>75.64</v>
      </c>
      <c r="DH149" s="904">
        <f>CC149/'[1]Projected Development Sites'!DF$134</f>
        <v>75.64</v>
      </c>
      <c r="DI149" s="886">
        <f>DJ149</f>
        <v>75.64</v>
      </c>
      <c r="DJ149" s="803">
        <f>'[1]Projected Development Sites'!DK$136*DH149</f>
        <v>75.64</v>
      </c>
      <c r="DK149" s="899">
        <f>2.87*DH149</f>
        <v>217.08680000000001</v>
      </c>
      <c r="DL149" s="772">
        <f>ROUND((CN149+CL149+CJ149)/1000*3,0)+ROUND((ROUND(CP149/400,0))/2.67,0)+ROUND(CV149/1000,0)+ROUND((CY149+CZ149+DA149+DC149)/1000*3,0)+ROUND(DH149/25,0)+ROUND(DX149/50,0)</f>
        <v>3</v>
      </c>
      <c r="DM149" s="905">
        <v>0</v>
      </c>
      <c r="DN149" s="905"/>
      <c r="DO149" s="905">
        <v>0</v>
      </c>
      <c r="DP149" s="905">
        <f>0.25*DJ149</f>
        <v>18.91</v>
      </c>
      <c r="DQ149" s="905">
        <f>SUM(CO149,CJ149,CN149,CR149,CU149)/1000</f>
        <v>0</v>
      </c>
      <c r="DR149" s="905">
        <f>CL149/1000</f>
        <v>0</v>
      </c>
      <c r="DS149" s="905">
        <f>((CP149/400)/12)</f>
        <v>0</v>
      </c>
      <c r="DT149" s="905">
        <f>IF(CX149&gt;0,"Calculate",0)</f>
        <v>0</v>
      </c>
      <c r="DU149" s="905">
        <v>0</v>
      </c>
      <c r="DV149" s="905">
        <f>CX149/1000</f>
        <v>0</v>
      </c>
      <c r="DW149" s="886">
        <f>DX149</f>
        <v>0</v>
      </c>
      <c r="DX149" s="906">
        <f>SUM(DM149,DO149,DQ149:DV149)</f>
        <v>0</v>
      </c>
      <c r="DY149" s="837">
        <v>145</v>
      </c>
      <c r="DZ149" s="2288">
        <f>CD149-T149</f>
        <v>75640</v>
      </c>
      <c r="EA149" s="2231">
        <f>CE149-V149</f>
        <v>-24000</v>
      </c>
      <c r="EB149" s="187">
        <f>CF149-W149</f>
        <v>-24000</v>
      </c>
      <c r="EC149" s="235">
        <f>ED149</f>
        <v>-6000</v>
      </c>
      <c r="ED149" s="187">
        <v>-6000</v>
      </c>
      <c r="EE149" s="187">
        <f>(SUM(CJ149:CO149))-(SUM(AA149:AE149,AL149))</f>
        <v>-12000</v>
      </c>
      <c r="EF149" s="235">
        <f>EG149</f>
        <v>0</v>
      </c>
      <c r="EG149" s="187">
        <v>0</v>
      </c>
      <c r="EH149" s="235">
        <f>EI149</f>
        <v>-6000</v>
      </c>
      <c r="EI149" s="187">
        <f>CL149-AC149</f>
        <v>-6000</v>
      </c>
      <c r="EJ149" s="235">
        <f>EK149</f>
        <v>0</v>
      </c>
      <c r="EK149" s="187">
        <f>CJ149-AA149</f>
        <v>0</v>
      </c>
      <c r="EL149" s="235">
        <f>EM149</f>
        <v>0</v>
      </c>
      <c r="EM149" s="245">
        <f>CO149-AE149</f>
        <v>0</v>
      </c>
      <c r="EN149" s="235">
        <f>EO149</f>
        <v>0</v>
      </c>
      <c r="EO149" s="245">
        <f>CP149-AH149</f>
        <v>0</v>
      </c>
      <c r="EP149" s="235">
        <f>EQ149</f>
        <v>0</v>
      </c>
      <c r="EQ149" s="187">
        <f>CR149-AJ149</f>
        <v>0</v>
      </c>
      <c r="ER149" s="235">
        <f>ES149</f>
        <v>0</v>
      </c>
      <c r="ES149" s="187">
        <f>CS149-AO149</f>
        <v>0</v>
      </c>
      <c r="ET149" s="235">
        <f>EU149</f>
        <v>-12000</v>
      </c>
      <c r="EU149" s="187">
        <f t="shared" si="57"/>
        <v>-12000</v>
      </c>
      <c r="EV149" s="235">
        <f>EW149</f>
        <v>-6000</v>
      </c>
      <c r="EW149" s="187">
        <f>CU149-AS149</f>
        <v>-6000</v>
      </c>
      <c r="EX149" s="235">
        <f>EY149</f>
        <v>0</v>
      </c>
      <c r="EY149" s="245">
        <f>CV149-AU149</f>
        <v>0</v>
      </c>
      <c r="EZ149" s="235">
        <f>FA149</f>
        <v>0</v>
      </c>
      <c r="FA149" s="245">
        <f>CY149-AX149</f>
        <v>0</v>
      </c>
      <c r="FB149" s="235">
        <f>FC149</f>
        <v>0</v>
      </c>
      <c r="FC149" s="245">
        <f>CZ149-AY149</f>
        <v>0</v>
      </c>
      <c r="FD149" s="235">
        <f>FE149</f>
        <v>0</v>
      </c>
      <c r="FE149" s="245">
        <f>DA149-AZ149</f>
        <v>0</v>
      </c>
      <c r="FF149" s="235">
        <f>FG149</f>
        <v>0</v>
      </c>
      <c r="FG149" s="245">
        <f>DB149-BA149</f>
        <v>0</v>
      </c>
      <c r="FH149" s="235">
        <f>FI149</f>
        <v>0</v>
      </c>
      <c r="FI149" s="245">
        <f>DC149-BB149</f>
        <v>0</v>
      </c>
      <c r="FJ149" s="235">
        <f>FK149</f>
        <v>0</v>
      </c>
      <c r="FK149" s="245">
        <f>CX149-AW149</f>
        <v>0</v>
      </c>
      <c r="FL149" s="235">
        <f>FM149</f>
        <v>51640</v>
      </c>
      <c r="FM149" s="187">
        <f>DF149-BE149</f>
        <v>51640</v>
      </c>
      <c r="FN149" s="235">
        <f>FO149</f>
        <v>75.64</v>
      </c>
      <c r="FO149" s="187">
        <f>DH149-BG149</f>
        <v>75.64</v>
      </c>
      <c r="FP149" s="235">
        <f>FQ149</f>
        <v>75.64</v>
      </c>
      <c r="FQ149" s="187">
        <f>DJ149-BI149</f>
        <v>75.64</v>
      </c>
      <c r="FR149" s="245">
        <f>DK149-BJ149</f>
        <v>217.08680000000001</v>
      </c>
      <c r="FS149" s="245">
        <f>DL149-BK149</f>
        <v>-87</v>
      </c>
      <c r="FT149" s="907">
        <f>DM149-BL149</f>
        <v>0</v>
      </c>
      <c r="FU149" s="907">
        <f>DR149-BO149</f>
        <v>0</v>
      </c>
      <c r="FV149" s="907">
        <f>DO149-BM149</f>
        <v>0</v>
      </c>
      <c r="FW149" s="907">
        <f>DQ149-BN149</f>
        <v>0</v>
      </c>
      <c r="FX149" s="907">
        <f>DS149-BP149</f>
        <v>0</v>
      </c>
      <c r="FY149" s="907">
        <f>DT149-BQ149</f>
        <v>-100</v>
      </c>
      <c r="FZ149" s="907">
        <f>DU149-BR149</f>
        <v>0</v>
      </c>
      <c r="GA149" s="907">
        <f>DV149-BS149</f>
        <v>0</v>
      </c>
      <c r="GB149" s="894">
        <f>GC149</f>
        <v>-100</v>
      </c>
      <c r="GC149" s="776">
        <f t="shared" si="58"/>
        <v>-100</v>
      </c>
      <c r="GD149" s="139"/>
      <c r="GE149" s="139"/>
      <c r="GF149" s="139"/>
      <c r="GG149" s="139"/>
      <c r="GH149" s="139"/>
      <c r="GI149" s="139"/>
      <c r="GJ149" s="139"/>
      <c r="GK149" s="139"/>
      <c r="GL149" s="139"/>
      <c r="GM149" s="139"/>
      <c r="GN149" s="139"/>
      <c r="GO149" s="139"/>
      <c r="GP149" s="139"/>
      <c r="GQ149" s="139"/>
      <c r="GR149" s="139"/>
      <c r="GS149" s="139"/>
      <c r="GT149" s="139"/>
    </row>
    <row r="150" spans="1:202" s="139" customFormat="1" ht="18.75">
      <c r="A150" s="2263"/>
      <c r="B150" s="2263"/>
      <c r="C150" s="132"/>
      <c r="D150" s="132"/>
      <c r="E150" s="132"/>
      <c r="F150" s="777"/>
      <c r="G150" s="132"/>
      <c r="H150" s="135"/>
      <c r="I150" s="136"/>
      <c r="J150" s="132"/>
      <c r="K150" s="132"/>
      <c r="L150" s="132"/>
      <c r="M150" s="132"/>
      <c r="N150" s="134"/>
      <c r="O150" s="134"/>
      <c r="P150" s="134"/>
      <c r="Q150" s="134"/>
      <c r="R150" s="137"/>
      <c r="S150" s="778"/>
      <c r="T150" s="634"/>
      <c r="U150" s="102"/>
      <c r="V150" s="634"/>
      <c r="W150" s="102"/>
      <c r="X150" s="102"/>
      <c r="Y150" s="102"/>
      <c r="Z150" s="634"/>
      <c r="AA150" s="102"/>
      <c r="AB150" s="634"/>
      <c r="AC150" s="102"/>
      <c r="AD150" s="634"/>
      <c r="AE150" s="102"/>
      <c r="AF150" s="102"/>
      <c r="AG150" s="102"/>
      <c r="AH150" s="102"/>
      <c r="AI150" s="634"/>
      <c r="AJ150" s="102"/>
      <c r="AK150" s="634"/>
      <c r="AL150" s="102"/>
      <c r="AM150" s="779"/>
      <c r="AN150" s="634"/>
      <c r="AO150" s="102"/>
      <c r="AP150" s="634"/>
      <c r="AQ150" s="102"/>
      <c r="AR150" s="634"/>
      <c r="AS150" s="102"/>
      <c r="AT150" s="634"/>
      <c r="AU150" s="102"/>
      <c r="AV150" s="634"/>
      <c r="AW150" s="102"/>
      <c r="AX150" s="102"/>
      <c r="AY150" s="102"/>
      <c r="AZ150" s="102"/>
      <c r="BA150" s="102"/>
      <c r="BB150" s="102"/>
      <c r="BC150" s="102"/>
      <c r="BD150" s="634"/>
      <c r="BE150" s="102"/>
      <c r="BF150" s="634"/>
      <c r="BG150" s="102"/>
      <c r="BH150" s="634"/>
      <c r="BI150" s="102"/>
      <c r="BJ150" s="111"/>
      <c r="BK150" s="186"/>
      <c r="BL150" s="102"/>
      <c r="BM150" s="102"/>
      <c r="BN150" s="102"/>
      <c r="BO150" s="102"/>
      <c r="BP150" s="102"/>
      <c r="BQ150" s="102"/>
      <c r="BR150" s="102"/>
      <c r="BS150" s="102"/>
      <c r="BT150" s="634"/>
      <c r="BU150" s="102"/>
      <c r="BW150" s="780"/>
      <c r="CA150" s="781"/>
      <c r="CB150" s="2258"/>
      <c r="CC150" s="782"/>
      <c r="CD150" s="782"/>
      <c r="CE150" s="634"/>
      <c r="CF150" s="840"/>
      <c r="CG150" s="634"/>
      <c r="CH150" s="840"/>
      <c r="CI150" s="634"/>
      <c r="CK150" s="634"/>
      <c r="CM150" s="634"/>
      <c r="CN150" s="102"/>
      <c r="CO150" s="784"/>
      <c r="CP150" s="784"/>
      <c r="CQ150" s="634"/>
      <c r="CR150" s="102"/>
      <c r="CS150" s="784"/>
      <c r="CT150" s="784"/>
      <c r="CU150" s="784"/>
      <c r="CV150" s="784"/>
      <c r="CW150" s="634"/>
      <c r="CX150" s="102"/>
      <c r="CY150" s="784"/>
      <c r="CZ150" s="784"/>
      <c r="DA150" s="784"/>
      <c r="DB150" s="784"/>
      <c r="DC150" s="784"/>
      <c r="DD150" s="784"/>
      <c r="DE150" s="634"/>
      <c r="DF150" s="784"/>
      <c r="DG150" s="634"/>
      <c r="DH150" s="296"/>
      <c r="DI150" s="802"/>
      <c r="DJ150" s="785"/>
      <c r="DK150" s="899"/>
      <c r="DL150" s="772"/>
      <c r="DM150" s="787"/>
      <c r="DN150" s="787"/>
      <c r="DO150" s="787"/>
      <c r="DP150" s="787"/>
      <c r="DQ150" s="787"/>
      <c r="DR150" s="787"/>
      <c r="DS150" s="787"/>
      <c r="DT150" s="787"/>
      <c r="DU150" s="787"/>
      <c r="DV150" s="787"/>
      <c r="DW150" s="802"/>
      <c r="DX150" s="788"/>
      <c r="DY150" s="634"/>
      <c r="DZ150" s="2288"/>
      <c r="EA150" s="2231"/>
      <c r="EB150" s="187"/>
      <c r="EC150" s="2232"/>
      <c r="ED150" s="187"/>
      <c r="EE150" s="187"/>
      <c r="EF150" s="2232"/>
      <c r="EG150" s="187"/>
      <c r="EH150" s="2232"/>
      <c r="EI150" s="187"/>
      <c r="EJ150" s="2232"/>
      <c r="EK150" s="187"/>
      <c r="EL150" s="2232"/>
      <c r="EM150" s="195"/>
      <c r="EN150" s="2232"/>
      <c r="EO150" s="195"/>
      <c r="EP150" s="2232"/>
      <c r="EQ150" s="187"/>
      <c r="ER150" s="2232"/>
      <c r="ES150" s="187"/>
      <c r="ET150" s="2232"/>
      <c r="EU150" s="187">
        <f t="shared" si="57"/>
        <v>0</v>
      </c>
      <c r="EV150" s="2232"/>
      <c r="EW150" s="187"/>
      <c r="EX150" s="2232"/>
      <c r="EY150" s="195"/>
      <c r="EZ150" s="2232"/>
      <c r="FA150" s="195"/>
      <c r="FB150" s="2232"/>
      <c r="FC150" s="195"/>
      <c r="FD150" s="2232"/>
      <c r="FE150" s="195"/>
      <c r="FF150" s="2232"/>
      <c r="FG150" s="195"/>
      <c r="FH150" s="2232"/>
      <c r="FI150" s="195"/>
      <c r="FJ150" s="2232"/>
      <c r="FK150" s="195"/>
      <c r="FL150" s="2232"/>
      <c r="FM150" s="187"/>
      <c r="FN150" s="2232"/>
      <c r="FO150" s="187"/>
      <c r="FP150" s="2232"/>
      <c r="FQ150" s="187"/>
      <c r="FR150" s="195"/>
      <c r="FS150" s="195"/>
      <c r="FT150" s="789"/>
      <c r="FU150" s="789"/>
      <c r="FV150" s="789"/>
      <c r="FW150" s="789"/>
      <c r="FX150" s="789"/>
      <c r="FY150" s="789"/>
      <c r="FZ150" s="789"/>
      <c r="GA150" s="789"/>
      <c r="GB150" s="2286"/>
      <c r="GC150" s="776"/>
    </row>
    <row r="151" spans="1:202" s="127" customFormat="1" ht="15" customHeight="1">
      <c r="A151" s="2588"/>
      <c r="B151" s="2588">
        <v>54</v>
      </c>
      <c r="C151" s="115" t="s">
        <v>703</v>
      </c>
      <c r="D151" s="115">
        <v>2859</v>
      </c>
      <c r="E151" s="115">
        <v>18</v>
      </c>
      <c r="F151" s="763">
        <v>2028590018</v>
      </c>
      <c r="G151" s="115">
        <v>2746</v>
      </c>
      <c r="H151" s="118" t="s">
        <v>704</v>
      </c>
      <c r="I151" s="119"/>
      <c r="J151" s="115">
        <v>0.49</v>
      </c>
      <c r="K151" s="115">
        <v>0</v>
      </c>
      <c r="L151" s="115">
        <v>2</v>
      </c>
      <c r="M151" s="115">
        <v>6.5</v>
      </c>
      <c r="N151" s="117">
        <v>1350</v>
      </c>
      <c r="O151" s="117">
        <f>Q151</f>
        <v>1350</v>
      </c>
      <c r="P151" s="117">
        <v>0</v>
      </c>
      <c r="Q151" s="117">
        <v>1350</v>
      </c>
      <c r="R151" s="120">
        <v>0</v>
      </c>
      <c r="S151" s="764" t="s">
        <v>711</v>
      </c>
      <c r="T151" s="2600">
        <f>SUM(U151:U157)</f>
        <v>0</v>
      </c>
      <c r="U151" s="122">
        <v>0</v>
      </c>
      <c r="V151" s="2600">
        <f>SUM(W151:W157)</f>
        <v>24146</v>
      </c>
      <c r="W151" s="122">
        <f>N151</f>
        <v>1350</v>
      </c>
      <c r="X151" s="122"/>
      <c r="Y151" s="122">
        <f t="shared" ref="Y151:Y157" si="68">W151-AA151</f>
        <v>1350</v>
      </c>
      <c r="Z151" s="2600">
        <f>SUM(AA151:AA157)</f>
        <v>0</v>
      </c>
      <c r="AA151" s="122">
        <v>0</v>
      </c>
      <c r="AB151" s="2600">
        <f>SUM(AC151:AC157)</f>
        <v>0</v>
      </c>
      <c r="AC151" s="122">
        <v>0</v>
      </c>
      <c r="AD151" s="2600">
        <f>SUM(AE151:AE157)</f>
        <v>24146</v>
      </c>
      <c r="AE151" s="122">
        <f t="shared" ref="AE151:AE157" si="69">AG151+AF151</f>
        <v>1350</v>
      </c>
      <c r="AF151" s="122">
        <v>0</v>
      </c>
      <c r="AG151" s="122">
        <f>W151</f>
        <v>1350</v>
      </c>
      <c r="AH151" s="122">
        <v>0</v>
      </c>
      <c r="AI151" s="2600">
        <f>SUM(AJ151:AJ157)</f>
        <v>0</v>
      </c>
      <c r="AJ151" s="122">
        <v>0</v>
      </c>
      <c r="AK151" s="2600">
        <f>SUM(AL151:AL157)</f>
        <v>0</v>
      </c>
      <c r="AL151" s="122">
        <f t="shared" ref="AL151:AL157" si="70">W151-(AA151+AC151+AE151+AH151+AJ151+AM151+AW151+AO151+AQ151+AS151+AU151)</f>
        <v>0</v>
      </c>
      <c r="AM151" s="765">
        <v>0</v>
      </c>
      <c r="AN151" s="2600">
        <f>SUM(AO151:AO157)</f>
        <v>0</v>
      </c>
      <c r="AO151" s="122">
        <v>0</v>
      </c>
      <c r="AP151" s="2600">
        <f>SUM(AQ151:AQ157)</f>
        <v>0</v>
      </c>
      <c r="AQ151" s="122">
        <v>0</v>
      </c>
      <c r="AR151" s="2600">
        <f>SUM(AS151:AS157)</f>
        <v>0</v>
      </c>
      <c r="AS151" s="122">
        <v>0</v>
      </c>
      <c r="AT151" s="2600">
        <f>SUM(AU151:AU157)</f>
        <v>0</v>
      </c>
      <c r="AU151" s="122">
        <v>0</v>
      </c>
      <c r="AV151" s="2600">
        <f>SUM(AW151:AW157)</f>
        <v>0</v>
      </c>
      <c r="AW151" s="122">
        <f>AX151+AY151+AZ151+BA151+BB151</f>
        <v>0</v>
      </c>
      <c r="AX151" s="122">
        <v>0</v>
      </c>
      <c r="AY151" s="122">
        <v>0</v>
      </c>
      <c r="AZ151" s="122">
        <v>0</v>
      </c>
      <c r="BA151" s="122">
        <v>0</v>
      </c>
      <c r="BB151" s="122">
        <v>0</v>
      </c>
      <c r="BC151" s="122">
        <v>0</v>
      </c>
      <c r="BD151" s="2600">
        <f>SUM(BE151:BE157)</f>
        <v>24146</v>
      </c>
      <c r="BE151" s="122">
        <f>U151+W151</f>
        <v>1350</v>
      </c>
      <c r="BF151" s="2600">
        <f>SUM(BG151:BG157)</f>
        <v>0</v>
      </c>
      <c r="BG151" s="122">
        <f>U151/1000</f>
        <v>0</v>
      </c>
      <c r="BH151" s="2600">
        <f>SUM(BI151:BI157)</f>
        <v>0</v>
      </c>
      <c r="BI151" s="122">
        <v>0</v>
      </c>
      <c r="BJ151" s="122">
        <f t="shared" si="59"/>
        <v>0</v>
      </c>
      <c r="BK151" s="129">
        <f>ROUND((Y151+AC151+AA151)/1000*3,0)+ROUND((AE151+AU151)/1000,0)+ROUND((ROUND(AH151/400,0))/2.67,0)+ROUND(AM151/250,0)+ROUND(AO151/15000,0)+ROUND((AX151+AY151+AZ151+BB151)/1000*3,0)+ROUND(BG151/25,0)+ROUND(BU260/50,0)</f>
        <v>5</v>
      </c>
      <c r="BL151" s="122">
        <v>0</v>
      </c>
      <c r="BM151" s="122">
        <v>0</v>
      </c>
      <c r="BN151" s="122">
        <v>0</v>
      </c>
      <c r="BO151" s="122">
        <f t="shared" ref="BO151:BO157" si="71">AC151/1000</f>
        <v>0</v>
      </c>
      <c r="BP151" s="122">
        <f>AH151/1000</f>
        <v>0</v>
      </c>
      <c r="BQ151" s="122">
        <v>0</v>
      </c>
      <c r="BR151" s="122">
        <v>0</v>
      </c>
      <c r="BS151" s="122">
        <v>0</v>
      </c>
      <c r="BT151" s="2600">
        <f>SUM(BU151:BU157)</f>
        <v>15.153333333333334</v>
      </c>
      <c r="BU151" s="122">
        <f t="shared" ref="BU151:BU157" si="72">SUM(BL151:BS151)</f>
        <v>0</v>
      </c>
      <c r="BV151" s="127">
        <v>15</v>
      </c>
      <c r="BW151" s="766" t="s">
        <v>705</v>
      </c>
      <c r="BX151" s="127">
        <v>4.5999999999999996</v>
      </c>
      <c r="BY151" s="127">
        <v>0</v>
      </c>
      <c r="BZ151" s="127">
        <v>4.5999999999999996</v>
      </c>
      <c r="CA151" s="767"/>
      <c r="CB151" s="2596" t="s">
        <v>744</v>
      </c>
      <c r="CC151" s="768">
        <f>(BX151*G151)-G151</f>
        <v>9885.5999999999985</v>
      </c>
      <c r="CD151" s="2731">
        <f>SUM(CC151:CC157)</f>
        <v>120373.2</v>
      </c>
      <c r="CE151" s="2600">
        <f>SUM(CF151:CF157)</f>
        <v>0</v>
      </c>
      <c r="CF151" s="838">
        <v>0</v>
      </c>
      <c r="CG151" s="2600">
        <f>SUM(CH151:CH157)</f>
        <v>0</v>
      </c>
      <c r="CH151" s="838">
        <f t="shared" ref="CH151:CH157" si="73">CF151-CJ151</f>
        <v>0</v>
      </c>
      <c r="CI151" s="2600">
        <f>SUM(CJ151:CJ157)</f>
        <v>0</v>
      </c>
      <c r="CJ151" s="127">
        <v>0</v>
      </c>
      <c r="CK151" s="2600">
        <f>SUM(CL151:CL157)</f>
        <v>0</v>
      </c>
      <c r="CL151" s="127">
        <v>0</v>
      </c>
      <c r="CM151" s="2600">
        <f>SUM(CN151:CN157)</f>
        <v>0</v>
      </c>
      <c r="CN151" s="122">
        <f>CF151-(CJ151+CL151+CO151+CP151+CR151+CU151+CV151+CX151)</f>
        <v>0</v>
      </c>
      <c r="CO151" s="770">
        <v>0</v>
      </c>
      <c r="CP151" s="770">
        <v>0</v>
      </c>
      <c r="CQ151" s="2600">
        <f>SUM(CR151:CR157)</f>
        <v>0</v>
      </c>
      <c r="CR151" s="122">
        <v>0</v>
      </c>
      <c r="CS151" s="770">
        <v>0</v>
      </c>
      <c r="CT151" s="770">
        <v>0</v>
      </c>
      <c r="CU151" s="770">
        <v>0</v>
      </c>
      <c r="CV151" s="770">
        <v>0</v>
      </c>
      <c r="CW151" s="2600">
        <f>SUM(CX151:CX157)</f>
        <v>0</v>
      </c>
      <c r="CX151" s="122">
        <f>SUM(CY151:DC151)</f>
        <v>0</v>
      </c>
      <c r="CY151" s="770">
        <f t="shared" ref="CY151:DC155" si="74">AX151</f>
        <v>0</v>
      </c>
      <c r="CZ151" s="770">
        <f t="shared" si="74"/>
        <v>0</v>
      </c>
      <c r="DA151" s="770">
        <f t="shared" si="74"/>
        <v>0</v>
      </c>
      <c r="DB151" s="770">
        <f t="shared" si="74"/>
        <v>0</v>
      </c>
      <c r="DC151" s="770">
        <f t="shared" si="74"/>
        <v>0</v>
      </c>
      <c r="DD151" s="770"/>
      <c r="DE151" s="2600">
        <f>SUM(DF151:DF157)</f>
        <v>120373.2</v>
      </c>
      <c r="DF151" s="770">
        <f t="shared" ref="DF151:DF157" si="75">CC151+CF151</f>
        <v>9885.5999999999985</v>
      </c>
      <c r="DG151" s="2600">
        <f>SUM(DH151:DH157)</f>
        <v>120.37319999999998</v>
      </c>
      <c r="DH151" s="293">
        <f>CC151/'[1]Projected Development Sites'!DF$134</f>
        <v>9.8855999999999984</v>
      </c>
      <c r="DI151" s="2722">
        <f>SUM(DJ151:DJ157)</f>
        <v>120.37319999999998</v>
      </c>
      <c r="DJ151" s="771">
        <f>'[1]Projected Development Sites'!DK$136*DH151</f>
        <v>9.8855999999999984</v>
      </c>
      <c r="DK151" s="765">
        <f t="shared" ref="DK151:DK157" si="76">2.87*DH151</f>
        <v>28.371671999999997</v>
      </c>
      <c r="DL151" s="772">
        <f t="shared" ref="DL151:DL157" si="77">ROUND((CN151+CL151+CJ151)/1000*3,0)+ROUND((ROUND(CP151/400,0))/2.67,0)+ROUND(CV151/1000,0)+ROUND((CY151+CZ151+DA151+DC151)/1000*3,0)+ROUND(DH151/25,0)+ROUND(DX151/50,0)</f>
        <v>0</v>
      </c>
      <c r="DM151" s="773">
        <v>0</v>
      </c>
      <c r="DN151" s="773"/>
      <c r="DO151" s="773">
        <v>0</v>
      </c>
      <c r="DP151" s="773">
        <f t="shared" ref="DP151:DP157" si="78">0.25*DJ151</f>
        <v>2.4713999999999996</v>
      </c>
      <c r="DQ151" s="773">
        <f t="shared" ref="DQ151:DQ157" si="79">SUM(CO151,CJ151,CN151,CR151,CU151)/1000</f>
        <v>0</v>
      </c>
      <c r="DR151" s="773">
        <f t="shared" ref="DR151:DR157" si="80">CL151/1000</f>
        <v>0</v>
      </c>
      <c r="DS151" s="773">
        <f t="shared" ref="DS151:DS157" si="81">((CP151/400)/12)</f>
        <v>0</v>
      </c>
      <c r="DT151" s="773">
        <f t="shared" ref="DT151:DT157" si="82">IF(CX151&gt;0,"Calculate",0)</f>
        <v>0</v>
      </c>
      <c r="DU151" s="773">
        <v>0</v>
      </c>
      <c r="DV151" s="773">
        <f t="shared" ref="DV151:DV157" si="83">CX151/1000</f>
        <v>0</v>
      </c>
      <c r="DW151" s="2722">
        <f>SUM(DX151:DX157)</f>
        <v>0</v>
      </c>
      <c r="DX151" s="774">
        <f t="shared" ref="DX151:DX157" si="84">SUM(DM151,DO151,DQ151:DV151)</f>
        <v>0</v>
      </c>
      <c r="DY151" s="2725">
        <v>95</v>
      </c>
      <c r="DZ151" s="2728">
        <f>CD151-T151</f>
        <v>120373.2</v>
      </c>
      <c r="EA151" s="2602">
        <f>CE151-V151</f>
        <v>-24146</v>
      </c>
      <c r="EB151" s="187">
        <f>CF151-W151</f>
        <v>-1350</v>
      </c>
      <c r="EC151" s="2602">
        <f>SUM(ED151:ED157)</f>
        <v>-24146</v>
      </c>
      <c r="ED151" s="187">
        <v>-1350</v>
      </c>
      <c r="EE151" s="187">
        <f t="shared" ref="EE151:EE157" si="85">(SUM(CJ151:CO151))-(SUM(AA151:AE151,AL151))</f>
        <v>-25496</v>
      </c>
      <c r="EF151" s="2602">
        <f>SUM(EG151:EG157)</f>
        <v>0</v>
      </c>
      <c r="EG151" s="187">
        <v>0</v>
      </c>
      <c r="EH151" s="2602">
        <f>SUM(EI151:EI157)</f>
        <v>0</v>
      </c>
      <c r="EI151" s="187">
        <f t="shared" ref="EI151:EI157" si="86">CL151-AC151</f>
        <v>0</v>
      </c>
      <c r="EJ151" s="2602">
        <f>SUM(EK151:EK157)</f>
        <v>0</v>
      </c>
      <c r="EK151" s="187">
        <f t="shared" ref="EK151:EK157" si="87">CJ151-AA151</f>
        <v>0</v>
      </c>
      <c r="EL151" s="2602">
        <f>SUM(EM151:EM157)</f>
        <v>-24146</v>
      </c>
      <c r="EM151" s="187">
        <f t="shared" ref="EM151:EM157" si="88">CO151-AE151</f>
        <v>-1350</v>
      </c>
      <c r="EN151" s="2602">
        <f>SUM(EO151:EO157)</f>
        <v>0</v>
      </c>
      <c r="EO151" s="187">
        <f t="shared" ref="EO151:EO157" si="89">CP151-AH151</f>
        <v>0</v>
      </c>
      <c r="EP151" s="2602">
        <f>SUM(EQ151:EQ157)</f>
        <v>0</v>
      </c>
      <c r="EQ151" s="187">
        <f t="shared" ref="EQ151:EQ157" si="90">CR151-AJ151</f>
        <v>0</v>
      </c>
      <c r="ER151" s="2602">
        <f>SUM(ES151:ES157)</f>
        <v>0</v>
      </c>
      <c r="ES151" s="187">
        <f t="shared" ref="ES151:ES157" si="91">CS151-AO151</f>
        <v>0</v>
      </c>
      <c r="ET151" s="2602">
        <f>SUM(EU151:EU157)</f>
        <v>0</v>
      </c>
      <c r="EU151" s="187">
        <f t="shared" si="57"/>
        <v>0</v>
      </c>
      <c r="EV151" s="2602">
        <f>SUM(EW151:EW157)</f>
        <v>0</v>
      </c>
      <c r="EW151" s="187">
        <f t="shared" ref="EW151:EW157" si="92">CU151-AS151</f>
        <v>0</v>
      </c>
      <c r="EX151" s="2602">
        <f>SUM(EY151:EY157)</f>
        <v>0</v>
      </c>
      <c r="EY151" s="187">
        <f t="shared" ref="EY151:EY157" si="93">CV151-AU151</f>
        <v>0</v>
      </c>
      <c r="EZ151" s="2602">
        <f>SUM(FA151:FA157)</f>
        <v>0</v>
      </c>
      <c r="FA151" s="187">
        <f t="shared" ref="FA151:FA157" si="94">CY151-AX151</f>
        <v>0</v>
      </c>
      <c r="FB151" s="2602">
        <f>SUM(FC151:FC157)</f>
        <v>0</v>
      </c>
      <c r="FC151" s="187">
        <f t="shared" ref="FC151:FC157" si="95">CZ151-AY151</f>
        <v>0</v>
      </c>
      <c r="FD151" s="2602">
        <f>SUM(FE151:FE157)</f>
        <v>0</v>
      </c>
      <c r="FE151" s="187">
        <f t="shared" ref="FE151:FE157" si="96">DA151-AZ151</f>
        <v>0</v>
      </c>
      <c r="FF151" s="2602">
        <f>SUM(FG151:FG157)</f>
        <v>0</v>
      </c>
      <c r="FG151" s="187">
        <f t="shared" ref="FG151:FG157" si="97">DB151-BA151</f>
        <v>0</v>
      </c>
      <c r="FH151" s="2602">
        <f>SUM(FI151:FI157)</f>
        <v>0</v>
      </c>
      <c r="FI151" s="187">
        <f t="shared" ref="FI151:FI157" si="98">DC151-BB151</f>
        <v>0</v>
      </c>
      <c r="FJ151" s="2602">
        <f>SUM(FK151:FK157)</f>
        <v>0</v>
      </c>
      <c r="FK151" s="187">
        <f t="shared" ref="FK151:FK157" si="99">CX151-AW151</f>
        <v>0</v>
      </c>
      <c r="FL151" s="2602">
        <f>SUM(FM151:FM157)</f>
        <v>96227.199999999997</v>
      </c>
      <c r="FM151" s="187">
        <f t="shared" ref="FM151:FM157" si="100">DF151-BE151</f>
        <v>8535.5999999999985</v>
      </c>
      <c r="FN151" s="2602">
        <f>SUM(FO151:FO157)</f>
        <v>120.37319999999998</v>
      </c>
      <c r="FO151" s="187">
        <f t="shared" ref="FO151:FO157" si="101">DH151-BG151</f>
        <v>9.8855999999999984</v>
      </c>
      <c r="FP151" s="2602">
        <f>SUM(FQ151:FQ157)</f>
        <v>120.37319999999998</v>
      </c>
      <c r="FQ151" s="187">
        <f t="shared" ref="FQ151:FT157" si="102">DJ151-BI151</f>
        <v>9.8855999999999984</v>
      </c>
      <c r="FR151" s="187">
        <f t="shared" si="102"/>
        <v>28.371671999999997</v>
      </c>
      <c r="FS151" s="187">
        <f t="shared" si="102"/>
        <v>-5</v>
      </c>
      <c r="FT151" s="775">
        <f t="shared" si="102"/>
        <v>0</v>
      </c>
      <c r="FU151" s="775">
        <f t="shared" ref="FU151:FU157" si="103">DR151-BO151</f>
        <v>0</v>
      </c>
      <c r="FV151" s="775">
        <f t="shared" ref="FV151:FV157" si="104">DO151-BM151</f>
        <v>0</v>
      </c>
      <c r="FW151" s="775">
        <f t="shared" ref="FW151:FW157" si="105">DQ151-BN151</f>
        <v>0</v>
      </c>
      <c r="FX151" s="775">
        <f t="shared" ref="FX151:GA157" si="106">DS151-BP151</f>
        <v>0</v>
      </c>
      <c r="FY151" s="775">
        <f t="shared" si="106"/>
        <v>0</v>
      </c>
      <c r="FZ151" s="775">
        <f t="shared" si="106"/>
        <v>0</v>
      </c>
      <c r="GA151" s="775">
        <f t="shared" si="106"/>
        <v>0</v>
      </c>
      <c r="GB151" s="2734">
        <f>SUM(GC151:GC157)</f>
        <v>-15.153333333333334</v>
      </c>
      <c r="GC151" s="776">
        <f t="shared" si="58"/>
        <v>0</v>
      </c>
      <c r="GD151" s="139"/>
      <c r="GE151" s="139"/>
      <c r="GF151" s="139"/>
      <c r="GG151" s="139"/>
      <c r="GH151" s="139"/>
      <c r="GI151" s="139"/>
      <c r="GJ151" s="139"/>
      <c r="GK151" s="139"/>
      <c r="GL151" s="139"/>
      <c r="GM151" s="139"/>
      <c r="GN151" s="139"/>
      <c r="GO151" s="139"/>
      <c r="GP151" s="139"/>
      <c r="GQ151" s="139"/>
      <c r="GR151" s="139"/>
      <c r="GS151" s="139"/>
      <c r="GT151" s="139"/>
    </row>
    <row r="152" spans="1:202" s="139" customFormat="1" ht="15" customHeight="1">
      <c r="A152" s="2660"/>
      <c r="B152" s="2660"/>
      <c r="C152" s="132" t="s">
        <v>710</v>
      </c>
      <c r="D152" s="132">
        <v>2859</v>
      </c>
      <c r="E152" s="132">
        <v>17</v>
      </c>
      <c r="F152" s="777">
        <v>2028590017</v>
      </c>
      <c r="G152" s="132">
        <v>2690</v>
      </c>
      <c r="H152" s="135" t="s">
        <v>704</v>
      </c>
      <c r="I152" s="136"/>
      <c r="J152" s="132">
        <v>0</v>
      </c>
      <c r="K152" s="132">
        <v>0</v>
      </c>
      <c r="L152" s="132">
        <v>2</v>
      </c>
      <c r="M152" s="132">
        <v>6.5</v>
      </c>
      <c r="N152" s="134">
        <v>0</v>
      </c>
      <c r="O152" s="134">
        <v>0</v>
      </c>
      <c r="P152" s="134">
        <v>0</v>
      </c>
      <c r="Q152" s="134">
        <v>0</v>
      </c>
      <c r="R152" s="137">
        <v>0</v>
      </c>
      <c r="S152" s="778" t="s">
        <v>711</v>
      </c>
      <c r="T152" s="2643"/>
      <c r="U152" s="102">
        <v>0</v>
      </c>
      <c r="V152" s="2643"/>
      <c r="W152" s="102">
        <f>N152</f>
        <v>0</v>
      </c>
      <c r="X152" s="102"/>
      <c r="Y152" s="102">
        <f t="shared" si="68"/>
        <v>0</v>
      </c>
      <c r="Z152" s="2643"/>
      <c r="AA152" s="102">
        <v>0</v>
      </c>
      <c r="AB152" s="2643"/>
      <c r="AC152" s="102">
        <v>0</v>
      </c>
      <c r="AD152" s="2643"/>
      <c r="AE152" s="102">
        <f t="shared" si="69"/>
        <v>0</v>
      </c>
      <c r="AF152" s="102">
        <v>0</v>
      </c>
      <c r="AG152" s="102">
        <v>0</v>
      </c>
      <c r="AH152" s="102">
        <v>0</v>
      </c>
      <c r="AI152" s="2643"/>
      <c r="AJ152" s="102">
        <v>0</v>
      </c>
      <c r="AK152" s="2643"/>
      <c r="AL152" s="102">
        <f t="shared" si="70"/>
        <v>0</v>
      </c>
      <c r="AM152" s="779">
        <v>0</v>
      </c>
      <c r="AN152" s="2643"/>
      <c r="AO152" s="102">
        <v>0</v>
      </c>
      <c r="AP152" s="2643"/>
      <c r="AQ152" s="102">
        <v>0</v>
      </c>
      <c r="AR152" s="2643"/>
      <c r="AS152" s="102">
        <v>0</v>
      </c>
      <c r="AT152" s="2643"/>
      <c r="AU152" s="102">
        <v>0</v>
      </c>
      <c r="AV152" s="2643"/>
      <c r="AW152" s="102">
        <f>AX152+AY152+AZ152+BA152+BB152</f>
        <v>0</v>
      </c>
      <c r="AX152" s="102">
        <v>0</v>
      </c>
      <c r="AY152" s="102">
        <v>0</v>
      </c>
      <c r="AZ152" s="102">
        <v>0</v>
      </c>
      <c r="BA152" s="102">
        <v>0</v>
      </c>
      <c r="BB152" s="102">
        <v>0</v>
      </c>
      <c r="BC152" s="102">
        <v>0</v>
      </c>
      <c r="BD152" s="2643"/>
      <c r="BE152" s="102">
        <f>U152+W152</f>
        <v>0</v>
      </c>
      <c r="BF152" s="2643"/>
      <c r="BG152" s="102">
        <f>U152/1000</f>
        <v>0</v>
      </c>
      <c r="BH152" s="2643"/>
      <c r="BI152" s="102">
        <v>0</v>
      </c>
      <c r="BJ152" s="102">
        <f t="shared" si="59"/>
        <v>0</v>
      </c>
      <c r="BK152" s="186">
        <f>ROUND((Y152+AC152+AA152)/1000*3,0)+ROUND((AE152+AU152)/1000,0)+ROUND((ROUND(AH152/400,0))/2.67,0)+ROUND(AM152/250,0)+ROUND(AO152/15000,0)+ROUND((AX152+AY152+AZ152+BB152)/1000*3,0)+ROUND(BG152/25,0)+ROUND(BU78/50,0)</f>
        <v>0</v>
      </c>
      <c r="BL152" s="102">
        <v>0</v>
      </c>
      <c r="BM152" s="102">
        <v>0</v>
      </c>
      <c r="BN152" s="102">
        <f>G151/300</f>
        <v>9.1533333333333342</v>
      </c>
      <c r="BO152" s="102">
        <f t="shared" si="71"/>
        <v>0</v>
      </c>
      <c r="BP152" s="102">
        <f>AH152/1000</f>
        <v>0</v>
      </c>
      <c r="BQ152" s="102">
        <v>0</v>
      </c>
      <c r="BR152" s="102">
        <v>0</v>
      </c>
      <c r="BS152" s="102">
        <v>0</v>
      </c>
      <c r="BT152" s="2643"/>
      <c r="BU152" s="102">
        <f t="shared" si="72"/>
        <v>9.1533333333333342</v>
      </c>
      <c r="BV152" s="139">
        <v>0</v>
      </c>
      <c r="BW152" s="780" t="s">
        <v>705</v>
      </c>
      <c r="BX152" s="139">
        <v>4.5999999999999996</v>
      </c>
      <c r="BY152" s="139">
        <v>0</v>
      </c>
      <c r="BZ152" s="139">
        <v>4.5999999999999996</v>
      </c>
      <c r="CA152" s="781"/>
      <c r="CB152" s="2662"/>
      <c r="CC152" s="782">
        <f t="shared" ref="CC152:CC157" si="107">(BX152*G152)-G152</f>
        <v>9683.9999999999982</v>
      </c>
      <c r="CD152" s="2732"/>
      <c r="CE152" s="2643"/>
      <c r="CF152" s="840">
        <v>0</v>
      </c>
      <c r="CG152" s="2643"/>
      <c r="CH152" s="840">
        <f t="shared" si="73"/>
        <v>0</v>
      </c>
      <c r="CI152" s="2643"/>
      <c r="CJ152" s="139">
        <v>0</v>
      </c>
      <c r="CK152" s="2643"/>
      <c r="CL152" s="139">
        <v>0</v>
      </c>
      <c r="CM152" s="2643"/>
      <c r="CN152" s="102">
        <f>CF152-(CJ152+CL152+CO152+CP152+CR152+CU152+CV152+CX152)</f>
        <v>0</v>
      </c>
      <c r="CO152" s="784">
        <v>0</v>
      </c>
      <c r="CP152" s="784">
        <v>0</v>
      </c>
      <c r="CQ152" s="2643"/>
      <c r="CR152" s="102">
        <v>0</v>
      </c>
      <c r="CS152" s="784">
        <v>0</v>
      </c>
      <c r="CT152" s="784">
        <v>0</v>
      </c>
      <c r="CU152" s="784">
        <v>0</v>
      </c>
      <c r="CV152" s="784">
        <v>0</v>
      </c>
      <c r="CW152" s="2643"/>
      <c r="CX152" s="102">
        <f>SUM(CY152:DC152)</f>
        <v>0</v>
      </c>
      <c r="CY152" s="784">
        <f t="shared" si="74"/>
        <v>0</v>
      </c>
      <c r="CZ152" s="784">
        <f t="shared" si="74"/>
        <v>0</v>
      </c>
      <c r="DA152" s="784">
        <f t="shared" si="74"/>
        <v>0</v>
      </c>
      <c r="DB152" s="784">
        <f t="shared" si="74"/>
        <v>0</v>
      </c>
      <c r="DC152" s="784">
        <f t="shared" si="74"/>
        <v>0</v>
      </c>
      <c r="DD152" s="784"/>
      <c r="DE152" s="2643"/>
      <c r="DF152" s="784">
        <f t="shared" si="75"/>
        <v>9683.9999999999982</v>
      </c>
      <c r="DG152" s="2643"/>
      <c r="DH152" s="296">
        <f>CC152/'[1]Projected Development Sites'!DF$134</f>
        <v>9.6839999999999975</v>
      </c>
      <c r="DI152" s="2723"/>
      <c r="DJ152" s="785">
        <f>'[1]Projected Development Sites'!DK$136*DH152</f>
        <v>9.6839999999999975</v>
      </c>
      <c r="DK152" s="779">
        <f t="shared" si="76"/>
        <v>27.793079999999993</v>
      </c>
      <c r="DL152" s="786">
        <f t="shared" si="77"/>
        <v>0</v>
      </c>
      <c r="DM152" s="787">
        <v>0</v>
      </c>
      <c r="DN152" s="787"/>
      <c r="DO152" s="787">
        <v>0</v>
      </c>
      <c r="DP152" s="787">
        <f t="shared" si="78"/>
        <v>2.4209999999999994</v>
      </c>
      <c r="DQ152" s="787">
        <f t="shared" si="79"/>
        <v>0</v>
      </c>
      <c r="DR152" s="787">
        <f t="shared" si="80"/>
        <v>0</v>
      </c>
      <c r="DS152" s="787">
        <f t="shared" si="81"/>
        <v>0</v>
      </c>
      <c r="DT152" s="787">
        <f t="shared" si="82"/>
        <v>0</v>
      </c>
      <c r="DU152" s="787">
        <v>0</v>
      </c>
      <c r="DV152" s="787">
        <f t="shared" si="83"/>
        <v>0</v>
      </c>
      <c r="DW152" s="2723"/>
      <c r="DX152" s="788">
        <f t="shared" si="84"/>
        <v>0</v>
      </c>
      <c r="DY152" s="2726"/>
      <c r="DZ152" s="2729"/>
      <c r="EA152" s="2665"/>
      <c r="EB152" s="195">
        <f t="shared" ref="EB152:EB157" si="108">CF152-W152</f>
        <v>0</v>
      </c>
      <c r="EC152" s="2665"/>
      <c r="ED152" s="195">
        <v>0</v>
      </c>
      <c r="EE152" s="195">
        <f t="shared" si="85"/>
        <v>0</v>
      </c>
      <c r="EF152" s="2665"/>
      <c r="EG152" s="195">
        <v>0</v>
      </c>
      <c r="EH152" s="2665"/>
      <c r="EI152" s="195">
        <f t="shared" si="86"/>
        <v>0</v>
      </c>
      <c r="EJ152" s="2665"/>
      <c r="EK152" s="195">
        <f t="shared" si="87"/>
        <v>0</v>
      </c>
      <c r="EL152" s="2665"/>
      <c r="EM152" s="195">
        <f t="shared" si="88"/>
        <v>0</v>
      </c>
      <c r="EN152" s="2665"/>
      <c r="EO152" s="195">
        <f t="shared" si="89"/>
        <v>0</v>
      </c>
      <c r="EP152" s="2665"/>
      <c r="EQ152" s="195">
        <f t="shared" si="90"/>
        <v>0</v>
      </c>
      <c r="ER152" s="2665"/>
      <c r="ES152" s="195">
        <f t="shared" si="91"/>
        <v>0</v>
      </c>
      <c r="ET152" s="2665"/>
      <c r="EU152" s="195">
        <f t="shared" si="57"/>
        <v>0</v>
      </c>
      <c r="EV152" s="2665"/>
      <c r="EW152" s="195">
        <f t="shared" si="92"/>
        <v>0</v>
      </c>
      <c r="EX152" s="2665"/>
      <c r="EY152" s="195">
        <f t="shared" si="93"/>
        <v>0</v>
      </c>
      <c r="EZ152" s="2665"/>
      <c r="FA152" s="195">
        <f t="shared" si="94"/>
        <v>0</v>
      </c>
      <c r="FB152" s="2665"/>
      <c r="FC152" s="195">
        <f t="shared" si="95"/>
        <v>0</v>
      </c>
      <c r="FD152" s="2665"/>
      <c r="FE152" s="195">
        <f t="shared" si="96"/>
        <v>0</v>
      </c>
      <c r="FF152" s="2665"/>
      <c r="FG152" s="195">
        <f t="shared" si="97"/>
        <v>0</v>
      </c>
      <c r="FH152" s="2665"/>
      <c r="FI152" s="195">
        <f t="shared" si="98"/>
        <v>0</v>
      </c>
      <c r="FJ152" s="2665"/>
      <c r="FK152" s="195">
        <f t="shared" si="99"/>
        <v>0</v>
      </c>
      <c r="FL152" s="2665"/>
      <c r="FM152" s="195">
        <f t="shared" si="100"/>
        <v>9683.9999999999982</v>
      </c>
      <c r="FN152" s="2665"/>
      <c r="FO152" s="195">
        <f t="shared" si="101"/>
        <v>9.6839999999999975</v>
      </c>
      <c r="FP152" s="2665"/>
      <c r="FQ152" s="195">
        <f t="shared" si="102"/>
        <v>9.6839999999999975</v>
      </c>
      <c r="FR152" s="195">
        <f t="shared" si="102"/>
        <v>27.793079999999993</v>
      </c>
      <c r="FS152" s="195">
        <f t="shared" si="102"/>
        <v>0</v>
      </c>
      <c r="FT152" s="789">
        <f t="shared" si="102"/>
        <v>0</v>
      </c>
      <c r="FU152" s="789">
        <f t="shared" si="103"/>
        <v>0</v>
      </c>
      <c r="FV152" s="789">
        <f t="shared" si="104"/>
        <v>0</v>
      </c>
      <c r="FW152" s="789">
        <f t="shared" si="105"/>
        <v>-9.1533333333333342</v>
      </c>
      <c r="FX152" s="789">
        <f t="shared" si="106"/>
        <v>0</v>
      </c>
      <c r="FY152" s="789">
        <f t="shared" si="106"/>
        <v>0</v>
      </c>
      <c r="FZ152" s="789">
        <f t="shared" si="106"/>
        <v>0</v>
      </c>
      <c r="GA152" s="789">
        <f t="shared" si="106"/>
        <v>0</v>
      </c>
      <c r="GB152" s="2735"/>
      <c r="GC152" s="790">
        <f t="shared" si="58"/>
        <v>-9.1533333333333342</v>
      </c>
    </row>
    <row r="153" spans="1:202" s="139" customFormat="1" ht="15" customHeight="1">
      <c r="A153" s="2660"/>
      <c r="B153" s="2660"/>
      <c r="C153" s="132" t="s">
        <v>721</v>
      </c>
      <c r="D153" s="132">
        <v>2859</v>
      </c>
      <c r="E153" s="132">
        <v>5</v>
      </c>
      <c r="F153" s="777">
        <v>2028590005</v>
      </c>
      <c r="G153" s="132">
        <v>7546</v>
      </c>
      <c r="H153" s="135" t="s">
        <v>704</v>
      </c>
      <c r="I153" s="136"/>
      <c r="J153" s="132">
        <v>0.99</v>
      </c>
      <c r="K153" s="132">
        <v>0</v>
      </c>
      <c r="L153" s="132">
        <v>2</v>
      </c>
      <c r="M153" s="132">
        <v>6.5</v>
      </c>
      <c r="N153" s="134">
        <v>7500</v>
      </c>
      <c r="O153" s="134">
        <f>Q153</f>
        <v>7500</v>
      </c>
      <c r="P153" s="134">
        <v>0</v>
      </c>
      <c r="Q153" s="134">
        <v>7500</v>
      </c>
      <c r="R153" s="137">
        <v>0</v>
      </c>
      <c r="S153" s="778" t="s">
        <v>711</v>
      </c>
      <c r="T153" s="2643"/>
      <c r="U153" s="102">
        <v>0</v>
      </c>
      <c r="V153" s="2643"/>
      <c r="W153" s="102">
        <f>N153</f>
        <v>7500</v>
      </c>
      <c r="X153" s="102"/>
      <c r="Y153" s="102">
        <f t="shared" si="68"/>
        <v>7500</v>
      </c>
      <c r="Z153" s="2643"/>
      <c r="AA153" s="102">
        <v>0</v>
      </c>
      <c r="AB153" s="2643"/>
      <c r="AC153" s="102">
        <v>0</v>
      </c>
      <c r="AD153" s="2643"/>
      <c r="AE153" s="102">
        <f t="shared" si="69"/>
        <v>7500</v>
      </c>
      <c r="AF153" s="102">
        <v>0</v>
      </c>
      <c r="AG153" s="102">
        <f>Q153</f>
        <v>7500</v>
      </c>
      <c r="AH153" s="102">
        <v>0</v>
      </c>
      <c r="AI153" s="2643"/>
      <c r="AJ153" s="102">
        <v>0</v>
      </c>
      <c r="AK153" s="2643"/>
      <c r="AL153" s="102">
        <f t="shared" si="70"/>
        <v>0</v>
      </c>
      <c r="AM153" s="779">
        <v>0</v>
      </c>
      <c r="AN153" s="2643"/>
      <c r="AO153" s="102">
        <v>0</v>
      </c>
      <c r="AP153" s="2643"/>
      <c r="AQ153" s="102">
        <v>0</v>
      </c>
      <c r="AR153" s="2643"/>
      <c r="AS153" s="102">
        <v>0</v>
      </c>
      <c r="AT153" s="2643"/>
      <c r="AU153" s="102">
        <v>0</v>
      </c>
      <c r="AV153" s="2643"/>
      <c r="AW153" s="102">
        <f>AX153+AY153+AZ153+BA153+BB153</f>
        <v>0</v>
      </c>
      <c r="AX153" s="102">
        <v>0</v>
      </c>
      <c r="AY153" s="102">
        <v>0</v>
      </c>
      <c r="AZ153" s="102">
        <v>0</v>
      </c>
      <c r="BA153" s="102">
        <v>0</v>
      </c>
      <c r="BB153" s="102">
        <v>0</v>
      </c>
      <c r="BC153" s="102">
        <v>0</v>
      </c>
      <c r="BD153" s="2643"/>
      <c r="BE153" s="102">
        <f>U153+W153</f>
        <v>7500</v>
      </c>
      <c r="BF153" s="2643"/>
      <c r="BG153" s="102">
        <f>U153/1000</f>
        <v>0</v>
      </c>
      <c r="BH153" s="2643"/>
      <c r="BI153" s="102">
        <v>0</v>
      </c>
      <c r="BJ153" s="102">
        <f t="shared" si="59"/>
        <v>0</v>
      </c>
      <c r="BK153" s="186">
        <f>ROUND((Y153+AC153+AA153)/1000*3,0)+ROUND((AE153+AU153)/1000,0)+ROUND((ROUND(AH153/400,0))/2.67,0)+ROUND(AM153/250,0)+ROUND(AO153/15000,0)+ROUND((AX153+AY153+AZ153+BB153)/1000*3,0)+ROUND(BG153/25,0)+ROUND(BU21/50,0)</f>
        <v>31</v>
      </c>
      <c r="BL153" s="102">
        <v>0</v>
      </c>
      <c r="BM153" s="102">
        <v>0</v>
      </c>
      <c r="BN153" s="102">
        <v>0</v>
      </c>
      <c r="BO153" s="102">
        <f t="shared" si="71"/>
        <v>0</v>
      </c>
      <c r="BP153" s="102">
        <f>AH153/1000</f>
        <v>0</v>
      </c>
      <c r="BQ153" s="102">
        <v>0</v>
      </c>
      <c r="BR153" s="102">
        <v>0</v>
      </c>
      <c r="BS153" s="102">
        <v>0</v>
      </c>
      <c r="BT153" s="2643"/>
      <c r="BU153" s="102">
        <f t="shared" si="72"/>
        <v>0</v>
      </c>
      <c r="BV153" s="139">
        <v>20</v>
      </c>
      <c r="BW153" s="780" t="s">
        <v>705</v>
      </c>
      <c r="BX153" s="139">
        <v>4.5999999999999996</v>
      </c>
      <c r="BY153" s="139">
        <v>0</v>
      </c>
      <c r="BZ153" s="139">
        <v>4.5999999999999996</v>
      </c>
      <c r="CA153" s="781"/>
      <c r="CB153" s="2662"/>
      <c r="CC153" s="782">
        <f t="shared" si="107"/>
        <v>27165.599999999999</v>
      </c>
      <c r="CD153" s="2732"/>
      <c r="CE153" s="2643"/>
      <c r="CF153" s="840">
        <v>0</v>
      </c>
      <c r="CG153" s="2643"/>
      <c r="CH153" s="840">
        <f t="shared" si="73"/>
        <v>0</v>
      </c>
      <c r="CI153" s="2643"/>
      <c r="CJ153" s="139">
        <v>0</v>
      </c>
      <c r="CK153" s="2643"/>
      <c r="CL153" s="139">
        <v>0</v>
      </c>
      <c r="CM153" s="2643"/>
      <c r="CN153" s="102">
        <f>CF153-(CJ153+CL153+CO153+CP153+CR153+CU153+CV153+CX153)</f>
        <v>0</v>
      </c>
      <c r="CO153" s="784">
        <v>0</v>
      </c>
      <c r="CP153" s="784">
        <v>0</v>
      </c>
      <c r="CQ153" s="2643"/>
      <c r="CR153" s="102">
        <v>0</v>
      </c>
      <c r="CS153" s="784">
        <v>0</v>
      </c>
      <c r="CT153" s="784">
        <v>0</v>
      </c>
      <c r="CU153" s="784">
        <v>0</v>
      </c>
      <c r="CV153" s="784">
        <v>0</v>
      </c>
      <c r="CW153" s="2643"/>
      <c r="CX153" s="102">
        <f>SUM(CY153:DC153)</f>
        <v>0</v>
      </c>
      <c r="CY153" s="784">
        <f t="shared" si="74"/>
        <v>0</v>
      </c>
      <c r="CZ153" s="784">
        <f t="shared" si="74"/>
        <v>0</v>
      </c>
      <c r="DA153" s="784">
        <f t="shared" si="74"/>
        <v>0</v>
      </c>
      <c r="DB153" s="784">
        <f t="shared" si="74"/>
        <v>0</v>
      </c>
      <c r="DC153" s="784">
        <f t="shared" si="74"/>
        <v>0</v>
      </c>
      <c r="DD153" s="784"/>
      <c r="DE153" s="2643"/>
      <c r="DF153" s="784">
        <f t="shared" si="75"/>
        <v>27165.599999999999</v>
      </c>
      <c r="DG153" s="2643"/>
      <c r="DH153" s="296">
        <f>CC153/'[1]Projected Development Sites'!DF$134</f>
        <v>27.165599999999998</v>
      </c>
      <c r="DI153" s="2723"/>
      <c r="DJ153" s="785">
        <f>'[1]Projected Development Sites'!DK$136*DH153</f>
        <v>27.165599999999998</v>
      </c>
      <c r="DK153" s="779">
        <f t="shared" si="76"/>
        <v>77.965271999999999</v>
      </c>
      <c r="DL153" s="786">
        <f t="shared" si="77"/>
        <v>1</v>
      </c>
      <c r="DM153" s="787">
        <v>0</v>
      </c>
      <c r="DN153" s="787"/>
      <c r="DO153" s="787">
        <v>0</v>
      </c>
      <c r="DP153" s="787">
        <f t="shared" si="78"/>
        <v>6.7913999999999994</v>
      </c>
      <c r="DQ153" s="787">
        <f t="shared" si="79"/>
        <v>0</v>
      </c>
      <c r="DR153" s="787">
        <f t="shared" si="80"/>
        <v>0</v>
      </c>
      <c r="DS153" s="787">
        <f t="shared" si="81"/>
        <v>0</v>
      </c>
      <c r="DT153" s="787">
        <f t="shared" si="82"/>
        <v>0</v>
      </c>
      <c r="DU153" s="787">
        <v>0</v>
      </c>
      <c r="DV153" s="787">
        <f t="shared" si="83"/>
        <v>0</v>
      </c>
      <c r="DW153" s="2723"/>
      <c r="DX153" s="788">
        <f t="shared" si="84"/>
        <v>0</v>
      </c>
      <c r="DY153" s="2726"/>
      <c r="DZ153" s="2729"/>
      <c r="EA153" s="2665"/>
      <c r="EB153" s="195">
        <f t="shared" si="108"/>
        <v>-7500</v>
      </c>
      <c r="EC153" s="2665"/>
      <c r="ED153" s="195">
        <v>-7500</v>
      </c>
      <c r="EE153" s="195">
        <f t="shared" si="85"/>
        <v>-7500</v>
      </c>
      <c r="EF153" s="2665"/>
      <c r="EG153" s="195">
        <v>0</v>
      </c>
      <c r="EH153" s="2665"/>
      <c r="EI153" s="195">
        <f t="shared" si="86"/>
        <v>0</v>
      </c>
      <c r="EJ153" s="2665"/>
      <c r="EK153" s="195">
        <f t="shared" si="87"/>
        <v>0</v>
      </c>
      <c r="EL153" s="2665"/>
      <c r="EM153" s="195">
        <f t="shared" si="88"/>
        <v>-7500</v>
      </c>
      <c r="EN153" s="2665"/>
      <c r="EO153" s="195">
        <f t="shared" si="89"/>
        <v>0</v>
      </c>
      <c r="EP153" s="2665"/>
      <c r="EQ153" s="195">
        <f t="shared" si="90"/>
        <v>0</v>
      </c>
      <c r="ER153" s="2665"/>
      <c r="ES153" s="195">
        <f t="shared" si="91"/>
        <v>0</v>
      </c>
      <c r="ET153" s="2665"/>
      <c r="EU153" s="195">
        <f t="shared" si="57"/>
        <v>0</v>
      </c>
      <c r="EV153" s="2665"/>
      <c r="EW153" s="195">
        <f t="shared" si="92"/>
        <v>0</v>
      </c>
      <c r="EX153" s="2665"/>
      <c r="EY153" s="195">
        <f t="shared" si="93"/>
        <v>0</v>
      </c>
      <c r="EZ153" s="2665"/>
      <c r="FA153" s="195">
        <f t="shared" si="94"/>
        <v>0</v>
      </c>
      <c r="FB153" s="2665"/>
      <c r="FC153" s="195">
        <f t="shared" si="95"/>
        <v>0</v>
      </c>
      <c r="FD153" s="2665"/>
      <c r="FE153" s="195">
        <f t="shared" si="96"/>
        <v>0</v>
      </c>
      <c r="FF153" s="2665"/>
      <c r="FG153" s="195">
        <f t="shared" si="97"/>
        <v>0</v>
      </c>
      <c r="FH153" s="2665"/>
      <c r="FI153" s="195">
        <f t="shared" si="98"/>
        <v>0</v>
      </c>
      <c r="FJ153" s="2665"/>
      <c r="FK153" s="195">
        <f t="shared" si="99"/>
        <v>0</v>
      </c>
      <c r="FL153" s="2665"/>
      <c r="FM153" s="195">
        <f t="shared" si="100"/>
        <v>19665.599999999999</v>
      </c>
      <c r="FN153" s="2665"/>
      <c r="FO153" s="195">
        <f t="shared" si="101"/>
        <v>27.165599999999998</v>
      </c>
      <c r="FP153" s="2665"/>
      <c r="FQ153" s="195">
        <f t="shared" si="102"/>
        <v>27.165599999999998</v>
      </c>
      <c r="FR153" s="195">
        <f t="shared" si="102"/>
        <v>77.965271999999999</v>
      </c>
      <c r="FS153" s="195">
        <f t="shared" si="102"/>
        <v>-30</v>
      </c>
      <c r="FT153" s="789">
        <f t="shared" si="102"/>
        <v>0</v>
      </c>
      <c r="FU153" s="789">
        <f t="shared" si="103"/>
        <v>0</v>
      </c>
      <c r="FV153" s="789">
        <f t="shared" si="104"/>
        <v>0</v>
      </c>
      <c r="FW153" s="789">
        <f t="shared" si="105"/>
        <v>0</v>
      </c>
      <c r="FX153" s="789">
        <f t="shared" si="106"/>
        <v>0</v>
      </c>
      <c r="FY153" s="789">
        <f t="shared" si="106"/>
        <v>0</v>
      </c>
      <c r="FZ153" s="789">
        <f t="shared" si="106"/>
        <v>0</v>
      </c>
      <c r="GA153" s="789">
        <f t="shared" si="106"/>
        <v>0</v>
      </c>
      <c r="GB153" s="2735"/>
      <c r="GC153" s="790">
        <f t="shared" si="58"/>
        <v>0</v>
      </c>
    </row>
    <row r="154" spans="1:202" s="139" customFormat="1" ht="15" customHeight="1">
      <c r="A154" s="2660"/>
      <c r="B154" s="2660"/>
      <c r="C154" s="132" t="s">
        <v>724</v>
      </c>
      <c r="D154" s="132">
        <v>2859</v>
      </c>
      <c r="E154" s="132">
        <v>8</v>
      </c>
      <c r="F154" s="777">
        <v>2028590008</v>
      </c>
      <c r="G154" s="132">
        <v>9328</v>
      </c>
      <c r="H154" s="135" t="s">
        <v>704</v>
      </c>
      <c r="I154" s="136"/>
      <c r="J154" s="132">
        <v>0.8</v>
      </c>
      <c r="K154" s="132">
        <v>0</v>
      </c>
      <c r="L154" s="132">
        <v>2</v>
      </c>
      <c r="M154" s="132">
        <v>6.5</v>
      </c>
      <c r="N154" s="134">
        <v>7496</v>
      </c>
      <c r="O154" s="134">
        <f>Q154</f>
        <v>7496</v>
      </c>
      <c r="P154" s="134">
        <v>0</v>
      </c>
      <c r="Q154" s="134">
        <v>7496</v>
      </c>
      <c r="R154" s="137">
        <v>0</v>
      </c>
      <c r="S154" s="778" t="s">
        <v>711</v>
      </c>
      <c r="T154" s="2643"/>
      <c r="U154" s="102">
        <v>0</v>
      </c>
      <c r="V154" s="2643"/>
      <c r="W154" s="102">
        <f>N154</f>
        <v>7496</v>
      </c>
      <c r="X154" s="102"/>
      <c r="Y154" s="102">
        <f t="shared" si="68"/>
        <v>7496</v>
      </c>
      <c r="Z154" s="2643"/>
      <c r="AA154" s="102">
        <v>0</v>
      </c>
      <c r="AB154" s="2643"/>
      <c r="AC154" s="102">
        <v>0</v>
      </c>
      <c r="AD154" s="2643"/>
      <c r="AE154" s="102">
        <f t="shared" si="69"/>
        <v>7496</v>
      </c>
      <c r="AF154" s="102">
        <v>0</v>
      </c>
      <c r="AG154" s="102">
        <f>Q154</f>
        <v>7496</v>
      </c>
      <c r="AH154" s="102">
        <v>0</v>
      </c>
      <c r="AI154" s="2643"/>
      <c r="AJ154" s="102">
        <v>0</v>
      </c>
      <c r="AK154" s="2643"/>
      <c r="AL154" s="102">
        <f t="shared" si="70"/>
        <v>0</v>
      </c>
      <c r="AM154" s="779">
        <v>0</v>
      </c>
      <c r="AN154" s="2643"/>
      <c r="AO154" s="102">
        <v>0</v>
      </c>
      <c r="AP154" s="2643"/>
      <c r="AQ154" s="102">
        <v>0</v>
      </c>
      <c r="AR154" s="2643"/>
      <c r="AS154" s="102">
        <v>0</v>
      </c>
      <c r="AT154" s="2643"/>
      <c r="AU154" s="102">
        <v>0</v>
      </c>
      <c r="AV154" s="2643"/>
      <c r="AW154" s="102">
        <f>AX154+AY154+AZ154+BA154+BB154</f>
        <v>0</v>
      </c>
      <c r="AX154" s="102">
        <v>0</v>
      </c>
      <c r="AY154" s="102">
        <v>0</v>
      </c>
      <c r="AZ154" s="102">
        <v>0</v>
      </c>
      <c r="BA154" s="102">
        <v>0</v>
      </c>
      <c r="BB154" s="102">
        <v>0</v>
      </c>
      <c r="BC154" s="102">
        <v>0</v>
      </c>
      <c r="BD154" s="2643"/>
      <c r="BE154" s="102">
        <f>U154+W154</f>
        <v>7496</v>
      </c>
      <c r="BF154" s="2643"/>
      <c r="BG154" s="102">
        <f>U154/1000</f>
        <v>0</v>
      </c>
      <c r="BH154" s="2643"/>
      <c r="BI154" s="102">
        <v>0</v>
      </c>
      <c r="BJ154" s="102">
        <f t="shared" si="59"/>
        <v>0</v>
      </c>
      <c r="BK154" s="186">
        <f>ROUND((Y154+AC154+AA154)/1000*3,0)+ROUND((AE154+AU154)/1000,0)+ROUND((ROUND(AH154/400,0))/2.67,0)+ROUND(AM154/250,0)+ROUND(AO154/15000,0)+ROUND((AX154+AY154+AZ154+BB154)/1000*3,0)+ROUND(BG154/25,0)+ROUND(BU22/50,0)</f>
        <v>29</v>
      </c>
      <c r="BL154" s="102">
        <v>0</v>
      </c>
      <c r="BM154" s="102">
        <v>0</v>
      </c>
      <c r="BN154" s="102">
        <v>0</v>
      </c>
      <c r="BO154" s="102">
        <f t="shared" si="71"/>
        <v>0</v>
      </c>
      <c r="BP154" s="102">
        <f>AH154/1000</f>
        <v>0</v>
      </c>
      <c r="BQ154" s="102">
        <v>0</v>
      </c>
      <c r="BR154" s="102">
        <v>0</v>
      </c>
      <c r="BS154" s="102">
        <v>0</v>
      </c>
      <c r="BT154" s="2643"/>
      <c r="BU154" s="102">
        <f t="shared" si="72"/>
        <v>0</v>
      </c>
      <c r="BV154" s="139">
        <v>15</v>
      </c>
      <c r="BW154" s="780" t="s">
        <v>705</v>
      </c>
      <c r="BX154" s="139">
        <v>4.5999999999999996</v>
      </c>
      <c r="BY154" s="139">
        <v>0</v>
      </c>
      <c r="BZ154" s="139">
        <v>4.5999999999999996</v>
      </c>
      <c r="CA154" s="781"/>
      <c r="CB154" s="2662"/>
      <c r="CC154" s="782">
        <f t="shared" si="107"/>
        <v>33580.799999999996</v>
      </c>
      <c r="CD154" s="2732"/>
      <c r="CE154" s="2643"/>
      <c r="CF154" s="840">
        <v>0</v>
      </c>
      <c r="CG154" s="2643"/>
      <c r="CH154" s="840">
        <f t="shared" si="73"/>
        <v>0</v>
      </c>
      <c r="CI154" s="2643"/>
      <c r="CJ154" s="139">
        <v>0</v>
      </c>
      <c r="CK154" s="2643"/>
      <c r="CL154" s="139">
        <v>0</v>
      </c>
      <c r="CM154" s="2643"/>
      <c r="CN154" s="102">
        <f>CF154-(CJ154+CL154+CO154+CP154+CR154+CU154+CV154+CX154)</f>
        <v>0</v>
      </c>
      <c r="CO154" s="784">
        <v>0</v>
      </c>
      <c r="CP154" s="784">
        <v>0</v>
      </c>
      <c r="CQ154" s="2643"/>
      <c r="CR154" s="102">
        <v>0</v>
      </c>
      <c r="CS154" s="784">
        <v>0</v>
      </c>
      <c r="CT154" s="784">
        <v>0</v>
      </c>
      <c r="CU154" s="784">
        <v>0</v>
      </c>
      <c r="CV154" s="784">
        <v>0</v>
      </c>
      <c r="CW154" s="2643"/>
      <c r="CX154" s="102">
        <f>SUM(CY154:DC154)</f>
        <v>0</v>
      </c>
      <c r="CY154" s="784">
        <f t="shared" si="74"/>
        <v>0</v>
      </c>
      <c r="CZ154" s="784">
        <f t="shared" si="74"/>
        <v>0</v>
      </c>
      <c r="DA154" s="784">
        <f t="shared" si="74"/>
        <v>0</v>
      </c>
      <c r="DB154" s="784">
        <f t="shared" si="74"/>
        <v>0</v>
      </c>
      <c r="DC154" s="784">
        <f t="shared" si="74"/>
        <v>0</v>
      </c>
      <c r="DD154" s="784"/>
      <c r="DE154" s="2643"/>
      <c r="DF154" s="102">
        <f t="shared" si="75"/>
        <v>33580.799999999996</v>
      </c>
      <c r="DG154" s="2643"/>
      <c r="DH154" s="296">
        <f>CC154/'[1]Projected Development Sites'!DF$134</f>
        <v>33.580799999999996</v>
      </c>
      <c r="DI154" s="2723"/>
      <c r="DJ154" s="785">
        <f>'[1]Projected Development Sites'!DK$136*DH154</f>
        <v>33.580799999999996</v>
      </c>
      <c r="DK154" s="779">
        <f t="shared" si="76"/>
        <v>96.376895999999988</v>
      </c>
      <c r="DL154" s="786">
        <f t="shared" si="77"/>
        <v>1</v>
      </c>
      <c r="DM154" s="787">
        <v>0</v>
      </c>
      <c r="DN154" s="787"/>
      <c r="DO154" s="787">
        <v>0</v>
      </c>
      <c r="DP154" s="787">
        <f t="shared" si="78"/>
        <v>8.3951999999999991</v>
      </c>
      <c r="DQ154" s="787">
        <f t="shared" si="79"/>
        <v>0</v>
      </c>
      <c r="DR154" s="787">
        <f t="shared" si="80"/>
        <v>0</v>
      </c>
      <c r="DS154" s="787">
        <f t="shared" si="81"/>
        <v>0</v>
      </c>
      <c r="DT154" s="787">
        <f t="shared" si="82"/>
        <v>0</v>
      </c>
      <c r="DU154" s="787">
        <v>0</v>
      </c>
      <c r="DV154" s="787">
        <f t="shared" si="83"/>
        <v>0</v>
      </c>
      <c r="DW154" s="2723"/>
      <c r="DX154" s="788">
        <f t="shared" si="84"/>
        <v>0</v>
      </c>
      <c r="DY154" s="2726"/>
      <c r="DZ154" s="2729"/>
      <c r="EA154" s="2665"/>
      <c r="EB154" s="195">
        <f t="shared" si="108"/>
        <v>-7496</v>
      </c>
      <c r="EC154" s="2665"/>
      <c r="ED154" s="195">
        <v>-7496</v>
      </c>
      <c r="EE154" s="195">
        <f t="shared" si="85"/>
        <v>-7496</v>
      </c>
      <c r="EF154" s="2665"/>
      <c r="EG154" s="195">
        <v>0</v>
      </c>
      <c r="EH154" s="2665"/>
      <c r="EI154" s="195">
        <f t="shared" si="86"/>
        <v>0</v>
      </c>
      <c r="EJ154" s="2665"/>
      <c r="EK154" s="195">
        <f t="shared" si="87"/>
        <v>0</v>
      </c>
      <c r="EL154" s="2665"/>
      <c r="EM154" s="195">
        <f t="shared" si="88"/>
        <v>-7496</v>
      </c>
      <c r="EN154" s="2665"/>
      <c r="EO154" s="195">
        <f t="shared" si="89"/>
        <v>0</v>
      </c>
      <c r="EP154" s="2665"/>
      <c r="EQ154" s="195">
        <f t="shared" si="90"/>
        <v>0</v>
      </c>
      <c r="ER154" s="2665"/>
      <c r="ES154" s="195">
        <f t="shared" si="91"/>
        <v>0</v>
      </c>
      <c r="ET154" s="2665"/>
      <c r="EU154" s="195">
        <f t="shared" si="57"/>
        <v>0</v>
      </c>
      <c r="EV154" s="2665"/>
      <c r="EW154" s="195">
        <f t="shared" si="92"/>
        <v>0</v>
      </c>
      <c r="EX154" s="2665"/>
      <c r="EY154" s="195">
        <f t="shared" si="93"/>
        <v>0</v>
      </c>
      <c r="EZ154" s="2665"/>
      <c r="FA154" s="195">
        <f t="shared" si="94"/>
        <v>0</v>
      </c>
      <c r="FB154" s="2665"/>
      <c r="FC154" s="195">
        <f t="shared" si="95"/>
        <v>0</v>
      </c>
      <c r="FD154" s="2665"/>
      <c r="FE154" s="195">
        <f t="shared" si="96"/>
        <v>0</v>
      </c>
      <c r="FF154" s="2665"/>
      <c r="FG154" s="195">
        <f t="shared" si="97"/>
        <v>0</v>
      </c>
      <c r="FH154" s="2665"/>
      <c r="FI154" s="195">
        <f t="shared" si="98"/>
        <v>0</v>
      </c>
      <c r="FJ154" s="2665"/>
      <c r="FK154" s="195">
        <f t="shared" si="99"/>
        <v>0</v>
      </c>
      <c r="FL154" s="2665"/>
      <c r="FM154" s="195">
        <f t="shared" si="100"/>
        <v>26084.799999999996</v>
      </c>
      <c r="FN154" s="2665"/>
      <c r="FO154" s="195">
        <f t="shared" si="101"/>
        <v>33.580799999999996</v>
      </c>
      <c r="FP154" s="2665"/>
      <c r="FQ154" s="195">
        <f t="shared" si="102"/>
        <v>33.580799999999996</v>
      </c>
      <c r="FR154" s="195">
        <f t="shared" si="102"/>
        <v>96.376895999999988</v>
      </c>
      <c r="FS154" s="195">
        <f t="shared" si="102"/>
        <v>-28</v>
      </c>
      <c r="FT154" s="789">
        <f t="shared" si="102"/>
        <v>0</v>
      </c>
      <c r="FU154" s="789">
        <f t="shared" si="103"/>
        <v>0</v>
      </c>
      <c r="FV154" s="789">
        <f t="shared" si="104"/>
        <v>0</v>
      </c>
      <c r="FW154" s="789">
        <f t="shared" si="105"/>
        <v>0</v>
      </c>
      <c r="FX154" s="789">
        <f t="shared" si="106"/>
        <v>0</v>
      </c>
      <c r="FY154" s="789">
        <f t="shared" si="106"/>
        <v>0</v>
      </c>
      <c r="FZ154" s="789">
        <f t="shared" si="106"/>
        <v>0</v>
      </c>
      <c r="GA154" s="789">
        <f t="shared" si="106"/>
        <v>0</v>
      </c>
      <c r="GB154" s="2735"/>
      <c r="GC154" s="790">
        <f t="shared" si="58"/>
        <v>0</v>
      </c>
    </row>
    <row r="155" spans="1:202" s="139" customFormat="1" ht="15" customHeight="1">
      <c r="A155" s="2660"/>
      <c r="B155" s="2660"/>
      <c r="C155" s="132" t="s">
        <v>746</v>
      </c>
      <c r="D155" s="139">
        <v>2859</v>
      </c>
      <c r="E155" s="139">
        <v>4</v>
      </c>
      <c r="F155" s="139">
        <v>2028590004</v>
      </c>
      <c r="G155" s="139">
        <v>2197</v>
      </c>
      <c r="H155" s="975" t="s">
        <v>704</v>
      </c>
      <c r="I155" s="627"/>
      <c r="J155" s="139">
        <v>0.91</v>
      </c>
      <c r="K155" s="139">
        <v>0</v>
      </c>
      <c r="L155" s="139">
        <v>2</v>
      </c>
      <c r="M155" s="139">
        <v>6.5</v>
      </c>
      <c r="N155" s="102">
        <v>2000</v>
      </c>
      <c r="O155" s="102">
        <f>Q155</f>
        <v>2000</v>
      </c>
      <c r="P155" s="102">
        <v>0</v>
      </c>
      <c r="Q155" s="102">
        <v>2000</v>
      </c>
      <c r="R155" s="932">
        <v>0</v>
      </c>
      <c r="S155" s="778" t="s">
        <v>711</v>
      </c>
      <c r="T155" s="2643"/>
      <c r="U155" s="102">
        <v>0</v>
      </c>
      <c r="V155" s="2643"/>
      <c r="W155" s="102">
        <f>N155</f>
        <v>2000</v>
      </c>
      <c r="X155" s="102"/>
      <c r="Y155" s="102">
        <f t="shared" si="68"/>
        <v>2000</v>
      </c>
      <c r="Z155" s="2643"/>
      <c r="AA155" s="102">
        <v>0</v>
      </c>
      <c r="AB155" s="2643"/>
      <c r="AC155" s="102">
        <v>0</v>
      </c>
      <c r="AD155" s="2643"/>
      <c r="AE155" s="102">
        <f t="shared" si="69"/>
        <v>2000</v>
      </c>
      <c r="AF155" s="102">
        <v>0</v>
      </c>
      <c r="AG155" s="102">
        <v>2000</v>
      </c>
      <c r="AH155" s="102">
        <v>0</v>
      </c>
      <c r="AI155" s="2643"/>
      <c r="AJ155" s="102"/>
      <c r="AK155" s="2643"/>
      <c r="AL155" s="102">
        <f t="shared" si="70"/>
        <v>0</v>
      </c>
      <c r="AM155" s="779">
        <v>0</v>
      </c>
      <c r="AN155" s="2643"/>
      <c r="AO155" s="102">
        <v>0</v>
      </c>
      <c r="AP155" s="2643"/>
      <c r="AQ155" s="102">
        <v>0</v>
      </c>
      <c r="AR155" s="2643"/>
      <c r="AS155" s="102">
        <v>0</v>
      </c>
      <c r="AT155" s="2643"/>
      <c r="AU155" s="102">
        <v>0</v>
      </c>
      <c r="AV155" s="2643"/>
      <c r="AW155" s="102">
        <v>0</v>
      </c>
      <c r="AX155" s="102">
        <v>0</v>
      </c>
      <c r="AY155" s="102">
        <v>0</v>
      </c>
      <c r="AZ155" s="102">
        <v>0</v>
      </c>
      <c r="BA155" s="102">
        <v>0</v>
      </c>
      <c r="BB155" s="102">
        <v>0</v>
      </c>
      <c r="BC155" s="102">
        <v>0</v>
      </c>
      <c r="BD155" s="2643"/>
      <c r="BE155" s="102">
        <f>U155+W155</f>
        <v>2000</v>
      </c>
      <c r="BF155" s="2643"/>
      <c r="BG155" s="102">
        <f>U155/1000</f>
        <v>0</v>
      </c>
      <c r="BH155" s="2643"/>
      <c r="BI155" s="102">
        <v>0</v>
      </c>
      <c r="BJ155" s="102">
        <f t="shared" si="59"/>
        <v>0</v>
      </c>
      <c r="BK155" s="186">
        <f>ROUND((Y155+AC155+AA155)/1000*3,0)+ROUND((AE155+AU155)/1000,0)+ROUND((ROUND(AH155/400,0))/2.67,0)+ROUND(AM155/250,0)+ROUND(AO155/15000,0)+ROUND((AX155+AY155+AZ155+BB155)/1000*3,0)+ROUND(BG155/25,0)+ROUND(BU71/50,0)</f>
        <v>8</v>
      </c>
      <c r="BL155" s="102">
        <v>0</v>
      </c>
      <c r="BM155" s="102">
        <v>0</v>
      </c>
      <c r="BN155" s="102">
        <v>0</v>
      </c>
      <c r="BO155" s="102">
        <f t="shared" si="71"/>
        <v>0</v>
      </c>
      <c r="BP155" s="102">
        <v>0</v>
      </c>
      <c r="BQ155" s="102">
        <v>0</v>
      </c>
      <c r="BR155" s="102">
        <v>0</v>
      </c>
      <c r="BS155" s="102">
        <v>0</v>
      </c>
      <c r="BT155" s="2643"/>
      <c r="BU155" s="102">
        <f t="shared" si="72"/>
        <v>0</v>
      </c>
      <c r="BV155" s="139">
        <v>15</v>
      </c>
      <c r="BW155" s="780" t="s">
        <v>705</v>
      </c>
      <c r="BX155" s="139">
        <v>4.5999999999999996</v>
      </c>
      <c r="BY155" s="139">
        <v>0</v>
      </c>
      <c r="BZ155" s="139">
        <v>4.5999999999999996</v>
      </c>
      <c r="CA155" s="781"/>
      <c r="CB155" s="2662"/>
      <c r="CC155" s="782">
        <f t="shared" si="107"/>
        <v>7909.1999999999989</v>
      </c>
      <c r="CD155" s="2732"/>
      <c r="CE155" s="2643"/>
      <c r="CF155" s="840">
        <v>0</v>
      </c>
      <c r="CG155" s="2643"/>
      <c r="CH155" s="840">
        <f t="shared" si="73"/>
        <v>0</v>
      </c>
      <c r="CI155" s="2643"/>
      <c r="CJ155" s="139">
        <v>0</v>
      </c>
      <c r="CK155" s="2643"/>
      <c r="CL155" s="139">
        <v>0</v>
      </c>
      <c r="CM155" s="2643"/>
      <c r="CN155" s="102">
        <f>CF155-(CJ155+CL155+CO155+CP155+CR155+CU155+CV155+CX155)</f>
        <v>0</v>
      </c>
      <c r="CO155" s="784">
        <v>0</v>
      </c>
      <c r="CP155" s="784">
        <v>0</v>
      </c>
      <c r="CQ155" s="2643"/>
      <c r="CR155" s="102">
        <v>0</v>
      </c>
      <c r="CS155" s="784">
        <v>0</v>
      </c>
      <c r="CT155" s="784">
        <v>0</v>
      </c>
      <c r="CU155" s="784">
        <v>0</v>
      </c>
      <c r="CV155" s="784">
        <v>0</v>
      </c>
      <c r="CW155" s="2643"/>
      <c r="CX155" s="102">
        <f>SUM(CY155:DC155)</f>
        <v>0</v>
      </c>
      <c r="CY155" s="784">
        <f t="shared" si="74"/>
        <v>0</v>
      </c>
      <c r="CZ155" s="784">
        <f t="shared" si="74"/>
        <v>0</v>
      </c>
      <c r="DA155" s="784">
        <f t="shared" si="74"/>
        <v>0</v>
      </c>
      <c r="DB155" s="784">
        <f t="shared" si="74"/>
        <v>0</v>
      </c>
      <c r="DC155" s="784">
        <f t="shared" si="74"/>
        <v>0</v>
      </c>
      <c r="DD155" s="784"/>
      <c r="DE155" s="2643"/>
      <c r="DF155" s="784">
        <f t="shared" si="75"/>
        <v>7909.1999999999989</v>
      </c>
      <c r="DG155" s="2643"/>
      <c r="DH155" s="296">
        <f>CC155/'[1]Projected Development Sites'!DF$134</f>
        <v>7.9091999999999993</v>
      </c>
      <c r="DI155" s="2723"/>
      <c r="DJ155" s="785">
        <f>'[1]Projected Development Sites'!DK$136*DH155</f>
        <v>7.9091999999999993</v>
      </c>
      <c r="DK155" s="779">
        <f t="shared" si="76"/>
        <v>22.699403999999998</v>
      </c>
      <c r="DL155" s="786">
        <f t="shared" si="77"/>
        <v>0</v>
      </c>
      <c r="DM155" s="787">
        <v>0</v>
      </c>
      <c r="DN155" s="787"/>
      <c r="DO155" s="787">
        <v>0</v>
      </c>
      <c r="DP155" s="787">
        <f t="shared" si="78"/>
        <v>1.9772999999999998</v>
      </c>
      <c r="DQ155" s="787">
        <f t="shared" si="79"/>
        <v>0</v>
      </c>
      <c r="DR155" s="787">
        <f t="shared" si="80"/>
        <v>0</v>
      </c>
      <c r="DS155" s="787">
        <f t="shared" si="81"/>
        <v>0</v>
      </c>
      <c r="DT155" s="787">
        <f t="shared" si="82"/>
        <v>0</v>
      </c>
      <c r="DU155" s="787">
        <v>0</v>
      </c>
      <c r="DV155" s="787">
        <f t="shared" si="83"/>
        <v>0</v>
      </c>
      <c r="DW155" s="2723"/>
      <c r="DX155" s="788">
        <f t="shared" si="84"/>
        <v>0</v>
      </c>
      <c r="DY155" s="2726"/>
      <c r="DZ155" s="2729"/>
      <c r="EA155" s="2665"/>
      <c r="EB155" s="195">
        <f t="shared" si="108"/>
        <v>-2000</v>
      </c>
      <c r="EC155" s="2665"/>
      <c r="ED155" s="195">
        <v>-2000</v>
      </c>
      <c r="EE155" s="195">
        <f t="shared" si="85"/>
        <v>-2000</v>
      </c>
      <c r="EF155" s="2665"/>
      <c r="EG155" s="195">
        <v>0</v>
      </c>
      <c r="EH155" s="2665"/>
      <c r="EI155" s="195">
        <f t="shared" si="86"/>
        <v>0</v>
      </c>
      <c r="EJ155" s="2665"/>
      <c r="EK155" s="195">
        <f t="shared" si="87"/>
        <v>0</v>
      </c>
      <c r="EL155" s="2665"/>
      <c r="EM155" s="195">
        <f t="shared" si="88"/>
        <v>-2000</v>
      </c>
      <c r="EN155" s="2665"/>
      <c r="EO155" s="195">
        <f t="shared" si="89"/>
        <v>0</v>
      </c>
      <c r="EP155" s="2665"/>
      <c r="EQ155" s="195">
        <f t="shared" si="90"/>
        <v>0</v>
      </c>
      <c r="ER155" s="2665"/>
      <c r="ES155" s="195">
        <f t="shared" si="91"/>
        <v>0</v>
      </c>
      <c r="ET155" s="2665"/>
      <c r="EU155" s="195">
        <f t="shared" si="57"/>
        <v>0</v>
      </c>
      <c r="EV155" s="2665"/>
      <c r="EW155" s="195">
        <f t="shared" si="92"/>
        <v>0</v>
      </c>
      <c r="EX155" s="2665"/>
      <c r="EY155" s="195">
        <f t="shared" si="93"/>
        <v>0</v>
      </c>
      <c r="EZ155" s="2665"/>
      <c r="FA155" s="195">
        <f t="shared" si="94"/>
        <v>0</v>
      </c>
      <c r="FB155" s="2665"/>
      <c r="FC155" s="195">
        <f t="shared" si="95"/>
        <v>0</v>
      </c>
      <c r="FD155" s="2665"/>
      <c r="FE155" s="195">
        <f t="shared" si="96"/>
        <v>0</v>
      </c>
      <c r="FF155" s="2665"/>
      <c r="FG155" s="195">
        <f t="shared" si="97"/>
        <v>0</v>
      </c>
      <c r="FH155" s="2665"/>
      <c r="FI155" s="195">
        <f t="shared" si="98"/>
        <v>0</v>
      </c>
      <c r="FJ155" s="2665"/>
      <c r="FK155" s="195">
        <f t="shared" si="99"/>
        <v>0</v>
      </c>
      <c r="FL155" s="2665"/>
      <c r="FM155" s="195">
        <f t="shared" si="100"/>
        <v>5909.1999999999989</v>
      </c>
      <c r="FN155" s="2665"/>
      <c r="FO155" s="195">
        <f t="shared" si="101"/>
        <v>7.9091999999999993</v>
      </c>
      <c r="FP155" s="2665"/>
      <c r="FQ155" s="195">
        <f t="shared" si="102"/>
        <v>7.9091999999999993</v>
      </c>
      <c r="FR155" s="195">
        <f t="shared" si="102"/>
        <v>22.699403999999998</v>
      </c>
      <c r="FS155" s="195">
        <f t="shared" si="102"/>
        <v>-8</v>
      </c>
      <c r="FT155" s="789">
        <f t="shared" si="102"/>
        <v>0</v>
      </c>
      <c r="FU155" s="789">
        <f t="shared" si="103"/>
        <v>0</v>
      </c>
      <c r="FV155" s="789">
        <f t="shared" si="104"/>
        <v>0</v>
      </c>
      <c r="FW155" s="789">
        <f t="shared" si="105"/>
        <v>0</v>
      </c>
      <c r="FX155" s="789">
        <f t="shared" si="106"/>
        <v>0</v>
      </c>
      <c r="FY155" s="789">
        <f t="shared" si="106"/>
        <v>0</v>
      </c>
      <c r="FZ155" s="789">
        <f t="shared" si="106"/>
        <v>0</v>
      </c>
      <c r="GA155" s="789">
        <f t="shared" si="106"/>
        <v>0</v>
      </c>
      <c r="GB155" s="2735"/>
      <c r="GC155" s="790">
        <f t="shared" si="58"/>
        <v>0</v>
      </c>
    </row>
    <row r="156" spans="1:202" s="139" customFormat="1" ht="15" customHeight="1">
      <c r="A156" s="2660"/>
      <c r="B156" s="2660"/>
      <c r="C156" s="132" t="s">
        <v>879</v>
      </c>
      <c r="D156" s="139">
        <v>2859</v>
      </c>
      <c r="E156" s="139">
        <v>89</v>
      </c>
      <c r="F156" s="139">
        <v>2028590089</v>
      </c>
      <c r="G156" s="139">
        <v>2060</v>
      </c>
      <c r="H156" s="975" t="s">
        <v>704</v>
      </c>
      <c r="I156" s="627"/>
      <c r="J156" s="139">
        <v>0</v>
      </c>
      <c r="K156" s="139">
        <v>0</v>
      </c>
      <c r="L156" s="139">
        <v>2</v>
      </c>
      <c r="M156" s="139">
        <v>6.5</v>
      </c>
      <c r="N156" s="102">
        <v>0</v>
      </c>
      <c r="O156" s="102">
        <v>0</v>
      </c>
      <c r="P156" s="102">
        <v>0</v>
      </c>
      <c r="Q156" s="102">
        <v>0</v>
      </c>
      <c r="R156" s="932">
        <v>0</v>
      </c>
      <c r="S156" s="778" t="s">
        <v>723</v>
      </c>
      <c r="T156" s="2643"/>
      <c r="U156" s="102">
        <v>0</v>
      </c>
      <c r="V156" s="2643"/>
      <c r="W156" s="102">
        <v>0</v>
      </c>
      <c r="X156" s="102"/>
      <c r="Y156" s="102">
        <f t="shared" si="68"/>
        <v>0</v>
      </c>
      <c r="Z156" s="2643"/>
      <c r="AA156" s="102">
        <v>0</v>
      </c>
      <c r="AB156" s="2643"/>
      <c r="AC156" s="102">
        <v>0</v>
      </c>
      <c r="AD156" s="2643"/>
      <c r="AE156" s="102">
        <f t="shared" si="69"/>
        <v>0</v>
      </c>
      <c r="AF156" s="102">
        <v>0</v>
      </c>
      <c r="AG156" s="102">
        <v>0</v>
      </c>
      <c r="AH156" s="102">
        <v>0</v>
      </c>
      <c r="AI156" s="2643"/>
      <c r="AJ156" s="102">
        <v>0</v>
      </c>
      <c r="AK156" s="2643"/>
      <c r="AL156" s="102">
        <f t="shared" si="70"/>
        <v>0</v>
      </c>
      <c r="AM156" s="779">
        <v>0</v>
      </c>
      <c r="AN156" s="2643"/>
      <c r="AO156" s="102">
        <v>0</v>
      </c>
      <c r="AP156" s="2643"/>
      <c r="AQ156" s="102">
        <v>0</v>
      </c>
      <c r="AR156" s="2643"/>
      <c r="AS156" s="102">
        <v>0</v>
      </c>
      <c r="AT156" s="2643"/>
      <c r="AU156" s="102">
        <v>0</v>
      </c>
      <c r="AV156" s="2643"/>
      <c r="AW156" s="102">
        <v>0</v>
      </c>
      <c r="AX156" s="102">
        <v>0</v>
      </c>
      <c r="AY156" s="102">
        <v>0</v>
      </c>
      <c r="AZ156" s="102">
        <v>0</v>
      </c>
      <c r="BA156" s="102">
        <v>0</v>
      </c>
      <c r="BB156" s="102">
        <v>0</v>
      </c>
      <c r="BC156" s="102">
        <v>0</v>
      </c>
      <c r="BD156" s="2643"/>
      <c r="BE156" s="102">
        <v>0</v>
      </c>
      <c r="BF156" s="2643"/>
      <c r="BG156" s="102">
        <v>0</v>
      </c>
      <c r="BH156" s="2643"/>
      <c r="BI156" s="102">
        <v>0</v>
      </c>
      <c r="BJ156" s="102">
        <f t="shared" si="59"/>
        <v>0</v>
      </c>
      <c r="BK156" s="186">
        <f>ROUND((Y156+AC156+AA156)/1000*3,0)+ROUND((AE156+AU156)/1000,0)+ROUND((ROUND(AH156/400,0))/2.67,0)+ROUND(AM156/250,0)+ROUND(AO156/15000,0)+ROUND((AX156+AY156+AZ156+BB156)/1000*3,0)+ROUND(BG156/25,0)+ROUND('[1]Projected Development Sites'!BS114/50,0)</f>
        <v>0</v>
      </c>
      <c r="BL156" s="102">
        <v>0</v>
      </c>
      <c r="BM156" s="102">
        <v>0</v>
      </c>
      <c r="BN156" s="102">
        <v>0</v>
      </c>
      <c r="BO156" s="102">
        <f t="shared" si="71"/>
        <v>0</v>
      </c>
      <c r="BP156" s="102">
        <v>0</v>
      </c>
      <c r="BQ156" s="102">
        <v>6</v>
      </c>
      <c r="BR156" s="102">
        <v>0</v>
      </c>
      <c r="BS156" s="102">
        <v>0</v>
      </c>
      <c r="BT156" s="2643"/>
      <c r="BU156" s="102">
        <f t="shared" si="72"/>
        <v>6</v>
      </c>
      <c r="BV156" s="139">
        <v>0</v>
      </c>
      <c r="BW156" s="780" t="s">
        <v>705</v>
      </c>
      <c r="BX156" s="139">
        <v>4.5999999999999996</v>
      </c>
      <c r="BY156" s="139">
        <v>0</v>
      </c>
      <c r="BZ156" s="139">
        <v>4.5999999999999996</v>
      </c>
      <c r="CA156" s="781"/>
      <c r="CB156" s="2662"/>
      <c r="CC156" s="782">
        <f t="shared" si="107"/>
        <v>7416</v>
      </c>
      <c r="CD156" s="2732"/>
      <c r="CE156" s="2643"/>
      <c r="CF156" s="840">
        <v>0</v>
      </c>
      <c r="CG156" s="2643"/>
      <c r="CH156" s="840">
        <f t="shared" si="73"/>
        <v>0</v>
      </c>
      <c r="CI156" s="2643"/>
      <c r="CJ156" s="139">
        <v>0</v>
      </c>
      <c r="CK156" s="2643"/>
      <c r="CL156" s="139">
        <v>0</v>
      </c>
      <c r="CM156" s="2643"/>
      <c r="CN156" s="102"/>
      <c r="CO156" s="784">
        <v>0</v>
      </c>
      <c r="CP156" s="784">
        <v>0</v>
      </c>
      <c r="CQ156" s="2643"/>
      <c r="CR156" s="102">
        <v>0</v>
      </c>
      <c r="CS156" s="784">
        <v>0</v>
      </c>
      <c r="CT156" s="784">
        <v>0</v>
      </c>
      <c r="CU156" s="784">
        <v>0</v>
      </c>
      <c r="CV156" s="784">
        <v>0</v>
      </c>
      <c r="CW156" s="2643"/>
      <c r="CX156" s="102">
        <v>0</v>
      </c>
      <c r="CY156" s="784">
        <f>AX156</f>
        <v>0</v>
      </c>
      <c r="CZ156" s="784">
        <f>AY156</f>
        <v>0</v>
      </c>
      <c r="DA156" s="784"/>
      <c r="DB156" s="784">
        <f>BA156</f>
        <v>0</v>
      </c>
      <c r="DC156" s="784">
        <v>0</v>
      </c>
      <c r="DD156" s="784"/>
      <c r="DE156" s="2643"/>
      <c r="DF156" s="102">
        <f t="shared" si="75"/>
        <v>7416</v>
      </c>
      <c r="DG156" s="2643"/>
      <c r="DH156" s="296">
        <f>CC156/'[1]Projected Development Sites'!DF$134</f>
        <v>7.4160000000000004</v>
      </c>
      <c r="DI156" s="2723"/>
      <c r="DJ156" s="785">
        <f>'[1]Projected Development Sites'!DK$136*DH156</f>
        <v>7.4160000000000004</v>
      </c>
      <c r="DK156" s="779">
        <f t="shared" si="76"/>
        <v>21.283920000000002</v>
      </c>
      <c r="DL156" s="786">
        <f t="shared" si="77"/>
        <v>0</v>
      </c>
      <c r="DM156" s="787">
        <v>0</v>
      </c>
      <c r="DN156" s="787"/>
      <c r="DO156" s="787">
        <v>0</v>
      </c>
      <c r="DP156" s="787">
        <f t="shared" si="78"/>
        <v>1.8540000000000001</v>
      </c>
      <c r="DQ156" s="787">
        <f t="shared" si="79"/>
        <v>0</v>
      </c>
      <c r="DR156" s="787">
        <f t="shared" si="80"/>
        <v>0</v>
      </c>
      <c r="DS156" s="787">
        <f t="shared" si="81"/>
        <v>0</v>
      </c>
      <c r="DT156" s="787">
        <f t="shared" si="82"/>
        <v>0</v>
      </c>
      <c r="DU156" s="787">
        <v>0</v>
      </c>
      <c r="DV156" s="787">
        <f t="shared" si="83"/>
        <v>0</v>
      </c>
      <c r="DW156" s="2723"/>
      <c r="DX156" s="788">
        <f t="shared" si="84"/>
        <v>0</v>
      </c>
      <c r="DY156" s="2726"/>
      <c r="DZ156" s="2729"/>
      <c r="EA156" s="2665"/>
      <c r="EB156" s="195">
        <f t="shared" si="108"/>
        <v>0</v>
      </c>
      <c r="EC156" s="2665"/>
      <c r="ED156" s="195">
        <v>0</v>
      </c>
      <c r="EE156" s="195">
        <f t="shared" si="85"/>
        <v>0</v>
      </c>
      <c r="EF156" s="2665"/>
      <c r="EG156" s="195">
        <v>0</v>
      </c>
      <c r="EH156" s="2665"/>
      <c r="EI156" s="195">
        <f t="shared" si="86"/>
        <v>0</v>
      </c>
      <c r="EJ156" s="2665"/>
      <c r="EK156" s="195">
        <f t="shared" si="87"/>
        <v>0</v>
      </c>
      <c r="EL156" s="2665"/>
      <c r="EM156" s="195">
        <f t="shared" si="88"/>
        <v>0</v>
      </c>
      <c r="EN156" s="2665"/>
      <c r="EO156" s="195">
        <f t="shared" si="89"/>
        <v>0</v>
      </c>
      <c r="EP156" s="2665"/>
      <c r="EQ156" s="195">
        <f t="shared" si="90"/>
        <v>0</v>
      </c>
      <c r="ER156" s="2665"/>
      <c r="ES156" s="195">
        <f t="shared" si="91"/>
        <v>0</v>
      </c>
      <c r="ET156" s="2665"/>
      <c r="EU156" s="195">
        <f t="shared" si="57"/>
        <v>0</v>
      </c>
      <c r="EV156" s="2665"/>
      <c r="EW156" s="195">
        <f t="shared" si="92"/>
        <v>0</v>
      </c>
      <c r="EX156" s="2665"/>
      <c r="EY156" s="195">
        <f t="shared" si="93"/>
        <v>0</v>
      </c>
      <c r="EZ156" s="2665"/>
      <c r="FA156" s="195">
        <f t="shared" si="94"/>
        <v>0</v>
      </c>
      <c r="FB156" s="2665"/>
      <c r="FC156" s="195">
        <f t="shared" si="95"/>
        <v>0</v>
      </c>
      <c r="FD156" s="2665"/>
      <c r="FE156" s="195">
        <f t="shared" si="96"/>
        <v>0</v>
      </c>
      <c r="FF156" s="2665"/>
      <c r="FG156" s="195">
        <f t="shared" si="97"/>
        <v>0</v>
      </c>
      <c r="FH156" s="2665"/>
      <c r="FI156" s="195">
        <f t="shared" si="98"/>
        <v>0</v>
      </c>
      <c r="FJ156" s="2665"/>
      <c r="FK156" s="195">
        <f t="shared" si="99"/>
        <v>0</v>
      </c>
      <c r="FL156" s="2665"/>
      <c r="FM156" s="195">
        <f t="shared" si="100"/>
        <v>7416</v>
      </c>
      <c r="FN156" s="2665"/>
      <c r="FO156" s="195">
        <f t="shared" si="101"/>
        <v>7.4160000000000004</v>
      </c>
      <c r="FP156" s="2665"/>
      <c r="FQ156" s="195">
        <f t="shared" si="102"/>
        <v>7.4160000000000004</v>
      </c>
      <c r="FR156" s="195">
        <f t="shared" si="102"/>
        <v>21.283920000000002</v>
      </c>
      <c r="FS156" s="195">
        <f t="shared" si="102"/>
        <v>0</v>
      </c>
      <c r="FT156" s="789">
        <f t="shared" si="102"/>
        <v>0</v>
      </c>
      <c r="FU156" s="789">
        <f t="shared" si="103"/>
        <v>0</v>
      </c>
      <c r="FV156" s="789">
        <f t="shared" si="104"/>
        <v>0</v>
      </c>
      <c r="FW156" s="789">
        <f t="shared" si="105"/>
        <v>0</v>
      </c>
      <c r="FX156" s="789">
        <f t="shared" si="106"/>
        <v>0</v>
      </c>
      <c r="FY156" s="789">
        <f t="shared" si="106"/>
        <v>-6</v>
      </c>
      <c r="FZ156" s="789">
        <f t="shared" si="106"/>
        <v>0</v>
      </c>
      <c r="GA156" s="789">
        <f t="shared" si="106"/>
        <v>0</v>
      </c>
      <c r="GB156" s="2735"/>
      <c r="GC156" s="790">
        <f t="shared" si="58"/>
        <v>-6</v>
      </c>
    </row>
    <row r="157" spans="1:202" s="81" customFormat="1" ht="15" customHeight="1">
      <c r="A157" s="2589"/>
      <c r="B157" s="2589"/>
      <c r="C157" s="66" t="s">
        <v>880</v>
      </c>
      <c r="D157" s="66">
        <v>2859</v>
      </c>
      <c r="E157" s="66">
        <v>10</v>
      </c>
      <c r="F157" s="841">
        <v>2028590010</v>
      </c>
      <c r="G157" s="66">
        <v>6870</v>
      </c>
      <c r="H157" s="69" t="s">
        <v>704</v>
      </c>
      <c r="I157" s="70"/>
      <c r="J157" s="66">
        <v>0.84</v>
      </c>
      <c r="K157" s="66">
        <v>0</v>
      </c>
      <c r="L157" s="66">
        <v>2</v>
      </c>
      <c r="M157" s="66">
        <v>6.5</v>
      </c>
      <c r="N157" s="68">
        <v>5800</v>
      </c>
      <c r="O157" s="68">
        <f>Q157</f>
        <v>5800</v>
      </c>
      <c r="P157" s="68">
        <v>0</v>
      </c>
      <c r="Q157" s="68">
        <v>5800</v>
      </c>
      <c r="R157" s="71">
        <v>0</v>
      </c>
      <c r="S157" s="791" t="s">
        <v>711</v>
      </c>
      <c r="T157" s="2601"/>
      <c r="U157" s="74">
        <v>0</v>
      </c>
      <c r="V157" s="2601"/>
      <c r="W157" s="74">
        <f>N157</f>
        <v>5800</v>
      </c>
      <c r="X157" s="74"/>
      <c r="Y157" s="74">
        <f t="shared" si="68"/>
        <v>5800</v>
      </c>
      <c r="Z157" s="2601"/>
      <c r="AA157" s="74">
        <v>0</v>
      </c>
      <c r="AB157" s="2601"/>
      <c r="AC157" s="74">
        <v>0</v>
      </c>
      <c r="AD157" s="2601"/>
      <c r="AE157" s="74">
        <f t="shared" si="69"/>
        <v>5800</v>
      </c>
      <c r="AF157" s="74">
        <v>0</v>
      </c>
      <c r="AG157" s="74">
        <f>Q157</f>
        <v>5800</v>
      </c>
      <c r="AH157" s="74">
        <v>0</v>
      </c>
      <c r="AI157" s="2601"/>
      <c r="AJ157" s="74">
        <v>0</v>
      </c>
      <c r="AK157" s="2601"/>
      <c r="AL157" s="74">
        <f t="shared" si="70"/>
        <v>0</v>
      </c>
      <c r="AM157" s="792">
        <v>0</v>
      </c>
      <c r="AN157" s="2601"/>
      <c r="AO157" s="74">
        <v>0</v>
      </c>
      <c r="AP157" s="2601"/>
      <c r="AQ157" s="74">
        <v>0</v>
      </c>
      <c r="AR157" s="2601"/>
      <c r="AS157" s="74">
        <v>0</v>
      </c>
      <c r="AT157" s="2601"/>
      <c r="AU157" s="74">
        <v>0</v>
      </c>
      <c r="AV157" s="2601"/>
      <c r="AW157" s="74">
        <f>AX157+AY157+AZ157+BA157+BB157</f>
        <v>0</v>
      </c>
      <c r="AX157" s="74">
        <v>0</v>
      </c>
      <c r="AY157" s="74">
        <v>0</v>
      </c>
      <c r="AZ157" s="74">
        <v>0</v>
      </c>
      <c r="BA157" s="74">
        <v>0</v>
      </c>
      <c r="BB157" s="74">
        <v>0</v>
      </c>
      <c r="BC157" s="74">
        <v>0</v>
      </c>
      <c r="BD157" s="2601"/>
      <c r="BE157" s="74">
        <f>U157+W157</f>
        <v>5800</v>
      </c>
      <c r="BF157" s="2601"/>
      <c r="BG157" s="74">
        <f>U157/1000</f>
        <v>0</v>
      </c>
      <c r="BH157" s="2601"/>
      <c r="BI157" s="74">
        <v>0</v>
      </c>
      <c r="BJ157" s="74">
        <f t="shared" si="59"/>
        <v>0</v>
      </c>
      <c r="BK157" s="88">
        <f>ROUND((Y157+AC157+AA157)/1000*3,0)+ROUND((AE157+AU157)/1000,0)+ROUND((ROUND(AH157/400,0))/2.67,0)+ROUND(AM157/250,0)+ROUND(AO157/15000,0)+ROUND((AX157+AY157+AZ157+BB157)/1000*3,0)+ROUND(BG157/25,0)+ROUND(BU252/50,0)</f>
        <v>23</v>
      </c>
      <c r="BL157" s="74">
        <v>0</v>
      </c>
      <c r="BM157" s="74">
        <v>0</v>
      </c>
      <c r="BN157" s="74">
        <v>0</v>
      </c>
      <c r="BO157" s="74">
        <f t="shared" si="71"/>
        <v>0</v>
      </c>
      <c r="BP157" s="74">
        <f>AH157/1000</f>
        <v>0</v>
      </c>
      <c r="BQ157" s="74">
        <v>0</v>
      </c>
      <c r="BR157" s="74">
        <v>0</v>
      </c>
      <c r="BS157" s="74">
        <v>0</v>
      </c>
      <c r="BT157" s="2601"/>
      <c r="BU157" s="74">
        <f t="shared" si="72"/>
        <v>0</v>
      </c>
      <c r="BV157" s="81">
        <v>15</v>
      </c>
      <c r="BW157" s="793" t="s">
        <v>705</v>
      </c>
      <c r="BX157" s="81">
        <v>4.5999999999999996</v>
      </c>
      <c r="BY157" s="81">
        <v>0</v>
      </c>
      <c r="BZ157" s="81">
        <v>4.5999999999999996</v>
      </c>
      <c r="CA157" s="794"/>
      <c r="CB157" s="2597"/>
      <c r="CC157" s="795">
        <f t="shared" si="107"/>
        <v>24731.999999999996</v>
      </c>
      <c r="CD157" s="2733"/>
      <c r="CE157" s="2601"/>
      <c r="CF157" s="843">
        <v>0</v>
      </c>
      <c r="CG157" s="2601"/>
      <c r="CH157" s="843">
        <f t="shared" si="73"/>
        <v>0</v>
      </c>
      <c r="CI157" s="2601"/>
      <c r="CJ157" s="81">
        <v>0</v>
      </c>
      <c r="CK157" s="2601"/>
      <c r="CL157" s="81">
        <v>0</v>
      </c>
      <c r="CM157" s="2601"/>
      <c r="CN157" s="74">
        <f>CF157-(CJ157+CL157+CO157+CP157+CR157+CU157+CV157+CX157)</f>
        <v>0</v>
      </c>
      <c r="CO157" s="797">
        <v>0</v>
      </c>
      <c r="CP157" s="797">
        <v>0</v>
      </c>
      <c r="CQ157" s="2601"/>
      <c r="CR157" s="74">
        <v>0</v>
      </c>
      <c r="CS157" s="797">
        <v>0</v>
      </c>
      <c r="CT157" s="797">
        <v>0</v>
      </c>
      <c r="CU157" s="797">
        <v>0</v>
      </c>
      <c r="CV157" s="797">
        <v>0</v>
      </c>
      <c r="CW157" s="2601"/>
      <c r="CX157" s="74">
        <f>SUM(CY157:DC157)</f>
        <v>0</v>
      </c>
      <c r="CY157" s="797">
        <f>AX157</f>
        <v>0</v>
      </c>
      <c r="CZ157" s="797">
        <f>AY157</f>
        <v>0</v>
      </c>
      <c r="DA157" s="797">
        <f>AZ157</f>
        <v>0</v>
      </c>
      <c r="DB157" s="797">
        <f>BA157</f>
        <v>0</v>
      </c>
      <c r="DC157" s="797">
        <f>BB157</f>
        <v>0</v>
      </c>
      <c r="DD157" s="797"/>
      <c r="DE157" s="2601"/>
      <c r="DF157" s="797">
        <f t="shared" si="75"/>
        <v>24731.999999999996</v>
      </c>
      <c r="DG157" s="2601"/>
      <c r="DH157" s="303">
        <f>CC157/'[1]Projected Development Sites'!DF$134</f>
        <v>24.731999999999996</v>
      </c>
      <c r="DI157" s="2724"/>
      <c r="DJ157" s="798">
        <f>'[1]Projected Development Sites'!DK$136*DH157</f>
        <v>24.731999999999996</v>
      </c>
      <c r="DK157" s="792">
        <f t="shared" si="76"/>
        <v>70.980839999999986</v>
      </c>
      <c r="DL157" s="786">
        <f t="shared" si="77"/>
        <v>1</v>
      </c>
      <c r="DM157" s="799">
        <v>0</v>
      </c>
      <c r="DN157" s="799"/>
      <c r="DO157" s="799">
        <v>0</v>
      </c>
      <c r="DP157" s="799">
        <f t="shared" si="78"/>
        <v>6.1829999999999989</v>
      </c>
      <c r="DQ157" s="799">
        <f t="shared" si="79"/>
        <v>0</v>
      </c>
      <c r="DR157" s="799">
        <f t="shared" si="80"/>
        <v>0</v>
      </c>
      <c r="DS157" s="799">
        <f t="shared" si="81"/>
        <v>0</v>
      </c>
      <c r="DT157" s="799">
        <f t="shared" si="82"/>
        <v>0</v>
      </c>
      <c r="DU157" s="799">
        <v>0</v>
      </c>
      <c r="DV157" s="799">
        <f t="shared" si="83"/>
        <v>0</v>
      </c>
      <c r="DW157" s="2724"/>
      <c r="DX157" s="800">
        <f t="shared" si="84"/>
        <v>0</v>
      </c>
      <c r="DY157" s="2727"/>
      <c r="DZ157" s="2730"/>
      <c r="EA157" s="2603"/>
      <c r="EB157" s="195">
        <f t="shared" si="108"/>
        <v>-5800</v>
      </c>
      <c r="EC157" s="2603"/>
      <c r="ED157" s="190">
        <v>-5800</v>
      </c>
      <c r="EE157" s="195">
        <f t="shared" si="85"/>
        <v>-5800</v>
      </c>
      <c r="EF157" s="2603"/>
      <c r="EG157" s="195">
        <v>0</v>
      </c>
      <c r="EH157" s="2603"/>
      <c r="EI157" s="195">
        <f t="shared" si="86"/>
        <v>0</v>
      </c>
      <c r="EJ157" s="2603"/>
      <c r="EK157" s="195">
        <f t="shared" si="87"/>
        <v>0</v>
      </c>
      <c r="EL157" s="2603"/>
      <c r="EM157" s="190">
        <f t="shared" si="88"/>
        <v>-5800</v>
      </c>
      <c r="EN157" s="2603"/>
      <c r="EO157" s="190">
        <f t="shared" si="89"/>
        <v>0</v>
      </c>
      <c r="EP157" s="2603"/>
      <c r="EQ157" s="195">
        <f t="shared" si="90"/>
        <v>0</v>
      </c>
      <c r="ER157" s="2603"/>
      <c r="ES157" s="195">
        <f t="shared" si="91"/>
        <v>0</v>
      </c>
      <c r="ET157" s="2603"/>
      <c r="EU157" s="190">
        <f t="shared" si="57"/>
        <v>0</v>
      </c>
      <c r="EV157" s="2603"/>
      <c r="EW157" s="195">
        <f t="shared" si="92"/>
        <v>0</v>
      </c>
      <c r="EX157" s="2603"/>
      <c r="EY157" s="190">
        <f t="shared" si="93"/>
        <v>0</v>
      </c>
      <c r="EZ157" s="2603"/>
      <c r="FA157" s="190">
        <f t="shared" si="94"/>
        <v>0</v>
      </c>
      <c r="FB157" s="2603"/>
      <c r="FC157" s="190">
        <f t="shared" si="95"/>
        <v>0</v>
      </c>
      <c r="FD157" s="2603"/>
      <c r="FE157" s="190">
        <f t="shared" si="96"/>
        <v>0</v>
      </c>
      <c r="FF157" s="2603"/>
      <c r="FG157" s="190">
        <f t="shared" si="97"/>
        <v>0</v>
      </c>
      <c r="FH157" s="2603"/>
      <c r="FI157" s="190">
        <f t="shared" si="98"/>
        <v>0</v>
      </c>
      <c r="FJ157" s="2603"/>
      <c r="FK157" s="190">
        <f t="shared" si="99"/>
        <v>0</v>
      </c>
      <c r="FL157" s="2603"/>
      <c r="FM157" s="195">
        <f t="shared" si="100"/>
        <v>18931.999999999996</v>
      </c>
      <c r="FN157" s="2603"/>
      <c r="FO157" s="195">
        <f t="shared" si="101"/>
        <v>24.731999999999996</v>
      </c>
      <c r="FP157" s="2603"/>
      <c r="FQ157" s="195">
        <f t="shared" si="102"/>
        <v>24.731999999999996</v>
      </c>
      <c r="FR157" s="190">
        <f t="shared" si="102"/>
        <v>70.980839999999986</v>
      </c>
      <c r="FS157" s="190">
        <f t="shared" si="102"/>
        <v>-22</v>
      </c>
      <c r="FT157" s="801">
        <f t="shared" si="102"/>
        <v>0</v>
      </c>
      <c r="FU157" s="801">
        <f t="shared" si="103"/>
        <v>0</v>
      </c>
      <c r="FV157" s="801">
        <f t="shared" si="104"/>
        <v>0</v>
      </c>
      <c r="FW157" s="801">
        <f t="shared" si="105"/>
        <v>0</v>
      </c>
      <c r="FX157" s="801">
        <f t="shared" si="106"/>
        <v>0</v>
      </c>
      <c r="FY157" s="801">
        <f t="shared" si="106"/>
        <v>0</v>
      </c>
      <c r="FZ157" s="801">
        <f t="shared" si="106"/>
        <v>0</v>
      </c>
      <c r="GA157" s="801">
        <f t="shared" si="106"/>
        <v>0</v>
      </c>
      <c r="GB157" s="2736"/>
      <c r="GC157" s="845">
        <f t="shared" si="58"/>
        <v>0</v>
      </c>
      <c r="GD157" s="139"/>
      <c r="GE157" s="139"/>
      <c r="GF157" s="139"/>
      <c r="GG157" s="139"/>
      <c r="GH157" s="139"/>
      <c r="GI157" s="139"/>
      <c r="GJ157" s="139"/>
      <c r="GK157" s="139"/>
      <c r="GL157" s="139"/>
      <c r="GM157" s="139"/>
      <c r="GN157" s="139"/>
      <c r="GO157" s="139"/>
      <c r="GP157" s="139"/>
      <c r="GQ157" s="139"/>
      <c r="GR157" s="139"/>
      <c r="GS157" s="139"/>
      <c r="GT157" s="139"/>
    </row>
    <row r="158" spans="1:202" s="139" customFormat="1" ht="18.75">
      <c r="A158" s="2263"/>
      <c r="B158" s="2263"/>
      <c r="C158" s="132"/>
      <c r="D158" s="132"/>
      <c r="E158" s="132"/>
      <c r="F158" s="777"/>
      <c r="G158" s="132"/>
      <c r="H158" s="135"/>
      <c r="I158" s="136"/>
      <c r="J158" s="132"/>
      <c r="K158" s="132"/>
      <c r="L158" s="132"/>
      <c r="M158" s="132"/>
      <c r="N158" s="134"/>
      <c r="O158" s="134"/>
      <c r="P158" s="134"/>
      <c r="Q158" s="134"/>
      <c r="R158" s="137"/>
      <c r="S158" s="778"/>
      <c r="T158" s="634"/>
      <c r="U158" s="102"/>
      <c r="V158" s="634"/>
      <c r="W158" s="102"/>
      <c r="X158" s="102"/>
      <c r="Y158" s="102"/>
      <c r="Z158" s="634"/>
      <c r="AA158" s="102"/>
      <c r="AB158" s="634"/>
      <c r="AC158" s="102"/>
      <c r="AD158" s="634"/>
      <c r="AE158" s="102"/>
      <c r="AF158" s="102"/>
      <c r="AG158" s="102"/>
      <c r="AH158" s="102"/>
      <c r="AI158" s="634"/>
      <c r="AJ158" s="102"/>
      <c r="AK158" s="634"/>
      <c r="AL158" s="102"/>
      <c r="AM158" s="779"/>
      <c r="AN158" s="634"/>
      <c r="AO158" s="102"/>
      <c r="AP158" s="634"/>
      <c r="AQ158" s="102"/>
      <c r="AR158" s="634"/>
      <c r="AS158" s="102"/>
      <c r="AT158" s="634"/>
      <c r="AU158" s="102"/>
      <c r="AV158" s="634"/>
      <c r="AW158" s="102"/>
      <c r="AX158" s="102"/>
      <c r="AY158" s="102"/>
      <c r="AZ158" s="102"/>
      <c r="BA158" s="102"/>
      <c r="BB158" s="102"/>
      <c r="BC158" s="102"/>
      <c r="BD158" s="634"/>
      <c r="BE158" s="102"/>
      <c r="BF158" s="634"/>
      <c r="BG158" s="102"/>
      <c r="BH158" s="634"/>
      <c r="BI158" s="102"/>
      <c r="BJ158" s="111"/>
      <c r="BK158" s="186"/>
      <c r="BL158" s="102"/>
      <c r="BM158" s="102"/>
      <c r="BN158" s="102"/>
      <c r="BO158" s="102"/>
      <c r="BP158" s="102"/>
      <c r="BQ158" s="102"/>
      <c r="BR158" s="102"/>
      <c r="BS158" s="102"/>
      <c r="BT158" s="634"/>
      <c r="BU158" s="102"/>
      <c r="BW158" s="780"/>
      <c r="CA158" s="781"/>
      <c r="CB158" s="2258"/>
      <c r="CC158" s="782"/>
      <c r="CD158" s="782"/>
      <c r="CE158" s="634"/>
      <c r="CF158" s="783"/>
      <c r="CG158" s="634"/>
      <c r="CH158" s="783"/>
      <c r="CI158" s="634"/>
      <c r="CK158" s="634"/>
      <c r="CM158" s="634"/>
      <c r="CN158" s="784"/>
      <c r="CO158" s="784"/>
      <c r="CP158" s="784"/>
      <c r="CQ158" s="634"/>
      <c r="CR158" s="102"/>
      <c r="CS158" s="784"/>
      <c r="CT158" s="784"/>
      <c r="CU158" s="784"/>
      <c r="CV158" s="784"/>
      <c r="CW158" s="634"/>
      <c r="CX158" s="102"/>
      <c r="CY158" s="784"/>
      <c r="CZ158" s="784"/>
      <c r="DA158" s="784"/>
      <c r="DB158" s="784"/>
      <c r="DC158" s="784"/>
      <c r="DD158" s="784"/>
      <c r="DE158" s="634"/>
      <c r="DF158" s="784"/>
      <c r="DG158" s="634"/>
      <c r="DH158" s="296"/>
      <c r="DI158" s="802"/>
      <c r="DJ158" s="785"/>
      <c r="DK158" s="899"/>
      <c r="DL158" s="772"/>
      <c r="DM158" s="787"/>
      <c r="DN158" s="787"/>
      <c r="DO158" s="787"/>
      <c r="DP158" s="787"/>
      <c r="DQ158" s="787"/>
      <c r="DR158" s="787"/>
      <c r="DS158" s="787"/>
      <c r="DT158" s="787"/>
      <c r="DU158" s="787"/>
      <c r="DV158" s="787"/>
      <c r="DW158" s="802"/>
      <c r="DX158" s="788"/>
      <c r="DY158" s="634"/>
      <c r="DZ158" s="2288"/>
      <c r="EA158" s="2231"/>
      <c r="EB158" s="187"/>
      <c r="EC158" s="2232"/>
      <c r="ED158" s="187"/>
      <c r="EE158" s="187"/>
      <c r="EF158" s="2232"/>
      <c r="EG158" s="187"/>
      <c r="EH158" s="2232"/>
      <c r="EI158" s="187"/>
      <c r="EJ158" s="2232"/>
      <c r="EK158" s="187"/>
      <c r="EL158" s="2232"/>
      <c r="EM158" s="195"/>
      <c r="EN158" s="2232"/>
      <c r="EO158" s="195"/>
      <c r="EP158" s="2232"/>
      <c r="EQ158" s="187"/>
      <c r="ER158" s="2232"/>
      <c r="ES158" s="187"/>
      <c r="ET158" s="2232"/>
      <c r="EU158" s="187">
        <f t="shared" si="57"/>
        <v>0</v>
      </c>
      <c r="EV158" s="2232"/>
      <c r="EW158" s="187"/>
      <c r="EX158" s="2232"/>
      <c r="EY158" s="195"/>
      <c r="EZ158" s="2232"/>
      <c r="FA158" s="195"/>
      <c r="FB158" s="2232"/>
      <c r="FC158" s="195"/>
      <c r="FD158" s="2232"/>
      <c r="FE158" s="195"/>
      <c r="FF158" s="2232"/>
      <c r="FG158" s="195"/>
      <c r="FH158" s="2232"/>
      <c r="FI158" s="195"/>
      <c r="FJ158" s="2232"/>
      <c r="FK158" s="195"/>
      <c r="FL158" s="2232"/>
      <c r="FM158" s="187"/>
      <c r="FN158" s="2232"/>
      <c r="FO158" s="187"/>
      <c r="FP158" s="2232"/>
      <c r="FQ158" s="187"/>
      <c r="FR158" s="195"/>
      <c r="FS158" s="195"/>
      <c r="FT158" s="789"/>
      <c r="FU158" s="789"/>
      <c r="FV158" s="789"/>
      <c r="FW158" s="789"/>
      <c r="FX158" s="789"/>
      <c r="FY158" s="789"/>
      <c r="FZ158" s="789"/>
      <c r="GA158" s="789"/>
      <c r="GB158" s="2286"/>
      <c r="GC158" s="776"/>
    </row>
    <row r="159" spans="1:202" s="127" customFormat="1" ht="15" customHeight="1">
      <c r="A159" s="2588"/>
      <c r="B159" s="2588">
        <v>55</v>
      </c>
      <c r="C159" s="115" t="s">
        <v>703</v>
      </c>
      <c r="D159" s="115">
        <v>2846</v>
      </c>
      <c r="E159" s="115">
        <v>4</v>
      </c>
      <c r="F159" s="763">
        <v>2028460004</v>
      </c>
      <c r="G159" s="115">
        <v>7555</v>
      </c>
      <c r="H159" s="118" t="s">
        <v>704</v>
      </c>
      <c r="I159" s="119"/>
      <c r="J159" s="115">
        <v>0.56999999999999995</v>
      </c>
      <c r="K159" s="115">
        <v>0</v>
      </c>
      <c r="L159" s="115">
        <v>2</v>
      </c>
      <c r="M159" s="115">
        <v>6.5</v>
      </c>
      <c r="N159" s="117">
        <v>4315</v>
      </c>
      <c r="O159" s="117">
        <v>0</v>
      </c>
      <c r="P159" s="117">
        <v>0</v>
      </c>
      <c r="Q159" s="117">
        <v>4315</v>
      </c>
      <c r="R159" s="120">
        <v>0</v>
      </c>
      <c r="S159" s="764" t="s">
        <v>722</v>
      </c>
      <c r="T159" s="2600">
        <f>SUM(U159:U160)</f>
        <v>0</v>
      </c>
      <c r="U159" s="122">
        <v>0</v>
      </c>
      <c r="V159" s="2600">
        <f>SUM(W159:W160)</f>
        <v>5410</v>
      </c>
      <c r="W159" s="122">
        <f>N159</f>
        <v>4315</v>
      </c>
      <c r="X159" s="122"/>
      <c r="Y159" s="122">
        <f>W159-AA159</f>
        <v>4315</v>
      </c>
      <c r="Z159" s="2600">
        <f>SUM(AA159:AA160)</f>
        <v>0</v>
      </c>
      <c r="AA159" s="122">
        <v>0</v>
      </c>
      <c r="AB159" s="2600">
        <f>SUM(AC159:AC160)</f>
        <v>0</v>
      </c>
      <c r="AC159" s="122">
        <v>0</v>
      </c>
      <c r="AD159" s="2600">
        <f>SUM(AE159:AE160)</f>
        <v>0</v>
      </c>
      <c r="AE159" s="122">
        <f>AG159+AF159</f>
        <v>0</v>
      </c>
      <c r="AF159" s="122">
        <v>0</v>
      </c>
      <c r="AG159" s="122">
        <v>0</v>
      </c>
      <c r="AH159" s="122">
        <v>0</v>
      </c>
      <c r="AI159" s="2600">
        <f>SUM(AJ159:AJ160)</f>
        <v>0</v>
      </c>
      <c r="AJ159" s="122">
        <v>0</v>
      </c>
      <c r="AK159" s="2600">
        <f>SUM(AL159:AL160)</f>
        <v>0</v>
      </c>
      <c r="AL159" s="122">
        <f>W159-(AA159+AC159+AE159+AH159+AJ159+AM159+AW159+AO159+AQ159+AS159+AU159)</f>
        <v>0</v>
      </c>
      <c r="AM159" s="765">
        <v>0</v>
      </c>
      <c r="AN159" s="2600">
        <f>SUM(AO159:AO160)</f>
        <v>0</v>
      </c>
      <c r="AO159" s="122">
        <v>0</v>
      </c>
      <c r="AP159" s="2600">
        <f>SUM(AQ159:AQ160)</f>
        <v>2970</v>
      </c>
      <c r="AQ159" s="122">
        <v>1875</v>
      </c>
      <c r="AR159" s="2600">
        <f>SUM(AS159:AS160)</f>
        <v>2440</v>
      </c>
      <c r="AS159" s="122">
        <f>W159-AQ159</f>
        <v>2440</v>
      </c>
      <c r="AT159" s="2600">
        <f>SUM(AU159:AU160)</f>
        <v>0</v>
      </c>
      <c r="AU159" s="122">
        <v>0</v>
      </c>
      <c r="AV159" s="2600">
        <f>SUM(AW159:AW160)</f>
        <v>0</v>
      </c>
      <c r="AW159" s="122">
        <f>AX159+AY159+AZ159+BA159+BB159</f>
        <v>0</v>
      </c>
      <c r="AX159" s="122">
        <v>0</v>
      </c>
      <c r="AY159" s="122">
        <v>0</v>
      </c>
      <c r="AZ159" s="122">
        <v>0</v>
      </c>
      <c r="BA159" s="122">
        <v>0</v>
      </c>
      <c r="BB159" s="122">
        <v>0</v>
      </c>
      <c r="BC159" s="122">
        <v>0</v>
      </c>
      <c r="BD159" s="2600">
        <f>SUM(BE159:BE160)</f>
        <v>5410</v>
      </c>
      <c r="BE159" s="122">
        <f>U159+W159</f>
        <v>4315</v>
      </c>
      <c r="BF159" s="2600">
        <f>SUM(BG159:BG160)</f>
        <v>0</v>
      </c>
      <c r="BG159" s="122">
        <f>U159/1000</f>
        <v>0</v>
      </c>
      <c r="BH159" s="2600">
        <f>SUM(BI159:BI160)</f>
        <v>0</v>
      </c>
      <c r="BI159" s="122">
        <v>0</v>
      </c>
      <c r="BJ159" s="122">
        <f t="shared" si="59"/>
        <v>0</v>
      </c>
      <c r="BK159" s="129">
        <f>ROUND((Y159+AC159+AA159)/1000*3,0)+ROUND((AE159+AU159)/1000,0)+ROUND((ROUND(AH159/400,0))/2.67,0)+ROUND(AM159/250,0)+ROUND(AO159/15000,0)+ROUND((AX159+AY159+AZ159+BB159)/1000*3,0)+ROUND(BG159/25,0)+ROUND('[1]Projected Development Sites'!BS120/50,0)</f>
        <v>13</v>
      </c>
      <c r="BL159" s="122">
        <v>0</v>
      </c>
      <c r="BM159" s="122">
        <v>0</v>
      </c>
      <c r="BN159" s="122">
        <v>5</v>
      </c>
      <c r="BO159" s="122">
        <f>AC159/1000</f>
        <v>0</v>
      </c>
      <c r="BP159" s="122">
        <f>AH159/1000</f>
        <v>0</v>
      </c>
      <c r="BQ159" s="122">
        <v>0</v>
      </c>
      <c r="BR159" s="122">
        <v>0</v>
      </c>
      <c r="BS159" s="122">
        <v>0</v>
      </c>
      <c r="BT159" s="2600">
        <f>SUM(BU159:BU160)</f>
        <v>5</v>
      </c>
      <c r="BU159" s="122">
        <f>SUM(BL159:BS159)</f>
        <v>5</v>
      </c>
      <c r="BV159" s="127">
        <v>15</v>
      </c>
      <c r="BW159" s="766" t="s">
        <v>705</v>
      </c>
      <c r="BX159" s="127">
        <v>4.5999999999999996</v>
      </c>
      <c r="BY159" s="127">
        <v>2</v>
      </c>
      <c r="BZ159" s="127">
        <v>4.5999999999999996</v>
      </c>
      <c r="CA159" s="767" t="s">
        <v>706</v>
      </c>
      <c r="CB159" s="2596" t="s">
        <v>716</v>
      </c>
      <c r="CC159" s="768">
        <f>(BX159*G159)-CF159</f>
        <v>28331.25</v>
      </c>
      <c r="CD159" s="2731">
        <f>SUM(CC159:CC160)</f>
        <v>32456.25</v>
      </c>
      <c r="CE159" s="2600">
        <f>SUM(CF159:CF160)</f>
        <v>7356.75</v>
      </c>
      <c r="CF159" s="769">
        <f>1*(G159)-(0.15*1*(G159))</f>
        <v>6421.75</v>
      </c>
      <c r="CG159" s="2600">
        <f>SUM(CH159:CH160)</f>
        <v>7356.75</v>
      </c>
      <c r="CH159" s="769">
        <f>CF159-CJ159</f>
        <v>6421.75</v>
      </c>
      <c r="CI159" s="2600">
        <f>SUM(CJ159:CJ160)</f>
        <v>0</v>
      </c>
      <c r="CJ159" s="127">
        <v>0</v>
      </c>
      <c r="CK159" s="2600">
        <f>SUM(CL159:CL160)</f>
        <v>0</v>
      </c>
      <c r="CL159" s="127">
        <v>0</v>
      </c>
      <c r="CM159" s="2600">
        <f>SUM(CN159:CN160)</f>
        <v>7356.75</v>
      </c>
      <c r="CN159" s="770">
        <f>CF159-(CJ159+CL159+CO159+CP159+CR159+CU159+CV159+CX159)</f>
        <v>6421.75</v>
      </c>
      <c r="CO159" s="770">
        <v>0</v>
      </c>
      <c r="CP159" s="770">
        <v>0</v>
      </c>
      <c r="CQ159" s="2600">
        <f>SUM(CR159:CR160)</f>
        <v>0</v>
      </c>
      <c r="CR159" s="122">
        <v>0</v>
      </c>
      <c r="CS159" s="770">
        <v>0</v>
      </c>
      <c r="CT159" s="770">
        <v>0</v>
      </c>
      <c r="CU159" s="770">
        <v>0</v>
      </c>
      <c r="CV159" s="770">
        <v>0</v>
      </c>
      <c r="CW159" s="2600">
        <f>SUM(CX159:CX160)</f>
        <v>0</v>
      </c>
      <c r="CX159" s="122">
        <f>SUM(CY159:DC159)</f>
        <v>0</v>
      </c>
      <c r="CY159" s="770">
        <f t="shared" ref="CY159:DC160" si="109">AX159</f>
        <v>0</v>
      </c>
      <c r="CZ159" s="770">
        <f t="shared" si="109"/>
        <v>0</v>
      </c>
      <c r="DA159" s="770">
        <f t="shared" si="109"/>
        <v>0</v>
      </c>
      <c r="DB159" s="770">
        <f t="shared" si="109"/>
        <v>0</v>
      </c>
      <c r="DC159" s="770">
        <f t="shared" si="109"/>
        <v>0</v>
      </c>
      <c r="DD159" s="770"/>
      <c r="DE159" s="2600">
        <f>SUM(DF159:DF160)</f>
        <v>39813</v>
      </c>
      <c r="DF159" s="122">
        <f>CC159+CF159</f>
        <v>34753</v>
      </c>
      <c r="DG159" s="2600">
        <f>SUM(DH159:DH160)</f>
        <v>32.456249999999997</v>
      </c>
      <c r="DH159" s="293">
        <f>CC159/'[1]Projected Development Sites'!DF$134</f>
        <v>28.331250000000001</v>
      </c>
      <c r="DI159" s="2722">
        <f>SUM(DJ159:DJ160)</f>
        <v>32.456249999999997</v>
      </c>
      <c r="DJ159" s="771">
        <f>'[1]Projected Development Sites'!DK$136*DH159</f>
        <v>28.331250000000001</v>
      </c>
      <c r="DK159" s="765">
        <f>2.87*DH159</f>
        <v>81.3106875</v>
      </c>
      <c r="DL159" s="772">
        <f>ROUND((CN159+CL159+CJ159)/1000*3,0)+ROUND((ROUND(CP159/400,0))/2.67,0)+ROUND(CV159/1000,0)+ROUND((CY159+CZ159+DA159+DC159)/1000*3,0)+ROUND(DH159/25,0)+ROUND(DX159/50,0)</f>
        <v>20</v>
      </c>
      <c r="DM159" s="773">
        <v>0</v>
      </c>
      <c r="DN159" s="773"/>
      <c r="DO159" s="773">
        <v>0</v>
      </c>
      <c r="DP159" s="773">
        <f>0.25*DJ159</f>
        <v>7.0828125000000002</v>
      </c>
      <c r="DQ159" s="773">
        <f>SUM(CO159,CJ159,CN159,CR159,CU159)/1000</f>
        <v>6.4217500000000003</v>
      </c>
      <c r="DR159" s="773">
        <f>CL159/1000</f>
        <v>0</v>
      </c>
      <c r="DS159" s="773">
        <f>((CP159/400)/12)</f>
        <v>0</v>
      </c>
      <c r="DT159" s="773">
        <f>IF(CX159&gt;0,"Calculate",0)</f>
        <v>0</v>
      </c>
      <c r="DU159" s="773">
        <v>0</v>
      </c>
      <c r="DV159" s="773">
        <f>CX159/1000</f>
        <v>0</v>
      </c>
      <c r="DW159" s="2722">
        <f>SUM(DX159:DX160)</f>
        <v>7.3567499999999999</v>
      </c>
      <c r="DX159" s="774">
        <f>SUM(DM159,DO159,DQ159:DV159)</f>
        <v>6.4217500000000003</v>
      </c>
      <c r="DY159" s="2725">
        <v>115</v>
      </c>
      <c r="DZ159" s="2728">
        <f>CD159-T159</f>
        <v>32456.25</v>
      </c>
      <c r="EA159" s="2602">
        <f>CE159-V159</f>
        <v>1946.75</v>
      </c>
      <c r="EB159" s="187">
        <f>CF159-W159</f>
        <v>2106.75</v>
      </c>
      <c r="EC159" s="2602">
        <f>SUM(ED159:ED160)</f>
        <v>7356.75</v>
      </c>
      <c r="ED159" s="187">
        <v>6421.75</v>
      </c>
      <c r="EE159" s="187">
        <f>(SUM(CJ159:CO159))-(SUM(AA159:AE159,AL159))</f>
        <v>13778.5</v>
      </c>
      <c r="EF159" s="2602">
        <f>SUM(EG159:EG160)</f>
        <v>7356.75</v>
      </c>
      <c r="EG159" s="187">
        <v>6421.75</v>
      </c>
      <c r="EH159" s="2602">
        <f>SUM(EI159:EI160)</f>
        <v>0</v>
      </c>
      <c r="EI159" s="187">
        <f>CL159-AC159</f>
        <v>0</v>
      </c>
      <c r="EJ159" s="2602">
        <f>SUM(EK159:EK160)</f>
        <v>0</v>
      </c>
      <c r="EK159" s="187">
        <f>CJ159-AA159</f>
        <v>0</v>
      </c>
      <c r="EL159" s="2602">
        <f>SUM(EM159:EM160)</f>
        <v>0</v>
      </c>
      <c r="EM159" s="187">
        <f>CO159-AE159</f>
        <v>0</v>
      </c>
      <c r="EN159" s="2602">
        <f>SUM(EO159:EO160)</f>
        <v>0</v>
      </c>
      <c r="EO159" s="187">
        <f>CP159-AH159</f>
        <v>0</v>
      </c>
      <c r="EP159" s="2602">
        <f>SUM(EQ159:EQ160)</f>
        <v>0</v>
      </c>
      <c r="EQ159" s="187">
        <f>CR159-AJ159</f>
        <v>0</v>
      </c>
      <c r="ER159" s="2602">
        <f>SUM(ES159:ES160)</f>
        <v>0</v>
      </c>
      <c r="ES159" s="187">
        <f>CS159-AO159</f>
        <v>0</v>
      </c>
      <c r="ET159" s="2602">
        <f>SUM(EU159:EU160)</f>
        <v>-2970</v>
      </c>
      <c r="EU159" s="187">
        <f t="shared" si="57"/>
        <v>-1875</v>
      </c>
      <c r="EV159" s="2602">
        <f>SUM(EW159:EW160)</f>
        <v>-2440</v>
      </c>
      <c r="EW159" s="187">
        <f>CU159-AS159</f>
        <v>-2440</v>
      </c>
      <c r="EX159" s="2602">
        <f>SUM(EY159:EY160)</f>
        <v>0</v>
      </c>
      <c r="EY159" s="187">
        <f>CV159-AU159</f>
        <v>0</v>
      </c>
      <c r="EZ159" s="2602">
        <f>SUM(FA159:FA160)</f>
        <v>0</v>
      </c>
      <c r="FA159" s="187">
        <f>CY159-AX159</f>
        <v>0</v>
      </c>
      <c r="FB159" s="2602">
        <f>SUM(FC159:FC160)</f>
        <v>0</v>
      </c>
      <c r="FC159" s="187">
        <f>CZ159-AY159</f>
        <v>0</v>
      </c>
      <c r="FD159" s="2602">
        <f>SUM(FE159:FE160)</f>
        <v>0</v>
      </c>
      <c r="FE159" s="187">
        <f>DA159-AZ159</f>
        <v>0</v>
      </c>
      <c r="FF159" s="2602">
        <f>SUM(FG159:FG160)</f>
        <v>0</v>
      </c>
      <c r="FG159" s="187">
        <f>DB159-BA159</f>
        <v>0</v>
      </c>
      <c r="FH159" s="2602">
        <f>SUM(FI159:FI160)</f>
        <v>0</v>
      </c>
      <c r="FI159" s="187">
        <f>DC159-BB159</f>
        <v>0</v>
      </c>
      <c r="FJ159" s="2602">
        <f>SUM(FK159:FK160)</f>
        <v>0</v>
      </c>
      <c r="FK159" s="187">
        <f>CX159-AW159</f>
        <v>0</v>
      </c>
      <c r="FL159" s="2602">
        <f>SUM(FM159:FM160)</f>
        <v>34403</v>
      </c>
      <c r="FM159" s="187">
        <f>DF159-BE159</f>
        <v>30438</v>
      </c>
      <c r="FN159" s="2602">
        <f>SUM(FO159:FO160)</f>
        <v>32.456249999999997</v>
      </c>
      <c r="FO159" s="187">
        <f>DH159-BG159</f>
        <v>28.331250000000001</v>
      </c>
      <c r="FP159" s="2602">
        <f>SUM(FQ159:FQ160)</f>
        <v>32.456249999999997</v>
      </c>
      <c r="FQ159" s="187">
        <f t="shared" ref="FQ159:FT160" si="110">DJ159-BI159</f>
        <v>28.331250000000001</v>
      </c>
      <c r="FR159" s="187">
        <f t="shared" si="110"/>
        <v>81.3106875</v>
      </c>
      <c r="FS159" s="187">
        <f t="shared" si="110"/>
        <v>7</v>
      </c>
      <c r="FT159" s="775">
        <f t="shared" si="110"/>
        <v>0</v>
      </c>
      <c r="FU159" s="775">
        <f>DR159-BO159</f>
        <v>0</v>
      </c>
      <c r="FV159" s="775">
        <f>DO159-BM159</f>
        <v>0</v>
      </c>
      <c r="FW159" s="775">
        <f>DQ159-BN159</f>
        <v>1.4217500000000003</v>
      </c>
      <c r="FX159" s="775">
        <f t="shared" ref="FX159:GA160" si="111">DS159-BP159</f>
        <v>0</v>
      </c>
      <c r="FY159" s="775">
        <f t="shared" si="111"/>
        <v>0</v>
      </c>
      <c r="FZ159" s="775">
        <f t="shared" si="111"/>
        <v>0</v>
      </c>
      <c r="GA159" s="775">
        <f t="shared" si="111"/>
        <v>0</v>
      </c>
      <c r="GB159" s="2734">
        <f>SUM(GC159:GC160)</f>
        <v>2.3567500000000003</v>
      </c>
      <c r="GC159" s="776">
        <f t="shared" si="58"/>
        <v>1.4217500000000003</v>
      </c>
      <c r="GD159" s="139"/>
      <c r="GE159" s="139"/>
      <c r="GF159" s="139"/>
      <c r="GG159" s="139"/>
      <c r="GH159" s="139"/>
      <c r="GI159" s="139"/>
      <c r="GJ159" s="139"/>
      <c r="GK159" s="139"/>
      <c r="GL159" s="139"/>
      <c r="GM159" s="139"/>
      <c r="GN159" s="139"/>
      <c r="GO159" s="139"/>
      <c r="GP159" s="139"/>
      <c r="GQ159" s="139"/>
      <c r="GR159" s="139"/>
      <c r="GS159" s="139"/>
      <c r="GT159" s="139"/>
    </row>
    <row r="160" spans="1:202" s="81" customFormat="1" ht="15" customHeight="1">
      <c r="A160" s="2589"/>
      <c r="B160" s="2589"/>
      <c r="C160" s="66" t="s">
        <v>710</v>
      </c>
      <c r="D160" s="66">
        <v>2846</v>
      </c>
      <c r="E160" s="66">
        <v>1</v>
      </c>
      <c r="F160" s="841">
        <v>2028460001</v>
      </c>
      <c r="G160" s="66">
        <v>1100</v>
      </c>
      <c r="H160" s="69" t="s">
        <v>704</v>
      </c>
      <c r="I160" s="70"/>
      <c r="J160" s="66">
        <v>1</v>
      </c>
      <c r="K160" s="66">
        <v>0</v>
      </c>
      <c r="L160" s="66">
        <v>2</v>
      </c>
      <c r="M160" s="66">
        <v>6.5</v>
      </c>
      <c r="N160" s="68">
        <v>1095</v>
      </c>
      <c r="O160" s="68">
        <v>0</v>
      </c>
      <c r="P160" s="68">
        <v>0</v>
      </c>
      <c r="Q160" s="68">
        <v>1095</v>
      </c>
      <c r="R160" s="71">
        <v>0</v>
      </c>
      <c r="S160" s="791" t="s">
        <v>722</v>
      </c>
      <c r="T160" s="2601"/>
      <c r="U160" s="74">
        <v>0</v>
      </c>
      <c r="V160" s="2601"/>
      <c r="W160" s="74">
        <f>N160</f>
        <v>1095</v>
      </c>
      <c r="X160" s="74"/>
      <c r="Y160" s="74">
        <f>W160-AA160</f>
        <v>1095</v>
      </c>
      <c r="Z160" s="2601"/>
      <c r="AA160" s="74">
        <v>0</v>
      </c>
      <c r="AB160" s="2601"/>
      <c r="AC160" s="74">
        <v>0</v>
      </c>
      <c r="AD160" s="2601"/>
      <c r="AE160" s="74">
        <f>AG160+AF160</f>
        <v>0</v>
      </c>
      <c r="AF160" s="74">
        <v>0</v>
      </c>
      <c r="AG160" s="74">
        <v>0</v>
      </c>
      <c r="AH160" s="74">
        <v>0</v>
      </c>
      <c r="AI160" s="2601"/>
      <c r="AJ160" s="74">
        <v>0</v>
      </c>
      <c r="AK160" s="2601"/>
      <c r="AL160" s="74">
        <f>W160-(AA160+AC160+AE160+AH160+AJ160+AM160+AW160+AO160+AQ160+AS160+AU160)</f>
        <v>0</v>
      </c>
      <c r="AM160" s="792">
        <v>0</v>
      </c>
      <c r="AN160" s="2601"/>
      <c r="AO160" s="74">
        <v>0</v>
      </c>
      <c r="AP160" s="2601"/>
      <c r="AQ160" s="74">
        <f>W160</f>
        <v>1095</v>
      </c>
      <c r="AR160" s="2601"/>
      <c r="AS160" s="74">
        <v>0</v>
      </c>
      <c r="AT160" s="2601"/>
      <c r="AU160" s="74">
        <v>0</v>
      </c>
      <c r="AV160" s="2601"/>
      <c r="AW160" s="74">
        <f>AX160+AY160+AZ160+BA160+BB160</f>
        <v>0</v>
      </c>
      <c r="AX160" s="74">
        <v>0</v>
      </c>
      <c r="AY160" s="74">
        <v>0</v>
      </c>
      <c r="AZ160" s="74">
        <v>0</v>
      </c>
      <c r="BA160" s="74">
        <v>0</v>
      </c>
      <c r="BB160" s="74">
        <v>0</v>
      </c>
      <c r="BC160" s="74">
        <v>0</v>
      </c>
      <c r="BD160" s="2601"/>
      <c r="BE160" s="74">
        <f>U160+W160</f>
        <v>1095</v>
      </c>
      <c r="BF160" s="2601"/>
      <c r="BG160" s="74">
        <f>U160/1000</f>
        <v>0</v>
      </c>
      <c r="BH160" s="2601"/>
      <c r="BI160" s="74">
        <v>0</v>
      </c>
      <c r="BJ160" s="74">
        <f t="shared" si="59"/>
        <v>0</v>
      </c>
      <c r="BK160" s="88">
        <f>ROUND((Y160+AC160+AA160)/1000*3,0)+ROUND((AE160+AU160)/1000,0)+ROUND((ROUND(AH160/400,0))/2.67,0)+ROUND(AM160/250,0)+ROUND(AO160/15000,0)+ROUND((AX160+AY160+AZ160+BB160)/1000*3,0)+ROUND(BG160/25,0)+ROUND('[1]Projected Development Sites'!BS121/50,0)</f>
        <v>3</v>
      </c>
      <c r="BL160" s="74">
        <v>0</v>
      </c>
      <c r="BM160" s="74">
        <v>0</v>
      </c>
      <c r="BN160" s="74">
        <v>0</v>
      </c>
      <c r="BO160" s="74">
        <f>AC160/1000</f>
        <v>0</v>
      </c>
      <c r="BP160" s="74">
        <f>AH160/1000</f>
        <v>0</v>
      </c>
      <c r="BQ160" s="74">
        <v>0</v>
      </c>
      <c r="BR160" s="74">
        <v>0</v>
      </c>
      <c r="BS160" s="74">
        <v>0</v>
      </c>
      <c r="BT160" s="2601"/>
      <c r="BU160" s="74">
        <f>SUM(BL160:BS160)</f>
        <v>0</v>
      </c>
      <c r="BV160" s="81">
        <v>15</v>
      </c>
      <c r="BW160" s="793" t="s">
        <v>705</v>
      </c>
      <c r="BX160" s="81">
        <v>4.5999999999999996</v>
      </c>
      <c r="BY160" s="81">
        <v>2</v>
      </c>
      <c r="BZ160" s="81">
        <v>4.5999999999999996</v>
      </c>
      <c r="CA160" s="794" t="s">
        <v>706</v>
      </c>
      <c r="CB160" s="2597"/>
      <c r="CC160" s="795">
        <f>(BX160*G160)-CF160</f>
        <v>4125</v>
      </c>
      <c r="CD160" s="2733"/>
      <c r="CE160" s="2601"/>
      <c r="CF160" s="843">
        <f>1*(G160)-(0.15*1*(G160))</f>
        <v>935</v>
      </c>
      <c r="CG160" s="2601"/>
      <c r="CH160" s="843">
        <f>CF160-CJ160</f>
        <v>935</v>
      </c>
      <c r="CI160" s="2601"/>
      <c r="CJ160" s="81">
        <v>0</v>
      </c>
      <c r="CK160" s="2601"/>
      <c r="CL160" s="81">
        <v>0</v>
      </c>
      <c r="CM160" s="2601"/>
      <c r="CN160" s="74">
        <f>CF160-(CJ160+CL160+CO160+CP160+CR160+CU160+CV160+CX160)</f>
        <v>935</v>
      </c>
      <c r="CO160" s="797">
        <v>0</v>
      </c>
      <c r="CP160" s="797">
        <v>0</v>
      </c>
      <c r="CQ160" s="2601"/>
      <c r="CR160" s="74">
        <v>0</v>
      </c>
      <c r="CS160" s="797">
        <v>0</v>
      </c>
      <c r="CT160" s="797">
        <v>0</v>
      </c>
      <c r="CU160" s="797">
        <v>0</v>
      </c>
      <c r="CV160" s="797">
        <v>0</v>
      </c>
      <c r="CW160" s="2601"/>
      <c r="CX160" s="74">
        <f>SUM(CY160:DC160)</f>
        <v>0</v>
      </c>
      <c r="CY160" s="797">
        <f t="shared" si="109"/>
        <v>0</v>
      </c>
      <c r="CZ160" s="797">
        <f t="shared" si="109"/>
        <v>0</v>
      </c>
      <c r="DA160" s="797">
        <f t="shared" si="109"/>
        <v>0</v>
      </c>
      <c r="DB160" s="797">
        <f t="shared" si="109"/>
        <v>0</v>
      </c>
      <c r="DC160" s="797">
        <f t="shared" si="109"/>
        <v>0</v>
      </c>
      <c r="DD160" s="797"/>
      <c r="DE160" s="2601"/>
      <c r="DF160" s="74">
        <f>CC160+CF160</f>
        <v>5060</v>
      </c>
      <c r="DG160" s="2601"/>
      <c r="DH160" s="303">
        <f>CC160/'[1]Projected Development Sites'!DF$134</f>
        <v>4.125</v>
      </c>
      <c r="DI160" s="2724"/>
      <c r="DJ160" s="798">
        <f>'[1]Projected Development Sites'!DK$136*DH160</f>
        <v>4.125</v>
      </c>
      <c r="DK160" s="792">
        <f>2.87*DH160</f>
        <v>11.838750000000001</v>
      </c>
      <c r="DL160" s="917">
        <f>ROUND((CN160+CL160+CJ160)/1000*3,0)+ROUND((ROUND(CP160/400,0))/2.67,0)+ROUND(CV160/1000,0)+ROUND((CY160+CZ160+DA160+DC160)/1000*3,0)+ROUND(DH160/25,0)+ROUND(DX160/50,0)</f>
        <v>3</v>
      </c>
      <c r="DM160" s="799">
        <v>0</v>
      </c>
      <c r="DN160" s="799"/>
      <c r="DO160" s="799">
        <v>0</v>
      </c>
      <c r="DP160" s="799">
        <f>0.25*DJ160</f>
        <v>1.03125</v>
      </c>
      <c r="DQ160" s="799">
        <f>SUM(CO160,CJ160,CN160,CR160,CU160)/1000</f>
        <v>0.93500000000000005</v>
      </c>
      <c r="DR160" s="799">
        <f>CL160/1000</f>
        <v>0</v>
      </c>
      <c r="DS160" s="799">
        <f>((CP160/400)/12)</f>
        <v>0</v>
      </c>
      <c r="DT160" s="799">
        <f>IF(CX160&gt;0,"Calculate",0)</f>
        <v>0</v>
      </c>
      <c r="DU160" s="799">
        <v>0</v>
      </c>
      <c r="DV160" s="799">
        <f>CX160/1000</f>
        <v>0</v>
      </c>
      <c r="DW160" s="2724"/>
      <c r="DX160" s="800">
        <f>SUM(DM160,DO160,DQ160:DV160)</f>
        <v>0.93500000000000005</v>
      </c>
      <c r="DY160" s="2727"/>
      <c r="DZ160" s="2730"/>
      <c r="EA160" s="2603"/>
      <c r="EB160" s="195">
        <f>CF160-W160</f>
        <v>-160</v>
      </c>
      <c r="EC160" s="2603"/>
      <c r="ED160" s="190">
        <v>935</v>
      </c>
      <c r="EE160" s="195">
        <f>(SUM(CJ160:CO160))-(SUM(AA160:AE160,AL160))</f>
        <v>935</v>
      </c>
      <c r="EF160" s="2603"/>
      <c r="EG160" s="195">
        <v>935</v>
      </c>
      <c r="EH160" s="2603"/>
      <c r="EI160" s="195">
        <f>CL160-AC160</f>
        <v>0</v>
      </c>
      <c r="EJ160" s="2603"/>
      <c r="EK160" s="195">
        <f>CJ160-AA160</f>
        <v>0</v>
      </c>
      <c r="EL160" s="2603"/>
      <c r="EM160" s="190">
        <f>CO160-AE160</f>
        <v>0</v>
      </c>
      <c r="EN160" s="2603"/>
      <c r="EO160" s="190">
        <f>CP160-AH160</f>
        <v>0</v>
      </c>
      <c r="EP160" s="2603"/>
      <c r="EQ160" s="195">
        <f>CR160-AJ160</f>
        <v>0</v>
      </c>
      <c r="ER160" s="2603"/>
      <c r="ES160" s="195">
        <f>CS160-AO160</f>
        <v>0</v>
      </c>
      <c r="ET160" s="2603"/>
      <c r="EU160" s="190">
        <f t="shared" si="57"/>
        <v>-1095</v>
      </c>
      <c r="EV160" s="2603"/>
      <c r="EW160" s="195">
        <f>CU160-AS160</f>
        <v>0</v>
      </c>
      <c r="EX160" s="2603"/>
      <c r="EY160" s="190">
        <f>CV160-AU160</f>
        <v>0</v>
      </c>
      <c r="EZ160" s="2603"/>
      <c r="FA160" s="190">
        <f>CY160-AX160</f>
        <v>0</v>
      </c>
      <c r="FB160" s="2603"/>
      <c r="FC160" s="190">
        <f>CZ160-AY160</f>
        <v>0</v>
      </c>
      <c r="FD160" s="2603"/>
      <c r="FE160" s="190">
        <f>DA160-AZ160</f>
        <v>0</v>
      </c>
      <c r="FF160" s="2603"/>
      <c r="FG160" s="190">
        <f>DB160-BA160</f>
        <v>0</v>
      </c>
      <c r="FH160" s="2603"/>
      <c r="FI160" s="190">
        <f>DC160-BB160</f>
        <v>0</v>
      </c>
      <c r="FJ160" s="2603"/>
      <c r="FK160" s="190">
        <f>CX160-AW160</f>
        <v>0</v>
      </c>
      <c r="FL160" s="2603"/>
      <c r="FM160" s="195">
        <f>DF160-BE160</f>
        <v>3965</v>
      </c>
      <c r="FN160" s="2603"/>
      <c r="FO160" s="195">
        <f>DH160-BG160</f>
        <v>4.125</v>
      </c>
      <c r="FP160" s="2603"/>
      <c r="FQ160" s="195">
        <f t="shared" si="110"/>
        <v>4.125</v>
      </c>
      <c r="FR160" s="190">
        <f t="shared" si="110"/>
        <v>11.838750000000001</v>
      </c>
      <c r="FS160" s="190">
        <f t="shared" si="110"/>
        <v>0</v>
      </c>
      <c r="FT160" s="801">
        <f t="shared" si="110"/>
        <v>0</v>
      </c>
      <c r="FU160" s="801">
        <f>DR160-BO160</f>
        <v>0</v>
      </c>
      <c r="FV160" s="801">
        <f>DO160-BM160</f>
        <v>0</v>
      </c>
      <c r="FW160" s="801">
        <f>DQ160-BN160</f>
        <v>0.93500000000000005</v>
      </c>
      <c r="FX160" s="801">
        <f t="shared" si="111"/>
        <v>0</v>
      </c>
      <c r="FY160" s="801">
        <f t="shared" si="111"/>
        <v>0</v>
      </c>
      <c r="FZ160" s="801">
        <f t="shared" si="111"/>
        <v>0</v>
      </c>
      <c r="GA160" s="801">
        <f t="shared" si="111"/>
        <v>0</v>
      </c>
      <c r="GB160" s="2736"/>
      <c r="GC160" s="845">
        <f t="shared" si="58"/>
        <v>0.93500000000000005</v>
      </c>
      <c r="GD160" s="139"/>
      <c r="GE160" s="139"/>
      <c r="GF160" s="139"/>
      <c r="GG160" s="139"/>
      <c r="GH160" s="139"/>
      <c r="GI160" s="139"/>
      <c r="GJ160" s="139"/>
      <c r="GK160" s="139"/>
      <c r="GL160" s="139"/>
      <c r="GM160" s="139"/>
      <c r="GN160" s="139"/>
      <c r="GO160" s="139"/>
      <c r="GP160" s="139"/>
      <c r="GQ160" s="139"/>
      <c r="GR160" s="139"/>
      <c r="GS160" s="139"/>
      <c r="GT160" s="139"/>
    </row>
    <row r="161" spans="1:202" s="139" customFormat="1" ht="18.75">
      <c r="A161" s="2263"/>
      <c r="B161" s="2263"/>
      <c r="C161" s="132"/>
      <c r="D161" s="132"/>
      <c r="E161" s="132"/>
      <c r="F161" s="777"/>
      <c r="G161" s="132"/>
      <c r="H161" s="135"/>
      <c r="I161" s="136"/>
      <c r="J161" s="132"/>
      <c r="K161" s="132"/>
      <c r="L161" s="132"/>
      <c r="M161" s="132"/>
      <c r="N161" s="134"/>
      <c r="O161" s="134"/>
      <c r="P161" s="134"/>
      <c r="Q161" s="134"/>
      <c r="R161" s="137"/>
      <c r="S161" s="778"/>
      <c r="T161" s="634"/>
      <c r="U161" s="102"/>
      <c r="V161" s="634"/>
      <c r="W161" s="102"/>
      <c r="X161" s="102"/>
      <c r="Y161" s="102"/>
      <c r="Z161" s="634"/>
      <c r="AA161" s="102"/>
      <c r="AB161" s="634"/>
      <c r="AC161" s="102"/>
      <c r="AD161" s="634"/>
      <c r="AE161" s="102"/>
      <c r="AF161" s="102"/>
      <c r="AG161" s="102"/>
      <c r="AH161" s="102"/>
      <c r="AI161" s="634"/>
      <c r="AJ161" s="102"/>
      <c r="AK161" s="634"/>
      <c r="AL161" s="102"/>
      <c r="AM161" s="779"/>
      <c r="AN161" s="634"/>
      <c r="AO161" s="102"/>
      <c r="AP161" s="634"/>
      <c r="AQ161" s="102"/>
      <c r="AR161" s="634"/>
      <c r="AS161" s="102"/>
      <c r="AT161" s="634"/>
      <c r="AU161" s="102"/>
      <c r="AV161" s="634"/>
      <c r="AW161" s="102"/>
      <c r="AX161" s="102"/>
      <c r="AY161" s="102"/>
      <c r="AZ161" s="102"/>
      <c r="BA161" s="102"/>
      <c r="BB161" s="102"/>
      <c r="BC161" s="102"/>
      <c r="BD161" s="634"/>
      <c r="BE161" s="102"/>
      <c r="BF161" s="634"/>
      <c r="BG161" s="102"/>
      <c r="BH161" s="634"/>
      <c r="BI161" s="102"/>
      <c r="BJ161" s="111"/>
      <c r="BK161" s="186"/>
      <c r="BL161" s="102"/>
      <c r="BM161" s="102"/>
      <c r="BN161" s="102"/>
      <c r="BO161" s="102"/>
      <c r="BP161" s="102"/>
      <c r="BQ161" s="102"/>
      <c r="BR161" s="102"/>
      <c r="BS161" s="102"/>
      <c r="BT161" s="634"/>
      <c r="BU161" s="102"/>
      <c r="BW161" s="780"/>
      <c r="CA161" s="781"/>
      <c r="CB161" s="2258"/>
      <c r="CC161" s="782"/>
      <c r="CD161" s="782"/>
      <c r="CE161" s="634"/>
      <c r="CF161" s="783"/>
      <c r="CG161" s="634"/>
      <c r="CH161" s="783"/>
      <c r="CI161" s="634"/>
      <c r="CK161" s="634"/>
      <c r="CM161" s="634"/>
      <c r="CN161" s="784"/>
      <c r="CO161" s="784"/>
      <c r="CP161" s="784"/>
      <c r="CQ161" s="634"/>
      <c r="CR161" s="102"/>
      <c r="CS161" s="784"/>
      <c r="CT161" s="784"/>
      <c r="CU161" s="784"/>
      <c r="CV161" s="784"/>
      <c r="CW161" s="634"/>
      <c r="CX161" s="102"/>
      <c r="CY161" s="784"/>
      <c r="CZ161" s="784"/>
      <c r="DA161" s="784"/>
      <c r="DB161" s="784"/>
      <c r="DC161" s="784"/>
      <c r="DD161" s="784"/>
      <c r="DE161" s="634"/>
      <c r="DF161" s="784"/>
      <c r="DG161" s="634"/>
      <c r="DH161" s="296"/>
      <c r="DI161" s="802"/>
      <c r="DJ161" s="785"/>
      <c r="DK161" s="899"/>
      <c r="DL161" s="786"/>
      <c r="DM161" s="787"/>
      <c r="DN161" s="787"/>
      <c r="DO161" s="787"/>
      <c r="DP161" s="787"/>
      <c r="DQ161" s="787"/>
      <c r="DR161" s="787"/>
      <c r="DS161" s="787"/>
      <c r="DT161" s="787"/>
      <c r="DU161" s="787"/>
      <c r="DV161" s="787"/>
      <c r="DW161" s="802"/>
      <c r="DX161" s="788"/>
      <c r="DY161" s="634"/>
      <c r="DZ161" s="2288"/>
      <c r="EA161" s="2231"/>
      <c r="EB161" s="187"/>
      <c r="EC161" s="2232"/>
      <c r="ED161" s="187"/>
      <c r="EE161" s="187"/>
      <c r="EF161" s="2232"/>
      <c r="EG161" s="187"/>
      <c r="EH161" s="2232"/>
      <c r="EI161" s="187"/>
      <c r="EJ161" s="2232"/>
      <c r="EK161" s="187"/>
      <c r="EL161" s="2232"/>
      <c r="EM161" s="195"/>
      <c r="EN161" s="2232"/>
      <c r="EO161" s="195"/>
      <c r="EP161" s="2232"/>
      <c r="EQ161" s="187"/>
      <c r="ER161" s="2232"/>
      <c r="ES161" s="187"/>
      <c r="ET161" s="2232"/>
      <c r="EU161" s="187">
        <f t="shared" si="57"/>
        <v>0</v>
      </c>
      <c r="EV161" s="2232"/>
      <c r="EW161" s="187"/>
      <c r="EX161" s="2232"/>
      <c r="EY161" s="195"/>
      <c r="EZ161" s="2232"/>
      <c r="FA161" s="195"/>
      <c r="FB161" s="2232"/>
      <c r="FC161" s="195"/>
      <c r="FD161" s="2232"/>
      <c r="FE161" s="195"/>
      <c r="FF161" s="2232"/>
      <c r="FG161" s="195"/>
      <c r="FH161" s="2232"/>
      <c r="FI161" s="195"/>
      <c r="FJ161" s="2232"/>
      <c r="FK161" s="195"/>
      <c r="FL161" s="2232"/>
      <c r="FM161" s="187"/>
      <c r="FN161" s="2232"/>
      <c r="FO161" s="187"/>
      <c r="FP161" s="2232"/>
      <c r="FQ161" s="187"/>
      <c r="FR161" s="195"/>
      <c r="FS161" s="195"/>
      <c r="FT161" s="789"/>
      <c r="FU161" s="789"/>
      <c r="FV161" s="789"/>
      <c r="FW161" s="789"/>
      <c r="FX161" s="789"/>
      <c r="FY161" s="789"/>
      <c r="FZ161" s="789"/>
      <c r="GA161" s="789"/>
      <c r="GB161" s="2289"/>
      <c r="GC161" s="776"/>
    </row>
    <row r="162" spans="1:202" s="228" customFormat="1" ht="18.75">
      <c r="A162" s="216"/>
      <c r="B162" s="216">
        <v>56</v>
      </c>
      <c r="C162" s="918" t="s">
        <v>703</v>
      </c>
      <c r="D162" s="218">
        <v>2858</v>
      </c>
      <c r="E162" s="218">
        <v>9</v>
      </c>
      <c r="F162" s="897">
        <v>2028580009</v>
      </c>
      <c r="G162" s="218">
        <v>12691</v>
      </c>
      <c r="H162" s="221" t="s">
        <v>704</v>
      </c>
      <c r="I162" s="222"/>
      <c r="J162" s="218">
        <v>1.68</v>
      </c>
      <c r="K162" s="218">
        <v>0</v>
      </c>
      <c r="L162" s="218">
        <v>2</v>
      </c>
      <c r="M162" s="218">
        <v>6.5</v>
      </c>
      <c r="N162" s="220">
        <v>21330</v>
      </c>
      <c r="O162" s="220">
        <f>N162</f>
        <v>21330</v>
      </c>
      <c r="P162" s="220">
        <v>0</v>
      </c>
      <c r="Q162" s="220">
        <v>21330</v>
      </c>
      <c r="R162" s="223">
        <v>0</v>
      </c>
      <c r="S162" s="898" t="s">
        <v>711</v>
      </c>
      <c r="T162" s="234">
        <f>U162</f>
        <v>0</v>
      </c>
      <c r="U162" s="111">
        <v>0</v>
      </c>
      <c r="V162" s="234">
        <f>W162</f>
        <v>21330</v>
      </c>
      <c r="W162" s="111">
        <f>N162</f>
        <v>21330</v>
      </c>
      <c r="X162" s="111"/>
      <c r="Y162" s="111">
        <f>W162-AA162</f>
        <v>21330</v>
      </c>
      <c r="Z162" s="234">
        <f>AA162</f>
        <v>0</v>
      </c>
      <c r="AA162" s="111">
        <v>0</v>
      </c>
      <c r="AB162" s="234">
        <f>AC162</f>
        <v>0</v>
      </c>
      <c r="AC162" s="111">
        <v>0</v>
      </c>
      <c r="AD162" s="234">
        <f>AE162</f>
        <v>21330</v>
      </c>
      <c r="AE162" s="111">
        <f>AF162+AG162</f>
        <v>21330</v>
      </c>
      <c r="AF162" s="111">
        <f>0.2*O162</f>
        <v>4266</v>
      </c>
      <c r="AG162" s="111">
        <f>0.8*O162</f>
        <v>17064</v>
      </c>
      <c r="AH162" s="111">
        <v>0</v>
      </c>
      <c r="AI162" s="234">
        <f>AJ162</f>
        <v>0</v>
      </c>
      <c r="AJ162" s="111">
        <v>0</v>
      </c>
      <c r="AK162" s="234">
        <f>AL162</f>
        <v>0</v>
      </c>
      <c r="AL162" s="111">
        <f>W162-(AA162+AC162+AE162+AH162+AJ162+AM162+AW162+AO162+AQ162+AS162+AU162)</f>
        <v>0</v>
      </c>
      <c r="AM162" s="899">
        <v>0</v>
      </c>
      <c r="AN162" s="234">
        <f>AO162</f>
        <v>0</v>
      </c>
      <c r="AO162" s="111">
        <v>0</v>
      </c>
      <c r="AP162" s="234">
        <f>AQ162</f>
        <v>0</v>
      </c>
      <c r="AQ162" s="111">
        <v>0</v>
      </c>
      <c r="AR162" s="234">
        <f>AS162</f>
        <v>0</v>
      </c>
      <c r="AS162" s="111">
        <v>0</v>
      </c>
      <c r="AT162" s="234">
        <f>AU162</f>
        <v>0</v>
      </c>
      <c r="AU162" s="111">
        <v>0</v>
      </c>
      <c r="AV162" s="234">
        <f>AW162</f>
        <v>0</v>
      </c>
      <c r="AW162" s="111">
        <f>AX162+AY162+AZ162+BA162+BB162</f>
        <v>0</v>
      </c>
      <c r="AX162" s="111">
        <v>0</v>
      </c>
      <c r="AY162" s="111">
        <v>0</v>
      </c>
      <c r="AZ162" s="111">
        <v>0</v>
      </c>
      <c r="BA162" s="111">
        <v>0</v>
      </c>
      <c r="BB162" s="111">
        <v>0</v>
      </c>
      <c r="BC162" s="111">
        <v>0</v>
      </c>
      <c r="BD162" s="234">
        <f>BE162</f>
        <v>21330</v>
      </c>
      <c r="BE162" s="111">
        <f>ROUND(U162+W162,0)</f>
        <v>21330</v>
      </c>
      <c r="BF162" s="234">
        <f>BG162</f>
        <v>0</v>
      </c>
      <c r="BG162" s="111">
        <f>ROUND(U162/'[1]Projected Development Sites'!DF$134,0)</f>
        <v>0</v>
      </c>
      <c r="BH162" s="234">
        <f>BI162</f>
        <v>0</v>
      </c>
      <c r="BI162" s="111">
        <f>'[1]Projected Development Sites'!BG$135*BG162</f>
        <v>0</v>
      </c>
      <c r="BJ162" s="111">
        <f t="shared" si="59"/>
        <v>0</v>
      </c>
      <c r="BK162" s="306">
        <f>ROUND((AL162+AC162+AA162)/1000*3,0)+ROUND((AE162+AU162)/1000,0)+ROUND((ROUND(AH162/400,0))/2.67,0)+ROUND(AJ162/250,0)+ROUND(AO162/15000,0)+ROUND((AX162+AY162+AZ162+BB162)/1000*3,0)+ROUND(BG162/25,0)+ROUND(BU162/50,0)</f>
        <v>21</v>
      </c>
      <c r="BL162" s="111">
        <v>0</v>
      </c>
      <c r="BM162" s="111">
        <v>0</v>
      </c>
      <c r="BN162" s="111">
        <f>W162/1000</f>
        <v>21.33</v>
      </c>
      <c r="BO162" s="111">
        <f>AC162/1000</f>
        <v>0</v>
      </c>
      <c r="BP162" s="111">
        <f>((AH162/400)/12)</f>
        <v>0</v>
      </c>
      <c r="BQ162" s="111">
        <f>IFERROR(VLOOKUP(F162,#REF!,3,FALSE),0)</f>
        <v>0</v>
      </c>
      <c r="BR162" s="111" t="b">
        <f>IF(H162="M1-2",G162/1000)</f>
        <v>0</v>
      </c>
      <c r="BS162" s="111">
        <f>IF(BB162&gt;0,"Calculate",0)</f>
        <v>0</v>
      </c>
      <c r="BT162" s="234">
        <f>BU162</f>
        <v>21.33</v>
      </c>
      <c r="BU162" s="111">
        <f>SUM(BL162:BS162)</f>
        <v>21.33</v>
      </c>
      <c r="BV162" s="228">
        <v>10</v>
      </c>
      <c r="BW162" s="900" t="s">
        <v>741</v>
      </c>
      <c r="BX162" s="228">
        <v>7.2</v>
      </c>
      <c r="BY162" s="228">
        <v>2</v>
      </c>
      <c r="BZ162" s="228">
        <v>6.5</v>
      </c>
      <c r="CA162" s="901" t="s">
        <v>706</v>
      </c>
      <c r="CB162" s="230" t="s">
        <v>881</v>
      </c>
      <c r="CC162" s="399">
        <f>(BX162*G162)-CF162</f>
        <v>80587.849999999991</v>
      </c>
      <c r="CD162" s="399">
        <v>80587.849999999991</v>
      </c>
      <c r="CE162" s="234">
        <f>CF162</f>
        <v>10787.35</v>
      </c>
      <c r="CF162" s="836">
        <f>1*(G162)-(0.15*1*(G162))</f>
        <v>10787.35</v>
      </c>
      <c r="CG162" s="234">
        <f>CH162</f>
        <v>10787.35</v>
      </c>
      <c r="CH162" s="836">
        <f>CF162-CJ162</f>
        <v>10787.35</v>
      </c>
      <c r="CI162" s="234">
        <f>CJ162</f>
        <v>0</v>
      </c>
      <c r="CJ162" s="228">
        <v>0</v>
      </c>
      <c r="CK162" s="234">
        <f>CL162</f>
        <v>0</v>
      </c>
      <c r="CL162" s="228">
        <v>0</v>
      </c>
      <c r="CM162" s="234">
        <f>CN162</f>
        <v>10787.35</v>
      </c>
      <c r="CN162" s="903">
        <f>CF162-(CJ162+CL162+CO162+CP162+CR162+CU162+CV162+CX162)</f>
        <v>10787.35</v>
      </c>
      <c r="CO162" s="903">
        <v>0</v>
      </c>
      <c r="CP162" s="903">
        <v>0</v>
      </c>
      <c r="CQ162" s="234">
        <f>CR162</f>
        <v>0</v>
      </c>
      <c r="CR162" s="111">
        <v>0</v>
      </c>
      <c r="CS162" s="903">
        <v>0</v>
      </c>
      <c r="CT162" s="903">
        <v>0</v>
      </c>
      <c r="CU162" s="903">
        <v>0</v>
      </c>
      <c r="CV162" s="903">
        <v>0</v>
      </c>
      <c r="CW162" s="234">
        <f>CX162</f>
        <v>0</v>
      </c>
      <c r="CX162" s="111">
        <f>SUM(CY162:DC162)</f>
        <v>0</v>
      </c>
      <c r="CY162" s="903">
        <v>0</v>
      </c>
      <c r="CZ162" s="903">
        <v>0</v>
      </c>
      <c r="DA162" s="903">
        <v>0</v>
      </c>
      <c r="DB162" s="903">
        <v>0</v>
      </c>
      <c r="DC162" s="903">
        <v>0</v>
      </c>
      <c r="DD162" s="903"/>
      <c r="DE162" s="234">
        <f>DF162</f>
        <v>91375.2</v>
      </c>
      <c r="DF162" s="903">
        <f>CC162+CF162</f>
        <v>91375.2</v>
      </c>
      <c r="DG162" s="234">
        <f>DH162</f>
        <v>81</v>
      </c>
      <c r="DH162" s="228">
        <f>ROUND(CC162/'[1]Projected Development Sites'!DF$134,0)</f>
        <v>81</v>
      </c>
      <c r="DI162" s="886">
        <f>DJ162</f>
        <v>81</v>
      </c>
      <c r="DJ162" s="905">
        <f>'[1]Projected Development Sites'!DK$136*DH162</f>
        <v>81</v>
      </c>
      <c r="DK162" s="899">
        <f>2.87*DH162</f>
        <v>232.47</v>
      </c>
      <c r="DL162" s="772">
        <f>ROUND((CN162+CL162+CJ162)/1000*3,0)+ROUND((ROUND(CP162/400,0))/2.67,0)+ROUND(CV162/1000,0)+ROUND((CY162+CZ162+DA162+DC162)/1000*3,0)+ROUND(DH162/25,0)+ROUND(DX162/50,0)</f>
        <v>35</v>
      </c>
      <c r="DM162" s="905">
        <v>0</v>
      </c>
      <c r="DN162" s="905"/>
      <c r="DO162" s="905">
        <v>0</v>
      </c>
      <c r="DP162" s="905">
        <f>0.25*DJ162</f>
        <v>20.25</v>
      </c>
      <c r="DQ162" s="905">
        <f>SUM(CO162,CJ162,CN162,CR162,CU162)/1000</f>
        <v>10.78735</v>
      </c>
      <c r="DR162" s="905">
        <f>CL162/1000</f>
        <v>0</v>
      </c>
      <c r="DS162" s="905">
        <f>((CP162/400)/12)</f>
        <v>0</v>
      </c>
      <c r="DT162" s="905">
        <f>IF(CX162&gt;0,"Calculate",0)</f>
        <v>0</v>
      </c>
      <c r="DU162" s="905">
        <v>0</v>
      </c>
      <c r="DV162" s="905">
        <f>CX162/1000</f>
        <v>0</v>
      </c>
      <c r="DW162" s="886">
        <f>DX162</f>
        <v>10.78735</v>
      </c>
      <c r="DX162" s="906">
        <f>SUM(DM162,DO162,DQ162:DV162)</f>
        <v>10.78735</v>
      </c>
      <c r="DY162" s="837">
        <v>165</v>
      </c>
      <c r="DZ162" s="2288">
        <f>CD162-T162</f>
        <v>80587.849999999991</v>
      </c>
      <c r="EA162" s="2231">
        <f>CE162-V162</f>
        <v>-10542.65</v>
      </c>
      <c r="EB162" s="187">
        <f>CF162-W162</f>
        <v>-10542.65</v>
      </c>
      <c r="EC162" s="235">
        <f>ED162</f>
        <v>-10542.65</v>
      </c>
      <c r="ED162" s="187">
        <v>-10542.65</v>
      </c>
      <c r="EE162" s="187">
        <f>(SUM(CJ162:CO162))-(SUM(AA162:AE162,AL162))</f>
        <v>-21085.3</v>
      </c>
      <c r="EF162" s="235">
        <f>EG162</f>
        <v>10787.35</v>
      </c>
      <c r="EG162" s="187">
        <v>10787.35</v>
      </c>
      <c r="EH162" s="235">
        <f>EI162</f>
        <v>0</v>
      </c>
      <c r="EI162" s="187">
        <f>CL162-AC162</f>
        <v>0</v>
      </c>
      <c r="EJ162" s="235">
        <f>EK162</f>
        <v>0</v>
      </c>
      <c r="EK162" s="187">
        <f>CJ162-AA162</f>
        <v>0</v>
      </c>
      <c r="EL162" s="235">
        <f>EM162</f>
        <v>-21330</v>
      </c>
      <c r="EM162" s="245">
        <f>CO162-AE162</f>
        <v>-21330</v>
      </c>
      <c r="EN162" s="235">
        <f>EO162</f>
        <v>0</v>
      </c>
      <c r="EO162" s="245">
        <f>CP162-AH162</f>
        <v>0</v>
      </c>
      <c r="EP162" s="235">
        <f>EQ162</f>
        <v>0</v>
      </c>
      <c r="EQ162" s="187">
        <f>CR162-AJ162</f>
        <v>0</v>
      </c>
      <c r="ER162" s="235">
        <f>ES162</f>
        <v>0</v>
      </c>
      <c r="ES162" s="187">
        <f>CS162-AO162</f>
        <v>0</v>
      </c>
      <c r="ET162" s="235">
        <f>EU162</f>
        <v>0</v>
      </c>
      <c r="EU162" s="187">
        <f t="shared" si="57"/>
        <v>0</v>
      </c>
      <c r="EV162" s="235">
        <f>EW162</f>
        <v>0</v>
      </c>
      <c r="EW162" s="187">
        <f>CU162-AS162</f>
        <v>0</v>
      </c>
      <c r="EX162" s="235">
        <f>EY162</f>
        <v>0</v>
      </c>
      <c r="EY162" s="245">
        <f>CV162-AU162</f>
        <v>0</v>
      </c>
      <c r="EZ162" s="235">
        <f>FA162</f>
        <v>0</v>
      </c>
      <c r="FA162" s="245">
        <f>CY162-AX162</f>
        <v>0</v>
      </c>
      <c r="FB162" s="235">
        <f>FC162</f>
        <v>0</v>
      </c>
      <c r="FC162" s="245">
        <f>CZ162-AY162</f>
        <v>0</v>
      </c>
      <c r="FD162" s="235">
        <f>FE162</f>
        <v>0</v>
      </c>
      <c r="FE162" s="245">
        <f>DA162-AZ162</f>
        <v>0</v>
      </c>
      <c r="FF162" s="235">
        <f>FG162</f>
        <v>0</v>
      </c>
      <c r="FG162" s="245">
        <f>DB162-BA162</f>
        <v>0</v>
      </c>
      <c r="FH162" s="235">
        <f>FI162</f>
        <v>0</v>
      </c>
      <c r="FI162" s="245">
        <f>DC162-BB162</f>
        <v>0</v>
      </c>
      <c r="FJ162" s="235">
        <f>FK162</f>
        <v>0</v>
      </c>
      <c r="FK162" s="245">
        <f>CX162-AW162</f>
        <v>0</v>
      </c>
      <c r="FL162" s="235">
        <f>FM162</f>
        <v>70045.2</v>
      </c>
      <c r="FM162" s="187">
        <f>DF162-BE162</f>
        <v>70045.2</v>
      </c>
      <c r="FN162" s="235">
        <f>FO162</f>
        <v>81</v>
      </c>
      <c r="FO162" s="187">
        <f>DH162-BG162</f>
        <v>81</v>
      </c>
      <c r="FP162" s="235">
        <f>FQ162</f>
        <v>81</v>
      </c>
      <c r="FQ162" s="187">
        <f>DJ162-BI162</f>
        <v>81</v>
      </c>
      <c r="FR162" s="245">
        <f>DK162-BJ162</f>
        <v>232.47</v>
      </c>
      <c r="FS162" s="245">
        <f>DL162-BK162</f>
        <v>14</v>
      </c>
      <c r="FT162" s="907">
        <f>DM162-BL162</f>
        <v>0</v>
      </c>
      <c r="FU162" s="907">
        <f>DR162-BO162</f>
        <v>0</v>
      </c>
      <c r="FV162" s="907">
        <f>DO162-BM162</f>
        <v>0</v>
      </c>
      <c r="FW162" s="907">
        <f>DQ162-BN162</f>
        <v>-10.542649999999998</v>
      </c>
      <c r="FX162" s="907">
        <f>DS162-BP162</f>
        <v>0</v>
      </c>
      <c r="FY162" s="907">
        <f>DT162-BQ162</f>
        <v>0</v>
      </c>
      <c r="FZ162" s="907">
        <f>DU162-BR162</f>
        <v>0</v>
      </c>
      <c r="GA162" s="907">
        <f>DV162-BS162</f>
        <v>0</v>
      </c>
      <c r="GB162" s="894">
        <f>GC162</f>
        <v>-10.542649999999998</v>
      </c>
      <c r="GC162" s="776">
        <f t="shared" si="58"/>
        <v>-10.542649999999998</v>
      </c>
      <c r="GD162" s="139"/>
      <c r="GE162" s="139"/>
      <c r="GF162" s="139"/>
      <c r="GG162" s="139"/>
      <c r="GH162" s="139"/>
      <c r="GI162" s="139"/>
      <c r="GJ162" s="139"/>
      <c r="GK162" s="139"/>
      <c r="GL162" s="139"/>
      <c r="GM162" s="139"/>
      <c r="GN162" s="139"/>
      <c r="GO162" s="139"/>
      <c r="GP162" s="139"/>
      <c r="GQ162" s="139"/>
      <c r="GR162" s="139"/>
      <c r="GS162" s="139"/>
      <c r="GT162" s="139"/>
    </row>
    <row r="163" spans="1:202" s="139" customFormat="1" ht="18.75">
      <c r="A163" s="2263"/>
      <c r="B163" s="2263"/>
      <c r="C163" s="132"/>
      <c r="D163" s="132"/>
      <c r="E163" s="132"/>
      <c r="F163" s="777"/>
      <c r="G163" s="132"/>
      <c r="H163" s="135"/>
      <c r="I163" s="136"/>
      <c r="J163" s="132"/>
      <c r="K163" s="132"/>
      <c r="L163" s="132"/>
      <c r="M163" s="132"/>
      <c r="N163" s="134"/>
      <c r="O163" s="134"/>
      <c r="P163" s="134"/>
      <c r="Q163" s="134"/>
      <c r="R163" s="137"/>
      <c r="S163" s="778"/>
      <c r="T163" s="634"/>
      <c r="U163" s="102"/>
      <c r="V163" s="634"/>
      <c r="W163" s="102"/>
      <c r="X163" s="102"/>
      <c r="Y163" s="102"/>
      <c r="Z163" s="634"/>
      <c r="AA163" s="102"/>
      <c r="AB163" s="634"/>
      <c r="AC163" s="102"/>
      <c r="AD163" s="634"/>
      <c r="AE163" s="102"/>
      <c r="AF163" s="102"/>
      <c r="AG163" s="102"/>
      <c r="AH163" s="102"/>
      <c r="AI163" s="634"/>
      <c r="AJ163" s="102"/>
      <c r="AK163" s="634"/>
      <c r="AL163" s="102"/>
      <c r="AM163" s="779"/>
      <c r="AN163" s="634"/>
      <c r="AO163" s="102"/>
      <c r="AP163" s="634"/>
      <c r="AQ163" s="102"/>
      <c r="AR163" s="634"/>
      <c r="AS163" s="102"/>
      <c r="AT163" s="634"/>
      <c r="AU163" s="102"/>
      <c r="AV163" s="634"/>
      <c r="AW163" s="102"/>
      <c r="AX163" s="102"/>
      <c r="AY163" s="102"/>
      <c r="AZ163" s="102"/>
      <c r="BA163" s="102"/>
      <c r="BB163" s="102"/>
      <c r="BC163" s="102"/>
      <c r="BD163" s="634"/>
      <c r="BE163" s="102"/>
      <c r="BF163" s="634"/>
      <c r="BG163" s="102"/>
      <c r="BH163" s="634"/>
      <c r="BI163" s="102"/>
      <c r="BJ163" s="111"/>
      <c r="BK163" s="186"/>
      <c r="BL163" s="102"/>
      <c r="BM163" s="102"/>
      <c r="BN163" s="102"/>
      <c r="BO163" s="102"/>
      <c r="BP163" s="102"/>
      <c r="BQ163" s="102"/>
      <c r="BR163" s="102"/>
      <c r="BS163" s="102"/>
      <c r="BT163" s="634"/>
      <c r="BU163" s="102"/>
      <c r="BW163" s="780"/>
      <c r="CA163" s="781"/>
      <c r="CB163" s="2258"/>
      <c r="CC163" s="782"/>
      <c r="CD163" s="782"/>
      <c r="CE163" s="634"/>
      <c r="CF163" s="783"/>
      <c r="CG163" s="634"/>
      <c r="CH163" s="783"/>
      <c r="CI163" s="634"/>
      <c r="CK163" s="634"/>
      <c r="CM163" s="634"/>
      <c r="CN163" s="784"/>
      <c r="CO163" s="784"/>
      <c r="CP163" s="784"/>
      <c r="CQ163" s="634"/>
      <c r="CR163" s="102"/>
      <c r="CS163" s="784"/>
      <c r="CT163" s="784"/>
      <c r="CU163" s="784"/>
      <c r="CV163" s="784"/>
      <c r="CW163" s="634"/>
      <c r="CX163" s="102"/>
      <c r="CY163" s="784"/>
      <c r="CZ163" s="784"/>
      <c r="DA163" s="784"/>
      <c r="DB163" s="784"/>
      <c r="DC163" s="784"/>
      <c r="DD163" s="784"/>
      <c r="DE163" s="634"/>
      <c r="DF163" s="784"/>
      <c r="DG163" s="634"/>
      <c r="DH163" s="296"/>
      <c r="DI163" s="802"/>
      <c r="DJ163" s="785"/>
      <c r="DK163" s="899"/>
      <c r="DL163" s="772"/>
      <c r="DM163" s="787"/>
      <c r="DN163" s="787"/>
      <c r="DO163" s="787"/>
      <c r="DP163" s="787"/>
      <c r="DQ163" s="787"/>
      <c r="DR163" s="787"/>
      <c r="DS163" s="787"/>
      <c r="DT163" s="787"/>
      <c r="DU163" s="787"/>
      <c r="DV163" s="787"/>
      <c r="DW163" s="802"/>
      <c r="DX163" s="788"/>
      <c r="DY163" s="634"/>
      <c r="DZ163" s="2288"/>
      <c r="EA163" s="2231"/>
      <c r="EB163" s="187"/>
      <c r="EC163" s="2232"/>
      <c r="ED163" s="187"/>
      <c r="EE163" s="187"/>
      <c r="EF163" s="2232"/>
      <c r="EG163" s="187"/>
      <c r="EH163" s="2232"/>
      <c r="EI163" s="187"/>
      <c r="EJ163" s="2232"/>
      <c r="EK163" s="187"/>
      <c r="EL163" s="2232"/>
      <c r="EM163" s="195"/>
      <c r="EN163" s="2232"/>
      <c r="EO163" s="195"/>
      <c r="EP163" s="2232"/>
      <c r="EQ163" s="187"/>
      <c r="ER163" s="2232"/>
      <c r="ES163" s="187"/>
      <c r="ET163" s="2232"/>
      <c r="EU163" s="187">
        <f t="shared" si="57"/>
        <v>0</v>
      </c>
      <c r="EV163" s="2232"/>
      <c r="EW163" s="187"/>
      <c r="EX163" s="2232"/>
      <c r="EY163" s="195"/>
      <c r="EZ163" s="2232"/>
      <c r="FA163" s="195"/>
      <c r="FB163" s="2232"/>
      <c r="FC163" s="195"/>
      <c r="FD163" s="2232"/>
      <c r="FE163" s="195"/>
      <c r="FF163" s="2232"/>
      <c r="FG163" s="195"/>
      <c r="FH163" s="2232"/>
      <c r="FI163" s="195"/>
      <c r="FJ163" s="2232"/>
      <c r="FK163" s="195"/>
      <c r="FL163" s="2232"/>
      <c r="FM163" s="187"/>
      <c r="FN163" s="2232"/>
      <c r="FO163" s="187"/>
      <c r="FP163" s="2232"/>
      <c r="FQ163" s="187"/>
      <c r="FR163" s="195"/>
      <c r="FS163" s="195"/>
      <c r="FT163" s="789"/>
      <c r="FU163" s="789"/>
      <c r="FV163" s="789"/>
      <c r="FW163" s="789"/>
      <c r="FX163" s="789"/>
      <c r="FY163" s="789"/>
      <c r="FZ163" s="789"/>
      <c r="GA163" s="789"/>
      <c r="GB163" s="2289"/>
      <c r="GC163" s="776"/>
    </row>
    <row r="164" spans="1:202" s="228" customFormat="1" ht="18.75">
      <c r="A164" s="216"/>
      <c r="B164" s="216">
        <v>57</v>
      </c>
      <c r="C164" s="918" t="s">
        <v>703</v>
      </c>
      <c r="D164" s="218">
        <v>2844</v>
      </c>
      <c r="E164" s="218">
        <v>12</v>
      </c>
      <c r="F164" s="218">
        <v>2028440012</v>
      </c>
      <c r="G164" s="218">
        <v>6850</v>
      </c>
      <c r="H164" s="221" t="s">
        <v>704</v>
      </c>
      <c r="I164" s="222"/>
      <c r="J164" s="218">
        <v>2.92</v>
      </c>
      <c r="K164" s="218">
        <v>0</v>
      </c>
      <c r="L164" s="218">
        <v>2</v>
      </c>
      <c r="M164" s="218">
        <v>6.5</v>
      </c>
      <c r="N164" s="220">
        <v>20000</v>
      </c>
      <c r="O164" s="220">
        <v>17500</v>
      </c>
      <c r="P164" s="220">
        <v>0</v>
      </c>
      <c r="Q164" s="220">
        <v>20000</v>
      </c>
      <c r="R164" s="223">
        <v>0</v>
      </c>
      <c r="S164" s="898" t="s">
        <v>882</v>
      </c>
      <c r="T164" s="234">
        <f>U164</f>
        <v>0</v>
      </c>
      <c r="U164" s="111">
        <f>Q164-N164</f>
        <v>0</v>
      </c>
      <c r="V164" s="234">
        <f>W164</f>
        <v>20000</v>
      </c>
      <c r="W164" s="111">
        <f>N164</f>
        <v>20000</v>
      </c>
      <c r="X164" s="111"/>
      <c r="Y164" s="111">
        <f>W164-AA164</f>
        <v>20000</v>
      </c>
      <c r="Z164" s="234">
        <f>AA164</f>
        <v>0</v>
      </c>
      <c r="AA164" s="111">
        <v>0</v>
      </c>
      <c r="AB164" s="234">
        <f>AC164</f>
        <v>0</v>
      </c>
      <c r="AC164" s="111">
        <v>0</v>
      </c>
      <c r="AD164" s="234">
        <f>AE164</f>
        <v>3750</v>
      </c>
      <c r="AE164" s="111">
        <f>AF164+AG164</f>
        <v>3750</v>
      </c>
      <c r="AF164" s="111">
        <v>0</v>
      </c>
      <c r="AG164" s="111">
        <v>3750</v>
      </c>
      <c r="AH164" s="111">
        <v>0</v>
      </c>
      <c r="AI164" s="234">
        <f>AJ164</f>
        <v>0</v>
      </c>
      <c r="AJ164" s="111">
        <v>0</v>
      </c>
      <c r="AK164" s="234">
        <f>AL164</f>
        <v>0</v>
      </c>
      <c r="AL164" s="111">
        <f>W164-(AA164+AC164+AE164+AH164+AJ164+AM164+AW164+AO164+AQ164+AS164+AU164)</f>
        <v>0</v>
      </c>
      <c r="AM164" s="899">
        <v>0</v>
      </c>
      <c r="AN164" s="234">
        <f>AO164</f>
        <v>0</v>
      </c>
      <c r="AO164" s="111">
        <v>0</v>
      </c>
      <c r="AP164" s="234">
        <f>AQ164</f>
        <v>16250</v>
      </c>
      <c r="AQ164" s="111">
        <f>20000-AG164</f>
        <v>16250</v>
      </c>
      <c r="AR164" s="234">
        <f>AS164</f>
        <v>0</v>
      </c>
      <c r="AS164" s="111">
        <v>0</v>
      </c>
      <c r="AT164" s="234">
        <f>AU164</f>
        <v>0</v>
      </c>
      <c r="AU164" s="111">
        <v>0</v>
      </c>
      <c r="AV164" s="234">
        <f>AW164</f>
        <v>0</v>
      </c>
      <c r="AW164" s="111">
        <f>AX164+AY164+AZ164+BA164+BB164</f>
        <v>0</v>
      </c>
      <c r="AX164" s="111">
        <v>0</v>
      </c>
      <c r="AY164" s="111">
        <v>0</v>
      </c>
      <c r="AZ164" s="111">
        <v>0</v>
      </c>
      <c r="BA164" s="111">
        <v>0</v>
      </c>
      <c r="BB164" s="111">
        <v>0</v>
      </c>
      <c r="BC164" s="111">
        <v>0</v>
      </c>
      <c r="BD164" s="234">
        <f>BE164</f>
        <v>20000</v>
      </c>
      <c r="BE164" s="111">
        <f>U164+W164</f>
        <v>20000</v>
      </c>
      <c r="BF164" s="234">
        <f>BG164</f>
        <v>0</v>
      </c>
      <c r="BG164" s="111">
        <v>0</v>
      </c>
      <c r="BH164" s="234">
        <f>BI164</f>
        <v>0</v>
      </c>
      <c r="BI164" s="111">
        <f>'[1]Projected Development Sites'!BG$135*BG164</f>
        <v>0</v>
      </c>
      <c r="BJ164" s="111">
        <f t="shared" si="59"/>
        <v>0</v>
      </c>
      <c r="BK164" s="306">
        <f>ROUND((AL164+AC164+AA164)/1000*3,0)+ROUND((AE164+AU164)/1000,0)+ROUND((ROUND(AH164/400,0))/2.67,0)+ROUND(AJ164/250,0)+ROUND(AO164/15000,0)+ROUND((AX164+AY164+AZ164+BB164)/1000*3,0)+ROUND(BG164/25,0)+ROUND(BU164/50,0)</f>
        <v>7</v>
      </c>
      <c r="BL164" s="111">
        <v>0</v>
      </c>
      <c r="BM164" s="111">
        <v>0</v>
      </c>
      <c r="BN164" s="111">
        <v>0</v>
      </c>
      <c r="BO164" s="111">
        <v>0</v>
      </c>
      <c r="BP164" s="111">
        <v>0</v>
      </c>
      <c r="BQ164" s="111">
        <v>174</v>
      </c>
      <c r="BR164" s="111">
        <v>0</v>
      </c>
      <c r="BS164" s="111">
        <v>0</v>
      </c>
      <c r="BT164" s="234">
        <f>BU164</f>
        <v>174</v>
      </c>
      <c r="BU164" s="111">
        <v>174</v>
      </c>
      <c r="BV164" s="228">
        <v>35</v>
      </c>
      <c r="BW164" s="900" t="s">
        <v>705</v>
      </c>
      <c r="BX164" s="228">
        <v>4.5999999999999996</v>
      </c>
      <c r="BY164" s="228">
        <v>2</v>
      </c>
      <c r="BZ164" s="228">
        <v>4.5999999999999996</v>
      </c>
      <c r="CA164" s="901" t="s">
        <v>706</v>
      </c>
      <c r="CB164" s="230" t="s">
        <v>716</v>
      </c>
      <c r="CC164" s="399">
        <f>(BX164*G164)-CF164</f>
        <v>25687.499999999996</v>
      </c>
      <c r="CD164" s="399">
        <v>25687.499999999996</v>
      </c>
      <c r="CE164" s="234">
        <f>CF164</f>
        <v>5822.5</v>
      </c>
      <c r="CF164" s="836">
        <f>1*(G164)-(0.15*1*(G164))</f>
        <v>5822.5</v>
      </c>
      <c r="CG164" s="234">
        <f>CH164</f>
        <v>5822.5</v>
      </c>
      <c r="CH164" s="836">
        <f>CF164-CJ164</f>
        <v>5822.5</v>
      </c>
      <c r="CI164" s="234">
        <f>CJ164</f>
        <v>0</v>
      </c>
      <c r="CJ164" s="228">
        <v>0</v>
      </c>
      <c r="CK164" s="234">
        <f>CL164</f>
        <v>0</v>
      </c>
      <c r="CL164" s="228">
        <v>0</v>
      </c>
      <c r="CM164" s="234">
        <f>CN164</f>
        <v>5822.5</v>
      </c>
      <c r="CN164" s="903">
        <f>CF164-(CJ164+CL164+CO164+CP164+CR164+CU164+CV164+CX164)</f>
        <v>5822.5</v>
      </c>
      <c r="CO164" s="903">
        <v>0</v>
      </c>
      <c r="CP164" s="903">
        <v>0</v>
      </c>
      <c r="CQ164" s="234">
        <f>CR164</f>
        <v>0</v>
      </c>
      <c r="CR164" s="111">
        <v>0</v>
      </c>
      <c r="CS164" s="903">
        <v>0</v>
      </c>
      <c r="CT164" s="903">
        <v>0</v>
      </c>
      <c r="CU164" s="903">
        <v>0</v>
      </c>
      <c r="CV164" s="903">
        <v>0</v>
      </c>
      <c r="CW164" s="234">
        <f>CX164</f>
        <v>0</v>
      </c>
      <c r="CX164" s="111">
        <f>SUM(CY164:DC164)</f>
        <v>0</v>
      </c>
      <c r="CY164" s="903">
        <v>0</v>
      </c>
      <c r="CZ164" s="903">
        <v>0</v>
      </c>
      <c r="DA164" s="903">
        <v>0</v>
      </c>
      <c r="DB164" s="903">
        <v>0</v>
      </c>
      <c r="DC164" s="903">
        <v>0</v>
      </c>
      <c r="DD164" s="903"/>
      <c r="DE164" s="234">
        <f>DF164</f>
        <v>31509.999999999996</v>
      </c>
      <c r="DF164" s="111">
        <f>CC164+CF164</f>
        <v>31509.999999999996</v>
      </c>
      <c r="DG164" s="234">
        <f>DH164</f>
        <v>26</v>
      </c>
      <c r="DH164" s="228">
        <f>ROUND(CC164/'[1]Projected Development Sites'!DF$134,0)</f>
        <v>26</v>
      </c>
      <c r="DI164" s="886">
        <f>DJ164</f>
        <v>26</v>
      </c>
      <c r="DJ164" s="803">
        <f>'[1]Projected Development Sites'!DK$136*DH164</f>
        <v>26</v>
      </c>
      <c r="DK164" s="899">
        <f>2.87*DH164</f>
        <v>74.62</v>
      </c>
      <c r="DL164" s="772">
        <f>ROUND((CN164+CL164+CJ164)/1000*3,0)+ROUND((ROUND(CP164/400,0))/2.67,0)+ROUND(CV164/1000,0)+ROUND((CY164+CZ164+DA164+DC164)/1000*3,0)+ROUND(DH164/25,0)+ROUND(DX164/50,0)</f>
        <v>18</v>
      </c>
      <c r="DM164" s="905">
        <v>0</v>
      </c>
      <c r="DN164" s="905"/>
      <c r="DO164" s="905">
        <v>0</v>
      </c>
      <c r="DP164" s="905">
        <f>0.25*DJ164</f>
        <v>6.5</v>
      </c>
      <c r="DQ164" s="905">
        <f>SUM(CO164,CJ164,CN164,CR164,CU164)/1000</f>
        <v>5.8224999999999998</v>
      </c>
      <c r="DR164" s="905">
        <f>CL164/1000</f>
        <v>0</v>
      </c>
      <c r="DS164" s="905">
        <f>((CP164/400)/12)</f>
        <v>0</v>
      </c>
      <c r="DT164" s="905">
        <f>IF(CX164&gt;0,"Calculate",0)</f>
        <v>0</v>
      </c>
      <c r="DU164" s="905">
        <v>0</v>
      </c>
      <c r="DV164" s="905">
        <f>CX164/1000</f>
        <v>0</v>
      </c>
      <c r="DW164" s="886">
        <f>DX164</f>
        <v>5.8224999999999998</v>
      </c>
      <c r="DX164" s="906">
        <f>SUM(DM164,DO164,DQ164:DV164)</f>
        <v>5.8224999999999998</v>
      </c>
      <c r="DY164" s="837">
        <v>115</v>
      </c>
      <c r="DZ164" s="2288">
        <f>CD164-T164</f>
        <v>25687.499999999996</v>
      </c>
      <c r="EA164" s="2231">
        <f>CE164-V164</f>
        <v>-14177.5</v>
      </c>
      <c r="EB164" s="187">
        <f>CF164-W164</f>
        <v>-14177.5</v>
      </c>
      <c r="EC164" s="235">
        <f>ED164</f>
        <v>2072.5</v>
      </c>
      <c r="ED164" s="187">
        <v>2072.5</v>
      </c>
      <c r="EE164" s="187">
        <f>(SUM(CJ164:CO164))-(SUM(AA164:AE164,AL164))</f>
        <v>4145</v>
      </c>
      <c r="EF164" s="235">
        <f>EG164</f>
        <v>5822.5</v>
      </c>
      <c r="EG164" s="187">
        <v>5822.5</v>
      </c>
      <c r="EH164" s="235">
        <f>EI164</f>
        <v>0</v>
      </c>
      <c r="EI164" s="187">
        <f>CL164-AC164</f>
        <v>0</v>
      </c>
      <c r="EJ164" s="235">
        <f>EK164</f>
        <v>0</v>
      </c>
      <c r="EK164" s="187">
        <f>CJ164-AA164</f>
        <v>0</v>
      </c>
      <c r="EL164" s="235">
        <f>EM164</f>
        <v>-3750</v>
      </c>
      <c r="EM164" s="245">
        <f>CO164-AE164</f>
        <v>-3750</v>
      </c>
      <c r="EN164" s="235">
        <f>EO164</f>
        <v>0</v>
      </c>
      <c r="EO164" s="245">
        <f>CP164-AH164</f>
        <v>0</v>
      </c>
      <c r="EP164" s="235">
        <f>EQ164</f>
        <v>0</v>
      </c>
      <c r="EQ164" s="187">
        <f>CR164-AJ164</f>
        <v>0</v>
      </c>
      <c r="ER164" s="235">
        <f>ES164</f>
        <v>0</v>
      </c>
      <c r="ES164" s="187">
        <f>CS164-AO164</f>
        <v>0</v>
      </c>
      <c r="ET164" s="235">
        <f>EU164</f>
        <v>-16250</v>
      </c>
      <c r="EU164" s="187">
        <f t="shared" si="57"/>
        <v>-16250</v>
      </c>
      <c r="EV164" s="235">
        <f>EW164</f>
        <v>0</v>
      </c>
      <c r="EW164" s="187">
        <f>CU164-AS164</f>
        <v>0</v>
      </c>
      <c r="EX164" s="235">
        <f>EY164</f>
        <v>0</v>
      </c>
      <c r="EY164" s="245">
        <f>CV164-AU164</f>
        <v>0</v>
      </c>
      <c r="EZ164" s="235">
        <f>FA164</f>
        <v>0</v>
      </c>
      <c r="FA164" s="245">
        <f>CY164-AX164</f>
        <v>0</v>
      </c>
      <c r="FB164" s="235">
        <f>FC164</f>
        <v>0</v>
      </c>
      <c r="FC164" s="245">
        <f>CZ164-AY164</f>
        <v>0</v>
      </c>
      <c r="FD164" s="235">
        <f>FE164</f>
        <v>0</v>
      </c>
      <c r="FE164" s="245">
        <f>DA164-AZ164</f>
        <v>0</v>
      </c>
      <c r="FF164" s="235">
        <f>FG164</f>
        <v>0</v>
      </c>
      <c r="FG164" s="245">
        <f>DB164-BA164</f>
        <v>0</v>
      </c>
      <c r="FH164" s="235">
        <f>FI164</f>
        <v>0</v>
      </c>
      <c r="FI164" s="245">
        <f>DC164-BB164</f>
        <v>0</v>
      </c>
      <c r="FJ164" s="235">
        <f>FK164</f>
        <v>0</v>
      </c>
      <c r="FK164" s="245">
        <f>CX164-AW164</f>
        <v>0</v>
      </c>
      <c r="FL164" s="235">
        <f>FM164</f>
        <v>11509.999999999996</v>
      </c>
      <c r="FM164" s="187">
        <f>DF164-BE164</f>
        <v>11509.999999999996</v>
      </c>
      <c r="FN164" s="235">
        <f>FO164</f>
        <v>26</v>
      </c>
      <c r="FO164" s="187">
        <f>DH164-BG164</f>
        <v>26</v>
      </c>
      <c r="FP164" s="235">
        <f>FQ164</f>
        <v>26</v>
      </c>
      <c r="FQ164" s="187">
        <f>DJ164-BI164</f>
        <v>26</v>
      </c>
      <c r="FR164" s="245">
        <f>DK164-BJ164</f>
        <v>74.62</v>
      </c>
      <c r="FS164" s="245">
        <f>DL164-BK164</f>
        <v>11</v>
      </c>
      <c r="FT164" s="907">
        <f>DM164-BL164</f>
        <v>0</v>
      </c>
      <c r="FU164" s="907">
        <f>DR164-BO164</f>
        <v>0</v>
      </c>
      <c r="FV164" s="907">
        <f>DO164-BM164</f>
        <v>0</v>
      </c>
      <c r="FW164" s="907">
        <f>DQ164-BN164</f>
        <v>5.8224999999999998</v>
      </c>
      <c r="FX164" s="907">
        <f>DS164-BP164</f>
        <v>0</v>
      </c>
      <c r="FY164" s="907">
        <f>DT164-BQ164</f>
        <v>-174</v>
      </c>
      <c r="FZ164" s="907">
        <f>DU164-BR164</f>
        <v>0</v>
      </c>
      <c r="GA164" s="907">
        <f>DV164-BS164</f>
        <v>0</v>
      </c>
      <c r="GB164" s="894">
        <f>GC164</f>
        <v>-168.17750000000001</v>
      </c>
      <c r="GC164" s="776">
        <f t="shared" si="58"/>
        <v>-168.17750000000001</v>
      </c>
      <c r="GD164" s="139"/>
      <c r="GE164" s="139"/>
      <c r="GF164" s="139"/>
      <c r="GG164" s="139"/>
      <c r="GH164" s="139"/>
      <c r="GI164" s="139"/>
      <c r="GJ164" s="139"/>
      <c r="GK164" s="139"/>
      <c r="GL164" s="139"/>
      <c r="GM164" s="139"/>
      <c r="GN164" s="139"/>
      <c r="GO164" s="139"/>
      <c r="GP164" s="139"/>
      <c r="GQ164" s="139"/>
      <c r="GR164" s="139"/>
      <c r="GS164" s="139"/>
      <c r="GT164" s="139"/>
    </row>
    <row r="165" spans="1:202" s="139" customFormat="1" ht="18.75">
      <c r="A165" s="2263"/>
      <c r="B165" s="2263"/>
      <c r="C165" s="913"/>
      <c r="D165" s="132"/>
      <c r="E165" s="132"/>
      <c r="F165" s="132"/>
      <c r="G165" s="132"/>
      <c r="H165" s="135"/>
      <c r="I165" s="136"/>
      <c r="J165" s="132"/>
      <c r="K165" s="132"/>
      <c r="L165" s="132"/>
      <c r="M165" s="132"/>
      <c r="N165" s="134"/>
      <c r="O165" s="134"/>
      <c r="P165" s="134"/>
      <c r="Q165" s="134"/>
      <c r="R165" s="137"/>
      <c r="S165" s="778"/>
      <c r="T165" s="634"/>
      <c r="U165" s="102"/>
      <c r="V165" s="634"/>
      <c r="W165" s="102"/>
      <c r="X165" s="102"/>
      <c r="Y165" s="102"/>
      <c r="Z165" s="634"/>
      <c r="AA165" s="102"/>
      <c r="AB165" s="634"/>
      <c r="AC165" s="102"/>
      <c r="AD165" s="634"/>
      <c r="AE165" s="102"/>
      <c r="AF165" s="102"/>
      <c r="AG165" s="102"/>
      <c r="AH165" s="102"/>
      <c r="AI165" s="634"/>
      <c r="AJ165" s="102"/>
      <c r="AK165" s="634"/>
      <c r="AL165" s="102"/>
      <c r="AM165" s="779"/>
      <c r="AN165" s="634"/>
      <c r="AO165" s="102"/>
      <c r="AP165" s="634"/>
      <c r="AQ165" s="102"/>
      <c r="AR165" s="634"/>
      <c r="AS165" s="102"/>
      <c r="AT165" s="634"/>
      <c r="AU165" s="102"/>
      <c r="AV165" s="634"/>
      <c r="AW165" s="102"/>
      <c r="AX165" s="102"/>
      <c r="AY165" s="102"/>
      <c r="AZ165" s="102"/>
      <c r="BA165" s="102"/>
      <c r="BB165" s="102"/>
      <c r="BC165" s="102"/>
      <c r="BD165" s="634"/>
      <c r="BE165" s="102"/>
      <c r="BF165" s="634"/>
      <c r="BG165" s="102"/>
      <c r="BH165" s="634"/>
      <c r="BI165" s="102"/>
      <c r="BJ165" s="111"/>
      <c r="BK165" s="186"/>
      <c r="BL165" s="102"/>
      <c r="BM165" s="102"/>
      <c r="BN165" s="102"/>
      <c r="BO165" s="102"/>
      <c r="BP165" s="102"/>
      <c r="BQ165" s="102"/>
      <c r="BR165" s="102"/>
      <c r="BS165" s="102"/>
      <c r="BT165" s="634"/>
      <c r="BU165" s="102"/>
      <c r="BW165" s="780"/>
      <c r="BZ165" s="921"/>
      <c r="CA165" s="627"/>
      <c r="CB165" s="2258"/>
      <c r="CC165" s="782"/>
      <c r="CD165" s="782"/>
      <c r="CE165" s="634"/>
      <c r="CF165" s="783"/>
      <c r="CG165" s="634"/>
      <c r="CH165" s="783"/>
      <c r="CI165" s="634"/>
      <c r="CK165" s="634"/>
      <c r="CM165" s="634"/>
      <c r="CN165" s="784"/>
      <c r="CO165" s="784"/>
      <c r="CP165" s="784"/>
      <c r="CQ165" s="634"/>
      <c r="CR165" s="102"/>
      <c r="CS165" s="784"/>
      <c r="CT165" s="784"/>
      <c r="CU165" s="784"/>
      <c r="CV165" s="784"/>
      <c r="CW165" s="634"/>
      <c r="CX165" s="102"/>
      <c r="CY165" s="784"/>
      <c r="CZ165" s="784"/>
      <c r="DA165" s="784"/>
      <c r="DB165" s="784"/>
      <c r="DC165" s="784"/>
      <c r="DD165" s="784"/>
      <c r="DE165" s="634"/>
      <c r="DF165" s="784"/>
      <c r="DG165" s="634"/>
      <c r="DI165" s="802"/>
      <c r="DJ165" s="787"/>
      <c r="DK165" s="899"/>
      <c r="DL165" s="772"/>
      <c r="DM165" s="787"/>
      <c r="DN165" s="787"/>
      <c r="DO165" s="787"/>
      <c r="DP165" s="787"/>
      <c r="DQ165" s="787"/>
      <c r="DR165" s="787"/>
      <c r="DS165" s="787"/>
      <c r="DT165" s="787"/>
      <c r="DU165" s="787"/>
      <c r="DV165" s="787"/>
      <c r="DW165" s="802"/>
      <c r="DX165" s="788"/>
      <c r="DY165" s="634"/>
      <c r="DZ165" s="2288"/>
      <c r="EA165" s="2231"/>
      <c r="EB165" s="187"/>
      <c r="EC165" s="2232"/>
      <c r="ED165" s="187"/>
      <c r="EE165" s="187"/>
      <c r="EF165" s="2232"/>
      <c r="EG165" s="187"/>
      <c r="EH165" s="2232"/>
      <c r="EI165" s="187"/>
      <c r="EJ165" s="2232"/>
      <c r="EK165" s="187"/>
      <c r="EL165" s="2232"/>
      <c r="EM165" s="195"/>
      <c r="EN165" s="2232"/>
      <c r="EO165" s="195"/>
      <c r="EP165" s="2232"/>
      <c r="EQ165" s="187"/>
      <c r="ER165" s="2232"/>
      <c r="ES165" s="187"/>
      <c r="ET165" s="2232"/>
      <c r="EU165" s="187">
        <f t="shared" si="57"/>
        <v>0</v>
      </c>
      <c r="EV165" s="2232"/>
      <c r="EW165" s="187"/>
      <c r="EX165" s="2232"/>
      <c r="EY165" s="195"/>
      <c r="EZ165" s="2232"/>
      <c r="FA165" s="195"/>
      <c r="FB165" s="2232"/>
      <c r="FC165" s="195"/>
      <c r="FD165" s="2232"/>
      <c r="FE165" s="195"/>
      <c r="FF165" s="2232"/>
      <c r="FG165" s="195"/>
      <c r="FH165" s="2232"/>
      <c r="FI165" s="195"/>
      <c r="FJ165" s="2232"/>
      <c r="FK165" s="195"/>
      <c r="FL165" s="2232"/>
      <c r="FM165" s="187"/>
      <c r="FN165" s="2232"/>
      <c r="FO165" s="187"/>
      <c r="FP165" s="2232"/>
      <c r="FQ165" s="187"/>
      <c r="FR165" s="195"/>
      <c r="FS165" s="195"/>
      <c r="FT165" s="789"/>
      <c r="FU165" s="789"/>
      <c r="FV165" s="789"/>
      <c r="FW165" s="789"/>
      <c r="FX165" s="789"/>
      <c r="FY165" s="789"/>
      <c r="FZ165" s="789"/>
      <c r="GA165" s="789"/>
      <c r="GB165" s="2286"/>
      <c r="GC165" s="776"/>
    </row>
    <row r="166" spans="1:202" s="127" customFormat="1" ht="15" customHeight="1">
      <c r="A166" s="2588"/>
      <c r="B166" s="2588">
        <v>58</v>
      </c>
      <c r="C166" s="911" t="s">
        <v>703</v>
      </c>
      <c r="D166" s="115">
        <v>2857</v>
      </c>
      <c r="E166" s="115">
        <v>23</v>
      </c>
      <c r="F166" s="763">
        <v>2028570023</v>
      </c>
      <c r="G166" s="115">
        <v>6998</v>
      </c>
      <c r="H166" s="118" t="s">
        <v>704</v>
      </c>
      <c r="I166" s="119"/>
      <c r="J166" s="115">
        <v>0</v>
      </c>
      <c r="K166" s="115">
        <v>0</v>
      </c>
      <c r="L166" s="115">
        <v>2</v>
      </c>
      <c r="M166" s="115">
        <v>6.5</v>
      </c>
      <c r="N166" s="117">
        <v>0</v>
      </c>
      <c r="O166" s="117">
        <v>0</v>
      </c>
      <c r="P166" s="117">
        <v>0</v>
      </c>
      <c r="Q166" s="117">
        <v>0</v>
      </c>
      <c r="R166" s="120">
        <v>0</v>
      </c>
      <c r="S166" s="764" t="s">
        <v>723</v>
      </c>
      <c r="T166" s="2600">
        <f>SUM(U166:U167)</f>
        <v>0</v>
      </c>
      <c r="U166" s="122">
        <v>0</v>
      </c>
      <c r="V166" s="2600">
        <f>SUM(W166:W167)</f>
        <v>0</v>
      </c>
      <c r="W166" s="122">
        <f>N166</f>
        <v>0</v>
      </c>
      <c r="X166" s="122"/>
      <c r="Y166" s="122">
        <f>W166-AA166</f>
        <v>0</v>
      </c>
      <c r="Z166" s="2600">
        <f>SUM(AA166:AA167)</f>
        <v>0</v>
      </c>
      <c r="AA166" s="122">
        <v>0</v>
      </c>
      <c r="AB166" s="2600">
        <f>SUM(AC166:AC167)</f>
        <v>0</v>
      </c>
      <c r="AC166" s="122">
        <v>0</v>
      </c>
      <c r="AD166" s="2600">
        <f>SUM(AE166:AE167)</f>
        <v>0</v>
      </c>
      <c r="AE166" s="122">
        <f>AF166+AG166</f>
        <v>0</v>
      </c>
      <c r="AF166" s="122">
        <v>0</v>
      </c>
      <c r="AG166" s="122">
        <v>0</v>
      </c>
      <c r="AH166" s="122">
        <v>0</v>
      </c>
      <c r="AI166" s="2600">
        <f>SUM(AJ166:AJ167)</f>
        <v>0</v>
      </c>
      <c r="AJ166" s="122">
        <v>0</v>
      </c>
      <c r="AK166" s="2600">
        <f>SUM(AL166:AL167)</f>
        <v>0</v>
      </c>
      <c r="AL166" s="122">
        <f>W166-(AA166+AC166+AE166+AH166+AJ166+AM166+AW166+AO166+AQ166+AS166+AU166)</f>
        <v>0</v>
      </c>
      <c r="AM166" s="765">
        <v>0</v>
      </c>
      <c r="AN166" s="2600">
        <f>SUM(AO166:AO167)</f>
        <v>0</v>
      </c>
      <c r="AO166" s="122">
        <v>0</v>
      </c>
      <c r="AP166" s="2600">
        <f>SUM(AQ166:AQ167)</f>
        <v>0</v>
      </c>
      <c r="AQ166" s="122">
        <v>0</v>
      </c>
      <c r="AR166" s="2600">
        <f>SUM(AS166:AS167)</f>
        <v>0</v>
      </c>
      <c r="AS166" s="122">
        <v>0</v>
      </c>
      <c r="AT166" s="2600">
        <f>SUM(AU166:AU167)</f>
        <v>0</v>
      </c>
      <c r="AU166" s="122">
        <v>0</v>
      </c>
      <c r="AV166" s="2600">
        <f>SUM(AW166:AW167)</f>
        <v>0</v>
      </c>
      <c r="AW166" s="122">
        <f>AX166+AY166+AZ166+BA166+BB166</f>
        <v>0</v>
      </c>
      <c r="AX166" s="122">
        <v>0</v>
      </c>
      <c r="AY166" s="122">
        <v>0</v>
      </c>
      <c r="AZ166" s="122">
        <v>0</v>
      </c>
      <c r="BA166" s="122">
        <v>0</v>
      </c>
      <c r="BB166" s="122">
        <v>0</v>
      </c>
      <c r="BC166" s="122">
        <v>0</v>
      </c>
      <c r="BD166" s="2600">
        <f>SUM(BE166:BE167)</f>
        <v>0</v>
      </c>
      <c r="BE166" s="122">
        <f>ROUND(U166+W166,0)</f>
        <v>0</v>
      </c>
      <c r="BF166" s="2600">
        <f>SUM(BG166:BG167)</f>
        <v>0</v>
      </c>
      <c r="BG166" s="122">
        <f>ROUND(U166/'[1]Projected Development Sites'!DF$134,0)</f>
        <v>0</v>
      </c>
      <c r="BH166" s="2600">
        <f>SUM(BI166:BI167)</f>
        <v>0</v>
      </c>
      <c r="BI166" s="122">
        <f>'[1]Projected Development Sites'!BG$135*BG166</f>
        <v>0</v>
      </c>
      <c r="BJ166" s="122">
        <f t="shared" si="59"/>
        <v>0</v>
      </c>
      <c r="BK166" s="129">
        <f>ROUND((AL166+AC166+AA166)/1000*3,0)+ROUND((AE166+AU166)/1000,0)+ROUND((ROUND(AH166/400,0))/2.67,0)+ROUND(AJ166/250,0)+ROUND(AO166/15000,0)+ROUND((AX166+AY166+AZ166+BB166)/1000*3,0)+ROUND(BG166/25,0)+ROUND(BU166/50,0)</f>
        <v>0</v>
      </c>
      <c r="BL166" s="122">
        <v>0</v>
      </c>
      <c r="BM166" s="122">
        <v>0</v>
      </c>
      <c r="BN166" s="122">
        <f>W166/1000</f>
        <v>0</v>
      </c>
      <c r="BO166" s="122">
        <f>AC166/1000</f>
        <v>0</v>
      </c>
      <c r="BP166" s="122">
        <f>((AH166/400)/12)</f>
        <v>0</v>
      </c>
      <c r="BQ166" s="122">
        <f>IFERROR(VLOOKUP(F166,#REF!,3,FALSE),0)</f>
        <v>0</v>
      </c>
      <c r="BR166" s="122" t="b">
        <f>IF(H166="M1-2",G166/1000)</f>
        <v>0</v>
      </c>
      <c r="BS166" s="122">
        <f>IF(BB166&gt;0,"Calculate",0)</f>
        <v>0</v>
      </c>
      <c r="BT166" s="2600">
        <f>SUM(BU166:BU167)</f>
        <v>0</v>
      </c>
      <c r="BU166" s="122">
        <f>SUM(BL166:BS166)</f>
        <v>0</v>
      </c>
      <c r="BV166" s="127">
        <v>0</v>
      </c>
      <c r="BW166" s="766" t="s">
        <v>741</v>
      </c>
      <c r="BX166" s="127">
        <v>7.2</v>
      </c>
      <c r="BY166" s="127">
        <v>0</v>
      </c>
      <c r="BZ166" s="127">
        <v>6.5</v>
      </c>
      <c r="CA166" s="767"/>
      <c r="CB166" s="2596" t="s">
        <v>744</v>
      </c>
      <c r="CC166" s="768">
        <f t="shared" ref="CC166:CC167" si="112">(BX166*G166)-G166</f>
        <v>43387.6</v>
      </c>
      <c r="CD166" s="2731">
        <f>SUM(CC166:CC167)</f>
        <v>88647.6</v>
      </c>
      <c r="CE166" s="2600">
        <f>SUM(CF166:CF167)</f>
        <v>0</v>
      </c>
      <c r="CF166" s="838">
        <v>0</v>
      </c>
      <c r="CG166" s="2600">
        <f>SUM(CH166:CH167)</f>
        <v>0</v>
      </c>
      <c r="CH166" s="838">
        <f>CF166-CJ166</f>
        <v>0</v>
      </c>
      <c r="CI166" s="2600">
        <f>SUM(CJ166:CJ167)</f>
        <v>0</v>
      </c>
      <c r="CJ166" s="127">
        <v>0</v>
      </c>
      <c r="CK166" s="2600">
        <f>SUM(CL166:CL167)</f>
        <v>0</v>
      </c>
      <c r="CL166" s="127">
        <v>0</v>
      </c>
      <c r="CM166" s="2600">
        <f>SUM(CN166:CN167)</f>
        <v>0</v>
      </c>
      <c r="CN166" s="122">
        <f>CF166-(CJ166+CL166+CO166+CP166+CR166+CU166+CV166+CX166)</f>
        <v>0</v>
      </c>
      <c r="CO166" s="770">
        <v>0</v>
      </c>
      <c r="CP166" s="770">
        <v>0</v>
      </c>
      <c r="CQ166" s="2600">
        <f>SUM(CR166:CR167)</f>
        <v>0</v>
      </c>
      <c r="CR166" s="122">
        <v>0</v>
      </c>
      <c r="CS166" s="770">
        <v>0</v>
      </c>
      <c r="CT166" s="770">
        <v>0</v>
      </c>
      <c r="CU166" s="770">
        <v>0</v>
      </c>
      <c r="CV166" s="770">
        <v>0</v>
      </c>
      <c r="CW166" s="2600">
        <f>SUM(CX166:CX167)</f>
        <v>0</v>
      </c>
      <c r="CX166" s="122">
        <f>SUM(CY166:DC166)</f>
        <v>0</v>
      </c>
      <c r="CY166" s="770">
        <v>0</v>
      </c>
      <c r="CZ166" s="770">
        <v>0</v>
      </c>
      <c r="DA166" s="770">
        <v>0</v>
      </c>
      <c r="DB166" s="770">
        <v>0</v>
      </c>
      <c r="DC166" s="770">
        <v>0</v>
      </c>
      <c r="DD166" s="770"/>
      <c r="DE166" s="2600">
        <f>SUM(DF166:DF167)</f>
        <v>88647.6</v>
      </c>
      <c r="DF166" s="770">
        <f>CC166+CF166</f>
        <v>43387.6</v>
      </c>
      <c r="DG166" s="2600">
        <f>SUM(DH166:DH167)</f>
        <v>88</v>
      </c>
      <c r="DH166" s="127">
        <f>ROUND(CC166/'[1]Projected Development Sites'!DF$134,0)</f>
        <v>43</v>
      </c>
      <c r="DI166" s="2722">
        <f>SUM(DJ166:DJ167)</f>
        <v>88</v>
      </c>
      <c r="DJ166" s="773">
        <f>'[1]Projected Development Sites'!DK$136*DH166</f>
        <v>43</v>
      </c>
      <c r="DK166" s="765">
        <f>2.87*DH166</f>
        <v>123.41000000000001</v>
      </c>
      <c r="DL166" s="772">
        <f>ROUND((CN166+CL166+CJ166)/1000*3,0)+ROUND((ROUND(CP166/400,0))/2.67,0)+ROUND(CV166/1000,0)+ROUND((CY166+CZ166+DA166+DC166)/1000*3,0)+ROUND(DH166/25,0)+ROUND(DX166/50,0)</f>
        <v>2</v>
      </c>
      <c r="DM166" s="773">
        <v>0</v>
      </c>
      <c r="DN166" s="773"/>
      <c r="DO166" s="773">
        <v>0</v>
      </c>
      <c r="DP166" s="773">
        <f>0.25*DJ166</f>
        <v>10.75</v>
      </c>
      <c r="DQ166" s="773">
        <f>SUM(CO166,CJ166,CN166,CR166,CU166)/1000</f>
        <v>0</v>
      </c>
      <c r="DR166" s="773">
        <f>CL166/1000</f>
        <v>0</v>
      </c>
      <c r="DS166" s="773">
        <f>((CP166/400)/12)</f>
        <v>0</v>
      </c>
      <c r="DT166" s="773">
        <f>IF(CX166&gt;0,"Calculate",0)</f>
        <v>0</v>
      </c>
      <c r="DU166" s="773">
        <v>0</v>
      </c>
      <c r="DV166" s="773">
        <f>CX166/1000</f>
        <v>0</v>
      </c>
      <c r="DW166" s="2722">
        <f>SUM(DX166:DX167)</f>
        <v>0</v>
      </c>
      <c r="DX166" s="774">
        <f>SUM(DM166,DO166,DQ166:DV166)</f>
        <v>0</v>
      </c>
      <c r="DY166" s="2725">
        <v>145</v>
      </c>
      <c r="DZ166" s="2728">
        <f>CD166-T166</f>
        <v>88647.6</v>
      </c>
      <c r="EA166" s="2602">
        <f>CE166-V166</f>
        <v>0</v>
      </c>
      <c r="EB166" s="187">
        <f>CF166-W166</f>
        <v>0</v>
      </c>
      <c r="EC166" s="2602">
        <f>SUM(ED166:ED167)</f>
        <v>0</v>
      </c>
      <c r="ED166" s="187">
        <v>0</v>
      </c>
      <c r="EE166" s="187">
        <f>(SUM(CJ166:CO166))-(SUM(AA166:AE166,AL166))</f>
        <v>0</v>
      </c>
      <c r="EF166" s="2602">
        <f>SUM(EG166:EG167)</f>
        <v>0</v>
      </c>
      <c r="EG166" s="187">
        <v>0</v>
      </c>
      <c r="EH166" s="2602">
        <f>SUM(EI166:EI167)</f>
        <v>0</v>
      </c>
      <c r="EI166" s="187">
        <f>CL166-AC166</f>
        <v>0</v>
      </c>
      <c r="EJ166" s="2602">
        <f>SUM(EK166:EK167)</f>
        <v>0</v>
      </c>
      <c r="EK166" s="187">
        <f>CJ166-AA166</f>
        <v>0</v>
      </c>
      <c r="EL166" s="2602">
        <f>SUM(EM166:EM167)</f>
        <v>0</v>
      </c>
      <c r="EM166" s="187">
        <f>CO166-AE166</f>
        <v>0</v>
      </c>
      <c r="EN166" s="2602">
        <f>SUM(EO166:EO167)</f>
        <v>0</v>
      </c>
      <c r="EO166" s="187">
        <f>CP166-AH166</f>
        <v>0</v>
      </c>
      <c r="EP166" s="2602">
        <f>SUM(EQ166:EQ167)</f>
        <v>0</v>
      </c>
      <c r="EQ166" s="187">
        <f>CR166-AJ166</f>
        <v>0</v>
      </c>
      <c r="ER166" s="2602">
        <f>SUM(ES166:ES167)</f>
        <v>0</v>
      </c>
      <c r="ES166" s="187">
        <f>CS166-AO166</f>
        <v>0</v>
      </c>
      <c r="ET166" s="2602">
        <f>SUM(EU166:EU167)</f>
        <v>0</v>
      </c>
      <c r="EU166" s="187">
        <f t="shared" si="57"/>
        <v>0</v>
      </c>
      <c r="EV166" s="2602">
        <f>SUM(EW166:EW167)</f>
        <v>0</v>
      </c>
      <c r="EW166" s="187">
        <f>CU166-AS166</f>
        <v>0</v>
      </c>
      <c r="EX166" s="2602">
        <f>SUM(EY166:EY167)</f>
        <v>0</v>
      </c>
      <c r="EY166" s="187">
        <f>CV166-AU166</f>
        <v>0</v>
      </c>
      <c r="EZ166" s="2602">
        <f>SUM(FA166:FA167)</f>
        <v>0</v>
      </c>
      <c r="FA166" s="187">
        <f>CY166-AX166</f>
        <v>0</v>
      </c>
      <c r="FB166" s="2602">
        <f>SUM(FC166:FC167)</f>
        <v>0</v>
      </c>
      <c r="FC166" s="187">
        <f>CZ166-AY166</f>
        <v>0</v>
      </c>
      <c r="FD166" s="2602">
        <f>SUM(FE166:FE167)</f>
        <v>0</v>
      </c>
      <c r="FE166" s="187">
        <f>DA166-AZ166</f>
        <v>0</v>
      </c>
      <c r="FF166" s="2602">
        <f>SUM(FG166:FG167)</f>
        <v>0</v>
      </c>
      <c r="FG166" s="187">
        <f>DB166-BA166</f>
        <v>0</v>
      </c>
      <c r="FH166" s="2602">
        <f>SUM(FI166:FI167)</f>
        <v>0</v>
      </c>
      <c r="FI166" s="187">
        <f>DC166-BB166</f>
        <v>0</v>
      </c>
      <c r="FJ166" s="2602">
        <f>SUM(FK166:FK167)</f>
        <v>0</v>
      </c>
      <c r="FK166" s="187">
        <f>CX166-AW166</f>
        <v>0</v>
      </c>
      <c r="FL166" s="2602">
        <f>SUM(FM166:FM167)</f>
        <v>88647.6</v>
      </c>
      <c r="FM166" s="187">
        <f>DF166-BE166</f>
        <v>43387.6</v>
      </c>
      <c r="FN166" s="2602">
        <f>SUM(FO166:FO167)</f>
        <v>88</v>
      </c>
      <c r="FO166" s="187">
        <f>DH166-BG166</f>
        <v>43</v>
      </c>
      <c r="FP166" s="2602">
        <f>SUM(FQ166:FQ167)</f>
        <v>88</v>
      </c>
      <c r="FQ166" s="187">
        <f t="shared" ref="FQ166:FT167" si="113">DJ166-BI166</f>
        <v>43</v>
      </c>
      <c r="FR166" s="187">
        <f t="shared" si="113"/>
        <v>123.41000000000001</v>
      </c>
      <c r="FS166" s="187">
        <f t="shared" si="113"/>
        <v>2</v>
      </c>
      <c r="FT166" s="775">
        <f t="shared" si="113"/>
        <v>0</v>
      </c>
      <c r="FU166" s="775">
        <f>DR166-BO166</f>
        <v>0</v>
      </c>
      <c r="FV166" s="775">
        <f>DO166-BM166</f>
        <v>0</v>
      </c>
      <c r="FW166" s="775">
        <f>DQ166-BN166</f>
        <v>0</v>
      </c>
      <c r="FX166" s="775">
        <f t="shared" ref="FX166:GA167" si="114">DS166-BP166</f>
        <v>0</v>
      </c>
      <c r="FY166" s="775">
        <f t="shared" si="114"/>
        <v>0</v>
      </c>
      <c r="FZ166" s="775">
        <f t="shared" si="114"/>
        <v>0</v>
      </c>
      <c r="GA166" s="775">
        <f t="shared" si="114"/>
        <v>0</v>
      </c>
      <c r="GB166" s="2734">
        <f>SUM(GC166:GC167)</f>
        <v>0</v>
      </c>
      <c r="GC166" s="776">
        <f t="shared" si="58"/>
        <v>0</v>
      </c>
      <c r="GD166" s="139"/>
      <c r="GE166" s="139"/>
      <c r="GF166" s="139"/>
      <c r="GG166" s="139"/>
      <c r="GH166" s="139"/>
      <c r="GI166" s="139"/>
      <c r="GJ166" s="139"/>
      <c r="GK166" s="139"/>
      <c r="GL166" s="139"/>
      <c r="GM166" s="139"/>
      <c r="GN166" s="139"/>
      <c r="GO166" s="139"/>
      <c r="GP166" s="139"/>
      <c r="GQ166" s="139"/>
      <c r="GR166" s="139"/>
      <c r="GS166" s="139"/>
      <c r="GT166" s="139"/>
    </row>
    <row r="167" spans="1:202" s="81" customFormat="1" ht="15" customHeight="1">
      <c r="A167" s="2589"/>
      <c r="B167" s="2589"/>
      <c r="C167" s="915" t="s">
        <v>710</v>
      </c>
      <c r="D167" s="66">
        <v>2857</v>
      </c>
      <c r="E167" s="66">
        <v>24</v>
      </c>
      <c r="F167" s="841">
        <v>2028570024</v>
      </c>
      <c r="G167" s="66">
        <v>7300</v>
      </c>
      <c r="H167" s="69" t="s">
        <v>704</v>
      </c>
      <c r="I167" s="70"/>
      <c r="J167" s="66">
        <v>0</v>
      </c>
      <c r="K167" s="66">
        <v>0</v>
      </c>
      <c r="L167" s="66">
        <v>2</v>
      </c>
      <c r="M167" s="66">
        <v>6.5</v>
      </c>
      <c r="N167" s="68">
        <v>0</v>
      </c>
      <c r="O167" s="68">
        <v>0</v>
      </c>
      <c r="P167" s="68">
        <v>0</v>
      </c>
      <c r="Q167" s="68">
        <v>0</v>
      </c>
      <c r="R167" s="71">
        <v>0</v>
      </c>
      <c r="S167" s="791" t="s">
        <v>723</v>
      </c>
      <c r="T167" s="2601"/>
      <c r="U167" s="74">
        <v>0</v>
      </c>
      <c r="V167" s="2601"/>
      <c r="W167" s="74">
        <f>N167</f>
        <v>0</v>
      </c>
      <c r="X167" s="74"/>
      <c r="Y167" s="74">
        <f>W167-AA167</f>
        <v>0</v>
      </c>
      <c r="Z167" s="2601"/>
      <c r="AA167" s="74">
        <v>0</v>
      </c>
      <c r="AB167" s="2601"/>
      <c r="AC167" s="74">
        <v>0</v>
      </c>
      <c r="AD167" s="2601"/>
      <c r="AE167" s="74">
        <f>AF167+AG167</f>
        <v>0</v>
      </c>
      <c r="AF167" s="74">
        <v>0</v>
      </c>
      <c r="AG167" s="74">
        <v>0</v>
      </c>
      <c r="AH167" s="74">
        <v>0</v>
      </c>
      <c r="AI167" s="2601"/>
      <c r="AJ167" s="74">
        <v>0</v>
      </c>
      <c r="AK167" s="2601"/>
      <c r="AL167" s="74">
        <f>W167-(AA167+AC167+AE167+AH167+AJ167+AM167+AW167+AO167+AQ167+AS167+AU167)</f>
        <v>0</v>
      </c>
      <c r="AM167" s="792">
        <v>0</v>
      </c>
      <c r="AN167" s="2601"/>
      <c r="AO167" s="74">
        <v>0</v>
      </c>
      <c r="AP167" s="2601"/>
      <c r="AQ167" s="74">
        <v>0</v>
      </c>
      <c r="AR167" s="2601"/>
      <c r="AS167" s="74">
        <v>0</v>
      </c>
      <c r="AT167" s="2601"/>
      <c r="AU167" s="74">
        <v>0</v>
      </c>
      <c r="AV167" s="2601"/>
      <c r="AW167" s="74">
        <f>AX167+AY167+AZ167+BA167+BB167</f>
        <v>0</v>
      </c>
      <c r="AX167" s="74">
        <v>0</v>
      </c>
      <c r="AY167" s="74">
        <v>0</v>
      </c>
      <c r="AZ167" s="74">
        <v>0</v>
      </c>
      <c r="BA167" s="74">
        <v>0</v>
      </c>
      <c r="BB167" s="74">
        <v>0</v>
      </c>
      <c r="BC167" s="74">
        <v>0</v>
      </c>
      <c r="BD167" s="2601"/>
      <c r="BE167" s="74">
        <f>ROUND(U167+W167,0)</f>
        <v>0</v>
      </c>
      <c r="BF167" s="2601"/>
      <c r="BG167" s="74">
        <f>ROUND(U167/'[1]Projected Development Sites'!DF$134,0)</f>
        <v>0</v>
      </c>
      <c r="BH167" s="2601"/>
      <c r="BI167" s="74">
        <f>'[1]Projected Development Sites'!BG$135*BG167</f>
        <v>0</v>
      </c>
      <c r="BJ167" s="74">
        <f t="shared" si="59"/>
        <v>0</v>
      </c>
      <c r="BK167" s="88">
        <f>ROUND((AL167+AC167+AA167)/1000*3,0)+ROUND((AE167+AU167)/1000,0)+ROUND((ROUND(AH167/400,0))/2.67,0)+ROUND(AJ167/250,0)+ROUND(AO167/15000,0)+ROUND((AX167+AY167+AZ167+BB167)/1000*3,0)+ROUND(BG167/25,0)+ROUND(BU167/50,0)</f>
        <v>0</v>
      </c>
      <c r="BL167" s="74">
        <v>0</v>
      </c>
      <c r="BM167" s="74">
        <v>0</v>
      </c>
      <c r="BN167" s="74">
        <f>W167/1000</f>
        <v>0</v>
      </c>
      <c r="BO167" s="74">
        <f>AC167/1000</f>
        <v>0</v>
      </c>
      <c r="BP167" s="74">
        <f>((AH167/400)/12)</f>
        <v>0</v>
      </c>
      <c r="BQ167" s="74">
        <f>IFERROR(VLOOKUP(F167,#REF!,3,FALSE),0)</f>
        <v>0</v>
      </c>
      <c r="BR167" s="74" t="b">
        <f>IF(H167="M1-2",G167/1000)</f>
        <v>0</v>
      </c>
      <c r="BS167" s="74">
        <f>IF(BB167&gt;0,"Calculate",0)</f>
        <v>0</v>
      </c>
      <c r="BT167" s="2601"/>
      <c r="BU167" s="74">
        <f>SUM(BL167:BS167)</f>
        <v>0</v>
      </c>
      <c r="BV167" s="81">
        <v>0</v>
      </c>
      <c r="BW167" s="793" t="s">
        <v>741</v>
      </c>
      <c r="BX167" s="81">
        <v>7.2</v>
      </c>
      <c r="BY167" s="81">
        <v>0</v>
      </c>
      <c r="BZ167" s="81">
        <v>6.5</v>
      </c>
      <c r="CA167" s="794"/>
      <c r="CB167" s="2597"/>
      <c r="CC167" s="795">
        <f t="shared" si="112"/>
        <v>45260</v>
      </c>
      <c r="CD167" s="2733"/>
      <c r="CE167" s="2601"/>
      <c r="CF167" s="843">
        <v>0</v>
      </c>
      <c r="CG167" s="2601"/>
      <c r="CH167" s="843">
        <f>CF167-CJ167</f>
        <v>0</v>
      </c>
      <c r="CI167" s="2601"/>
      <c r="CJ167" s="81">
        <v>0</v>
      </c>
      <c r="CK167" s="2601"/>
      <c r="CL167" s="81">
        <v>0</v>
      </c>
      <c r="CM167" s="2601"/>
      <c r="CN167" s="74">
        <f>CF167-(CJ167+CL167+CO167+CP167+CR167+CU167+CV167+CX167)</f>
        <v>0</v>
      </c>
      <c r="CO167" s="797">
        <v>0</v>
      </c>
      <c r="CP167" s="797">
        <v>0</v>
      </c>
      <c r="CQ167" s="2601"/>
      <c r="CR167" s="74">
        <v>0</v>
      </c>
      <c r="CS167" s="797">
        <v>0</v>
      </c>
      <c r="CT167" s="797">
        <v>0</v>
      </c>
      <c r="CU167" s="797">
        <v>0</v>
      </c>
      <c r="CV167" s="797">
        <v>0</v>
      </c>
      <c r="CW167" s="2601"/>
      <c r="CX167" s="74">
        <f>SUM(CY167:DC167)</f>
        <v>0</v>
      </c>
      <c r="CY167" s="797">
        <v>0</v>
      </c>
      <c r="CZ167" s="797">
        <v>0</v>
      </c>
      <c r="DA167" s="797">
        <v>0</v>
      </c>
      <c r="DB167" s="797">
        <v>0</v>
      </c>
      <c r="DC167" s="797">
        <v>0</v>
      </c>
      <c r="DD167" s="797"/>
      <c r="DE167" s="2601"/>
      <c r="DF167" s="74">
        <f>CC167+CF167</f>
        <v>45260</v>
      </c>
      <c r="DG167" s="2601"/>
      <c r="DH167" s="81">
        <f>ROUND(CC167/'[1]Projected Development Sites'!DF$134,0)</f>
        <v>45</v>
      </c>
      <c r="DI167" s="2724"/>
      <c r="DJ167" s="799">
        <f>'[1]Projected Development Sites'!DK$136*DH167</f>
        <v>45</v>
      </c>
      <c r="DK167" s="792">
        <f>2.87*DH167</f>
        <v>129.15</v>
      </c>
      <c r="DL167" s="917">
        <f>ROUND((CN167+CL167+CJ167)/1000*3,0)+ROUND((ROUND(CP167/400,0))/2.67,0)+ROUND(CV167/1000,0)+ROUND((CY167+CZ167+DA167+DC167)/1000*3,0)+ROUND(DH167/25,0)+ROUND(DX167/50,0)</f>
        <v>2</v>
      </c>
      <c r="DM167" s="799">
        <v>0</v>
      </c>
      <c r="DN167" s="799"/>
      <c r="DO167" s="799">
        <v>0</v>
      </c>
      <c r="DP167" s="799">
        <f>0.25*DJ167</f>
        <v>11.25</v>
      </c>
      <c r="DQ167" s="799">
        <f>SUM(CO167,CJ167,CN167,CR167,CU167)/1000</f>
        <v>0</v>
      </c>
      <c r="DR167" s="799">
        <f>CL167/1000</f>
        <v>0</v>
      </c>
      <c r="DS167" s="799">
        <f>((CP167/400)/12)</f>
        <v>0</v>
      </c>
      <c r="DT167" s="799">
        <f>IF(CX167&gt;0,"Calculate",0)</f>
        <v>0</v>
      </c>
      <c r="DU167" s="799">
        <v>0</v>
      </c>
      <c r="DV167" s="799">
        <f>CX167/1000</f>
        <v>0</v>
      </c>
      <c r="DW167" s="2724"/>
      <c r="DX167" s="800">
        <f>SUM(DM167,DO167,DQ167:DV167)</f>
        <v>0</v>
      </c>
      <c r="DY167" s="2727"/>
      <c r="DZ167" s="2730"/>
      <c r="EA167" s="2603"/>
      <c r="EB167" s="195">
        <f>CF167-W167</f>
        <v>0</v>
      </c>
      <c r="EC167" s="2603"/>
      <c r="ED167" s="190">
        <v>0</v>
      </c>
      <c r="EE167" s="195">
        <f>(SUM(CJ167:CO167))-(SUM(AA167:AE167,AL167))</f>
        <v>0</v>
      </c>
      <c r="EF167" s="2603"/>
      <c r="EG167" s="190">
        <v>0</v>
      </c>
      <c r="EH167" s="2603"/>
      <c r="EI167" s="195">
        <f>CL167-AC167</f>
        <v>0</v>
      </c>
      <c r="EJ167" s="2603"/>
      <c r="EK167" s="195">
        <f>CJ167-AA167</f>
        <v>0</v>
      </c>
      <c r="EL167" s="2603"/>
      <c r="EM167" s="190">
        <f>CO167-AE167</f>
        <v>0</v>
      </c>
      <c r="EN167" s="2603"/>
      <c r="EO167" s="190">
        <f>CP167-AH167</f>
        <v>0</v>
      </c>
      <c r="EP167" s="2603"/>
      <c r="EQ167" s="195">
        <f>CR167-AJ167</f>
        <v>0</v>
      </c>
      <c r="ER167" s="2603"/>
      <c r="ES167" s="195">
        <f>CS167-AO167</f>
        <v>0</v>
      </c>
      <c r="ET167" s="2603"/>
      <c r="EU167" s="190">
        <f t="shared" si="57"/>
        <v>0</v>
      </c>
      <c r="EV167" s="2603"/>
      <c r="EW167" s="195">
        <f>CU167-AS167</f>
        <v>0</v>
      </c>
      <c r="EX167" s="2603"/>
      <c r="EY167" s="190">
        <f>CV167-AU167</f>
        <v>0</v>
      </c>
      <c r="EZ167" s="2603"/>
      <c r="FA167" s="190">
        <f>CY167-AX167</f>
        <v>0</v>
      </c>
      <c r="FB167" s="2603"/>
      <c r="FC167" s="190">
        <f>CZ167-AY167</f>
        <v>0</v>
      </c>
      <c r="FD167" s="2603"/>
      <c r="FE167" s="190">
        <f>DA167-AZ167</f>
        <v>0</v>
      </c>
      <c r="FF167" s="2603"/>
      <c r="FG167" s="190">
        <f>DB167-BA167</f>
        <v>0</v>
      </c>
      <c r="FH167" s="2603"/>
      <c r="FI167" s="190">
        <f>DC167-BB167</f>
        <v>0</v>
      </c>
      <c r="FJ167" s="2603"/>
      <c r="FK167" s="190">
        <f>CX167-AW167</f>
        <v>0</v>
      </c>
      <c r="FL167" s="2603"/>
      <c r="FM167" s="195">
        <f>DF167-BE167</f>
        <v>45260</v>
      </c>
      <c r="FN167" s="2603"/>
      <c r="FO167" s="195">
        <f>DH167-BG167</f>
        <v>45</v>
      </c>
      <c r="FP167" s="2603"/>
      <c r="FQ167" s="195">
        <f t="shared" si="113"/>
        <v>45</v>
      </c>
      <c r="FR167" s="190">
        <f t="shared" si="113"/>
        <v>129.15</v>
      </c>
      <c r="FS167" s="190">
        <f t="shared" si="113"/>
        <v>2</v>
      </c>
      <c r="FT167" s="801">
        <f t="shared" si="113"/>
        <v>0</v>
      </c>
      <c r="FU167" s="801">
        <f>DR167-BO167</f>
        <v>0</v>
      </c>
      <c r="FV167" s="801">
        <f>DO167-BM167</f>
        <v>0</v>
      </c>
      <c r="FW167" s="801">
        <f>DQ167-BN167</f>
        <v>0</v>
      </c>
      <c r="FX167" s="801">
        <f t="shared" si="114"/>
        <v>0</v>
      </c>
      <c r="FY167" s="801">
        <f t="shared" si="114"/>
        <v>0</v>
      </c>
      <c r="FZ167" s="801">
        <f t="shared" si="114"/>
        <v>0</v>
      </c>
      <c r="GA167" s="801">
        <f t="shared" si="114"/>
        <v>0</v>
      </c>
      <c r="GB167" s="2736"/>
      <c r="GC167" s="845">
        <f t="shared" si="58"/>
        <v>0</v>
      </c>
      <c r="GD167" s="139"/>
      <c r="GE167" s="139"/>
      <c r="GF167" s="139"/>
      <c r="GG167" s="139"/>
      <c r="GH167" s="139"/>
      <c r="GI167" s="139"/>
      <c r="GJ167" s="139"/>
      <c r="GK167" s="139"/>
      <c r="GL167" s="139"/>
      <c r="GM167" s="139"/>
      <c r="GN167" s="139"/>
      <c r="GO167" s="139"/>
      <c r="GP167" s="139"/>
      <c r="GQ167" s="139"/>
      <c r="GR167" s="139"/>
      <c r="GS167" s="139"/>
      <c r="GT167" s="139"/>
    </row>
    <row r="168" spans="1:202" s="139" customFormat="1" ht="18.75">
      <c r="A168" s="2263"/>
      <c r="B168" s="2263"/>
      <c r="C168" s="913"/>
      <c r="D168" s="132"/>
      <c r="E168" s="132"/>
      <c r="F168" s="777"/>
      <c r="G168" s="132"/>
      <c r="H168" s="135"/>
      <c r="I168" s="136"/>
      <c r="J168" s="132"/>
      <c r="K168" s="132"/>
      <c r="L168" s="132"/>
      <c r="M168" s="132"/>
      <c r="N168" s="134"/>
      <c r="O168" s="134"/>
      <c r="P168" s="134"/>
      <c r="Q168" s="134"/>
      <c r="R168" s="137"/>
      <c r="S168" s="778"/>
      <c r="T168" s="634"/>
      <c r="U168" s="102"/>
      <c r="V168" s="634"/>
      <c r="W168" s="102"/>
      <c r="X168" s="102"/>
      <c r="Y168" s="102"/>
      <c r="Z168" s="634"/>
      <c r="AA168" s="102"/>
      <c r="AB168" s="634"/>
      <c r="AC168" s="102"/>
      <c r="AD168" s="634"/>
      <c r="AE168" s="102"/>
      <c r="AF168" s="102"/>
      <c r="AG168" s="102"/>
      <c r="AH168" s="102"/>
      <c r="AI168" s="634"/>
      <c r="AJ168" s="102"/>
      <c r="AK168" s="634"/>
      <c r="AL168" s="102"/>
      <c r="AM168" s="779"/>
      <c r="AN168" s="634"/>
      <c r="AO168" s="102"/>
      <c r="AP168" s="634"/>
      <c r="AQ168" s="102"/>
      <c r="AR168" s="634"/>
      <c r="AS168" s="102"/>
      <c r="AT168" s="634"/>
      <c r="AU168" s="102"/>
      <c r="AV168" s="634"/>
      <c r="AW168" s="102"/>
      <c r="AX168" s="102"/>
      <c r="AY168" s="102"/>
      <c r="AZ168" s="102"/>
      <c r="BA168" s="102"/>
      <c r="BB168" s="102"/>
      <c r="BC168" s="102"/>
      <c r="BD168" s="634"/>
      <c r="BE168" s="102"/>
      <c r="BF168" s="634"/>
      <c r="BG168" s="102"/>
      <c r="BH168" s="634"/>
      <c r="BI168" s="102"/>
      <c r="BJ168" s="111"/>
      <c r="BK168" s="186"/>
      <c r="BL168" s="102"/>
      <c r="BM168" s="102"/>
      <c r="BN168" s="102"/>
      <c r="BO168" s="102"/>
      <c r="BP168" s="102"/>
      <c r="BQ168" s="102"/>
      <c r="BR168" s="102"/>
      <c r="BS168" s="102"/>
      <c r="BT168" s="634"/>
      <c r="BU168" s="102"/>
      <c r="BW168" s="780"/>
      <c r="CA168" s="781"/>
      <c r="CB168" s="2258"/>
      <c r="CC168" s="782"/>
      <c r="CD168" s="782"/>
      <c r="CE168" s="634"/>
      <c r="CF168" s="840"/>
      <c r="CG168" s="634"/>
      <c r="CH168" s="840"/>
      <c r="CI168" s="634"/>
      <c r="CK168" s="634"/>
      <c r="CM168" s="634"/>
      <c r="CN168" s="784"/>
      <c r="CO168" s="784"/>
      <c r="CP168" s="784"/>
      <c r="CQ168" s="634"/>
      <c r="CR168" s="102"/>
      <c r="CS168" s="784"/>
      <c r="CT168" s="784"/>
      <c r="CU168" s="784"/>
      <c r="CV168" s="784"/>
      <c r="CW168" s="634"/>
      <c r="CX168" s="102"/>
      <c r="CY168" s="784"/>
      <c r="CZ168" s="784"/>
      <c r="DA168" s="784"/>
      <c r="DB168" s="784"/>
      <c r="DC168" s="784"/>
      <c r="DD168" s="784"/>
      <c r="DE168" s="634"/>
      <c r="DF168" s="784"/>
      <c r="DG168" s="634"/>
      <c r="DI168" s="802"/>
      <c r="DJ168" s="787"/>
      <c r="DK168" s="899"/>
      <c r="DL168" s="786"/>
      <c r="DM168" s="787"/>
      <c r="DN168" s="787"/>
      <c r="DO168" s="787"/>
      <c r="DP168" s="787"/>
      <c r="DQ168" s="787"/>
      <c r="DR168" s="787"/>
      <c r="DS168" s="787"/>
      <c r="DT168" s="787"/>
      <c r="DU168" s="787"/>
      <c r="DV168" s="787"/>
      <c r="DW168" s="802"/>
      <c r="DX168" s="788"/>
      <c r="DY168" s="634"/>
      <c r="DZ168" s="2288"/>
      <c r="EA168" s="2231"/>
      <c r="EB168" s="187"/>
      <c r="EC168" s="2232"/>
      <c r="ED168" s="187"/>
      <c r="EE168" s="187"/>
      <c r="EF168" s="2232"/>
      <c r="EG168" s="187"/>
      <c r="EH168" s="2232"/>
      <c r="EI168" s="187"/>
      <c r="EJ168" s="2232"/>
      <c r="EK168" s="187"/>
      <c r="EL168" s="2232"/>
      <c r="EM168" s="195"/>
      <c r="EN168" s="2232"/>
      <c r="EO168" s="195"/>
      <c r="EP168" s="2232"/>
      <c r="EQ168" s="187"/>
      <c r="ER168" s="2232"/>
      <c r="ES168" s="187"/>
      <c r="ET168" s="2232"/>
      <c r="EU168" s="187">
        <f t="shared" si="57"/>
        <v>0</v>
      </c>
      <c r="EV168" s="2232"/>
      <c r="EW168" s="187"/>
      <c r="EX168" s="2232"/>
      <c r="EY168" s="195"/>
      <c r="EZ168" s="2232"/>
      <c r="FA168" s="195"/>
      <c r="FB168" s="2232"/>
      <c r="FC168" s="195"/>
      <c r="FD168" s="2232"/>
      <c r="FE168" s="195"/>
      <c r="FF168" s="2232"/>
      <c r="FG168" s="195"/>
      <c r="FH168" s="2232"/>
      <c r="FI168" s="195"/>
      <c r="FJ168" s="2232"/>
      <c r="FK168" s="195"/>
      <c r="FL168" s="2232"/>
      <c r="FM168" s="187"/>
      <c r="FN168" s="2232"/>
      <c r="FO168" s="187"/>
      <c r="FP168" s="2232"/>
      <c r="FQ168" s="187"/>
      <c r="FR168" s="195"/>
      <c r="FS168" s="195"/>
      <c r="FT168" s="789"/>
      <c r="FU168" s="789"/>
      <c r="FV168" s="789"/>
      <c r="FW168" s="789"/>
      <c r="FX168" s="789"/>
      <c r="FY168" s="789"/>
      <c r="FZ168" s="789"/>
      <c r="GA168" s="789"/>
      <c r="GB168" s="2286"/>
      <c r="GC168" s="776"/>
    </row>
    <row r="169" spans="1:202" s="127" customFormat="1" ht="15" customHeight="1">
      <c r="A169" s="2588"/>
      <c r="B169" s="2588">
        <v>59</v>
      </c>
      <c r="C169" s="115" t="s">
        <v>703</v>
      </c>
      <c r="D169" s="115">
        <v>2858</v>
      </c>
      <c r="E169" s="115">
        <v>23</v>
      </c>
      <c r="F169" s="115">
        <v>2028580023</v>
      </c>
      <c r="G169" s="115">
        <v>7487</v>
      </c>
      <c r="H169" s="118" t="s">
        <v>704</v>
      </c>
      <c r="I169" s="119"/>
      <c r="J169" s="115">
        <v>2</v>
      </c>
      <c r="K169" s="115">
        <v>0</v>
      </c>
      <c r="L169" s="115">
        <v>2</v>
      </c>
      <c r="M169" s="115">
        <v>6.5</v>
      </c>
      <c r="N169" s="117">
        <v>15000</v>
      </c>
      <c r="O169" s="117">
        <v>0</v>
      </c>
      <c r="P169" s="117">
        <v>0</v>
      </c>
      <c r="Q169" s="117">
        <v>15000</v>
      </c>
      <c r="R169" s="120">
        <v>0</v>
      </c>
      <c r="S169" s="764" t="s">
        <v>883</v>
      </c>
      <c r="T169" s="2600">
        <f>SUM(U169:U170)</f>
        <v>0</v>
      </c>
      <c r="U169" s="122">
        <v>0</v>
      </c>
      <c r="V169" s="2600">
        <f>SUM(W169:W170)</f>
        <v>16233</v>
      </c>
      <c r="W169" s="122">
        <v>15000</v>
      </c>
      <c r="X169" s="122"/>
      <c r="Y169" s="122">
        <f>W169-AA169</f>
        <v>15000</v>
      </c>
      <c r="Z169" s="2600">
        <f>SUM(AA169:AA170)</f>
        <v>0</v>
      </c>
      <c r="AA169" s="122">
        <v>0</v>
      </c>
      <c r="AB169" s="2600">
        <f>SUM(AC169:AC170)</f>
        <v>0</v>
      </c>
      <c r="AC169" s="122">
        <v>0</v>
      </c>
      <c r="AD169" s="2600">
        <f>SUM(AE169:AE170)</f>
        <v>1233</v>
      </c>
      <c r="AE169" s="122">
        <f>AG169+AF169</f>
        <v>0</v>
      </c>
      <c r="AF169" s="122">
        <v>0</v>
      </c>
      <c r="AG169" s="122">
        <v>0</v>
      </c>
      <c r="AH169" s="122">
        <v>0</v>
      </c>
      <c r="AI169" s="2600">
        <f>SUM(AJ169:AJ170)</f>
        <v>0</v>
      </c>
      <c r="AJ169" s="122">
        <v>0</v>
      </c>
      <c r="AK169" s="2600">
        <f>SUM(AL169:AL170)</f>
        <v>15000</v>
      </c>
      <c r="AL169" s="122">
        <f>W169-(AA169+AC169+AE169+AH169+AJ169+AM169+AW169+AO169+AQ169+AS169+AU169)</f>
        <v>15000</v>
      </c>
      <c r="AM169" s="765">
        <v>0</v>
      </c>
      <c r="AN169" s="2600">
        <f>SUM(AO169:AO170)</f>
        <v>0</v>
      </c>
      <c r="AO169" s="122">
        <v>0</v>
      </c>
      <c r="AP169" s="2600">
        <f>SUM(AQ169:AQ170)</f>
        <v>0</v>
      </c>
      <c r="AQ169" s="122">
        <v>0</v>
      </c>
      <c r="AR169" s="2600">
        <f>SUM(AS169:AS170)</f>
        <v>0</v>
      </c>
      <c r="AS169" s="122">
        <v>0</v>
      </c>
      <c r="AT169" s="2600">
        <f>SUM(AU169:AU170)</f>
        <v>0</v>
      </c>
      <c r="AU169" s="122">
        <v>0</v>
      </c>
      <c r="AV169" s="2600">
        <f>SUM(AW169:AW170)</f>
        <v>0</v>
      </c>
      <c r="AW169" s="122">
        <v>0</v>
      </c>
      <c r="AX169" s="122">
        <v>0</v>
      </c>
      <c r="AY169" s="122">
        <v>0</v>
      </c>
      <c r="AZ169" s="122">
        <v>0</v>
      </c>
      <c r="BA169" s="122">
        <v>0</v>
      </c>
      <c r="BB169" s="122">
        <v>0</v>
      </c>
      <c r="BC169" s="122">
        <v>0</v>
      </c>
      <c r="BD169" s="2600">
        <f>SUM(BE169:BE170)</f>
        <v>16233</v>
      </c>
      <c r="BE169" s="122">
        <f>U169+W169</f>
        <v>15000</v>
      </c>
      <c r="BF169" s="2600">
        <f>SUM(BG169:BG170)</f>
        <v>0</v>
      </c>
      <c r="BG169" s="122">
        <f>ROUND(U169/'[1]Projected Development Sites'!DF$134,0)</f>
        <v>0</v>
      </c>
      <c r="BH169" s="2600">
        <f>SUM(BI169:BI170)</f>
        <v>0</v>
      </c>
      <c r="BI169" s="122">
        <f>'[1]Projected Development Sites'!BG$135*BG169</f>
        <v>0</v>
      </c>
      <c r="BJ169" s="122">
        <f t="shared" si="59"/>
        <v>0</v>
      </c>
      <c r="BK169" s="129">
        <f>ROUND((Y169+AC169+AA169)/1000*3,0)+ROUND((AE169+AU169)/1000,0)+ROUND((ROUND(AH169/400,0))/2.67,0)+ROUND(AM169/250,0)+ROUND(AO169/15000,0)+ROUND((AX169+AY169+AZ169+BB169)/1000*3,0)+ROUND(BG169/25,0)+ROUND(BU333/50,0)</f>
        <v>45</v>
      </c>
      <c r="BL169" s="122">
        <v>0</v>
      </c>
      <c r="BM169" s="122">
        <v>0</v>
      </c>
      <c r="BN169" s="122">
        <v>0</v>
      </c>
      <c r="BO169" s="122">
        <f>AC169/1000</f>
        <v>0</v>
      </c>
      <c r="BP169" s="122">
        <f>AH169/1000</f>
        <v>0</v>
      </c>
      <c r="BQ169" s="122">
        <v>0</v>
      </c>
      <c r="BR169" s="122">
        <v>0</v>
      </c>
      <c r="BS169" s="122">
        <v>0</v>
      </c>
      <c r="BT169" s="2600">
        <f>SUM(BU169:BU170)</f>
        <v>0</v>
      </c>
      <c r="BU169" s="122">
        <f>SUM(BL169:BS169)</f>
        <v>0</v>
      </c>
      <c r="BV169" s="127">
        <v>25</v>
      </c>
      <c r="BW169" s="766" t="s">
        <v>741</v>
      </c>
      <c r="BX169" s="127">
        <v>7.2</v>
      </c>
      <c r="BY169" s="127">
        <v>2</v>
      </c>
      <c r="BZ169" s="127">
        <v>6.5</v>
      </c>
      <c r="CA169" s="767" t="s">
        <v>706</v>
      </c>
      <c r="CB169" s="2596" t="s">
        <v>716</v>
      </c>
      <c r="CC169" s="768">
        <f>(BX169*G169)-CF169</f>
        <v>47542.450000000004</v>
      </c>
      <c r="CD169" s="2731">
        <f>SUM(CC169:CC170)</f>
        <v>69557.900000000009</v>
      </c>
      <c r="CE169" s="2600">
        <f>SUM(CF169:CF170)</f>
        <v>9310.9</v>
      </c>
      <c r="CF169" s="838">
        <f>1*(G169)-(0.15*1*(G169))</f>
        <v>6363.95</v>
      </c>
      <c r="CG169" s="2600">
        <f>SUM(CH169:CH170)</f>
        <v>9310.9</v>
      </c>
      <c r="CH169" s="838">
        <f>CF169-CJ169</f>
        <v>6363.95</v>
      </c>
      <c r="CI169" s="2600">
        <f>SUM(CJ169:CJ170)</f>
        <v>0</v>
      </c>
      <c r="CJ169" s="127">
        <v>0</v>
      </c>
      <c r="CK169" s="2600">
        <f>SUM(CL169:CL170)</f>
        <v>0</v>
      </c>
      <c r="CL169" s="127">
        <v>0</v>
      </c>
      <c r="CM169" s="2600">
        <f>SUM(CN169:CN170)</f>
        <v>9310.9</v>
      </c>
      <c r="CN169" s="122">
        <f>CF169-(CJ169+CL169+CO169+CP169+CR169+CU169+CV169+CX169)</f>
        <v>6363.95</v>
      </c>
      <c r="CO169" s="770">
        <v>0</v>
      </c>
      <c r="CP169" s="770">
        <v>0</v>
      </c>
      <c r="CQ169" s="2600">
        <f>SUM(CR169:CR170)</f>
        <v>0</v>
      </c>
      <c r="CR169" s="122">
        <v>0</v>
      </c>
      <c r="CS169" s="770">
        <v>0</v>
      </c>
      <c r="CT169" s="770">
        <v>0</v>
      </c>
      <c r="CU169" s="770">
        <v>0</v>
      </c>
      <c r="CV169" s="770"/>
      <c r="CW169" s="2600">
        <f>SUM(CX169:CX170)</f>
        <v>0</v>
      </c>
      <c r="CX169" s="122">
        <f>SUM(CY169:DC169)</f>
        <v>0</v>
      </c>
      <c r="CY169" s="770">
        <f>AX169</f>
        <v>0</v>
      </c>
      <c r="CZ169" s="770">
        <f>AY169</f>
        <v>0</v>
      </c>
      <c r="DA169" s="770">
        <f>AZ169</f>
        <v>0</v>
      </c>
      <c r="DB169" s="770">
        <f>BA169</f>
        <v>0</v>
      </c>
      <c r="DC169" s="770">
        <f>BB169</f>
        <v>0</v>
      </c>
      <c r="DD169" s="770"/>
      <c r="DE169" s="2600">
        <f>SUM(DF169:DF170)</f>
        <v>78868.800000000003</v>
      </c>
      <c r="DF169" s="770">
        <f>CC169+CF169</f>
        <v>53906.400000000001</v>
      </c>
      <c r="DG169" s="2600">
        <f>SUM(DH169:DH170)</f>
        <v>69.557900000000004</v>
      </c>
      <c r="DH169" s="293">
        <f>CC169/'[1]Projected Development Sites'!DF$134</f>
        <v>47.542450000000002</v>
      </c>
      <c r="DI169" s="2722">
        <f>SUM(DJ169:DJ170)</f>
        <v>69.557900000000004</v>
      </c>
      <c r="DJ169" s="771">
        <f>'[1]Projected Development Sites'!DK$136*DH169</f>
        <v>47.542450000000002</v>
      </c>
      <c r="DK169" s="765">
        <f>2.87*DH169</f>
        <v>136.4468315</v>
      </c>
      <c r="DL169" s="772">
        <f>ROUND((CN169+CL169+CJ169)/1000*3,0)+ROUND((ROUND(CP169/400,0))/2.67,0)+ROUND(CV169/1000,0)+ROUND((CY169+CZ169+DA169+DC169)/1000*3,0)+ROUND(DH169/25,0)+ROUND(DX169/50,0)</f>
        <v>21</v>
      </c>
      <c r="DM169" s="773">
        <v>0</v>
      </c>
      <c r="DN169" s="773"/>
      <c r="DO169" s="773">
        <v>0</v>
      </c>
      <c r="DP169" s="773">
        <f>0.25*DJ169</f>
        <v>11.885612500000001</v>
      </c>
      <c r="DQ169" s="773">
        <f>SUM(CO169,CJ169,CN169,CR169,CU169)/1000</f>
        <v>6.36395</v>
      </c>
      <c r="DR169" s="773">
        <f>CL169/1000</f>
        <v>0</v>
      </c>
      <c r="DS169" s="773">
        <f>((CP169/400)/12)</f>
        <v>0</v>
      </c>
      <c r="DT169" s="773">
        <f>IF(CX169&gt;0,"Calculate",0)</f>
        <v>0</v>
      </c>
      <c r="DU169" s="773">
        <v>0</v>
      </c>
      <c r="DV169" s="773">
        <f>CX169/1000</f>
        <v>0</v>
      </c>
      <c r="DW169" s="2722">
        <f>SUM(DX169:DX170)</f>
        <v>9.3109000000000002</v>
      </c>
      <c r="DX169" s="774">
        <f>SUM(DM169,DO169,DQ169:DV169)</f>
        <v>6.36395</v>
      </c>
      <c r="DY169" s="2725">
        <v>165</v>
      </c>
      <c r="DZ169" s="2728">
        <f>CD169-T169</f>
        <v>69557.900000000009</v>
      </c>
      <c r="EA169" s="2602">
        <f>CE169-V169</f>
        <v>-6922.1</v>
      </c>
      <c r="EB169" s="187">
        <f>CF169-W169</f>
        <v>-8636.0499999999993</v>
      </c>
      <c r="EC169" s="2602">
        <f>SUM(ED169:ED170)</f>
        <v>-6922.0999999999995</v>
      </c>
      <c r="ED169" s="187">
        <v>-8636.0499999999993</v>
      </c>
      <c r="EE169" s="187">
        <f>(SUM(CJ169:CO169))-(SUM(AA169:AE169,AL169))</f>
        <v>-558.15000000000146</v>
      </c>
      <c r="EF169" s="2602">
        <f>SUM(EG169:EG170)</f>
        <v>-5689.0999999999995</v>
      </c>
      <c r="EG169" s="187">
        <v>-8636.0499999999993</v>
      </c>
      <c r="EH169" s="2602">
        <f>SUM(EI169:EI170)</f>
        <v>0</v>
      </c>
      <c r="EI169" s="187">
        <f>CL169-AC169</f>
        <v>0</v>
      </c>
      <c r="EJ169" s="2602">
        <f>SUM(EK169:EK170)</f>
        <v>0</v>
      </c>
      <c r="EK169" s="187">
        <f>CJ169-AA169</f>
        <v>0</v>
      </c>
      <c r="EL169" s="2602">
        <f>SUM(EM169:EM170)</f>
        <v>0</v>
      </c>
      <c r="EM169" s="187">
        <f>CO169-AE169</f>
        <v>0</v>
      </c>
      <c r="EN169" s="2602">
        <f>SUM(EO169:EO170)</f>
        <v>0</v>
      </c>
      <c r="EO169" s="187">
        <f>CP169-AH169</f>
        <v>0</v>
      </c>
      <c r="EP169" s="2602">
        <f>SUM(EQ169:EQ170)</f>
        <v>0</v>
      </c>
      <c r="EQ169" s="187">
        <f>CR169-AJ169</f>
        <v>0</v>
      </c>
      <c r="ER169" s="2602">
        <f>SUM(ES169:ES170)</f>
        <v>0</v>
      </c>
      <c r="ES169" s="187">
        <f>CS169-AO169</f>
        <v>0</v>
      </c>
      <c r="ET169" s="2602">
        <f>SUM(EU169:EU170)</f>
        <v>0</v>
      </c>
      <c r="EU169" s="187">
        <f t="shared" si="57"/>
        <v>0</v>
      </c>
      <c r="EV169" s="2602">
        <f>SUM(EW169:EW170)</f>
        <v>0</v>
      </c>
      <c r="EW169" s="187">
        <f>CU169-AS169</f>
        <v>0</v>
      </c>
      <c r="EX169" s="2602">
        <f>SUM(EY169:EY170)</f>
        <v>0</v>
      </c>
      <c r="EY169" s="187">
        <f>CV169-AU169</f>
        <v>0</v>
      </c>
      <c r="EZ169" s="2602">
        <f>SUM(FA169:FA170)</f>
        <v>0</v>
      </c>
      <c r="FA169" s="187">
        <f>CY169-AX169</f>
        <v>0</v>
      </c>
      <c r="FB169" s="2602">
        <f>SUM(FC169:FC170)</f>
        <v>0</v>
      </c>
      <c r="FC169" s="187">
        <f>CZ169-AY169</f>
        <v>0</v>
      </c>
      <c r="FD169" s="2602">
        <f>SUM(FE169:FE170)</f>
        <v>0</v>
      </c>
      <c r="FE169" s="187">
        <f>DA169-AZ169</f>
        <v>0</v>
      </c>
      <c r="FF169" s="2602">
        <f>SUM(FG169:FG170)</f>
        <v>0</v>
      </c>
      <c r="FG169" s="187">
        <f>DB169-BA169</f>
        <v>0</v>
      </c>
      <c r="FH169" s="2602">
        <f>SUM(FI169:FI170)</f>
        <v>0</v>
      </c>
      <c r="FI169" s="187">
        <f>DC169-BB169</f>
        <v>0</v>
      </c>
      <c r="FJ169" s="2602">
        <f>SUM(FK169:FK170)</f>
        <v>0</v>
      </c>
      <c r="FK169" s="187">
        <f>CX169-AW169</f>
        <v>0</v>
      </c>
      <c r="FL169" s="2602">
        <f>SUM(FM169:FM170)</f>
        <v>62635.8</v>
      </c>
      <c r="FM169" s="187">
        <f>DF169-BE169</f>
        <v>38906.400000000001</v>
      </c>
      <c r="FN169" s="2602">
        <f>SUM(FO169:FO170)</f>
        <v>69.557900000000004</v>
      </c>
      <c r="FO169" s="187">
        <f>DH169-BG169</f>
        <v>47.542450000000002</v>
      </c>
      <c r="FP169" s="2602">
        <f>SUM(FQ169:FQ170)</f>
        <v>69.557900000000004</v>
      </c>
      <c r="FQ169" s="187">
        <f>DJ169-BI169</f>
        <v>47.542450000000002</v>
      </c>
      <c r="FR169" s="187">
        <f>DK169-BJ169</f>
        <v>136.4468315</v>
      </c>
      <c r="FS169" s="187">
        <f>DL169-BK169</f>
        <v>-24</v>
      </c>
      <c r="FT169" s="775">
        <f>DM169-BL169</f>
        <v>0</v>
      </c>
      <c r="FU169" s="775">
        <f>DR169-BO169</f>
        <v>0</v>
      </c>
      <c r="FV169" s="775">
        <f>DO169-BM169</f>
        <v>0</v>
      </c>
      <c r="FW169" s="775">
        <f>DQ169-BN169</f>
        <v>6.36395</v>
      </c>
      <c r="FX169" s="775">
        <f>DS169-BP169</f>
        <v>0</v>
      </c>
      <c r="FY169" s="775">
        <f>DT169-BQ169</f>
        <v>0</v>
      </c>
      <c r="FZ169" s="775">
        <f>DU169-BR169</f>
        <v>0</v>
      </c>
      <c r="GA169" s="775">
        <f>DV169-BS169</f>
        <v>0</v>
      </c>
      <c r="GB169" s="2734">
        <f>SUM(GC169:GC170)</f>
        <v>6.36395</v>
      </c>
      <c r="GC169" s="776">
        <f t="shared" si="58"/>
        <v>6.36395</v>
      </c>
      <c r="GD169" s="139"/>
      <c r="GE169" s="139"/>
      <c r="GF169" s="139"/>
      <c r="GG169" s="139"/>
      <c r="GH169" s="139"/>
      <c r="GI169" s="139"/>
      <c r="GJ169" s="139"/>
      <c r="GK169" s="139"/>
      <c r="GL169" s="139"/>
      <c r="GM169" s="139"/>
      <c r="GN169" s="139"/>
      <c r="GO169" s="139"/>
      <c r="GP169" s="139"/>
      <c r="GQ169" s="139"/>
      <c r="GR169" s="139"/>
      <c r="GS169" s="139"/>
      <c r="GT169" s="139"/>
    </row>
    <row r="170" spans="1:202" s="81" customFormat="1" ht="15" customHeight="1">
      <c r="A170" s="2589"/>
      <c r="B170" s="2589"/>
      <c r="C170" s="66" t="s">
        <v>710</v>
      </c>
      <c r="D170" s="81">
        <v>2858</v>
      </c>
      <c r="E170" s="81">
        <v>28</v>
      </c>
      <c r="G170" s="81">
        <v>3467</v>
      </c>
      <c r="H170" s="959" t="s">
        <v>704</v>
      </c>
      <c r="I170" s="916"/>
      <c r="J170" s="81">
        <v>0.36</v>
      </c>
      <c r="K170" s="81">
        <v>0</v>
      </c>
      <c r="L170" s="81">
        <v>2</v>
      </c>
      <c r="M170" s="81">
        <v>6.5</v>
      </c>
      <c r="N170" s="74">
        <v>1233</v>
      </c>
      <c r="O170" s="74">
        <v>1233</v>
      </c>
      <c r="P170" s="74">
        <v>0</v>
      </c>
      <c r="Q170" s="74">
        <v>1233</v>
      </c>
      <c r="R170" s="976">
        <v>0</v>
      </c>
      <c r="S170" s="791" t="s">
        <v>711</v>
      </c>
      <c r="T170" s="2601"/>
      <c r="U170" s="74">
        <v>0</v>
      </c>
      <c r="V170" s="2601"/>
      <c r="W170" s="74">
        <f>N170</f>
        <v>1233</v>
      </c>
      <c r="X170" s="74"/>
      <c r="Y170" s="74">
        <f>W170-AA170</f>
        <v>1233</v>
      </c>
      <c r="Z170" s="2601"/>
      <c r="AA170" s="74">
        <v>0</v>
      </c>
      <c r="AB170" s="2601"/>
      <c r="AC170" s="74">
        <v>0</v>
      </c>
      <c r="AD170" s="2601"/>
      <c r="AE170" s="74">
        <f>AG170+AF170</f>
        <v>1233</v>
      </c>
      <c r="AF170" s="74">
        <v>0</v>
      </c>
      <c r="AG170" s="74">
        <v>1233</v>
      </c>
      <c r="AH170" s="74">
        <v>0</v>
      </c>
      <c r="AI170" s="2601"/>
      <c r="AJ170" s="74">
        <v>0</v>
      </c>
      <c r="AK170" s="2601"/>
      <c r="AL170" s="74">
        <f>W170-(AA170+AC170+AE170+AH170+AJ170+AM170+AW170+AO170+AQ170+AS170+AU170)</f>
        <v>0</v>
      </c>
      <c r="AM170" s="792">
        <v>0</v>
      </c>
      <c r="AN170" s="2601"/>
      <c r="AO170" s="74">
        <v>0</v>
      </c>
      <c r="AP170" s="2601"/>
      <c r="AQ170" s="74">
        <v>0</v>
      </c>
      <c r="AR170" s="2601"/>
      <c r="AS170" s="74">
        <v>0</v>
      </c>
      <c r="AT170" s="2601"/>
      <c r="AU170" s="74">
        <v>0</v>
      </c>
      <c r="AV170" s="2601"/>
      <c r="AW170" s="74">
        <v>0</v>
      </c>
      <c r="AX170" s="74">
        <v>0</v>
      </c>
      <c r="AY170" s="74">
        <v>0</v>
      </c>
      <c r="AZ170" s="74">
        <v>0</v>
      </c>
      <c r="BA170" s="74">
        <v>0</v>
      </c>
      <c r="BB170" s="74">
        <v>0</v>
      </c>
      <c r="BC170" s="74">
        <v>0</v>
      </c>
      <c r="BD170" s="2601"/>
      <c r="BE170" s="74">
        <f>U170+W170</f>
        <v>1233</v>
      </c>
      <c r="BF170" s="2601"/>
      <c r="BG170" s="74">
        <f>ROUND(U170/'[1]Projected Development Sites'!DF$134,0)</f>
        <v>0</v>
      </c>
      <c r="BH170" s="2601"/>
      <c r="BI170" s="74">
        <f>'[1]Projected Development Sites'!BG$135*BG170</f>
        <v>0</v>
      </c>
      <c r="BJ170" s="74">
        <f t="shared" si="59"/>
        <v>0</v>
      </c>
      <c r="BK170" s="88">
        <f>ROUND((Y170+AC170+AA170)/1000*3,0)+ROUND((AE170+AU170)/1000,0)+ROUND((ROUND(AH170/400,0))/2.67,0)+ROUND(AM170/250,0)+ROUND(AO170/15000,0)+ROUND((AX170+AY170+AZ170+BB170)/1000*3,0)+ROUND(BG170/25,0)+ROUND(BU334/50,0)</f>
        <v>5</v>
      </c>
      <c r="BL170" s="74">
        <v>0</v>
      </c>
      <c r="BM170" s="74">
        <v>0</v>
      </c>
      <c r="BN170" s="74">
        <v>0</v>
      </c>
      <c r="BO170" s="74">
        <f>AC170/1000</f>
        <v>0</v>
      </c>
      <c r="BP170" s="74">
        <f>AH170/1000</f>
        <v>0</v>
      </c>
      <c r="BQ170" s="74">
        <v>0</v>
      </c>
      <c r="BR170" s="74">
        <v>0</v>
      </c>
      <c r="BS170" s="74">
        <v>0</v>
      </c>
      <c r="BT170" s="2601"/>
      <c r="BU170" s="74">
        <f>SUM(BL170:BS170)</f>
        <v>0</v>
      </c>
      <c r="BV170" s="81">
        <v>15</v>
      </c>
      <c r="BW170" s="793" t="s">
        <v>741</v>
      </c>
      <c r="BX170" s="81">
        <v>7.2</v>
      </c>
      <c r="BY170" s="81">
        <v>2</v>
      </c>
      <c r="BZ170" s="81">
        <v>6.5</v>
      </c>
      <c r="CA170" s="794" t="s">
        <v>706</v>
      </c>
      <c r="CB170" s="2597"/>
      <c r="CC170" s="795">
        <f>(BX170*G170)-CF170</f>
        <v>22015.45</v>
      </c>
      <c r="CD170" s="2733"/>
      <c r="CE170" s="2601"/>
      <c r="CF170" s="843">
        <f>1*(G170)-(0.15*1*(G170))</f>
        <v>2946.95</v>
      </c>
      <c r="CG170" s="2601"/>
      <c r="CH170" s="843">
        <f>CF170-CJ170</f>
        <v>2946.95</v>
      </c>
      <c r="CI170" s="2601"/>
      <c r="CJ170" s="81">
        <v>0</v>
      </c>
      <c r="CK170" s="2601"/>
      <c r="CL170" s="81">
        <v>0</v>
      </c>
      <c r="CM170" s="2601"/>
      <c r="CN170" s="74">
        <f>CF170-(CJ170+CL170+CO170+CP170+CR170+CU170+CV170+CX170)</f>
        <v>2946.95</v>
      </c>
      <c r="CO170" s="797">
        <v>0</v>
      </c>
      <c r="CP170" s="797">
        <v>0</v>
      </c>
      <c r="CQ170" s="2601"/>
      <c r="CR170" s="74">
        <v>0</v>
      </c>
      <c r="CS170" s="797">
        <v>0</v>
      </c>
      <c r="CT170" s="797">
        <v>0</v>
      </c>
      <c r="CU170" s="797">
        <v>0</v>
      </c>
      <c r="CV170" s="797">
        <v>0</v>
      </c>
      <c r="CW170" s="2601"/>
      <c r="CX170" s="74">
        <f>SUM(CY170:DC170)</f>
        <v>0</v>
      </c>
      <c r="CY170" s="797">
        <v>0</v>
      </c>
      <c r="CZ170" s="797">
        <v>0</v>
      </c>
      <c r="DA170" s="797">
        <v>0</v>
      </c>
      <c r="DB170" s="797">
        <v>0</v>
      </c>
      <c r="DC170" s="797">
        <v>0</v>
      </c>
      <c r="DD170" s="797"/>
      <c r="DE170" s="2601"/>
      <c r="DF170" s="797">
        <f>CC170+CF170</f>
        <v>24962.400000000001</v>
      </c>
      <c r="DG170" s="2601"/>
      <c r="DH170" s="303">
        <f>CC170/'[1]Projected Development Sites'!DF$134</f>
        <v>22.015450000000001</v>
      </c>
      <c r="DI170" s="2724"/>
      <c r="DJ170" s="798">
        <f>'[1]Projected Development Sites'!DK$136*DH170</f>
        <v>22.015450000000001</v>
      </c>
      <c r="DK170" s="792">
        <f>2.87*DH170</f>
        <v>63.184341500000009</v>
      </c>
      <c r="DL170" s="917">
        <f>ROUND((CN170+CL170+CJ170)/1000*3,0)+ROUND((ROUND(CP170/400,0))/2.67,0)+ROUND(CV170/1000,0)+ROUND((CY170+CZ170+DA170+DC170)/1000*3,0)+ROUND(DH170/25,0)+ROUND(DX170/50,0)</f>
        <v>10</v>
      </c>
      <c r="DM170" s="799">
        <v>0</v>
      </c>
      <c r="DN170" s="799"/>
      <c r="DO170" s="799">
        <v>0</v>
      </c>
      <c r="DP170" s="799">
        <f>0.25*DJ170</f>
        <v>5.5038625000000003</v>
      </c>
      <c r="DQ170" s="799">
        <f>SUM(CO170,CJ170,CN170,CR170,CU170)/1000</f>
        <v>2.9469499999999997</v>
      </c>
      <c r="DR170" s="799">
        <f>CL170/1000</f>
        <v>0</v>
      </c>
      <c r="DS170" s="799">
        <f>((CP170/400)/12)</f>
        <v>0</v>
      </c>
      <c r="DT170" s="799">
        <f>IF(CX170&gt;0,"Calculate",0)</f>
        <v>0</v>
      </c>
      <c r="DU170" s="799">
        <v>0</v>
      </c>
      <c r="DV170" s="799">
        <f>CX170/1000</f>
        <v>0</v>
      </c>
      <c r="DW170" s="2724"/>
      <c r="DX170" s="800">
        <f>SUM(DM170,DO170,DQ170:DV170)</f>
        <v>2.9469499999999997</v>
      </c>
      <c r="DY170" s="2727"/>
      <c r="DZ170" s="2730"/>
      <c r="EA170" s="2603"/>
      <c r="EB170" s="195">
        <f>CF170-W170</f>
        <v>1713.9499999999998</v>
      </c>
      <c r="EC170" s="2603"/>
      <c r="ED170" s="190">
        <v>1713.9499999999998</v>
      </c>
      <c r="EE170" s="195">
        <f>(SUM(CJ170:CO170))-(SUM(AA170:AE170,AL170))</f>
        <v>1713.9499999999998</v>
      </c>
      <c r="EF170" s="2603"/>
      <c r="EG170" s="195">
        <v>2946.95</v>
      </c>
      <c r="EH170" s="2603"/>
      <c r="EI170" s="195">
        <f>CL170-AC170</f>
        <v>0</v>
      </c>
      <c r="EJ170" s="2603"/>
      <c r="EK170" s="195">
        <f>CJ170-AA170</f>
        <v>0</v>
      </c>
      <c r="EL170" s="2603"/>
      <c r="EM170" s="190"/>
      <c r="EN170" s="2603"/>
      <c r="EO170" s="190"/>
      <c r="EP170" s="2603"/>
      <c r="EQ170" s="195">
        <f>CR170-AJ170</f>
        <v>0</v>
      </c>
      <c r="ER170" s="2603"/>
      <c r="ES170" s="195">
        <f>CS170-AO170</f>
        <v>0</v>
      </c>
      <c r="ET170" s="2603"/>
      <c r="EU170" s="190">
        <f t="shared" si="57"/>
        <v>0</v>
      </c>
      <c r="EV170" s="2603"/>
      <c r="EW170" s="195">
        <f>CU170-AS170</f>
        <v>0</v>
      </c>
      <c r="EX170" s="2603"/>
      <c r="EY170" s="190"/>
      <c r="EZ170" s="2603"/>
      <c r="FA170" s="190"/>
      <c r="FB170" s="2603"/>
      <c r="FC170" s="190"/>
      <c r="FD170" s="2603"/>
      <c r="FE170" s="190"/>
      <c r="FF170" s="2603"/>
      <c r="FG170" s="190"/>
      <c r="FH170" s="2603"/>
      <c r="FI170" s="190"/>
      <c r="FJ170" s="2603"/>
      <c r="FK170" s="190"/>
      <c r="FL170" s="2603"/>
      <c r="FM170" s="190">
        <f>DF170-BE170</f>
        <v>23729.4</v>
      </c>
      <c r="FN170" s="2603"/>
      <c r="FO170" s="190">
        <f>DH170-BG170</f>
        <v>22.015450000000001</v>
      </c>
      <c r="FP170" s="2603"/>
      <c r="FQ170" s="190">
        <f>DJ170-BI170</f>
        <v>22.015450000000001</v>
      </c>
      <c r="FR170" s="190"/>
      <c r="FS170" s="190"/>
      <c r="FT170" s="801"/>
      <c r="FU170" s="801"/>
      <c r="FV170" s="801"/>
      <c r="FW170" s="801"/>
      <c r="FX170" s="801"/>
      <c r="FY170" s="801"/>
      <c r="FZ170" s="801"/>
      <c r="GA170" s="801"/>
      <c r="GB170" s="2736"/>
      <c r="GC170" s="845">
        <f t="shared" si="58"/>
        <v>0</v>
      </c>
      <c r="GD170" s="139"/>
      <c r="GE170" s="139"/>
      <c r="GF170" s="139"/>
      <c r="GG170" s="139"/>
      <c r="GH170" s="139"/>
      <c r="GI170" s="139"/>
      <c r="GJ170" s="139"/>
      <c r="GK170" s="139"/>
      <c r="GL170" s="139"/>
      <c r="GM170" s="139"/>
      <c r="GN170" s="139"/>
      <c r="GO170" s="139"/>
      <c r="GP170" s="139"/>
      <c r="GQ170" s="139"/>
      <c r="GR170" s="139"/>
      <c r="GS170" s="139"/>
      <c r="GT170" s="139"/>
    </row>
    <row r="171" spans="1:202" s="139" customFormat="1" ht="18.75">
      <c r="A171" s="2263"/>
      <c r="B171" s="2263"/>
      <c r="C171" s="913"/>
      <c r="D171" s="132"/>
      <c r="E171" s="132"/>
      <c r="F171" s="777"/>
      <c r="G171" s="132"/>
      <c r="H171" s="135"/>
      <c r="I171" s="136"/>
      <c r="J171" s="132"/>
      <c r="K171" s="132"/>
      <c r="L171" s="132"/>
      <c r="M171" s="132"/>
      <c r="N171" s="134"/>
      <c r="O171" s="134"/>
      <c r="P171" s="134"/>
      <c r="Q171" s="134"/>
      <c r="R171" s="137"/>
      <c r="S171" s="778"/>
      <c r="T171" s="634"/>
      <c r="U171" s="102"/>
      <c r="V171" s="634"/>
      <c r="W171" s="102"/>
      <c r="X171" s="102"/>
      <c r="Y171" s="102"/>
      <c r="Z171" s="634"/>
      <c r="AA171" s="102"/>
      <c r="AB171" s="634"/>
      <c r="AC171" s="102"/>
      <c r="AD171" s="634"/>
      <c r="AE171" s="102"/>
      <c r="AF171" s="102"/>
      <c r="AG171" s="102"/>
      <c r="AH171" s="102"/>
      <c r="AI171" s="634"/>
      <c r="AJ171" s="102"/>
      <c r="AK171" s="634"/>
      <c r="AL171" s="102"/>
      <c r="AM171" s="779"/>
      <c r="AN171" s="634"/>
      <c r="AO171" s="102"/>
      <c r="AP171" s="634"/>
      <c r="AQ171" s="102"/>
      <c r="AR171" s="634"/>
      <c r="AS171" s="102"/>
      <c r="AT171" s="634"/>
      <c r="AU171" s="102"/>
      <c r="AV171" s="634"/>
      <c r="AW171" s="102"/>
      <c r="AX171" s="102"/>
      <c r="AY171" s="102"/>
      <c r="AZ171" s="102"/>
      <c r="BA171" s="102"/>
      <c r="BB171" s="102"/>
      <c r="BC171" s="102"/>
      <c r="BD171" s="634"/>
      <c r="BE171" s="102"/>
      <c r="BF171" s="634"/>
      <c r="BG171" s="102"/>
      <c r="BH171" s="634"/>
      <c r="BI171" s="102"/>
      <c r="BJ171" s="111"/>
      <c r="BK171" s="186"/>
      <c r="BL171" s="102"/>
      <c r="BM171" s="102"/>
      <c r="BN171" s="102"/>
      <c r="BO171" s="102"/>
      <c r="BP171" s="102"/>
      <c r="BQ171" s="102"/>
      <c r="BR171" s="102"/>
      <c r="BS171" s="102"/>
      <c r="BT171" s="634"/>
      <c r="BU171" s="102"/>
      <c r="BW171" s="780"/>
      <c r="CA171" s="781"/>
      <c r="CB171" s="2258"/>
      <c r="CC171" s="782"/>
      <c r="CD171" s="782"/>
      <c r="CE171" s="634"/>
      <c r="CF171" s="840"/>
      <c r="CG171" s="634"/>
      <c r="CH171" s="840"/>
      <c r="CI171" s="634"/>
      <c r="CK171" s="634"/>
      <c r="CM171" s="634"/>
      <c r="CN171" s="784"/>
      <c r="CO171" s="784"/>
      <c r="CP171" s="784"/>
      <c r="CQ171" s="634"/>
      <c r="CR171" s="102"/>
      <c r="CS171" s="784"/>
      <c r="CT171" s="784"/>
      <c r="CU171" s="784"/>
      <c r="CV171" s="784"/>
      <c r="CW171" s="634"/>
      <c r="CX171" s="102"/>
      <c r="CY171" s="784"/>
      <c r="CZ171" s="784"/>
      <c r="DA171" s="784"/>
      <c r="DB171" s="784"/>
      <c r="DC171" s="784"/>
      <c r="DD171" s="784"/>
      <c r="DE171" s="634"/>
      <c r="DF171" s="784"/>
      <c r="DG171" s="634"/>
      <c r="DI171" s="802"/>
      <c r="DJ171" s="787"/>
      <c r="DK171" s="899"/>
      <c r="DL171" s="786"/>
      <c r="DM171" s="787"/>
      <c r="DN171" s="787"/>
      <c r="DO171" s="787"/>
      <c r="DP171" s="787"/>
      <c r="DQ171" s="787"/>
      <c r="DR171" s="787"/>
      <c r="DS171" s="787"/>
      <c r="DT171" s="787"/>
      <c r="DU171" s="787"/>
      <c r="DV171" s="787"/>
      <c r="DW171" s="802"/>
      <c r="DX171" s="788"/>
      <c r="DY171" s="634"/>
      <c r="DZ171" s="2288"/>
      <c r="EA171" s="2231"/>
      <c r="EB171" s="187"/>
      <c r="EC171" s="2232"/>
      <c r="ED171" s="187"/>
      <c r="EE171" s="187"/>
      <c r="EF171" s="2232"/>
      <c r="EG171" s="187"/>
      <c r="EH171" s="2232"/>
      <c r="EI171" s="187"/>
      <c r="EJ171" s="2232"/>
      <c r="EK171" s="187"/>
      <c r="EL171" s="2232"/>
      <c r="EM171" s="195"/>
      <c r="EN171" s="2232"/>
      <c r="EO171" s="195"/>
      <c r="EP171" s="2232"/>
      <c r="EQ171" s="187"/>
      <c r="ER171" s="2232"/>
      <c r="ES171" s="187"/>
      <c r="ET171" s="2232"/>
      <c r="EU171" s="187">
        <f t="shared" si="57"/>
        <v>0</v>
      </c>
      <c r="EV171" s="2232"/>
      <c r="EW171" s="187"/>
      <c r="EX171" s="2232"/>
      <c r="EY171" s="195"/>
      <c r="EZ171" s="2232"/>
      <c r="FA171" s="195"/>
      <c r="FB171" s="2232"/>
      <c r="FC171" s="195"/>
      <c r="FD171" s="2232"/>
      <c r="FE171" s="195"/>
      <c r="FF171" s="2232"/>
      <c r="FG171" s="195"/>
      <c r="FH171" s="2232"/>
      <c r="FI171" s="195"/>
      <c r="FJ171" s="2232"/>
      <c r="FK171" s="195"/>
      <c r="FL171" s="2232"/>
      <c r="FM171" s="195"/>
      <c r="FN171" s="2232"/>
      <c r="FO171" s="195"/>
      <c r="FP171" s="2232"/>
      <c r="FQ171" s="195"/>
      <c r="FR171" s="195"/>
      <c r="FS171" s="195"/>
      <c r="FT171" s="789"/>
      <c r="FU171" s="789"/>
      <c r="FV171" s="789"/>
      <c r="FW171" s="789"/>
      <c r="FX171" s="789"/>
      <c r="FY171" s="789"/>
      <c r="FZ171" s="789"/>
      <c r="GA171" s="789"/>
      <c r="GB171" s="2289"/>
      <c r="GC171" s="776"/>
    </row>
    <row r="172" spans="1:202" s="228" customFormat="1" ht="18.75">
      <c r="A172" s="216"/>
      <c r="B172" s="216">
        <v>60</v>
      </c>
      <c r="C172" s="918" t="s">
        <v>703</v>
      </c>
      <c r="D172" s="218">
        <v>2844</v>
      </c>
      <c r="E172" s="218">
        <v>1</v>
      </c>
      <c r="F172" s="897">
        <v>2028440001</v>
      </c>
      <c r="G172" s="218">
        <v>10000</v>
      </c>
      <c r="H172" s="221" t="s">
        <v>704</v>
      </c>
      <c r="I172" s="222"/>
      <c r="J172" s="218">
        <v>1</v>
      </c>
      <c r="K172" s="218">
        <v>0</v>
      </c>
      <c r="L172" s="218">
        <v>2</v>
      </c>
      <c r="M172" s="218">
        <v>6.5</v>
      </c>
      <c r="N172" s="220">
        <v>10000</v>
      </c>
      <c r="O172" s="220">
        <v>0</v>
      </c>
      <c r="P172" s="220">
        <v>0</v>
      </c>
      <c r="Q172" s="220">
        <v>10000</v>
      </c>
      <c r="R172" s="223">
        <v>0</v>
      </c>
      <c r="S172" s="898" t="s">
        <v>884</v>
      </c>
      <c r="T172" s="234">
        <f>U172</f>
        <v>0</v>
      </c>
      <c r="U172" s="111">
        <v>0</v>
      </c>
      <c r="V172" s="234">
        <f>W172</f>
        <v>10000</v>
      </c>
      <c r="W172" s="111">
        <v>10000</v>
      </c>
      <c r="X172" s="111"/>
      <c r="Y172" s="111">
        <f>W172-AA172</f>
        <v>0</v>
      </c>
      <c r="Z172" s="234">
        <f>AA172</f>
        <v>10000</v>
      </c>
      <c r="AA172" s="111">
        <v>10000</v>
      </c>
      <c r="AB172" s="234">
        <f>AC172</f>
        <v>0</v>
      </c>
      <c r="AC172" s="111">
        <v>0</v>
      </c>
      <c r="AD172" s="234">
        <f>AE172</f>
        <v>0</v>
      </c>
      <c r="AE172" s="111">
        <f>AG172+AF172</f>
        <v>0</v>
      </c>
      <c r="AF172" s="111">
        <v>0</v>
      </c>
      <c r="AG172" s="111">
        <v>0</v>
      </c>
      <c r="AH172" s="111">
        <v>0</v>
      </c>
      <c r="AI172" s="234">
        <f>AJ172</f>
        <v>0</v>
      </c>
      <c r="AJ172" s="111">
        <v>0</v>
      </c>
      <c r="AK172" s="234">
        <f>AL172</f>
        <v>0</v>
      </c>
      <c r="AL172" s="111">
        <f>W172-(AA172+AC172+AE172+AH172+AJ172+AM172+AW172+AO172+AQ172+AS172+AU172)</f>
        <v>0</v>
      </c>
      <c r="AM172" s="899">
        <v>0</v>
      </c>
      <c r="AN172" s="234">
        <f>AO172</f>
        <v>0</v>
      </c>
      <c r="AO172" s="111">
        <v>0</v>
      </c>
      <c r="AP172" s="234">
        <f>AQ172</f>
        <v>0</v>
      </c>
      <c r="AQ172" s="111">
        <v>0</v>
      </c>
      <c r="AR172" s="234">
        <f>AS172</f>
        <v>0</v>
      </c>
      <c r="AS172" s="111">
        <v>0</v>
      </c>
      <c r="AT172" s="234">
        <f>AU172</f>
        <v>0</v>
      </c>
      <c r="AU172" s="111">
        <v>0</v>
      </c>
      <c r="AV172" s="234">
        <f>AW172</f>
        <v>0</v>
      </c>
      <c r="AW172" s="111">
        <f>AX172+AY172+AZ172+BA172+BB172</f>
        <v>0</v>
      </c>
      <c r="AX172" s="111">
        <v>0</v>
      </c>
      <c r="AY172" s="111">
        <v>0</v>
      </c>
      <c r="AZ172" s="111">
        <v>0</v>
      </c>
      <c r="BA172" s="111">
        <v>0</v>
      </c>
      <c r="BB172" s="111">
        <v>0</v>
      </c>
      <c r="BC172" s="111">
        <v>0</v>
      </c>
      <c r="BD172" s="234">
        <f>BE172</f>
        <v>10000</v>
      </c>
      <c r="BE172" s="111">
        <v>10000</v>
      </c>
      <c r="BF172" s="234">
        <f>BG172</f>
        <v>0</v>
      </c>
      <c r="BG172" s="111">
        <v>0</v>
      </c>
      <c r="BH172" s="234">
        <f>BI172</f>
        <v>0</v>
      </c>
      <c r="BI172" s="111">
        <f>'[1]Projected Development Sites'!BG$135*BG172</f>
        <v>0</v>
      </c>
      <c r="BJ172" s="111">
        <f t="shared" si="59"/>
        <v>0</v>
      </c>
      <c r="BK172" s="306">
        <f>ROUND((Y172+AC172+AA172)/1000*3,0)+ROUND((AE172+AU172)/1000,0)+ROUND((ROUND(AH172/400,0))/2.67,0)+ROUND(AM172/250,0)+ROUND(AO172/15000,0)+ROUND((AX172+AY172+AZ172+BB172)/1000*3,0)+ROUND(BG172/25,0)+ROUND(BU340/50,0)</f>
        <v>30</v>
      </c>
      <c r="BL172" s="111">
        <v>0</v>
      </c>
      <c r="BM172" s="111">
        <v>0</v>
      </c>
      <c r="BN172" s="111">
        <v>0</v>
      </c>
      <c r="BO172" s="111">
        <f>AC172/1000</f>
        <v>0</v>
      </c>
      <c r="BP172" s="111">
        <f>AH172/1000</f>
        <v>0</v>
      </c>
      <c r="BQ172" s="111">
        <v>0</v>
      </c>
      <c r="BR172" s="111">
        <v>0</v>
      </c>
      <c r="BS172" s="111">
        <v>0</v>
      </c>
      <c r="BT172" s="234">
        <f>BU172</f>
        <v>0</v>
      </c>
      <c r="BU172" s="111">
        <v>0</v>
      </c>
      <c r="BV172" s="228">
        <v>15</v>
      </c>
      <c r="BW172" s="900" t="s">
        <v>705</v>
      </c>
      <c r="BX172" s="228">
        <v>4.5999999999999996</v>
      </c>
      <c r="BY172" s="228">
        <v>2</v>
      </c>
      <c r="BZ172" s="228">
        <v>4.5999999999999996</v>
      </c>
      <c r="CA172" s="901" t="s">
        <v>706</v>
      </c>
      <c r="CB172" s="230" t="s">
        <v>885</v>
      </c>
      <c r="CC172" s="399">
        <f>(BX172*G172)-CF172</f>
        <v>36000</v>
      </c>
      <c r="CD172" s="399">
        <v>36000</v>
      </c>
      <c r="CE172" s="234">
        <f>CF172</f>
        <v>10000</v>
      </c>
      <c r="CF172" s="902">
        <f>W172</f>
        <v>10000</v>
      </c>
      <c r="CG172" s="234">
        <f>CH172</f>
        <v>0</v>
      </c>
      <c r="CH172" s="902">
        <f>CF172-CJ172</f>
        <v>0</v>
      </c>
      <c r="CI172" s="234">
        <f>CJ172</f>
        <v>10000</v>
      </c>
      <c r="CJ172" s="399">
        <v>10000</v>
      </c>
      <c r="CK172" s="234">
        <f>CL172</f>
        <v>0</v>
      </c>
      <c r="CL172" s="228">
        <v>0</v>
      </c>
      <c r="CM172" s="234">
        <f>CN172</f>
        <v>0</v>
      </c>
      <c r="CN172" s="111">
        <f>CF172-(CJ172+CL172+CO172+CP172+CR172+CU172+CV172+CX172)</f>
        <v>0</v>
      </c>
      <c r="CO172" s="903">
        <v>0</v>
      </c>
      <c r="CP172" s="903">
        <v>0</v>
      </c>
      <c r="CQ172" s="234">
        <f>CR172</f>
        <v>0</v>
      </c>
      <c r="CR172" s="111">
        <v>0</v>
      </c>
      <c r="CS172" s="903">
        <v>0</v>
      </c>
      <c r="CT172" s="903">
        <v>0</v>
      </c>
      <c r="CU172" s="903">
        <v>0</v>
      </c>
      <c r="CV172" s="903">
        <v>0</v>
      </c>
      <c r="CW172" s="234">
        <f>CX172</f>
        <v>0</v>
      </c>
      <c r="CX172" s="111">
        <f>SUM(CY172:DC172)</f>
        <v>0</v>
      </c>
      <c r="CY172" s="903">
        <f>AX172</f>
        <v>0</v>
      </c>
      <c r="CZ172" s="903">
        <f>AY172</f>
        <v>0</v>
      </c>
      <c r="DA172" s="903">
        <f>AZ172</f>
        <v>0</v>
      </c>
      <c r="DB172" s="903">
        <f>BA172</f>
        <v>0</v>
      </c>
      <c r="DC172" s="903">
        <f>BB172</f>
        <v>0</v>
      </c>
      <c r="DD172" s="903"/>
      <c r="DE172" s="234">
        <f>DF172</f>
        <v>46000</v>
      </c>
      <c r="DF172" s="111">
        <f>CC172+CF172</f>
        <v>46000</v>
      </c>
      <c r="DG172" s="234">
        <f>DH172</f>
        <v>36</v>
      </c>
      <c r="DH172" s="904">
        <f>CC172/'[1]Projected Development Sites'!DF$134</f>
        <v>36</v>
      </c>
      <c r="DI172" s="886">
        <f>DJ172</f>
        <v>36</v>
      </c>
      <c r="DJ172" s="803">
        <f>'[1]Projected Development Sites'!DK$136*DH172</f>
        <v>36</v>
      </c>
      <c r="DK172" s="899">
        <f>2.87*DH172</f>
        <v>103.32000000000001</v>
      </c>
      <c r="DL172" s="772">
        <f>ROUND((CN172+CL172+CJ172)/1000*3,0)+ROUND((ROUND(CP172/400,0))/2.67,0)+ROUND(CV172/1000,0)+ROUND((CY172+CZ172+DA172+DC172)/1000*3,0)+ROUND(DH172/25,0)+ROUND(DX172/50,0)</f>
        <v>31</v>
      </c>
      <c r="DM172" s="905">
        <v>0</v>
      </c>
      <c r="DN172" s="905"/>
      <c r="DO172" s="905">
        <v>0</v>
      </c>
      <c r="DP172" s="905">
        <f>0.25*DJ172</f>
        <v>9</v>
      </c>
      <c r="DQ172" s="905">
        <f>SUM(CO172,CJ172,CN172,CR172,CU172)/1000</f>
        <v>10</v>
      </c>
      <c r="DR172" s="905">
        <f>CL172/1000</f>
        <v>0</v>
      </c>
      <c r="DS172" s="905">
        <f>((CP172/400)/12)</f>
        <v>0</v>
      </c>
      <c r="DT172" s="905">
        <f>IF(CX172&gt;0,"Calculate",0)</f>
        <v>0</v>
      </c>
      <c r="DU172" s="905">
        <v>0</v>
      </c>
      <c r="DV172" s="905">
        <f>CX172/1000</f>
        <v>0</v>
      </c>
      <c r="DW172" s="886">
        <f>DX172</f>
        <v>10</v>
      </c>
      <c r="DX172" s="906">
        <f>SUM(DM172,DO172,DQ172:DV172)</f>
        <v>10</v>
      </c>
      <c r="DY172" s="837">
        <v>115</v>
      </c>
      <c r="DZ172" s="2288">
        <f>CD172-T172</f>
        <v>36000</v>
      </c>
      <c r="EA172" s="2231">
        <f>CE172-V172</f>
        <v>0</v>
      </c>
      <c r="EB172" s="187">
        <f>CF172-W172</f>
        <v>0</v>
      </c>
      <c r="EC172" s="235">
        <f>ED172</f>
        <v>0</v>
      </c>
      <c r="ED172" s="187">
        <v>0</v>
      </c>
      <c r="EE172" s="187">
        <f>(SUM(CJ172:CO172))-(SUM(AA172:AE172,AL172))</f>
        <v>0</v>
      </c>
      <c r="EF172" s="235">
        <f>EG172</f>
        <v>0</v>
      </c>
      <c r="EG172" s="187">
        <v>0</v>
      </c>
      <c r="EH172" s="235">
        <f>EI172</f>
        <v>0</v>
      </c>
      <c r="EI172" s="187">
        <f>CL172-AC172</f>
        <v>0</v>
      </c>
      <c r="EJ172" s="235">
        <f>EK172</f>
        <v>0</v>
      </c>
      <c r="EK172" s="187">
        <f>CJ172-AA172</f>
        <v>0</v>
      </c>
      <c r="EL172" s="235">
        <f>EM172</f>
        <v>0</v>
      </c>
      <c r="EM172" s="245">
        <f>CO172-AE172</f>
        <v>0</v>
      </c>
      <c r="EN172" s="235">
        <f>EO172</f>
        <v>0</v>
      </c>
      <c r="EO172" s="245">
        <f>CP172-AH172</f>
        <v>0</v>
      </c>
      <c r="EP172" s="235">
        <f>EQ172</f>
        <v>0</v>
      </c>
      <c r="EQ172" s="187">
        <f>CR172-AJ172</f>
        <v>0</v>
      </c>
      <c r="ER172" s="235">
        <f>ES172</f>
        <v>0</v>
      </c>
      <c r="ES172" s="187">
        <f>CS172-AO172</f>
        <v>0</v>
      </c>
      <c r="ET172" s="235">
        <f>EU172</f>
        <v>0</v>
      </c>
      <c r="EU172" s="187">
        <f t="shared" si="57"/>
        <v>0</v>
      </c>
      <c r="EV172" s="235">
        <f>EW172</f>
        <v>0</v>
      </c>
      <c r="EW172" s="187">
        <f>CU172-AS172</f>
        <v>0</v>
      </c>
      <c r="EX172" s="235">
        <f>EY172</f>
        <v>0</v>
      </c>
      <c r="EY172" s="245">
        <f>CV172-AU172</f>
        <v>0</v>
      </c>
      <c r="EZ172" s="235">
        <f>FA172</f>
        <v>0</v>
      </c>
      <c r="FA172" s="245">
        <f>CY172-AX172</f>
        <v>0</v>
      </c>
      <c r="FB172" s="235">
        <f>FC172</f>
        <v>0</v>
      </c>
      <c r="FC172" s="245">
        <f>CZ172-AY172</f>
        <v>0</v>
      </c>
      <c r="FD172" s="235">
        <f>FE172</f>
        <v>0</v>
      </c>
      <c r="FE172" s="245">
        <f>DA172-AZ172</f>
        <v>0</v>
      </c>
      <c r="FF172" s="235">
        <f>FG172</f>
        <v>0</v>
      </c>
      <c r="FG172" s="245">
        <f>DB172-BA172</f>
        <v>0</v>
      </c>
      <c r="FH172" s="235">
        <f>FI172</f>
        <v>0</v>
      </c>
      <c r="FI172" s="245">
        <f>DC172-BB172</f>
        <v>0</v>
      </c>
      <c r="FJ172" s="235">
        <f>FK172</f>
        <v>0</v>
      </c>
      <c r="FK172" s="245">
        <f>CX172-AW172</f>
        <v>0</v>
      </c>
      <c r="FL172" s="235">
        <f>FM172</f>
        <v>36000</v>
      </c>
      <c r="FM172" s="187">
        <f>DF172-BE172</f>
        <v>36000</v>
      </c>
      <c r="FN172" s="235">
        <f>FO172</f>
        <v>36</v>
      </c>
      <c r="FO172" s="187">
        <f>DH172-BG172</f>
        <v>36</v>
      </c>
      <c r="FP172" s="235">
        <f>FQ172</f>
        <v>36</v>
      </c>
      <c r="FQ172" s="187">
        <f>DJ172-BI172</f>
        <v>36</v>
      </c>
      <c r="FR172" s="245">
        <f>DK172-BJ172</f>
        <v>103.32000000000001</v>
      </c>
      <c r="FS172" s="245">
        <f>DL172-BK172</f>
        <v>1</v>
      </c>
      <c r="FT172" s="907">
        <f>DM172-BL172</f>
        <v>0</v>
      </c>
      <c r="FU172" s="907">
        <f>DR172-BO172</f>
        <v>0</v>
      </c>
      <c r="FV172" s="907">
        <f>DO172-BM172</f>
        <v>0</v>
      </c>
      <c r="FW172" s="907">
        <f>DQ172-BN172</f>
        <v>10</v>
      </c>
      <c r="FX172" s="907">
        <f>DS172-BP172</f>
        <v>0</v>
      </c>
      <c r="FY172" s="907">
        <f>DT172-BQ172</f>
        <v>0</v>
      </c>
      <c r="FZ172" s="907">
        <f>DU172-BR172</f>
        <v>0</v>
      </c>
      <c r="GA172" s="907">
        <f>DV172-BS172</f>
        <v>0</v>
      </c>
      <c r="GB172" s="894">
        <f>GC172</f>
        <v>10</v>
      </c>
      <c r="GC172" s="776">
        <f t="shared" si="58"/>
        <v>10</v>
      </c>
      <c r="GD172" s="139"/>
      <c r="GE172" s="139"/>
      <c r="GF172" s="139"/>
      <c r="GG172" s="139"/>
      <c r="GH172" s="139"/>
      <c r="GI172" s="139"/>
      <c r="GJ172" s="139"/>
      <c r="GK172" s="139"/>
      <c r="GL172" s="139"/>
      <c r="GM172" s="139"/>
      <c r="GN172" s="139"/>
      <c r="GO172" s="139"/>
      <c r="GP172" s="139"/>
      <c r="GQ172" s="139"/>
      <c r="GR172" s="139"/>
      <c r="GS172" s="139"/>
      <c r="GT172" s="139"/>
    </row>
    <row r="173" spans="1:202" s="139" customFormat="1" ht="18.75">
      <c r="A173" s="2263"/>
      <c r="B173" s="2263"/>
      <c r="C173" s="132"/>
      <c r="D173" s="132"/>
      <c r="E173" s="132"/>
      <c r="F173" s="777"/>
      <c r="G173" s="132"/>
      <c r="H173" s="135"/>
      <c r="I173" s="136"/>
      <c r="J173" s="132"/>
      <c r="K173" s="132"/>
      <c r="L173" s="132"/>
      <c r="M173" s="132"/>
      <c r="N173" s="134"/>
      <c r="O173" s="134"/>
      <c r="P173" s="134"/>
      <c r="Q173" s="134"/>
      <c r="R173" s="137"/>
      <c r="S173" s="778"/>
      <c r="T173" s="634"/>
      <c r="U173" s="102"/>
      <c r="V173" s="634"/>
      <c r="W173" s="102"/>
      <c r="X173" s="102"/>
      <c r="Y173" s="102"/>
      <c r="Z173" s="634"/>
      <c r="AA173" s="102"/>
      <c r="AB173" s="634"/>
      <c r="AC173" s="102"/>
      <c r="AD173" s="634"/>
      <c r="AE173" s="102"/>
      <c r="AF173" s="102"/>
      <c r="AG173" s="102"/>
      <c r="AH173" s="102"/>
      <c r="AI173" s="634"/>
      <c r="AJ173" s="102"/>
      <c r="AK173" s="634"/>
      <c r="AL173" s="102"/>
      <c r="AM173" s="779"/>
      <c r="AN173" s="634"/>
      <c r="AO173" s="102"/>
      <c r="AP173" s="634"/>
      <c r="AQ173" s="102"/>
      <c r="AR173" s="634"/>
      <c r="AS173" s="102"/>
      <c r="AT173" s="634"/>
      <c r="AU173" s="102"/>
      <c r="AV173" s="634"/>
      <c r="AW173" s="102"/>
      <c r="AX173" s="102"/>
      <c r="AY173" s="102"/>
      <c r="AZ173" s="102"/>
      <c r="BA173" s="102"/>
      <c r="BB173" s="102"/>
      <c r="BC173" s="102"/>
      <c r="BD173" s="634"/>
      <c r="BE173" s="102"/>
      <c r="BF173" s="634"/>
      <c r="BG173" s="102"/>
      <c r="BH173" s="634"/>
      <c r="BI173" s="102"/>
      <c r="BJ173" s="111"/>
      <c r="BK173" s="186"/>
      <c r="BL173" s="102"/>
      <c r="BM173" s="102"/>
      <c r="BN173" s="102"/>
      <c r="BO173" s="102"/>
      <c r="BP173" s="102"/>
      <c r="BQ173" s="102"/>
      <c r="BR173" s="102"/>
      <c r="BS173" s="102"/>
      <c r="BT173" s="634"/>
      <c r="BU173" s="102"/>
      <c r="BW173" s="780"/>
      <c r="CA173" s="781"/>
      <c r="CB173" s="2258"/>
      <c r="CC173" s="782"/>
      <c r="CD173" s="782"/>
      <c r="CE173" s="634"/>
      <c r="CF173" s="840"/>
      <c r="CG173" s="634"/>
      <c r="CH173" s="840"/>
      <c r="CI173" s="634"/>
      <c r="CK173" s="634"/>
      <c r="CM173" s="634"/>
      <c r="CN173" s="102"/>
      <c r="CO173" s="784"/>
      <c r="CP173" s="784"/>
      <c r="CQ173" s="634"/>
      <c r="CR173" s="102"/>
      <c r="CS173" s="784"/>
      <c r="CT173" s="784"/>
      <c r="CU173" s="784"/>
      <c r="CV173" s="784"/>
      <c r="CW173" s="634"/>
      <c r="CX173" s="102"/>
      <c r="CY173" s="784"/>
      <c r="CZ173" s="784"/>
      <c r="DA173" s="784"/>
      <c r="DB173" s="784"/>
      <c r="DC173" s="784"/>
      <c r="DD173" s="784"/>
      <c r="DE173" s="634"/>
      <c r="DF173" s="102"/>
      <c r="DG173" s="634"/>
      <c r="DH173" s="296"/>
      <c r="DI173" s="802"/>
      <c r="DJ173" s="785"/>
      <c r="DK173" s="899"/>
      <c r="DL173" s="772"/>
      <c r="DM173" s="787"/>
      <c r="DN173" s="787"/>
      <c r="DO173" s="787"/>
      <c r="DP173" s="787"/>
      <c r="DQ173" s="787"/>
      <c r="DR173" s="787"/>
      <c r="DS173" s="787"/>
      <c r="DT173" s="787"/>
      <c r="DU173" s="787"/>
      <c r="DV173" s="787"/>
      <c r="DW173" s="802"/>
      <c r="DX173" s="788"/>
      <c r="DY173" s="634"/>
      <c r="DZ173" s="2288"/>
      <c r="EA173" s="2231"/>
      <c r="EB173" s="187"/>
      <c r="EC173" s="2232"/>
      <c r="ED173" s="187"/>
      <c r="EE173" s="187"/>
      <c r="EF173" s="2232"/>
      <c r="EG173" s="187"/>
      <c r="EH173" s="2232"/>
      <c r="EI173" s="187"/>
      <c r="EJ173" s="2232"/>
      <c r="EK173" s="187"/>
      <c r="EL173" s="2232"/>
      <c r="EM173" s="195"/>
      <c r="EN173" s="2232"/>
      <c r="EO173" s="195"/>
      <c r="EP173" s="2232"/>
      <c r="EQ173" s="187"/>
      <c r="ER173" s="2232"/>
      <c r="ES173" s="187"/>
      <c r="ET173" s="2232"/>
      <c r="EU173" s="187">
        <f t="shared" si="57"/>
        <v>0</v>
      </c>
      <c r="EV173" s="2232"/>
      <c r="EW173" s="187"/>
      <c r="EX173" s="2232"/>
      <c r="EY173" s="195"/>
      <c r="EZ173" s="2232"/>
      <c r="FA173" s="195"/>
      <c r="FB173" s="2232"/>
      <c r="FC173" s="195"/>
      <c r="FD173" s="2232"/>
      <c r="FE173" s="195"/>
      <c r="FF173" s="2232"/>
      <c r="FG173" s="195"/>
      <c r="FH173" s="2232"/>
      <c r="FI173" s="195"/>
      <c r="FJ173" s="2232"/>
      <c r="FK173" s="195"/>
      <c r="FL173" s="2232"/>
      <c r="FM173" s="187"/>
      <c r="FN173" s="2232"/>
      <c r="FO173" s="187"/>
      <c r="FP173" s="2232"/>
      <c r="FQ173" s="187"/>
      <c r="FR173" s="195"/>
      <c r="FS173" s="195"/>
      <c r="FT173" s="789"/>
      <c r="FU173" s="789"/>
      <c r="FV173" s="789"/>
      <c r="FW173" s="789"/>
      <c r="FX173" s="789"/>
      <c r="FY173" s="789"/>
      <c r="FZ173" s="789"/>
      <c r="GA173" s="789"/>
      <c r="GB173" s="2289"/>
      <c r="GC173" s="776"/>
    </row>
    <row r="174" spans="1:202" s="228" customFormat="1" ht="18.75">
      <c r="A174" s="216"/>
      <c r="B174" s="216">
        <v>61</v>
      </c>
      <c r="C174" s="218" t="s">
        <v>703</v>
      </c>
      <c r="D174" s="218">
        <v>2843</v>
      </c>
      <c r="E174" s="218">
        <v>12</v>
      </c>
      <c r="F174" s="897">
        <v>2028430012</v>
      </c>
      <c r="G174" s="218">
        <v>10000</v>
      </c>
      <c r="H174" s="221" t="s">
        <v>753</v>
      </c>
      <c r="I174" s="222"/>
      <c r="J174" s="218">
        <v>1</v>
      </c>
      <c r="K174" s="218">
        <v>3.44</v>
      </c>
      <c r="L174" s="218">
        <v>3.4</v>
      </c>
      <c r="M174" s="218">
        <v>6.5</v>
      </c>
      <c r="N174" s="220">
        <v>10000</v>
      </c>
      <c r="O174" s="220">
        <v>0</v>
      </c>
      <c r="P174" s="220">
        <v>0</v>
      </c>
      <c r="Q174" s="220">
        <v>10000</v>
      </c>
      <c r="R174" s="223">
        <v>0</v>
      </c>
      <c r="S174" s="898" t="s">
        <v>637</v>
      </c>
      <c r="T174" s="234">
        <f>U174</f>
        <v>0</v>
      </c>
      <c r="U174" s="111">
        <v>0</v>
      </c>
      <c r="V174" s="234">
        <f>W174</f>
        <v>10000</v>
      </c>
      <c r="W174" s="111">
        <f>N174</f>
        <v>10000</v>
      </c>
      <c r="X174" s="111"/>
      <c r="Y174" s="111">
        <f>W174-AA174</f>
        <v>10000</v>
      </c>
      <c r="Z174" s="234">
        <f>AA174</f>
        <v>0</v>
      </c>
      <c r="AA174" s="111">
        <v>0</v>
      </c>
      <c r="AB174" s="234">
        <f>AC174</f>
        <v>10000</v>
      </c>
      <c r="AC174" s="111">
        <v>10000</v>
      </c>
      <c r="AD174" s="234">
        <f>AE174</f>
        <v>0</v>
      </c>
      <c r="AE174" s="111">
        <f>AG174+AF174</f>
        <v>0</v>
      </c>
      <c r="AF174" s="111">
        <v>0</v>
      </c>
      <c r="AG174" s="111">
        <v>0</v>
      </c>
      <c r="AH174" s="111">
        <v>0</v>
      </c>
      <c r="AI174" s="234">
        <f>AJ174</f>
        <v>0</v>
      </c>
      <c r="AJ174" s="111">
        <v>0</v>
      </c>
      <c r="AK174" s="234">
        <f>AL174</f>
        <v>0</v>
      </c>
      <c r="AL174" s="111">
        <f>W174-(AA174+AC174+AE174+AH174+AJ174+AM174+AW174+AO174+AQ174+AS174+AU174)</f>
        <v>0</v>
      </c>
      <c r="AM174" s="899">
        <v>0</v>
      </c>
      <c r="AN174" s="234">
        <f>AO174</f>
        <v>0</v>
      </c>
      <c r="AO174" s="111">
        <v>0</v>
      </c>
      <c r="AP174" s="234">
        <f>AQ174</f>
        <v>0</v>
      </c>
      <c r="AQ174" s="111">
        <v>0</v>
      </c>
      <c r="AR174" s="234">
        <f>AS174</f>
        <v>0</v>
      </c>
      <c r="AS174" s="111">
        <v>0</v>
      </c>
      <c r="AT174" s="234">
        <f>AU174</f>
        <v>0</v>
      </c>
      <c r="AU174" s="111">
        <v>0</v>
      </c>
      <c r="AV174" s="234">
        <f>AW174</f>
        <v>0</v>
      </c>
      <c r="AW174" s="111">
        <f>AX174+AY174+AZ174+BA174+BB174</f>
        <v>0</v>
      </c>
      <c r="AX174" s="111">
        <v>0</v>
      </c>
      <c r="AY174" s="111">
        <v>0</v>
      </c>
      <c r="AZ174" s="111">
        <v>0</v>
      </c>
      <c r="BA174" s="111">
        <v>0</v>
      </c>
      <c r="BB174" s="111">
        <v>0</v>
      </c>
      <c r="BC174" s="111">
        <v>0</v>
      </c>
      <c r="BD174" s="234">
        <f>BE174</f>
        <v>10000</v>
      </c>
      <c r="BE174" s="111">
        <f>U174+W174</f>
        <v>10000</v>
      </c>
      <c r="BF174" s="234">
        <f>BG174</f>
        <v>0</v>
      </c>
      <c r="BG174" s="111">
        <f>U174/1000</f>
        <v>0</v>
      </c>
      <c r="BH174" s="234">
        <f>BI174</f>
        <v>0</v>
      </c>
      <c r="BI174" s="111">
        <f>'[1]Projected Development Sites'!BG$135*BG174</f>
        <v>0</v>
      </c>
      <c r="BJ174" s="111">
        <f t="shared" si="59"/>
        <v>0</v>
      </c>
      <c r="BK174" s="306">
        <f>ROUND((Y174+AC174+AA174)/1000*3,0)+ROUND((AE174+AU174)/1000,0)+ROUND((ROUND(AH174/400,0))/2.67,0)+ROUND(AM174/250,0)+ROUND(AO174/15000,0)+ROUND((AX174+AY174+AZ174+BB174)/1000*3,0)+ROUND(BG174/25,0)+ROUND(BU331/50,0)</f>
        <v>60</v>
      </c>
      <c r="BL174" s="111">
        <v>0</v>
      </c>
      <c r="BM174" s="111">
        <v>0</v>
      </c>
      <c r="BN174" s="111">
        <v>0</v>
      </c>
      <c r="BO174" s="111">
        <f>AC174/1000</f>
        <v>10</v>
      </c>
      <c r="BP174" s="111">
        <f>AH174/1000</f>
        <v>0</v>
      </c>
      <c r="BQ174" s="111">
        <v>0</v>
      </c>
      <c r="BR174" s="111">
        <v>0</v>
      </c>
      <c r="BS174" s="111">
        <v>0</v>
      </c>
      <c r="BT174" s="234">
        <f>BU174</f>
        <v>10</v>
      </c>
      <c r="BU174" s="111">
        <f>SUM(BL174:BS174)</f>
        <v>10</v>
      </c>
      <c r="BV174" s="228">
        <v>15</v>
      </c>
      <c r="BW174" s="900" t="s">
        <v>705</v>
      </c>
      <c r="BX174" s="228">
        <v>4.5999999999999996</v>
      </c>
      <c r="BY174" s="228">
        <v>2</v>
      </c>
      <c r="BZ174" s="228">
        <v>4.5999999999999996</v>
      </c>
      <c r="CA174" s="901" t="s">
        <v>706</v>
      </c>
      <c r="CB174" s="230" t="s">
        <v>886</v>
      </c>
      <c r="CC174" s="399">
        <f>(BX174*G174)+CL174</f>
        <v>56000</v>
      </c>
      <c r="CD174" s="399">
        <v>56000</v>
      </c>
      <c r="CE174" s="234">
        <f>CF174</f>
        <v>10000</v>
      </c>
      <c r="CF174" s="902">
        <f>W174</f>
        <v>10000</v>
      </c>
      <c r="CG174" s="234">
        <f>CH174</f>
        <v>10000</v>
      </c>
      <c r="CH174" s="902">
        <f>CF174-CJ174</f>
        <v>10000</v>
      </c>
      <c r="CI174" s="234">
        <f>CJ174</f>
        <v>0</v>
      </c>
      <c r="CJ174" s="228">
        <v>0</v>
      </c>
      <c r="CK174" s="234">
        <f>CL174</f>
        <v>10000</v>
      </c>
      <c r="CL174" s="399">
        <f>AC174</f>
        <v>10000</v>
      </c>
      <c r="CM174" s="234">
        <f>CN174</f>
        <v>0</v>
      </c>
      <c r="CN174" s="111">
        <f>CF174-(CJ174+CL174+CO174+CP174+CR174+CU174+CV174+CX174)</f>
        <v>0</v>
      </c>
      <c r="CO174" s="903">
        <v>0</v>
      </c>
      <c r="CP174" s="903">
        <v>0</v>
      </c>
      <c r="CQ174" s="234">
        <f>CR174</f>
        <v>0</v>
      </c>
      <c r="CR174" s="111">
        <v>0</v>
      </c>
      <c r="CS174" s="903">
        <v>0</v>
      </c>
      <c r="CT174" s="903">
        <v>0</v>
      </c>
      <c r="CU174" s="903">
        <v>0</v>
      </c>
      <c r="CV174" s="903">
        <v>0</v>
      </c>
      <c r="CW174" s="234">
        <f>CX174</f>
        <v>0</v>
      </c>
      <c r="CX174" s="111">
        <f>SUM(CY174:DC174)</f>
        <v>0</v>
      </c>
      <c r="CY174" s="903">
        <f>AX174</f>
        <v>0</v>
      </c>
      <c r="CZ174" s="903">
        <f>AY174</f>
        <v>0</v>
      </c>
      <c r="DA174" s="903">
        <f>AZ174</f>
        <v>0</v>
      </c>
      <c r="DB174" s="903">
        <f>BA174</f>
        <v>0</v>
      </c>
      <c r="DC174" s="903">
        <f>BB174</f>
        <v>0</v>
      </c>
      <c r="DD174" s="903"/>
      <c r="DE174" s="234">
        <f>DF174</f>
        <v>66000</v>
      </c>
      <c r="DF174" s="111">
        <f>CC174+CF174</f>
        <v>66000</v>
      </c>
      <c r="DG174" s="234">
        <f>DH174</f>
        <v>56</v>
      </c>
      <c r="DH174" s="904">
        <f>CC174/'[1]Projected Development Sites'!DF$134</f>
        <v>56</v>
      </c>
      <c r="DI174" s="886">
        <f>DJ174</f>
        <v>56</v>
      </c>
      <c r="DJ174" s="803">
        <f>'[1]Projected Development Sites'!DK$136*DH174</f>
        <v>56</v>
      </c>
      <c r="DK174" s="899">
        <f>2.87*DH174</f>
        <v>160.72</v>
      </c>
      <c r="DL174" s="772">
        <f>ROUND((CN174+CL174+CJ174)/1000*3,0)+ROUND((ROUND(CP174/400,0))/2.67,0)+ROUND(CV174/1000,0)+ROUND((CY174+CZ174+DA174+DC174)/1000*3,0)+ROUND(DH174/25,0)+ROUND(DX174/50,0)</f>
        <v>32</v>
      </c>
      <c r="DM174" s="905">
        <v>0</v>
      </c>
      <c r="DN174" s="905"/>
      <c r="DO174" s="905">
        <v>0</v>
      </c>
      <c r="DP174" s="905">
        <f>0.25*DJ174</f>
        <v>14</v>
      </c>
      <c r="DQ174" s="905">
        <f>SUM(CO174,CJ174,CN174,CR174,CU174)/1000</f>
        <v>0</v>
      </c>
      <c r="DR174" s="905">
        <v>0</v>
      </c>
      <c r="DS174" s="905">
        <f>((CP174/400)/12)</f>
        <v>0</v>
      </c>
      <c r="DT174" s="905">
        <f>IF(CX174&gt;0,"Calculate",0)</f>
        <v>0</v>
      </c>
      <c r="DU174" s="905">
        <v>0</v>
      </c>
      <c r="DV174" s="905">
        <f>CX174/1000</f>
        <v>0</v>
      </c>
      <c r="DW174" s="886">
        <f>DX174</f>
        <v>0</v>
      </c>
      <c r="DX174" s="906">
        <f>SUM(DM174,DO174,DQ174:DV174)</f>
        <v>0</v>
      </c>
      <c r="DY174" s="837">
        <v>115</v>
      </c>
      <c r="DZ174" s="2288">
        <f>CD174-T174</f>
        <v>56000</v>
      </c>
      <c r="EA174" s="2231">
        <f>CE174-V174</f>
        <v>0</v>
      </c>
      <c r="EB174" s="187">
        <f>CF174-W174</f>
        <v>0</v>
      </c>
      <c r="EC174" s="235">
        <f>ED174</f>
        <v>0</v>
      </c>
      <c r="ED174" s="187">
        <v>0</v>
      </c>
      <c r="EE174" s="187">
        <f>(SUM(CJ174:CO174))-(SUM(AA174:AE174,AL174))</f>
        <v>0</v>
      </c>
      <c r="EF174" s="235">
        <f>EG174</f>
        <v>0</v>
      </c>
      <c r="EG174" s="187">
        <v>0</v>
      </c>
      <c r="EH174" s="235">
        <f>EI174</f>
        <v>0</v>
      </c>
      <c r="EI174" s="187">
        <f>CL174-AC174</f>
        <v>0</v>
      </c>
      <c r="EJ174" s="235">
        <f>EK174</f>
        <v>0</v>
      </c>
      <c r="EK174" s="187">
        <f>CJ174-AA174</f>
        <v>0</v>
      </c>
      <c r="EL174" s="235">
        <f>EM174</f>
        <v>0</v>
      </c>
      <c r="EM174" s="245">
        <f>CO174-AE174</f>
        <v>0</v>
      </c>
      <c r="EN174" s="235">
        <f>EO174</f>
        <v>0</v>
      </c>
      <c r="EO174" s="245">
        <f>CP174-AH174</f>
        <v>0</v>
      </c>
      <c r="EP174" s="235">
        <f>EQ174</f>
        <v>0</v>
      </c>
      <c r="EQ174" s="187">
        <f>CR174-AJ174</f>
        <v>0</v>
      </c>
      <c r="ER174" s="235">
        <f>ES174</f>
        <v>0</v>
      </c>
      <c r="ES174" s="187">
        <f>CS174-AO174</f>
        <v>0</v>
      </c>
      <c r="ET174" s="235">
        <f>EU174</f>
        <v>0</v>
      </c>
      <c r="EU174" s="187">
        <f t="shared" si="57"/>
        <v>0</v>
      </c>
      <c r="EV174" s="235">
        <f>EW174</f>
        <v>0</v>
      </c>
      <c r="EW174" s="187">
        <f>CU174-AS174</f>
        <v>0</v>
      </c>
      <c r="EX174" s="235">
        <f>EY174</f>
        <v>0</v>
      </c>
      <c r="EY174" s="245">
        <f>CV174-AU174</f>
        <v>0</v>
      </c>
      <c r="EZ174" s="235">
        <f>FA174</f>
        <v>0</v>
      </c>
      <c r="FA174" s="245">
        <f>CY174-AX174</f>
        <v>0</v>
      </c>
      <c r="FB174" s="235">
        <f>FC174</f>
        <v>0</v>
      </c>
      <c r="FC174" s="245">
        <f>CZ174-AY174</f>
        <v>0</v>
      </c>
      <c r="FD174" s="235">
        <f>FE174</f>
        <v>0</v>
      </c>
      <c r="FE174" s="245">
        <f>DA174-AZ174</f>
        <v>0</v>
      </c>
      <c r="FF174" s="235">
        <f>FG174</f>
        <v>0</v>
      </c>
      <c r="FG174" s="245">
        <f>DB174-BA174</f>
        <v>0</v>
      </c>
      <c r="FH174" s="235">
        <f>FI174</f>
        <v>0</v>
      </c>
      <c r="FI174" s="245">
        <f>DC174-BB174</f>
        <v>0</v>
      </c>
      <c r="FJ174" s="235">
        <f>FK174</f>
        <v>0</v>
      </c>
      <c r="FK174" s="245">
        <f>CX174-AW174</f>
        <v>0</v>
      </c>
      <c r="FL174" s="235">
        <f>FM174</f>
        <v>56000</v>
      </c>
      <c r="FM174" s="187">
        <f>DF174-BE174</f>
        <v>56000</v>
      </c>
      <c r="FN174" s="235">
        <f>FO174</f>
        <v>56</v>
      </c>
      <c r="FO174" s="187">
        <f>DH174-BG174</f>
        <v>56</v>
      </c>
      <c r="FP174" s="235">
        <f>FQ174</f>
        <v>56</v>
      </c>
      <c r="FQ174" s="187">
        <f>DJ174-BI174</f>
        <v>56</v>
      </c>
      <c r="FR174" s="245">
        <f>DK174-BJ174</f>
        <v>160.72</v>
      </c>
      <c r="FS174" s="245">
        <f>DL174-BK174</f>
        <v>-28</v>
      </c>
      <c r="FT174" s="907">
        <f>DM174-BL174</f>
        <v>0</v>
      </c>
      <c r="FU174" s="907">
        <f>DR174-BO174</f>
        <v>-10</v>
      </c>
      <c r="FV174" s="907">
        <f>DO174-BM174</f>
        <v>0</v>
      </c>
      <c r="FW174" s="907">
        <f>DQ174-BN174</f>
        <v>0</v>
      </c>
      <c r="FX174" s="907">
        <f>DS174-BP174</f>
        <v>0</v>
      </c>
      <c r="FY174" s="907">
        <f>DT174-BQ174</f>
        <v>0</v>
      </c>
      <c r="FZ174" s="907">
        <f>DU174-BR174</f>
        <v>0</v>
      </c>
      <c r="GA174" s="907">
        <f>DV174-BS174</f>
        <v>0</v>
      </c>
      <c r="GB174" s="894">
        <f>GC174</f>
        <v>-10</v>
      </c>
      <c r="GC174" s="776">
        <f t="shared" si="58"/>
        <v>-10</v>
      </c>
      <c r="GD174" s="139"/>
      <c r="GE174" s="139"/>
      <c r="GF174" s="139"/>
      <c r="GG174" s="139"/>
      <c r="GH174" s="139"/>
      <c r="GI174" s="139"/>
      <c r="GJ174" s="139"/>
      <c r="GK174" s="139"/>
      <c r="GL174" s="139"/>
      <c r="GM174" s="139"/>
      <c r="GN174" s="139"/>
      <c r="GO174" s="139"/>
      <c r="GP174" s="139"/>
      <c r="GQ174" s="139"/>
      <c r="GR174" s="139"/>
      <c r="GS174" s="139"/>
      <c r="GT174" s="139"/>
    </row>
    <row r="175" spans="1:202" s="139" customFormat="1" ht="18.75">
      <c r="A175" s="2263"/>
      <c r="B175" s="2263"/>
      <c r="C175" s="132"/>
      <c r="D175" s="132"/>
      <c r="E175" s="132"/>
      <c r="F175" s="777"/>
      <c r="G175" s="132"/>
      <c r="H175" s="135"/>
      <c r="I175" s="136"/>
      <c r="J175" s="132"/>
      <c r="K175" s="132"/>
      <c r="L175" s="132"/>
      <c r="M175" s="132"/>
      <c r="N175" s="134"/>
      <c r="O175" s="134"/>
      <c r="P175" s="134"/>
      <c r="Q175" s="134"/>
      <c r="R175" s="137"/>
      <c r="S175" s="778"/>
      <c r="T175" s="634"/>
      <c r="U175" s="102"/>
      <c r="V175" s="634"/>
      <c r="W175" s="102"/>
      <c r="X175" s="102"/>
      <c r="Y175" s="102"/>
      <c r="Z175" s="634"/>
      <c r="AA175" s="102"/>
      <c r="AB175" s="634"/>
      <c r="AC175" s="102"/>
      <c r="AD175" s="634"/>
      <c r="AE175" s="102"/>
      <c r="AF175" s="102"/>
      <c r="AG175" s="102"/>
      <c r="AH175" s="102"/>
      <c r="AI175" s="634"/>
      <c r="AJ175" s="102"/>
      <c r="AK175" s="634"/>
      <c r="AL175" s="102"/>
      <c r="AM175" s="779"/>
      <c r="AN175" s="634"/>
      <c r="AO175" s="102"/>
      <c r="AP175" s="634"/>
      <c r="AQ175" s="102"/>
      <c r="AR175" s="634"/>
      <c r="AS175" s="102"/>
      <c r="AT175" s="634"/>
      <c r="AU175" s="102"/>
      <c r="AV175" s="634"/>
      <c r="AW175" s="102"/>
      <c r="AX175" s="102"/>
      <c r="AY175" s="102"/>
      <c r="AZ175" s="102"/>
      <c r="BA175" s="102"/>
      <c r="BB175" s="102"/>
      <c r="BC175" s="102"/>
      <c r="BD175" s="634"/>
      <c r="BE175" s="102"/>
      <c r="BF175" s="634"/>
      <c r="BG175" s="102"/>
      <c r="BH175" s="634"/>
      <c r="BI175" s="102"/>
      <c r="BJ175" s="111"/>
      <c r="BK175" s="186"/>
      <c r="BL175" s="102"/>
      <c r="BM175" s="102"/>
      <c r="BN175" s="102"/>
      <c r="BO175" s="102"/>
      <c r="BP175" s="102"/>
      <c r="BQ175" s="102"/>
      <c r="BR175" s="102"/>
      <c r="BS175" s="102"/>
      <c r="BT175" s="634"/>
      <c r="BU175" s="111"/>
      <c r="BW175" s="780"/>
      <c r="CA175" s="781"/>
      <c r="CB175" s="2258"/>
      <c r="CC175" s="782"/>
      <c r="CD175" s="782"/>
      <c r="CE175" s="634"/>
      <c r="CF175" s="840"/>
      <c r="CG175" s="634"/>
      <c r="CH175" s="840"/>
      <c r="CI175" s="634"/>
      <c r="CK175" s="634"/>
      <c r="CM175" s="634"/>
      <c r="CN175" s="784"/>
      <c r="CO175" s="784"/>
      <c r="CP175" s="784"/>
      <c r="CQ175" s="634"/>
      <c r="CR175" s="102"/>
      <c r="CS175" s="784"/>
      <c r="CT175" s="784"/>
      <c r="CU175" s="784"/>
      <c r="CV175" s="784"/>
      <c r="CW175" s="634"/>
      <c r="CX175" s="102"/>
      <c r="CY175" s="784"/>
      <c r="CZ175" s="784"/>
      <c r="DA175" s="784"/>
      <c r="DB175" s="784"/>
      <c r="DC175" s="784"/>
      <c r="DD175" s="784"/>
      <c r="DE175" s="634"/>
      <c r="DF175" s="102"/>
      <c r="DG175" s="634"/>
      <c r="DH175" s="296"/>
      <c r="DI175" s="802"/>
      <c r="DJ175" s="785"/>
      <c r="DK175" s="899"/>
      <c r="DL175" s="772"/>
      <c r="DM175" s="787"/>
      <c r="DN175" s="787"/>
      <c r="DO175" s="787"/>
      <c r="DP175" s="787"/>
      <c r="DQ175" s="787"/>
      <c r="DR175" s="787"/>
      <c r="DS175" s="787"/>
      <c r="DT175" s="787"/>
      <c r="DU175" s="787"/>
      <c r="DV175" s="787"/>
      <c r="DW175" s="802"/>
      <c r="DX175" s="788"/>
      <c r="DY175" s="634"/>
      <c r="DZ175" s="2288"/>
      <c r="EA175" s="2231"/>
      <c r="EB175" s="187"/>
      <c r="EC175" s="2232"/>
      <c r="ED175" s="187"/>
      <c r="EE175" s="187"/>
      <c r="EF175" s="2232"/>
      <c r="EG175" s="187"/>
      <c r="EH175" s="2232"/>
      <c r="EI175" s="187"/>
      <c r="EJ175" s="2232"/>
      <c r="EK175" s="187"/>
      <c r="EL175" s="2232"/>
      <c r="EM175" s="195"/>
      <c r="EN175" s="2232"/>
      <c r="EO175" s="195"/>
      <c r="EP175" s="2232"/>
      <c r="EQ175" s="187"/>
      <c r="ER175" s="2232"/>
      <c r="ES175" s="187"/>
      <c r="ET175" s="2232"/>
      <c r="EU175" s="187">
        <f t="shared" si="57"/>
        <v>0</v>
      </c>
      <c r="EV175" s="2232"/>
      <c r="EW175" s="187"/>
      <c r="EX175" s="2232"/>
      <c r="EY175" s="195"/>
      <c r="EZ175" s="2232"/>
      <c r="FA175" s="195"/>
      <c r="FB175" s="2232"/>
      <c r="FC175" s="195"/>
      <c r="FD175" s="2232"/>
      <c r="FE175" s="195"/>
      <c r="FF175" s="2232"/>
      <c r="FG175" s="195"/>
      <c r="FH175" s="2232"/>
      <c r="FI175" s="195"/>
      <c r="FJ175" s="2232"/>
      <c r="FK175" s="195"/>
      <c r="FL175" s="2232"/>
      <c r="FM175" s="187"/>
      <c r="FN175" s="2232"/>
      <c r="FO175" s="187"/>
      <c r="FP175" s="2232"/>
      <c r="FQ175" s="187"/>
      <c r="FR175" s="195"/>
      <c r="FS175" s="195"/>
      <c r="FT175" s="789"/>
      <c r="FU175" s="789"/>
      <c r="FV175" s="789"/>
      <c r="FW175" s="789"/>
      <c r="FX175" s="789"/>
      <c r="FY175" s="789"/>
      <c r="FZ175" s="789"/>
      <c r="GA175" s="789"/>
      <c r="GB175" s="2289"/>
      <c r="GC175" s="776"/>
    </row>
    <row r="176" spans="1:202" s="228" customFormat="1" ht="18.75">
      <c r="A176" s="216"/>
      <c r="B176" s="216">
        <v>62</v>
      </c>
      <c r="C176" s="918" t="s">
        <v>703</v>
      </c>
      <c r="D176" s="218">
        <v>2843</v>
      </c>
      <c r="E176" s="218">
        <v>5</v>
      </c>
      <c r="F176" s="218">
        <v>2028430005</v>
      </c>
      <c r="G176" s="218">
        <v>17500</v>
      </c>
      <c r="H176" s="221" t="s">
        <v>753</v>
      </c>
      <c r="I176" s="222"/>
      <c r="J176" s="218">
        <v>0.97</v>
      </c>
      <c r="K176" s="218">
        <v>3.44</v>
      </c>
      <c r="L176" s="218">
        <v>3.4</v>
      </c>
      <c r="M176" s="218">
        <v>6.5</v>
      </c>
      <c r="N176" s="220">
        <v>17000</v>
      </c>
      <c r="O176" s="220">
        <v>0</v>
      </c>
      <c r="P176" s="220">
        <v>0</v>
      </c>
      <c r="Q176" s="220">
        <v>17000</v>
      </c>
      <c r="R176" s="223">
        <v>0</v>
      </c>
      <c r="S176" s="898" t="s">
        <v>637</v>
      </c>
      <c r="T176" s="234">
        <f>U176</f>
        <v>0</v>
      </c>
      <c r="U176" s="111">
        <f>Q176-N176</f>
        <v>0</v>
      </c>
      <c r="V176" s="234">
        <f>W176</f>
        <v>17000</v>
      </c>
      <c r="W176" s="111">
        <f>N176</f>
        <v>17000</v>
      </c>
      <c r="X176" s="111"/>
      <c r="Y176" s="111">
        <f>W176-AA176</f>
        <v>17000</v>
      </c>
      <c r="Z176" s="234">
        <f>AA176</f>
        <v>0</v>
      </c>
      <c r="AA176" s="111">
        <v>0</v>
      </c>
      <c r="AB176" s="234">
        <f>AC176</f>
        <v>8500</v>
      </c>
      <c r="AC176" s="111">
        <v>8500</v>
      </c>
      <c r="AD176" s="234">
        <f>AE176</f>
        <v>0</v>
      </c>
      <c r="AE176" s="111">
        <f>AF176+AG176</f>
        <v>0</v>
      </c>
      <c r="AF176" s="111">
        <v>0</v>
      </c>
      <c r="AG176" s="111">
        <v>0</v>
      </c>
      <c r="AH176" s="111">
        <v>0</v>
      </c>
      <c r="AI176" s="234">
        <f>AJ176</f>
        <v>0</v>
      </c>
      <c r="AJ176" s="111">
        <v>0</v>
      </c>
      <c r="AK176" s="234">
        <f>AL176</f>
        <v>8500</v>
      </c>
      <c r="AL176" s="111">
        <f>W176-(AA176+AC176+AE176+AH176+AJ176+AM176+AW176+AO176+AQ176+AS176+AU176)</f>
        <v>8500</v>
      </c>
      <c r="AM176" s="899">
        <v>0</v>
      </c>
      <c r="AN176" s="234">
        <f>AO176</f>
        <v>0</v>
      </c>
      <c r="AO176" s="111">
        <v>0</v>
      </c>
      <c r="AP176" s="234">
        <f>AQ176</f>
        <v>0</v>
      </c>
      <c r="AQ176" s="111">
        <v>0</v>
      </c>
      <c r="AR176" s="234">
        <f>AS176</f>
        <v>0</v>
      </c>
      <c r="AS176" s="111">
        <v>0</v>
      </c>
      <c r="AT176" s="234">
        <f>AU176</f>
        <v>0</v>
      </c>
      <c r="AU176" s="111">
        <v>0</v>
      </c>
      <c r="AV176" s="234">
        <f>AW176</f>
        <v>0</v>
      </c>
      <c r="AW176" s="111">
        <f>AX176+AY176+AZ176+BA176+BB176</f>
        <v>0</v>
      </c>
      <c r="AX176" s="111">
        <v>0</v>
      </c>
      <c r="AY176" s="111">
        <v>0</v>
      </c>
      <c r="AZ176" s="111">
        <v>0</v>
      </c>
      <c r="BA176" s="111">
        <v>0</v>
      </c>
      <c r="BB176" s="111">
        <v>0</v>
      </c>
      <c r="BC176" s="111">
        <v>0</v>
      </c>
      <c r="BD176" s="234">
        <f>BE176</f>
        <v>17000</v>
      </c>
      <c r="BE176" s="111">
        <f>U176+W176</f>
        <v>17000</v>
      </c>
      <c r="BF176" s="234">
        <f>BG176</f>
        <v>0</v>
      </c>
      <c r="BG176" s="111">
        <v>0</v>
      </c>
      <c r="BH176" s="234">
        <f>BI176</f>
        <v>0</v>
      </c>
      <c r="BI176" s="111">
        <f>'[1]Projected Development Sites'!BG$135*BG176</f>
        <v>0</v>
      </c>
      <c r="BJ176" s="111">
        <f t="shared" si="59"/>
        <v>0</v>
      </c>
      <c r="BK176" s="306">
        <f>ROUND((AL176+AC176+AA176)/1000*3,0)+ROUND((AE176+AU176)/1000,0)+ROUND((ROUND(AH176/400,0))/2.67,0)+ROUND(AJ176/250,0)+ROUND(AO176/15000,0)+ROUND((AX176+AY176+AZ176+BB176)/1000*3,0)+ROUND(BG176/25,0)+ROUND(BU176/50,0)</f>
        <v>51</v>
      </c>
      <c r="BL176" s="111">
        <v>0</v>
      </c>
      <c r="BM176" s="111">
        <v>0</v>
      </c>
      <c r="BN176" s="111">
        <v>0</v>
      </c>
      <c r="BO176" s="111">
        <v>0</v>
      </c>
      <c r="BP176" s="111"/>
      <c r="BQ176" s="111">
        <v>0</v>
      </c>
      <c r="BR176" s="111"/>
      <c r="BS176" s="111"/>
      <c r="BT176" s="234">
        <f>BU176</f>
        <v>0</v>
      </c>
      <c r="BU176" s="111">
        <f>SUM(BL176:BS176)</f>
        <v>0</v>
      </c>
      <c r="BV176" s="228">
        <v>15</v>
      </c>
      <c r="BW176" s="900" t="s">
        <v>705</v>
      </c>
      <c r="BX176" s="228">
        <v>4.5999999999999996</v>
      </c>
      <c r="BY176" s="228">
        <v>2</v>
      </c>
      <c r="BZ176" s="228">
        <v>4.5999999999999996</v>
      </c>
      <c r="CA176" s="901" t="s">
        <v>706</v>
      </c>
      <c r="CB176" s="230" t="s">
        <v>887</v>
      </c>
      <c r="CC176" s="399">
        <f>(BX176*G176)-CF176+CL176</f>
        <v>72000</v>
      </c>
      <c r="CD176" s="399">
        <v>72000</v>
      </c>
      <c r="CE176" s="234">
        <f>CF176</f>
        <v>17000</v>
      </c>
      <c r="CF176" s="902">
        <f>W176</f>
        <v>17000</v>
      </c>
      <c r="CG176" s="234">
        <f>CH176</f>
        <v>17000</v>
      </c>
      <c r="CH176" s="902">
        <f>CF176-CJ176</f>
        <v>17000</v>
      </c>
      <c r="CI176" s="234">
        <f>CJ176</f>
        <v>0</v>
      </c>
      <c r="CJ176" s="228">
        <v>0</v>
      </c>
      <c r="CK176" s="234">
        <f>CL176</f>
        <v>8500</v>
      </c>
      <c r="CL176" s="399">
        <f>AC176</f>
        <v>8500</v>
      </c>
      <c r="CM176" s="234">
        <f>CN176</f>
        <v>8500</v>
      </c>
      <c r="CN176" s="111">
        <f>CF176-(CJ176+CL176+CO176+CP176+CR176+CU176+CV176+CX176)</f>
        <v>8500</v>
      </c>
      <c r="CO176" s="903">
        <v>0</v>
      </c>
      <c r="CP176" s="903">
        <v>0</v>
      </c>
      <c r="CQ176" s="234">
        <f>CR176</f>
        <v>0</v>
      </c>
      <c r="CR176" s="111">
        <v>0</v>
      </c>
      <c r="CS176" s="903">
        <v>0</v>
      </c>
      <c r="CT176" s="903">
        <v>0</v>
      </c>
      <c r="CU176" s="903">
        <v>0</v>
      </c>
      <c r="CV176" s="903">
        <v>0</v>
      </c>
      <c r="CW176" s="234">
        <f>CX176</f>
        <v>0</v>
      </c>
      <c r="CX176" s="111">
        <v>0</v>
      </c>
      <c r="CY176" s="903">
        <v>0</v>
      </c>
      <c r="CZ176" s="903">
        <v>0</v>
      </c>
      <c r="DA176" s="903">
        <v>0</v>
      </c>
      <c r="DB176" s="903">
        <v>0</v>
      </c>
      <c r="DC176" s="903">
        <v>0</v>
      </c>
      <c r="DD176" s="903"/>
      <c r="DE176" s="234">
        <f>DF176</f>
        <v>89000</v>
      </c>
      <c r="DF176" s="111">
        <f>CC176+CF176</f>
        <v>89000</v>
      </c>
      <c r="DG176" s="234">
        <f>DH176</f>
        <v>72</v>
      </c>
      <c r="DH176" s="228">
        <f>ROUND(CC176/'[1]Projected Development Sites'!DF$134,0)</f>
        <v>72</v>
      </c>
      <c r="DI176" s="886">
        <f>DJ176</f>
        <v>72</v>
      </c>
      <c r="DJ176" s="803">
        <f>'[1]Projected Development Sites'!DK$136*DH176</f>
        <v>72</v>
      </c>
      <c r="DK176" s="899">
        <f>2.87*DH176</f>
        <v>206.64000000000001</v>
      </c>
      <c r="DL176" s="772">
        <f>ROUND((CN176+CL176+CJ176)/1000*3,0)+ROUND((ROUND(CP176/400,0))/2.67,0)+ROUND(CV176/1000,0)+ROUND((CY176+CZ176+DA176+DC176)/1000*3,0)+ROUND(DH176/25,0)+ROUND(DX176/50,0)</f>
        <v>54</v>
      </c>
      <c r="DM176" s="905">
        <v>0</v>
      </c>
      <c r="DN176" s="905"/>
      <c r="DO176" s="905">
        <v>0</v>
      </c>
      <c r="DP176" s="905">
        <f>0.25*DJ176</f>
        <v>18</v>
      </c>
      <c r="DQ176" s="905">
        <f>SUM(CO176,CJ176,CN176,CR176,CU176)/1000</f>
        <v>8.5</v>
      </c>
      <c r="DR176" s="905">
        <v>0</v>
      </c>
      <c r="DS176" s="905">
        <f>((CP176/400)/12)</f>
        <v>0</v>
      </c>
      <c r="DT176" s="905">
        <f>IF(CX176&gt;0,"Calculate",0)</f>
        <v>0</v>
      </c>
      <c r="DU176" s="905">
        <v>0</v>
      </c>
      <c r="DV176" s="905">
        <f>CX176/1000</f>
        <v>0</v>
      </c>
      <c r="DW176" s="886">
        <f>DX176</f>
        <v>8.5</v>
      </c>
      <c r="DX176" s="906">
        <f>SUM(DM176,DO176,DQ176:DV176)</f>
        <v>8.5</v>
      </c>
      <c r="DY176" s="837">
        <v>115</v>
      </c>
      <c r="DZ176" s="2288">
        <f>CD176-T176</f>
        <v>72000</v>
      </c>
      <c r="EA176" s="2231">
        <f>CE176-V176</f>
        <v>0</v>
      </c>
      <c r="EB176" s="187">
        <f>CF176-W176</f>
        <v>0</v>
      </c>
      <c r="EC176" s="235">
        <f>ED176</f>
        <v>0</v>
      </c>
      <c r="ED176" s="187">
        <v>0</v>
      </c>
      <c r="EE176" s="187">
        <f>(SUM(CJ176:CO176))-(SUM(AA176:AE176,AL176))</f>
        <v>8500</v>
      </c>
      <c r="EF176" s="235">
        <f>EG176</f>
        <v>0</v>
      </c>
      <c r="EG176" s="187">
        <v>0</v>
      </c>
      <c r="EH176" s="235">
        <f>EI176</f>
        <v>0</v>
      </c>
      <c r="EI176" s="187">
        <f>CL176-AC176</f>
        <v>0</v>
      </c>
      <c r="EJ176" s="235">
        <f>EK176</f>
        <v>0</v>
      </c>
      <c r="EK176" s="187">
        <f>CJ176-AA176</f>
        <v>0</v>
      </c>
      <c r="EL176" s="235">
        <f>EM176</f>
        <v>0</v>
      </c>
      <c r="EM176" s="245">
        <f>CO176-AE176</f>
        <v>0</v>
      </c>
      <c r="EN176" s="235">
        <f>EO176</f>
        <v>0</v>
      </c>
      <c r="EO176" s="245">
        <f>CP176-AH176</f>
        <v>0</v>
      </c>
      <c r="EP176" s="235">
        <f>EQ176</f>
        <v>0</v>
      </c>
      <c r="EQ176" s="187">
        <f>CR176-AJ176</f>
        <v>0</v>
      </c>
      <c r="ER176" s="235">
        <f>ES176</f>
        <v>0</v>
      </c>
      <c r="ES176" s="187">
        <f>CS176-AO176</f>
        <v>0</v>
      </c>
      <c r="ET176" s="235">
        <f>EU176</f>
        <v>0</v>
      </c>
      <c r="EU176" s="187">
        <f t="shared" si="57"/>
        <v>0</v>
      </c>
      <c r="EV176" s="235">
        <f>EW176</f>
        <v>0</v>
      </c>
      <c r="EW176" s="187">
        <f>CU176-AS176</f>
        <v>0</v>
      </c>
      <c r="EX176" s="235">
        <f>EY176</f>
        <v>0</v>
      </c>
      <c r="EY176" s="245">
        <f>CV176-AU176</f>
        <v>0</v>
      </c>
      <c r="EZ176" s="235">
        <f>FA176</f>
        <v>0</v>
      </c>
      <c r="FA176" s="245">
        <f>CY176-AX176</f>
        <v>0</v>
      </c>
      <c r="FB176" s="235">
        <f>FC176</f>
        <v>0</v>
      </c>
      <c r="FC176" s="245">
        <f>CZ176-AY176</f>
        <v>0</v>
      </c>
      <c r="FD176" s="235">
        <f>FE176</f>
        <v>0</v>
      </c>
      <c r="FE176" s="245">
        <f>DA176-AZ176</f>
        <v>0</v>
      </c>
      <c r="FF176" s="235">
        <f>FG176</f>
        <v>0</v>
      </c>
      <c r="FG176" s="245">
        <f>DB176-BA176</f>
        <v>0</v>
      </c>
      <c r="FH176" s="235">
        <f>FI176</f>
        <v>0</v>
      </c>
      <c r="FI176" s="245">
        <f>DC176-BB176</f>
        <v>0</v>
      </c>
      <c r="FJ176" s="235">
        <f>FK176</f>
        <v>0</v>
      </c>
      <c r="FK176" s="245">
        <f>CX176-AW176</f>
        <v>0</v>
      </c>
      <c r="FL176" s="235">
        <f>FM176</f>
        <v>72000</v>
      </c>
      <c r="FM176" s="187">
        <f>DF176-BE176</f>
        <v>72000</v>
      </c>
      <c r="FN176" s="235">
        <f>FO176</f>
        <v>72</v>
      </c>
      <c r="FO176" s="187">
        <f>DH176-BG176</f>
        <v>72</v>
      </c>
      <c r="FP176" s="235">
        <f>FQ176</f>
        <v>72</v>
      </c>
      <c r="FQ176" s="187">
        <f>DJ176-BI176</f>
        <v>72</v>
      </c>
      <c r="FR176" s="245">
        <f>DK176-BJ176</f>
        <v>206.64000000000001</v>
      </c>
      <c r="FS176" s="245">
        <f>DL176-BK176</f>
        <v>3</v>
      </c>
      <c r="FT176" s="907">
        <f>DM176-BL176</f>
        <v>0</v>
      </c>
      <c r="FU176" s="907">
        <f>DR176-BO176</f>
        <v>0</v>
      </c>
      <c r="FV176" s="907">
        <f>DO176-BM176</f>
        <v>0</v>
      </c>
      <c r="FW176" s="907">
        <f>DQ176-BN176</f>
        <v>8.5</v>
      </c>
      <c r="FX176" s="907">
        <f>DS176-BP176</f>
        <v>0</v>
      </c>
      <c r="FY176" s="907">
        <f>DT176-BQ176</f>
        <v>0</v>
      </c>
      <c r="FZ176" s="907">
        <f>DU176-BR176</f>
        <v>0</v>
      </c>
      <c r="GA176" s="907">
        <f>DV176-BS176</f>
        <v>0</v>
      </c>
      <c r="GB176" s="894">
        <f>GC176</f>
        <v>8.5</v>
      </c>
      <c r="GC176" s="776">
        <f t="shared" si="58"/>
        <v>8.5</v>
      </c>
      <c r="GD176" s="139"/>
      <c r="GE176" s="139"/>
      <c r="GF176" s="139"/>
      <c r="GG176" s="139"/>
      <c r="GH176" s="139"/>
      <c r="GI176" s="139"/>
      <c r="GJ176" s="139"/>
      <c r="GK176" s="139"/>
      <c r="GL176" s="139"/>
      <c r="GM176" s="139"/>
      <c r="GN176" s="139"/>
      <c r="GO176" s="139"/>
      <c r="GP176" s="139"/>
      <c r="GQ176" s="139"/>
      <c r="GR176" s="139"/>
      <c r="GS176" s="139"/>
      <c r="GT176" s="139"/>
    </row>
    <row r="177" spans="1:202" s="139" customFormat="1" ht="18.75">
      <c r="A177" s="2263"/>
      <c r="B177" s="2263"/>
      <c r="C177" s="913"/>
      <c r="D177" s="132"/>
      <c r="E177" s="132"/>
      <c r="F177" s="132"/>
      <c r="G177" s="132"/>
      <c r="H177" s="135"/>
      <c r="I177" s="136"/>
      <c r="J177" s="132"/>
      <c r="K177" s="132"/>
      <c r="L177" s="132"/>
      <c r="M177" s="132"/>
      <c r="N177" s="134"/>
      <c r="O177" s="134"/>
      <c r="P177" s="134"/>
      <c r="Q177" s="134"/>
      <c r="R177" s="137"/>
      <c r="S177" s="778"/>
      <c r="T177" s="634"/>
      <c r="U177" s="102"/>
      <c r="V177" s="634"/>
      <c r="W177" s="102"/>
      <c r="X177" s="102"/>
      <c r="Y177" s="102"/>
      <c r="Z177" s="634"/>
      <c r="AA177" s="102"/>
      <c r="AB177" s="634"/>
      <c r="AC177" s="102"/>
      <c r="AD177" s="634"/>
      <c r="AE177" s="102"/>
      <c r="AF177" s="102"/>
      <c r="AG177" s="102"/>
      <c r="AH177" s="102"/>
      <c r="AI177" s="634"/>
      <c r="AJ177" s="102"/>
      <c r="AK177" s="634"/>
      <c r="AL177" s="102"/>
      <c r="AM177" s="779"/>
      <c r="AN177" s="634"/>
      <c r="AO177" s="102"/>
      <c r="AP177" s="634"/>
      <c r="AQ177" s="102"/>
      <c r="AR177" s="634"/>
      <c r="AS177" s="102"/>
      <c r="AT177" s="634"/>
      <c r="AU177" s="102"/>
      <c r="AV177" s="634"/>
      <c r="AW177" s="102"/>
      <c r="AX177" s="102"/>
      <c r="AY177" s="102"/>
      <c r="AZ177" s="102"/>
      <c r="BA177" s="102"/>
      <c r="BB177" s="102"/>
      <c r="BC177" s="102"/>
      <c r="BD177" s="634"/>
      <c r="BE177" s="102"/>
      <c r="BF177" s="634"/>
      <c r="BG177" s="102"/>
      <c r="BH177" s="634"/>
      <c r="BI177" s="102"/>
      <c r="BJ177" s="111"/>
      <c r="BK177" s="186"/>
      <c r="BL177" s="102"/>
      <c r="BM177" s="102"/>
      <c r="BN177" s="102"/>
      <c r="BO177" s="102"/>
      <c r="BP177" s="102"/>
      <c r="BQ177" s="102"/>
      <c r="BR177" s="102"/>
      <c r="BS177" s="102"/>
      <c r="BT177" s="634"/>
      <c r="BU177" s="102"/>
      <c r="BW177" s="780"/>
      <c r="CA177" s="781"/>
      <c r="CB177" s="2258"/>
      <c r="CC177" s="782"/>
      <c r="CD177" s="782"/>
      <c r="CE177" s="634"/>
      <c r="CF177" s="783"/>
      <c r="CG177" s="634"/>
      <c r="CH177" s="783"/>
      <c r="CI177" s="634"/>
      <c r="CK177" s="634"/>
      <c r="CM177" s="634"/>
      <c r="CN177" s="784"/>
      <c r="CO177" s="784"/>
      <c r="CP177" s="784"/>
      <c r="CQ177" s="634"/>
      <c r="CR177" s="102"/>
      <c r="CS177" s="784"/>
      <c r="CT177" s="784"/>
      <c r="CU177" s="784"/>
      <c r="CV177" s="784"/>
      <c r="CW177" s="634"/>
      <c r="CX177" s="102"/>
      <c r="CY177" s="784"/>
      <c r="CZ177" s="784"/>
      <c r="DA177" s="784"/>
      <c r="DB177" s="784"/>
      <c r="DC177" s="784"/>
      <c r="DD177" s="784"/>
      <c r="DE177" s="634"/>
      <c r="DF177" s="784"/>
      <c r="DG177" s="634"/>
      <c r="DI177" s="802"/>
      <c r="DJ177" s="785"/>
      <c r="DK177" s="899"/>
      <c r="DL177" s="772"/>
      <c r="DM177" s="787"/>
      <c r="DN177" s="787"/>
      <c r="DO177" s="787"/>
      <c r="DP177" s="787"/>
      <c r="DQ177" s="787"/>
      <c r="DR177" s="787"/>
      <c r="DS177" s="787"/>
      <c r="DT177" s="787"/>
      <c r="DU177" s="787"/>
      <c r="DV177" s="787"/>
      <c r="DW177" s="802"/>
      <c r="DX177" s="788"/>
      <c r="DY177" s="634"/>
      <c r="DZ177" s="2288"/>
      <c r="EA177" s="2231"/>
      <c r="EB177" s="187"/>
      <c r="EC177" s="2232"/>
      <c r="ED177" s="187"/>
      <c r="EE177" s="187"/>
      <c r="EF177" s="2232"/>
      <c r="EG177" s="187"/>
      <c r="EH177" s="2232"/>
      <c r="EI177" s="187"/>
      <c r="EJ177" s="2232"/>
      <c r="EK177" s="187"/>
      <c r="EL177" s="2232"/>
      <c r="EM177" s="195"/>
      <c r="EN177" s="2232"/>
      <c r="EO177" s="195"/>
      <c r="EP177" s="2232"/>
      <c r="EQ177" s="187"/>
      <c r="ER177" s="2232"/>
      <c r="ES177" s="187"/>
      <c r="ET177" s="2232"/>
      <c r="EU177" s="187">
        <f t="shared" si="57"/>
        <v>0</v>
      </c>
      <c r="EV177" s="2232"/>
      <c r="EW177" s="187"/>
      <c r="EX177" s="2232"/>
      <c r="EY177" s="195"/>
      <c r="EZ177" s="2232"/>
      <c r="FA177" s="195"/>
      <c r="FB177" s="2232"/>
      <c r="FC177" s="195"/>
      <c r="FD177" s="2232"/>
      <c r="FE177" s="195"/>
      <c r="FF177" s="2232"/>
      <c r="FG177" s="195"/>
      <c r="FH177" s="2232"/>
      <c r="FI177" s="195"/>
      <c r="FJ177" s="2232"/>
      <c r="FK177" s="195"/>
      <c r="FL177" s="2232"/>
      <c r="FM177" s="187"/>
      <c r="FN177" s="2232"/>
      <c r="FO177" s="187"/>
      <c r="FP177" s="2232"/>
      <c r="FQ177" s="187"/>
      <c r="FR177" s="195"/>
      <c r="FS177" s="195"/>
      <c r="FT177" s="789"/>
      <c r="FU177" s="789"/>
      <c r="FV177" s="789"/>
      <c r="FW177" s="789"/>
      <c r="FX177" s="789"/>
      <c r="FY177" s="789"/>
      <c r="FZ177" s="789"/>
      <c r="GA177" s="789"/>
      <c r="GB177" s="2289"/>
      <c r="GC177" s="776"/>
    </row>
    <row r="178" spans="1:202" s="228" customFormat="1" ht="18.75">
      <c r="A178" s="216"/>
      <c r="B178" s="216">
        <v>63</v>
      </c>
      <c r="C178" s="218" t="s">
        <v>703</v>
      </c>
      <c r="D178" s="218">
        <v>2842</v>
      </c>
      <c r="E178" s="218">
        <v>6</v>
      </c>
      <c r="F178" s="897">
        <v>2028420006</v>
      </c>
      <c r="G178" s="218">
        <v>6362</v>
      </c>
      <c r="H178" s="221" t="s">
        <v>753</v>
      </c>
      <c r="I178" s="222" t="s">
        <v>753</v>
      </c>
      <c r="J178" s="218">
        <v>1</v>
      </c>
      <c r="K178" s="218">
        <v>3.44</v>
      </c>
      <c r="L178" s="218">
        <v>3.4</v>
      </c>
      <c r="M178" s="218">
        <v>6.5</v>
      </c>
      <c r="N178" s="220">
        <v>6362</v>
      </c>
      <c r="O178" s="220">
        <v>0</v>
      </c>
      <c r="P178" s="220">
        <v>0</v>
      </c>
      <c r="Q178" s="220">
        <v>6362</v>
      </c>
      <c r="R178" s="223">
        <v>0</v>
      </c>
      <c r="S178" s="898" t="s">
        <v>637</v>
      </c>
      <c r="T178" s="234">
        <f>U178</f>
        <v>0</v>
      </c>
      <c r="U178" s="111">
        <v>0</v>
      </c>
      <c r="V178" s="234">
        <f>W178</f>
        <v>6362</v>
      </c>
      <c r="W178" s="111">
        <f>N178</f>
        <v>6362</v>
      </c>
      <c r="X178" s="111"/>
      <c r="Y178" s="111">
        <f>W178-AA178</f>
        <v>6362</v>
      </c>
      <c r="Z178" s="234">
        <f>AA178</f>
        <v>0</v>
      </c>
      <c r="AA178" s="111">
        <v>0</v>
      </c>
      <c r="AB178" s="234">
        <f>AC178</f>
        <v>0</v>
      </c>
      <c r="AC178" s="111">
        <v>0</v>
      </c>
      <c r="AD178" s="234">
        <f>AE178</f>
        <v>0</v>
      </c>
      <c r="AE178" s="111">
        <f>AG178+AF178</f>
        <v>0</v>
      </c>
      <c r="AF178" s="111">
        <v>0</v>
      </c>
      <c r="AG178" s="111">
        <v>0</v>
      </c>
      <c r="AH178" s="111">
        <v>0</v>
      </c>
      <c r="AI178" s="234">
        <f>AJ178</f>
        <v>0</v>
      </c>
      <c r="AJ178" s="111">
        <v>0</v>
      </c>
      <c r="AK178" s="234">
        <f>AL178</f>
        <v>6362</v>
      </c>
      <c r="AL178" s="111">
        <f>W178-(AA178+AC178+AE178+AH178+AJ178+AM178+AW178+AO178+AQ178+AS178+AU178)</f>
        <v>6362</v>
      </c>
      <c r="AM178" s="899">
        <v>0</v>
      </c>
      <c r="AN178" s="234">
        <f>AO178</f>
        <v>0</v>
      </c>
      <c r="AO178" s="111">
        <v>0</v>
      </c>
      <c r="AP178" s="234">
        <f>AQ178</f>
        <v>0</v>
      </c>
      <c r="AQ178" s="111">
        <v>0</v>
      </c>
      <c r="AR178" s="234">
        <f>AS178</f>
        <v>0</v>
      </c>
      <c r="AS178" s="111">
        <v>0</v>
      </c>
      <c r="AT178" s="234">
        <f>AU178</f>
        <v>0</v>
      </c>
      <c r="AU178" s="111">
        <v>0</v>
      </c>
      <c r="AV178" s="234">
        <f>AW178</f>
        <v>0</v>
      </c>
      <c r="AW178" s="111">
        <f>AX178+AY178+AZ178+BA178+BB178</f>
        <v>0</v>
      </c>
      <c r="AX178" s="111">
        <v>0</v>
      </c>
      <c r="AY178" s="111">
        <v>0</v>
      </c>
      <c r="AZ178" s="111">
        <v>0</v>
      </c>
      <c r="BA178" s="111">
        <v>0</v>
      </c>
      <c r="BB178" s="111">
        <v>0</v>
      </c>
      <c r="BC178" s="111">
        <v>0</v>
      </c>
      <c r="BD178" s="234">
        <f>BE178</f>
        <v>6362</v>
      </c>
      <c r="BE178" s="111">
        <f>U178+W178</f>
        <v>6362</v>
      </c>
      <c r="BF178" s="234">
        <f>BG178</f>
        <v>0</v>
      </c>
      <c r="BG178" s="111">
        <f>U178/1000</f>
        <v>0</v>
      </c>
      <c r="BH178" s="234">
        <f>BI178</f>
        <v>0</v>
      </c>
      <c r="BI178" s="111">
        <v>0</v>
      </c>
      <c r="BJ178" s="111">
        <f t="shared" si="59"/>
        <v>0</v>
      </c>
      <c r="BK178" s="306">
        <f>ROUND((Y178+AC178+AA178)/1000*3,0)+ROUND((AE178+AU178)/1000,0)+ROUND((ROUND(AH178/400,0))/2.67,0)+ROUND(AM178/250,0)+ROUND(AO178/15000,0)+ROUND((AX178+AY178+AZ178+BB178)/1000*3,0)+ROUND(BG178/25,0)+ROUND(BU17/50,0)</f>
        <v>19</v>
      </c>
      <c r="BL178" s="111">
        <v>0</v>
      </c>
      <c r="BM178" s="111">
        <v>0</v>
      </c>
      <c r="BN178" s="111">
        <v>0</v>
      </c>
      <c r="BO178" s="111">
        <f>AC178/1000</f>
        <v>0</v>
      </c>
      <c r="BP178" s="111">
        <f>AH178/1000</f>
        <v>0</v>
      </c>
      <c r="BQ178" s="111">
        <v>0</v>
      </c>
      <c r="BR178" s="111">
        <v>0</v>
      </c>
      <c r="BS178" s="111">
        <v>0</v>
      </c>
      <c r="BT178" s="234">
        <f>BU178</f>
        <v>0</v>
      </c>
      <c r="BU178" s="111">
        <f>SUM(BL178:BS178)</f>
        <v>0</v>
      </c>
      <c r="BV178" s="228">
        <v>20</v>
      </c>
      <c r="BW178" s="900" t="s">
        <v>741</v>
      </c>
      <c r="BX178" s="228">
        <v>7.2</v>
      </c>
      <c r="BY178" s="228">
        <v>2</v>
      </c>
      <c r="BZ178" s="228">
        <v>6.5</v>
      </c>
      <c r="CA178" s="901" t="s">
        <v>706</v>
      </c>
      <c r="CB178" s="230" t="s">
        <v>716</v>
      </c>
      <c r="CC178" s="399">
        <f>(BX178*G178)-CF178</f>
        <v>40398.700000000004</v>
      </c>
      <c r="CD178" s="399">
        <v>40398.700000000004</v>
      </c>
      <c r="CE178" s="234">
        <f>CF178</f>
        <v>5407.7</v>
      </c>
      <c r="CF178" s="836">
        <f>1*(G178)-(0.15*1*(G178))</f>
        <v>5407.7</v>
      </c>
      <c r="CG178" s="234">
        <f>CH178</f>
        <v>5407.7</v>
      </c>
      <c r="CH178" s="836">
        <f>CF178-CJ178</f>
        <v>5407.7</v>
      </c>
      <c r="CI178" s="234">
        <f>CJ178</f>
        <v>0</v>
      </c>
      <c r="CJ178" s="228">
        <v>0</v>
      </c>
      <c r="CK178" s="234">
        <f>CL178</f>
        <v>0</v>
      </c>
      <c r="CL178" s="228">
        <v>0</v>
      </c>
      <c r="CM178" s="234">
        <f>CN178</f>
        <v>5407.7</v>
      </c>
      <c r="CN178" s="903">
        <f>CF178-(CJ178+CL178+CO178+CP178+CR178+CU178+CV178+CX178)</f>
        <v>5407.7</v>
      </c>
      <c r="CO178" s="903">
        <v>0</v>
      </c>
      <c r="CP178" s="903">
        <v>0</v>
      </c>
      <c r="CQ178" s="234">
        <f>CR178</f>
        <v>0</v>
      </c>
      <c r="CR178" s="111">
        <v>0</v>
      </c>
      <c r="CS178" s="903">
        <v>0</v>
      </c>
      <c r="CT178" s="903">
        <v>0</v>
      </c>
      <c r="CU178" s="903">
        <v>0</v>
      </c>
      <c r="CV178" s="903">
        <v>0</v>
      </c>
      <c r="CW178" s="234">
        <f>CX178</f>
        <v>0</v>
      </c>
      <c r="CX178" s="111">
        <f>SUM(CY178:DC178)</f>
        <v>0</v>
      </c>
      <c r="CY178" s="903">
        <f>AX178</f>
        <v>0</v>
      </c>
      <c r="CZ178" s="903">
        <f>AY178</f>
        <v>0</v>
      </c>
      <c r="DA178" s="903">
        <f>AZ178</f>
        <v>0</v>
      </c>
      <c r="DB178" s="903">
        <f>BA178</f>
        <v>0</v>
      </c>
      <c r="DC178" s="903">
        <f>BB178</f>
        <v>0</v>
      </c>
      <c r="DD178" s="903"/>
      <c r="DE178" s="234">
        <f>DF178</f>
        <v>45806.400000000001</v>
      </c>
      <c r="DF178" s="903">
        <f>CC178+CF178</f>
        <v>45806.400000000001</v>
      </c>
      <c r="DG178" s="234">
        <f>DH178</f>
        <v>40.398700000000005</v>
      </c>
      <c r="DH178" s="904">
        <f>CC178/'[1]Projected Development Sites'!DF$134</f>
        <v>40.398700000000005</v>
      </c>
      <c r="DI178" s="886">
        <f>DJ178</f>
        <v>40.398700000000005</v>
      </c>
      <c r="DJ178" s="803">
        <f>'[1]Projected Development Sites'!DK$136*DH178</f>
        <v>40.398700000000005</v>
      </c>
      <c r="DK178" s="899">
        <f>2.87*DH178</f>
        <v>115.94426900000002</v>
      </c>
      <c r="DL178" s="772">
        <f>ROUND((CN178+CL178+CJ178)/1000*3,0)+ROUND((ROUND(CP178/400,0))/2.67,0)+ROUND(CV178/1000,0)+ROUND((CY178+CZ178+DA178+DC178)/1000*3,0)+ROUND(DH178/25,0)+ROUND(DX178/50,0)</f>
        <v>18</v>
      </c>
      <c r="DM178" s="905">
        <v>0</v>
      </c>
      <c r="DN178" s="905"/>
      <c r="DO178" s="905">
        <v>0</v>
      </c>
      <c r="DP178" s="905">
        <f>0.25*DJ178</f>
        <v>10.099675000000001</v>
      </c>
      <c r="DQ178" s="905">
        <f>SUM(CO178,CJ178,CN178,CR178,CU178)/1000</f>
        <v>5.4077000000000002</v>
      </c>
      <c r="DR178" s="905">
        <f>CL178/1000</f>
        <v>0</v>
      </c>
      <c r="DS178" s="905">
        <f>((CP178/400)/12)</f>
        <v>0</v>
      </c>
      <c r="DT178" s="905">
        <f>IF(CX178&gt;0,"Calculate",0)</f>
        <v>0</v>
      </c>
      <c r="DU178" s="905">
        <v>0</v>
      </c>
      <c r="DV178" s="905">
        <f>CX178/1000</f>
        <v>0</v>
      </c>
      <c r="DW178" s="886">
        <f>DX178</f>
        <v>5.4077000000000002</v>
      </c>
      <c r="DX178" s="906">
        <f>SUM(DM178,DO178,DQ178:DV178)</f>
        <v>5.4077000000000002</v>
      </c>
      <c r="DY178" s="837">
        <v>165</v>
      </c>
      <c r="DZ178" s="2288">
        <f>CD178-T178</f>
        <v>40398.700000000004</v>
      </c>
      <c r="EA178" s="2231">
        <f>CE178-V178</f>
        <v>-954.30000000000018</v>
      </c>
      <c r="EB178" s="187">
        <f>CF178-W178</f>
        <v>-954.30000000000018</v>
      </c>
      <c r="EC178" s="235">
        <f>ED178</f>
        <v>-954.30000000000018</v>
      </c>
      <c r="ED178" s="187">
        <v>-954.30000000000018</v>
      </c>
      <c r="EE178" s="187">
        <f>(SUM(CJ178:CO178))-(SUM(AA178:AE178,AL178))</f>
        <v>4453.3999999999996</v>
      </c>
      <c r="EF178" s="235">
        <f>EG178</f>
        <v>-954.30000000000018</v>
      </c>
      <c r="EG178" s="187">
        <v>-954.30000000000018</v>
      </c>
      <c r="EH178" s="235">
        <f>EI178</f>
        <v>0</v>
      </c>
      <c r="EI178" s="187">
        <f>CL178-AC178</f>
        <v>0</v>
      </c>
      <c r="EJ178" s="235">
        <f>EK178</f>
        <v>0</v>
      </c>
      <c r="EK178" s="187">
        <f>CJ178-AA178</f>
        <v>0</v>
      </c>
      <c r="EL178" s="235">
        <f>EM178</f>
        <v>0</v>
      </c>
      <c r="EM178" s="245">
        <f>CO178-AE178</f>
        <v>0</v>
      </c>
      <c r="EN178" s="235">
        <f>EO178</f>
        <v>0</v>
      </c>
      <c r="EO178" s="245">
        <f>CP178-AH178</f>
        <v>0</v>
      </c>
      <c r="EP178" s="235">
        <f>EQ178</f>
        <v>0</v>
      </c>
      <c r="EQ178" s="187">
        <f>CR178-AJ178</f>
        <v>0</v>
      </c>
      <c r="ER178" s="235">
        <f>ES178</f>
        <v>0</v>
      </c>
      <c r="ES178" s="187">
        <f>CS178-AO178</f>
        <v>0</v>
      </c>
      <c r="ET178" s="235">
        <f>EU178</f>
        <v>0</v>
      </c>
      <c r="EU178" s="187">
        <f t="shared" si="57"/>
        <v>0</v>
      </c>
      <c r="EV178" s="235">
        <f>EW178</f>
        <v>0</v>
      </c>
      <c r="EW178" s="187">
        <f>CU178-AS178</f>
        <v>0</v>
      </c>
      <c r="EX178" s="235">
        <f>EY178</f>
        <v>0</v>
      </c>
      <c r="EY178" s="245">
        <f>CV178-AU178</f>
        <v>0</v>
      </c>
      <c r="EZ178" s="235">
        <f>FA178</f>
        <v>0</v>
      </c>
      <c r="FA178" s="245">
        <f>CY178-AX178</f>
        <v>0</v>
      </c>
      <c r="FB178" s="235">
        <f>FC178</f>
        <v>0</v>
      </c>
      <c r="FC178" s="245">
        <f>CZ178-AY178</f>
        <v>0</v>
      </c>
      <c r="FD178" s="235">
        <f>FE178</f>
        <v>0</v>
      </c>
      <c r="FE178" s="245">
        <f>DA178-AZ178</f>
        <v>0</v>
      </c>
      <c r="FF178" s="235">
        <f>FG178</f>
        <v>0</v>
      </c>
      <c r="FG178" s="245">
        <f>DB178-BA178</f>
        <v>0</v>
      </c>
      <c r="FH178" s="235">
        <f>FI178</f>
        <v>0</v>
      </c>
      <c r="FI178" s="245">
        <f>DC178-BB178</f>
        <v>0</v>
      </c>
      <c r="FJ178" s="235">
        <f>FK178</f>
        <v>0</v>
      </c>
      <c r="FK178" s="245">
        <f>CX178-AW178</f>
        <v>0</v>
      </c>
      <c r="FL178" s="235">
        <f>FM178</f>
        <v>39444.400000000001</v>
      </c>
      <c r="FM178" s="187">
        <f>DF178-BE178</f>
        <v>39444.400000000001</v>
      </c>
      <c r="FN178" s="235">
        <f>FO178</f>
        <v>40.398700000000005</v>
      </c>
      <c r="FO178" s="187">
        <f>DH178-BG178</f>
        <v>40.398700000000005</v>
      </c>
      <c r="FP178" s="235">
        <f>FQ178</f>
        <v>40.398700000000005</v>
      </c>
      <c r="FQ178" s="187">
        <f>DJ178-BI178</f>
        <v>40.398700000000005</v>
      </c>
      <c r="FR178" s="245">
        <f>DK178-BJ178</f>
        <v>115.94426900000002</v>
      </c>
      <c r="FS178" s="245">
        <f>DL178-BK178</f>
        <v>-1</v>
      </c>
      <c r="FT178" s="907">
        <f>DM178-BL178</f>
        <v>0</v>
      </c>
      <c r="FU178" s="907">
        <f>DR178-BO178</f>
        <v>0</v>
      </c>
      <c r="FV178" s="907">
        <f>DO178-BM178</f>
        <v>0</v>
      </c>
      <c r="FW178" s="907">
        <f>DQ178-BN178</f>
        <v>5.4077000000000002</v>
      </c>
      <c r="FX178" s="907">
        <f>DS178-BP178</f>
        <v>0</v>
      </c>
      <c r="FY178" s="907">
        <f>DT178-BQ178</f>
        <v>0</v>
      </c>
      <c r="FZ178" s="907">
        <f>DU178-BR178</f>
        <v>0</v>
      </c>
      <c r="GA178" s="907">
        <f>DV178-BS178</f>
        <v>0</v>
      </c>
      <c r="GB178" s="894">
        <f>GC178</f>
        <v>5.4077000000000002</v>
      </c>
      <c r="GC178" s="776">
        <f t="shared" si="58"/>
        <v>5.4077000000000002</v>
      </c>
      <c r="GD178" s="139"/>
      <c r="GE178" s="139"/>
      <c r="GF178" s="139"/>
      <c r="GG178" s="139"/>
      <c r="GH178" s="139"/>
      <c r="GI178" s="139"/>
      <c r="GJ178" s="139"/>
      <c r="GK178" s="139"/>
      <c r="GL178" s="139"/>
      <c r="GM178" s="139"/>
      <c r="GN178" s="139"/>
      <c r="GO178" s="139"/>
      <c r="GP178" s="139"/>
      <c r="GQ178" s="139"/>
      <c r="GR178" s="139"/>
      <c r="GS178" s="139"/>
      <c r="GT178" s="139"/>
    </row>
    <row r="179" spans="1:202" s="139" customFormat="1" ht="18.75">
      <c r="A179" s="2263"/>
      <c r="B179" s="2263"/>
      <c r="C179" s="132"/>
      <c r="D179" s="132"/>
      <c r="E179" s="132"/>
      <c r="F179" s="777"/>
      <c r="G179" s="132"/>
      <c r="H179" s="135"/>
      <c r="I179" s="136"/>
      <c r="J179" s="132"/>
      <c r="K179" s="132"/>
      <c r="L179" s="132"/>
      <c r="M179" s="132"/>
      <c r="N179" s="134"/>
      <c r="O179" s="134"/>
      <c r="P179" s="134"/>
      <c r="Q179" s="134"/>
      <c r="R179" s="137"/>
      <c r="S179" s="778"/>
      <c r="T179" s="634"/>
      <c r="U179" s="102"/>
      <c r="V179" s="634"/>
      <c r="W179" s="102"/>
      <c r="X179" s="102"/>
      <c r="Y179" s="102"/>
      <c r="Z179" s="634"/>
      <c r="AA179" s="102"/>
      <c r="AB179" s="634"/>
      <c r="AC179" s="102"/>
      <c r="AD179" s="634"/>
      <c r="AE179" s="102"/>
      <c r="AF179" s="102"/>
      <c r="AG179" s="102"/>
      <c r="AH179" s="102"/>
      <c r="AI179" s="634"/>
      <c r="AJ179" s="102"/>
      <c r="AK179" s="634"/>
      <c r="AL179" s="102"/>
      <c r="AM179" s="779"/>
      <c r="AN179" s="634"/>
      <c r="AO179" s="102"/>
      <c r="AP179" s="634"/>
      <c r="AQ179" s="102"/>
      <c r="AR179" s="634"/>
      <c r="AS179" s="102"/>
      <c r="AT179" s="634"/>
      <c r="AU179" s="102"/>
      <c r="AV179" s="634"/>
      <c r="AW179" s="102"/>
      <c r="AX179" s="102"/>
      <c r="AY179" s="102"/>
      <c r="AZ179" s="102"/>
      <c r="BA179" s="102"/>
      <c r="BB179" s="102"/>
      <c r="BC179" s="102"/>
      <c r="BD179" s="634"/>
      <c r="BE179" s="102"/>
      <c r="BF179" s="634"/>
      <c r="BG179" s="102"/>
      <c r="BH179" s="634"/>
      <c r="BI179" s="102"/>
      <c r="BJ179" s="111"/>
      <c r="BK179" s="186"/>
      <c r="BL179" s="102"/>
      <c r="BM179" s="102"/>
      <c r="BN179" s="102"/>
      <c r="BO179" s="102"/>
      <c r="BP179" s="102"/>
      <c r="BQ179" s="102"/>
      <c r="BR179" s="102"/>
      <c r="BS179" s="102"/>
      <c r="BT179" s="634"/>
      <c r="BU179" s="102"/>
      <c r="BW179" s="780"/>
      <c r="CA179" s="781"/>
      <c r="CB179" s="2258"/>
      <c r="CC179" s="782"/>
      <c r="CD179" s="782"/>
      <c r="CE179" s="634"/>
      <c r="CF179" s="783"/>
      <c r="CG179" s="634"/>
      <c r="CH179" s="783"/>
      <c r="CI179" s="634"/>
      <c r="CK179" s="634"/>
      <c r="CM179" s="634"/>
      <c r="CN179" s="784"/>
      <c r="CO179" s="784"/>
      <c r="CP179" s="784"/>
      <c r="CQ179" s="634"/>
      <c r="CR179" s="102"/>
      <c r="CS179" s="784"/>
      <c r="CT179" s="784"/>
      <c r="CU179" s="784"/>
      <c r="CV179" s="784"/>
      <c r="CW179" s="634"/>
      <c r="CX179" s="102"/>
      <c r="CY179" s="784"/>
      <c r="CZ179" s="784"/>
      <c r="DA179" s="784"/>
      <c r="DB179" s="784"/>
      <c r="DC179" s="784"/>
      <c r="DD179" s="784"/>
      <c r="DE179" s="634"/>
      <c r="DF179" s="784"/>
      <c r="DG179" s="634"/>
      <c r="DH179" s="296"/>
      <c r="DI179" s="802"/>
      <c r="DJ179" s="785"/>
      <c r="DK179" s="899"/>
      <c r="DL179" s="772"/>
      <c r="DM179" s="787"/>
      <c r="DN179" s="787"/>
      <c r="DO179" s="787"/>
      <c r="DP179" s="787"/>
      <c r="DQ179" s="787"/>
      <c r="DR179" s="787"/>
      <c r="DS179" s="787"/>
      <c r="DT179" s="787"/>
      <c r="DU179" s="787"/>
      <c r="DV179" s="787"/>
      <c r="DW179" s="802"/>
      <c r="DX179" s="788"/>
      <c r="DY179" s="634"/>
      <c r="DZ179" s="2288"/>
      <c r="EA179" s="2231"/>
      <c r="EB179" s="187"/>
      <c r="EC179" s="2232"/>
      <c r="ED179" s="187"/>
      <c r="EE179" s="187"/>
      <c r="EF179" s="2232"/>
      <c r="EG179" s="187"/>
      <c r="EH179" s="2232"/>
      <c r="EI179" s="187"/>
      <c r="EJ179" s="2232"/>
      <c r="EK179" s="187"/>
      <c r="EL179" s="2232"/>
      <c r="EM179" s="195"/>
      <c r="EN179" s="2232"/>
      <c r="EO179" s="195"/>
      <c r="EP179" s="2232"/>
      <c r="EQ179" s="187"/>
      <c r="ER179" s="2232"/>
      <c r="ES179" s="187"/>
      <c r="ET179" s="2232"/>
      <c r="EU179" s="187">
        <f t="shared" si="57"/>
        <v>0</v>
      </c>
      <c r="EV179" s="2232"/>
      <c r="EW179" s="187"/>
      <c r="EX179" s="2232"/>
      <c r="EY179" s="195"/>
      <c r="EZ179" s="2232"/>
      <c r="FA179" s="195"/>
      <c r="FB179" s="2232"/>
      <c r="FC179" s="195"/>
      <c r="FD179" s="2232"/>
      <c r="FE179" s="195"/>
      <c r="FF179" s="2232"/>
      <c r="FG179" s="195"/>
      <c r="FH179" s="2232"/>
      <c r="FI179" s="195"/>
      <c r="FJ179" s="2232"/>
      <c r="FK179" s="195"/>
      <c r="FL179" s="2232"/>
      <c r="FM179" s="187"/>
      <c r="FN179" s="2232"/>
      <c r="FO179" s="187"/>
      <c r="FP179" s="2232"/>
      <c r="FQ179" s="187"/>
      <c r="FR179" s="195"/>
      <c r="FS179" s="195"/>
      <c r="FT179" s="789"/>
      <c r="FU179" s="789"/>
      <c r="FV179" s="789"/>
      <c r="FW179" s="789"/>
      <c r="FX179" s="789"/>
      <c r="FY179" s="789"/>
      <c r="FZ179" s="789"/>
      <c r="GA179" s="789"/>
      <c r="GB179" s="2289"/>
      <c r="GC179" s="776"/>
    </row>
    <row r="180" spans="1:202" s="228" customFormat="1" ht="18.75">
      <c r="A180" s="216"/>
      <c r="B180" s="216">
        <v>64</v>
      </c>
      <c r="C180" s="218" t="s">
        <v>703</v>
      </c>
      <c r="D180" s="218">
        <v>2842</v>
      </c>
      <c r="E180" s="218">
        <v>10</v>
      </c>
      <c r="F180" s="218">
        <v>2028420010</v>
      </c>
      <c r="G180" s="218">
        <v>4424</v>
      </c>
      <c r="H180" s="221" t="s">
        <v>753</v>
      </c>
      <c r="I180" s="222"/>
      <c r="J180" s="218">
        <v>2.93</v>
      </c>
      <c r="K180" s="218">
        <v>3.44</v>
      </c>
      <c r="L180" s="218">
        <v>3.4</v>
      </c>
      <c r="M180" s="218">
        <v>6.5</v>
      </c>
      <c r="N180" s="220">
        <v>12960</v>
      </c>
      <c r="O180" s="220">
        <v>0</v>
      </c>
      <c r="P180" s="220">
        <v>8540</v>
      </c>
      <c r="Q180" s="220">
        <v>12960</v>
      </c>
      <c r="R180" s="223">
        <v>0</v>
      </c>
      <c r="S180" s="898" t="s">
        <v>888</v>
      </c>
      <c r="T180" s="234">
        <f>U180</f>
        <v>0</v>
      </c>
      <c r="U180" s="111">
        <v>0</v>
      </c>
      <c r="V180" s="234">
        <f>W180</f>
        <v>12960</v>
      </c>
      <c r="W180" s="111">
        <f>N180</f>
        <v>12960</v>
      </c>
      <c r="X180" s="111"/>
      <c r="Y180" s="111">
        <f>W180-AA180</f>
        <v>12960</v>
      </c>
      <c r="Z180" s="234">
        <f>AA180</f>
        <v>0</v>
      </c>
      <c r="AA180" s="111">
        <v>0</v>
      </c>
      <c r="AB180" s="234">
        <f>AC180</f>
        <v>0</v>
      </c>
      <c r="AC180" s="111">
        <v>0</v>
      </c>
      <c r="AD180" s="234">
        <f>AE180</f>
        <v>0</v>
      </c>
      <c r="AE180" s="111">
        <f>AG180+AF180</f>
        <v>0</v>
      </c>
      <c r="AF180" s="111">
        <v>0</v>
      </c>
      <c r="AG180" s="111">
        <v>0</v>
      </c>
      <c r="AH180" s="111">
        <v>0</v>
      </c>
      <c r="AI180" s="234">
        <f>AJ180</f>
        <v>8540</v>
      </c>
      <c r="AJ180" s="111">
        <f>P180</f>
        <v>8540</v>
      </c>
      <c r="AK180" s="234">
        <f>AL180</f>
        <v>0</v>
      </c>
      <c r="AL180" s="111">
        <f>W180-(AA180+AC180+AE180+AH180+AJ180+AM180+AW180+AO180+AQ180+AS180+AU180)</f>
        <v>0</v>
      </c>
      <c r="AM180" s="899">
        <v>0</v>
      </c>
      <c r="AN180" s="234">
        <f>AO180</f>
        <v>4420</v>
      </c>
      <c r="AO180" s="111">
        <v>4420</v>
      </c>
      <c r="AP180" s="234">
        <f>AQ180</f>
        <v>0</v>
      </c>
      <c r="AQ180" s="111">
        <v>0</v>
      </c>
      <c r="AR180" s="234">
        <f>AS180</f>
        <v>0</v>
      </c>
      <c r="AS180" s="111">
        <v>0</v>
      </c>
      <c r="AT180" s="234">
        <f>AU180</f>
        <v>0</v>
      </c>
      <c r="AU180" s="111">
        <v>0</v>
      </c>
      <c r="AV180" s="234">
        <f>AW180</f>
        <v>0</v>
      </c>
      <c r="AW180" s="111">
        <f>AX180+AY180+AZ180+BA180+BB180</f>
        <v>0</v>
      </c>
      <c r="AX180" s="111">
        <v>0</v>
      </c>
      <c r="AY180" s="111">
        <v>0</v>
      </c>
      <c r="AZ180" s="111">
        <v>0</v>
      </c>
      <c r="BA180" s="111">
        <v>0</v>
      </c>
      <c r="BB180" s="111">
        <v>0</v>
      </c>
      <c r="BC180" s="111">
        <v>0</v>
      </c>
      <c r="BD180" s="234">
        <f>BE180</f>
        <v>12960</v>
      </c>
      <c r="BE180" s="111">
        <f>U180+W180</f>
        <v>12960</v>
      </c>
      <c r="BF180" s="234">
        <f>BG180</f>
        <v>0</v>
      </c>
      <c r="BG180" s="111">
        <f>U180/1000</f>
        <v>0</v>
      </c>
      <c r="BH180" s="234">
        <f>BI180</f>
        <v>0</v>
      </c>
      <c r="BI180" s="111">
        <v>0</v>
      </c>
      <c r="BJ180" s="111">
        <f t="shared" si="59"/>
        <v>0</v>
      </c>
      <c r="BK180" s="306">
        <f>ROUND((Y180+AC180+AA180)/1000*3,0)+ROUND((AE180+AU180)/1000,0)+ROUND((ROUND(AH180/400,0))/2.67,0)+ROUND(AM180/250,0)+ROUND(AO180/15000,0)+ROUND((AX180+AY180+AZ180+BB180)/1000*3,0)+ROUND(BG180/25,0)+ROUND('A-App Potential sites'!BU33/50,0)</f>
        <v>39</v>
      </c>
      <c r="BL180" s="111">
        <v>0</v>
      </c>
      <c r="BM180" s="111">
        <v>0</v>
      </c>
      <c r="BN180" s="111">
        <v>0</v>
      </c>
      <c r="BO180" s="111">
        <v>0</v>
      </c>
      <c r="BP180" s="111">
        <v>0</v>
      </c>
      <c r="BQ180" s="111">
        <v>0</v>
      </c>
      <c r="BR180" s="111">
        <v>0</v>
      </c>
      <c r="BS180" s="111">
        <v>0</v>
      </c>
      <c r="BT180" s="234">
        <f>BU180</f>
        <v>0</v>
      </c>
      <c r="BU180" s="111">
        <v>0</v>
      </c>
      <c r="BV180" s="228">
        <v>25</v>
      </c>
      <c r="BW180" s="900" t="s">
        <v>741</v>
      </c>
      <c r="BX180" s="228">
        <v>7.2</v>
      </c>
      <c r="BY180" s="228">
        <v>2</v>
      </c>
      <c r="BZ180" s="228">
        <v>6.5</v>
      </c>
      <c r="CA180" s="901" t="s">
        <v>706</v>
      </c>
      <c r="CB180" s="230" t="s">
        <v>716</v>
      </c>
      <c r="CC180" s="399">
        <f>(BX180*G180)-CF180</f>
        <v>28092.399999999998</v>
      </c>
      <c r="CD180" s="399">
        <v>28092.399999999998</v>
      </c>
      <c r="CE180" s="234">
        <f>CF180</f>
        <v>3760.4</v>
      </c>
      <c r="CF180" s="836">
        <f>1*(G180)-(0.15*1*(G180))</f>
        <v>3760.4</v>
      </c>
      <c r="CG180" s="234">
        <f>CH180</f>
        <v>3760.4</v>
      </c>
      <c r="CH180" s="836">
        <f>CF180-CJ180</f>
        <v>3760.4</v>
      </c>
      <c r="CI180" s="234">
        <f>CJ180</f>
        <v>0</v>
      </c>
      <c r="CJ180" s="228">
        <v>0</v>
      </c>
      <c r="CK180" s="234">
        <f>CL180</f>
        <v>0</v>
      </c>
      <c r="CL180" s="228">
        <v>0</v>
      </c>
      <c r="CM180" s="234">
        <f>CN180</f>
        <v>3760.4</v>
      </c>
      <c r="CN180" s="903">
        <f>CF180-(CJ180+CL180+CO180+CP180+CR180+CU180+CV180+CX180)</f>
        <v>3760.4</v>
      </c>
      <c r="CO180" s="903">
        <v>0</v>
      </c>
      <c r="CP180" s="903">
        <v>0</v>
      </c>
      <c r="CQ180" s="234">
        <f>CR180</f>
        <v>0</v>
      </c>
      <c r="CR180" s="111">
        <v>0</v>
      </c>
      <c r="CS180" s="903">
        <v>0</v>
      </c>
      <c r="CT180" s="903">
        <v>0</v>
      </c>
      <c r="CU180" s="903">
        <v>0</v>
      </c>
      <c r="CV180" s="903">
        <v>0</v>
      </c>
      <c r="CW180" s="234">
        <f>CX180</f>
        <v>0</v>
      </c>
      <c r="CX180" s="111">
        <f>SUM(CY180:DC180)</f>
        <v>0</v>
      </c>
      <c r="CY180" s="903">
        <f>AX180</f>
        <v>0</v>
      </c>
      <c r="CZ180" s="903">
        <f>AY180</f>
        <v>0</v>
      </c>
      <c r="DA180" s="903">
        <f>AZ180</f>
        <v>0</v>
      </c>
      <c r="DB180" s="903">
        <f>BA180</f>
        <v>0</v>
      </c>
      <c r="DC180" s="903">
        <f>BB180</f>
        <v>0</v>
      </c>
      <c r="DD180" s="903"/>
      <c r="DE180" s="234">
        <f>DF180</f>
        <v>31852.799999999999</v>
      </c>
      <c r="DF180" s="903">
        <f>CC180+CF180</f>
        <v>31852.799999999999</v>
      </c>
      <c r="DG180" s="234">
        <f>DH180</f>
        <v>28.092399999999998</v>
      </c>
      <c r="DH180" s="904">
        <f>CC180/'[1]Projected Development Sites'!DF$134</f>
        <v>28.092399999999998</v>
      </c>
      <c r="DI180" s="886">
        <f>DJ180</f>
        <v>28.092399999999998</v>
      </c>
      <c r="DJ180" s="803">
        <f>'[1]Projected Development Sites'!DK$136*DH180</f>
        <v>28.092399999999998</v>
      </c>
      <c r="DK180" s="899">
        <f>2.87*DH180</f>
        <v>80.625187999999994</v>
      </c>
      <c r="DL180" s="772">
        <f>ROUND((CN180+CL180+CJ180)/1000*3,0)+ROUND((ROUND(CP180/400,0))/2.67,0)+ROUND(CV180/1000,0)+ROUND((CY180+CZ180+DA180+DC180)/1000*3,0)+ROUND(DH180/25,0)+ROUND(DX180/50,0)</f>
        <v>12</v>
      </c>
      <c r="DM180" s="905">
        <v>0</v>
      </c>
      <c r="DN180" s="905"/>
      <c r="DO180" s="905">
        <v>0</v>
      </c>
      <c r="DP180" s="905">
        <f>0.25*DJ180</f>
        <v>7.0230999999999995</v>
      </c>
      <c r="DQ180" s="905">
        <f>SUM(CO180,CJ180,CN180,CR180,CU180)/1000</f>
        <v>3.7604000000000002</v>
      </c>
      <c r="DR180" s="905">
        <f>CL180/1000</f>
        <v>0</v>
      </c>
      <c r="DS180" s="905">
        <f>((CP180/400)/12)</f>
        <v>0</v>
      </c>
      <c r="DT180" s="905">
        <f>IF(CX180&gt;0,"Calculate",0)</f>
        <v>0</v>
      </c>
      <c r="DU180" s="905">
        <v>0</v>
      </c>
      <c r="DV180" s="905">
        <f>CX180/1000</f>
        <v>0</v>
      </c>
      <c r="DW180" s="886">
        <f>DX180</f>
        <v>3.7604000000000002</v>
      </c>
      <c r="DX180" s="906">
        <f>SUM(DM180,DO180,DQ180:DV180)</f>
        <v>3.7604000000000002</v>
      </c>
      <c r="DY180" s="837">
        <v>145</v>
      </c>
      <c r="DZ180" s="2288">
        <f>CD180-T180</f>
        <v>28092.399999999998</v>
      </c>
      <c r="EA180" s="2231">
        <f>CE180-V180</f>
        <v>-9199.6</v>
      </c>
      <c r="EB180" s="187">
        <f>CF180-W180</f>
        <v>-9199.6</v>
      </c>
      <c r="EC180" s="235">
        <f>ED180</f>
        <v>3760.4</v>
      </c>
      <c r="ED180" s="187">
        <v>3760.4</v>
      </c>
      <c r="EE180" s="187">
        <f>(SUM(CJ180:CO180))-(SUM(AA180:AE180,AL180))</f>
        <v>7520.8</v>
      </c>
      <c r="EF180" s="235">
        <f>EG180</f>
        <v>3760.4</v>
      </c>
      <c r="EG180" s="187">
        <v>3760.4</v>
      </c>
      <c r="EH180" s="235">
        <f>EI180</f>
        <v>0</v>
      </c>
      <c r="EI180" s="187">
        <f>CL180-AC180</f>
        <v>0</v>
      </c>
      <c r="EJ180" s="235">
        <f>EK180</f>
        <v>0</v>
      </c>
      <c r="EK180" s="187">
        <f>CJ180-AA180</f>
        <v>0</v>
      </c>
      <c r="EL180" s="235">
        <f>EM180</f>
        <v>0</v>
      </c>
      <c r="EM180" s="245">
        <f>CO180-AE180</f>
        <v>0</v>
      </c>
      <c r="EN180" s="235">
        <f>EO180</f>
        <v>0</v>
      </c>
      <c r="EO180" s="245">
        <f>CP180-AH180</f>
        <v>0</v>
      </c>
      <c r="EP180" s="235">
        <f>EQ180</f>
        <v>-8540</v>
      </c>
      <c r="EQ180" s="187">
        <f>CR180-AJ180</f>
        <v>-8540</v>
      </c>
      <c r="ER180" s="235">
        <f>ES180</f>
        <v>-4420</v>
      </c>
      <c r="ES180" s="187">
        <f>CS180-AO180</f>
        <v>-4420</v>
      </c>
      <c r="ET180" s="235">
        <f>EU180</f>
        <v>0</v>
      </c>
      <c r="EU180" s="187">
        <f t="shared" si="57"/>
        <v>0</v>
      </c>
      <c r="EV180" s="235">
        <f>EW180</f>
        <v>0</v>
      </c>
      <c r="EW180" s="187">
        <f>CU180-AS180</f>
        <v>0</v>
      </c>
      <c r="EX180" s="235">
        <f>EY180</f>
        <v>0</v>
      </c>
      <c r="EY180" s="245">
        <f>CV180-AU180</f>
        <v>0</v>
      </c>
      <c r="EZ180" s="235">
        <f>FA180</f>
        <v>0</v>
      </c>
      <c r="FA180" s="245">
        <f>CY180-AX180</f>
        <v>0</v>
      </c>
      <c r="FB180" s="235">
        <f>FC180</f>
        <v>0</v>
      </c>
      <c r="FC180" s="245">
        <f>CZ180-AY180</f>
        <v>0</v>
      </c>
      <c r="FD180" s="235">
        <f>FE180</f>
        <v>0</v>
      </c>
      <c r="FE180" s="245">
        <f>DA180-AZ180</f>
        <v>0</v>
      </c>
      <c r="FF180" s="235">
        <f>FG180</f>
        <v>0</v>
      </c>
      <c r="FG180" s="245">
        <f>DB180-BA180</f>
        <v>0</v>
      </c>
      <c r="FH180" s="235">
        <f>FI180</f>
        <v>0</v>
      </c>
      <c r="FI180" s="245">
        <f>DC180-BB180</f>
        <v>0</v>
      </c>
      <c r="FJ180" s="235">
        <f>FK180</f>
        <v>0</v>
      </c>
      <c r="FK180" s="245">
        <f>CX180-AW180</f>
        <v>0</v>
      </c>
      <c r="FL180" s="235">
        <f>FM180</f>
        <v>18892.8</v>
      </c>
      <c r="FM180" s="187">
        <f>DF180-BE180</f>
        <v>18892.8</v>
      </c>
      <c r="FN180" s="235">
        <f>FO180</f>
        <v>28.092399999999998</v>
      </c>
      <c r="FO180" s="187">
        <f>DH180-BG180</f>
        <v>28.092399999999998</v>
      </c>
      <c r="FP180" s="235">
        <f>FQ180</f>
        <v>28.092399999999998</v>
      </c>
      <c r="FQ180" s="187">
        <f>DJ180-BI180</f>
        <v>28.092399999999998</v>
      </c>
      <c r="FR180" s="245">
        <f>DK180-BJ180</f>
        <v>80.625187999999994</v>
      </c>
      <c r="FS180" s="245">
        <f>DL180-BK180</f>
        <v>-27</v>
      </c>
      <c r="FT180" s="907">
        <f>DM180-BL180</f>
        <v>0</v>
      </c>
      <c r="FU180" s="907">
        <f>DR180-BO180</f>
        <v>0</v>
      </c>
      <c r="FV180" s="907">
        <f>DO180-BM180</f>
        <v>0</v>
      </c>
      <c r="FW180" s="907">
        <f>DQ180-BN180</f>
        <v>3.7604000000000002</v>
      </c>
      <c r="FX180" s="907">
        <f>DS180-BP180</f>
        <v>0</v>
      </c>
      <c r="FY180" s="907">
        <f>DT180-BQ180</f>
        <v>0</v>
      </c>
      <c r="FZ180" s="907">
        <f>DU180-BR180</f>
        <v>0</v>
      </c>
      <c r="GA180" s="907">
        <f>DV180-BS180</f>
        <v>0</v>
      </c>
      <c r="GB180" s="894">
        <f>GC180</f>
        <v>3.7604000000000002</v>
      </c>
      <c r="GC180" s="776">
        <f t="shared" si="58"/>
        <v>3.7604000000000002</v>
      </c>
      <c r="GD180" s="139"/>
      <c r="GE180" s="139"/>
      <c r="GF180" s="139"/>
      <c r="GG180" s="139"/>
      <c r="GH180" s="139"/>
      <c r="GI180" s="139"/>
      <c r="GJ180" s="139"/>
      <c r="GK180" s="139"/>
      <c r="GL180" s="139"/>
      <c r="GM180" s="139"/>
      <c r="GN180" s="139"/>
      <c r="GO180" s="139"/>
      <c r="GP180" s="139"/>
      <c r="GQ180" s="139"/>
      <c r="GR180" s="139"/>
      <c r="GS180" s="139"/>
      <c r="GT180" s="139"/>
    </row>
    <row r="181" spans="1:202" s="139" customFormat="1" ht="18.75">
      <c r="A181" s="2263"/>
      <c r="B181" s="2263"/>
      <c r="C181" s="132"/>
      <c r="D181" s="132"/>
      <c r="E181" s="132"/>
      <c r="F181" s="777"/>
      <c r="G181" s="132"/>
      <c r="H181" s="135"/>
      <c r="I181" s="136"/>
      <c r="J181" s="132"/>
      <c r="K181" s="132"/>
      <c r="L181" s="132"/>
      <c r="M181" s="132"/>
      <c r="N181" s="134"/>
      <c r="O181" s="134"/>
      <c r="P181" s="134"/>
      <c r="Q181" s="134"/>
      <c r="R181" s="137"/>
      <c r="S181" s="778"/>
      <c r="T181" s="634"/>
      <c r="U181" s="102"/>
      <c r="V181" s="634"/>
      <c r="W181" s="102"/>
      <c r="X181" s="102"/>
      <c r="Y181" s="102"/>
      <c r="Z181" s="634"/>
      <c r="AA181" s="102"/>
      <c r="AB181" s="634"/>
      <c r="AC181" s="102"/>
      <c r="AD181" s="634"/>
      <c r="AE181" s="102"/>
      <c r="AF181" s="102"/>
      <c r="AG181" s="102"/>
      <c r="AH181" s="102"/>
      <c r="AI181" s="634"/>
      <c r="AJ181" s="102"/>
      <c r="AK181" s="634"/>
      <c r="AL181" s="102"/>
      <c r="AM181" s="779"/>
      <c r="AN181" s="634"/>
      <c r="AO181" s="102"/>
      <c r="AP181" s="634"/>
      <c r="AQ181" s="102"/>
      <c r="AR181" s="634"/>
      <c r="AS181" s="102"/>
      <c r="AT181" s="634"/>
      <c r="AU181" s="102"/>
      <c r="AV181" s="634"/>
      <c r="AW181" s="102"/>
      <c r="AX181" s="102"/>
      <c r="AY181" s="102"/>
      <c r="AZ181" s="102"/>
      <c r="BA181" s="102"/>
      <c r="BB181" s="102"/>
      <c r="BC181" s="102"/>
      <c r="BD181" s="634"/>
      <c r="BE181" s="102"/>
      <c r="BF181" s="634"/>
      <c r="BG181" s="102"/>
      <c r="BH181" s="634"/>
      <c r="BI181" s="102"/>
      <c r="BJ181" s="111"/>
      <c r="BK181" s="186"/>
      <c r="BL181" s="102"/>
      <c r="BM181" s="102"/>
      <c r="BN181" s="102"/>
      <c r="BO181" s="102"/>
      <c r="BP181" s="102"/>
      <c r="BQ181" s="102"/>
      <c r="BR181" s="102"/>
      <c r="BS181" s="102"/>
      <c r="BT181" s="634"/>
      <c r="BU181" s="102"/>
      <c r="BW181" s="780"/>
      <c r="CA181" s="781"/>
      <c r="CB181" s="2258"/>
      <c r="CC181" s="782"/>
      <c r="CD181" s="782"/>
      <c r="CE181" s="634"/>
      <c r="CF181" s="783"/>
      <c r="CG181" s="634"/>
      <c r="CH181" s="783"/>
      <c r="CI181" s="634"/>
      <c r="CK181" s="634"/>
      <c r="CM181" s="634"/>
      <c r="CN181" s="784"/>
      <c r="CO181" s="784"/>
      <c r="CP181" s="784"/>
      <c r="CQ181" s="634"/>
      <c r="CR181" s="102"/>
      <c r="CS181" s="784"/>
      <c r="CT181" s="784"/>
      <c r="CU181" s="784"/>
      <c r="CV181" s="784"/>
      <c r="CW181" s="634"/>
      <c r="CX181" s="102"/>
      <c r="CY181" s="784"/>
      <c r="CZ181" s="784"/>
      <c r="DA181" s="784"/>
      <c r="DB181" s="784"/>
      <c r="DC181" s="784"/>
      <c r="DD181" s="784"/>
      <c r="DE181" s="634"/>
      <c r="DF181" s="784"/>
      <c r="DG181" s="634"/>
      <c r="DH181" s="296"/>
      <c r="DI181" s="802"/>
      <c r="DJ181" s="785"/>
      <c r="DK181" s="899"/>
      <c r="DL181" s="772"/>
      <c r="DM181" s="787"/>
      <c r="DN181" s="787"/>
      <c r="DO181" s="787"/>
      <c r="DP181" s="787"/>
      <c r="DQ181" s="787"/>
      <c r="DR181" s="787"/>
      <c r="DS181" s="787"/>
      <c r="DT181" s="787"/>
      <c r="DU181" s="787"/>
      <c r="DV181" s="787"/>
      <c r="DW181" s="802"/>
      <c r="DX181" s="788"/>
      <c r="DY181" s="634"/>
      <c r="DZ181" s="2288"/>
      <c r="EA181" s="2231"/>
      <c r="EB181" s="187"/>
      <c r="EC181" s="2232"/>
      <c r="ED181" s="187"/>
      <c r="EE181" s="187"/>
      <c r="EF181" s="2232"/>
      <c r="EG181" s="187"/>
      <c r="EH181" s="2232"/>
      <c r="EI181" s="187"/>
      <c r="EJ181" s="2232"/>
      <c r="EK181" s="187"/>
      <c r="EL181" s="2232"/>
      <c r="EM181" s="195"/>
      <c r="EN181" s="2232"/>
      <c r="EO181" s="195"/>
      <c r="EP181" s="2232"/>
      <c r="EQ181" s="187"/>
      <c r="ER181" s="2232"/>
      <c r="ES181" s="187"/>
      <c r="ET181" s="2232"/>
      <c r="EU181" s="187">
        <f t="shared" si="57"/>
        <v>0</v>
      </c>
      <c r="EV181" s="2232"/>
      <c r="EW181" s="187"/>
      <c r="EX181" s="2232"/>
      <c r="EY181" s="195"/>
      <c r="EZ181" s="2232"/>
      <c r="FA181" s="195"/>
      <c r="FB181" s="2232"/>
      <c r="FC181" s="195"/>
      <c r="FD181" s="2232"/>
      <c r="FE181" s="195"/>
      <c r="FF181" s="2232"/>
      <c r="FG181" s="195"/>
      <c r="FH181" s="2232"/>
      <c r="FI181" s="195"/>
      <c r="FJ181" s="2232"/>
      <c r="FK181" s="195"/>
      <c r="FL181" s="2232"/>
      <c r="FM181" s="187"/>
      <c r="FN181" s="2232"/>
      <c r="FO181" s="187"/>
      <c r="FP181" s="2232"/>
      <c r="FQ181" s="187"/>
      <c r="FR181" s="195"/>
      <c r="FS181" s="195"/>
      <c r="FT181" s="789"/>
      <c r="FU181" s="789"/>
      <c r="FV181" s="789"/>
      <c r="FW181" s="789"/>
      <c r="FX181" s="789"/>
      <c r="FY181" s="789"/>
      <c r="FZ181" s="789"/>
      <c r="GA181" s="789"/>
      <c r="GB181" s="2289"/>
      <c r="GC181" s="776"/>
    </row>
    <row r="182" spans="1:202" s="228" customFormat="1" ht="18.75">
      <c r="A182" s="216"/>
      <c r="B182" s="216">
        <v>65</v>
      </c>
      <c r="C182" s="218" t="s">
        <v>703</v>
      </c>
      <c r="D182" s="218">
        <v>2842</v>
      </c>
      <c r="E182" s="218">
        <v>18</v>
      </c>
      <c r="F182" s="897">
        <v>2028420018</v>
      </c>
      <c r="G182" s="218">
        <v>14675</v>
      </c>
      <c r="H182" s="221" t="s">
        <v>753</v>
      </c>
      <c r="I182" s="222"/>
      <c r="J182" s="218">
        <v>0.99</v>
      </c>
      <c r="K182" s="218">
        <v>3.44</v>
      </c>
      <c r="L182" s="218">
        <v>3.4</v>
      </c>
      <c r="M182" s="218">
        <v>6.5</v>
      </c>
      <c r="N182" s="220">
        <v>14500</v>
      </c>
      <c r="O182" s="220">
        <v>0</v>
      </c>
      <c r="P182" s="220">
        <v>0</v>
      </c>
      <c r="Q182" s="220">
        <v>14500</v>
      </c>
      <c r="R182" s="223">
        <v>0</v>
      </c>
      <c r="S182" s="898" t="s">
        <v>637</v>
      </c>
      <c r="T182" s="234">
        <f>U182</f>
        <v>0</v>
      </c>
      <c r="U182" s="111">
        <v>0</v>
      </c>
      <c r="V182" s="234">
        <f>W182</f>
        <v>14500</v>
      </c>
      <c r="W182" s="111">
        <f>N182</f>
        <v>14500</v>
      </c>
      <c r="X182" s="111"/>
      <c r="Y182" s="111">
        <f>W182-AA182</f>
        <v>14500</v>
      </c>
      <c r="Z182" s="234">
        <f>AA182</f>
        <v>0</v>
      </c>
      <c r="AA182" s="111">
        <v>0</v>
      </c>
      <c r="AB182" s="234">
        <f>AC182</f>
        <v>0</v>
      </c>
      <c r="AC182" s="111">
        <v>0</v>
      </c>
      <c r="AD182" s="234">
        <f>AE182</f>
        <v>0</v>
      </c>
      <c r="AE182" s="111">
        <f>AG182+AF182</f>
        <v>0</v>
      </c>
      <c r="AF182" s="111">
        <v>0</v>
      </c>
      <c r="AG182" s="111">
        <v>0</v>
      </c>
      <c r="AH182" s="111">
        <v>0</v>
      </c>
      <c r="AI182" s="234">
        <f>AJ182</f>
        <v>0</v>
      </c>
      <c r="AJ182" s="111">
        <v>0</v>
      </c>
      <c r="AK182" s="234">
        <f>AL182</f>
        <v>14500</v>
      </c>
      <c r="AL182" s="111">
        <f>W182-(AA182+AC182+AE182+AH182+AJ182+AM182+AW182+AO182+AQ182+AS182+AU182)</f>
        <v>14500</v>
      </c>
      <c r="AM182" s="899">
        <v>0</v>
      </c>
      <c r="AN182" s="234">
        <f>AO182</f>
        <v>0</v>
      </c>
      <c r="AO182" s="111">
        <v>0</v>
      </c>
      <c r="AP182" s="234">
        <f>AQ182</f>
        <v>0</v>
      </c>
      <c r="AQ182" s="111">
        <v>0</v>
      </c>
      <c r="AR182" s="234">
        <f>AS182</f>
        <v>0</v>
      </c>
      <c r="AS182" s="111">
        <v>0</v>
      </c>
      <c r="AT182" s="234">
        <f>AU182</f>
        <v>0</v>
      </c>
      <c r="AU182" s="111">
        <v>0</v>
      </c>
      <c r="AV182" s="234">
        <f>AW182</f>
        <v>0</v>
      </c>
      <c r="AW182" s="111">
        <f>AX182+AY182+AZ182+BA182+BB182</f>
        <v>0</v>
      </c>
      <c r="AX182" s="111">
        <v>0</v>
      </c>
      <c r="AY182" s="111">
        <v>0</v>
      </c>
      <c r="AZ182" s="111">
        <v>0</v>
      </c>
      <c r="BA182" s="111">
        <v>0</v>
      </c>
      <c r="BB182" s="111">
        <v>0</v>
      </c>
      <c r="BC182" s="111">
        <v>0</v>
      </c>
      <c r="BD182" s="234">
        <f>BE182</f>
        <v>14500</v>
      </c>
      <c r="BE182" s="111">
        <f>U182+W182</f>
        <v>14500</v>
      </c>
      <c r="BF182" s="234">
        <f>BG182</f>
        <v>0</v>
      </c>
      <c r="BG182" s="111">
        <f>U182/1000</f>
        <v>0</v>
      </c>
      <c r="BH182" s="234">
        <f>BI182</f>
        <v>0</v>
      </c>
      <c r="BI182" s="111">
        <v>0</v>
      </c>
      <c r="BJ182" s="111">
        <f t="shared" si="59"/>
        <v>0</v>
      </c>
      <c r="BK182" s="306">
        <f>ROUND((Y182+AC182+AA182)/1000*3,0)+ROUND((AE182+AU182)/1000,0)+ROUND((ROUND(AH182/400,0))/2.67,0)+ROUND(AM182/250,0)+ROUND(AO182/15000,0)+ROUND((AX182+AY182+AZ182+BB182)/1000*3,0)+ROUND(BG182/25,0)+ROUND(BU36/50,0)</f>
        <v>44</v>
      </c>
      <c r="BL182" s="111">
        <v>0</v>
      </c>
      <c r="BM182" s="111">
        <v>0</v>
      </c>
      <c r="BN182" s="111">
        <v>0</v>
      </c>
      <c r="BO182" s="111">
        <f>AC182/1000</f>
        <v>0</v>
      </c>
      <c r="BP182" s="111">
        <f>AH182/1000</f>
        <v>0</v>
      </c>
      <c r="BQ182" s="111">
        <v>0</v>
      </c>
      <c r="BR182" s="111">
        <v>0</v>
      </c>
      <c r="BS182" s="111">
        <v>0</v>
      </c>
      <c r="BT182" s="234">
        <f>BU182</f>
        <v>0</v>
      </c>
      <c r="BU182" s="111">
        <f>SUM(BL182:BS182)</f>
        <v>0</v>
      </c>
      <c r="BV182" s="228">
        <v>15</v>
      </c>
      <c r="BW182" s="900" t="s">
        <v>741</v>
      </c>
      <c r="BX182" s="228">
        <v>7.2</v>
      </c>
      <c r="BY182" s="228">
        <v>2</v>
      </c>
      <c r="BZ182" s="228">
        <v>6.5</v>
      </c>
      <c r="CA182" s="901" t="s">
        <v>706</v>
      </c>
      <c r="CB182" s="230" t="s">
        <v>716</v>
      </c>
      <c r="CC182" s="399">
        <f>(BX182*G182)-CF182</f>
        <v>93186.25</v>
      </c>
      <c r="CD182" s="399">
        <v>93186.25</v>
      </c>
      <c r="CE182" s="234">
        <f>CF182</f>
        <v>12473.75</v>
      </c>
      <c r="CF182" s="836">
        <f>1*(G182)-(0.15*1*(G182))</f>
        <v>12473.75</v>
      </c>
      <c r="CG182" s="234">
        <f>CH182</f>
        <v>12473.75</v>
      </c>
      <c r="CH182" s="836">
        <f>CF182-CJ182</f>
        <v>12473.75</v>
      </c>
      <c r="CI182" s="234">
        <f>CJ182</f>
        <v>0</v>
      </c>
      <c r="CJ182" s="228">
        <v>0</v>
      </c>
      <c r="CK182" s="234">
        <f>CL182</f>
        <v>0</v>
      </c>
      <c r="CL182" s="228">
        <v>0</v>
      </c>
      <c r="CM182" s="234">
        <f>CN182</f>
        <v>12473.75</v>
      </c>
      <c r="CN182" s="903">
        <f>CF182-(CJ182+CL182+CO182+CP182+CR182+CU182+CV182+CX182)</f>
        <v>12473.75</v>
      </c>
      <c r="CO182" s="903">
        <v>0</v>
      </c>
      <c r="CP182" s="903">
        <v>0</v>
      </c>
      <c r="CQ182" s="234">
        <f>CR182</f>
        <v>0</v>
      </c>
      <c r="CR182" s="111">
        <v>0</v>
      </c>
      <c r="CS182" s="903">
        <v>0</v>
      </c>
      <c r="CT182" s="903">
        <v>0</v>
      </c>
      <c r="CU182" s="903">
        <v>0</v>
      </c>
      <c r="CV182" s="903">
        <v>0</v>
      </c>
      <c r="CW182" s="234">
        <f>CX182</f>
        <v>0</v>
      </c>
      <c r="CX182" s="111">
        <f>SUM(CY182:DC182)</f>
        <v>0</v>
      </c>
      <c r="CY182" s="903">
        <f>AX182</f>
        <v>0</v>
      </c>
      <c r="CZ182" s="903">
        <f>AY182</f>
        <v>0</v>
      </c>
      <c r="DA182" s="903">
        <f>AZ182</f>
        <v>0</v>
      </c>
      <c r="DB182" s="903">
        <f>BA182</f>
        <v>0</v>
      </c>
      <c r="DC182" s="903">
        <f>BB182</f>
        <v>0</v>
      </c>
      <c r="DD182" s="903"/>
      <c r="DE182" s="234">
        <f>DF182</f>
        <v>105660</v>
      </c>
      <c r="DF182" s="111">
        <f>CC182+CF182</f>
        <v>105660</v>
      </c>
      <c r="DG182" s="234">
        <f>DH182</f>
        <v>93.186250000000001</v>
      </c>
      <c r="DH182" s="904">
        <f>CC182/'[1]Projected Development Sites'!DF$134</f>
        <v>93.186250000000001</v>
      </c>
      <c r="DI182" s="886">
        <f>DJ182</f>
        <v>93.186250000000001</v>
      </c>
      <c r="DJ182" s="803">
        <f>'[1]Projected Development Sites'!DK$136*DH182</f>
        <v>93.186250000000001</v>
      </c>
      <c r="DK182" s="899">
        <f>2.87*DH182</f>
        <v>267.44453750000002</v>
      </c>
      <c r="DL182" s="772">
        <f>ROUND((CN182+CL182+CJ182)/1000*3,0)+ROUND((ROUND(CP182/400,0))/2.67,0)+ROUND(CV182/1000,0)+ROUND((CY182+CZ182+DA182+DC182)/1000*3,0)+ROUND(DH182/25,0)+ROUND(DX182/50,0)</f>
        <v>41</v>
      </c>
      <c r="DM182" s="905">
        <v>0</v>
      </c>
      <c r="DN182" s="905"/>
      <c r="DO182" s="905">
        <v>0</v>
      </c>
      <c r="DP182" s="905">
        <f>0.25*DJ182</f>
        <v>23.2965625</v>
      </c>
      <c r="DQ182" s="905">
        <f>SUM(CO182,CJ182,CN182,CR182,CU182)/1000</f>
        <v>12.473750000000001</v>
      </c>
      <c r="DR182" s="905">
        <f>CL182/1000</f>
        <v>0</v>
      </c>
      <c r="DS182" s="905">
        <f>((CP182/400)/12)</f>
        <v>0</v>
      </c>
      <c r="DT182" s="905">
        <f>IF(CX182&gt;0,"Calculate",0)</f>
        <v>0</v>
      </c>
      <c r="DU182" s="905">
        <v>0</v>
      </c>
      <c r="DV182" s="905">
        <f>CX182/1000</f>
        <v>0</v>
      </c>
      <c r="DW182" s="886">
        <f>DX182</f>
        <v>12.473750000000001</v>
      </c>
      <c r="DX182" s="906">
        <f>SUM(DM182,DO182,DQ182:DV182)</f>
        <v>12.473750000000001</v>
      </c>
      <c r="DY182" s="837">
        <v>145</v>
      </c>
      <c r="DZ182" s="2288">
        <f>CD182-T182</f>
        <v>93186.25</v>
      </c>
      <c r="EA182" s="2231">
        <f>CE182-V182</f>
        <v>-2026.25</v>
      </c>
      <c r="EB182" s="187">
        <f>CF182-W182</f>
        <v>-2026.25</v>
      </c>
      <c r="EC182" s="235">
        <f>ED182</f>
        <v>-2026.25</v>
      </c>
      <c r="ED182" s="187">
        <v>-2026.25</v>
      </c>
      <c r="EE182" s="187">
        <f>(SUM(CJ182:CO182))-(SUM(AA182:AE182,AL182))</f>
        <v>10447.5</v>
      </c>
      <c r="EF182" s="235">
        <f>EG182</f>
        <v>-2026.25</v>
      </c>
      <c r="EG182" s="187">
        <v>-2026.25</v>
      </c>
      <c r="EH182" s="235">
        <f>EI182</f>
        <v>0</v>
      </c>
      <c r="EI182" s="187">
        <f>CL182-AC182</f>
        <v>0</v>
      </c>
      <c r="EJ182" s="235">
        <f>EK182</f>
        <v>0</v>
      </c>
      <c r="EK182" s="187">
        <f>CJ182-AA182</f>
        <v>0</v>
      </c>
      <c r="EL182" s="235">
        <f>EM182</f>
        <v>0</v>
      </c>
      <c r="EM182" s="245">
        <f>CO182-AE182</f>
        <v>0</v>
      </c>
      <c r="EN182" s="235">
        <f>EO182</f>
        <v>0</v>
      </c>
      <c r="EO182" s="245">
        <f>CP182-AH182</f>
        <v>0</v>
      </c>
      <c r="EP182" s="235">
        <f>EQ182</f>
        <v>0</v>
      </c>
      <c r="EQ182" s="187">
        <f>CR182-AJ182</f>
        <v>0</v>
      </c>
      <c r="ER182" s="235">
        <f>ES182</f>
        <v>0</v>
      </c>
      <c r="ES182" s="187">
        <f>CS182-AO182</f>
        <v>0</v>
      </c>
      <c r="ET182" s="235">
        <f>EU182</f>
        <v>0</v>
      </c>
      <c r="EU182" s="187">
        <f t="shared" si="57"/>
        <v>0</v>
      </c>
      <c r="EV182" s="235">
        <f>EW182</f>
        <v>0</v>
      </c>
      <c r="EW182" s="187">
        <f>CU182-AS182</f>
        <v>0</v>
      </c>
      <c r="EX182" s="235">
        <f>EY182</f>
        <v>0</v>
      </c>
      <c r="EY182" s="245">
        <f>CV182-AU182</f>
        <v>0</v>
      </c>
      <c r="EZ182" s="235">
        <f>FA182</f>
        <v>0</v>
      </c>
      <c r="FA182" s="245">
        <f>CY182-AX182</f>
        <v>0</v>
      </c>
      <c r="FB182" s="235">
        <f>FC182</f>
        <v>0</v>
      </c>
      <c r="FC182" s="245">
        <f>CZ182-AY182</f>
        <v>0</v>
      </c>
      <c r="FD182" s="235">
        <f>FE182</f>
        <v>0</v>
      </c>
      <c r="FE182" s="245">
        <f>DA182-AZ182</f>
        <v>0</v>
      </c>
      <c r="FF182" s="235">
        <f>FG182</f>
        <v>0</v>
      </c>
      <c r="FG182" s="245">
        <f>DB182-BA182</f>
        <v>0</v>
      </c>
      <c r="FH182" s="235">
        <f>FI182</f>
        <v>0</v>
      </c>
      <c r="FI182" s="245">
        <f>DC182-BB182</f>
        <v>0</v>
      </c>
      <c r="FJ182" s="235">
        <f>FK182</f>
        <v>0</v>
      </c>
      <c r="FK182" s="245">
        <f>CX182-AW182</f>
        <v>0</v>
      </c>
      <c r="FL182" s="235">
        <f>FM182</f>
        <v>91160</v>
      </c>
      <c r="FM182" s="187">
        <f>DF182-BE182</f>
        <v>91160</v>
      </c>
      <c r="FN182" s="235">
        <f>FO182</f>
        <v>93.186250000000001</v>
      </c>
      <c r="FO182" s="187">
        <f>DH182-BG182</f>
        <v>93.186250000000001</v>
      </c>
      <c r="FP182" s="235">
        <f>FQ182</f>
        <v>93.186250000000001</v>
      </c>
      <c r="FQ182" s="187">
        <f>DJ182-BI182</f>
        <v>93.186250000000001</v>
      </c>
      <c r="FR182" s="245">
        <f>DK182-BJ182</f>
        <v>267.44453750000002</v>
      </c>
      <c r="FS182" s="245">
        <f>DL182-BK182</f>
        <v>-3</v>
      </c>
      <c r="FT182" s="907">
        <f>DM182-BL182</f>
        <v>0</v>
      </c>
      <c r="FU182" s="907">
        <f>DR182-BO182</f>
        <v>0</v>
      </c>
      <c r="FV182" s="907">
        <f>DO182-BM182</f>
        <v>0</v>
      </c>
      <c r="FW182" s="907">
        <f>DQ182-BN182</f>
        <v>12.473750000000001</v>
      </c>
      <c r="FX182" s="907">
        <f>DS182-BP182</f>
        <v>0</v>
      </c>
      <c r="FY182" s="907">
        <f>DT182-BQ182</f>
        <v>0</v>
      </c>
      <c r="FZ182" s="907">
        <f>DU182-BR182</f>
        <v>0</v>
      </c>
      <c r="GA182" s="907">
        <f>DV182-BS182</f>
        <v>0</v>
      </c>
      <c r="GB182" s="894">
        <f>GC182</f>
        <v>12.473750000000001</v>
      </c>
      <c r="GC182" s="776">
        <f t="shared" si="58"/>
        <v>12.473750000000001</v>
      </c>
      <c r="GD182" s="139"/>
      <c r="GE182" s="139"/>
      <c r="GF182" s="139"/>
      <c r="GG182" s="139"/>
      <c r="GH182" s="139"/>
      <c r="GI182" s="139"/>
      <c r="GJ182" s="139"/>
      <c r="GK182" s="139"/>
      <c r="GL182" s="139"/>
      <c r="GM182" s="139"/>
      <c r="GN182" s="139"/>
      <c r="GO182" s="139"/>
      <c r="GP182" s="139"/>
      <c r="GQ182" s="139"/>
      <c r="GR182" s="139"/>
      <c r="GS182" s="139"/>
      <c r="GT182" s="139"/>
    </row>
    <row r="183" spans="1:202" s="139" customFormat="1" ht="18.75">
      <c r="A183" s="2263"/>
      <c r="B183" s="2263"/>
      <c r="C183" s="132"/>
      <c r="D183" s="132"/>
      <c r="E183" s="132"/>
      <c r="F183" s="777"/>
      <c r="G183" s="132"/>
      <c r="H183" s="135"/>
      <c r="I183" s="136"/>
      <c r="J183" s="132"/>
      <c r="K183" s="132"/>
      <c r="L183" s="132"/>
      <c r="M183" s="132"/>
      <c r="N183" s="134"/>
      <c r="O183" s="134"/>
      <c r="P183" s="134"/>
      <c r="Q183" s="134"/>
      <c r="R183" s="137"/>
      <c r="S183" s="778"/>
      <c r="T183" s="634"/>
      <c r="U183" s="102"/>
      <c r="V183" s="634"/>
      <c r="W183" s="102"/>
      <c r="X183" s="102"/>
      <c r="Y183" s="102"/>
      <c r="Z183" s="634"/>
      <c r="AA183" s="102"/>
      <c r="AB183" s="634"/>
      <c r="AC183" s="102"/>
      <c r="AD183" s="634"/>
      <c r="AE183" s="102"/>
      <c r="AF183" s="102"/>
      <c r="AG183" s="102"/>
      <c r="AH183" s="102"/>
      <c r="AI183" s="634"/>
      <c r="AJ183" s="102"/>
      <c r="AK183" s="634"/>
      <c r="AL183" s="102"/>
      <c r="AM183" s="779"/>
      <c r="AN183" s="634"/>
      <c r="AO183" s="102"/>
      <c r="AP183" s="634"/>
      <c r="AQ183" s="102"/>
      <c r="AR183" s="634"/>
      <c r="AS183" s="102"/>
      <c r="AT183" s="634"/>
      <c r="AU183" s="102"/>
      <c r="AV183" s="634"/>
      <c r="AW183" s="102"/>
      <c r="AX183" s="102"/>
      <c r="AY183" s="102"/>
      <c r="AZ183" s="102"/>
      <c r="BA183" s="102"/>
      <c r="BB183" s="102"/>
      <c r="BC183" s="102"/>
      <c r="BD183" s="634"/>
      <c r="BE183" s="102"/>
      <c r="BF183" s="634"/>
      <c r="BG183" s="102"/>
      <c r="BH183" s="634"/>
      <c r="BI183" s="102"/>
      <c r="BJ183" s="111"/>
      <c r="BK183" s="186"/>
      <c r="BL183" s="102"/>
      <c r="BM183" s="102"/>
      <c r="BN183" s="102"/>
      <c r="BO183" s="102"/>
      <c r="BP183" s="102"/>
      <c r="BQ183" s="102"/>
      <c r="BR183" s="102"/>
      <c r="BS183" s="102"/>
      <c r="BT183" s="634"/>
      <c r="BU183" s="102"/>
      <c r="BW183" s="780"/>
      <c r="CA183" s="781"/>
      <c r="CB183" s="2258"/>
      <c r="CC183" s="782"/>
      <c r="CD183" s="782"/>
      <c r="CE183" s="634"/>
      <c r="CF183" s="783"/>
      <c r="CG183" s="634"/>
      <c r="CH183" s="783"/>
      <c r="CI183" s="634"/>
      <c r="CK183" s="634"/>
      <c r="CM183" s="634"/>
      <c r="CN183" s="784"/>
      <c r="CO183" s="784"/>
      <c r="CP183" s="784"/>
      <c r="CQ183" s="634"/>
      <c r="CR183" s="102"/>
      <c r="CS183" s="784"/>
      <c r="CT183" s="784"/>
      <c r="CU183" s="784"/>
      <c r="CV183" s="784"/>
      <c r="CW183" s="634"/>
      <c r="CX183" s="102"/>
      <c r="CY183" s="784"/>
      <c r="CZ183" s="784"/>
      <c r="DA183" s="784"/>
      <c r="DB183" s="784"/>
      <c r="DC183" s="784"/>
      <c r="DD183" s="784"/>
      <c r="DE183" s="634"/>
      <c r="DF183" s="784"/>
      <c r="DG183" s="634"/>
      <c r="DH183" s="296"/>
      <c r="DI183" s="802"/>
      <c r="DJ183" s="785"/>
      <c r="DK183" s="899"/>
      <c r="DL183" s="772"/>
      <c r="DM183" s="787"/>
      <c r="DN183" s="787"/>
      <c r="DO183" s="787"/>
      <c r="DP183" s="787"/>
      <c r="DQ183" s="787"/>
      <c r="DR183" s="787"/>
      <c r="DS183" s="787"/>
      <c r="DT183" s="787"/>
      <c r="DU183" s="787"/>
      <c r="DV183" s="787"/>
      <c r="DW183" s="802"/>
      <c r="DX183" s="788"/>
      <c r="DY183" s="634"/>
      <c r="DZ183" s="2288"/>
      <c r="EA183" s="2231"/>
      <c r="EB183" s="187"/>
      <c r="EC183" s="2232"/>
      <c r="ED183" s="187"/>
      <c r="EE183" s="187"/>
      <c r="EF183" s="2232"/>
      <c r="EG183" s="187"/>
      <c r="EH183" s="2232"/>
      <c r="EI183" s="187"/>
      <c r="EJ183" s="2232"/>
      <c r="EK183" s="187"/>
      <c r="EL183" s="2232"/>
      <c r="EM183" s="195"/>
      <c r="EN183" s="2232"/>
      <c r="EO183" s="195"/>
      <c r="EP183" s="2232"/>
      <c r="EQ183" s="187"/>
      <c r="ER183" s="2232"/>
      <c r="ES183" s="187"/>
      <c r="ET183" s="2232"/>
      <c r="EU183" s="187">
        <f t="shared" si="57"/>
        <v>0</v>
      </c>
      <c r="EV183" s="2232"/>
      <c r="EW183" s="187"/>
      <c r="EX183" s="2232"/>
      <c r="EY183" s="195"/>
      <c r="EZ183" s="2232"/>
      <c r="FA183" s="195"/>
      <c r="FB183" s="2232"/>
      <c r="FC183" s="195"/>
      <c r="FD183" s="2232"/>
      <c r="FE183" s="195"/>
      <c r="FF183" s="2232"/>
      <c r="FG183" s="195"/>
      <c r="FH183" s="2232"/>
      <c r="FI183" s="195"/>
      <c r="FJ183" s="2232"/>
      <c r="FK183" s="195"/>
      <c r="FL183" s="2232"/>
      <c r="FM183" s="187"/>
      <c r="FN183" s="2232"/>
      <c r="FO183" s="187"/>
      <c r="FP183" s="2232"/>
      <c r="FQ183" s="187"/>
      <c r="FR183" s="195"/>
      <c r="FS183" s="195"/>
      <c r="FT183" s="789"/>
      <c r="FU183" s="789"/>
      <c r="FV183" s="789"/>
      <c r="FW183" s="789"/>
      <c r="FX183" s="789"/>
      <c r="FY183" s="789"/>
      <c r="FZ183" s="789"/>
      <c r="GA183" s="789"/>
      <c r="GB183" s="2289"/>
      <c r="GC183" s="776"/>
    </row>
    <row r="184" spans="1:202" s="228" customFormat="1" ht="18.75">
      <c r="A184" s="216"/>
      <c r="B184" s="216">
        <v>66</v>
      </c>
      <c r="C184" s="218" t="s">
        <v>703</v>
      </c>
      <c r="D184" s="218">
        <v>2843</v>
      </c>
      <c r="E184" s="218">
        <v>69</v>
      </c>
      <c r="F184" s="897">
        <v>2028430069</v>
      </c>
      <c r="G184" s="218">
        <v>9691</v>
      </c>
      <c r="H184" s="221" t="s">
        <v>753</v>
      </c>
      <c r="I184" s="222"/>
      <c r="J184" s="218">
        <v>1.94</v>
      </c>
      <c r="K184" s="218">
        <v>3.44</v>
      </c>
      <c r="L184" s="218">
        <v>3.4</v>
      </c>
      <c r="M184" s="218">
        <v>6.5</v>
      </c>
      <c r="N184" s="220">
        <v>18757</v>
      </c>
      <c r="O184" s="220">
        <v>0</v>
      </c>
      <c r="P184" s="220">
        <v>6378</v>
      </c>
      <c r="Q184" s="220">
        <v>18757</v>
      </c>
      <c r="R184" s="223">
        <v>0</v>
      </c>
      <c r="S184" s="898" t="s">
        <v>889</v>
      </c>
      <c r="T184" s="234">
        <f>U184</f>
        <v>0</v>
      </c>
      <c r="U184" s="111">
        <v>0</v>
      </c>
      <c r="V184" s="234">
        <f>W184</f>
        <v>18757</v>
      </c>
      <c r="W184" s="111">
        <f>N184</f>
        <v>18757</v>
      </c>
      <c r="X184" s="111"/>
      <c r="Y184" s="111">
        <f>W184-AA184</f>
        <v>18757</v>
      </c>
      <c r="Z184" s="234">
        <f>AA184</f>
        <v>0</v>
      </c>
      <c r="AA184" s="111">
        <v>0</v>
      </c>
      <c r="AB184" s="234">
        <f>AC184</f>
        <v>0</v>
      </c>
      <c r="AC184" s="111">
        <v>0</v>
      </c>
      <c r="AD184" s="234">
        <f>AE184</f>
        <v>0</v>
      </c>
      <c r="AE184" s="111">
        <f>AG184+AF184</f>
        <v>0</v>
      </c>
      <c r="AF184" s="111">
        <v>0</v>
      </c>
      <c r="AG184" s="111">
        <v>0</v>
      </c>
      <c r="AH184" s="111">
        <v>0</v>
      </c>
      <c r="AI184" s="234">
        <f>AJ184</f>
        <v>6378</v>
      </c>
      <c r="AJ184" s="111">
        <v>6378</v>
      </c>
      <c r="AK184" s="234">
        <f>AL184</f>
        <v>12379</v>
      </c>
      <c r="AL184" s="111">
        <f>W184-(AA184+AC184+AE184+AH184+AJ184+AM184+AW184+AO184+AQ184+AS184+AU184)</f>
        <v>12379</v>
      </c>
      <c r="AM184" s="899">
        <v>0</v>
      </c>
      <c r="AN184" s="234">
        <f>AO184</f>
        <v>0</v>
      </c>
      <c r="AO184" s="111">
        <v>0</v>
      </c>
      <c r="AP184" s="234">
        <f>AQ184</f>
        <v>0</v>
      </c>
      <c r="AQ184" s="111">
        <v>0</v>
      </c>
      <c r="AR184" s="234">
        <f>AS184</f>
        <v>0</v>
      </c>
      <c r="AS184" s="111">
        <v>0</v>
      </c>
      <c r="AT184" s="234">
        <f>AU184</f>
        <v>0</v>
      </c>
      <c r="AU184" s="111">
        <v>0</v>
      </c>
      <c r="AV184" s="234">
        <f>AW184</f>
        <v>0</v>
      </c>
      <c r="AW184" s="111">
        <f>AX184+AY184+AZ184+BA184+BB184</f>
        <v>0</v>
      </c>
      <c r="AX184" s="111">
        <v>0</v>
      </c>
      <c r="AY184" s="111">
        <v>0</v>
      </c>
      <c r="AZ184" s="111">
        <v>0</v>
      </c>
      <c r="BA184" s="111">
        <v>0</v>
      </c>
      <c r="BB184" s="111">
        <v>0</v>
      </c>
      <c r="BC184" s="111">
        <v>0</v>
      </c>
      <c r="BD184" s="234">
        <f>BE184</f>
        <v>18757</v>
      </c>
      <c r="BE184" s="111">
        <f>U184+W184</f>
        <v>18757</v>
      </c>
      <c r="BF184" s="234">
        <f>BG184</f>
        <v>0</v>
      </c>
      <c r="BG184" s="111">
        <f>U184/1000</f>
        <v>0</v>
      </c>
      <c r="BH184" s="234">
        <f>BI184</f>
        <v>0</v>
      </c>
      <c r="BI184" s="111">
        <v>0</v>
      </c>
      <c r="BJ184" s="111">
        <f t="shared" si="59"/>
        <v>0</v>
      </c>
      <c r="BK184" s="129">
        <f>ROUND((Y184+AC184+AA184)/1000*3,0)+ROUND((AE184+AU184)/1000,0)+ROUND((ROUND(AH184/400,0))/2.67,0)+ROUND(AM184/250,0)+ROUND(AO184/15000,0)+ROUND((AX184+AY184+AZ184+BB184)/1000*3,0)+ROUND(BG184/25,0)+ROUND(BU70/50,0)</f>
        <v>56</v>
      </c>
      <c r="BL184" s="111">
        <v>0</v>
      </c>
      <c r="BM184" s="111">
        <v>0</v>
      </c>
      <c r="BN184" s="111">
        <v>0</v>
      </c>
      <c r="BO184" s="111">
        <f>AC184/1000</f>
        <v>0</v>
      </c>
      <c r="BP184" s="111">
        <f>AH184/1000</f>
        <v>0</v>
      </c>
      <c r="BQ184" s="111">
        <v>0</v>
      </c>
      <c r="BR184" s="111">
        <v>0</v>
      </c>
      <c r="BS184" s="111">
        <v>0</v>
      </c>
      <c r="BT184" s="234">
        <f>BU184</f>
        <v>0</v>
      </c>
      <c r="BU184" s="111">
        <f>SUM(BL184:BS184)</f>
        <v>0</v>
      </c>
      <c r="BV184" s="228">
        <v>15</v>
      </c>
      <c r="BW184" s="900" t="s">
        <v>741</v>
      </c>
      <c r="BX184" s="228">
        <v>7.2</v>
      </c>
      <c r="BY184" s="228">
        <v>2</v>
      </c>
      <c r="BZ184" s="228">
        <v>6.5</v>
      </c>
      <c r="CA184" s="901" t="s">
        <v>706</v>
      </c>
      <c r="CB184" s="230" t="s">
        <v>716</v>
      </c>
      <c r="CC184" s="399">
        <f>(BX184*G184)-CF184</f>
        <v>61537.85</v>
      </c>
      <c r="CD184" s="399">
        <v>61537.85</v>
      </c>
      <c r="CE184" s="234">
        <f>CF184</f>
        <v>8237.35</v>
      </c>
      <c r="CF184" s="836">
        <f>1*(G184)-(0.15*1*(G184))</f>
        <v>8237.35</v>
      </c>
      <c r="CG184" s="234">
        <f>CH184</f>
        <v>8237.35</v>
      </c>
      <c r="CH184" s="836">
        <f>CF184-CJ184</f>
        <v>8237.35</v>
      </c>
      <c r="CI184" s="234">
        <f>CJ184</f>
        <v>0</v>
      </c>
      <c r="CJ184" s="228">
        <v>0</v>
      </c>
      <c r="CK184" s="234">
        <f>CL184</f>
        <v>0</v>
      </c>
      <c r="CL184" s="228">
        <v>0</v>
      </c>
      <c r="CM184" s="234">
        <f>CN184</f>
        <v>8237.35</v>
      </c>
      <c r="CN184" s="903">
        <f>CF184-(CJ184+CL184+CO184+CP184+CR184+CU184+CV184+CX184)</f>
        <v>8237.35</v>
      </c>
      <c r="CO184" s="903">
        <v>0</v>
      </c>
      <c r="CP184" s="903">
        <v>0</v>
      </c>
      <c r="CQ184" s="234">
        <f>CR184</f>
        <v>0</v>
      </c>
      <c r="CR184" s="111">
        <v>0</v>
      </c>
      <c r="CS184" s="903">
        <v>0</v>
      </c>
      <c r="CT184" s="903">
        <v>0</v>
      </c>
      <c r="CU184" s="903">
        <v>0</v>
      </c>
      <c r="CV184" s="903">
        <v>0</v>
      </c>
      <c r="CW184" s="234">
        <f>CX184</f>
        <v>0</v>
      </c>
      <c r="CX184" s="111">
        <f>SUM(CY184:DC184)</f>
        <v>0</v>
      </c>
      <c r="CY184" s="903">
        <f>AX184</f>
        <v>0</v>
      </c>
      <c r="CZ184" s="903">
        <f>AY184</f>
        <v>0</v>
      </c>
      <c r="DA184" s="903">
        <f>AZ184</f>
        <v>0</v>
      </c>
      <c r="DB184" s="903">
        <f>BA184</f>
        <v>0</v>
      </c>
      <c r="DC184" s="903">
        <f>BB184</f>
        <v>0</v>
      </c>
      <c r="DD184" s="903"/>
      <c r="DE184" s="234">
        <f>DF184</f>
        <v>69775.199999999997</v>
      </c>
      <c r="DF184" s="903">
        <f>CC184+CF184</f>
        <v>69775.199999999997</v>
      </c>
      <c r="DG184" s="234">
        <f>DH184</f>
        <v>61.537849999999999</v>
      </c>
      <c r="DH184" s="904">
        <f>CC184/'[1]Projected Development Sites'!DF$134</f>
        <v>61.537849999999999</v>
      </c>
      <c r="DI184" s="886">
        <f>DJ184</f>
        <v>61.537849999999999</v>
      </c>
      <c r="DJ184" s="803">
        <f>'[1]Projected Development Sites'!DK$136*DH184</f>
        <v>61.537849999999999</v>
      </c>
      <c r="DK184" s="899">
        <f>2.87*DH184</f>
        <v>176.6136295</v>
      </c>
      <c r="DL184" s="772">
        <f>ROUND((CN184+CL184+CJ184)/1000*3,0)+ROUND((ROUND(CP184/400,0))/2.67,0)+ROUND(CV184/1000,0)+ROUND((CY184+CZ184+DA184+DC184)/1000*3,0)+ROUND(DH184/25,0)+ROUND(DX184/50,0)</f>
        <v>27</v>
      </c>
      <c r="DM184" s="905">
        <v>0</v>
      </c>
      <c r="DN184" s="905"/>
      <c r="DO184" s="905">
        <v>0</v>
      </c>
      <c r="DP184" s="905">
        <f>0.25*DJ184</f>
        <v>15.3844625</v>
      </c>
      <c r="DQ184" s="905">
        <f>SUM(CO184,CJ184,CN184,CR184,CU184)/1000</f>
        <v>8.2373500000000011</v>
      </c>
      <c r="DR184" s="905">
        <f>CL184/1000</f>
        <v>0</v>
      </c>
      <c r="DS184" s="905">
        <f>((CP184/400)/12)</f>
        <v>0</v>
      </c>
      <c r="DT184" s="905">
        <f>IF(CX184&gt;0,"Calculate",0)</f>
        <v>0</v>
      </c>
      <c r="DU184" s="905">
        <v>0</v>
      </c>
      <c r="DV184" s="905">
        <f>CX184/1000</f>
        <v>0</v>
      </c>
      <c r="DW184" s="886">
        <f>DX184</f>
        <v>8.2373500000000011</v>
      </c>
      <c r="DX184" s="906">
        <f>SUM(DM184,DO184,DQ184:DV184)</f>
        <v>8.2373500000000011</v>
      </c>
      <c r="DY184" s="837">
        <v>145</v>
      </c>
      <c r="DZ184" s="2288">
        <f>CD184-T184</f>
        <v>61537.85</v>
      </c>
      <c r="EA184" s="2231">
        <f>CE184-V184</f>
        <v>-10519.65</v>
      </c>
      <c r="EB184" s="187">
        <f>CF184-W184</f>
        <v>-10519.65</v>
      </c>
      <c r="EC184" s="235">
        <f>ED184</f>
        <v>-4141.6499999999996</v>
      </c>
      <c r="ED184" s="187">
        <v>-4141.6499999999996</v>
      </c>
      <c r="EE184" s="187">
        <f>(SUM(CJ184:CO184))-(SUM(AA184:AE184,AL184))</f>
        <v>4095.7000000000007</v>
      </c>
      <c r="EF184" s="235">
        <f>EG184</f>
        <v>-4141.6499999999996</v>
      </c>
      <c r="EG184" s="187">
        <v>-4141.6499999999996</v>
      </c>
      <c r="EH184" s="235">
        <f>EI184</f>
        <v>0</v>
      </c>
      <c r="EI184" s="187">
        <f>CL184-AC184</f>
        <v>0</v>
      </c>
      <c r="EJ184" s="235">
        <f>EK184</f>
        <v>0</v>
      </c>
      <c r="EK184" s="187">
        <f>CJ184-AA184</f>
        <v>0</v>
      </c>
      <c r="EL184" s="235">
        <f>EM184</f>
        <v>0</v>
      </c>
      <c r="EM184" s="245">
        <f>CO184-AE184</f>
        <v>0</v>
      </c>
      <c r="EN184" s="235">
        <f>EO184</f>
        <v>0</v>
      </c>
      <c r="EO184" s="245">
        <f>CP184-AH184</f>
        <v>0</v>
      </c>
      <c r="EP184" s="235">
        <f>EQ184</f>
        <v>-6378</v>
      </c>
      <c r="EQ184" s="187">
        <f>CR184-AJ184</f>
        <v>-6378</v>
      </c>
      <c r="ER184" s="235">
        <f>ES184</f>
        <v>0</v>
      </c>
      <c r="ES184" s="187">
        <f>CS184-AO184</f>
        <v>0</v>
      </c>
      <c r="ET184" s="235">
        <f>EU184</f>
        <v>0</v>
      </c>
      <c r="EU184" s="187">
        <f t="shared" si="57"/>
        <v>0</v>
      </c>
      <c r="EV184" s="235">
        <f>EW184</f>
        <v>0</v>
      </c>
      <c r="EW184" s="187">
        <f>CU184-AS184</f>
        <v>0</v>
      </c>
      <c r="EX184" s="235">
        <f>EY184</f>
        <v>0</v>
      </c>
      <c r="EY184" s="245">
        <f>CV184-AU184</f>
        <v>0</v>
      </c>
      <c r="EZ184" s="235">
        <f>FA184</f>
        <v>0</v>
      </c>
      <c r="FA184" s="245">
        <f>CY184-AX184</f>
        <v>0</v>
      </c>
      <c r="FB184" s="235">
        <f>FC184</f>
        <v>0</v>
      </c>
      <c r="FC184" s="245">
        <f>CZ184-AY184</f>
        <v>0</v>
      </c>
      <c r="FD184" s="235">
        <f>FE184</f>
        <v>0</v>
      </c>
      <c r="FE184" s="245">
        <f>DA184-AZ184</f>
        <v>0</v>
      </c>
      <c r="FF184" s="235">
        <f>FG184</f>
        <v>0</v>
      </c>
      <c r="FG184" s="245">
        <f>DB184-BA184</f>
        <v>0</v>
      </c>
      <c r="FH184" s="235">
        <f>FI184</f>
        <v>0</v>
      </c>
      <c r="FI184" s="245">
        <f>DC184-BB184</f>
        <v>0</v>
      </c>
      <c r="FJ184" s="235">
        <f>FK184</f>
        <v>0</v>
      </c>
      <c r="FK184" s="245">
        <f>CX184-AW184</f>
        <v>0</v>
      </c>
      <c r="FL184" s="235">
        <f>FM184</f>
        <v>51018.2</v>
      </c>
      <c r="FM184" s="187">
        <f>DF184-BE184</f>
        <v>51018.2</v>
      </c>
      <c r="FN184" s="235">
        <f>FO184</f>
        <v>61.537849999999999</v>
      </c>
      <c r="FO184" s="187">
        <f>DH184-BG184</f>
        <v>61.537849999999999</v>
      </c>
      <c r="FP184" s="235">
        <f>FQ184</f>
        <v>61.537849999999999</v>
      </c>
      <c r="FQ184" s="187">
        <f>DJ184-BI184</f>
        <v>61.537849999999999</v>
      </c>
      <c r="FR184" s="245">
        <f>DK184-BJ184</f>
        <v>176.6136295</v>
      </c>
      <c r="FS184" s="245">
        <f>DL184-BK184</f>
        <v>-29</v>
      </c>
      <c r="FT184" s="907">
        <f>DM184-BL184</f>
        <v>0</v>
      </c>
      <c r="FU184" s="907">
        <f>DR184-BO184</f>
        <v>0</v>
      </c>
      <c r="FV184" s="907">
        <f>DO184-BM184</f>
        <v>0</v>
      </c>
      <c r="FW184" s="907">
        <f>DQ184-BN184</f>
        <v>8.2373500000000011</v>
      </c>
      <c r="FX184" s="907">
        <f>DS184-BP184</f>
        <v>0</v>
      </c>
      <c r="FY184" s="907">
        <f>DT184-BQ184</f>
        <v>0</v>
      </c>
      <c r="FZ184" s="907">
        <f>DU184-BR184</f>
        <v>0</v>
      </c>
      <c r="GA184" s="907">
        <f>DV184-BS184</f>
        <v>0</v>
      </c>
      <c r="GB184" s="894">
        <f>GC184</f>
        <v>8.2373500000000011</v>
      </c>
      <c r="GC184" s="776">
        <f t="shared" si="58"/>
        <v>8.2373500000000011</v>
      </c>
      <c r="GD184" s="139"/>
      <c r="GE184" s="139"/>
      <c r="GF184" s="139"/>
      <c r="GG184" s="139"/>
      <c r="GH184" s="139"/>
      <c r="GI184" s="139"/>
      <c r="GJ184" s="139"/>
      <c r="GK184" s="139"/>
      <c r="GL184" s="139"/>
      <c r="GM184" s="139"/>
      <c r="GN184" s="139"/>
      <c r="GO184" s="139"/>
      <c r="GP184" s="139"/>
      <c r="GQ184" s="139"/>
      <c r="GR184" s="139"/>
      <c r="GS184" s="139"/>
      <c r="GT184" s="139"/>
    </row>
    <row r="185" spans="1:202" s="139" customFormat="1" ht="18.75">
      <c r="A185" s="2263"/>
      <c r="B185" s="2263"/>
      <c r="C185" s="132"/>
      <c r="D185" s="132"/>
      <c r="E185" s="132"/>
      <c r="F185" s="777"/>
      <c r="G185" s="132"/>
      <c r="H185" s="135"/>
      <c r="I185" s="136"/>
      <c r="J185" s="132"/>
      <c r="K185" s="132"/>
      <c r="L185" s="132"/>
      <c r="M185" s="132"/>
      <c r="N185" s="134"/>
      <c r="O185" s="134"/>
      <c r="P185" s="134"/>
      <c r="Q185" s="134"/>
      <c r="R185" s="137"/>
      <c r="S185" s="778"/>
      <c r="T185" s="634"/>
      <c r="U185" s="102"/>
      <c r="V185" s="634"/>
      <c r="W185" s="102"/>
      <c r="X185" s="102"/>
      <c r="Y185" s="102"/>
      <c r="Z185" s="634"/>
      <c r="AA185" s="102"/>
      <c r="AB185" s="634"/>
      <c r="AC185" s="102"/>
      <c r="AD185" s="634"/>
      <c r="AE185" s="102"/>
      <c r="AF185" s="102"/>
      <c r="AG185" s="102"/>
      <c r="AH185" s="102"/>
      <c r="AI185" s="634"/>
      <c r="AJ185" s="102"/>
      <c r="AK185" s="634"/>
      <c r="AL185" s="102"/>
      <c r="AM185" s="779"/>
      <c r="AN185" s="634"/>
      <c r="AO185" s="102"/>
      <c r="AP185" s="634"/>
      <c r="AQ185" s="102"/>
      <c r="AR185" s="634"/>
      <c r="AS185" s="102"/>
      <c r="AT185" s="634"/>
      <c r="AU185" s="102"/>
      <c r="AV185" s="634"/>
      <c r="AW185" s="102"/>
      <c r="AX185" s="102"/>
      <c r="AY185" s="102"/>
      <c r="AZ185" s="102"/>
      <c r="BA185" s="102"/>
      <c r="BB185" s="102"/>
      <c r="BC185" s="102"/>
      <c r="BD185" s="634"/>
      <c r="BE185" s="102"/>
      <c r="BF185" s="634"/>
      <c r="BG185" s="102"/>
      <c r="BH185" s="634"/>
      <c r="BI185" s="102"/>
      <c r="BJ185" s="111"/>
      <c r="BK185" s="306"/>
      <c r="BL185" s="102"/>
      <c r="BM185" s="102"/>
      <c r="BN185" s="102"/>
      <c r="BO185" s="102"/>
      <c r="BP185" s="102"/>
      <c r="BQ185" s="102"/>
      <c r="BR185" s="102"/>
      <c r="BS185" s="102"/>
      <c r="BT185" s="634"/>
      <c r="BU185" s="102"/>
      <c r="BW185" s="780"/>
      <c r="CA185" s="781"/>
      <c r="CB185" s="2258"/>
      <c r="CC185" s="782"/>
      <c r="CD185" s="782"/>
      <c r="CE185" s="634"/>
      <c r="CF185" s="783"/>
      <c r="CG185" s="634"/>
      <c r="CH185" s="783"/>
      <c r="CI185" s="634"/>
      <c r="CK185" s="634"/>
      <c r="CM185" s="634"/>
      <c r="CN185" s="784"/>
      <c r="CO185" s="784"/>
      <c r="CP185" s="784"/>
      <c r="CQ185" s="634"/>
      <c r="CR185" s="102"/>
      <c r="CS185" s="784"/>
      <c r="CT185" s="784"/>
      <c r="CU185" s="784"/>
      <c r="CV185" s="784"/>
      <c r="CW185" s="634"/>
      <c r="CX185" s="102"/>
      <c r="CY185" s="784"/>
      <c r="CZ185" s="784"/>
      <c r="DA185" s="784"/>
      <c r="DB185" s="784"/>
      <c r="DC185" s="784"/>
      <c r="DD185" s="784"/>
      <c r="DE185" s="634"/>
      <c r="DF185" s="784"/>
      <c r="DG185" s="634"/>
      <c r="DH185" s="296"/>
      <c r="DI185" s="802"/>
      <c r="DJ185" s="785"/>
      <c r="DK185" s="899"/>
      <c r="DL185" s="772"/>
      <c r="DM185" s="787"/>
      <c r="DN185" s="787"/>
      <c r="DO185" s="787"/>
      <c r="DP185" s="787"/>
      <c r="DQ185" s="787"/>
      <c r="DR185" s="787"/>
      <c r="DS185" s="787"/>
      <c r="DT185" s="787"/>
      <c r="DU185" s="787"/>
      <c r="DV185" s="787"/>
      <c r="DW185" s="802"/>
      <c r="DX185" s="788"/>
      <c r="DY185" s="634"/>
      <c r="DZ185" s="2288"/>
      <c r="EA185" s="2231"/>
      <c r="EB185" s="187"/>
      <c r="EC185" s="2232"/>
      <c r="ED185" s="187"/>
      <c r="EE185" s="187"/>
      <c r="EF185" s="2232"/>
      <c r="EG185" s="187"/>
      <c r="EH185" s="2232"/>
      <c r="EI185" s="187"/>
      <c r="EJ185" s="2232"/>
      <c r="EK185" s="187"/>
      <c r="EL185" s="2232"/>
      <c r="EM185" s="195"/>
      <c r="EN185" s="2232"/>
      <c r="EO185" s="195"/>
      <c r="EP185" s="2232"/>
      <c r="EQ185" s="187"/>
      <c r="ER185" s="2232"/>
      <c r="ES185" s="187"/>
      <c r="ET185" s="2232"/>
      <c r="EU185" s="187">
        <f t="shared" si="57"/>
        <v>0</v>
      </c>
      <c r="EV185" s="2232"/>
      <c r="EW185" s="187"/>
      <c r="EX185" s="2232"/>
      <c r="EY185" s="195"/>
      <c r="EZ185" s="2232"/>
      <c r="FA185" s="195"/>
      <c r="FB185" s="2232"/>
      <c r="FC185" s="195"/>
      <c r="FD185" s="2232"/>
      <c r="FE185" s="195"/>
      <c r="FF185" s="2232"/>
      <c r="FG185" s="195"/>
      <c r="FH185" s="2232"/>
      <c r="FI185" s="195"/>
      <c r="FJ185" s="2232"/>
      <c r="FK185" s="195"/>
      <c r="FL185" s="2232"/>
      <c r="FM185" s="187"/>
      <c r="FN185" s="2232"/>
      <c r="FO185" s="187"/>
      <c r="FP185" s="2232"/>
      <c r="FQ185" s="187"/>
      <c r="FR185" s="195"/>
      <c r="FS185" s="195"/>
      <c r="FT185" s="789"/>
      <c r="FU185" s="789"/>
      <c r="FV185" s="789"/>
      <c r="FW185" s="789"/>
      <c r="FX185" s="789"/>
      <c r="FY185" s="789"/>
      <c r="FZ185" s="789"/>
      <c r="GA185" s="789"/>
      <c r="GB185" s="2286"/>
      <c r="GC185" s="776"/>
    </row>
    <row r="186" spans="1:202" s="127" customFormat="1" ht="15" customHeight="1">
      <c r="A186" s="2588"/>
      <c r="B186" s="2588">
        <v>67</v>
      </c>
      <c r="C186" s="115" t="s">
        <v>703</v>
      </c>
      <c r="D186" s="115">
        <v>2842</v>
      </c>
      <c r="E186" s="115">
        <v>42</v>
      </c>
      <c r="F186" s="763">
        <v>2028420042</v>
      </c>
      <c r="G186" s="115">
        <v>12447</v>
      </c>
      <c r="H186" s="118" t="s">
        <v>753</v>
      </c>
      <c r="I186" s="119"/>
      <c r="J186" s="115">
        <v>2.94</v>
      </c>
      <c r="K186" s="115">
        <v>4</v>
      </c>
      <c r="L186" s="115">
        <v>3.4</v>
      </c>
      <c r="M186" s="115">
        <v>6.5</v>
      </c>
      <c r="N186" s="117">
        <v>36605</v>
      </c>
      <c r="O186" s="117">
        <v>0</v>
      </c>
      <c r="P186" s="117">
        <v>0</v>
      </c>
      <c r="Q186" s="117">
        <v>36605</v>
      </c>
      <c r="R186" s="120">
        <v>0</v>
      </c>
      <c r="S186" s="764" t="s">
        <v>637</v>
      </c>
      <c r="T186" s="2600">
        <f>SUM(U186:U187)</f>
        <v>0</v>
      </c>
      <c r="U186" s="122">
        <v>0</v>
      </c>
      <c r="V186" s="2600">
        <f>SUM(W186:W187)</f>
        <v>46405</v>
      </c>
      <c r="W186" s="122">
        <f>N186</f>
        <v>36605</v>
      </c>
      <c r="X186" s="122"/>
      <c r="Y186" s="122">
        <f>W186-AA186</f>
        <v>36605</v>
      </c>
      <c r="Z186" s="2600">
        <f>SUM(AA186:AA187)</f>
        <v>0</v>
      </c>
      <c r="AA186" s="122">
        <v>0</v>
      </c>
      <c r="AB186" s="2600">
        <f>SUM(AC186:AC187)</f>
        <v>0</v>
      </c>
      <c r="AC186" s="122">
        <v>0</v>
      </c>
      <c r="AD186" s="2600">
        <f>SUM(AE186:AE187)</f>
        <v>0</v>
      </c>
      <c r="AE186" s="122">
        <f>AG186+AF186</f>
        <v>0</v>
      </c>
      <c r="AF186" s="122">
        <v>0</v>
      </c>
      <c r="AG186" s="122">
        <v>0</v>
      </c>
      <c r="AH186" s="122">
        <v>0</v>
      </c>
      <c r="AI186" s="2600">
        <f>SUM(AJ186:AJ187)</f>
        <v>0</v>
      </c>
      <c r="AJ186" s="122">
        <v>0</v>
      </c>
      <c r="AK186" s="2600">
        <f>SUM(AL186:AL187)</f>
        <v>44445</v>
      </c>
      <c r="AL186" s="122">
        <f>W186-(AA186+AC186+AE186+AH186+AJ186+AM186+AW186+AO186+AQ186+AS186+AU186)</f>
        <v>36605</v>
      </c>
      <c r="AM186" s="765">
        <v>0</v>
      </c>
      <c r="AN186" s="2600">
        <f>SUM(AO186:AO187)</f>
        <v>0</v>
      </c>
      <c r="AO186" s="122">
        <v>0</v>
      </c>
      <c r="AP186" s="2600">
        <f>SUM(AQ186:AQ187)</f>
        <v>0</v>
      </c>
      <c r="AQ186" s="122">
        <v>0</v>
      </c>
      <c r="AR186" s="2600">
        <f>SUM(AS186:AS187)</f>
        <v>0</v>
      </c>
      <c r="AS186" s="122">
        <v>0</v>
      </c>
      <c r="AT186" s="2600">
        <f>SUM(AU186:AU187)</f>
        <v>0</v>
      </c>
      <c r="AU186" s="122">
        <v>0</v>
      </c>
      <c r="AV186" s="2600">
        <f>SUM(AW186:AW187)</f>
        <v>1960</v>
      </c>
      <c r="AW186" s="122">
        <f>AX186+AY186+AZ186+BA186+BB186</f>
        <v>0</v>
      </c>
      <c r="AX186" s="122">
        <v>0</v>
      </c>
      <c r="AY186" s="122">
        <v>0</v>
      </c>
      <c r="AZ186" s="122">
        <v>0</v>
      </c>
      <c r="BA186" s="122">
        <v>0</v>
      </c>
      <c r="BB186" s="122">
        <v>0</v>
      </c>
      <c r="BC186" s="122">
        <v>0</v>
      </c>
      <c r="BD186" s="2600">
        <f>SUM(BE186:BE187)</f>
        <v>46405</v>
      </c>
      <c r="BE186" s="122">
        <f>U186+W186</f>
        <v>36605</v>
      </c>
      <c r="BF186" s="2600">
        <f>SUM(BG186:BG187)</f>
        <v>0</v>
      </c>
      <c r="BG186" s="122">
        <f>U186/1000</f>
        <v>0</v>
      </c>
      <c r="BH186" s="2600">
        <f>SUM(BI186:BI187)</f>
        <v>0</v>
      </c>
      <c r="BI186" s="122">
        <v>0</v>
      </c>
      <c r="BJ186" s="122">
        <f t="shared" si="59"/>
        <v>0</v>
      </c>
      <c r="BK186" s="129">
        <f>ROUND((Y186+AC186+AA186)/1000*3,0)+ROUND((AE186+AU186)/1000,0)+ROUND((ROUND(AH186/400,0))/2.67,0)+ROUND(AM186/250,0)+ROUND(AO186/15000,0)+ROUND((AX186+AY186+AZ186+BB186)/1000*3,0)+ROUND(BG186/25,0)+ROUND(BU72/50,0)</f>
        <v>110</v>
      </c>
      <c r="BL186" s="122">
        <v>0</v>
      </c>
      <c r="BM186" s="122">
        <v>0</v>
      </c>
      <c r="BN186" s="122">
        <v>0</v>
      </c>
      <c r="BO186" s="122">
        <f>AC186/1000</f>
        <v>0</v>
      </c>
      <c r="BP186" s="122">
        <f>AH186/1000</f>
        <v>0</v>
      </c>
      <c r="BQ186" s="122">
        <v>0</v>
      </c>
      <c r="BR186" s="122">
        <v>0</v>
      </c>
      <c r="BS186" s="122">
        <v>0</v>
      </c>
      <c r="BT186" s="2600">
        <f>SUM(BU186:BU187)</f>
        <v>0</v>
      </c>
      <c r="BU186" s="122">
        <f>SUM(BL186:BS186)</f>
        <v>0</v>
      </c>
      <c r="BV186" s="127">
        <v>46</v>
      </c>
      <c r="BW186" s="766" t="s">
        <v>741</v>
      </c>
      <c r="BX186" s="127">
        <v>7.2</v>
      </c>
      <c r="BY186" s="127">
        <v>2</v>
      </c>
      <c r="BZ186" s="127">
        <v>6.5</v>
      </c>
      <c r="CA186" s="767" t="s">
        <v>706</v>
      </c>
      <c r="CB186" s="2745" t="s">
        <v>890</v>
      </c>
      <c r="CC186" s="768">
        <f>(BX186*G186)-CF186</f>
        <v>79038.450000000012</v>
      </c>
      <c r="CD186" s="2731">
        <f>SUM(CC186:CC187)</f>
        <v>141744.70000000001</v>
      </c>
      <c r="CE186" s="2600">
        <f>SUM(CF186:CF187)</f>
        <v>18973.7</v>
      </c>
      <c r="CF186" s="838">
        <f>1*(G186)-(0.15*1*(G186))</f>
        <v>10579.95</v>
      </c>
      <c r="CG186" s="2600">
        <f>SUM(CH186:CH187)</f>
        <v>18973.7</v>
      </c>
      <c r="CH186" s="838">
        <f>CF186-CJ186</f>
        <v>10579.95</v>
      </c>
      <c r="CI186" s="2600">
        <f>SUM(CJ186:CJ187)</f>
        <v>0</v>
      </c>
      <c r="CJ186" s="127">
        <v>0</v>
      </c>
      <c r="CK186" s="2600">
        <f>SUM(CL186:CL187)</f>
        <v>0</v>
      </c>
      <c r="CL186" s="127">
        <v>0</v>
      </c>
      <c r="CM186" s="2600">
        <f>SUM(CN186:CN187)</f>
        <v>17013.7</v>
      </c>
      <c r="CN186" s="122">
        <f>CF186-(CJ186+CL186+CO186+CP186+CR186+CU186+CV186+CX186)</f>
        <v>10579.95</v>
      </c>
      <c r="CO186" s="770">
        <v>0</v>
      </c>
      <c r="CP186" s="770">
        <v>0</v>
      </c>
      <c r="CQ186" s="2600">
        <f>SUM(CR186:CR187)</f>
        <v>0</v>
      </c>
      <c r="CR186" s="122">
        <v>0</v>
      </c>
      <c r="CS186" s="770">
        <v>0</v>
      </c>
      <c r="CT186" s="770">
        <v>0</v>
      </c>
      <c r="CU186" s="770">
        <v>0</v>
      </c>
      <c r="CV186" s="770">
        <v>0</v>
      </c>
      <c r="CW186" s="2600">
        <f>SUM(CX186:CX187)</f>
        <v>1960</v>
      </c>
      <c r="CX186" s="122">
        <f>SUM(CY186:DC186)</f>
        <v>0</v>
      </c>
      <c r="CY186" s="770">
        <f t="shared" ref="CY186:DC187" si="115">AX186</f>
        <v>0</v>
      </c>
      <c r="CZ186" s="770">
        <f t="shared" si="115"/>
        <v>0</v>
      </c>
      <c r="DA186" s="770">
        <f t="shared" si="115"/>
        <v>0</v>
      </c>
      <c r="DB186" s="770">
        <f t="shared" si="115"/>
        <v>0</v>
      </c>
      <c r="DC186" s="770">
        <f t="shared" si="115"/>
        <v>0</v>
      </c>
      <c r="DD186" s="770"/>
      <c r="DE186" s="2600">
        <f>SUM(DF186:DF187)</f>
        <v>160718.40000000002</v>
      </c>
      <c r="DF186" s="770">
        <f>CC186+CF186</f>
        <v>89618.400000000009</v>
      </c>
      <c r="DG186" s="2600">
        <f>SUM(DH186:DH187)</f>
        <v>141.74470000000002</v>
      </c>
      <c r="DH186" s="293">
        <f>CC186/'[1]Projected Development Sites'!DF$134</f>
        <v>79.038450000000012</v>
      </c>
      <c r="DI186" s="2722">
        <f>SUM(DJ186:DJ187)</f>
        <v>141.74470000000002</v>
      </c>
      <c r="DJ186" s="771">
        <f>'[1]Projected Development Sites'!DK$136*DH186</f>
        <v>79.038450000000012</v>
      </c>
      <c r="DK186" s="765">
        <f>2.87*DH186</f>
        <v>226.84035150000005</v>
      </c>
      <c r="DL186" s="772">
        <f>ROUND((CN186+CL186+CJ186)/1000*3,0)+ROUND((ROUND(CP186/400,0))/2.67,0)+ROUND(CV186/1000,0)+ROUND((CY186+CZ186+DA186+DC186)/1000*3,0)+ROUND(DH186/25,0)+ROUND(DX186/50,0)</f>
        <v>35</v>
      </c>
      <c r="DM186" s="773">
        <v>0</v>
      </c>
      <c r="DN186" s="773"/>
      <c r="DO186" s="773">
        <v>0</v>
      </c>
      <c r="DP186" s="773">
        <f>0.25*DJ186</f>
        <v>19.759612500000003</v>
      </c>
      <c r="DQ186" s="773">
        <f>SUM(CO186,CJ186,CN186,CR186,CU186)/1000</f>
        <v>10.57995</v>
      </c>
      <c r="DR186" s="773">
        <f>CL186/1000</f>
        <v>0</v>
      </c>
      <c r="DS186" s="773">
        <f>((CP186/400)/12)</f>
        <v>0</v>
      </c>
      <c r="DT186" s="773">
        <f>IF(CX186&gt;0,"Calculate",0)</f>
        <v>0</v>
      </c>
      <c r="DU186" s="773">
        <v>0</v>
      </c>
      <c r="DV186" s="773">
        <f>CX186/1000</f>
        <v>0</v>
      </c>
      <c r="DW186" s="2722">
        <f>SUM(DX186:DX187)</f>
        <v>18.973700000000001</v>
      </c>
      <c r="DX186" s="774">
        <f>SUM(DM186,DO186,DQ186:DV186)</f>
        <v>10.57995</v>
      </c>
      <c r="DY186" s="2725">
        <v>145</v>
      </c>
      <c r="DZ186" s="2728">
        <f>CD186-T186</f>
        <v>141744.70000000001</v>
      </c>
      <c r="EA186" s="2602">
        <f>CE186-V186</f>
        <v>-27431.3</v>
      </c>
      <c r="EB186" s="187">
        <f>CF186-W186</f>
        <v>-26025.05</v>
      </c>
      <c r="EC186" s="2602">
        <f>SUM(ED186:ED187)</f>
        <v>-27431.3</v>
      </c>
      <c r="ED186" s="187">
        <v>-26025.05</v>
      </c>
      <c r="EE186" s="187">
        <f>(SUM(CJ186:CO186))-(SUM(AA186:AE186,AL186))</f>
        <v>-9011.3499999999985</v>
      </c>
      <c r="EF186" s="2602">
        <f>SUM(EG186:EG187)</f>
        <v>-27431.3</v>
      </c>
      <c r="EG186" s="187">
        <v>-26025.05</v>
      </c>
      <c r="EH186" s="2602">
        <f>SUM(EI186:EI187)</f>
        <v>0</v>
      </c>
      <c r="EI186" s="187">
        <f>CL186-AC186</f>
        <v>0</v>
      </c>
      <c r="EJ186" s="2602">
        <f>SUM(EK186:EK187)</f>
        <v>0</v>
      </c>
      <c r="EK186" s="187">
        <f>CJ186-AA186</f>
        <v>0</v>
      </c>
      <c r="EL186" s="2602">
        <f>SUM(EM186:EM187)</f>
        <v>0</v>
      </c>
      <c r="EM186" s="187">
        <f>CO186-AE186</f>
        <v>0</v>
      </c>
      <c r="EN186" s="2602">
        <f>SUM(EO186:EO187)</f>
        <v>0</v>
      </c>
      <c r="EO186" s="187">
        <f>CP186-AH186</f>
        <v>0</v>
      </c>
      <c r="EP186" s="2602">
        <f>SUM(EQ186:EQ187)</f>
        <v>0</v>
      </c>
      <c r="EQ186" s="187">
        <f>CR186-AJ186</f>
        <v>0</v>
      </c>
      <c r="ER186" s="2602">
        <f>SUM(ES186:ES187)</f>
        <v>0</v>
      </c>
      <c r="ES186" s="187">
        <f>CS186-AO186</f>
        <v>0</v>
      </c>
      <c r="ET186" s="2602">
        <f>SUM(EU186:EU187)</f>
        <v>0</v>
      </c>
      <c r="EU186" s="187">
        <f t="shared" si="57"/>
        <v>0</v>
      </c>
      <c r="EV186" s="2602">
        <f>SUM(EW186:EW187)</f>
        <v>0</v>
      </c>
      <c r="EW186" s="187">
        <f>CU186-AS186</f>
        <v>0</v>
      </c>
      <c r="EX186" s="2602">
        <f>SUM(EY186:EY187)</f>
        <v>0</v>
      </c>
      <c r="EY186" s="187">
        <f>CV186-AU186</f>
        <v>0</v>
      </c>
      <c r="EZ186" s="2602">
        <f>SUM(FA186:FA187)</f>
        <v>0</v>
      </c>
      <c r="FA186" s="187">
        <f>CY186-AX186</f>
        <v>0</v>
      </c>
      <c r="FB186" s="2602">
        <f>SUM(FC186:FC187)</f>
        <v>0</v>
      </c>
      <c r="FC186" s="187">
        <f>CZ186-AY186</f>
        <v>0</v>
      </c>
      <c r="FD186" s="2602">
        <f>SUM(FE186:FE187)</f>
        <v>0</v>
      </c>
      <c r="FE186" s="187">
        <f>DA186-AZ186</f>
        <v>0</v>
      </c>
      <c r="FF186" s="2602">
        <f>SUM(FG186:FG187)</f>
        <v>0</v>
      </c>
      <c r="FG186" s="187">
        <f>DB186-BA186</f>
        <v>0</v>
      </c>
      <c r="FH186" s="2602">
        <f>SUM(FI186:FI187)</f>
        <v>0</v>
      </c>
      <c r="FI186" s="187">
        <f>DC186-BB186</f>
        <v>0</v>
      </c>
      <c r="FJ186" s="2602">
        <f>SUM(FK186:FK187)</f>
        <v>0</v>
      </c>
      <c r="FK186" s="187">
        <f>CX186-AW186</f>
        <v>0</v>
      </c>
      <c r="FL186" s="2602">
        <f>SUM(FM186:FM187)</f>
        <v>114313.40000000001</v>
      </c>
      <c r="FM186" s="187">
        <f>DF186-BE186</f>
        <v>53013.400000000009</v>
      </c>
      <c r="FN186" s="2602">
        <f>SUM(FO186:FO187)</f>
        <v>141.74470000000002</v>
      </c>
      <c r="FO186" s="187">
        <f>DH186-BG186</f>
        <v>79.038450000000012</v>
      </c>
      <c r="FP186" s="2602">
        <f>SUM(FQ186:FQ187)</f>
        <v>141.74470000000002</v>
      </c>
      <c r="FQ186" s="187">
        <f t="shared" ref="FQ186:FT187" si="116">DJ186-BI186</f>
        <v>79.038450000000012</v>
      </c>
      <c r="FR186" s="187">
        <f t="shared" si="116"/>
        <v>226.84035150000005</v>
      </c>
      <c r="FS186" s="187">
        <f t="shared" si="116"/>
        <v>-75</v>
      </c>
      <c r="FT186" s="775">
        <f t="shared" si="116"/>
        <v>0</v>
      </c>
      <c r="FU186" s="775">
        <f>DR186-BO186</f>
        <v>0</v>
      </c>
      <c r="FV186" s="775">
        <f>DO186-BM186</f>
        <v>0</v>
      </c>
      <c r="FW186" s="775">
        <f>DQ186-BN186</f>
        <v>10.57995</v>
      </c>
      <c r="FX186" s="775">
        <f t="shared" ref="FX186:GA187" si="117">DS186-BP186</f>
        <v>0</v>
      </c>
      <c r="FY186" s="775">
        <f t="shared" si="117"/>
        <v>0</v>
      </c>
      <c r="FZ186" s="775">
        <f t="shared" si="117"/>
        <v>0</v>
      </c>
      <c r="GA186" s="775">
        <f t="shared" si="117"/>
        <v>0</v>
      </c>
      <c r="GB186" s="2734">
        <f>SUM(GC186:GC187)</f>
        <v>18.973700000000001</v>
      </c>
      <c r="GC186" s="776">
        <f t="shared" si="58"/>
        <v>10.57995</v>
      </c>
      <c r="GD186" s="139"/>
      <c r="GE186" s="139"/>
      <c r="GF186" s="139"/>
      <c r="GG186" s="139"/>
      <c r="GH186" s="139"/>
      <c r="GI186" s="139"/>
      <c r="GJ186" s="139"/>
      <c r="GK186" s="139"/>
      <c r="GL186" s="139"/>
      <c r="GM186" s="139"/>
      <c r="GN186" s="139"/>
      <c r="GO186" s="139"/>
      <c r="GP186" s="139"/>
      <c r="GQ186" s="139"/>
      <c r="GR186" s="139"/>
      <c r="GS186" s="139"/>
      <c r="GT186" s="139"/>
    </row>
    <row r="187" spans="1:202" s="81" customFormat="1" ht="15" customHeight="1">
      <c r="A187" s="2589"/>
      <c r="B187" s="2589"/>
      <c r="C187" s="66" t="s">
        <v>710</v>
      </c>
      <c r="D187" s="66">
        <v>2842</v>
      </c>
      <c r="E187" s="66">
        <v>47</v>
      </c>
      <c r="F187" s="841">
        <v>2028420047</v>
      </c>
      <c r="G187" s="66">
        <v>9875</v>
      </c>
      <c r="H187" s="69" t="s">
        <v>753</v>
      </c>
      <c r="I187" s="70"/>
      <c r="J187" s="66">
        <v>0.99</v>
      </c>
      <c r="K187" s="66">
        <v>3.44</v>
      </c>
      <c r="L187" s="66">
        <v>4</v>
      </c>
      <c r="M187" s="66">
        <v>6.5</v>
      </c>
      <c r="N187" s="68">
        <v>9800</v>
      </c>
      <c r="O187" s="68">
        <v>0</v>
      </c>
      <c r="P187" s="68">
        <v>0</v>
      </c>
      <c r="Q187" s="68">
        <v>9800</v>
      </c>
      <c r="R187" s="71">
        <v>0</v>
      </c>
      <c r="S187" s="791" t="s">
        <v>891</v>
      </c>
      <c r="T187" s="2601"/>
      <c r="U187" s="74">
        <v>0</v>
      </c>
      <c r="V187" s="2601"/>
      <c r="W187" s="74">
        <f>N187</f>
        <v>9800</v>
      </c>
      <c r="X187" s="74"/>
      <c r="Y187" s="74">
        <f>W187-AA187</f>
        <v>9800</v>
      </c>
      <c r="Z187" s="2601"/>
      <c r="AA187" s="74">
        <v>0</v>
      </c>
      <c r="AB187" s="2601"/>
      <c r="AC187" s="74">
        <v>0</v>
      </c>
      <c r="AD187" s="2601"/>
      <c r="AE187" s="74">
        <f>AG187+AF187</f>
        <v>0</v>
      </c>
      <c r="AF187" s="74">
        <v>0</v>
      </c>
      <c r="AG187" s="74">
        <v>0</v>
      </c>
      <c r="AH187" s="74">
        <v>0</v>
      </c>
      <c r="AI187" s="2601"/>
      <c r="AJ187" s="74">
        <v>0</v>
      </c>
      <c r="AK187" s="2601"/>
      <c r="AL187" s="74">
        <f>W187-(AA187+AC187+AE187+AH187+AJ187+AM187+AW187+AO187+AQ187+AS187+AU187)</f>
        <v>7840</v>
      </c>
      <c r="AM187" s="792">
        <v>0</v>
      </c>
      <c r="AN187" s="2601"/>
      <c r="AO187" s="74">
        <v>0</v>
      </c>
      <c r="AP187" s="2601"/>
      <c r="AQ187" s="74">
        <v>0</v>
      </c>
      <c r="AR187" s="2601"/>
      <c r="AS187" s="74">
        <v>0</v>
      </c>
      <c r="AT187" s="2601"/>
      <c r="AU187" s="74">
        <v>0</v>
      </c>
      <c r="AV187" s="2601"/>
      <c r="AW187" s="74">
        <f>AX187+AY187+AZ187+BA187+BB187</f>
        <v>1960</v>
      </c>
      <c r="AX187" s="74">
        <f>0.2*W187</f>
        <v>1960</v>
      </c>
      <c r="AY187" s="74">
        <v>0</v>
      </c>
      <c r="AZ187" s="74">
        <v>0</v>
      </c>
      <c r="BA187" s="74">
        <v>0</v>
      </c>
      <c r="BB187" s="74">
        <v>0</v>
      </c>
      <c r="BC187" s="74">
        <v>0</v>
      </c>
      <c r="BD187" s="2601"/>
      <c r="BE187" s="74">
        <f>U187+W187</f>
        <v>9800</v>
      </c>
      <c r="BF187" s="2601"/>
      <c r="BG187" s="74">
        <f>U187/1000</f>
        <v>0</v>
      </c>
      <c r="BH187" s="2601"/>
      <c r="BI187" s="74">
        <v>0</v>
      </c>
      <c r="BJ187" s="74">
        <f t="shared" si="59"/>
        <v>0</v>
      </c>
      <c r="BK187" s="88">
        <f>ROUND((Y187+AC187+AA187)/1000*3,0)+ROUND((AE187+AU187)/1000,0)+ROUND((ROUND(AH187/400,0))/2.67,0)+ROUND(AM187/250,0)+ROUND(AO187/15000,0)+ROUND((AX187+AY187+AZ187+BB187)/1000*3,0)+ROUND(BG187/25,0)+ROUND(BU242/50,0)</f>
        <v>35</v>
      </c>
      <c r="BL187" s="74">
        <v>0</v>
      </c>
      <c r="BM187" s="74">
        <v>0</v>
      </c>
      <c r="BN187" s="74">
        <v>0</v>
      </c>
      <c r="BO187" s="74">
        <f>AC187/1000</f>
        <v>0</v>
      </c>
      <c r="BP187" s="74">
        <f>AH187/1000</f>
        <v>0</v>
      </c>
      <c r="BQ187" s="74">
        <v>0</v>
      </c>
      <c r="BR187" s="74">
        <v>0</v>
      </c>
      <c r="BS187" s="74">
        <v>0</v>
      </c>
      <c r="BT187" s="2601"/>
      <c r="BU187" s="74">
        <f>SUM(BL187:BS187)</f>
        <v>0</v>
      </c>
      <c r="BW187" s="793" t="s">
        <v>741</v>
      </c>
      <c r="BX187" s="81">
        <v>7.2</v>
      </c>
      <c r="BY187" s="81">
        <v>2</v>
      </c>
      <c r="BZ187" s="81">
        <v>6.5</v>
      </c>
      <c r="CA187" s="794" t="s">
        <v>706</v>
      </c>
      <c r="CB187" s="2747"/>
      <c r="CC187" s="795">
        <f>(BX187*G187)-CF187</f>
        <v>62706.25</v>
      </c>
      <c r="CD187" s="2733"/>
      <c r="CE187" s="2601"/>
      <c r="CF187" s="796">
        <f>1*(G187)-(0.15*1*(G187))</f>
        <v>8393.75</v>
      </c>
      <c r="CG187" s="2601"/>
      <c r="CH187" s="796">
        <f>CF187-CJ187</f>
        <v>8393.75</v>
      </c>
      <c r="CI187" s="2601"/>
      <c r="CJ187" s="81">
        <v>0</v>
      </c>
      <c r="CK187" s="2601"/>
      <c r="CL187" s="81">
        <v>0</v>
      </c>
      <c r="CM187" s="2601"/>
      <c r="CN187" s="797">
        <f>CF187-(CJ187+CL187+CO187+CP187+CR187+CU187+CV187+CX187)</f>
        <v>6433.75</v>
      </c>
      <c r="CO187" s="797">
        <v>0</v>
      </c>
      <c r="CP187" s="797">
        <v>0</v>
      </c>
      <c r="CQ187" s="2601"/>
      <c r="CR187" s="74">
        <v>0</v>
      </c>
      <c r="CS187" s="74">
        <v>0</v>
      </c>
      <c r="CT187" s="74">
        <v>0</v>
      </c>
      <c r="CU187" s="74">
        <v>0</v>
      </c>
      <c r="CV187" s="74">
        <v>0</v>
      </c>
      <c r="CW187" s="2601"/>
      <c r="CX187" s="74">
        <f>SUM(CY187:DC187)</f>
        <v>1960</v>
      </c>
      <c r="CY187" s="74">
        <f t="shared" si="115"/>
        <v>1960</v>
      </c>
      <c r="CZ187" s="74">
        <f t="shared" si="115"/>
        <v>0</v>
      </c>
      <c r="DA187" s="74">
        <f t="shared" si="115"/>
        <v>0</v>
      </c>
      <c r="DB187" s="74">
        <f t="shared" si="115"/>
        <v>0</v>
      </c>
      <c r="DC187" s="74">
        <f t="shared" si="115"/>
        <v>0</v>
      </c>
      <c r="DD187" s="74"/>
      <c r="DE187" s="2601"/>
      <c r="DF187" s="74">
        <f>CC187+CF187</f>
        <v>71100</v>
      </c>
      <c r="DG187" s="2601"/>
      <c r="DH187" s="303">
        <f>CC187/'[1]Projected Development Sites'!DF$134</f>
        <v>62.706249999999997</v>
      </c>
      <c r="DI187" s="2724"/>
      <c r="DJ187" s="798">
        <f>'[1]Projected Development Sites'!DK$136*DH187</f>
        <v>62.706249999999997</v>
      </c>
      <c r="DK187" s="792">
        <f>2.87*DH187</f>
        <v>179.9669375</v>
      </c>
      <c r="DL187" s="917">
        <f>ROUND((CN187+CL187+CJ187)/1000*3,0)+ROUND((ROUND(CP187/400,0))/2.67,0)+ROUND(CV187/1000,0)+ROUND((CY187+CZ187+DA187+DC187)/1000*3,0)+ROUND(DH187/25,0)+ROUND(DX187/50,0)</f>
        <v>28</v>
      </c>
      <c r="DM187" s="799">
        <v>0</v>
      </c>
      <c r="DN187" s="799"/>
      <c r="DO187" s="799">
        <v>0</v>
      </c>
      <c r="DP187" s="799">
        <f>0.25*DJ187</f>
        <v>15.676562499999999</v>
      </c>
      <c r="DQ187" s="799">
        <f>SUM(CO187,CJ187,CN187,CR187,CU187)/1000</f>
        <v>6.4337499999999999</v>
      </c>
      <c r="DR187" s="799">
        <f>CL187/1000</f>
        <v>0</v>
      </c>
      <c r="DS187" s="799">
        <f>((CP187/400)/12)</f>
        <v>0</v>
      </c>
      <c r="DT187" s="799">
        <v>0</v>
      </c>
      <c r="DU187" s="799">
        <v>0</v>
      </c>
      <c r="DV187" s="799">
        <f>CX187/1000</f>
        <v>1.96</v>
      </c>
      <c r="DW187" s="2724"/>
      <c r="DX187" s="800">
        <f>SUM(DM187,DO187,DQ187:DV187)</f>
        <v>8.3937500000000007</v>
      </c>
      <c r="DY187" s="2727"/>
      <c r="DZ187" s="2730"/>
      <c r="EA187" s="2603"/>
      <c r="EB187" s="195">
        <f>CF187-W187</f>
        <v>-1406.25</v>
      </c>
      <c r="EC187" s="2603"/>
      <c r="ED187" s="190">
        <v>-1406.25</v>
      </c>
      <c r="EE187" s="195">
        <f>(SUM(CJ187:CO187))-(SUM(AA187:AE187,AL187))</f>
        <v>-1406.25</v>
      </c>
      <c r="EF187" s="2603"/>
      <c r="EG187" s="190">
        <v>-1406.25</v>
      </c>
      <c r="EH187" s="2603"/>
      <c r="EI187" s="195">
        <f>CL187-AC187</f>
        <v>0</v>
      </c>
      <c r="EJ187" s="2603"/>
      <c r="EK187" s="195">
        <f>CJ187-AA187</f>
        <v>0</v>
      </c>
      <c r="EL187" s="2603"/>
      <c r="EM187" s="190">
        <f>CO187-AE187</f>
        <v>0</v>
      </c>
      <c r="EN187" s="2603"/>
      <c r="EO187" s="190">
        <f>CP187-AH187</f>
        <v>0</v>
      </c>
      <c r="EP187" s="2603"/>
      <c r="EQ187" s="195">
        <f>CR187-AJ187</f>
        <v>0</v>
      </c>
      <c r="ER187" s="2603"/>
      <c r="ES187" s="195">
        <f>CS187-AO187</f>
        <v>0</v>
      </c>
      <c r="ET187" s="2603"/>
      <c r="EU187" s="190">
        <f t="shared" si="57"/>
        <v>0</v>
      </c>
      <c r="EV187" s="2603"/>
      <c r="EW187" s="195">
        <f>CU187-AS187</f>
        <v>0</v>
      </c>
      <c r="EX187" s="2603"/>
      <c r="EY187" s="190">
        <f>CV187-AU187</f>
        <v>0</v>
      </c>
      <c r="EZ187" s="2603"/>
      <c r="FA187" s="190">
        <f>CY187-AX187</f>
        <v>0</v>
      </c>
      <c r="FB187" s="2603"/>
      <c r="FC187" s="190">
        <f>CZ187-AY187</f>
        <v>0</v>
      </c>
      <c r="FD187" s="2603"/>
      <c r="FE187" s="190">
        <f>DA187-AZ187</f>
        <v>0</v>
      </c>
      <c r="FF187" s="2603"/>
      <c r="FG187" s="190">
        <f>DB187-BA187</f>
        <v>0</v>
      </c>
      <c r="FH187" s="2603"/>
      <c r="FI187" s="190">
        <f>DC187-BB187</f>
        <v>0</v>
      </c>
      <c r="FJ187" s="2603"/>
      <c r="FK187" s="190">
        <f>CX187-AW187</f>
        <v>0</v>
      </c>
      <c r="FL187" s="2603"/>
      <c r="FM187" s="195">
        <f>DF187-BE187</f>
        <v>61300</v>
      </c>
      <c r="FN187" s="2603"/>
      <c r="FO187" s="195">
        <f>DH187-BG187</f>
        <v>62.706249999999997</v>
      </c>
      <c r="FP187" s="2603"/>
      <c r="FQ187" s="195">
        <f t="shared" si="116"/>
        <v>62.706249999999997</v>
      </c>
      <c r="FR187" s="190">
        <f t="shared" si="116"/>
        <v>179.9669375</v>
      </c>
      <c r="FS187" s="190">
        <f t="shared" si="116"/>
        <v>-7</v>
      </c>
      <c r="FT187" s="801">
        <f t="shared" si="116"/>
        <v>0</v>
      </c>
      <c r="FU187" s="801">
        <f>DR187-BO187</f>
        <v>0</v>
      </c>
      <c r="FV187" s="801">
        <f>DO187-BM187</f>
        <v>0</v>
      </c>
      <c r="FW187" s="801">
        <f>DQ187-BN187</f>
        <v>6.4337499999999999</v>
      </c>
      <c r="FX187" s="801">
        <f t="shared" si="117"/>
        <v>0</v>
      </c>
      <c r="FY187" s="801">
        <f t="shared" si="117"/>
        <v>0</v>
      </c>
      <c r="FZ187" s="801">
        <f t="shared" si="117"/>
        <v>0</v>
      </c>
      <c r="GA187" s="801">
        <f t="shared" si="117"/>
        <v>1.96</v>
      </c>
      <c r="GB187" s="2736"/>
      <c r="GC187" s="790">
        <f t="shared" si="58"/>
        <v>8.3937500000000007</v>
      </c>
      <c r="GD187" s="139"/>
      <c r="GE187" s="139"/>
      <c r="GF187" s="139"/>
      <c r="GG187" s="139"/>
      <c r="GH187" s="139"/>
      <c r="GI187" s="139"/>
      <c r="GJ187" s="139"/>
      <c r="GK187" s="139"/>
      <c r="GL187" s="139"/>
      <c r="GM187" s="139"/>
      <c r="GN187" s="139"/>
      <c r="GO187" s="139"/>
      <c r="GP187" s="139"/>
      <c r="GQ187" s="139"/>
      <c r="GR187" s="139"/>
      <c r="GS187" s="139"/>
      <c r="GT187" s="139"/>
    </row>
    <row r="188" spans="1:202" s="139" customFormat="1" ht="18.75">
      <c r="A188" s="2263"/>
      <c r="B188" s="2263"/>
      <c r="C188" s="132"/>
      <c r="D188" s="132"/>
      <c r="E188" s="132"/>
      <c r="F188" s="777"/>
      <c r="G188" s="132"/>
      <c r="H188" s="135"/>
      <c r="I188" s="136"/>
      <c r="J188" s="132"/>
      <c r="K188" s="132"/>
      <c r="L188" s="132"/>
      <c r="M188" s="132"/>
      <c r="N188" s="134"/>
      <c r="O188" s="134"/>
      <c r="P188" s="134"/>
      <c r="Q188" s="134"/>
      <c r="R188" s="137"/>
      <c r="S188" s="778"/>
      <c r="T188" s="634"/>
      <c r="U188" s="102"/>
      <c r="V188" s="634"/>
      <c r="W188" s="102"/>
      <c r="X188" s="102"/>
      <c r="Y188" s="102"/>
      <c r="Z188" s="634"/>
      <c r="AA188" s="102"/>
      <c r="AB188" s="634"/>
      <c r="AC188" s="102"/>
      <c r="AD188" s="634"/>
      <c r="AE188" s="102"/>
      <c r="AF188" s="102"/>
      <c r="AG188" s="102"/>
      <c r="AH188" s="102"/>
      <c r="AI188" s="634"/>
      <c r="AJ188" s="102"/>
      <c r="AK188" s="634"/>
      <c r="AL188" s="102"/>
      <c r="AM188" s="779"/>
      <c r="AN188" s="634"/>
      <c r="AO188" s="102"/>
      <c r="AP188" s="634"/>
      <c r="AQ188" s="102"/>
      <c r="AR188" s="634"/>
      <c r="AS188" s="102"/>
      <c r="AT188" s="634"/>
      <c r="AU188" s="102"/>
      <c r="AV188" s="634"/>
      <c r="AW188" s="102"/>
      <c r="AX188" s="102"/>
      <c r="AY188" s="102"/>
      <c r="AZ188" s="102"/>
      <c r="BA188" s="102"/>
      <c r="BB188" s="102"/>
      <c r="BC188" s="102"/>
      <c r="BD188" s="634"/>
      <c r="BE188" s="102"/>
      <c r="BF188" s="634"/>
      <c r="BG188" s="102"/>
      <c r="BH188" s="634"/>
      <c r="BI188" s="102"/>
      <c r="BJ188" s="111"/>
      <c r="BK188" s="186"/>
      <c r="BL188" s="102"/>
      <c r="BM188" s="102"/>
      <c r="BN188" s="102"/>
      <c r="BO188" s="102"/>
      <c r="BP188" s="102"/>
      <c r="BQ188" s="102"/>
      <c r="BR188" s="102"/>
      <c r="BS188" s="102"/>
      <c r="BT188" s="634"/>
      <c r="BU188" s="102"/>
      <c r="BW188" s="780"/>
      <c r="CA188" s="781"/>
      <c r="CB188" s="2258"/>
      <c r="CC188" s="782"/>
      <c r="CD188" s="782"/>
      <c r="CE188" s="634"/>
      <c r="CF188" s="783"/>
      <c r="CG188" s="634"/>
      <c r="CH188" s="783"/>
      <c r="CI188" s="634"/>
      <c r="CK188" s="634"/>
      <c r="CM188" s="634"/>
      <c r="CN188" s="784"/>
      <c r="CO188" s="784"/>
      <c r="CP188" s="784"/>
      <c r="CQ188" s="634"/>
      <c r="CR188" s="102"/>
      <c r="CS188" s="102"/>
      <c r="CT188" s="102"/>
      <c r="CU188" s="102"/>
      <c r="CV188" s="102"/>
      <c r="CW188" s="634"/>
      <c r="CX188" s="102"/>
      <c r="CY188" s="102"/>
      <c r="CZ188" s="102"/>
      <c r="DA188" s="102"/>
      <c r="DB188" s="102"/>
      <c r="DC188" s="102"/>
      <c r="DD188" s="102"/>
      <c r="DE188" s="634"/>
      <c r="DF188" s="102"/>
      <c r="DG188" s="634"/>
      <c r="DH188" s="296"/>
      <c r="DI188" s="802"/>
      <c r="DJ188" s="785"/>
      <c r="DK188" s="899"/>
      <c r="DL188" s="786"/>
      <c r="DM188" s="787"/>
      <c r="DN188" s="787"/>
      <c r="DO188" s="787"/>
      <c r="DP188" s="787"/>
      <c r="DQ188" s="787"/>
      <c r="DR188" s="787"/>
      <c r="DS188" s="787"/>
      <c r="DT188" s="787"/>
      <c r="DU188" s="787"/>
      <c r="DV188" s="787"/>
      <c r="DW188" s="802"/>
      <c r="DX188" s="788"/>
      <c r="DY188" s="634"/>
      <c r="DZ188" s="2288"/>
      <c r="EA188" s="2231"/>
      <c r="EB188" s="187"/>
      <c r="EC188" s="2232"/>
      <c r="ED188" s="187"/>
      <c r="EE188" s="187"/>
      <c r="EF188" s="2232"/>
      <c r="EG188" s="187"/>
      <c r="EH188" s="2232"/>
      <c r="EI188" s="187"/>
      <c r="EJ188" s="2232"/>
      <c r="EK188" s="187"/>
      <c r="EL188" s="2232"/>
      <c r="EM188" s="195"/>
      <c r="EN188" s="2232"/>
      <c r="EO188" s="195"/>
      <c r="EP188" s="2232"/>
      <c r="EQ188" s="187"/>
      <c r="ER188" s="2232"/>
      <c r="ES188" s="187"/>
      <c r="ET188" s="2232"/>
      <c r="EU188" s="187">
        <f t="shared" si="57"/>
        <v>0</v>
      </c>
      <c r="EV188" s="2232"/>
      <c r="EW188" s="187"/>
      <c r="EX188" s="2232"/>
      <c r="EY188" s="195"/>
      <c r="EZ188" s="2232"/>
      <c r="FA188" s="195"/>
      <c r="FB188" s="2232"/>
      <c r="FC188" s="195"/>
      <c r="FD188" s="2232"/>
      <c r="FE188" s="195"/>
      <c r="FF188" s="2232"/>
      <c r="FG188" s="195"/>
      <c r="FH188" s="2232"/>
      <c r="FI188" s="195"/>
      <c r="FJ188" s="2232"/>
      <c r="FK188" s="195"/>
      <c r="FL188" s="2232"/>
      <c r="FM188" s="187"/>
      <c r="FN188" s="2232"/>
      <c r="FO188" s="187"/>
      <c r="FP188" s="2232"/>
      <c r="FQ188" s="187"/>
      <c r="FR188" s="195"/>
      <c r="FS188" s="195"/>
      <c r="FT188" s="789"/>
      <c r="FU188" s="789"/>
      <c r="FV188" s="789"/>
      <c r="FW188" s="789"/>
      <c r="FX188" s="789"/>
      <c r="FY188" s="789"/>
      <c r="FZ188" s="789"/>
      <c r="GA188" s="789"/>
      <c r="GB188" s="2286"/>
      <c r="GC188" s="776"/>
    </row>
    <row r="189" spans="1:202" s="127" customFormat="1" ht="15" customHeight="1">
      <c r="A189" s="2588"/>
      <c r="B189" s="2588">
        <v>68</v>
      </c>
      <c r="C189" s="115" t="s">
        <v>703</v>
      </c>
      <c r="D189" s="115">
        <v>2842</v>
      </c>
      <c r="E189" s="115">
        <v>51</v>
      </c>
      <c r="F189" s="763">
        <v>2028420051</v>
      </c>
      <c r="G189" s="115">
        <v>9000</v>
      </c>
      <c r="H189" s="118" t="s">
        <v>753</v>
      </c>
      <c r="I189" s="119"/>
      <c r="J189" s="115">
        <v>0.72</v>
      </c>
      <c r="K189" s="115">
        <v>3.44</v>
      </c>
      <c r="L189" s="115">
        <v>4</v>
      </c>
      <c r="M189" s="115">
        <v>6.5</v>
      </c>
      <c r="N189" s="117">
        <v>6500</v>
      </c>
      <c r="O189" s="117">
        <v>0</v>
      </c>
      <c r="P189" s="117">
        <v>0</v>
      </c>
      <c r="Q189" s="117">
        <v>6500</v>
      </c>
      <c r="R189" s="120">
        <v>0</v>
      </c>
      <c r="S189" s="764" t="s">
        <v>637</v>
      </c>
      <c r="T189" s="2600">
        <f>SUM(U189:U190)</f>
        <v>0</v>
      </c>
      <c r="U189" s="122">
        <v>0</v>
      </c>
      <c r="V189" s="2600">
        <f>SUM(W189:W190)</f>
        <v>15243</v>
      </c>
      <c r="W189" s="122">
        <f>N189</f>
        <v>6500</v>
      </c>
      <c r="X189" s="122"/>
      <c r="Y189" s="122">
        <f>W189-AA189</f>
        <v>6500</v>
      </c>
      <c r="Z189" s="2600">
        <f>SUM(AA189:AA190)</f>
        <v>0</v>
      </c>
      <c r="AA189" s="122">
        <v>0</v>
      </c>
      <c r="AB189" s="2600">
        <f>SUM(AC189:AC190)</f>
        <v>5021.5</v>
      </c>
      <c r="AC189" s="122">
        <f>0.1*W189</f>
        <v>650</v>
      </c>
      <c r="AD189" s="2600">
        <f>SUM(AE189:AE190)</f>
        <v>0</v>
      </c>
      <c r="AE189" s="122">
        <f>AG189+AF189</f>
        <v>0</v>
      </c>
      <c r="AF189" s="122">
        <v>0</v>
      </c>
      <c r="AG189" s="122">
        <v>0</v>
      </c>
      <c r="AH189" s="122">
        <v>0</v>
      </c>
      <c r="AI189" s="2600">
        <f>SUM(AJ189:AJ190)</f>
        <v>0</v>
      </c>
      <c r="AJ189" s="122">
        <v>0</v>
      </c>
      <c r="AK189" s="2600">
        <f>SUM(AL189:AL190)</f>
        <v>10221.5</v>
      </c>
      <c r="AL189" s="122">
        <f>W189-(AA189+AC189+AE189+AH189+AJ189+AM189+AW189+AO189+AQ189+AS189+AU189)</f>
        <v>5850</v>
      </c>
      <c r="AM189" s="765">
        <v>0</v>
      </c>
      <c r="AN189" s="2600">
        <f>SUM(AO189:AO190)</f>
        <v>0</v>
      </c>
      <c r="AO189" s="122">
        <v>0</v>
      </c>
      <c r="AP189" s="2600">
        <f>SUM(AQ189:AQ190)</f>
        <v>0</v>
      </c>
      <c r="AQ189" s="122">
        <v>0</v>
      </c>
      <c r="AR189" s="2600">
        <f>SUM(AS189:AS190)</f>
        <v>0</v>
      </c>
      <c r="AS189" s="122">
        <v>0</v>
      </c>
      <c r="AT189" s="2600">
        <f>SUM(AU189:AU190)</f>
        <v>0</v>
      </c>
      <c r="AU189" s="122">
        <v>0</v>
      </c>
      <c r="AV189" s="2600">
        <f>SUM(AW189:AW190)</f>
        <v>0</v>
      </c>
      <c r="AW189" s="122">
        <f>AX189+AY189+AZ189+BA189+BB189</f>
        <v>0</v>
      </c>
      <c r="AX189" s="122">
        <v>0</v>
      </c>
      <c r="AY189" s="122">
        <v>0</v>
      </c>
      <c r="AZ189" s="122">
        <v>0</v>
      </c>
      <c r="BA189" s="122">
        <v>0</v>
      </c>
      <c r="BB189" s="122">
        <v>0</v>
      </c>
      <c r="BC189" s="122">
        <v>0</v>
      </c>
      <c r="BD189" s="2600">
        <f>SUM(BE189:BE190)</f>
        <v>15243</v>
      </c>
      <c r="BE189" s="122">
        <f>U189+W189</f>
        <v>6500</v>
      </c>
      <c r="BF189" s="2600">
        <f>SUM(BG189:BG190)</f>
        <v>0</v>
      </c>
      <c r="BG189" s="122">
        <f>U189/1000</f>
        <v>0</v>
      </c>
      <c r="BH189" s="2600">
        <f>SUM(BI189:BI190)</f>
        <v>0</v>
      </c>
      <c r="BI189" s="122">
        <v>0</v>
      </c>
      <c r="BJ189" s="122">
        <f t="shared" si="59"/>
        <v>0</v>
      </c>
      <c r="BK189" s="129">
        <f>ROUND((Y189+AC189+AA189)/1000*3,0)+ROUND((AE189+AU189)/1000,0)+ROUND((ROUND(AH189/400,0))/2.67,0)+ROUND(AM189/250,0)+ROUND(AO189/15000,0)+ROUND((AX189+AY189+AZ189+BB189)/1000*3,0)+ROUND(BG189/25,0)+ROUND(BU55/50,0)</f>
        <v>21</v>
      </c>
      <c r="BL189" s="122">
        <v>0</v>
      </c>
      <c r="BM189" s="122">
        <v>0</v>
      </c>
      <c r="BN189" s="122">
        <v>0</v>
      </c>
      <c r="BO189" s="122">
        <v>0</v>
      </c>
      <c r="BP189" s="122">
        <f>AH189/1000</f>
        <v>0</v>
      </c>
      <c r="BQ189" s="122">
        <v>0</v>
      </c>
      <c r="BR189" s="122">
        <v>0</v>
      </c>
      <c r="BS189" s="122">
        <v>0</v>
      </c>
      <c r="BT189" s="2600">
        <f>SUM(BU189:BU190)</f>
        <v>0</v>
      </c>
      <c r="BU189" s="122">
        <f>SUM(BL189:BS189)</f>
        <v>0</v>
      </c>
      <c r="BV189" s="127">
        <v>15</v>
      </c>
      <c r="BW189" s="766" t="s">
        <v>741</v>
      </c>
      <c r="BX189" s="127">
        <v>7.2</v>
      </c>
      <c r="BY189" s="127">
        <v>2</v>
      </c>
      <c r="BZ189" s="127">
        <v>6.5</v>
      </c>
      <c r="CA189" s="767" t="s">
        <v>706</v>
      </c>
      <c r="CB189" s="2745" t="s">
        <v>892</v>
      </c>
      <c r="CC189" s="768">
        <f>(BX189*G189)-CF189</f>
        <v>57150</v>
      </c>
      <c r="CD189" s="2748">
        <f>SUM(CC189:CC190)</f>
        <v>114300</v>
      </c>
      <c r="CE189" s="2600">
        <f>SUM(CF189:CF190)</f>
        <v>15300</v>
      </c>
      <c r="CF189" s="838">
        <f>1*(G189)-(0.15*1*(G189))</f>
        <v>7650</v>
      </c>
      <c r="CG189" s="2600">
        <f>SUM(CH189:CH190)</f>
        <v>15300</v>
      </c>
      <c r="CH189" s="838">
        <f>CF189-CJ189</f>
        <v>7650</v>
      </c>
      <c r="CI189" s="2600">
        <f>SUM(CJ189:CJ190)</f>
        <v>0</v>
      </c>
      <c r="CJ189" s="127">
        <v>0</v>
      </c>
      <c r="CK189" s="2600">
        <f>SUM(CL189:CL190)</f>
        <v>7650</v>
      </c>
      <c r="CL189" s="127">
        <v>0</v>
      </c>
      <c r="CM189" s="2600">
        <f>SUM(CN189:CN190)</f>
        <v>7650</v>
      </c>
      <c r="CN189" s="122">
        <f>CF189-(CJ189+CL189+CO189+CP189+CR189+CU189+CV189+CX189)</f>
        <v>7650</v>
      </c>
      <c r="CO189" s="770">
        <v>0</v>
      </c>
      <c r="CP189" s="770">
        <v>0</v>
      </c>
      <c r="CQ189" s="2600">
        <f>SUM(CR189:CR190)</f>
        <v>0</v>
      </c>
      <c r="CR189" s="122">
        <v>0</v>
      </c>
      <c r="CS189" s="122">
        <v>0</v>
      </c>
      <c r="CT189" s="122">
        <v>0</v>
      </c>
      <c r="CU189" s="122">
        <v>0</v>
      </c>
      <c r="CV189" s="122">
        <v>0</v>
      </c>
      <c r="CW189" s="2600">
        <f>SUM(CX189:CX190)</f>
        <v>0</v>
      </c>
      <c r="CX189" s="122">
        <f>SUM(CY189:DC189)</f>
        <v>0</v>
      </c>
      <c r="CY189" s="122">
        <f t="shared" ref="CY189:DC190" si="118">AX189</f>
        <v>0</v>
      </c>
      <c r="CZ189" s="122">
        <f t="shared" si="118"/>
        <v>0</v>
      </c>
      <c r="DA189" s="122">
        <f t="shared" si="118"/>
        <v>0</v>
      </c>
      <c r="DB189" s="122">
        <f t="shared" si="118"/>
        <v>0</v>
      </c>
      <c r="DC189" s="122">
        <f t="shared" si="118"/>
        <v>0</v>
      </c>
      <c r="DD189" s="122"/>
      <c r="DE189" s="2600">
        <f>SUM(DF189:DF190)</f>
        <v>129600</v>
      </c>
      <c r="DF189" s="122">
        <f>CC189+CF189</f>
        <v>64800</v>
      </c>
      <c r="DG189" s="2600">
        <f>SUM(DH189:DH190)</f>
        <v>114.3</v>
      </c>
      <c r="DH189" s="293">
        <f>CC189/'[1]Projected Development Sites'!DF$134</f>
        <v>57.15</v>
      </c>
      <c r="DI189" s="2722">
        <f>SUM(DJ189:DJ190)</f>
        <v>114.3</v>
      </c>
      <c r="DJ189" s="771">
        <f>'[1]Projected Development Sites'!DK$136*DH189</f>
        <v>57.15</v>
      </c>
      <c r="DK189" s="765">
        <f>2.87*DH189</f>
        <v>164.0205</v>
      </c>
      <c r="DL189" s="772">
        <f>ROUND((CN189+CL189+CJ189)/1000*3,0)+ROUND((ROUND(CP189/400,0))/2.67,0)+ROUND(CV189/1000,0)+ROUND((CY189+CZ189+DA189+DC189)/1000*3,0)+ROUND(DH189/25,0)+ROUND(DX189/50,0)</f>
        <v>25</v>
      </c>
      <c r="DM189" s="773">
        <v>0</v>
      </c>
      <c r="DN189" s="773"/>
      <c r="DO189" s="773">
        <v>0</v>
      </c>
      <c r="DP189" s="773">
        <f>0.25*DJ189</f>
        <v>14.2875</v>
      </c>
      <c r="DQ189" s="773">
        <f>SUM(CO189,CJ189,CN189,CR189,CU189)/1000</f>
        <v>7.65</v>
      </c>
      <c r="DR189" s="773">
        <f>CL189/1000</f>
        <v>0</v>
      </c>
      <c r="DS189" s="773">
        <f>((CP189/400)/12)</f>
        <v>0</v>
      </c>
      <c r="DT189" s="773">
        <f>IF(CX189&gt;0,"Calculate",0)</f>
        <v>0</v>
      </c>
      <c r="DU189" s="773">
        <v>0</v>
      </c>
      <c r="DV189" s="773">
        <f>CX189/1000</f>
        <v>0</v>
      </c>
      <c r="DW189" s="2722">
        <f>SUM(DX189:DX190)</f>
        <v>15.3</v>
      </c>
      <c r="DX189" s="774">
        <f>SUM(DM189,DO189,DQ189:DV189)</f>
        <v>7.65</v>
      </c>
      <c r="DY189" s="2725">
        <v>145</v>
      </c>
      <c r="DZ189" s="2728">
        <f>CD189-T189</f>
        <v>114300</v>
      </c>
      <c r="EA189" s="2602">
        <f>CE189-V189</f>
        <v>57</v>
      </c>
      <c r="EB189" s="187">
        <f>CF189-W189</f>
        <v>1150</v>
      </c>
      <c r="EC189" s="2602">
        <f>SUM(ED189:ED190)</f>
        <v>57</v>
      </c>
      <c r="ED189" s="187">
        <v>1150</v>
      </c>
      <c r="EE189" s="187">
        <f>(SUM(CJ189:CO189))-(SUM(AA189:AE189,AL189))</f>
        <v>11428.5</v>
      </c>
      <c r="EF189" s="2602">
        <f>SUM(EG189:EG190)</f>
        <v>-2571.5</v>
      </c>
      <c r="EG189" s="187">
        <v>1800</v>
      </c>
      <c r="EH189" s="2602">
        <f>SUM(EI189:EI190)</f>
        <v>2628.5</v>
      </c>
      <c r="EI189" s="187">
        <f>CL189-AC189</f>
        <v>-650</v>
      </c>
      <c r="EJ189" s="2602">
        <f>SUM(EK189:EK190)</f>
        <v>0</v>
      </c>
      <c r="EK189" s="187">
        <f>CJ189-AA189</f>
        <v>0</v>
      </c>
      <c r="EL189" s="2602">
        <f>SUM(EM189:EM190)</f>
        <v>0</v>
      </c>
      <c r="EM189" s="187">
        <f>CO189-AE189</f>
        <v>0</v>
      </c>
      <c r="EN189" s="2602">
        <f>SUM(EO189:EO190)</f>
        <v>0</v>
      </c>
      <c r="EO189" s="187">
        <f>CP189-AH189</f>
        <v>0</v>
      </c>
      <c r="EP189" s="2602">
        <f>SUM(EQ189:EQ190)</f>
        <v>0</v>
      </c>
      <c r="EQ189" s="187">
        <f>CR189-AJ189</f>
        <v>0</v>
      </c>
      <c r="ER189" s="2602">
        <f>SUM(ES189:ES190)</f>
        <v>0</v>
      </c>
      <c r="ES189" s="187">
        <f>CS189-AO189</f>
        <v>0</v>
      </c>
      <c r="ET189" s="2602">
        <f>SUM(EU189:EU190)</f>
        <v>0</v>
      </c>
      <c r="EU189" s="187">
        <f t="shared" si="57"/>
        <v>0</v>
      </c>
      <c r="EV189" s="2602">
        <f>SUM(EW189:EW190)</f>
        <v>0</v>
      </c>
      <c r="EW189" s="187">
        <f>CU189-AS189</f>
        <v>0</v>
      </c>
      <c r="EX189" s="2602">
        <f>SUM(EY189:EY190)</f>
        <v>0</v>
      </c>
      <c r="EY189" s="187">
        <f>CV189-AU189</f>
        <v>0</v>
      </c>
      <c r="EZ189" s="2602">
        <f>SUM(FA189:FA190)</f>
        <v>0</v>
      </c>
      <c r="FA189" s="187">
        <f>CY189-AX189</f>
        <v>0</v>
      </c>
      <c r="FB189" s="2602">
        <f>SUM(FC189:FC190)</f>
        <v>0</v>
      </c>
      <c r="FC189" s="187">
        <f>CZ189-AY189</f>
        <v>0</v>
      </c>
      <c r="FD189" s="2602">
        <f>SUM(FE189:FE190)</f>
        <v>0</v>
      </c>
      <c r="FE189" s="187">
        <f>DA189-AZ189</f>
        <v>0</v>
      </c>
      <c r="FF189" s="2602">
        <f>SUM(FG189:FG190)</f>
        <v>0</v>
      </c>
      <c r="FG189" s="187">
        <f>DB189-BA189</f>
        <v>0</v>
      </c>
      <c r="FH189" s="2602">
        <f>SUM(FI189:FI190)</f>
        <v>0</v>
      </c>
      <c r="FI189" s="187">
        <f>DC189-BB189</f>
        <v>0</v>
      </c>
      <c r="FJ189" s="2602">
        <f>SUM(FK189:FK190)</f>
        <v>0</v>
      </c>
      <c r="FK189" s="187">
        <f>CX189-AW189</f>
        <v>0</v>
      </c>
      <c r="FL189" s="2602">
        <f>SUM(FM189:FM190)</f>
        <v>114357</v>
      </c>
      <c r="FM189" s="187">
        <f>DF189-BE189</f>
        <v>58300</v>
      </c>
      <c r="FN189" s="2602">
        <f>SUM(FO189:FO190)</f>
        <v>114.3</v>
      </c>
      <c r="FO189" s="187">
        <f>DH189-BG189</f>
        <v>57.15</v>
      </c>
      <c r="FP189" s="2602">
        <f>SUM(FQ189:FQ190)</f>
        <v>114.3</v>
      </c>
      <c r="FQ189" s="187">
        <f t="shared" ref="FQ189:FT190" si="119">DJ189-BI189</f>
        <v>57.15</v>
      </c>
      <c r="FR189" s="187">
        <f t="shared" si="119"/>
        <v>164.0205</v>
      </c>
      <c r="FS189" s="187">
        <f t="shared" si="119"/>
        <v>4</v>
      </c>
      <c r="FT189" s="775">
        <f t="shared" si="119"/>
        <v>0</v>
      </c>
      <c r="FU189" s="775">
        <f>DR189-BO189</f>
        <v>0</v>
      </c>
      <c r="FV189" s="775">
        <f>DO189-BM189</f>
        <v>0</v>
      </c>
      <c r="FW189" s="775">
        <f>DQ189-BN189</f>
        <v>7.65</v>
      </c>
      <c r="FX189" s="775">
        <f t="shared" ref="FX189:GA190" si="120">DS189-BP189</f>
        <v>0</v>
      </c>
      <c r="FY189" s="775">
        <f t="shared" si="120"/>
        <v>0</v>
      </c>
      <c r="FZ189" s="775">
        <f t="shared" si="120"/>
        <v>0</v>
      </c>
      <c r="GA189" s="775">
        <f t="shared" si="120"/>
        <v>0</v>
      </c>
      <c r="GB189" s="2734">
        <f>SUM(GC189:GC190)</f>
        <v>15.3</v>
      </c>
      <c r="GC189" s="776">
        <f t="shared" si="58"/>
        <v>7.65</v>
      </c>
      <c r="GD189" s="139"/>
      <c r="GE189" s="139"/>
      <c r="GF189" s="139"/>
      <c r="GG189" s="139"/>
      <c r="GH189" s="139"/>
      <c r="GI189" s="139"/>
      <c r="GJ189" s="139"/>
      <c r="GK189" s="139"/>
      <c r="GL189" s="139"/>
      <c r="GM189" s="139"/>
      <c r="GN189" s="139"/>
      <c r="GO189" s="139"/>
      <c r="GP189" s="139"/>
      <c r="GQ189" s="139"/>
      <c r="GR189" s="139"/>
      <c r="GS189" s="139"/>
      <c r="GT189" s="139"/>
    </row>
    <row r="190" spans="1:202" s="81" customFormat="1" ht="15" customHeight="1">
      <c r="A190" s="2589"/>
      <c r="B190" s="2589"/>
      <c r="C190" s="66" t="s">
        <v>703</v>
      </c>
      <c r="D190" s="66">
        <v>2842</v>
      </c>
      <c r="E190" s="66">
        <v>55</v>
      </c>
      <c r="F190" s="841">
        <v>2028420055</v>
      </c>
      <c r="G190" s="66">
        <v>9000</v>
      </c>
      <c r="H190" s="69" t="s">
        <v>753</v>
      </c>
      <c r="I190" s="70"/>
      <c r="J190" s="66">
        <v>0.97</v>
      </c>
      <c r="K190" s="66">
        <v>4</v>
      </c>
      <c r="L190" s="66">
        <v>3.4</v>
      </c>
      <c r="M190" s="66">
        <v>6.5</v>
      </c>
      <c r="N190" s="68">
        <v>8743</v>
      </c>
      <c r="O190" s="68">
        <v>0</v>
      </c>
      <c r="P190" s="68">
        <v>0</v>
      </c>
      <c r="Q190" s="68">
        <v>8743</v>
      </c>
      <c r="R190" s="71">
        <v>0</v>
      </c>
      <c r="S190" s="791" t="s">
        <v>637</v>
      </c>
      <c r="T190" s="2601"/>
      <c r="U190" s="74">
        <v>0</v>
      </c>
      <c r="V190" s="2601"/>
      <c r="W190" s="74">
        <f>N190</f>
        <v>8743</v>
      </c>
      <c r="X190" s="74"/>
      <c r="Y190" s="74">
        <f>W190-AA190</f>
        <v>8743</v>
      </c>
      <c r="Z190" s="2601"/>
      <c r="AA190" s="74">
        <v>0</v>
      </c>
      <c r="AB190" s="2601"/>
      <c r="AC190" s="74">
        <f>0.5*W190</f>
        <v>4371.5</v>
      </c>
      <c r="AD190" s="2601"/>
      <c r="AE190" s="74">
        <f>AG190+AF190</f>
        <v>0</v>
      </c>
      <c r="AF190" s="74">
        <v>0</v>
      </c>
      <c r="AG190" s="74">
        <v>0</v>
      </c>
      <c r="AH190" s="74">
        <v>0</v>
      </c>
      <c r="AI190" s="2601"/>
      <c r="AJ190" s="74">
        <v>0</v>
      </c>
      <c r="AK190" s="2601"/>
      <c r="AL190" s="74">
        <f>W190-(AA190+AC190+AE190+AH190+AJ190+AM190+AW190+AO190+AQ190+AS190+AU190)</f>
        <v>4371.5</v>
      </c>
      <c r="AM190" s="792">
        <v>0</v>
      </c>
      <c r="AN190" s="2601"/>
      <c r="AO190" s="74">
        <v>0</v>
      </c>
      <c r="AP190" s="2601"/>
      <c r="AQ190" s="74">
        <v>0</v>
      </c>
      <c r="AR190" s="2601"/>
      <c r="AS190" s="74">
        <v>0</v>
      </c>
      <c r="AT190" s="2601"/>
      <c r="AU190" s="74">
        <v>0</v>
      </c>
      <c r="AV190" s="2601"/>
      <c r="AW190" s="74">
        <f>AX190+AY190+AZ190+BA190+BB190</f>
        <v>0</v>
      </c>
      <c r="AX190" s="74">
        <v>0</v>
      </c>
      <c r="AY190" s="74">
        <v>0</v>
      </c>
      <c r="AZ190" s="74">
        <v>0</v>
      </c>
      <c r="BA190" s="74">
        <v>0</v>
      </c>
      <c r="BB190" s="74">
        <v>0</v>
      </c>
      <c r="BC190" s="74">
        <v>0</v>
      </c>
      <c r="BD190" s="2601"/>
      <c r="BE190" s="74">
        <f>U190+W190</f>
        <v>8743</v>
      </c>
      <c r="BF190" s="2601"/>
      <c r="BG190" s="74">
        <f>U190/1000</f>
        <v>0</v>
      </c>
      <c r="BH190" s="2601"/>
      <c r="BI190" s="74">
        <v>0</v>
      </c>
      <c r="BJ190" s="74">
        <f t="shared" si="59"/>
        <v>0</v>
      </c>
      <c r="BK190" s="88">
        <f>ROUND((Y190+AC190+AA190)/1000*3,0)+ROUND((AE190+AU190)/1000,0)+ROUND((ROUND(AH190/400,0))/2.67,0)+ROUND(AM190/250,0)+ROUND(AO190/15000,0)+ROUND((AX190+AY190+AZ190+BB190)/1000*3,0)+ROUND(BG190/25,0)+ROUND('A-App Potential sites'!BU85/50,0)</f>
        <v>39</v>
      </c>
      <c r="BL190" s="74">
        <v>0</v>
      </c>
      <c r="BM190" s="74">
        <v>0</v>
      </c>
      <c r="BN190" s="74">
        <v>0</v>
      </c>
      <c r="BO190" s="74">
        <v>0</v>
      </c>
      <c r="BP190" s="74">
        <f>AH190/1000</f>
        <v>0</v>
      </c>
      <c r="BQ190" s="74">
        <v>0</v>
      </c>
      <c r="BR190" s="74">
        <v>0</v>
      </c>
      <c r="BS190" s="74">
        <v>0</v>
      </c>
      <c r="BT190" s="2601"/>
      <c r="BU190" s="74">
        <f>SUM(BL190:BS190)</f>
        <v>0</v>
      </c>
      <c r="BV190" s="81">
        <v>15</v>
      </c>
      <c r="BW190" s="793" t="s">
        <v>741</v>
      </c>
      <c r="BX190" s="81">
        <v>7.2</v>
      </c>
      <c r="BY190" s="81">
        <v>2</v>
      </c>
      <c r="BZ190" s="81">
        <v>6.5</v>
      </c>
      <c r="CA190" s="794" t="s">
        <v>706</v>
      </c>
      <c r="CB190" s="2747"/>
      <c r="CC190" s="795">
        <f>(BX190*G190)-CF190</f>
        <v>57150</v>
      </c>
      <c r="CD190" s="2749"/>
      <c r="CE190" s="2601"/>
      <c r="CF190" s="843">
        <f>1*(G190)-(0.15*1*(G190))</f>
        <v>7650</v>
      </c>
      <c r="CG190" s="2601"/>
      <c r="CH190" s="843">
        <f>CF190-CJ190</f>
        <v>7650</v>
      </c>
      <c r="CI190" s="2601"/>
      <c r="CJ190" s="81">
        <v>0</v>
      </c>
      <c r="CK190" s="2601"/>
      <c r="CL190" s="795">
        <v>7650</v>
      </c>
      <c r="CM190" s="2601"/>
      <c r="CN190" s="74">
        <f>CF190-(CJ190+CL190+CO190+CP190+CR190+CU190+CV190+CX190)</f>
        <v>0</v>
      </c>
      <c r="CO190" s="797">
        <v>0</v>
      </c>
      <c r="CP190" s="797">
        <v>0</v>
      </c>
      <c r="CQ190" s="2601"/>
      <c r="CR190" s="74">
        <v>0</v>
      </c>
      <c r="CS190" s="74">
        <v>0</v>
      </c>
      <c r="CT190" s="74">
        <v>0</v>
      </c>
      <c r="CU190" s="74">
        <v>0</v>
      </c>
      <c r="CV190" s="74">
        <v>0</v>
      </c>
      <c r="CW190" s="2601"/>
      <c r="CX190" s="74">
        <f>SUM(CY190:DC190)</f>
        <v>0</v>
      </c>
      <c r="CY190" s="74">
        <f t="shared" si="118"/>
        <v>0</v>
      </c>
      <c r="CZ190" s="74">
        <f t="shared" si="118"/>
        <v>0</v>
      </c>
      <c r="DA190" s="74">
        <f t="shared" si="118"/>
        <v>0</v>
      </c>
      <c r="DB190" s="74">
        <f t="shared" si="118"/>
        <v>0</v>
      </c>
      <c r="DC190" s="74">
        <f t="shared" si="118"/>
        <v>0</v>
      </c>
      <c r="DD190" s="74"/>
      <c r="DE190" s="2601"/>
      <c r="DF190" s="74">
        <f>CC190+CF190</f>
        <v>64800</v>
      </c>
      <c r="DG190" s="2601"/>
      <c r="DH190" s="303">
        <f>CC190/'[1]Projected Development Sites'!DF$134</f>
        <v>57.15</v>
      </c>
      <c r="DI190" s="2724"/>
      <c r="DJ190" s="798">
        <f>'[1]Projected Development Sites'!DK$136*DH190</f>
        <v>57.15</v>
      </c>
      <c r="DK190" s="792">
        <f>2.87*DH190</f>
        <v>164.0205</v>
      </c>
      <c r="DL190" s="917">
        <f>ROUND((CN190+CL190+CJ190)/1000*3,0)+ROUND((ROUND(CP190/400,0))/2.67,0)+ROUND(CV190/1000,0)+ROUND((CY190+CZ190+DA190+DC190)/1000*3,0)+ROUND(DH190/25,0)+ROUND(DX190/50,0)</f>
        <v>25</v>
      </c>
      <c r="DM190" s="799">
        <v>0</v>
      </c>
      <c r="DN190" s="799"/>
      <c r="DO190" s="799">
        <v>0</v>
      </c>
      <c r="DP190" s="799">
        <f>0.25*DJ190</f>
        <v>14.2875</v>
      </c>
      <c r="DQ190" s="799">
        <f>SUM(CO190,CJ190,CN190,CR190,CU190)/1000</f>
        <v>0</v>
      </c>
      <c r="DR190" s="799">
        <f>CL190/1000</f>
        <v>7.65</v>
      </c>
      <c r="DS190" s="799">
        <f>((CP190/400)/12)</f>
        <v>0</v>
      </c>
      <c r="DT190" s="799">
        <f>IF(CX190&gt;0,"Calculate",0)</f>
        <v>0</v>
      </c>
      <c r="DU190" s="799">
        <v>0</v>
      </c>
      <c r="DV190" s="799">
        <f>CX190/1000</f>
        <v>0</v>
      </c>
      <c r="DW190" s="2724"/>
      <c r="DX190" s="800">
        <f>SUM(DM190,DO190,DQ190:DV190)</f>
        <v>7.65</v>
      </c>
      <c r="DY190" s="2727"/>
      <c r="DZ190" s="2730"/>
      <c r="EA190" s="2603"/>
      <c r="EB190" s="195">
        <f>CF190-W190</f>
        <v>-1093</v>
      </c>
      <c r="EC190" s="2603"/>
      <c r="ED190" s="190">
        <v>-1093</v>
      </c>
      <c r="EE190" s="195">
        <f>(SUM(CJ190:CO190))-(SUM(AA190:AE190,AL190))</f>
        <v>-1093</v>
      </c>
      <c r="EF190" s="2603"/>
      <c r="EG190" s="190">
        <v>-4371.5</v>
      </c>
      <c r="EH190" s="2603"/>
      <c r="EI190" s="195">
        <f>CL190-AC190</f>
        <v>3278.5</v>
      </c>
      <c r="EJ190" s="2603"/>
      <c r="EK190" s="195">
        <f>CJ190-AA190</f>
        <v>0</v>
      </c>
      <c r="EL190" s="2603"/>
      <c r="EM190" s="190">
        <f>CO190-AE190</f>
        <v>0</v>
      </c>
      <c r="EN190" s="2603"/>
      <c r="EO190" s="190">
        <f>CP190-AH190</f>
        <v>0</v>
      </c>
      <c r="EP190" s="2603"/>
      <c r="EQ190" s="195">
        <f>CR190-AJ190</f>
        <v>0</v>
      </c>
      <c r="ER190" s="2603"/>
      <c r="ES190" s="195">
        <f>CS190-AO190</f>
        <v>0</v>
      </c>
      <c r="ET190" s="2603"/>
      <c r="EU190" s="190">
        <f t="shared" si="57"/>
        <v>0</v>
      </c>
      <c r="EV190" s="2603"/>
      <c r="EW190" s="195">
        <f>CU190-AS190</f>
        <v>0</v>
      </c>
      <c r="EX190" s="2603"/>
      <c r="EY190" s="190">
        <f>CV190-AU190</f>
        <v>0</v>
      </c>
      <c r="EZ190" s="2603"/>
      <c r="FA190" s="190">
        <f>CY190-AX190</f>
        <v>0</v>
      </c>
      <c r="FB190" s="2603"/>
      <c r="FC190" s="190">
        <f>CZ190-AY190</f>
        <v>0</v>
      </c>
      <c r="FD190" s="2603"/>
      <c r="FE190" s="190">
        <f>DA190-AZ190</f>
        <v>0</v>
      </c>
      <c r="FF190" s="2603"/>
      <c r="FG190" s="190">
        <f>DB190-BA190</f>
        <v>0</v>
      </c>
      <c r="FH190" s="2603"/>
      <c r="FI190" s="190">
        <f>DC190-BB190</f>
        <v>0</v>
      </c>
      <c r="FJ190" s="2603"/>
      <c r="FK190" s="190">
        <f>CX190-AW190</f>
        <v>0</v>
      </c>
      <c r="FL190" s="2603"/>
      <c r="FM190" s="195">
        <f>DF190-BE190</f>
        <v>56057</v>
      </c>
      <c r="FN190" s="2603"/>
      <c r="FO190" s="195">
        <f>DH190-BG190</f>
        <v>57.15</v>
      </c>
      <c r="FP190" s="2603"/>
      <c r="FQ190" s="195">
        <f t="shared" si="119"/>
        <v>57.15</v>
      </c>
      <c r="FR190" s="190">
        <f t="shared" si="119"/>
        <v>164.0205</v>
      </c>
      <c r="FS190" s="190">
        <f t="shared" si="119"/>
        <v>-14</v>
      </c>
      <c r="FT190" s="801">
        <f t="shared" si="119"/>
        <v>0</v>
      </c>
      <c r="FU190" s="801">
        <f>DR190-BO190</f>
        <v>7.65</v>
      </c>
      <c r="FV190" s="801">
        <f>DO190-BM190</f>
        <v>0</v>
      </c>
      <c r="FW190" s="801">
        <f>DQ190-BN190</f>
        <v>0</v>
      </c>
      <c r="FX190" s="801">
        <f t="shared" si="120"/>
        <v>0</v>
      </c>
      <c r="FY190" s="801">
        <f t="shared" si="120"/>
        <v>0</v>
      </c>
      <c r="FZ190" s="801">
        <f t="shared" si="120"/>
        <v>0</v>
      </c>
      <c r="GA190" s="801">
        <f t="shared" si="120"/>
        <v>0</v>
      </c>
      <c r="GB190" s="2736"/>
      <c r="GC190" s="845">
        <f t="shared" si="58"/>
        <v>7.65</v>
      </c>
      <c r="GD190" s="139"/>
      <c r="GE190" s="139"/>
      <c r="GF190" s="139"/>
      <c r="GG190" s="139"/>
      <c r="GH190" s="139"/>
      <c r="GI190" s="139"/>
      <c r="GJ190" s="139"/>
      <c r="GK190" s="139"/>
      <c r="GL190" s="139"/>
      <c r="GM190" s="139"/>
      <c r="GN190" s="139"/>
      <c r="GO190" s="139"/>
      <c r="GP190" s="139"/>
      <c r="GQ190" s="139"/>
      <c r="GR190" s="139"/>
      <c r="GS190" s="139"/>
      <c r="GT190" s="139"/>
    </row>
    <row r="191" spans="1:202" s="139" customFormat="1" ht="18.75">
      <c r="A191" s="2263"/>
      <c r="B191" s="2263"/>
      <c r="C191" s="132"/>
      <c r="D191" s="132"/>
      <c r="E191" s="132"/>
      <c r="F191" s="777"/>
      <c r="G191" s="132"/>
      <c r="H191" s="135"/>
      <c r="I191" s="136"/>
      <c r="J191" s="132"/>
      <c r="K191" s="132"/>
      <c r="L191" s="132"/>
      <c r="M191" s="132"/>
      <c r="N191" s="134"/>
      <c r="O191" s="134"/>
      <c r="P191" s="134"/>
      <c r="Q191" s="134"/>
      <c r="R191" s="137"/>
      <c r="S191" s="778"/>
      <c r="T191" s="634"/>
      <c r="U191" s="102"/>
      <c r="V191" s="634"/>
      <c r="W191" s="102"/>
      <c r="X191" s="102"/>
      <c r="Y191" s="102"/>
      <c r="Z191" s="634"/>
      <c r="AA191" s="102"/>
      <c r="AB191" s="634"/>
      <c r="AC191" s="102"/>
      <c r="AD191" s="634"/>
      <c r="AE191" s="102"/>
      <c r="AF191" s="102"/>
      <c r="AG191" s="102"/>
      <c r="AH191" s="102"/>
      <c r="AI191" s="634"/>
      <c r="AJ191" s="102"/>
      <c r="AK191" s="634"/>
      <c r="AL191" s="102"/>
      <c r="AM191" s="779"/>
      <c r="AN191" s="634"/>
      <c r="AO191" s="102"/>
      <c r="AP191" s="634"/>
      <c r="AQ191" s="102"/>
      <c r="AR191" s="634"/>
      <c r="AS191" s="102"/>
      <c r="AT191" s="634"/>
      <c r="AU191" s="102"/>
      <c r="AV191" s="634"/>
      <c r="AW191" s="102"/>
      <c r="AX191" s="102"/>
      <c r="AY191" s="102"/>
      <c r="AZ191" s="102"/>
      <c r="BA191" s="102"/>
      <c r="BB191" s="102"/>
      <c r="BC191" s="102"/>
      <c r="BD191" s="634"/>
      <c r="BE191" s="102"/>
      <c r="BF191" s="634"/>
      <c r="BG191" s="102"/>
      <c r="BH191" s="634"/>
      <c r="BI191" s="102"/>
      <c r="BJ191" s="111"/>
      <c r="BK191" s="186"/>
      <c r="BL191" s="102"/>
      <c r="BM191" s="102"/>
      <c r="BN191" s="102"/>
      <c r="BO191" s="102"/>
      <c r="BP191" s="102"/>
      <c r="BQ191" s="102"/>
      <c r="BR191" s="102"/>
      <c r="BS191" s="102"/>
      <c r="BT191" s="634"/>
      <c r="BU191" s="102"/>
      <c r="BW191" s="780"/>
      <c r="CA191" s="781"/>
      <c r="CB191" s="2258"/>
      <c r="CC191" s="782"/>
      <c r="CD191" s="782"/>
      <c r="CE191" s="634"/>
      <c r="CF191" s="783"/>
      <c r="CG191" s="634"/>
      <c r="CH191" s="783"/>
      <c r="CI191" s="634"/>
      <c r="CK191" s="634"/>
      <c r="CM191" s="634"/>
      <c r="CN191" s="784"/>
      <c r="CO191" s="784"/>
      <c r="CP191" s="784"/>
      <c r="CQ191" s="634"/>
      <c r="CR191" s="102"/>
      <c r="CS191" s="784"/>
      <c r="CT191" s="784"/>
      <c r="CU191" s="784"/>
      <c r="CV191" s="784"/>
      <c r="CW191" s="634"/>
      <c r="CX191" s="102"/>
      <c r="CY191" s="784"/>
      <c r="CZ191" s="784"/>
      <c r="DA191" s="784"/>
      <c r="DB191" s="784"/>
      <c r="DC191" s="784"/>
      <c r="DD191" s="784"/>
      <c r="DE191" s="634"/>
      <c r="DF191" s="784"/>
      <c r="DG191" s="634"/>
      <c r="DH191" s="296"/>
      <c r="DI191" s="802"/>
      <c r="DJ191" s="785"/>
      <c r="DK191" s="899"/>
      <c r="DL191" s="786"/>
      <c r="DM191" s="787"/>
      <c r="DN191" s="787"/>
      <c r="DO191" s="787"/>
      <c r="DP191" s="787"/>
      <c r="DQ191" s="787"/>
      <c r="DR191" s="787"/>
      <c r="DS191" s="787"/>
      <c r="DT191" s="787"/>
      <c r="DU191" s="787"/>
      <c r="DV191" s="787"/>
      <c r="DW191" s="802"/>
      <c r="DX191" s="788"/>
      <c r="DY191" s="634"/>
      <c r="DZ191" s="2288"/>
      <c r="EA191" s="2231"/>
      <c r="EB191" s="187"/>
      <c r="EC191" s="2232"/>
      <c r="ED191" s="187"/>
      <c r="EE191" s="187"/>
      <c r="EF191" s="2232"/>
      <c r="EG191" s="187"/>
      <c r="EH191" s="2232"/>
      <c r="EI191" s="187"/>
      <c r="EJ191" s="2232"/>
      <c r="EK191" s="187"/>
      <c r="EL191" s="2232"/>
      <c r="EM191" s="195"/>
      <c r="EN191" s="2232"/>
      <c r="EO191" s="195"/>
      <c r="EP191" s="2232"/>
      <c r="EQ191" s="187"/>
      <c r="ER191" s="2232"/>
      <c r="ES191" s="187"/>
      <c r="ET191" s="2232"/>
      <c r="EU191" s="187">
        <f t="shared" si="57"/>
        <v>0</v>
      </c>
      <c r="EV191" s="2232"/>
      <c r="EW191" s="187"/>
      <c r="EX191" s="2232"/>
      <c r="EY191" s="195"/>
      <c r="EZ191" s="2232"/>
      <c r="FA191" s="195"/>
      <c r="FB191" s="2232"/>
      <c r="FC191" s="195"/>
      <c r="FD191" s="2232"/>
      <c r="FE191" s="195"/>
      <c r="FF191" s="2232"/>
      <c r="FG191" s="195"/>
      <c r="FH191" s="2232"/>
      <c r="FI191" s="195"/>
      <c r="FJ191" s="2232"/>
      <c r="FK191" s="195"/>
      <c r="FL191" s="2232"/>
      <c r="FM191" s="187"/>
      <c r="FN191" s="2232"/>
      <c r="FO191" s="187"/>
      <c r="FP191" s="2232"/>
      <c r="FQ191" s="187"/>
      <c r="FR191" s="195"/>
      <c r="FS191" s="195"/>
      <c r="FT191" s="789"/>
      <c r="FU191" s="789"/>
      <c r="FV191" s="789"/>
      <c r="FW191" s="789"/>
      <c r="FX191" s="789"/>
      <c r="FY191" s="789"/>
      <c r="FZ191" s="789"/>
      <c r="GA191" s="789"/>
      <c r="GB191" s="2289"/>
      <c r="GC191" s="776"/>
    </row>
    <row r="192" spans="1:202" s="228" customFormat="1" ht="18.75">
      <c r="A192" s="216"/>
      <c r="B192" s="216">
        <v>69</v>
      </c>
      <c r="C192" s="218" t="s">
        <v>703</v>
      </c>
      <c r="D192" s="218">
        <v>2833</v>
      </c>
      <c r="E192" s="218">
        <v>1</v>
      </c>
      <c r="F192" s="897">
        <v>2028330001</v>
      </c>
      <c r="G192" s="218">
        <v>9703</v>
      </c>
      <c r="H192" s="221" t="s">
        <v>753</v>
      </c>
      <c r="I192" s="222"/>
      <c r="J192" s="218">
        <v>1</v>
      </c>
      <c r="K192" s="218">
        <v>4</v>
      </c>
      <c r="L192" s="218">
        <v>3.4</v>
      </c>
      <c r="M192" s="218">
        <v>6.5</v>
      </c>
      <c r="N192" s="220">
        <v>9700</v>
      </c>
      <c r="O192" s="220">
        <v>0</v>
      </c>
      <c r="P192" s="220">
        <v>0</v>
      </c>
      <c r="Q192" s="220">
        <v>9700</v>
      </c>
      <c r="R192" s="223">
        <v>0</v>
      </c>
      <c r="S192" s="898" t="s">
        <v>637</v>
      </c>
      <c r="T192" s="234">
        <f>U192</f>
        <v>0</v>
      </c>
      <c r="U192" s="111">
        <v>0</v>
      </c>
      <c r="V192" s="234">
        <f>W192</f>
        <v>9700</v>
      </c>
      <c r="W192" s="111">
        <f>N192</f>
        <v>9700</v>
      </c>
      <c r="X192" s="111"/>
      <c r="Y192" s="111">
        <f>W192-AA192</f>
        <v>9700</v>
      </c>
      <c r="Z192" s="234">
        <f>AA192</f>
        <v>0</v>
      </c>
      <c r="AA192" s="111">
        <v>0</v>
      </c>
      <c r="AB192" s="234">
        <f>AC192</f>
        <v>0</v>
      </c>
      <c r="AC192" s="111">
        <v>0</v>
      </c>
      <c r="AD192" s="234">
        <f>AE192</f>
        <v>0</v>
      </c>
      <c r="AE192" s="111">
        <f>AG192+AF192</f>
        <v>0</v>
      </c>
      <c r="AF192" s="111">
        <v>0</v>
      </c>
      <c r="AG192" s="111">
        <v>0</v>
      </c>
      <c r="AH192" s="111">
        <v>0</v>
      </c>
      <c r="AI192" s="234">
        <f>AJ192</f>
        <v>0</v>
      </c>
      <c r="AJ192" s="111">
        <v>0</v>
      </c>
      <c r="AK192" s="234">
        <f>AL192</f>
        <v>9700</v>
      </c>
      <c r="AL192" s="111">
        <f>W192-(AA192+AC192+AE192+AH192+AJ192+AM192+AW192+AO192+AQ192+AS192+AU192)</f>
        <v>9700</v>
      </c>
      <c r="AM192" s="899">
        <v>0</v>
      </c>
      <c r="AN192" s="234">
        <f>AO192</f>
        <v>0</v>
      </c>
      <c r="AO192" s="111">
        <v>0</v>
      </c>
      <c r="AP192" s="234">
        <f>AQ192</f>
        <v>0</v>
      </c>
      <c r="AQ192" s="111">
        <v>0</v>
      </c>
      <c r="AR192" s="234">
        <f>AS192</f>
        <v>0</v>
      </c>
      <c r="AS192" s="111">
        <v>0</v>
      </c>
      <c r="AT192" s="234">
        <f>AU192</f>
        <v>0</v>
      </c>
      <c r="AU192" s="111">
        <v>0</v>
      </c>
      <c r="AV192" s="234">
        <f>AW192</f>
        <v>0</v>
      </c>
      <c r="AW192" s="111">
        <f>AX192+AY192+AZ192+BA192+BB192</f>
        <v>0</v>
      </c>
      <c r="AX192" s="111">
        <v>0</v>
      </c>
      <c r="AY192" s="111">
        <v>0</v>
      </c>
      <c r="AZ192" s="111">
        <v>0</v>
      </c>
      <c r="BA192" s="111">
        <v>0</v>
      </c>
      <c r="BB192" s="111">
        <v>0</v>
      </c>
      <c r="BC192" s="111">
        <v>0</v>
      </c>
      <c r="BD192" s="234">
        <f>BE192</f>
        <v>9700</v>
      </c>
      <c r="BE192" s="111">
        <f>U192+W192</f>
        <v>9700</v>
      </c>
      <c r="BF192" s="234">
        <f>BG192</f>
        <v>0</v>
      </c>
      <c r="BG192" s="111">
        <f>U192/1000</f>
        <v>0</v>
      </c>
      <c r="BH192" s="234">
        <f>BI192</f>
        <v>0</v>
      </c>
      <c r="BI192" s="111">
        <v>0</v>
      </c>
      <c r="BJ192" s="111">
        <f t="shared" si="59"/>
        <v>0</v>
      </c>
      <c r="BK192" s="306">
        <f>ROUND((Y192+AC192+AA192)/1000*3,0)+ROUND((AE192+AU192)/1000,0)+ROUND((ROUND(AH192/400,0))/2.67,0)+ROUND(AM192/250,0)+ROUND(AO192/15000,0)+ROUND((AX192+AY192+AZ192+BB192)/1000*3,0)+ROUND(BG192/25,0)+ROUND(BU58/50,0)</f>
        <v>29</v>
      </c>
      <c r="BL192" s="111">
        <v>0</v>
      </c>
      <c r="BM192" s="111">
        <v>0</v>
      </c>
      <c r="BN192" s="111">
        <v>0</v>
      </c>
      <c r="BO192" s="111">
        <f>AC192/1000</f>
        <v>0</v>
      </c>
      <c r="BP192" s="111">
        <f>AH192/1000</f>
        <v>0</v>
      </c>
      <c r="BQ192" s="111">
        <v>0</v>
      </c>
      <c r="BR192" s="111">
        <v>0</v>
      </c>
      <c r="BS192" s="111">
        <v>0</v>
      </c>
      <c r="BT192" s="234">
        <f>BU192</f>
        <v>0</v>
      </c>
      <c r="BU192" s="111">
        <f>SUM(BL192:BS192)</f>
        <v>0</v>
      </c>
      <c r="BV192" s="228">
        <v>15</v>
      </c>
      <c r="BW192" s="900" t="s">
        <v>741</v>
      </c>
      <c r="BX192" s="228">
        <v>7.2</v>
      </c>
      <c r="BY192" s="228">
        <v>2</v>
      </c>
      <c r="BZ192" s="228">
        <v>6.5</v>
      </c>
      <c r="CA192" s="901" t="s">
        <v>706</v>
      </c>
      <c r="CB192" s="230" t="s">
        <v>716</v>
      </c>
      <c r="CC192" s="399">
        <f>(BX192*G192)-CF192</f>
        <v>61614.05</v>
      </c>
      <c r="CD192" s="399">
        <v>61614.05</v>
      </c>
      <c r="CE192" s="234">
        <f>CF192</f>
        <v>8247.5499999999993</v>
      </c>
      <c r="CF192" s="836">
        <f>1*(G192)-(0.15*1*(G192))</f>
        <v>8247.5499999999993</v>
      </c>
      <c r="CG192" s="234">
        <f>CH192</f>
        <v>8247.5499999999993</v>
      </c>
      <c r="CH192" s="836">
        <f>CF192-CJ192</f>
        <v>8247.5499999999993</v>
      </c>
      <c r="CI192" s="234">
        <f>CJ192</f>
        <v>0</v>
      </c>
      <c r="CJ192" s="228">
        <v>0</v>
      </c>
      <c r="CK192" s="234">
        <f>CL192</f>
        <v>0</v>
      </c>
      <c r="CL192" s="228">
        <v>0</v>
      </c>
      <c r="CM192" s="234">
        <f>CN192</f>
        <v>8247.5499999999993</v>
      </c>
      <c r="CN192" s="903">
        <f>CF192-(CJ192+CL192+CO192+CP192+CR192+CU192+CV192+CX192)</f>
        <v>8247.5499999999993</v>
      </c>
      <c r="CO192" s="903">
        <v>0</v>
      </c>
      <c r="CP192" s="903">
        <v>0</v>
      </c>
      <c r="CQ192" s="234">
        <f>CR192</f>
        <v>0</v>
      </c>
      <c r="CR192" s="111">
        <v>0</v>
      </c>
      <c r="CS192" s="903">
        <v>0</v>
      </c>
      <c r="CT192" s="903">
        <v>0</v>
      </c>
      <c r="CU192" s="903">
        <v>0</v>
      </c>
      <c r="CV192" s="903">
        <v>0</v>
      </c>
      <c r="CW192" s="234">
        <f>CX192</f>
        <v>0</v>
      </c>
      <c r="CX192" s="111">
        <f>SUM(CY192:DC192)</f>
        <v>0</v>
      </c>
      <c r="CY192" s="903">
        <f>AX192</f>
        <v>0</v>
      </c>
      <c r="CZ192" s="903">
        <f>AY192</f>
        <v>0</v>
      </c>
      <c r="DA192" s="903">
        <f>AZ192</f>
        <v>0</v>
      </c>
      <c r="DB192" s="903">
        <f>BA192</f>
        <v>0</v>
      </c>
      <c r="DC192" s="903">
        <f>BB192</f>
        <v>0</v>
      </c>
      <c r="DD192" s="903"/>
      <c r="DE192" s="234">
        <f>DF192</f>
        <v>69861.600000000006</v>
      </c>
      <c r="DF192" s="903">
        <f>CC192+CF192</f>
        <v>69861.600000000006</v>
      </c>
      <c r="DG192" s="234">
        <f>DH192</f>
        <v>61.614050000000006</v>
      </c>
      <c r="DH192" s="904">
        <f>CC192/'[1]Projected Development Sites'!DF$134</f>
        <v>61.614050000000006</v>
      </c>
      <c r="DI192" s="886">
        <f>DJ192</f>
        <v>61.614050000000006</v>
      </c>
      <c r="DJ192" s="803">
        <f>'[1]Projected Development Sites'!DK$136*DH192</f>
        <v>61.614050000000006</v>
      </c>
      <c r="DK192" s="899">
        <f>2.87*DH192</f>
        <v>176.83232350000003</v>
      </c>
      <c r="DL192" s="772">
        <f>ROUND((CN192+CL192+CJ192)/1000*3,0)+ROUND((ROUND(CP192/400,0))/2.67,0)+ROUND(CV192/1000,0)+ROUND((CY192+CZ192+DA192+DC192)/1000*3,0)+ROUND(DH192/25,0)+ROUND(DX192/50,0)</f>
        <v>27</v>
      </c>
      <c r="DM192" s="905">
        <v>0</v>
      </c>
      <c r="DN192" s="905"/>
      <c r="DO192" s="905">
        <v>0</v>
      </c>
      <c r="DP192" s="905">
        <f>0.25*DJ192</f>
        <v>15.403512500000001</v>
      </c>
      <c r="DQ192" s="905">
        <f>SUM(CO192,CJ192,CN192,CR192,CU192)/1000</f>
        <v>8.2475499999999986</v>
      </c>
      <c r="DR192" s="905">
        <f>CL192/1000</f>
        <v>0</v>
      </c>
      <c r="DS192" s="905">
        <f>((CP192/400)/12)</f>
        <v>0</v>
      </c>
      <c r="DT192" s="905">
        <f>IF(CX192&gt;0,"Calculate",0)</f>
        <v>0</v>
      </c>
      <c r="DU192" s="905">
        <v>0</v>
      </c>
      <c r="DV192" s="905">
        <f>CX192/1000</f>
        <v>0</v>
      </c>
      <c r="DW192" s="886">
        <f>DX192</f>
        <v>8.2475499999999986</v>
      </c>
      <c r="DX192" s="906">
        <f>SUM(DM192,DO192,DQ192:DV192)</f>
        <v>8.2475499999999986</v>
      </c>
      <c r="DY192" s="837">
        <v>145</v>
      </c>
      <c r="DZ192" s="2288">
        <f>CD192-T192</f>
        <v>61614.05</v>
      </c>
      <c r="EA192" s="2231">
        <f>CE192-V192</f>
        <v>-1452.4500000000007</v>
      </c>
      <c r="EB192" s="187">
        <f>CF192-W192</f>
        <v>-1452.4500000000007</v>
      </c>
      <c r="EC192" s="235">
        <f>ED192</f>
        <v>-1452.4500000000007</v>
      </c>
      <c r="ED192" s="187">
        <v>-1452.4500000000007</v>
      </c>
      <c r="EE192" s="187">
        <f>(SUM(CJ192:CO192))-(SUM(AA192:AE192,AL192))</f>
        <v>6795.0999999999985</v>
      </c>
      <c r="EF192" s="235">
        <f>EG192</f>
        <v>-1452.4500000000007</v>
      </c>
      <c r="EG192" s="187">
        <v>-1452.4500000000007</v>
      </c>
      <c r="EH192" s="235">
        <f>EI192</f>
        <v>0</v>
      </c>
      <c r="EI192" s="187">
        <f>CL192-AC192</f>
        <v>0</v>
      </c>
      <c r="EJ192" s="235">
        <f>EK192</f>
        <v>0</v>
      </c>
      <c r="EK192" s="187">
        <f>CJ192-AA192</f>
        <v>0</v>
      </c>
      <c r="EL192" s="235">
        <f>EM192</f>
        <v>0</v>
      </c>
      <c r="EM192" s="245">
        <f>CO192-AE192</f>
        <v>0</v>
      </c>
      <c r="EN192" s="235">
        <f>EO192</f>
        <v>0</v>
      </c>
      <c r="EO192" s="245">
        <f>CP192-AH192</f>
        <v>0</v>
      </c>
      <c r="EP192" s="235">
        <f>EQ192</f>
        <v>0</v>
      </c>
      <c r="EQ192" s="187">
        <f>CR192-AJ192</f>
        <v>0</v>
      </c>
      <c r="ER192" s="235">
        <f>ES192</f>
        <v>0</v>
      </c>
      <c r="ES192" s="187">
        <f>CS192-AO192</f>
        <v>0</v>
      </c>
      <c r="ET192" s="235">
        <f>EU192</f>
        <v>0</v>
      </c>
      <c r="EU192" s="187">
        <f t="shared" si="57"/>
        <v>0</v>
      </c>
      <c r="EV192" s="235">
        <f>EW192</f>
        <v>0</v>
      </c>
      <c r="EW192" s="187">
        <f>CU192-AS192</f>
        <v>0</v>
      </c>
      <c r="EX192" s="235">
        <f>EY192</f>
        <v>0</v>
      </c>
      <c r="EY192" s="245">
        <f>CV192-AU192</f>
        <v>0</v>
      </c>
      <c r="EZ192" s="235">
        <f>FA192</f>
        <v>0</v>
      </c>
      <c r="FA192" s="245">
        <f>CY192-AX192</f>
        <v>0</v>
      </c>
      <c r="FB192" s="235">
        <f>FC192</f>
        <v>0</v>
      </c>
      <c r="FC192" s="245">
        <f>CZ192-AY192</f>
        <v>0</v>
      </c>
      <c r="FD192" s="235">
        <f>FE192</f>
        <v>0</v>
      </c>
      <c r="FE192" s="245">
        <f>DA192-AZ192</f>
        <v>0</v>
      </c>
      <c r="FF192" s="235">
        <f>FG192</f>
        <v>0</v>
      </c>
      <c r="FG192" s="245">
        <f>DB192-BA192</f>
        <v>0</v>
      </c>
      <c r="FH192" s="235">
        <f>FI192</f>
        <v>0</v>
      </c>
      <c r="FI192" s="245">
        <f>DC192-BB192</f>
        <v>0</v>
      </c>
      <c r="FJ192" s="235">
        <f>FK192</f>
        <v>0</v>
      </c>
      <c r="FK192" s="245">
        <f>CX192-AW192</f>
        <v>0</v>
      </c>
      <c r="FL192" s="235">
        <f>FM192</f>
        <v>60161.600000000006</v>
      </c>
      <c r="FM192" s="187">
        <f>DF192-BE192</f>
        <v>60161.600000000006</v>
      </c>
      <c r="FN192" s="235">
        <f>FO192</f>
        <v>61.614050000000006</v>
      </c>
      <c r="FO192" s="187">
        <f>DH192-BG192</f>
        <v>61.614050000000006</v>
      </c>
      <c r="FP192" s="235">
        <f>FQ192</f>
        <v>61.614050000000006</v>
      </c>
      <c r="FQ192" s="187">
        <f>DJ192-BI192</f>
        <v>61.614050000000006</v>
      </c>
      <c r="FR192" s="245">
        <f>DK192-BJ192</f>
        <v>176.83232350000003</v>
      </c>
      <c r="FS192" s="245">
        <f>DL192-BK192</f>
        <v>-2</v>
      </c>
      <c r="FT192" s="907">
        <f>DM192-BL192</f>
        <v>0</v>
      </c>
      <c r="FU192" s="907">
        <f>DR192-BO192</f>
        <v>0</v>
      </c>
      <c r="FV192" s="907">
        <f>DO192-BM192</f>
        <v>0</v>
      </c>
      <c r="FW192" s="907">
        <f>DQ192-BN192</f>
        <v>8.2475499999999986</v>
      </c>
      <c r="FX192" s="907">
        <f>DS192-BP192</f>
        <v>0</v>
      </c>
      <c r="FY192" s="907">
        <f>DT192-BQ192</f>
        <v>0</v>
      </c>
      <c r="FZ192" s="907">
        <f>DU192-BR192</f>
        <v>0</v>
      </c>
      <c r="GA192" s="907">
        <f>DV192-BS192</f>
        <v>0</v>
      </c>
      <c r="GB192" s="894">
        <f>GC192</f>
        <v>8.2475499999999986</v>
      </c>
      <c r="GC192" s="776">
        <f t="shared" si="58"/>
        <v>8.2475499999999986</v>
      </c>
      <c r="GD192" s="139"/>
      <c r="GE192" s="139"/>
      <c r="GF192" s="139"/>
      <c r="GG192" s="139"/>
      <c r="GH192" s="139"/>
      <c r="GI192" s="139"/>
      <c r="GJ192" s="139"/>
      <c r="GK192" s="139"/>
      <c r="GL192" s="139"/>
      <c r="GM192" s="139"/>
      <c r="GN192" s="139"/>
      <c r="GO192" s="139"/>
      <c r="GP192" s="139"/>
      <c r="GQ192" s="139"/>
      <c r="GR192" s="139"/>
      <c r="GS192" s="139"/>
      <c r="GT192" s="139"/>
    </row>
    <row r="193" spans="1:202" s="139" customFormat="1" ht="18.75">
      <c r="A193" s="2263"/>
      <c r="B193" s="2263"/>
      <c r="C193" s="132"/>
      <c r="D193" s="132"/>
      <c r="E193" s="132"/>
      <c r="F193" s="777"/>
      <c r="G193" s="132"/>
      <c r="H193" s="135"/>
      <c r="I193" s="136"/>
      <c r="J193" s="132"/>
      <c r="K193" s="132"/>
      <c r="L193" s="132"/>
      <c r="M193" s="132"/>
      <c r="N193" s="134"/>
      <c r="O193" s="134"/>
      <c r="P193" s="134"/>
      <c r="Q193" s="134"/>
      <c r="R193" s="137"/>
      <c r="S193" s="778"/>
      <c r="T193" s="634"/>
      <c r="U193" s="102"/>
      <c r="V193" s="634"/>
      <c r="W193" s="102"/>
      <c r="X193" s="102"/>
      <c r="Y193" s="102"/>
      <c r="Z193" s="634"/>
      <c r="AA193" s="102"/>
      <c r="AB193" s="634"/>
      <c r="AC193" s="102"/>
      <c r="AD193" s="634"/>
      <c r="AE193" s="102"/>
      <c r="AF193" s="102"/>
      <c r="AG193" s="102"/>
      <c r="AH193" s="102"/>
      <c r="AI193" s="634"/>
      <c r="AJ193" s="102"/>
      <c r="AK193" s="634"/>
      <c r="AL193" s="102"/>
      <c r="AM193" s="779"/>
      <c r="AN193" s="634"/>
      <c r="AO193" s="102"/>
      <c r="AP193" s="634"/>
      <c r="AQ193" s="102"/>
      <c r="AR193" s="634"/>
      <c r="AS193" s="102"/>
      <c r="AT193" s="634"/>
      <c r="AU193" s="102"/>
      <c r="AV193" s="634"/>
      <c r="AW193" s="102"/>
      <c r="AX193" s="102"/>
      <c r="AY193" s="102"/>
      <c r="AZ193" s="102"/>
      <c r="BA193" s="102"/>
      <c r="BB193" s="102"/>
      <c r="BC193" s="102"/>
      <c r="BD193" s="634"/>
      <c r="BE193" s="102"/>
      <c r="BF193" s="634"/>
      <c r="BG193" s="102"/>
      <c r="BH193" s="634"/>
      <c r="BI193" s="102"/>
      <c r="BJ193" s="111"/>
      <c r="BK193" s="186"/>
      <c r="BL193" s="102"/>
      <c r="BM193" s="102"/>
      <c r="BN193" s="102"/>
      <c r="BO193" s="102"/>
      <c r="BP193" s="102"/>
      <c r="BQ193" s="102"/>
      <c r="BR193" s="102"/>
      <c r="BS193" s="102"/>
      <c r="BT193" s="634"/>
      <c r="BU193" s="102"/>
      <c r="BW193" s="780"/>
      <c r="CA193" s="781"/>
      <c r="CB193" s="2258"/>
      <c r="CC193" s="782"/>
      <c r="CD193" s="782"/>
      <c r="CE193" s="634"/>
      <c r="CF193" s="783"/>
      <c r="CG193" s="634"/>
      <c r="CH193" s="783"/>
      <c r="CI193" s="634"/>
      <c r="CK193" s="634"/>
      <c r="CM193" s="634"/>
      <c r="CN193" s="784"/>
      <c r="CO193" s="784"/>
      <c r="CP193" s="784"/>
      <c r="CQ193" s="634"/>
      <c r="CR193" s="102"/>
      <c r="CS193" s="784"/>
      <c r="CT193" s="784"/>
      <c r="CU193" s="784"/>
      <c r="CV193" s="784"/>
      <c r="CW193" s="634"/>
      <c r="CX193" s="102"/>
      <c r="CY193" s="784"/>
      <c r="CZ193" s="784"/>
      <c r="DA193" s="784"/>
      <c r="DB193" s="784"/>
      <c r="DC193" s="784"/>
      <c r="DD193" s="784"/>
      <c r="DE193" s="634"/>
      <c r="DF193" s="784"/>
      <c r="DG193" s="634"/>
      <c r="DH193" s="296"/>
      <c r="DI193" s="802"/>
      <c r="DJ193" s="785"/>
      <c r="DK193" s="899"/>
      <c r="DL193" s="772"/>
      <c r="DM193" s="787"/>
      <c r="DN193" s="787"/>
      <c r="DO193" s="787"/>
      <c r="DP193" s="787"/>
      <c r="DQ193" s="787"/>
      <c r="DR193" s="787"/>
      <c r="DS193" s="787"/>
      <c r="DT193" s="787"/>
      <c r="DU193" s="787"/>
      <c r="DV193" s="787"/>
      <c r="DW193" s="802"/>
      <c r="DX193" s="788"/>
      <c r="DY193" s="634"/>
      <c r="DZ193" s="2288"/>
      <c r="EA193" s="2231"/>
      <c r="EB193" s="187"/>
      <c r="EC193" s="2232"/>
      <c r="ED193" s="187"/>
      <c r="EE193" s="187"/>
      <c r="EF193" s="2232"/>
      <c r="EG193" s="187"/>
      <c r="EH193" s="2232"/>
      <c r="EI193" s="187"/>
      <c r="EJ193" s="2232"/>
      <c r="EK193" s="187"/>
      <c r="EL193" s="2232"/>
      <c r="EM193" s="195"/>
      <c r="EN193" s="2232"/>
      <c r="EO193" s="195"/>
      <c r="EP193" s="2232"/>
      <c r="EQ193" s="187"/>
      <c r="ER193" s="2232"/>
      <c r="ES193" s="187"/>
      <c r="ET193" s="2232"/>
      <c r="EU193" s="187">
        <f t="shared" si="57"/>
        <v>0</v>
      </c>
      <c r="EV193" s="2232"/>
      <c r="EW193" s="187"/>
      <c r="EX193" s="2232"/>
      <c r="EY193" s="195"/>
      <c r="EZ193" s="2232"/>
      <c r="FA193" s="195"/>
      <c r="FB193" s="2232"/>
      <c r="FC193" s="195"/>
      <c r="FD193" s="2232"/>
      <c r="FE193" s="195"/>
      <c r="FF193" s="2232"/>
      <c r="FG193" s="195"/>
      <c r="FH193" s="2232"/>
      <c r="FI193" s="195"/>
      <c r="FJ193" s="2232"/>
      <c r="FK193" s="195"/>
      <c r="FL193" s="2232"/>
      <c r="FM193" s="187"/>
      <c r="FN193" s="2232"/>
      <c r="FO193" s="187"/>
      <c r="FP193" s="2232"/>
      <c r="FQ193" s="187"/>
      <c r="FR193" s="195"/>
      <c r="FS193" s="195"/>
      <c r="FT193" s="789"/>
      <c r="FU193" s="789"/>
      <c r="FV193" s="789"/>
      <c r="FW193" s="789"/>
      <c r="FX193" s="789"/>
      <c r="FY193" s="789"/>
      <c r="FZ193" s="789"/>
      <c r="GA193" s="789"/>
      <c r="GB193" s="2286"/>
      <c r="GC193" s="776"/>
    </row>
    <row r="194" spans="1:202" s="127" customFormat="1" ht="15" customHeight="1">
      <c r="A194" s="2588"/>
      <c r="B194" s="2588">
        <v>70</v>
      </c>
      <c r="C194" s="115" t="s">
        <v>703</v>
      </c>
      <c r="D194" s="115">
        <v>2833</v>
      </c>
      <c r="E194" s="115">
        <v>37</v>
      </c>
      <c r="F194" s="763">
        <v>2028330037</v>
      </c>
      <c r="G194" s="115">
        <v>3025</v>
      </c>
      <c r="H194" s="118" t="s">
        <v>753</v>
      </c>
      <c r="I194" s="119"/>
      <c r="J194" s="115">
        <v>0.63</v>
      </c>
      <c r="K194" s="115">
        <v>3.44</v>
      </c>
      <c r="L194" s="115">
        <v>3.4</v>
      </c>
      <c r="M194" s="115">
        <v>7.2</v>
      </c>
      <c r="N194" s="117">
        <v>1894</v>
      </c>
      <c r="O194" s="117">
        <v>0</v>
      </c>
      <c r="P194" s="117">
        <v>0</v>
      </c>
      <c r="Q194" s="117">
        <v>1894</v>
      </c>
      <c r="R194" s="120">
        <v>0</v>
      </c>
      <c r="S194" s="764" t="s">
        <v>637</v>
      </c>
      <c r="T194" s="2600">
        <f>SUM(U194:U195)</f>
        <v>0</v>
      </c>
      <c r="U194" s="122">
        <v>0</v>
      </c>
      <c r="V194" s="2600">
        <f>SUM(W194:W195)</f>
        <v>3649</v>
      </c>
      <c r="W194" s="122">
        <f>N194</f>
        <v>1894</v>
      </c>
      <c r="X194" s="122"/>
      <c r="Y194" s="122">
        <f>W194-AA194</f>
        <v>1894</v>
      </c>
      <c r="Z194" s="2600">
        <f>SUM(AA194:AA195)</f>
        <v>0</v>
      </c>
      <c r="AA194" s="122">
        <v>0</v>
      </c>
      <c r="AB194" s="2600">
        <f>SUM(AC194:AC195)</f>
        <v>0</v>
      </c>
      <c r="AC194" s="122">
        <v>0</v>
      </c>
      <c r="AD194" s="2600">
        <f>SUM(AE194:AE195)</f>
        <v>0</v>
      </c>
      <c r="AE194" s="122">
        <f>AG194+AF194</f>
        <v>0</v>
      </c>
      <c r="AF194" s="122">
        <v>0</v>
      </c>
      <c r="AG194" s="122">
        <v>0</v>
      </c>
      <c r="AH194" s="122">
        <v>0</v>
      </c>
      <c r="AI194" s="2600">
        <f>SUM(AJ194:AJ195)</f>
        <v>0</v>
      </c>
      <c r="AJ194" s="122">
        <v>0</v>
      </c>
      <c r="AK194" s="2600">
        <f>SUM(AL194:AL195)</f>
        <v>3649</v>
      </c>
      <c r="AL194" s="122">
        <f>W194-(AA194+AC194+AE194+AH194+AJ194+AM194+AW194+AO194+AQ194+AS194+AU194)</f>
        <v>1894</v>
      </c>
      <c r="AM194" s="765">
        <v>0</v>
      </c>
      <c r="AN194" s="2600">
        <f>SUM(AO194:AO195)</f>
        <v>0</v>
      </c>
      <c r="AO194" s="122">
        <v>0</v>
      </c>
      <c r="AP194" s="2600">
        <f>SUM(AQ194:AQ195)</f>
        <v>0</v>
      </c>
      <c r="AQ194" s="122">
        <v>0</v>
      </c>
      <c r="AR194" s="2600">
        <f>SUM(AS194:AS195)</f>
        <v>0</v>
      </c>
      <c r="AS194" s="122">
        <v>0</v>
      </c>
      <c r="AT194" s="2600">
        <f>SUM(AU194:AU195)</f>
        <v>0</v>
      </c>
      <c r="AU194" s="122">
        <v>0</v>
      </c>
      <c r="AV194" s="2600">
        <f>SUM(AW194:AW195)</f>
        <v>0</v>
      </c>
      <c r="AW194" s="122">
        <f>AX194+AY194+AZ194+BA194+BB194</f>
        <v>0</v>
      </c>
      <c r="AX194" s="122">
        <v>0</v>
      </c>
      <c r="AY194" s="122">
        <v>0</v>
      </c>
      <c r="AZ194" s="122">
        <v>0</v>
      </c>
      <c r="BA194" s="122">
        <v>0</v>
      </c>
      <c r="BB194" s="122">
        <v>0</v>
      </c>
      <c r="BC194" s="122">
        <v>0</v>
      </c>
      <c r="BD194" s="2600">
        <f>SUM(BE194:BE195)</f>
        <v>3649</v>
      </c>
      <c r="BE194" s="122">
        <f>U194+W194</f>
        <v>1894</v>
      </c>
      <c r="BF194" s="2600">
        <f>SUM(BG194:BG195)</f>
        <v>0</v>
      </c>
      <c r="BG194" s="122">
        <f>U194/1000</f>
        <v>0</v>
      </c>
      <c r="BH194" s="2600">
        <f>SUM(BI194:BI195)</f>
        <v>0</v>
      </c>
      <c r="BI194" s="122">
        <v>0</v>
      </c>
      <c r="BJ194" s="122">
        <f t="shared" si="59"/>
        <v>0</v>
      </c>
      <c r="BK194" s="129">
        <f>ROUND((Y194+AC194+AA194)/1000*3,0)+ROUND((AE194+AU194)/1000,0)+ROUND((ROUND(AH194/400,0))/2.67,0)+ROUND(AM194/250,0)+ROUND(AO194/15000,0)+ROUND((AX194+AY194+AZ194+BB194)/1000*3,0)+ROUND(BG194/25,0)+ROUND(BU13/50,0)</f>
        <v>6</v>
      </c>
      <c r="BL194" s="122">
        <v>0</v>
      </c>
      <c r="BM194" s="122">
        <v>0</v>
      </c>
      <c r="BN194" s="122">
        <v>0</v>
      </c>
      <c r="BO194" s="122">
        <f>AC194/1000</f>
        <v>0</v>
      </c>
      <c r="BP194" s="122">
        <f>AH194/1000</f>
        <v>0</v>
      </c>
      <c r="BQ194" s="122">
        <v>0</v>
      </c>
      <c r="BR194" s="122">
        <v>0</v>
      </c>
      <c r="BS194" s="122">
        <v>0</v>
      </c>
      <c r="BT194" s="2600">
        <f>SUM(BU194:BU195)</f>
        <v>0</v>
      </c>
      <c r="BU194" s="122">
        <f>SUM(BL194:BS194)</f>
        <v>0</v>
      </c>
      <c r="BV194" s="127">
        <v>15</v>
      </c>
      <c r="BW194" s="766" t="s">
        <v>741</v>
      </c>
      <c r="BX194" s="127">
        <v>7.2</v>
      </c>
      <c r="BY194" s="127">
        <v>2</v>
      </c>
      <c r="BZ194" s="127">
        <v>6.5</v>
      </c>
      <c r="CA194" s="767" t="s">
        <v>706</v>
      </c>
      <c r="CB194" s="2596" t="s">
        <v>716</v>
      </c>
      <c r="CC194" s="768">
        <f>(BX194*G194)-CF194</f>
        <v>19208.75</v>
      </c>
      <c r="CD194" s="2731">
        <f>SUM(CC194:CC195)</f>
        <v>38417.5</v>
      </c>
      <c r="CE194" s="2600">
        <f>SUM(CF194:CF195)</f>
        <v>5142.5</v>
      </c>
      <c r="CF194" s="769">
        <f>1*(G194)-(0.15*1*(G194))</f>
        <v>2571.25</v>
      </c>
      <c r="CG194" s="2600">
        <f>SUM(CH194:CH195)</f>
        <v>5142.5</v>
      </c>
      <c r="CH194" s="769">
        <f>CF194-CJ194</f>
        <v>2571.25</v>
      </c>
      <c r="CI194" s="2600">
        <f>SUM(CJ194:CJ195)</f>
        <v>0</v>
      </c>
      <c r="CJ194" s="127">
        <v>0</v>
      </c>
      <c r="CK194" s="2600">
        <f>SUM(CL194:CL195)</f>
        <v>0</v>
      </c>
      <c r="CL194" s="127">
        <v>0</v>
      </c>
      <c r="CM194" s="2600">
        <f>SUM(CN194:CN195)</f>
        <v>5142.5</v>
      </c>
      <c r="CN194" s="770">
        <f>CF194-(CJ194+CL194+CO194+CP194+CR194+CU194+CV194+CX194)</f>
        <v>2571.25</v>
      </c>
      <c r="CO194" s="770">
        <v>0</v>
      </c>
      <c r="CP194" s="770">
        <v>0</v>
      </c>
      <c r="CQ194" s="2600">
        <f>SUM(CR194:CR195)</f>
        <v>0</v>
      </c>
      <c r="CR194" s="122">
        <v>0</v>
      </c>
      <c r="CS194" s="770">
        <v>0</v>
      </c>
      <c r="CT194" s="770">
        <v>0</v>
      </c>
      <c r="CU194" s="770">
        <v>0</v>
      </c>
      <c r="CV194" s="770">
        <v>0</v>
      </c>
      <c r="CW194" s="2600">
        <f>SUM(CX194:CX195)</f>
        <v>0</v>
      </c>
      <c r="CX194" s="122">
        <f>SUM(CY194:DC194)</f>
        <v>0</v>
      </c>
      <c r="CY194" s="770">
        <f t="shared" ref="CY194:DC195" si="121">AX194</f>
        <v>0</v>
      </c>
      <c r="CZ194" s="770">
        <f t="shared" si="121"/>
        <v>0</v>
      </c>
      <c r="DA194" s="770">
        <f t="shared" si="121"/>
        <v>0</v>
      </c>
      <c r="DB194" s="770">
        <f t="shared" si="121"/>
        <v>0</v>
      </c>
      <c r="DC194" s="770">
        <f t="shared" si="121"/>
        <v>0</v>
      </c>
      <c r="DD194" s="770"/>
      <c r="DE194" s="2600">
        <f>SUM(DF194:DF195)</f>
        <v>43560</v>
      </c>
      <c r="DF194" s="122">
        <f>CC194+CF194</f>
        <v>21780</v>
      </c>
      <c r="DG194" s="2600">
        <f>SUM(DH194:DH195)</f>
        <v>38.417499999999997</v>
      </c>
      <c r="DH194" s="293">
        <f>CC194/'[1]Projected Development Sites'!DF$134</f>
        <v>19.208749999999998</v>
      </c>
      <c r="DI194" s="2722">
        <f>SUM(DJ194:DJ195)</f>
        <v>38.417499999999997</v>
      </c>
      <c r="DJ194" s="771">
        <f>'[1]Projected Development Sites'!DK$136*DH194</f>
        <v>19.208749999999998</v>
      </c>
      <c r="DK194" s="765">
        <f>2.87*DH194</f>
        <v>55.129112499999998</v>
      </c>
      <c r="DL194" s="772">
        <f>ROUND((CN194+CL194+CJ194)/1000*3,0)+ROUND((ROUND(CP194/400,0))/2.67,0)+ROUND(CV194/1000,0)+ROUND((CY194+CZ194+DA194+DC194)/1000*3,0)+ROUND(DH194/25,0)+ROUND(DX194/50,0)</f>
        <v>9</v>
      </c>
      <c r="DM194" s="773">
        <v>0</v>
      </c>
      <c r="DN194" s="773"/>
      <c r="DO194" s="773">
        <v>0</v>
      </c>
      <c r="DP194" s="773">
        <f>0.25*DJ194</f>
        <v>4.8021874999999996</v>
      </c>
      <c r="DQ194" s="773">
        <f>SUM(CO194,CJ194,CN194,CR194,CU194)/1000</f>
        <v>2.57125</v>
      </c>
      <c r="DR194" s="773">
        <f>CL194/1000</f>
        <v>0</v>
      </c>
      <c r="DS194" s="773">
        <f>((CP194/400)/12)</f>
        <v>0</v>
      </c>
      <c r="DT194" s="773">
        <f>IF(CX194&gt;0,"Calculate",0)</f>
        <v>0</v>
      </c>
      <c r="DU194" s="773">
        <v>0</v>
      </c>
      <c r="DV194" s="773">
        <f>CX194/1000</f>
        <v>0</v>
      </c>
      <c r="DW194" s="2722">
        <f>SUM(DX194:DX195)</f>
        <v>5.1425000000000001</v>
      </c>
      <c r="DX194" s="774">
        <f>SUM(DM194,DO194,DQ194:DV194)</f>
        <v>2.57125</v>
      </c>
      <c r="DY194" s="2725">
        <v>145</v>
      </c>
      <c r="DZ194" s="2728">
        <f>CD194-T194</f>
        <v>38417.5</v>
      </c>
      <c r="EA194" s="2602">
        <f>CE194-V194</f>
        <v>1493.5</v>
      </c>
      <c r="EB194" s="187">
        <f>CF194-W194</f>
        <v>677.25</v>
      </c>
      <c r="EC194" s="2602">
        <f>SUM(ED194:ED195)</f>
        <v>1493.5</v>
      </c>
      <c r="ED194" s="187">
        <v>677.25</v>
      </c>
      <c r="EE194" s="187">
        <f>(SUM(CJ194:CO194))-(SUM(AA194:AE194,AL194))</f>
        <v>5819.75</v>
      </c>
      <c r="EF194" s="2602">
        <f>SUM(EG194:EG195)</f>
        <v>1493.5</v>
      </c>
      <c r="EG194" s="187">
        <v>677.25</v>
      </c>
      <c r="EH194" s="2602">
        <f>SUM(EI194:EI195)</f>
        <v>0</v>
      </c>
      <c r="EI194" s="187">
        <f>CL194-AC194</f>
        <v>0</v>
      </c>
      <c r="EJ194" s="2602">
        <f>SUM(EK194:EK195)</f>
        <v>0</v>
      </c>
      <c r="EK194" s="187">
        <f>CJ194-AA194</f>
        <v>0</v>
      </c>
      <c r="EL194" s="2602">
        <f>SUM(EM194:EM195)</f>
        <v>0</v>
      </c>
      <c r="EM194" s="187">
        <f>CO194-AE194</f>
        <v>0</v>
      </c>
      <c r="EN194" s="2602">
        <f>SUM(EO194:EO195)</f>
        <v>0</v>
      </c>
      <c r="EO194" s="187">
        <f>CP194-AH194</f>
        <v>0</v>
      </c>
      <c r="EP194" s="2602">
        <f>SUM(EQ194:EQ195)</f>
        <v>0</v>
      </c>
      <c r="EQ194" s="187">
        <f>CR194-AJ194</f>
        <v>0</v>
      </c>
      <c r="ER194" s="2602">
        <f>SUM(ES194:ES195)</f>
        <v>0</v>
      </c>
      <c r="ES194" s="187">
        <f>CS194-AO194</f>
        <v>0</v>
      </c>
      <c r="ET194" s="2602">
        <f>SUM(EU194:EU195)</f>
        <v>0</v>
      </c>
      <c r="EU194" s="187">
        <f t="shared" si="57"/>
        <v>0</v>
      </c>
      <c r="EV194" s="2602">
        <f>SUM(EW194:EW195)</f>
        <v>0</v>
      </c>
      <c r="EW194" s="187">
        <f>CU194-AS194</f>
        <v>0</v>
      </c>
      <c r="EX194" s="2602">
        <f>SUM(EY194:EY195)</f>
        <v>0</v>
      </c>
      <c r="EY194" s="187">
        <f>CV194-AU194</f>
        <v>0</v>
      </c>
      <c r="EZ194" s="2602">
        <f>SUM(FA194:FA195)</f>
        <v>0</v>
      </c>
      <c r="FA194" s="187">
        <f>CY194-AX194</f>
        <v>0</v>
      </c>
      <c r="FB194" s="2602">
        <f>SUM(FC194:FC195)</f>
        <v>0</v>
      </c>
      <c r="FC194" s="187">
        <f>CZ194-AY194</f>
        <v>0</v>
      </c>
      <c r="FD194" s="2602">
        <f>SUM(FE194:FE195)</f>
        <v>0</v>
      </c>
      <c r="FE194" s="187">
        <f>DA194-AZ194</f>
        <v>0</v>
      </c>
      <c r="FF194" s="2602">
        <f>SUM(FG194:FG195)</f>
        <v>0</v>
      </c>
      <c r="FG194" s="187">
        <f>DB194-BA194</f>
        <v>0</v>
      </c>
      <c r="FH194" s="2602">
        <f>SUM(FI194:FI195)</f>
        <v>0</v>
      </c>
      <c r="FI194" s="187">
        <f>DC194-BB194</f>
        <v>0</v>
      </c>
      <c r="FJ194" s="2602">
        <f>SUM(FK194:FK195)</f>
        <v>0</v>
      </c>
      <c r="FK194" s="187">
        <f>CX194-AW194</f>
        <v>0</v>
      </c>
      <c r="FL194" s="2602">
        <f>SUM(FM194:FM195)</f>
        <v>39911</v>
      </c>
      <c r="FM194" s="187">
        <f>DF194-BE194</f>
        <v>19886</v>
      </c>
      <c r="FN194" s="2602">
        <f>SUM(FO194:FO195)</f>
        <v>38.417499999999997</v>
      </c>
      <c r="FO194" s="187">
        <f>DH194-BG194</f>
        <v>19.208749999999998</v>
      </c>
      <c r="FP194" s="2602">
        <f>SUM(FQ194:FQ195)</f>
        <v>38.417499999999997</v>
      </c>
      <c r="FQ194" s="187">
        <f t="shared" ref="FQ194:FT195" si="122">DJ194-BI194</f>
        <v>19.208749999999998</v>
      </c>
      <c r="FR194" s="187">
        <f t="shared" si="122"/>
        <v>55.129112499999998</v>
      </c>
      <c r="FS194" s="187">
        <f t="shared" si="122"/>
        <v>3</v>
      </c>
      <c r="FT194" s="775">
        <f t="shared" si="122"/>
        <v>0</v>
      </c>
      <c r="FU194" s="775">
        <f>DR194-BO194</f>
        <v>0</v>
      </c>
      <c r="FV194" s="775">
        <f>DO194-BM194</f>
        <v>0</v>
      </c>
      <c r="FW194" s="775">
        <f>DQ194-BN194</f>
        <v>2.57125</v>
      </c>
      <c r="FX194" s="775">
        <f t="shared" ref="FX194:GA195" si="123">DS194-BP194</f>
        <v>0</v>
      </c>
      <c r="FY194" s="775">
        <f t="shared" si="123"/>
        <v>0</v>
      </c>
      <c r="FZ194" s="775">
        <f t="shared" si="123"/>
        <v>0</v>
      </c>
      <c r="GA194" s="775">
        <f t="shared" si="123"/>
        <v>0</v>
      </c>
      <c r="GB194" s="2734">
        <f>SUM(GC194:GC195)</f>
        <v>5.1425000000000001</v>
      </c>
      <c r="GC194" s="776">
        <f t="shared" si="58"/>
        <v>2.57125</v>
      </c>
      <c r="GD194" s="139"/>
      <c r="GE194" s="139"/>
      <c r="GF194" s="139"/>
      <c r="GG194" s="139"/>
      <c r="GH194" s="139"/>
      <c r="GI194" s="139"/>
      <c r="GJ194" s="139"/>
      <c r="GK194" s="139"/>
      <c r="GL194" s="139"/>
      <c r="GM194" s="139"/>
      <c r="GN194" s="139"/>
      <c r="GO194" s="139"/>
      <c r="GP194" s="139"/>
      <c r="GQ194" s="139"/>
      <c r="GR194" s="139"/>
      <c r="GS194" s="139"/>
      <c r="GT194" s="139"/>
    </row>
    <row r="195" spans="1:202" s="81" customFormat="1" ht="15" customHeight="1">
      <c r="A195" s="2589"/>
      <c r="B195" s="2589"/>
      <c r="C195" s="66" t="s">
        <v>710</v>
      </c>
      <c r="D195" s="66">
        <v>2833</v>
      </c>
      <c r="E195" s="66">
        <v>35</v>
      </c>
      <c r="F195" s="841">
        <v>2028330035</v>
      </c>
      <c r="G195" s="66">
        <v>3025</v>
      </c>
      <c r="H195" s="69" t="s">
        <v>753</v>
      </c>
      <c r="I195" s="70"/>
      <c r="J195" s="66">
        <v>0.57999999999999996</v>
      </c>
      <c r="K195" s="66">
        <v>3.44</v>
      </c>
      <c r="L195" s="66">
        <v>3.4</v>
      </c>
      <c r="M195" s="66">
        <v>7.2</v>
      </c>
      <c r="N195" s="68">
        <v>1755</v>
      </c>
      <c r="O195" s="68">
        <v>0</v>
      </c>
      <c r="P195" s="68">
        <v>0</v>
      </c>
      <c r="Q195" s="68">
        <v>1755</v>
      </c>
      <c r="R195" s="71">
        <v>0</v>
      </c>
      <c r="S195" s="791" t="s">
        <v>637</v>
      </c>
      <c r="T195" s="2601"/>
      <c r="U195" s="74">
        <v>0</v>
      </c>
      <c r="V195" s="2601"/>
      <c r="W195" s="74">
        <f>N195</f>
        <v>1755</v>
      </c>
      <c r="X195" s="74"/>
      <c r="Y195" s="74">
        <f>W195-AA195</f>
        <v>1755</v>
      </c>
      <c r="Z195" s="2601"/>
      <c r="AA195" s="74">
        <v>0</v>
      </c>
      <c r="AB195" s="2601"/>
      <c r="AC195" s="74">
        <v>0</v>
      </c>
      <c r="AD195" s="2601"/>
      <c r="AE195" s="74">
        <f>AG195+AF195</f>
        <v>0</v>
      </c>
      <c r="AF195" s="74">
        <v>0</v>
      </c>
      <c r="AG195" s="74">
        <v>0</v>
      </c>
      <c r="AH195" s="74">
        <v>0</v>
      </c>
      <c r="AI195" s="2601"/>
      <c r="AJ195" s="74">
        <v>0</v>
      </c>
      <c r="AK195" s="2601"/>
      <c r="AL195" s="74">
        <f>W195-(AA195+AC195+AE195+AH195+AJ195+AM195+AW195+AO195+AQ195+AS195+AU195)</f>
        <v>1755</v>
      </c>
      <c r="AM195" s="792">
        <v>0</v>
      </c>
      <c r="AN195" s="2601"/>
      <c r="AO195" s="74">
        <v>0</v>
      </c>
      <c r="AP195" s="2601"/>
      <c r="AQ195" s="74">
        <v>0</v>
      </c>
      <c r="AR195" s="2601"/>
      <c r="AS195" s="74">
        <v>0</v>
      </c>
      <c r="AT195" s="2601"/>
      <c r="AU195" s="74">
        <v>0</v>
      </c>
      <c r="AV195" s="2601"/>
      <c r="AW195" s="74">
        <f>AX195+AY195+AZ195+BA195+BB195</f>
        <v>0</v>
      </c>
      <c r="AX195" s="74">
        <v>0</v>
      </c>
      <c r="AY195" s="74">
        <v>0</v>
      </c>
      <c r="AZ195" s="74">
        <v>0</v>
      </c>
      <c r="BA195" s="74">
        <v>0</v>
      </c>
      <c r="BB195" s="74">
        <v>0</v>
      </c>
      <c r="BC195" s="74">
        <v>0</v>
      </c>
      <c r="BD195" s="2601"/>
      <c r="BE195" s="74">
        <f>U195+W195</f>
        <v>1755</v>
      </c>
      <c r="BF195" s="2601"/>
      <c r="BG195" s="74">
        <f>U195/1000</f>
        <v>0</v>
      </c>
      <c r="BH195" s="2601"/>
      <c r="BI195" s="74">
        <v>0</v>
      </c>
      <c r="BJ195" s="74">
        <f t="shared" si="59"/>
        <v>0</v>
      </c>
      <c r="BK195" s="88">
        <f>ROUND((Y195+AC195+AA195)/1000*3,0)+ROUND((AE195+AU195)/1000,0)+ROUND((ROUND(AH195/400,0))/2.67,0)+ROUND(AM195/250,0)+ROUND(AO195/15000,0)+ROUND((AX195+AY195+AZ195+BB195)/1000*3,0)+ROUND(BG195/25,0)+ROUND(BU14/50,0)</f>
        <v>5</v>
      </c>
      <c r="BL195" s="74">
        <v>0</v>
      </c>
      <c r="BM195" s="74">
        <v>0</v>
      </c>
      <c r="BN195" s="74">
        <v>0</v>
      </c>
      <c r="BO195" s="74">
        <f>AC195/1000</f>
        <v>0</v>
      </c>
      <c r="BP195" s="74">
        <f>AH195/1000</f>
        <v>0</v>
      </c>
      <c r="BQ195" s="74">
        <v>0</v>
      </c>
      <c r="BR195" s="74">
        <v>0</v>
      </c>
      <c r="BS195" s="74">
        <v>0</v>
      </c>
      <c r="BT195" s="2601"/>
      <c r="BU195" s="74">
        <f>SUM(BL195:BS195)</f>
        <v>0</v>
      </c>
      <c r="BV195" s="81">
        <v>15</v>
      </c>
      <c r="BW195" s="793" t="s">
        <v>741</v>
      </c>
      <c r="BX195" s="81">
        <v>7.2</v>
      </c>
      <c r="BY195" s="81">
        <v>2</v>
      </c>
      <c r="BZ195" s="81">
        <v>6.5</v>
      </c>
      <c r="CA195" s="794" t="s">
        <v>706</v>
      </c>
      <c r="CB195" s="2597"/>
      <c r="CC195" s="795">
        <f>(BX195*G195)-CF195</f>
        <v>19208.75</v>
      </c>
      <c r="CD195" s="2733"/>
      <c r="CE195" s="2601"/>
      <c r="CF195" s="796">
        <f>1*(G195)-(0.15*1*(G195))</f>
        <v>2571.25</v>
      </c>
      <c r="CG195" s="2601"/>
      <c r="CH195" s="796">
        <f>CF195-CJ195</f>
        <v>2571.25</v>
      </c>
      <c r="CI195" s="2601"/>
      <c r="CJ195" s="81">
        <v>0</v>
      </c>
      <c r="CK195" s="2601"/>
      <c r="CL195" s="81">
        <v>0</v>
      </c>
      <c r="CM195" s="2601"/>
      <c r="CN195" s="797">
        <f>CF195-(CJ195+CL195+CO195+CP195+CR195+CU195+CV195+CX195)</f>
        <v>2571.25</v>
      </c>
      <c r="CO195" s="797">
        <v>0</v>
      </c>
      <c r="CP195" s="797">
        <v>0</v>
      </c>
      <c r="CQ195" s="2601"/>
      <c r="CR195" s="74">
        <v>0</v>
      </c>
      <c r="CS195" s="797">
        <v>0</v>
      </c>
      <c r="CT195" s="797">
        <v>0</v>
      </c>
      <c r="CU195" s="797">
        <v>0</v>
      </c>
      <c r="CV195" s="797">
        <v>0</v>
      </c>
      <c r="CW195" s="2601"/>
      <c r="CX195" s="74">
        <f>SUM(CY195:DC195)</f>
        <v>0</v>
      </c>
      <c r="CY195" s="797">
        <f t="shared" si="121"/>
        <v>0</v>
      </c>
      <c r="CZ195" s="797">
        <f t="shared" si="121"/>
        <v>0</v>
      </c>
      <c r="DA195" s="797">
        <f t="shared" si="121"/>
        <v>0</v>
      </c>
      <c r="DB195" s="797">
        <f t="shared" si="121"/>
        <v>0</v>
      </c>
      <c r="DC195" s="797">
        <f t="shared" si="121"/>
        <v>0</v>
      </c>
      <c r="DD195" s="797"/>
      <c r="DE195" s="2601"/>
      <c r="DF195" s="74">
        <f>CC195+CF195</f>
        <v>21780</v>
      </c>
      <c r="DG195" s="2601"/>
      <c r="DH195" s="303">
        <f>CC195/'[1]Projected Development Sites'!DF$134</f>
        <v>19.208749999999998</v>
      </c>
      <c r="DI195" s="2724"/>
      <c r="DJ195" s="798">
        <f>'[1]Projected Development Sites'!DK$136*DH195</f>
        <v>19.208749999999998</v>
      </c>
      <c r="DK195" s="792">
        <f>2.87*DH195</f>
        <v>55.129112499999998</v>
      </c>
      <c r="DL195" s="917">
        <f>ROUND((CN195+CL195+CJ195)/1000*3,0)+ROUND((ROUND(CP195/400,0))/2.67,0)+ROUND(CV195/1000,0)+ROUND((CY195+CZ195+DA195+DC195)/1000*3,0)+ROUND(DH195/25,0)+ROUND(DX195/50,0)</f>
        <v>9</v>
      </c>
      <c r="DM195" s="799">
        <v>0</v>
      </c>
      <c r="DN195" s="799"/>
      <c r="DO195" s="799">
        <v>0</v>
      </c>
      <c r="DP195" s="799">
        <f>0.25*DJ195</f>
        <v>4.8021874999999996</v>
      </c>
      <c r="DQ195" s="799">
        <f>SUM(CO195,CJ195,CN195,CR195,CU195)/1000</f>
        <v>2.57125</v>
      </c>
      <c r="DR195" s="799">
        <f>CL195/1000</f>
        <v>0</v>
      </c>
      <c r="DS195" s="799">
        <f>((CP195/400)/12)</f>
        <v>0</v>
      </c>
      <c r="DT195" s="799">
        <f>IF(CX195&gt;0,"Calculate",0)</f>
        <v>0</v>
      </c>
      <c r="DU195" s="799">
        <v>0</v>
      </c>
      <c r="DV195" s="799">
        <f>CX195/1000</f>
        <v>0</v>
      </c>
      <c r="DW195" s="2724"/>
      <c r="DX195" s="800">
        <f>SUM(DM195,DO195,DQ195:DV195)</f>
        <v>2.57125</v>
      </c>
      <c r="DY195" s="2727"/>
      <c r="DZ195" s="2730"/>
      <c r="EA195" s="2603"/>
      <c r="EB195" s="195">
        <f>CF195-W195</f>
        <v>816.25</v>
      </c>
      <c r="EC195" s="2603"/>
      <c r="ED195" s="195">
        <v>816.25</v>
      </c>
      <c r="EE195" s="195">
        <f>(SUM(CJ195:CO195))-(SUM(AA195:AE195,AL195))</f>
        <v>816.25</v>
      </c>
      <c r="EF195" s="2603"/>
      <c r="EG195" s="190">
        <v>816.25</v>
      </c>
      <c r="EH195" s="2603"/>
      <c r="EI195" s="195">
        <f>CL195-AC195</f>
        <v>0</v>
      </c>
      <c r="EJ195" s="2603"/>
      <c r="EK195" s="195">
        <f>CJ195-AA195</f>
        <v>0</v>
      </c>
      <c r="EL195" s="2603"/>
      <c r="EM195" s="190">
        <f>CO195-AE195</f>
        <v>0</v>
      </c>
      <c r="EN195" s="2603"/>
      <c r="EO195" s="190">
        <f>CP195-AH195</f>
        <v>0</v>
      </c>
      <c r="EP195" s="2603"/>
      <c r="EQ195" s="195">
        <f>CR195-AJ195</f>
        <v>0</v>
      </c>
      <c r="ER195" s="2603"/>
      <c r="ES195" s="195">
        <f>CS195-AO195</f>
        <v>0</v>
      </c>
      <c r="ET195" s="2603"/>
      <c r="EU195" s="190">
        <f t="shared" si="57"/>
        <v>0</v>
      </c>
      <c r="EV195" s="2603"/>
      <c r="EW195" s="195">
        <f>CU195-AS195</f>
        <v>0</v>
      </c>
      <c r="EX195" s="2603"/>
      <c r="EY195" s="190">
        <f>CV195-AU195</f>
        <v>0</v>
      </c>
      <c r="EZ195" s="2603"/>
      <c r="FA195" s="190">
        <f>CY195-AX195</f>
        <v>0</v>
      </c>
      <c r="FB195" s="2603"/>
      <c r="FC195" s="190">
        <f>CZ195-AY195</f>
        <v>0</v>
      </c>
      <c r="FD195" s="2603"/>
      <c r="FE195" s="190">
        <f>DA195-AZ195</f>
        <v>0</v>
      </c>
      <c r="FF195" s="2603"/>
      <c r="FG195" s="190">
        <f>DB195-BA195</f>
        <v>0</v>
      </c>
      <c r="FH195" s="2603"/>
      <c r="FI195" s="190">
        <f>DC195-BB195</f>
        <v>0</v>
      </c>
      <c r="FJ195" s="2603"/>
      <c r="FK195" s="190">
        <f>CX195-AW195</f>
        <v>0</v>
      </c>
      <c r="FL195" s="2603"/>
      <c r="FM195" s="195">
        <f>DF195-BE195</f>
        <v>20025</v>
      </c>
      <c r="FN195" s="2603"/>
      <c r="FO195" s="195">
        <f>DH195-BG195</f>
        <v>19.208749999999998</v>
      </c>
      <c r="FP195" s="2603"/>
      <c r="FQ195" s="195">
        <f t="shared" si="122"/>
        <v>19.208749999999998</v>
      </c>
      <c r="FR195" s="190">
        <f t="shared" si="122"/>
        <v>55.129112499999998</v>
      </c>
      <c r="FS195" s="190">
        <f t="shared" si="122"/>
        <v>4</v>
      </c>
      <c r="FT195" s="801">
        <f t="shared" si="122"/>
        <v>0</v>
      </c>
      <c r="FU195" s="801">
        <f>DR195-BO195</f>
        <v>0</v>
      </c>
      <c r="FV195" s="801">
        <f>DO195-BM195</f>
        <v>0</v>
      </c>
      <c r="FW195" s="801">
        <f>DQ195-BN195</f>
        <v>2.57125</v>
      </c>
      <c r="FX195" s="801">
        <f t="shared" si="123"/>
        <v>0</v>
      </c>
      <c r="FY195" s="801">
        <f t="shared" si="123"/>
        <v>0</v>
      </c>
      <c r="FZ195" s="801">
        <f t="shared" si="123"/>
        <v>0</v>
      </c>
      <c r="GA195" s="801">
        <f t="shared" si="123"/>
        <v>0</v>
      </c>
      <c r="GB195" s="2736"/>
      <c r="GC195" s="845">
        <f t="shared" si="58"/>
        <v>2.57125</v>
      </c>
      <c r="GD195" s="139"/>
      <c r="GE195" s="139"/>
      <c r="GF195" s="139"/>
      <c r="GG195" s="139"/>
      <c r="GH195" s="139"/>
      <c r="GI195" s="139"/>
      <c r="GJ195" s="139"/>
      <c r="GK195" s="139"/>
      <c r="GL195" s="139"/>
      <c r="GM195" s="139"/>
      <c r="GN195" s="139"/>
      <c r="GO195" s="139"/>
      <c r="GP195" s="139"/>
      <c r="GQ195" s="139"/>
      <c r="GR195" s="139"/>
      <c r="GS195" s="139"/>
      <c r="GT195" s="139"/>
    </row>
    <row r="196" spans="1:202" s="139" customFormat="1" ht="18.75">
      <c r="A196" s="2263"/>
      <c r="B196" s="2263"/>
      <c r="C196" s="132"/>
      <c r="D196" s="132"/>
      <c r="E196" s="132"/>
      <c r="F196" s="777"/>
      <c r="G196" s="132"/>
      <c r="H196" s="135"/>
      <c r="I196" s="136"/>
      <c r="J196" s="132"/>
      <c r="K196" s="132"/>
      <c r="L196" s="132"/>
      <c r="M196" s="132"/>
      <c r="N196" s="134"/>
      <c r="O196" s="134"/>
      <c r="P196" s="134"/>
      <c r="Q196" s="134"/>
      <c r="R196" s="137"/>
      <c r="S196" s="778"/>
      <c r="T196" s="634"/>
      <c r="U196" s="102"/>
      <c r="V196" s="634"/>
      <c r="W196" s="102"/>
      <c r="X196" s="102"/>
      <c r="Y196" s="102"/>
      <c r="Z196" s="634"/>
      <c r="AA196" s="102"/>
      <c r="AB196" s="634"/>
      <c r="AC196" s="102"/>
      <c r="AD196" s="634"/>
      <c r="AE196" s="102"/>
      <c r="AF196" s="102"/>
      <c r="AG196" s="102"/>
      <c r="AH196" s="102"/>
      <c r="AI196" s="634"/>
      <c r="AJ196" s="102"/>
      <c r="AK196" s="634"/>
      <c r="AL196" s="102"/>
      <c r="AM196" s="779"/>
      <c r="AN196" s="634"/>
      <c r="AO196" s="102"/>
      <c r="AP196" s="634"/>
      <c r="AQ196" s="102"/>
      <c r="AR196" s="634"/>
      <c r="AS196" s="102"/>
      <c r="AT196" s="634"/>
      <c r="AU196" s="102"/>
      <c r="AV196" s="634"/>
      <c r="AW196" s="102"/>
      <c r="AX196" s="102"/>
      <c r="AY196" s="102"/>
      <c r="AZ196" s="102"/>
      <c r="BA196" s="102"/>
      <c r="BB196" s="102"/>
      <c r="BC196" s="102"/>
      <c r="BD196" s="634"/>
      <c r="BE196" s="102"/>
      <c r="BF196" s="634"/>
      <c r="BG196" s="102"/>
      <c r="BH196" s="634"/>
      <c r="BI196" s="102"/>
      <c r="BJ196" s="111"/>
      <c r="BK196" s="186"/>
      <c r="BL196" s="102"/>
      <c r="BM196" s="102"/>
      <c r="BN196" s="102"/>
      <c r="BO196" s="102"/>
      <c r="BP196" s="102"/>
      <c r="BQ196" s="102"/>
      <c r="BR196" s="102"/>
      <c r="BS196" s="102"/>
      <c r="BT196" s="634"/>
      <c r="BU196" s="102"/>
      <c r="BW196" s="780"/>
      <c r="CA196" s="781"/>
      <c r="CB196" s="2258"/>
      <c r="CC196" s="782"/>
      <c r="CD196" s="782"/>
      <c r="CE196" s="634"/>
      <c r="CF196" s="783"/>
      <c r="CG196" s="634"/>
      <c r="CH196" s="783"/>
      <c r="CI196" s="634"/>
      <c r="CK196" s="634"/>
      <c r="CM196" s="634"/>
      <c r="CN196" s="784"/>
      <c r="CO196" s="784"/>
      <c r="CP196" s="784"/>
      <c r="CQ196" s="634"/>
      <c r="CR196" s="102"/>
      <c r="CS196" s="784"/>
      <c r="CT196" s="784"/>
      <c r="CU196" s="784"/>
      <c r="CV196" s="784"/>
      <c r="CW196" s="634"/>
      <c r="CX196" s="784"/>
      <c r="CY196" s="784"/>
      <c r="CZ196" s="784"/>
      <c r="DA196" s="784"/>
      <c r="DB196" s="784"/>
      <c r="DC196" s="784"/>
      <c r="DD196" s="784"/>
      <c r="DE196" s="634"/>
      <c r="DF196" s="784"/>
      <c r="DG196" s="634"/>
      <c r="DH196" s="296"/>
      <c r="DI196" s="802"/>
      <c r="DJ196" s="785"/>
      <c r="DK196" s="899"/>
      <c r="DL196" s="786"/>
      <c r="DM196" s="787"/>
      <c r="DN196" s="787"/>
      <c r="DO196" s="787"/>
      <c r="DP196" s="787"/>
      <c r="DQ196" s="787"/>
      <c r="DR196" s="787"/>
      <c r="DS196" s="787"/>
      <c r="DT196" s="787"/>
      <c r="DU196" s="787"/>
      <c r="DV196" s="787"/>
      <c r="DW196" s="802"/>
      <c r="DX196" s="788"/>
      <c r="DY196" s="634"/>
      <c r="DZ196" s="2288"/>
      <c r="EA196" s="2231"/>
      <c r="EB196" s="187"/>
      <c r="EC196" s="2232"/>
      <c r="ED196" s="187"/>
      <c r="EE196" s="187"/>
      <c r="EF196" s="2232"/>
      <c r="EG196" s="187"/>
      <c r="EH196" s="2232"/>
      <c r="EI196" s="187"/>
      <c r="EJ196" s="2232"/>
      <c r="EK196" s="187"/>
      <c r="EL196" s="2232"/>
      <c r="EM196" s="195"/>
      <c r="EN196" s="2232"/>
      <c r="EO196" s="195"/>
      <c r="EP196" s="2232"/>
      <c r="EQ196" s="187"/>
      <c r="ER196" s="2232"/>
      <c r="ES196" s="187"/>
      <c r="ET196" s="2232"/>
      <c r="EU196" s="187">
        <f t="shared" si="57"/>
        <v>0</v>
      </c>
      <c r="EV196" s="2232"/>
      <c r="EW196" s="187"/>
      <c r="EX196" s="2232"/>
      <c r="EY196" s="195"/>
      <c r="EZ196" s="2232"/>
      <c r="FA196" s="195"/>
      <c r="FB196" s="2232"/>
      <c r="FC196" s="195"/>
      <c r="FD196" s="2232"/>
      <c r="FE196" s="195"/>
      <c r="FF196" s="2232"/>
      <c r="FG196" s="195"/>
      <c r="FH196" s="2232"/>
      <c r="FI196" s="195"/>
      <c r="FJ196" s="2232"/>
      <c r="FK196" s="195"/>
      <c r="FL196" s="2232"/>
      <c r="FM196" s="187"/>
      <c r="FN196" s="2232"/>
      <c r="FO196" s="187"/>
      <c r="FP196" s="2232"/>
      <c r="FQ196" s="187"/>
      <c r="FR196" s="195"/>
      <c r="FS196" s="195"/>
      <c r="FT196" s="789"/>
      <c r="FU196" s="789"/>
      <c r="FV196" s="789"/>
      <c r="FW196" s="789"/>
      <c r="FX196" s="789"/>
      <c r="FY196" s="789"/>
      <c r="FZ196" s="789"/>
      <c r="GA196" s="789"/>
      <c r="GB196" s="2289"/>
      <c r="GC196" s="776"/>
    </row>
    <row r="197" spans="1:202" s="228" customFormat="1" ht="18.75">
      <c r="A197" s="216"/>
      <c r="B197" s="216">
        <v>71</v>
      </c>
      <c r="C197" s="218" t="s">
        <v>703</v>
      </c>
      <c r="D197" s="218">
        <v>2857</v>
      </c>
      <c r="E197" s="218">
        <v>71</v>
      </c>
      <c r="F197" s="897">
        <v>2028570071</v>
      </c>
      <c r="G197" s="218">
        <v>10000</v>
      </c>
      <c r="H197" s="221" t="s">
        <v>704</v>
      </c>
      <c r="I197" s="222"/>
      <c r="J197" s="218">
        <v>2</v>
      </c>
      <c r="K197" s="218">
        <v>0</v>
      </c>
      <c r="L197" s="218">
        <v>2</v>
      </c>
      <c r="M197" s="218">
        <v>6.5</v>
      </c>
      <c r="N197" s="220">
        <v>20000</v>
      </c>
      <c r="O197" s="220">
        <v>10000</v>
      </c>
      <c r="P197" s="220">
        <v>0</v>
      </c>
      <c r="Q197" s="220">
        <v>28000</v>
      </c>
      <c r="R197" s="223">
        <v>0</v>
      </c>
      <c r="S197" s="898" t="s">
        <v>893</v>
      </c>
      <c r="T197" s="234">
        <f>U197</f>
        <v>0</v>
      </c>
      <c r="U197" s="111">
        <v>0</v>
      </c>
      <c r="V197" s="234">
        <f>W197</f>
        <v>20000</v>
      </c>
      <c r="W197" s="111">
        <f>N197</f>
        <v>20000</v>
      </c>
      <c r="X197" s="111"/>
      <c r="Y197" s="111">
        <f>W197-AA197</f>
        <v>20000</v>
      </c>
      <c r="Z197" s="234">
        <f>AA197</f>
        <v>0</v>
      </c>
      <c r="AA197" s="111">
        <v>0</v>
      </c>
      <c r="AB197" s="234">
        <f>AC197</f>
        <v>0</v>
      </c>
      <c r="AC197" s="111">
        <v>0</v>
      </c>
      <c r="AD197" s="234">
        <f>AE197</f>
        <v>10000</v>
      </c>
      <c r="AE197" s="111">
        <f>AG197+AF197</f>
        <v>10000</v>
      </c>
      <c r="AF197" s="111">
        <v>10000</v>
      </c>
      <c r="AG197" s="111">
        <v>0</v>
      </c>
      <c r="AH197" s="111">
        <v>0</v>
      </c>
      <c r="AI197" s="234">
        <f>AJ197</f>
        <v>0</v>
      </c>
      <c r="AJ197" s="111">
        <v>0</v>
      </c>
      <c r="AK197" s="234">
        <f>AL197</f>
        <v>0</v>
      </c>
      <c r="AL197" s="111">
        <f>W197-(AA197+AC197+AE197+AH197+AJ197+AM197+AW197+AO197+AQ197+AS197+AU197)</f>
        <v>0</v>
      </c>
      <c r="AM197" s="899">
        <v>0</v>
      </c>
      <c r="AN197" s="234">
        <f>AO197</f>
        <v>0</v>
      </c>
      <c r="AO197" s="111">
        <v>0</v>
      </c>
      <c r="AP197" s="234">
        <f>AQ197</f>
        <v>10000</v>
      </c>
      <c r="AQ197" s="111">
        <v>10000</v>
      </c>
      <c r="AR197" s="234">
        <f>AS197</f>
        <v>0</v>
      </c>
      <c r="AS197" s="111">
        <v>0</v>
      </c>
      <c r="AT197" s="234">
        <f>AU197</f>
        <v>0</v>
      </c>
      <c r="AU197" s="111">
        <v>0</v>
      </c>
      <c r="AV197" s="234">
        <f>AW197</f>
        <v>0</v>
      </c>
      <c r="AW197" s="111">
        <f>AX197+AY197+AZ197+BA197+BB197</f>
        <v>0</v>
      </c>
      <c r="AX197" s="111">
        <v>0</v>
      </c>
      <c r="AY197" s="111">
        <v>0</v>
      </c>
      <c r="AZ197" s="111">
        <v>0</v>
      </c>
      <c r="BA197" s="111">
        <v>0</v>
      </c>
      <c r="BB197" s="111">
        <v>0</v>
      </c>
      <c r="BC197" s="111">
        <v>0</v>
      </c>
      <c r="BD197" s="234">
        <f>BE197</f>
        <v>20000</v>
      </c>
      <c r="BE197" s="111">
        <f>U197+W197</f>
        <v>20000</v>
      </c>
      <c r="BF197" s="234">
        <f>BG197</f>
        <v>0</v>
      </c>
      <c r="BG197" s="111">
        <f>U197/1000</f>
        <v>0</v>
      </c>
      <c r="BH197" s="234">
        <f>BI197</f>
        <v>0</v>
      </c>
      <c r="BI197" s="111">
        <v>0</v>
      </c>
      <c r="BJ197" s="111">
        <f t="shared" si="59"/>
        <v>0</v>
      </c>
      <c r="BK197" s="306">
        <f>ROUND((Y197+AC197+AA197)/1000*3,0)+ROUND((AE197+AU197)/1000,0)+ROUND((ROUND(AH197/400,0))/2.67,0)+ROUND(AM197/250,0)+ROUND(AO197/15000,0)+ROUND((AX197+AY197+AZ197+BB197)/1000*3,0)+ROUND(BG197/25,0)+ROUND('[1]Projected Development Sites'!BS115/50,0)</f>
        <v>70</v>
      </c>
      <c r="BL197" s="111">
        <v>0</v>
      </c>
      <c r="BM197" s="111">
        <v>0</v>
      </c>
      <c r="BN197" s="111">
        <v>0</v>
      </c>
      <c r="BO197" s="111">
        <f>AC197/1000</f>
        <v>0</v>
      </c>
      <c r="BP197" s="111">
        <f>AH197/1000</f>
        <v>0</v>
      </c>
      <c r="BQ197" s="111">
        <v>140</v>
      </c>
      <c r="BR197" s="111">
        <v>0</v>
      </c>
      <c r="BS197" s="111">
        <v>0</v>
      </c>
      <c r="BT197" s="234">
        <f>BU197</f>
        <v>140</v>
      </c>
      <c r="BU197" s="111">
        <f>SUM(BL197:BS197)</f>
        <v>140</v>
      </c>
      <c r="BV197" s="228">
        <v>35</v>
      </c>
      <c r="BW197" s="900" t="s">
        <v>741</v>
      </c>
      <c r="BX197" s="228">
        <v>7.2</v>
      </c>
      <c r="BY197" s="228">
        <v>0</v>
      </c>
      <c r="BZ197" s="228">
        <v>6.5</v>
      </c>
      <c r="CA197" s="901"/>
      <c r="CB197" s="230" t="s">
        <v>759</v>
      </c>
      <c r="CC197" s="399">
        <f t="shared" ref="CC197" si="124">(BX197*G197)-G197</f>
        <v>62000</v>
      </c>
      <c r="CD197" s="399">
        <f>CC197</f>
        <v>62000</v>
      </c>
      <c r="CE197" s="234">
        <f>CF197</f>
        <v>0</v>
      </c>
      <c r="CF197" s="902">
        <v>0</v>
      </c>
      <c r="CG197" s="234">
        <f>CH197</f>
        <v>0</v>
      </c>
      <c r="CH197" s="902">
        <f>CF197-CJ197</f>
        <v>0</v>
      </c>
      <c r="CI197" s="234">
        <f>CJ197</f>
        <v>0</v>
      </c>
      <c r="CJ197" s="228">
        <v>0</v>
      </c>
      <c r="CK197" s="234">
        <f>CL197</f>
        <v>0</v>
      </c>
      <c r="CL197" s="228">
        <v>0</v>
      </c>
      <c r="CM197" s="234">
        <f>CN197</f>
        <v>0</v>
      </c>
      <c r="CN197" s="111">
        <f>CF197-(CJ197+CL197+CO197+CP197+CR197+CU197+CV197+CX197)</f>
        <v>0</v>
      </c>
      <c r="CO197" s="903">
        <v>0</v>
      </c>
      <c r="CP197" s="903">
        <v>0</v>
      </c>
      <c r="CQ197" s="234">
        <f>CR197</f>
        <v>0</v>
      </c>
      <c r="CR197" s="111">
        <v>0</v>
      </c>
      <c r="CS197" s="903">
        <v>0</v>
      </c>
      <c r="CT197" s="903">
        <v>0</v>
      </c>
      <c r="CU197" s="903">
        <v>0</v>
      </c>
      <c r="CV197" s="903">
        <v>0</v>
      </c>
      <c r="CW197" s="234">
        <f>CX197</f>
        <v>0</v>
      </c>
      <c r="CX197" s="903">
        <f>SUM(CY197:DC197)</f>
        <v>0</v>
      </c>
      <c r="CY197" s="903">
        <f>AX197</f>
        <v>0</v>
      </c>
      <c r="CZ197" s="903">
        <f>AY197</f>
        <v>0</v>
      </c>
      <c r="DA197" s="903">
        <f>AZ197</f>
        <v>0</v>
      </c>
      <c r="DB197" s="903">
        <f>BA197</f>
        <v>0</v>
      </c>
      <c r="DC197" s="903">
        <f>BB197</f>
        <v>0</v>
      </c>
      <c r="DD197" s="903"/>
      <c r="DE197" s="234">
        <f>DF197</f>
        <v>62000</v>
      </c>
      <c r="DF197" s="111">
        <f>CC197+CF197</f>
        <v>62000</v>
      </c>
      <c r="DG197" s="234">
        <f>DH197</f>
        <v>62</v>
      </c>
      <c r="DH197" s="904">
        <f>CC197/'[1]Projected Development Sites'!DF$134</f>
        <v>62</v>
      </c>
      <c r="DI197" s="886">
        <f>DJ197</f>
        <v>62</v>
      </c>
      <c r="DJ197" s="803">
        <f>'[1]Projected Development Sites'!DK$136*DH197</f>
        <v>62</v>
      </c>
      <c r="DK197" s="899">
        <f>2.87*DH197</f>
        <v>177.94</v>
      </c>
      <c r="DL197" s="772">
        <f>ROUND((CN197+CL197+CJ197)/1000*3,0)+ROUND((ROUND(CP197/400,0))/2.67,0)+ROUND(CV197/1000,0)+ROUND((CY197+CZ197+DA197+DC197)/1000*3,0)+ROUND(DH197/25,0)+ROUND(DX197/50,0)</f>
        <v>2</v>
      </c>
      <c r="DM197" s="905">
        <v>0</v>
      </c>
      <c r="DN197" s="905"/>
      <c r="DO197" s="905">
        <v>0</v>
      </c>
      <c r="DP197" s="905">
        <f>0.25*DJ197</f>
        <v>15.5</v>
      </c>
      <c r="DQ197" s="905">
        <f>SUM(CO197,CJ197,CN197,CR197,CU197)/1000</f>
        <v>0</v>
      </c>
      <c r="DR197" s="905">
        <f>CL197/1000</f>
        <v>0</v>
      </c>
      <c r="DS197" s="905">
        <f>((CP197/400)/12)</f>
        <v>0</v>
      </c>
      <c r="DT197" s="905">
        <f>IF(CX197&gt;0,"Calculate",0)</f>
        <v>0</v>
      </c>
      <c r="DU197" s="905">
        <v>0</v>
      </c>
      <c r="DV197" s="905">
        <f>CX197/1000</f>
        <v>0</v>
      </c>
      <c r="DW197" s="886">
        <f>DX197</f>
        <v>0</v>
      </c>
      <c r="DX197" s="906">
        <f>SUM(DM197,DO197,DQ197:DV197)</f>
        <v>0</v>
      </c>
      <c r="DY197" s="837">
        <v>145</v>
      </c>
      <c r="DZ197" s="2288">
        <f>CD197-T197</f>
        <v>62000</v>
      </c>
      <c r="EA197" s="2231">
        <f>CE197-V197</f>
        <v>-20000</v>
      </c>
      <c r="EB197" s="187">
        <f>CF197-W197</f>
        <v>-20000</v>
      </c>
      <c r="EC197" s="235">
        <f>ED197</f>
        <v>-10000</v>
      </c>
      <c r="ED197" s="187">
        <v>-10000</v>
      </c>
      <c r="EE197" s="187">
        <f>(SUM(CJ197:CO197))-(SUM(AA197:AE197,AL197))</f>
        <v>-20000</v>
      </c>
      <c r="EF197" s="235">
        <f>EG197</f>
        <v>0</v>
      </c>
      <c r="EG197" s="187">
        <v>0</v>
      </c>
      <c r="EH197" s="235">
        <f>EI197</f>
        <v>0</v>
      </c>
      <c r="EI197" s="187">
        <f>CL197-AC197</f>
        <v>0</v>
      </c>
      <c r="EJ197" s="235">
        <f>EK197</f>
        <v>0</v>
      </c>
      <c r="EK197" s="187">
        <f>CJ197-AA197</f>
        <v>0</v>
      </c>
      <c r="EL197" s="235">
        <f>EM197</f>
        <v>-10000</v>
      </c>
      <c r="EM197" s="245">
        <f>CO197-AE197</f>
        <v>-10000</v>
      </c>
      <c r="EN197" s="235">
        <f>EO197</f>
        <v>0</v>
      </c>
      <c r="EO197" s="245">
        <f>CP197-AH197</f>
        <v>0</v>
      </c>
      <c r="EP197" s="235">
        <f>EQ197</f>
        <v>0</v>
      </c>
      <c r="EQ197" s="187">
        <f>CR197-AJ197</f>
        <v>0</v>
      </c>
      <c r="ER197" s="235">
        <f>ES197</f>
        <v>0</v>
      </c>
      <c r="ES197" s="187">
        <f>CS197-AO197</f>
        <v>0</v>
      </c>
      <c r="ET197" s="235">
        <f>EU197</f>
        <v>-10000</v>
      </c>
      <c r="EU197" s="187">
        <f t="shared" ref="EU197:EU260" si="125">CT197-AQ197</f>
        <v>-10000</v>
      </c>
      <c r="EV197" s="235">
        <f>EW197</f>
        <v>0</v>
      </c>
      <c r="EW197" s="187">
        <f>CU197-AS197</f>
        <v>0</v>
      </c>
      <c r="EX197" s="235">
        <f>EY197</f>
        <v>0</v>
      </c>
      <c r="EY197" s="245">
        <f>CV197-AU197</f>
        <v>0</v>
      </c>
      <c r="EZ197" s="235">
        <f>FA197</f>
        <v>0</v>
      </c>
      <c r="FA197" s="245">
        <f>CY197-AX197</f>
        <v>0</v>
      </c>
      <c r="FB197" s="235">
        <f>FC197</f>
        <v>0</v>
      </c>
      <c r="FC197" s="245">
        <f>CZ197-AY197</f>
        <v>0</v>
      </c>
      <c r="FD197" s="235">
        <f>FE197</f>
        <v>0</v>
      </c>
      <c r="FE197" s="245">
        <f>DA197-AZ197</f>
        <v>0</v>
      </c>
      <c r="FF197" s="235">
        <f>FG197</f>
        <v>0</v>
      </c>
      <c r="FG197" s="245">
        <f>DB197-BA197</f>
        <v>0</v>
      </c>
      <c r="FH197" s="235">
        <f>FI197</f>
        <v>0</v>
      </c>
      <c r="FI197" s="245">
        <f>DC197-BB197</f>
        <v>0</v>
      </c>
      <c r="FJ197" s="235">
        <f>FK197</f>
        <v>0</v>
      </c>
      <c r="FK197" s="245">
        <f>CX197-AW197</f>
        <v>0</v>
      </c>
      <c r="FL197" s="235">
        <f>FM197</f>
        <v>42000</v>
      </c>
      <c r="FM197" s="187">
        <f>DF197-BE197</f>
        <v>42000</v>
      </c>
      <c r="FN197" s="235">
        <f>FO197</f>
        <v>62</v>
      </c>
      <c r="FO197" s="187">
        <f>DH197-BG197</f>
        <v>62</v>
      </c>
      <c r="FP197" s="235">
        <f>FQ197</f>
        <v>62</v>
      </c>
      <c r="FQ197" s="187">
        <f>DJ197-BI197</f>
        <v>62</v>
      </c>
      <c r="FR197" s="245">
        <f>DK197-BJ197</f>
        <v>177.94</v>
      </c>
      <c r="FS197" s="245">
        <f>DL197-BK197</f>
        <v>-68</v>
      </c>
      <c r="FT197" s="907">
        <f>DM197-BL197</f>
        <v>0</v>
      </c>
      <c r="FU197" s="907">
        <f>DR197-BO197</f>
        <v>0</v>
      </c>
      <c r="FV197" s="907">
        <f>DO197-BM197</f>
        <v>0</v>
      </c>
      <c r="FW197" s="907">
        <f>DQ197-BN197</f>
        <v>0</v>
      </c>
      <c r="FX197" s="907">
        <f>DS197-BP197</f>
        <v>0</v>
      </c>
      <c r="FY197" s="907">
        <f>DT197-BQ197</f>
        <v>-140</v>
      </c>
      <c r="FZ197" s="907">
        <f>DU197-BR197</f>
        <v>0</v>
      </c>
      <c r="GA197" s="907">
        <f>DV197-BS197</f>
        <v>0</v>
      </c>
      <c r="GB197" s="894">
        <f>GC197</f>
        <v>-140</v>
      </c>
      <c r="GC197" s="776">
        <f t="shared" si="58"/>
        <v>-140</v>
      </c>
      <c r="GD197" s="139"/>
      <c r="GE197" s="139"/>
      <c r="GF197" s="139"/>
      <c r="GG197" s="139"/>
      <c r="GH197" s="139"/>
      <c r="GI197" s="139"/>
      <c r="GJ197" s="139"/>
      <c r="GK197" s="139"/>
      <c r="GL197" s="139"/>
      <c r="GM197" s="139"/>
      <c r="GN197" s="139"/>
      <c r="GO197" s="139"/>
      <c r="GP197" s="139"/>
      <c r="GQ197" s="139"/>
      <c r="GR197" s="139"/>
      <c r="GS197" s="139"/>
      <c r="GT197" s="139"/>
    </row>
    <row r="198" spans="1:202" s="139" customFormat="1" ht="18.75">
      <c r="A198" s="2263"/>
      <c r="B198" s="2263"/>
      <c r="C198" s="913"/>
      <c r="D198" s="132"/>
      <c r="E198" s="132"/>
      <c r="F198" s="132"/>
      <c r="G198" s="132"/>
      <c r="H198" s="135"/>
      <c r="I198" s="136"/>
      <c r="J198" s="132"/>
      <c r="K198" s="132"/>
      <c r="L198" s="132"/>
      <c r="M198" s="132"/>
      <c r="N198" s="134"/>
      <c r="O198" s="134"/>
      <c r="P198" s="134"/>
      <c r="Q198" s="134"/>
      <c r="R198" s="137"/>
      <c r="S198" s="778"/>
      <c r="T198" s="634"/>
      <c r="U198" s="102"/>
      <c r="V198" s="634"/>
      <c r="W198" s="102"/>
      <c r="X198" s="102"/>
      <c r="Y198" s="102"/>
      <c r="Z198" s="634"/>
      <c r="AA198" s="102"/>
      <c r="AB198" s="634"/>
      <c r="AC198" s="102"/>
      <c r="AD198" s="634"/>
      <c r="AE198" s="102"/>
      <c r="AF198" s="102"/>
      <c r="AG198" s="102"/>
      <c r="AH198" s="102"/>
      <c r="AI198" s="634"/>
      <c r="AJ198" s="102"/>
      <c r="AK198" s="634"/>
      <c r="AL198" s="102"/>
      <c r="AM198" s="779"/>
      <c r="AN198" s="634"/>
      <c r="AO198" s="102"/>
      <c r="AP198" s="634"/>
      <c r="AQ198" s="102"/>
      <c r="AR198" s="634"/>
      <c r="AS198" s="102"/>
      <c r="AT198" s="634"/>
      <c r="AU198" s="102"/>
      <c r="AV198" s="634"/>
      <c r="AW198" s="102"/>
      <c r="AX198" s="102"/>
      <c r="AY198" s="102"/>
      <c r="AZ198" s="102"/>
      <c r="BA198" s="102"/>
      <c r="BB198" s="102"/>
      <c r="BC198" s="102"/>
      <c r="BD198" s="634"/>
      <c r="BE198" s="102"/>
      <c r="BF198" s="634"/>
      <c r="BG198" s="102"/>
      <c r="BH198" s="634"/>
      <c r="BI198" s="102"/>
      <c r="BJ198" s="111"/>
      <c r="BK198" s="186"/>
      <c r="BL198" s="102"/>
      <c r="BM198" s="102"/>
      <c r="BN198" s="102"/>
      <c r="BO198" s="102"/>
      <c r="BP198" s="102"/>
      <c r="BQ198" s="102"/>
      <c r="BR198" s="102"/>
      <c r="BS198" s="102"/>
      <c r="BT198" s="634"/>
      <c r="BU198" s="111"/>
      <c r="BW198" s="780"/>
      <c r="BZ198" s="921"/>
      <c r="CA198" s="627"/>
      <c r="CB198" s="2258"/>
      <c r="CC198" s="782"/>
      <c r="CD198" s="782"/>
      <c r="CE198" s="634"/>
      <c r="CF198" s="783"/>
      <c r="CG198" s="634"/>
      <c r="CH198" s="783"/>
      <c r="CI198" s="634"/>
      <c r="CK198" s="634"/>
      <c r="CM198" s="634"/>
      <c r="CN198" s="102"/>
      <c r="CO198" s="784"/>
      <c r="CP198" s="784"/>
      <c r="CQ198" s="634"/>
      <c r="CR198" s="102"/>
      <c r="CS198" s="784"/>
      <c r="CT198" s="784"/>
      <c r="CU198" s="784"/>
      <c r="CV198" s="784"/>
      <c r="CW198" s="634"/>
      <c r="CX198" s="784"/>
      <c r="CY198" s="784"/>
      <c r="CZ198" s="784"/>
      <c r="DA198" s="784"/>
      <c r="DB198" s="784"/>
      <c r="DC198" s="784"/>
      <c r="DD198" s="784"/>
      <c r="DE198" s="634"/>
      <c r="DF198" s="934"/>
      <c r="DG198" s="634"/>
      <c r="DI198" s="802"/>
      <c r="DJ198" s="785"/>
      <c r="DK198" s="899"/>
      <c r="DL198" s="772"/>
      <c r="DM198" s="787"/>
      <c r="DN198" s="787"/>
      <c r="DO198" s="787"/>
      <c r="DP198" s="787"/>
      <c r="DQ198" s="787"/>
      <c r="DR198" s="787"/>
      <c r="DS198" s="787"/>
      <c r="DT198" s="787"/>
      <c r="DU198" s="787"/>
      <c r="DV198" s="787"/>
      <c r="DW198" s="802"/>
      <c r="DX198" s="788"/>
      <c r="DY198" s="634"/>
      <c r="DZ198" s="2288"/>
      <c r="EA198" s="2231"/>
      <c r="EB198" s="187"/>
      <c r="EC198" s="2232"/>
      <c r="ED198" s="187"/>
      <c r="EE198" s="187"/>
      <c r="EF198" s="2232"/>
      <c r="EG198" s="187"/>
      <c r="EH198" s="2232"/>
      <c r="EI198" s="187"/>
      <c r="EJ198" s="2232"/>
      <c r="EK198" s="187"/>
      <c r="EL198" s="2232"/>
      <c r="EM198" s="195"/>
      <c r="EN198" s="2232"/>
      <c r="EO198" s="195"/>
      <c r="EP198" s="2232"/>
      <c r="EQ198" s="187"/>
      <c r="ER198" s="2232"/>
      <c r="ES198" s="187"/>
      <c r="ET198" s="2232"/>
      <c r="EU198" s="187">
        <f t="shared" si="125"/>
        <v>0</v>
      </c>
      <c r="EV198" s="2232"/>
      <c r="EW198" s="187"/>
      <c r="EX198" s="2232"/>
      <c r="EY198" s="195"/>
      <c r="EZ198" s="2232"/>
      <c r="FA198" s="195"/>
      <c r="FB198" s="2232"/>
      <c r="FC198" s="195"/>
      <c r="FD198" s="2232"/>
      <c r="FE198" s="195"/>
      <c r="FF198" s="2232"/>
      <c r="FG198" s="195"/>
      <c r="FH198" s="2232"/>
      <c r="FI198" s="195"/>
      <c r="FJ198" s="2232"/>
      <c r="FK198" s="195"/>
      <c r="FL198" s="2232"/>
      <c r="FM198" s="187"/>
      <c r="FN198" s="2232"/>
      <c r="FO198" s="187"/>
      <c r="FP198" s="2232"/>
      <c r="FQ198" s="187"/>
      <c r="FR198" s="195"/>
      <c r="FS198" s="195"/>
      <c r="FT198" s="789"/>
      <c r="FU198" s="789"/>
      <c r="FV198" s="789"/>
      <c r="FW198" s="789"/>
      <c r="FX198" s="789"/>
      <c r="FY198" s="789"/>
      <c r="FZ198" s="789"/>
      <c r="GA198" s="789"/>
      <c r="GB198" s="2289"/>
      <c r="GC198" s="776"/>
    </row>
    <row r="199" spans="1:202" s="228" customFormat="1" ht="18.75">
      <c r="A199" s="216"/>
      <c r="B199" s="216">
        <v>72</v>
      </c>
      <c r="C199" s="218" t="s">
        <v>703</v>
      </c>
      <c r="D199" s="218">
        <v>2857</v>
      </c>
      <c r="E199" s="218">
        <v>90</v>
      </c>
      <c r="F199" s="218">
        <v>2028570090</v>
      </c>
      <c r="G199" s="218">
        <v>13879</v>
      </c>
      <c r="H199" s="221" t="s">
        <v>704</v>
      </c>
      <c r="I199" s="222"/>
      <c r="J199" s="218">
        <v>7.96</v>
      </c>
      <c r="K199" s="218">
        <v>0</v>
      </c>
      <c r="L199" s="218">
        <v>2</v>
      </c>
      <c r="M199" s="218">
        <v>6.5</v>
      </c>
      <c r="N199" s="220">
        <v>110430</v>
      </c>
      <c r="O199" s="220">
        <v>0</v>
      </c>
      <c r="P199" s="220">
        <v>0</v>
      </c>
      <c r="Q199" s="220">
        <v>110430</v>
      </c>
      <c r="R199" s="223">
        <v>0</v>
      </c>
      <c r="S199" s="898" t="s">
        <v>894</v>
      </c>
      <c r="T199" s="234">
        <f>U199</f>
        <v>0</v>
      </c>
      <c r="U199" s="111">
        <f>Q199-N199</f>
        <v>0</v>
      </c>
      <c r="V199" s="234">
        <f>W199</f>
        <v>110430</v>
      </c>
      <c r="W199" s="111">
        <f>N199</f>
        <v>110430</v>
      </c>
      <c r="X199" s="111"/>
      <c r="Y199" s="111">
        <f>W199-AA199</f>
        <v>110430</v>
      </c>
      <c r="Z199" s="234">
        <f>AA199</f>
        <v>0</v>
      </c>
      <c r="AA199" s="111">
        <v>0</v>
      </c>
      <c r="AB199" s="234">
        <f>AC199</f>
        <v>0</v>
      </c>
      <c r="AC199" s="111">
        <v>0</v>
      </c>
      <c r="AD199" s="234">
        <f>AE199</f>
        <v>0</v>
      </c>
      <c r="AE199" s="111">
        <f>AF199+AG199</f>
        <v>0</v>
      </c>
      <c r="AF199" s="111">
        <v>0</v>
      </c>
      <c r="AG199" s="111">
        <v>0</v>
      </c>
      <c r="AH199" s="111">
        <v>0</v>
      </c>
      <c r="AI199" s="234">
        <f>AJ199</f>
        <v>0</v>
      </c>
      <c r="AJ199" s="111">
        <v>0</v>
      </c>
      <c r="AK199" s="234">
        <f>AL199</f>
        <v>0</v>
      </c>
      <c r="AL199" s="111">
        <f>W199-(AA199+AC199+AE199+AH199+AJ199+AM199+AW199+AO199+AQ199+AS199+AU199)</f>
        <v>0</v>
      </c>
      <c r="AM199" s="899">
        <v>0</v>
      </c>
      <c r="AN199" s="234">
        <f>AO199</f>
        <v>110430</v>
      </c>
      <c r="AO199" s="111">
        <v>110430</v>
      </c>
      <c r="AP199" s="234">
        <f>AQ199</f>
        <v>0</v>
      </c>
      <c r="AQ199" s="111">
        <v>0</v>
      </c>
      <c r="AR199" s="234">
        <f>AS199</f>
        <v>0</v>
      </c>
      <c r="AS199" s="111">
        <v>0</v>
      </c>
      <c r="AT199" s="234">
        <f>AU199</f>
        <v>0</v>
      </c>
      <c r="AU199" s="111">
        <v>0</v>
      </c>
      <c r="AV199" s="234">
        <f>AW199</f>
        <v>0</v>
      </c>
      <c r="AW199" s="111">
        <f>AX199+AY199+AZ199+BA199+BB199</f>
        <v>0</v>
      </c>
      <c r="AX199" s="111">
        <v>0</v>
      </c>
      <c r="AY199" s="111">
        <v>0</v>
      </c>
      <c r="AZ199" s="111">
        <v>0</v>
      </c>
      <c r="BA199" s="111">
        <v>0</v>
      </c>
      <c r="BB199" s="111">
        <v>0</v>
      </c>
      <c r="BC199" s="111">
        <v>0</v>
      </c>
      <c r="BD199" s="234">
        <f>BE199</f>
        <v>110430</v>
      </c>
      <c r="BE199" s="111">
        <f>U199+W199</f>
        <v>110430</v>
      </c>
      <c r="BF199" s="234">
        <f>BG199</f>
        <v>0</v>
      </c>
      <c r="BG199" s="111">
        <v>0</v>
      </c>
      <c r="BH199" s="234">
        <f>BI199</f>
        <v>0</v>
      </c>
      <c r="BI199" s="111">
        <f>'[1]Projected Development Sites'!BG$135*BG199</f>
        <v>0</v>
      </c>
      <c r="BJ199" s="111">
        <f t="shared" si="59"/>
        <v>0</v>
      </c>
      <c r="BK199" s="306">
        <f>ROUND((AL199+AC199+AA199)/1000*3,0)+ROUND((AE199+AU199)/1000,0)+ROUND((ROUND(AH199/400,0))/2.67,0)+ROUND(AJ199/250,0)+ROUND(AO199/15000,0)+ROUND((AX199+AY199+AZ199+BB199)/1000*3,0)+ROUND(BG199/25,0)+ROUND(BU199/50,0)</f>
        <v>7</v>
      </c>
      <c r="BL199" s="111">
        <v>0</v>
      </c>
      <c r="BM199" s="111">
        <v>0</v>
      </c>
      <c r="BN199" s="111">
        <v>0</v>
      </c>
      <c r="BO199" s="111">
        <v>0</v>
      </c>
      <c r="BP199" s="111">
        <v>0</v>
      </c>
      <c r="BQ199" s="111">
        <v>0</v>
      </c>
      <c r="BR199" s="111">
        <v>0</v>
      </c>
      <c r="BS199" s="111">
        <v>0</v>
      </c>
      <c r="BT199" s="234">
        <f>BU199</f>
        <v>0</v>
      </c>
      <c r="BU199" s="111">
        <f>SUM(BL199:BS199)</f>
        <v>0</v>
      </c>
      <c r="BV199" s="228">
        <v>105</v>
      </c>
      <c r="BW199" s="900" t="s">
        <v>741</v>
      </c>
      <c r="BX199" s="228">
        <v>7.2</v>
      </c>
      <c r="BY199" s="228">
        <v>2</v>
      </c>
      <c r="BZ199" s="228">
        <v>6.5</v>
      </c>
      <c r="CA199" s="901" t="s">
        <v>706</v>
      </c>
      <c r="CB199" s="230" t="s">
        <v>716</v>
      </c>
      <c r="CC199" s="399">
        <f>(BX199*G199)-CF199</f>
        <v>88131.650000000009</v>
      </c>
      <c r="CD199" s="399">
        <v>88131.650000000009</v>
      </c>
      <c r="CE199" s="234">
        <f>CF199</f>
        <v>11797.15</v>
      </c>
      <c r="CF199" s="836">
        <f>1*(G199)-(0.15*1*(G199))</f>
        <v>11797.15</v>
      </c>
      <c r="CG199" s="234">
        <f>CH199</f>
        <v>11797.15</v>
      </c>
      <c r="CH199" s="836">
        <f>CF199-CJ199</f>
        <v>11797.15</v>
      </c>
      <c r="CI199" s="234">
        <f>CJ199</f>
        <v>0</v>
      </c>
      <c r="CJ199" s="228">
        <v>0</v>
      </c>
      <c r="CK199" s="234">
        <f>CL199</f>
        <v>0</v>
      </c>
      <c r="CL199" s="228">
        <v>0</v>
      </c>
      <c r="CM199" s="234">
        <f>CN199</f>
        <v>0</v>
      </c>
      <c r="CN199" s="111">
        <v>0</v>
      </c>
      <c r="CO199" s="903">
        <v>0</v>
      </c>
      <c r="CP199" s="903">
        <v>0</v>
      </c>
      <c r="CQ199" s="234">
        <f>CR199</f>
        <v>0</v>
      </c>
      <c r="CR199" s="111">
        <v>0</v>
      </c>
      <c r="CS199" s="903">
        <v>0</v>
      </c>
      <c r="CT199" s="903">
        <v>0</v>
      </c>
      <c r="CU199" s="903">
        <v>0</v>
      </c>
      <c r="CV199" s="903">
        <v>0</v>
      </c>
      <c r="CW199" s="234">
        <f>CX199</f>
        <v>0</v>
      </c>
      <c r="CX199" s="903">
        <f>SUM(CY199:DC199)</f>
        <v>0</v>
      </c>
      <c r="CY199" s="903">
        <v>0</v>
      </c>
      <c r="CZ199" s="903">
        <v>0</v>
      </c>
      <c r="DA199" s="903">
        <v>0</v>
      </c>
      <c r="DB199" s="903">
        <v>0</v>
      </c>
      <c r="DC199" s="903">
        <v>0</v>
      </c>
      <c r="DD199" s="903"/>
      <c r="DE199" s="234">
        <f>DF199</f>
        <v>99928.8</v>
      </c>
      <c r="DF199" s="903">
        <f>CC199+CF199</f>
        <v>99928.8</v>
      </c>
      <c r="DG199" s="234">
        <f>DH199</f>
        <v>88</v>
      </c>
      <c r="DH199" s="228">
        <f>ROUND(CC199/'[1]Projected Development Sites'!DF$134,0)</f>
        <v>88</v>
      </c>
      <c r="DI199" s="886">
        <f>DJ199</f>
        <v>88</v>
      </c>
      <c r="DJ199" s="803">
        <f>'[1]Projected Development Sites'!DK$136*DH199</f>
        <v>88</v>
      </c>
      <c r="DK199" s="899">
        <f>2.87*DH199</f>
        <v>252.56</v>
      </c>
      <c r="DL199" s="772">
        <f>ROUND((CN199+CL199+CJ199)/1000*3,0)+ROUND((ROUND(CP199/400,0))/2.67,0)+ROUND(CV199/1000,0)+ROUND((CY199+CZ199+DA199+DC199)/1000*3,0)+ROUND(DH199/25,0)+ROUND(DX199/50,0)</f>
        <v>4</v>
      </c>
      <c r="DM199" s="905">
        <v>0</v>
      </c>
      <c r="DN199" s="905"/>
      <c r="DO199" s="905">
        <v>0</v>
      </c>
      <c r="DP199" s="905">
        <f>0.25*DJ199</f>
        <v>22</v>
      </c>
      <c r="DQ199" s="905">
        <f>SUM(CO199,CJ199,CN199,CR199,CU199)/1000</f>
        <v>0</v>
      </c>
      <c r="DR199" s="905">
        <f>CL199/1000</f>
        <v>0</v>
      </c>
      <c r="DS199" s="905">
        <f>((CP199/400)/12)</f>
        <v>0</v>
      </c>
      <c r="DT199" s="905">
        <f>IF(CX199&gt;0,"Calculate",0)</f>
        <v>0</v>
      </c>
      <c r="DU199" s="905">
        <v>0</v>
      </c>
      <c r="DV199" s="905">
        <f>CX199/1000</f>
        <v>0</v>
      </c>
      <c r="DW199" s="886">
        <f>DX199</f>
        <v>0</v>
      </c>
      <c r="DX199" s="906">
        <f>SUM(DM199,DO199,DQ199:DV199)</f>
        <v>0</v>
      </c>
      <c r="DY199" s="837">
        <v>145</v>
      </c>
      <c r="DZ199" s="2288">
        <f>CD199-T199</f>
        <v>88131.650000000009</v>
      </c>
      <c r="EA199" s="2231">
        <f>CE199-V199</f>
        <v>-98632.85</v>
      </c>
      <c r="EB199" s="187">
        <f>CF199-W199</f>
        <v>-98632.85</v>
      </c>
      <c r="EC199" s="235">
        <f>ED199</f>
        <v>0</v>
      </c>
      <c r="ED199" s="187">
        <v>0</v>
      </c>
      <c r="EE199" s="187">
        <f>(SUM(CJ199:CO199))-(SUM(AA199:AE199,AL199))</f>
        <v>0</v>
      </c>
      <c r="EF199" s="235">
        <f>EG199</f>
        <v>0</v>
      </c>
      <c r="EG199" s="187">
        <v>0</v>
      </c>
      <c r="EH199" s="235">
        <f>EI199</f>
        <v>0</v>
      </c>
      <c r="EI199" s="187">
        <f>CL199-AC199</f>
        <v>0</v>
      </c>
      <c r="EJ199" s="235">
        <f>EK199</f>
        <v>0</v>
      </c>
      <c r="EK199" s="187">
        <f>CJ199-AA199</f>
        <v>0</v>
      </c>
      <c r="EL199" s="235">
        <f>EM199</f>
        <v>0</v>
      </c>
      <c r="EM199" s="245">
        <f>CO199-AE199</f>
        <v>0</v>
      </c>
      <c r="EN199" s="235">
        <f>EO199</f>
        <v>0</v>
      </c>
      <c r="EO199" s="245">
        <f>CP199-AH199</f>
        <v>0</v>
      </c>
      <c r="EP199" s="235">
        <f>EQ199</f>
        <v>0</v>
      </c>
      <c r="EQ199" s="187">
        <f>CR199-AJ199</f>
        <v>0</v>
      </c>
      <c r="ER199" s="235">
        <f>ES199</f>
        <v>-110430</v>
      </c>
      <c r="ES199" s="187">
        <f>CS199-AO199</f>
        <v>-110430</v>
      </c>
      <c r="ET199" s="235">
        <f>EU199</f>
        <v>0</v>
      </c>
      <c r="EU199" s="187">
        <f t="shared" si="125"/>
        <v>0</v>
      </c>
      <c r="EV199" s="235">
        <f>EW199</f>
        <v>0</v>
      </c>
      <c r="EW199" s="187">
        <f>CU199-AS199</f>
        <v>0</v>
      </c>
      <c r="EX199" s="235">
        <f>EY199</f>
        <v>0</v>
      </c>
      <c r="EY199" s="245">
        <f>CV199-AU199</f>
        <v>0</v>
      </c>
      <c r="EZ199" s="235">
        <f>FA199</f>
        <v>0</v>
      </c>
      <c r="FA199" s="245">
        <f>CY199-AX199</f>
        <v>0</v>
      </c>
      <c r="FB199" s="235">
        <f>FC199</f>
        <v>0</v>
      </c>
      <c r="FC199" s="245">
        <f>CZ199-AY199</f>
        <v>0</v>
      </c>
      <c r="FD199" s="235">
        <f>FE199</f>
        <v>0</v>
      </c>
      <c r="FE199" s="245">
        <f>DA199-AZ199</f>
        <v>0</v>
      </c>
      <c r="FF199" s="235">
        <f>FG199</f>
        <v>0</v>
      </c>
      <c r="FG199" s="245">
        <f>DB199-BA199</f>
        <v>0</v>
      </c>
      <c r="FH199" s="235">
        <f>FI199</f>
        <v>0</v>
      </c>
      <c r="FI199" s="245">
        <f>DC199-BB199</f>
        <v>0</v>
      </c>
      <c r="FJ199" s="235">
        <f>FK199</f>
        <v>0</v>
      </c>
      <c r="FK199" s="245">
        <f>CX199-AW199</f>
        <v>0</v>
      </c>
      <c r="FL199" s="235">
        <f>FM199</f>
        <v>-10501.199999999997</v>
      </c>
      <c r="FM199" s="187">
        <f>DF199-BE199</f>
        <v>-10501.199999999997</v>
      </c>
      <c r="FN199" s="235">
        <f>FO199</f>
        <v>88</v>
      </c>
      <c r="FO199" s="187">
        <f>DH199-BG199</f>
        <v>88</v>
      </c>
      <c r="FP199" s="235">
        <f>FQ199</f>
        <v>88</v>
      </c>
      <c r="FQ199" s="187">
        <f>DJ199-BI199</f>
        <v>88</v>
      </c>
      <c r="FR199" s="245">
        <f>DK199-BJ199</f>
        <v>252.56</v>
      </c>
      <c r="FS199" s="245">
        <f>DL199-BK199</f>
        <v>-3</v>
      </c>
      <c r="FT199" s="907">
        <f>DM199-BL199</f>
        <v>0</v>
      </c>
      <c r="FU199" s="907">
        <f>DR199-BO199</f>
        <v>0</v>
      </c>
      <c r="FV199" s="907">
        <f>DO199-BM199</f>
        <v>0</v>
      </c>
      <c r="FW199" s="907">
        <f>DQ199-BN199</f>
        <v>0</v>
      </c>
      <c r="FX199" s="907">
        <f>DS199-BP199</f>
        <v>0</v>
      </c>
      <c r="FY199" s="907">
        <f>DT199-BQ199</f>
        <v>0</v>
      </c>
      <c r="FZ199" s="907">
        <f>DU199-BR199</f>
        <v>0</v>
      </c>
      <c r="GA199" s="907">
        <f>DV199-BS199</f>
        <v>0</v>
      </c>
      <c r="GB199" s="894">
        <f>GC199</f>
        <v>0</v>
      </c>
      <c r="GC199" s="776">
        <f t="shared" ref="GC199:GC260" si="126">SUM(FT199:GA199)</f>
        <v>0</v>
      </c>
      <c r="GD199" s="139"/>
      <c r="GE199" s="139"/>
      <c r="GF199" s="139"/>
      <c r="GG199" s="139"/>
      <c r="GH199" s="139"/>
      <c r="GI199" s="139"/>
      <c r="GJ199" s="139"/>
      <c r="GK199" s="139"/>
      <c r="GL199" s="139"/>
      <c r="GM199" s="139"/>
      <c r="GN199" s="139"/>
      <c r="GO199" s="139"/>
      <c r="GP199" s="139"/>
      <c r="GQ199" s="139"/>
      <c r="GR199" s="139"/>
      <c r="GS199" s="139"/>
      <c r="GT199" s="139"/>
    </row>
    <row r="200" spans="1:202" s="139" customFormat="1" ht="18.75">
      <c r="A200" s="2263"/>
      <c r="B200" s="2263"/>
      <c r="C200" s="132"/>
      <c r="D200" s="132"/>
      <c r="E200" s="132"/>
      <c r="F200" s="132"/>
      <c r="G200" s="132"/>
      <c r="H200" s="135"/>
      <c r="I200" s="136"/>
      <c r="J200" s="132"/>
      <c r="K200" s="132"/>
      <c r="L200" s="132"/>
      <c r="M200" s="132"/>
      <c r="N200" s="134"/>
      <c r="O200" s="134"/>
      <c r="P200" s="134"/>
      <c r="Q200" s="134"/>
      <c r="R200" s="137"/>
      <c r="S200" s="778"/>
      <c r="T200" s="634"/>
      <c r="U200" s="102"/>
      <c r="V200" s="634"/>
      <c r="W200" s="102"/>
      <c r="X200" s="102"/>
      <c r="Y200" s="102"/>
      <c r="Z200" s="634"/>
      <c r="AA200" s="102"/>
      <c r="AB200" s="634"/>
      <c r="AC200" s="102"/>
      <c r="AD200" s="634"/>
      <c r="AE200" s="102"/>
      <c r="AF200" s="102"/>
      <c r="AG200" s="102"/>
      <c r="AH200" s="102"/>
      <c r="AI200" s="634"/>
      <c r="AJ200" s="102"/>
      <c r="AK200" s="634"/>
      <c r="AL200" s="102"/>
      <c r="AM200" s="779"/>
      <c r="AN200" s="634"/>
      <c r="AO200" s="102"/>
      <c r="AP200" s="634"/>
      <c r="AQ200" s="102"/>
      <c r="AR200" s="634"/>
      <c r="AS200" s="102"/>
      <c r="AT200" s="634"/>
      <c r="AU200" s="102"/>
      <c r="AV200" s="634"/>
      <c r="AW200" s="102"/>
      <c r="AX200" s="102"/>
      <c r="AY200" s="102"/>
      <c r="AZ200" s="102"/>
      <c r="BA200" s="102"/>
      <c r="BB200" s="102"/>
      <c r="BC200" s="102"/>
      <c r="BD200" s="634"/>
      <c r="BE200" s="102"/>
      <c r="BF200" s="634"/>
      <c r="BG200" s="102"/>
      <c r="BH200" s="634"/>
      <c r="BI200" s="102"/>
      <c r="BJ200" s="111"/>
      <c r="BK200" s="186"/>
      <c r="BL200" s="102"/>
      <c r="BM200" s="102"/>
      <c r="BN200" s="102"/>
      <c r="BO200" s="102"/>
      <c r="BP200" s="102"/>
      <c r="BQ200" s="102"/>
      <c r="BR200" s="102"/>
      <c r="BS200" s="102"/>
      <c r="BT200" s="634"/>
      <c r="BU200" s="102"/>
      <c r="BW200" s="780"/>
      <c r="CA200" s="627"/>
      <c r="CB200" s="2258"/>
      <c r="CC200" s="782"/>
      <c r="CD200" s="782"/>
      <c r="CE200" s="634"/>
      <c r="CF200" s="783"/>
      <c r="CG200" s="634"/>
      <c r="CH200" s="783"/>
      <c r="CI200" s="634"/>
      <c r="CK200" s="634"/>
      <c r="CM200" s="634"/>
      <c r="CN200" s="784"/>
      <c r="CO200" s="784"/>
      <c r="CP200" s="784"/>
      <c r="CQ200" s="634"/>
      <c r="CR200" s="102"/>
      <c r="CS200" s="784"/>
      <c r="CT200" s="784"/>
      <c r="CU200" s="784"/>
      <c r="CV200" s="784"/>
      <c r="CW200" s="634"/>
      <c r="CX200" s="784"/>
      <c r="CY200" s="784"/>
      <c r="CZ200" s="784"/>
      <c r="DA200" s="784"/>
      <c r="DB200" s="784"/>
      <c r="DC200" s="784"/>
      <c r="DD200" s="784"/>
      <c r="DE200" s="634"/>
      <c r="DF200" s="784"/>
      <c r="DG200" s="634"/>
      <c r="DI200" s="802"/>
      <c r="DJ200" s="787"/>
      <c r="DK200" s="899"/>
      <c r="DL200" s="772"/>
      <c r="DM200" s="787"/>
      <c r="DN200" s="787"/>
      <c r="DO200" s="787"/>
      <c r="DP200" s="787"/>
      <c r="DQ200" s="787"/>
      <c r="DR200" s="787"/>
      <c r="DS200" s="787"/>
      <c r="DT200" s="787"/>
      <c r="DU200" s="787"/>
      <c r="DV200" s="787"/>
      <c r="DW200" s="802"/>
      <c r="DX200" s="788"/>
      <c r="DY200" s="634"/>
      <c r="DZ200" s="2288"/>
      <c r="EA200" s="2231"/>
      <c r="EB200" s="187"/>
      <c r="EC200" s="2232"/>
      <c r="ED200" s="187"/>
      <c r="EE200" s="187"/>
      <c r="EF200" s="2232"/>
      <c r="EG200" s="187"/>
      <c r="EH200" s="2232"/>
      <c r="EI200" s="187"/>
      <c r="EJ200" s="2232"/>
      <c r="EK200" s="187"/>
      <c r="EL200" s="2232"/>
      <c r="EM200" s="195"/>
      <c r="EN200" s="2232"/>
      <c r="EO200" s="195"/>
      <c r="EP200" s="2232"/>
      <c r="EQ200" s="187"/>
      <c r="ER200" s="2232"/>
      <c r="ES200" s="187"/>
      <c r="ET200" s="2232"/>
      <c r="EU200" s="187">
        <f t="shared" si="125"/>
        <v>0</v>
      </c>
      <c r="EV200" s="2232"/>
      <c r="EW200" s="187"/>
      <c r="EX200" s="2232"/>
      <c r="EY200" s="195"/>
      <c r="EZ200" s="2232"/>
      <c r="FA200" s="195"/>
      <c r="FB200" s="2232"/>
      <c r="FC200" s="195"/>
      <c r="FD200" s="2232"/>
      <c r="FE200" s="195"/>
      <c r="FF200" s="2232"/>
      <c r="FG200" s="195"/>
      <c r="FH200" s="2232"/>
      <c r="FI200" s="195"/>
      <c r="FJ200" s="2232"/>
      <c r="FK200" s="195"/>
      <c r="FL200" s="2232"/>
      <c r="FM200" s="187"/>
      <c r="FN200" s="2232"/>
      <c r="FO200" s="187"/>
      <c r="FP200" s="2232"/>
      <c r="FQ200" s="187"/>
      <c r="FR200" s="195"/>
      <c r="FS200" s="195"/>
      <c r="FT200" s="789"/>
      <c r="FU200" s="789"/>
      <c r="FV200" s="789"/>
      <c r="FW200" s="789"/>
      <c r="FX200" s="789"/>
      <c r="FY200" s="789"/>
      <c r="FZ200" s="789"/>
      <c r="GA200" s="789"/>
      <c r="GB200" s="2289"/>
      <c r="GC200" s="776"/>
    </row>
    <row r="201" spans="1:202" s="228" customFormat="1" ht="18.75">
      <c r="A201" s="216"/>
      <c r="B201" s="216">
        <v>73</v>
      </c>
      <c r="C201" s="218" t="s">
        <v>703</v>
      </c>
      <c r="D201" s="218">
        <v>2857</v>
      </c>
      <c r="E201" s="218">
        <v>64</v>
      </c>
      <c r="F201" s="897">
        <v>2028570064</v>
      </c>
      <c r="G201" s="218">
        <v>14168</v>
      </c>
      <c r="H201" s="221" t="s">
        <v>704</v>
      </c>
      <c r="I201" s="222"/>
      <c r="J201" s="218">
        <v>1.91</v>
      </c>
      <c r="K201" s="218">
        <v>0</v>
      </c>
      <c r="L201" s="218">
        <v>2</v>
      </c>
      <c r="M201" s="218">
        <v>6.5</v>
      </c>
      <c r="N201" s="220">
        <v>27000</v>
      </c>
      <c r="O201" s="220">
        <f>AG201</f>
        <v>26500</v>
      </c>
      <c r="P201" s="220">
        <v>0</v>
      </c>
      <c r="Q201" s="220">
        <v>27000</v>
      </c>
      <c r="R201" s="223">
        <v>0</v>
      </c>
      <c r="S201" s="898" t="s">
        <v>711</v>
      </c>
      <c r="T201" s="234">
        <f>U201</f>
        <v>0</v>
      </c>
      <c r="U201" s="111">
        <v>0</v>
      </c>
      <c r="V201" s="234">
        <f>W201</f>
        <v>27000</v>
      </c>
      <c r="W201" s="111">
        <f>N201</f>
        <v>27000</v>
      </c>
      <c r="X201" s="111"/>
      <c r="Y201" s="111">
        <f>W201-AA201</f>
        <v>27000</v>
      </c>
      <c r="Z201" s="234">
        <f>AA201</f>
        <v>0</v>
      </c>
      <c r="AA201" s="111">
        <v>0</v>
      </c>
      <c r="AB201" s="234">
        <f>AC201</f>
        <v>0</v>
      </c>
      <c r="AC201" s="111">
        <v>0</v>
      </c>
      <c r="AD201" s="234">
        <f>AE201</f>
        <v>26500</v>
      </c>
      <c r="AE201" s="111">
        <f>AG201+AF201</f>
        <v>26500</v>
      </c>
      <c r="AF201" s="111">
        <v>0</v>
      </c>
      <c r="AG201" s="111">
        <f>W201-500</f>
        <v>26500</v>
      </c>
      <c r="AH201" s="111">
        <v>0</v>
      </c>
      <c r="AI201" s="234">
        <f>AJ201</f>
        <v>0</v>
      </c>
      <c r="AJ201" s="111">
        <v>0</v>
      </c>
      <c r="AK201" s="234">
        <f>AL201</f>
        <v>500</v>
      </c>
      <c r="AL201" s="111">
        <f>W201-(AA201+AC201+AE201+AH201+AJ201+AM201+AW201+AO201+AQ201+AS201+AU201)</f>
        <v>500</v>
      </c>
      <c r="AM201" s="899">
        <v>0</v>
      </c>
      <c r="AN201" s="234">
        <f>AO201</f>
        <v>0</v>
      </c>
      <c r="AO201" s="111">
        <v>0</v>
      </c>
      <c r="AP201" s="234">
        <f>AQ201</f>
        <v>0</v>
      </c>
      <c r="AQ201" s="111">
        <v>0</v>
      </c>
      <c r="AR201" s="234">
        <f>AS201</f>
        <v>0</v>
      </c>
      <c r="AS201" s="111">
        <v>0</v>
      </c>
      <c r="AT201" s="234">
        <f>AU201</f>
        <v>0</v>
      </c>
      <c r="AU201" s="111">
        <v>0</v>
      </c>
      <c r="AV201" s="234">
        <f>AW201</f>
        <v>0</v>
      </c>
      <c r="AW201" s="111">
        <f>AX201+AY201+AZ201+BA201+BB201</f>
        <v>0</v>
      </c>
      <c r="AX201" s="111">
        <v>0</v>
      </c>
      <c r="AY201" s="111">
        <v>0</v>
      </c>
      <c r="AZ201" s="111">
        <v>0</v>
      </c>
      <c r="BA201" s="111">
        <v>0</v>
      </c>
      <c r="BB201" s="111">
        <v>0</v>
      </c>
      <c r="BC201" s="111">
        <v>0</v>
      </c>
      <c r="BD201" s="234">
        <f>BE201</f>
        <v>27000</v>
      </c>
      <c r="BE201" s="111">
        <f>U201+W201</f>
        <v>27000</v>
      </c>
      <c r="BF201" s="234">
        <f>BG201</f>
        <v>0</v>
      </c>
      <c r="BG201" s="111">
        <f>U201/1000</f>
        <v>0</v>
      </c>
      <c r="BH201" s="234">
        <f>BI201</f>
        <v>0</v>
      </c>
      <c r="BI201" s="111">
        <f>'[1]Projected Development Sites'!BG$135*BG201</f>
        <v>0</v>
      </c>
      <c r="BJ201" s="111">
        <f t="shared" ref="BJ201:BJ262" si="127">ROUND(BG201*2.87,0)</f>
        <v>0</v>
      </c>
      <c r="BK201" s="306">
        <f>ROUND((Y201+AC201+AA201)/1000*3,0)+ROUND((AE201+AU201)/1000,0)+ROUND((ROUND(AH201/400,0))/2.67,0)+ROUND(AM201/250,0)+ROUND(AO201/15000,0)+ROUND((AX201+AY201+AZ201+BB201)/1000*3,0)+ROUND(BG201/25,0)+ROUND(BU329/50,0)</f>
        <v>108</v>
      </c>
      <c r="BL201" s="111">
        <v>0</v>
      </c>
      <c r="BM201" s="111">
        <v>0</v>
      </c>
      <c r="BN201" s="111">
        <v>0</v>
      </c>
      <c r="BO201" s="111">
        <f>AC201/1000</f>
        <v>0</v>
      </c>
      <c r="BP201" s="111">
        <f>AH201/1000</f>
        <v>0</v>
      </c>
      <c r="BQ201" s="111">
        <v>0</v>
      </c>
      <c r="BR201" s="111">
        <v>0</v>
      </c>
      <c r="BS201" s="111">
        <v>0</v>
      </c>
      <c r="BT201" s="234">
        <f>BU201</f>
        <v>0</v>
      </c>
      <c r="BU201" s="111">
        <f>SUM(BL201:BS201)</f>
        <v>0</v>
      </c>
      <c r="BV201" s="228">
        <v>25</v>
      </c>
      <c r="BW201" s="900" t="s">
        <v>741</v>
      </c>
      <c r="BX201" s="228">
        <v>7.2</v>
      </c>
      <c r="BY201" s="228">
        <v>2</v>
      </c>
      <c r="BZ201" s="228">
        <v>6.5</v>
      </c>
      <c r="CA201" s="901" t="s">
        <v>706</v>
      </c>
      <c r="CB201" s="230" t="s">
        <v>716</v>
      </c>
      <c r="CC201" s="399">
        <f>(BX201*G201)-CF201</f>
        <v>89966.8</v>
      </c>
      <c r="CD201" s="399">
        <v>89966.8</v>
      </c>
      <c r="CE201" s="234">
        <f>CF201</f>
        <v>12042.8</v>
      </c>
      <c r="CF201" s="836">
        <f>1*(G201)-(0.15*1*(G201))</f>
        <v>12042.8</v>
      </c>
      <c r="CG201" s="234">
        <f>CH201</f>
        <v>12042.8</v>
      </c>
      <c r="CH201" s="836">
        <f>CF201-CJ201</f>
        <v>12042.8</v>
      </c>
      <c r="CI201" s="234">
        <f>CJ201</f>
        <v>0</v>
      </c>
      <c r="CJ201" s="228">
        <v>0</v>
      </c>
      <c r="CK201" s="234">
        <f>CL201</f>
        <v>0</v>
      </c>
      <c r="CL201" s="228">
        <v>0</v>
      </c>
      <c r="CM201" s="234">
        <f>CN201</f>
        <v>12042.8</v>
      </c>
      <c r="CN201" s="903">
        <f>CF201-(CJ201+CL201+CO201+CP201+CR201+CU201+CV201+CX201)</f>
        <v>12042.8</v>
      </c>
      <c r="CO201" s="903">
        <v>0</v>
      </c>
      <c r="CP201" s="903">
        <v>0</v>
      </c>
      <c r="CQ201" s="234">
        <f>CR201</f>
        <v>0</v>
      </c>
      <c r="CR201" s="111">
        <v>0</v>
      </c>
      <c r="CS201" s="903">
        <v>0</v>
      </c>
      <c r="CT201" s="903">
        <v>0</v>
      </c>
      <c r="CU201" s="903">
        <v>0</v>
      </c>
      <c r="CV201" s="903">
        <v>0</v>
      </c>
      <c r="CW201" s="234">
        <f>CX201</f>
        <v>0</v>
      </c>
      <c r="CX201" s="111">
        <f>SUM(CY201:DC201)</f>
        <v>0</v>
      </c>
      <c r="CY201" s="903">
        <f>AX201</f>
        <v>0</v>
      </c>
      <c r="CZ201" s="903">
        <f>AY201</f>
        <v>0</v>
      </c>
      <c r="DA201" s="903">
        <f>AZ201</f>
        <v>0</v>
      </c>
      <c r="DB201" s="903">
        <f>BA201</f>
        <v>0</v>
      </c>
      <c r="DC201" s="903">
        <f>BB201</f>
        <v>0</v>
      </c>
      <c r="DD201" s="903"/>
      <c r="DE201" s="234">
        <f>DF201</f>
        <v>102009.60000000001</v>
      </c>
      <c r="DF201" s="903">
        <f>CC201+CF201</f>
        <v>102009.60000000001</v>
      </c>
      <c r="DG201" s="234">
        <f>DH201</f>
        <v>89.966800000000006</v>
      </c>
      <c r="DH201" s="904">
        <f>CC201/'[1]Projected Development Sites'!DF$134</f>
        <v>89.966800000000006</v>
      </c>
      <c r="DI201" s="886">
        <f>DJ201</f>
        <v>89.966800000000006</v>
      </c>
      <c r="DJ201" s="803">
        <f>'[1]Projected Development Sites'!DK$136*DH201</f>
        <v>89.966800000000006</v>
      </c>
      <c r="DK201" s="899">
        <f>2.87*DH201</f>
        <v>258.20471600000002</v>
      </c>
      <c r="DL201" s="772">
        <f>ROUND((CN201+CL201+CJ201)/1000*3,0)+ROUND((ROUND(CP201/400,0))/2.67,0)+ROUND(CV201/1000,0)+ROUND((CY201+CZ201+DA201+DC201)/1000*3,0)+ROUND(DH201/25,0)+ROUND(DX201/50,0)</f>
        <v>40</v>
      </c>
      <c r="DM201" s="905">
        <v>0</v>
      </c>
      <c r="DN201" s="905"/>
      <c r="DO201" s="905">
        <v>0</v>
      </c>
      <c r="DP201" s="905">
        <f>0.25*DJ201</f>
        <v>22.491700000000002</v>
      </c>
      <c r="DQ201" s="905">
        <f>SUM(CO201,CJ201,CN201,CR201,CU201)/1000</f>
        <v>12.0428</v>
      </c>
      <c r="DR201" s="905">
        <f>CL201/1000</f>
        <v>0</v>
      </c>
      <c r="DS201" s="905">
        <f>((CP201/400)/12)</f>
        <v>0</v>
      </c>
      <c r="DT201" s="905">
        <f>IF(CX201&gt;0,"Calculate",0)</f>
        <v>0</v>
      </c>
      <c r="DU201" s="905">
        <v>0</v>
      </c>
      <c r="DV201" s="905">
        <f>CX201/1000</f>
        <v>0</v>
      </c>
      <c r="DW201" s="886">
        <f>DX201</f>
        <v>12.0428</v>
      </c>
      <c r="DX201" s="906">
        <f>SUM(DM201,DO201,DQ201:DV201)</f>
        <v>12.0428</v>
      </c>
      <c r="DY201" s="837">
        <v>145</v>
      </c>
      <c r="DZ201" s="2288">
        <f>CD201-T201</f>
        <v>89966.8</v>
      </c>
      <c r="EA201" s="2231">
        <f>CE201-V201</f>
        <v>-14957.2</v>
      </c>
      <c r="EB201" s="187">
        <f>CF201-W201</f>
        <v>-14957.2</v>
      </c>
      <c r="EC201" s="235">
        <f>ED201</f>
        <v>-14957.2</v>
      </c>
      <c r="ED201" s="187">
        <v>-14957.2</v>
      </c>
      <c r="EE201" s="187">
        <f>(SUM(CJ201:CO201))-(SUM(AA201:AE201,AL201))</f>
        <v>-29414.400000000001</v>
      </c>
      <c r="EF201" s="235">
        <f>EG201</f>
        <v>11542.8</v>
      </c>
      <c r="EG201" s="187">
        <v>11542.8</v>
      </c>
      <c r="EH201" s="235">
        <f>EI201</f>
        <v>0</v>
      </c>
      <c r="EI201" s="187">
        <f>CL201-AC201</f>
        <v>0</v>
      </c>
      <c r="EJ201" s="235">
        <f>EK201</f>
        <v>0</v>
      </c>
      <c r="EK201" s="187">
        <f>CJ201-AA201</f>
        <v>0</v>
      </c>
      <c r="EL201" s="235">
        <f>EM201</f>
        <v>-26500</v>
      </c>
      <c r="EM201" s="245">
        <f>CO201-AE201</f>
        <v>-26500</v>
      </c>
      <c r="EN201" s="235">
        <f>EO201</f>
        <v>0</v>
      </c>
      <c r="EO201" s="245">
        <f>CP201-AH201</f>
        <v>0</v>
      </c>
      <c r="EP201" s="235">
        <f>EQ201</f>
        <v>0</v>
      </c>
      <c r="EQ201" s="187">
        <f>CR201-AJ201</f>
        <v>0</v>
      </c>
      <c r="ER201" s="235">
        <f>ES201</f>
        <v>0</v>
      </c>
      <c r="ES201" s="187">
        <f>CS201-AO201</f>
        <v>0</v>
      </c>
      <c r="ET201" s="235">
        <f>EU201</f>
        <v>0</v>
      </c>
      <c r="EU201" s="187">
        <f t="shared" si="125"/>
        <v>0</v>
      </c>
      <c r="EV201" s="235">
        <f>EW201</f>
        <v>0</v>
      </c>
      <c r="EW201" s="187">
        <f>CU201-AS201</f>
        <v>0</v>
      </c>
      <c r="EX201" s="235">
        <f>EY201</f>
        <v>0</v>
      </c>
      <c r="EY201" s="245">
        <f>CV201-AU201</f>
        <v>0</v>
      </c>
      <c r="EZ201" s="235">
        <f>FA201</f>
        <v>0</v>
      </c>
      <c r="FA201" s="245">
        <f>CY201-AX201</f>
        <v>0</v>
      </c>
      <c r="FB201" s="235">
        <f>FC201</f>
        <v>0</v>
      </c>
      <c r="FC201" s="245">
        <f>CZ201-AY201</f>
        <v>0</v>
      </c>
      <c r="FD201" s="235">
        <f>FE201</f>
        <v>0</v>
      </c>
      <c r="FE201" s="245">
        <f>DA201-AZ201</f>
        <v>0</v>
      </c>
      <c r="FF201" s="235">
        <f>FG201</f>
        <v>0</v>
      </c>
      <c r="FG201" s="245">
        <f>DB201-BA201</f>
        <v>0</v>
      </c>
      <c r="FH201" s="235">
        <f>FI201</f>
        <v>0</v>
      </c>
      <c r="FI201" s="245">
        <f>DC201-BB201</f>
        <v>0</v>
      </c>
      <c r="FJ201" s="235">
        <f>FK201</f>
        <v>0</v>
      </c>
      <c r="FK201" s="245">
        <f>CX201-AW201</f>
        <v>0</v>
      </c>
      <c r="FL201" s="235">
        <f>FM201</f>
        <v>75009.600000000006</v>
      </c>
      <c r="FM201" s="187">
        <f>DF201-BE201</f>
        <v>75009.600000000006</v>
      </c>
      <c r="FN201" s="235">
        <f>FO201</f>
        <v>89.966800000000006</v>
      </c>
      <c r="FO201" s="187">
        <f>DH201-BG201</f>
        <v>89.966800000000006</v>
      </c>
      <c r="FP201" s="235">
        <f>FQ201</f>
        <v>89.966800000000006</v>
      </c>
      <c r="FQ201" s="187">
        <f>DJ201-BI201</f>
        <v>89.966800000000006</v>
      </c>
      <c r="FR201" s="245">
        <f>DK201-BJ201</f>
        <v>258.20471600000002</v>
      </c>
      <c r="FS201" s="245">
        <f>DL201-BK201</f>
        <v>-68</v>
      </c>
      <c r="FT201" s="907">
        <f>DM201-BL201</f>
        <v>0</v>
      </c>
      <c r="FU201" s="907">
        <f>DR201-BO201</f>
        <v>0</v>
      </c>
      <c r="FV201" s="907">
        <f>DO201-BM201</f>
        <v>0</v>
      </c>
      <c r="FW201" s="907">
        <f>DQ201-BN201</f>
        <v>12.0428</v>
      </c>
      <c r="FX201" s="907">
        <f>DS201-BP201</f>
        <v>0</v>
      </c>
      <c r="FY201" s="907">
        <f>DT201-BQ201</f>
        <v>0</v>
      </c>
      <c r="FZ201" s="907">
        <f>DU201-BR201</f>
        <v>0</v>
      </c>
      <c r="GA201" s="907">
        <f>DV201-BS201</f>
        <v>0</v>
      </c>
      <c r="GB201" s="894">
        <f>GC201</f>
        <v>12.0428</v>
      </c>
      <c r="GC201" s="776">
        <f t="shared" si="126"/>
        <v>12.0428</v>
      </c>
      <c r="GD201" s="139"/>
      <c r="GE201" s="139"/>
      <c r="GF201" s="139"/>
      <c r="GG201" s="139"/>
      <c r="GH201" s="139"/>
      <c r="GI201" s="139"/>
      <c r="GJ201" s="139"/>
      <c r="GK201" s="139"/>
      <c r="GL201" s="139"/>
      <c r="GM201" s="139"/>
      <c r="GN201" s="139"/>
      <c r="GO201" s="139"/>
      <c r="GP201" s="139"/>
      <c r="GQ201" s="139"/>
      <c r="GR201" s="139"/>
      <c r="GS201" s="139"/>
      <c r="GT201" s="139"/>
    </row>
    <row r="202" spans="1:202" s="139" customFormat="1" ht="18.75">
      <c r="A202" s="2263"/>
      <c r="B202" s="2263"/>
      <c r="C202" s="132"/>
      <c r="D202" s="132"/>
      <c r="E202" s="132"/>
      <c r="F202" s="777"/>
      <c r="G202" s="120"/>
      <c r="H202" s="132"/>
      <c r="I202" s="136"/>
      <c r="J202" s="132"/>
      <c r="K202" s="132"/>
      <c r="L202" s="132"/>
      <c r="M202" s="132"/>
      <c r="N202" s="134"/>
      <c r="O202" s="134"/>
      <c r="P202" s="134"/>
      <c r="Q202" s="134"/>
      <c r="R202" s="137"/>
      <c r="S202" s="778"/>
      <c r="T202" s="634"/>
      <c r="U202" s="102"/>
      <c r="V202" s="634"/>
      <c r="W202" s="102"/>
      <c r="X202" s="102"/>
      <c r="Y202" s="102"/>
      <c r="Z202" s="634"/>
      <c r="AA202" s="102"/>
      <c r="AB202" s="634"/>
      <c r="AC202" s="102"/>
      <c r="AD202" s="634"/>
      <c r="AE202" s="102"/>
      <c r="AF202" s="102"/>
      <c r="AG202" s="102"/>
      <c r="AH202" s="102"/>
      <c r="AI202" s="634"/>
      <c r="AJ202" s="102"/>
      <c r="AK202" s="634"/>
      <c r="AL202" s="102"/>
      <c r="AM202" s="779"/>
      <c r="AN202" s="634"/>
      <c r="AO202" s="102"/>
      <c r="AP202" s="634"/>
      <c r="AQ202" s="102"/>
      <c r="AR202" s="634"/>
      <c r="AS202" s="102"/>
      <c r="AT202" s="634"/>
      <c r="AU202" s="102"/>
      <c r="AV202" s="634"/>
      <c r="AW202" s="102"/>
      <c r="AX202" s="102"/>
      <c r="AY202" s="102"/>
      <c r="AZ202" s="102"/>
      <c r="BA202" s="102"/>
      <c r="BB202" s="102"/>
      <c r="BC202" s="102"/>
      <c r="BD202" s="634"/>
      <c r="BE202" s="102"/>
      <c r="BF202" s="634"/>
      <c r="BG202" s="102"/>
      <c r="BH202" s="634"/>
      <c r="BI202" s="102"/>
      <c r="BJ202" s="111"/>
      <c r="BK202" s="186"/>
      <c r="BL202" s="102"/>
      <c r="BM202" s="102"/>
      <c r="BN202" s="102"/>
      <c r="BO202" s="102"/>
      <c r="BP202" s="102"/>
      <c r="BQ202" s="102"/>
      <c r="BR202" s="102"/>
      <c r="BS202" s="102"/>
      <c r="BT202" s="634"/>
      <c r="BU202" s="102"/>
      <c r="BW202" s="780"/>
      <c r="CA202" s="781"/>
      <c r="CB202" s="2258"/>
      <c r="CC202" s="782"/>
      <c r="CD202" s="782"/>
      <c r="CE202" s="634"/>
      <c r="CF202" s="783"/>
      <c r="CG202" s="634"/>
      <c r="CH202" s="783"/>
      <c r="CI202" s="634"/>
      <c r="CK202" s="634"/>
      <c r="CM202" s="634"/>
      <c r="CN202" s="784"/>
      <c r="CO202" s="784"/>
      <c r="CP202" s="784"/>
      <c r="CQ202" s="634"/>
      <c r="CR202" s="102"/>
      <c r="CS202" s="784"/>
      <c r="CT202" s="784"/>
      <c r="CU202" s="784"/>
      <c r="CV202" s="784"/>
      <c r="CW202" s="634"/>
      <c r="CX202" s="102"/>
      <c r="CY202" s="784"/>
      <c r="CZ202" s="784"/>
      <c r="DA202" s="784"/>
      <c r="DB202" s="784"/>
      <c r="DC202" s="784"/>
      <c r="DD202" s="784"/>
      <c r="DE202" s="634"/>
      <c r="DF202" s="784"/>
      <c r="DG202" s="634"/>
      <c r="DH202" s="296"/>
      <c r="DI202" s="802"/>
      <c r="DJ202" s="785"/>
      <c r="DK202" s="899"/>
      <c r="DL202" s="772"/>
      <c r="DM202" s="787"/>
      <c r="DN202" s="787"/>
      <c r="DO202" s="787"/>
      <c r="DP202" s="787"/>
      <c r="DQ202" s="787"/>
      <c r="DR202" s="787"/>
      <c r="DS202" s="787"/>
      <c r="DT202" s="787"/>
      <c r="DU202" s="787"/>
      <c r="DV202" s="787"/>
      <c r="DW202" s="802"/>
      <c r="DX202" s="788"/>
      <c r="DY202" s="634"/>
      <c r="DZ202" s="2288"/>
      <c r="EA202" s="2231"/>
      <c r="EB202" s="187"/>
      <c r="EC202" s="2232"/>
      <c r="ED202" s="187"/>
      <c r="EE202" s="187"/>
      <c r="EF202" s="2232"/>
      <c r="EG202" s="187"/>
      <c r="EH202" s="2232"/>
      <c r="EI202" s="187"/>
      <c r="EJ202" s="2232"/>
      <c r="EK202" s="187"/>
      <c r="EL202" s="2232"/>
      <c r="EM202" s="195"/>
      <c r="EN202" s="2232"/>
      <c r="EO202" s="195"/>
      <c r="EP202" s="2232"/>
      <c r="EQ202" s="187"/>
      <c r="ER202" s="2232"/>
      <c r="ES202" s="187"/>
      <c r="ET202" s="2232"/>
      <c r="EU202" s="187">
        <f t="shared" si="125"/>
        <v>0</v>
      </c>
      <c r="EV202" s="2232"/>
      <c r="EW202" s="187"/>
      <c r="EX202" s="2232"/>
      <c r="EY202" s="195"/>
      <c r="EZ202" s="2232"/>
      <c r="FA202" s="195"/>
      <c r="FB202" s="2232"/>
      <c r="FC202" s="195"/>
      <c r="FD202" s="2232"/>
      <c r="FE202" s="195"/>
      <c r="FF202" s="2232"/>
      <c r="FG202" s="195"/>
      <c r="FH202" s="2232"/>
      <c r="FI202" s="195"/>
      <c r="FJ202" s="2232"/>
      <c r="FK202" s="195"/>
      <c r="FL202" s="2232"/>
      <c r="FM202" s="187"/>
      <c r="FN202" s="2232"/>
      <c r="FO202" s="187"/>
      <c r="FP202" s="2232"/>
      <c r="FQ202" s="187"/>
      <c r="FR202" s="195"/>
      <c r="FS202" s="195"/>
      <c r="FT202" s="789"/>
      <c r="FU202" s="789"/>
      <c r="FV202" s="789"/>
      <c r="FW202" s="789"/>
      <c r="FX202" s="789"/>
      <c r="FY202" s="789"/>
      <c r="FZ202" s="789"/>
      <c r="GA202" s="789"/>
      <c r="GB202" s="2289"/>
      <c r="GC202" s="776"/>
    </row>
    <row r="203" spans="1:202" s="228" customFormat="1" ht="18.75">
      <c r="A203" s="216"/>
      <c r="B203" s="216">
        <v>74</v>
      </c>
      <c r="C203" s="918" t="s">
        <v>703</v>
      </c>
      <c r="D203" s="218">
        <v>2872</v>
      </c>
      <c r="E203" s="218">
        <v>82</v>
      </c>
      <c r="F203" s="897">
        <v>2028720082</v>
      </c>
      <c r="G203" s="929">
        <v>12474</v>
      </c>
      <c r="H203" s="228" t="s">
        <v>895</v>
      </c>
      <c r="I203" s="923"/>
      <c r="J203" s="228">
        <v>0.8</v>
      </c>
      <c r="K203" s="228">
        <v>0</v>
      </c>
      <c r="L203" s="228">
        <v>2</v>
      </c>
      <c r="M203" s="228">
        <v>6.5</v>
      </c>
      <c r="N203" s="111">
        <v>10000</v>
      </c>
      <c r="O203" s="111">
        <v>10000</v>
      </c>
      <c r="P203" s="111">
        <v>0</v>
      </c>
      <c r="Q203" s="111">
        <v>10000</v>
      </c>
      <c r="R203" s="929">
        <v>0</v>
      </c>
      <c r="S203" s="898" t="s">
        <v>711</v>
      </c>
      <c r="T203" s="234">
        <f>U203</f>
        <v>0</v>
      </c>
      <c r="U203" s="228">
        <v>0</v>
      </c>
      <c r="V203" s="234">
        <f>W203</f>
        <v>10000</v>
      </c>
      <c r="W203" s="228">
        <v>10000</v>
      </c>
      <c r="Y203" s="228">
        <v>10000</v>
      </c>
      <c r="Z203" s="234">
        <f>AA203</f>
        <v>0</v>
      </c>
      <c r="AA203" s="228">
        <v>0</v>
      </c>
      <c r="AB203" s="234">
        <f>AC203</f>
        <v>0</v>
      </c>
      <c r="AC203" s="228">
        <v>0</v>
      </c>
      <c r="AD203" s="234">
        <f>AE203</f>
        <v>5000</v>
      </c>
      <c r="AE203" s="228">
        <v>5000</v>
      </c>
      <c r="AF203" s="228">
        <v>0</v>
      </c>
      <c r="AG203" s="228">
        <v>5000</v>
      </c>
      <c r="AH203" s="228">
        <v>0</v>
      </c>
      <c r="AI203" s="234">
        <f>AJ203</f>
        <v>0</v>
      </c>
      <c r="AJ203" s="228">
        <v>0</v>
      </c>
      <c r="AK203" s="234">
        <f>AL203</f>
        <v>0</v>
      </c>
      <c r="AL203" s="228">
        <v>0</v>
      </c>
      <c r="AM203" s="905">
        <v>0</v>
      </c>
      <c r="AN203" s="234">
        <f>AO203</f>
        <v>0</v>
      </c>
      <c r="AO203" s="228">
        <v>0</v>
      </c>
      <c r="AP203" s="234">
        <f>AQ203</f>
        <v>5000</v>
      </c>
      <c r="AQ203" s="228">
        <v>5000</v>
      </c>
      <c r="AR203" s="234">
        <f>AS203</f>
        <v>0</v>
      </c>
      <c r="AS203" s="228">
        <v>0</v>
      </c>
      <c r="AT203" s="234">
        <f>AU203</f>
        <v>0</v>
      </c>
      <c r="AU203" s="228">
        <v>0</v>
      </c>
      <c r="AV203" s="234">
        <f>AW203</f>
        <v>0</v>
      </c>
      <c r="AW203" s="228">
        <v>0</v>
      </c>
      <c r="AX203" s="228">
        <v>0</v>
      </c>
      <c r="AY203" s="228">
        <v>0</v>
      </c>
      <c r="AZ203" s="228">
        <v>0</v>
      </c>
      <c r="BA203" s="228">
        <v>0</v>
      </c>
      <c r="BB203" s="228">
        <v>0</v>
      </c>
      <c r="BC203" s="228">
        <v>0</v>
      </c>
      <c r="BD203" s="234">
        <f>BE203</f>
        <v>10000</v>
      </c>
      <c r="BE203" s="228">
        <v>10000</v>
      </c>
      <c r="BF203" s="234">
        <f>BG203</f>
        <v>0</v>
      </c>
      <c r="BG203" s="228">
        <v>0</v>
      </c>
      <c r="BH203" s="234">
        <f>BI203</f>
        <v>0</v>
      </c>
      <c r="BI203" s="228">
        <v>0</v>
      </c>
      <c r="BJ203" s="111">
        <f t="shared" si="127"/>
        <v>0</v>
      </c>
      <c r="BK203" s="306">
        <f>ROUND((AL203+AC203+AA203)/1000*3,0)+ROUND((AE203+AU203)/1000,0)+ROUND((ROUND(AH203/400,0))/2.67,0)+ROUND(AJ203/250,0)+ROUND(AO203/15000,0)+ROUND((AX203+AY203+AZ203+BB203)/1000*3,0)+ROUND(BG203/25,0)+ROUND(BU203/50,0)</f>
        <v>5</v>
      </c>
      <c r="BL203" s="228">
        <v>0</v>
      </c>
      <c r="BM203" s="228">
        <v>0</v>
      </c>
      <c r="BN203" s="228">
        <v>0</v>
      </c>
      <c r="BO203" s="228">
        <v>0</v>
      </c>
      <c r="BP203" s="228">
        <v>0</v>
      </c>
      <c r="BQ203" s="228">
        <v>0</v>
      </c>
      <c r="BR203" s="228">
        <v>0</v>
      </c>
      <c r="BS203" s="228">
        <v>0</v>
      </c>
      <c r="BT203" s="234">
        <f>BU203</f>
        <v>0</v>
      </c>
      <c r="BU203" s="228">
        <v>0</v>
      </c>
      <c r="BV203" s="228">
        <v>25</v>
      </c>
      <c r="BW203" s="900" t="s">
        <v>741</v>
      </c>
      <c r="BX203" s="228">
        <v>7.2</v>
      </c>
      <c r="BY203" s="228">
        <v>2</v>
      </c>
      <c r="BZ203" s="228">
        <v>6.5</v>
      </c>
      <c r="CA203" s="901" t="s">
        <v>706</v>
      </c>
      <c r="CB203" s="230" t="s">
        <v>716</v>
      </c>
      <c r="CC203" s="399">
        <f>(BX203*G203)-CF203</f>
        <v>79209.900000000009</v>
      </c>
      <c r="CD203" s="399">
        <v>79209.900000000009</v>
      </c>
      <c r="CE203" s="234">
        <f>CF203</f>
        <v>10602.9</v>
      </c>
      <c r="CF203" s="836">
        <f>1*(G203)-(0.15*1*(G203))</f>
        <v>10602.9</v>
      </c>
      <c r="CG203" s="234">
        <f>CH203</f>
        <v>10602.9</v>
      </c>
      <c r="CH203" s="836">
        <f>CF203-CJ203</f>
        <v>10602.9</v>
      </c>
      <c r="CI203" s="234">
        <f>CJ203</f>
        <v>0</v>
      </c>
      <c r="CJ203" s="228">
        <v>0</v>
      </c>
      <c r="CK203" s="234">
        <f>CL203</f>
        <v>0</v>
      </c>
      <c r="CL203" s="228">
        <v>0</v>
      </c>
      <c r="CM203" s="234">
        <f>CN203</f>
        <v>10602.9</v>
      </c>
      <c r="CN203" s="903">
        <f>CF203-(CJ203+CL203+CO203+CP203+CR203+CU203+CV203+CX203)</f>
        <v>10602.9</v>
      </c>
      <c r="CO203" s="903">
        <v>0</v>
      </c>
      <c r="CP203" s="903">
        <v>0</v>
      </c>
      <c r="CQ203" s="234">
        <f>CR203</f>
        <v>0</v>
      </c>
      <c r="CR203" s="111">
        <v>0</v>
      </c>
      <c r="CS203" s="903">
        <v>0</v>
      </c>
      <c r="CT203" s="903">
        <v>0</v>
      </c>
      <c r="CU203" s="903">
        <v>0</v>
      </c>
      <c r="CV203" s="903">
        <v>0</v>
      </c>
      <c r="CW203" s="234">
        <f>CX203</f>
        <v>0</v>
      </c>
      <c r="CX203" s="111">
        <f>SUM(CY203:DC203)</f>
        <v>0</v>
      </c>
      <c r="CY203" s="903">
        <f>AX203</f>
        <v>0</v>
      </c>
      <c r="CZ203" s="903">
        <f>AY203</f>
        <v>0</v>
      </c>
      <c r="DA203" s="903">
        <f>AZ203</f>
        <v>0</v>
      </c>
      <c r="DB203" s="903">
        <f>BA203</f>
        <v>0</v>
      </c>
      <c r="DC203" s="903">
        <f>BB203</f>
        <v>0</v>
      </c>
      <c r="DD203" s="903"/>
      <c r="DE203" s="234">
        <f>DF203</f>
        <v>89812.800000000003</v>
      </c>
      <c r="DF203" s="903">
        <f>CC203+CF203</f>
        <v>89812.800000000003</v>
      </c>
      <c r="DG203" s="234">
        <f>DH203</f>
        <v>79.209900000000005</v>
      </c>
      <c r="DH203" s="904">
        <f>CC203/'[1]Projected Development Sites'!DF$134</f>
        <v>79.209900000000005</v>
      </c>
      <c r="DI203" s="886">
        <f>DJ203</f>
        <v>79.209900000000005</v>
      </c>
      <c r="DJ203" s="803">
        <f>'[1]Projected Development Sites'!DK$136*DH203</f>
        <v>79.209900000000005</v>
      </c>
      <c r="DK203" s="899">
        <f>2.87*DH203</f>
        <v>227.33241300000003</v>
      </c>
      <c r="DL203" s="864">
        <f>ROUND((CN203+CL203+CJ203)/1000*3,0)+ROUND((ROUND(CP203/400,0))/2.67,0)+ROUND(CV203/1000,0)+ROUND((CY203+CZ203+DA203+DC203)/1000*3,0)+ROUND(DH203/25,0)+ROUND(DX203/50,0)</f>
        <v>35</v>
      </c>
      <c r="DM203" s="905">
        <v>0</v>
      </c>
      <c r="DN203" s="905"/>
      <c r="DO203" s="905">
        <v>0</v>
      </c>
      <c r="DP203" s="905">
        <f>0.25*DJ203</f>
        <v>19.802475000000001</v>
      </c>
      <c r="DQ203" s="905">
        <f>SUM(CO203,CJ203,CN203,CR203,CU203)/1000</f>
        <v>10.6029</v>
      </c>
      <c r="DR203" s="905">
        <f>CL203/1000</f>
        <v>0</v>
      </c>
      <c r="DS203" s="905">
        <f>((CP203/400)/12)</f>
        <v>0</v>
      </c>
      <c r="DT203" s="905">
        <f>IF(CX203&gt;0,"Calculate",0)</f>
        <v>0</v>
      </c>
      <c r="DU203" s="905">
        <v>0</v>
      </c>
      <c r="DV203" s="905">
        <f>CX203/1000</f>
        <v>0</v>
      </c>
      <c r="DW203" s="886">
        <f>DX203</f>
        <v>10.6029</v>
      </c>
      <c r="DX203" s="906">
        <f>SUM(DM203,DO203,DQ203:DV203)</f>
        <v>10.6029</v>
      </c>
      <c r="DY203" s="837">
        <v>145</v>
      </c>
      <c r="DZ203" s="2288">
        <f>CD203-T203</f>
        <v>79209.900000000009</v>
      </c>
      <c r="EA203" s="2231">
        <f>CE203-V203</f>
        <v>602.89999999999964</v>
      </c>
      <c r="EB203" s="187">
        <f>CF203-W203</f>
        <v>602.89999999999964</v>
      </c>
      <c r="EC203" s="235">
        <f>ED203</f>
        <v>5602.9</v>
      </c>
      <c r="ED203" s="187">
        <v>5602.9</v>
      </c>
      <c r="EE203" s="187">
        <f>(SUM(CJ203:CO203))-(SUM(AA203:AE203,AL203))</f>
        <v>11205.8</v>
      </c>
      <c r="EF203" s="235">
        <f>EG203</f>
        <v>10602.9</v>
      </c>
      <c r="EG203" s="187">
        <v>10602.9</v>
      </c>
      <c r="EH203" s="235">
        <f>EI203</f>
        <v>0</v>
      </c>
      <c r="EI203" s="187">
        <f>CL203-AC203</f>
        <v>0</v>
      </c>
      <c r="EJ203" s="235">
        <f>EK203</f>
        <v>0</v>
      </c>
      <c r="EK203" s="187">
        <f>CJ203-AA203</f>
        <v>0</v>
      </c>
      <c r="EL203" s="235">
        <f>EM203</f>
        <v>-5000</v>
      </c>
      <c r="EM203" s="245">
        <f>CO203-AE203</f>
        <v>-5000</v>
      </c>
      <c r="EN203" s="235">
        <f>EO203</f>
        <v>0</v>
      </c>
      <c r="EO203" s="245">
        <f>CP203-AH203</f>
        <v>0</v>
      </c>
      <c r="EP203" s="235">
        <f>EQ203</f>
        <v>0</v>
      </c>
      <c r="EQ203" s="187">
        <f>CR203-AJ203</f>
        <v>0</v>
      </c>
      <c r="ER203" s="235">
        <f>ES203</f>
        <v>0</v>
      </c>
      <c r="ES203" s="187">
        <f>CS203-AO203</f>
        <v>0</v>
      </c>
      <c r="ET203" s="235">
        <f>EU203</f>
        <v>-5000</v>
      </c>
      <c r="EU203" s="187">
        <f t="shared" si="125"/>
        <v>-5000</v>
      </c>
      <c r="EV203" s="235">
        <f>EW203</f>
        <v>0</v>
      </c>
      <c r="EW203" s="187">
        <f>CU203-AS203</f>
        <v>0</v>
      </c>
      <c r="EX203" s="235">
        <f>EY203</f>
        <v>0</v>
      </c>
      <c r="EY203" s="245">
        <f>CV203-AU203</f>
        <v>0</v>
      </c>
      <c r="EZ203" s="235">
        <f>FA203</f>
        <v>0</v>
      </c>
      <c r="FA203" s="245">
        <f>CY203-AX203</f>
        <v>0</v>
      </c>
      <c r="FB203" s="235">
        <f>FC203</f>
        <v>0</v>
      </c>
      <c r="FC203" s="245">
        <f>CZ203-AY203</f>
        <v>0</v>
      </c>
      <c r="FD203" s="235">
        <f>FE203</f>
        <v>0</v>
      </c>
      <c r="FE203" s="245">
        <f>DA203-AZ203</f>
        <v>0</v>
      </c>
      <c r="FF203" s="235">
        <f>FG203</f>
        <v>0</v>
      </c>
      <c r="FG203" s="245">
        <f>DB203-BA203</f>
        <v>0</v>
      </c>
      <c r="FH203" s="235">
        <f>FI203</f>
        <v>0</v>
      </c>
      <c r="FI203" s="245">
        <f>DC203-BB203</f>
        <v>0</v>
      </c>
      <c r="FJ203" s="235">
        <f>FK203</f>
        <v>0</v>
      </c>
      <c r="FK203" s="245">
        <f>CX203-AW203</f>
        <v>0</v>
      </c>
      <c r="FL203" s="235">
        <f>FM203</f>
        <v>79812.800000000003</v>
      </c>
      <c r="FM203" s="187">
        <f>DF203-BE203</f>
        <v>79812.800000000003</v>
      </c>
      <c r="FN203" s="235">
        <f>FO203</f>
        <v>79.209900000000005</v>
      </c>
      <c r="FO203" s="187">
        <f>DH203-BG203</f>
        <v>79.209900000000005</v>
      </c>
      <c r="FP203" s="235">
        <f>FQ203</f>
        <v>79.209900000000005</v>
      </c>
      <c r="FQ203" s="187">
        <f>DJ203-BI203</f>
        <v>79.209900000000005</v>
      </c>
      <c r="FR203" s="245">
        <f>DK203-BJ203</f>
        <v>227.33241300000003</v>
      </c>
      <c r="FS203" s="245">
        <f>DL203-BK203</f>
        <v>30</v>
      </c>
      <c r="FT203" s="907">
        <f>DM203-BL203</f>
        <v>0</v>
      </c>
      <c r="FU203" s="907">
        <f>DR203-BO203</f>
        <v>0</v>
      </c>
      <c r="FV203" s="907"/>
      <c r="FW203" s="907">
        <f>DQ203-BN203</f>
        <v>10.6029</v>
      </c>
      <c r="FX203" s="907">
        <f>DS203-BP203</f>
        <v>0</v>
      </c>
      <c r="FY203" s="907">
        <f>DT203-BQ203</f>
        <v>0</v>
      </c>
      <c r="FZ203" s="907">
        <f>DU203-BR203</f>
        <v>0</v>
      </c>
      <c r="GA203" s="907">
        <f>DV203-BS203</f>
        <v>0</v>
      </c>
      <c r="GB203" s="894">
        <f>GC203</f>
        <v>10.6029</v>
      </c>
      <c r="GC203" s="776">
        <f t="shared" si="126"/>
        <v>10.6029</v>
      </c>
      <c r="GD203" s="139"/>
      <c r="GE203" s="139"/>
      <c r="GF203" s="139"/>
      <c r="GG203" s="139"/>
      <c r="GH203" s="139"/>
      <c r="GI203" s="139"/>
      <c r="GJ203" s="139"/>
      <c r="GK203" s="139"/>
      <c r="GL203" s="139"/>
      <c r="GM203" s="139"/>
      <c r="GN203" s="139"/>
      <c r="GO203" s="139"/>
      <c r="GP203" s="139"/>
      <c r="GQ203" s="139"/>
      <c r="GR203" s="139"/>
      <c r="GS203" s="139"/>
      <c r="GT203" s="139"/>
    </row>
    <row r="204" spans="1:202" s="81" customFormat="1" ht="18.75">
      <c r="A204" s="2264"/>
      <c r="B204" s="2264"/>
      <c r="C204" s="915"/>
      <c r="D204" s="66"/>
      <c r="E204" s="66"/>
      <c r="F204" s="841"/>
      <c r="G204" s="976"/>
      <c r="I204" s="916"/>
      <c r="N204" s="74"/>
      <c r="O204" s="74"/>
      <c r="P204" s="74"/>
      <c r="Q204" s="74"/>
      <c r="R204" s="976"/>
      <c r="S204" s="791"/>
      <c r="T204" s="977"/>
      <c r="V204" s="977"/>
      <c r="Z204" s="977"/>
      <c r="AB204" s="977"/>
      <c r="AD204" s="977"/>
      <c r="AI204" s="977"/>
      <c r="AK204" s="977"/>
      <c r="AM204" s="799"/>
      <c r="AN204" s="977"/>
      <c r="AP204" s="977"/>
      <c r="AR204" s="977"/>
      <c r="AT204" s="977"/>
      <c r="AV204" s="977"/>
      <c r="BD204" s="977"/>
      <c r="BF204" s="977"/>
      <c r="BH204" s="977"/>
      <c r="BJ204" s="111"/>
      <c r="BK204" s="88"/>
      <c r="BT204" s="977"/>
      <c r="BW204" s="793"/>
      <c r="CA204" s="794"/>
      <c r="CB204" s="2259"/>
      <c r="CC204" s="795"/>
      <c r="CD204" s="795"/>
      <c r="CE204" s="977"/>
      <c r="CF204" s="796"/>
      <c r="CG204" s="977"/>
      <c r="CH204" s="796"/>
      <c r="CI204" s="977"/>
      <c r="CK204" s="977"/>
      <c r="CM204" s="977"/>
      <c r="CN204" s="797"/>
      <c r="CO204" s="797"/>
      <c r="CP204" s="797"/>
      <c r="CQ204" s="977"/>
      <c r="CR204" s="74"/>
      <c r="CS204" s="797"/>
      <c r="CT204" s="797"/>
      <c r="CU204" s="797"/>
      <c r="CV204" s="797"/>
      <c r="CW204" s="977"/>
      <c r="CX204" s="74"/>
      <c r="CY204" s="797"/>
      <c r="CZ204" s="797"/>
      <c r="DA204" s="797"/>
      <c r="DB204" s="797"/>
      <c r="DC204" s="797"/>
      <c r="DD204" s="797"/>
      <c r="DE204" s="977"/>
      <c r="DF204" s="797"/>
      <c r="DG204" s="977"/>
      <c r="DH204" s="303"/>
      <c r="DI204" s="978"/>
      <c r="DJ204" s="798"/>
      <c r="DK204" s="899"/>
      <c r="DL204" s="917"/>
      <c r="DM204" s="799"/>
      <c r="DN204" s="799"/>
      <c r="DO204" s="799"/>
      <c r="DP204" s="799"/>
      <c r="DQ204" s="799"/>
      <c r="DR204" s="799"/>
      <c r="DS204" s="799"/>
      <c r="DT204" s="799"/>
      <c r="DU204" s="799"/>
      <c r="DV204" s="799"/>
      <c r="DW204" s="978"/>
      <c r="DX204" s="800"/>
      <c r="DY204" s="977"/>
      <c r="DZ204" s="2288"/>
      <c r="EA204" s="2231"/>
      <c r="EB204" s="187"/>
      <c r="EC204" s="2233"/>
      <c r="ED204" s="187"/>
      <c r="EE204" s="187"/>
      <c r="EF204" s="2233"/>
      <c r="EG204" s="187"/>
      <c r="EH204" s="2233"/>
      <c r="EI204" s="187"/>
      <c r="EJ204" s="2233"/>
      <c r="EK204" s="187"/>
      <c r="EL204" s="2233"/>
      <c r="EM204" s="190"/>
      <c r="EN204" s="2233"/>
      <c r="EO204" s="190"/>
      <c r="EP204" s="2233"/>
      <c r="EQ204" s="187"/>
      <c r="ER204" s="2233"/>
      <c r="ES204" s="187"/>
      <c r="ET204" s="2233"/>
      <c r="EU204" s="187">
        <f t="shared" si="125"/>
        <v>0</v>
      </c>
      <c r="EV204" s="2233"/>
      <c r="EW204" s="187"/>
      <c r="EX204" s="2233"/>
      <c r="EY204" s="190"/>
      <c r="EZ204" s="2233"/>
      <c r="FA204" s="190"/>
      <c r="FB204" s="2233"/>
      <c r="FC204" s="190"/>
      <c r="FD204" s="2233"/>
      <c r="FE204" s="190"/>
      <c r="FF204" s="2233"/>
      <c r="FG204" s="190"/>
      <c r="FH204" s="2233"/>
      <c r="FI204" s="190"/>
      <c r="FJ204" s="2233"/>
      <c r="FK204" s="190"/>
      <c r="FL204" s="2233"/>
      <c r="FM204" s="187"/>
      <c r="FN204" s="2233"/>
      <c r="FO204" s="187"/>
      <c r="FP204" s="2233"/>
      <c r="FQ204" s="187"/>
      <c r="FR204" s="190"/>
      <c r="FS204" s="190"/>
      <c r="FT204" s="801"/>
      <c r="FU204" s="801"/>
      <c r="FV204" s="801"/>
      <c r="FW204" s="801"/>
      <c r="FX204" s="801"/>
      <c r="FY204" s="801"/>
      <c r="FZ204" s="801"/>
      <c r="GA204" s="801"/>
      <c r="GB204" s="2286"/>
      <c r="GC204" s="776"/>
      <c r="GD204" s="139"/>
      <c r="GE204" s="139"/>
      <c r="GF204" s="139"/>
      <c r="GG204" s="139"/>
      <c r="GH204" s="139"/>
      <c r="GI204" s="139"/>
      <c r="GJ204" s="139"/>
      <c r="GK204" s="139"/>
      <c r="GL204" s="139"/>
      <c r="GM204" s="139"/>
      <c r="GN204" s="139"/>
      <c r="GO204" s="139"/>
      <c r="GP204" s="139"/>
      <c r="GQ204" s="139"/>
      <c r="GR204" s="139"/>
      <c r="GS204" s="139"/>
      <c r="GT204" s="139"/>
    </row>
    <row r="205" spans="1:202" s="228" customFormat="1" ht="18.75">
      <c r="A205" s="216"/>
      <c r="B205" s="216">
        <v>75</v>
      </c>
      <c r="C205" s="218" t="s">
        <v>703</v>
      </c>
      <c r="D205" s="218">
        <v>2872</v>
      </c>
      <c r="E205" s="218">
        <v>86</v>
      </c>
      <c r="F205" s="897">
        <v>2028720086</v>
      </c>
      <c r="G205" s="223">
        <v>10913</v>
      </c>
      <c r="H205" s="218" t="s">
        <v>726</v>
      </c>
      <c r="I205" s="222" t="s">
        <v>727</v>
      </c>
      <c r="J205" s="218">
        <v>0.19</v>
      </c>
      <c r="K205" s="218">
        <v>3.44</v>
      </c>
      <c r="L205" s="218">
        <v>0</v>
      </c>
      <c r="M205" s="218">
        <v>4.8</v>
      </c>
      <c r="N205" s="220">
        <v>2100</v>
      </c>
      <c r="O205" s="220">
        <f>Q205</f>
        <v>2100</v>
      </c>
      <c r="P205" s="220">
        <v>0</v>
      </c>
      <c r="Q205" s="220">
        <v>2100</v>
      </c>
      <c r="R205" s="223">
        <v>0</v>
      </c>
      <c r="S205" s="898" t="s">
        <v>711</v>
      </c>
      <c r="T205" s="234">
        <f>U205</f>
        <v>0</v>
      </c>
      <c r="U205" s="111">
        <v>0</v>
      </c>
      <c r="V205" s="234">
        <f>W205</f>
        <v>2100</v>
      </c>
      <c r="W205" s="111">
        <f>N205</f>
        <v>2100</v>
      </c>
      <c r="X205" s="111"/>
      <c r="Y205" s="111">
        <f>W205-AA205</f>
        <v>2100</v>
      </c>
      <c r="Z205" s="234">
        <f>AA205</f>
        <v>0</v>
      </c>
      <c r="AA205" s="111">
        <v>0</v>
      </c>
      <c r="AB205" s="234">
        <f>AC205</f>
        <v>0</v>
      </c>
      <c r="AC205" s="111">
        <v>0</v>
      </c>
      <c r="AD205" s="234">
        <f>AE205</f>
        <v>2100</v>
      </c>
      <c r="AE205" s="111">
        <f>AG205+AF205</f>
        <v>2100</v>
      </c>
      <c r="AF205" s="111">
        <f>W205</f>
        <v>2100</v>
      </c>
      <c r="AG205" s="111">
        <v>0</v>
      </c>
      <c r="AH205" s="111">
        <v>0</v>
      </c>
      <c r="AI205" s="234">
        <f>AJ205</f>
        <v>0</v>
      </c>
      <c r="AJ205" s="111">
        <v>0</v>
      </c>
      <c r="AK205" s="234">
        <f>AL205</f>
        <v>0</v>
      </c>
      <c r="AL205" s="111">
        <f>W205-(AA205+AC205+AE205+AH205+AJ205+AM205+AW205+AO205+AQ205+AS205+AU205)</f>
        <v>0</v>
      </c>
      <c r="AM205" s="899">
        <v>0</v>
      </c>
      <c r="AN205" s="234">
        <f>AO205</f>
        <v>0</v>
      </c>
      <c r="AO205" s="111">
        <v>0</v>
      </c>
      <c r="AP205" s="234">
        <f>AQ205</f>
        <v>0</v>
      </c>
      <c r="AQ205" s="111">
        <v>0</v>
      </c>
      <c r="AR205" s="234">
        <f>AS205</f>
        <v>0</v>
      </c>
      <c r="AS205" s="111">
        <v>0</v>
      </c>
      <c r="AT205" s="234">
        <f>AU205</f>
        <v>0</v>
      </c>
      <c r="AU205" s="111">
        <v>0</v>
      </c>
      <c r="AV205" s="234">
        <f>AW205</f>
        <v>0</v>
      </c>
      <c r="AW205" s="111">
        <f>AX205+AY205+AZ205+BA205+BB205</f>
        <v>0</v>
      </c>
      <c r="AX205" s="111">
        <v>0</v>
      </c>
      <c r="AY205" s="111">
        <v>0</v>
      </c>
      <c r="AZ205" s="111">
        <v>0</v>
      </c>
      <c r="BA205" s="111">
        <v>0</v>
      </c>
      <c r="BB205" s="111">
        <v>0</v>
      </c>
      <c r="BC205" s="111">
        <v>0</v>
      </c>
      <c r="BD205" s="234">
        <f>BE205</f>
        <v>2100</v>
      </c>
      <c r="BE205" s="111">
        <f>U205+W205</f>
        <v>2100</v>
      </c>
      <c r="BF205" s="234">
        <f>BG205</f>
        <v>0</v>
      </c>
      <c r="BG205" s="111">
        <f>U205/1000</f>
        <v>0</v>
      </c>
      <c r="BH205" s="234">
        <f>BI205</f>
        <v>0</v>
      </c>
      <c r="BI205" s="111">
        <v>0</v>
      </c>
      <c r="BJ205" s="111">
        <f t="shared" si="127"/>
        <v>0</v>
      </c>
      <c r="BK205" s="306">
        <f>ROUND((AL205+AC205+AA205)/1000*3,0)+ROUND((AE205+AU205)/1000,0)+ROUND((ROUND(AH205/400,0))/2.67,0)+ROUND(AJ205/250,0)+ROUND(AO205/15000,0)+ROUND((AX205+AY205+AZ205+BB205)/1000*3,0)+ROUND(BG205/25,0)+ROUND(BU205/50,0)</f>
        <v>3</v>
      </c>
      <c r="BL205" s="111">
        <v>0</v>
      </c>
      <c r="BM205" s="111">
        <v>0</v>
      </c>
      <c r="BN205" s="111">
        <f>(G205-O205)/300</f>
        <v>29.376666666666665</v>
      </c>
      <c r="BO205" s="111">
        <f>AC205/1000</f>
        <v>0</v>
      </c>
      <c r="BP205" s="111">
        <f>AH205/1000</f>
        <v>0</v>
      </c>
      <c r="BQ205" s="111">
        <v>0</v>
      </c>
      <c r="BR205" s="111">
        <v>0</v>
      </c>
      <c r="BS205" s="111">
        <v>0</v>
      </c>
      <c r="BT205" s="234">
        <f>BU205</f>
        <v>29.376666666666665</v>
      </c>
      <c r="BU205" s="111">
        <f>SUM(BL205:BS205)</f>
        <v>29.376666666666665</v>
      </c>
      <c r="BV205" s="228">
        <v>15</v>
      </c>
      <c r="BW205" s="900" t="s">
        <v>741</v>
      </c>
      <c r="BX205" s="228">
        <v>7.2</v>
      </c>
      <c r="BY205" s="228">
        <v>2</v>
      </c>
      <c r="BZ205" s="228">
        <v>6.5</v>
      </c>
      <c r="CA205" s="901" t="s">
        <v>706</v>
      </c>
      <c r="CB205" s="230" t="s">
        <v>716</v>
      </c>
      <c r="CC205" s="399">
        <f>(BX205*G205)-CF205</f>
        <v>69297.55</v>
      </c>
      <c r="CD205" s="399">
        <v>69297.55</v>
      </c>
      <c r="CE205" s="234">
        <f>CF205</f>
        <v>9276.0499999999993</v>
      </c>
      <c r="CF205" s="836">
        <f>1*(G205)-(0.15*1*(G205))</f>
        <v>9276.0499999999993</v>
      </c>
      <c r="CG205" s="234">
        <f>CH205</f>
        <v>9276.0499999999993</v>
      </c>
      <c r="CH205" s="836">
        <f>CF205-CJ205</f>
        <v>9276.0499999999993</v>
      </c>
      <c r="CI205" s="234">
        <f>CJ205</f>
        <v>0</v>
      </c>
      <c r="CJ205" s="228">
        <v>0</v>
      </c>
      <c r="CK205" s="234">
        <f>CL205</f>
        <v>0</v>
      </c>
      <c r="CL205" s="228">
        <v>0</v>
      </c>
      <c r="CM205" s="234">
        <f>CN205</f>
        <v>9276.0499999999993</v>
      </c>
      <c r="CN205" s="903">
        <f>CF205-(CJ205+CL205+CO205+CP205+CR205+CU205+CV205+CX205)</f>
        <v>9276.0499999999993</v>
      </c>
      <c r="CO205" s="903">
        <v>0</v>
      </c>
      <c r="CP205" s="903">
        <v>0</v>
      </c>
      <c r="CQ205" s="234">
        <f>CR205</f>
        <v>0</v>
      </c>
      <c r="CR205" s="111">
        <v>0</v>
      </c>
      <c r="CS205" s="903">
        <v>0</v>
      </c>
      <c r="CT205" s="903">
        <v>0</v>
      </c>
      <c r="CU205" s="903">
        <v>0</v>
      </c>
      <c r="CV205" s="903">
        <v>0</v>
      </c>
      <c r="CW205" s="234">
        <f>CX205</f>
        <v>0</v>
      </c>
      <c r="CX205" s="111">
        <f>SUM(CY205:DC205)</f>
        <v>0</v>
      </c>
      <c r="CY205" s="903">
        <f>AX205</f>
        <v>0</v>
      </c>
      <c r="CZ205" s="903">
        <f>AY205</f>
        <v>0</v>
      </c>
      <c r="DA205" s="903">
        <f>AZ205</f>
        <v>0</v>
      </c>
      <c r="DB205" s="903">
        <f>BA205</f>
        <v>0</v>
      </c>
      <c r="DC205" s="903">
        <f>BB205</f>
        <v>0</v>
      </c>
      <c r="DD205" s="903"/>
      <c r="DE205" s="234">
        <f>DF205</f>
        <v>78573.600000000006</v>
      </c>
      <c r="DF205" s="903">
        <f>CC205+CF205</f>
        <v>78573.600000000006</v>
      </c>
      <c r="DG205" s="234">
        <f>DH205</f>
        <v>69.297550000000001</v>
      </c>
      <c r="DH205" s="904">
        <f>CC205/'[1]Projected Development Sites'!DF$134</f>
        <v>69.297550000000001</v>
      </c>
      <c r="DI205" s="886">
        <f>DJ205</f>
        <v>69.297550000000001</v>
      </c>
      <c r="DJ205" s="803">
        <f>'[1]Projected Development Sites'!DK$136*DH205</f>
        <v>69.297550000000001</v>
      </c>
      <c r="DK205" s="899">
        <f>2.87*DH205</f>
        <v>198.88396850000001</v>
      </c>
      <c r="DL205" s="772">
        <f>ROUND((CN205+CL205+CJ205)/1000*3,0)+ROUND((ROUND(CP205/400,0))/2.67,0)+ROUND(CV205/1000,0)+ROUND((CY205+CZ205+DA205+DC205)/1000*3,0)+ROUND(DH205/25,0)+ROUND(DX205/50,0)</f>
        <v>31</v>
      </c>
      <c r="DM205" s="905">
        <v>0</v>
      </c>
      <c r="DN205" s="905"/>
      <c r="DO205" s="905">
        <v>0</v>
      </c>
      <c r="DP205" s="905">
        <f>0.25*DJ205</f>
        <v>17.3243875</v>
      </c>
      <c r="DQ205" s="905">
        <f>SUM(CO205,CJ205,CN205,CR205,CU205)/1000</f>
        <v>9.2760499999999997</v>
      </c>
      <c r="DR205" s="905">
        <f>CL205/1000</f>
        <v>0</v>
      </c>
      <c r="DS205" s="905">
        <f>((CP205/400)/12)</f>
        <v>0</v>
      </c>
      <c r="DT205" s="905">
        <f>IF(CX205&gt;0,"Calculate",0)</f>
        <v>0</v>
      </c>
      <c r="DU205" s="905">
        <v>0</v>
      </c>
      <c r="DV205" s="905">
        <f>CX205/1000</f>
        <v>0</v>
      </c>
      <c r="DW205" s="886">
        <f>DX205</f>
        <v>9.2760499999999997</v>
      </c>
      <c r="DX205" s="906">
        <f>SUM(DM205,DO205,DQ205:DV205)</f>
        <v>9.2760499999999997</v>
      </c>
      <c r="DY205" s="837">
        <v>145</v>
      </c>
      <c r="DZ205" s="2288">
        <f>CD205-T205</f>
        <v>69297.55</v>
      </c>
      <c r="EA205" s="2231">
        <f>CE205-V205</f>
        <v>7176.0499999999993</v>
      </c>
      <c r="EB205" s="187">
        <f>CF205-W205</f>
        <v>7176.0499999999993</v>
      </c>
      <c r="EC205" s="235">
        <f>ED205</f>
        <v>7176.0499999999993</v>
      </c>
      <c r="ED205" s="187">
        <v>7176.0499999999993</v>
      </c>
      <c r="EE205" s="187">
        <f>(SUM(CJ205:CO205))-(SUM(AA205:AE205,AL205))</f>
        <v>14352.099999999999</v>
      </c>
      <c r="EF205" s="235">
        <f>EG205</f>
        <v>9276.0499999999993</v>
      </c>
      <c r="EG205" s="187">
        <v>9276.0499999999993</v>
      </c>
      <c r="EH205" s="235">
        <f>EI205</f>
        <v>0</v>
      </c>
      <c r="EI205" s="187">
        <f>CL205-AC205</f>
        <v>0</v>
      </c>
      <c r="EJ205" s="235">
        <f>EK205</f>
        <v>0</v>
      </c>
      <c r="EK205" s="187">
        <f>CJ205-AA205</f>
        <v>0</v>
      </c>
      <c r="EL205" s="235">
        <f>EM205</f>
        <v>-2100</v>
      </c>
      <c r="EM205" s="245">
        <f>CO205-AE205</f>
        <v>-2100</v>
      </c>
      <c r="EN205" s="235">
        <f>EO205</f>
        <v>0</v>
      </c>
      <c r="EO205" s="245">
        <f>CP205-AH205</f>
        <v>0</v>
      </c>
      <c r="EP205" s="235">
        <f>EQ205</f>
        <v>0</v>
      </c>
      <c r="EQ205" s="187">
        <f>CR205-AJ205</f>
        <v>0</v>
      </c>
      <c r="ER205" s="235">
        <f>ES205</f>
        <v>0</v>
      </c>
      <c r="ES205" s="187">
        <f>CS205-AO205</f>
        <v>0</v>
      </c>
      <c r="ET205" s="235">
        <f>EU205</f>
        <v>0</v>
      </c>
      <c r="EU205" s="187">
        <f t="shared" si="125"/>
        <v>0</v>
      </c>
      <c r="EV205" s="235">
        <f>EW205</f>
        <v>0</v>
      </c>
      <c r="EW205" s="187">
        <f>CU205-AS205</f>
        <v>0</v>
      </c>
      <c r="EX205" s="235">
        <f>EY205</f>
        <v>0</v>
      </c>
      <c r="EY205" s="245">
        <f>CV205-AU205</f>
        <v>0</v>
      </c>
      <c r="EZ205" s="235">
        <f>FA205</f>
        <v>0</v>
      </c>
      <c r="FA205" s="245">
        <f>CY205-AX205</f>
        <v>0</v>
      </c>
      <c r="FB205" s="235">
        <f>FC205</f>
        <v>0</v>
      </c>
      <c r="FC205" s="245">
        <f>CZ205-AY205</f>
        <v>0</v>
      </c>
      <c r="FD205" s="235">
        <f>FE205</f>
        <v>0</v>
      </c>
      <c r="FE205" s="245">
        <f>DA205-AZ205</f>
        <v>0</v>
      </c>
      <c r="FF205" s="235">
        <f>FG205</f>
        <v>0</v>
      </c>
      <c r="FG205" s="245">
        <f>DB205-BA205</f>
        <v>0</v>
      </c>
      <c r="FH205" s="235">
        <f>FI205</f>
        <v>0</v>
      </c>
      <c r="FI205" s="245">
        <f>DC205-BB205</f>
        <v>0</v>
      </c>
      <c r="FJ205" s="235">
        <f>FK205</f>
        <v>0</v>
      </c>
      <c r="FK205" s="245">
        <f>CX205-AW205</f>
        <v>0</v>
      </c>
      <c r="FL205" s="235">
        <f>FM205</f>
        <v>76473.600000000006</v>
      </c>
      <c r="FM205" s="187">
        <f>DF205-BE205</f>
        <v>76473.600000000006</v>
      </c>
      <c r="FN205" s="235">
        <f>FO205</f>
        <v>69.297550000000001</v>
      </c>
      <c r="FO205" s="187">
        <f>DH205-BG205</f>
        <v>69.297550000000001</v>
      </c>
      <c r="FP205" s="235">
        <f>FQ205</f>
        <v>69.297550000000001</v>
      </c>
      <c r="FQ205" s="187">
        <f>DJ205-BI205</f>
        <v>69.297550000000001</v>
      </c>
      <c r="FR205" s="245">
        <f>DK205-BJ205</f>
        <v>198.88396850000001</v>
      </c>
      <c r="FS205" s="245">
        <f>DL205-BK205</f>
        <v>28</v>
      </c>
      <c r="FT205" s="907">
        <f>DM205-BL205</f>
        <v>0</v>
      </c>
      <c r="FU205" s="907">
        <f>DR205-BO205</f>
        <v>0</v>
      </c>
      <c r="FV205" s="907">
        <f>DO205-BM205</f>
        <v>0</v>
      </c>
      <c r="FW205" s="907">
        <f>DQ205-BN205</f>
        <v>-20.100616666666667</v>
      </c>
      <c r="FX205" s="907">
        <f>DS205-BP205</f>
        <v>0</v>
      </c>
      <c r="FY205" s="907">
        <f>DT205-BQ205</f>
        <v>0</v>
      </c>
      <c r="FZ205" s="907">
        <f>DU205-BR205</f>
        <v>0</v>
      </c>
      <c r="GA205" s="907">
        <f>DV205-BS205</f>
        <v>0</v>
      </c>
      <c r="GB205" s="894">
        <f>GC205</f>
        <v>-20.100616666666667</v>
      </c>
      <c r="GC205" s="776">
        <f t="shared" si="126"/>
        <v>-20.100616666666667</v>
      </c>
      <c r="GD205" s="139"/>
      <c r="GE205" s="139"/>
      <c r="GF205" s="139"/>
      <c r="GG205" s="139"/>
      <c r="GH205" s="139"/>
      <c r="GI205" s="139"/>
      <c r="GJ205" s="139"/>
      <c r="GK205" s="139"/>
      <c r="GL205" s="139"/>
      <c r="GM205" s="139"/>
      <c r="GN205" s="139"/>
      <c r="GO205" s="139"/>
      <c r="GP205" s="139"/>
      <c r="GQ205" s="139"/>
      <c r="GR205" s="139"/>
      <c r="GS205" s="139"/>
      <c r="GT205" s="139"/>
    </row>
    <row r="206" spans="1:202" s="139" customFormat="1" ht="18.75">
      <c r="A206" s="2263"/>
      <c r="B206" s="2263"/>
      <c r="C206" s="132"/>
      <c r="D206" s="132"/>
      <c r="E206" s="132"/>
      <c r="F206" s="777"/>
      <c r="G206" s="137"/>
      <c r="H206" s="132"/>
      <c r="I206" s="136"/>
      <c r="J206" s="132"/>
      <c r="K206" s="132"/>
      <c r="L206" s="132"/>
      <c r="M206" s="132"/>
      <c r="N206" s="134"/>
      <c r="O206" s="134"/>
      <c r="P206" s="134"/>
      <c r="Q206" s="134"/>
      <c r="R206" s="137"/>
      <c r="S206" s="778"/>
      <c r="T206" s="634"/>
      <c r="U206" s="102"/>
      <c r="V206" s="634"/>
      <c r="W206" s="102"/>
      <c r="X206" s="102"/>
      <c r="Y206" s="102"/>
      <c r="Z206" s="634"/>
      <c r="AA206" s="102"/>
      <c r="AB206" s="634"/>
      <c r="AC206" s="102"/>
      <c r="AD206" s="634"/>
      <c r="AE206" s="102"/>
      <c r="AF206" s="102"/>
      <c r="AG206" s="102"/>
      <c r="AH206" s="102"/>
      <c r="AI206" s="634"/>
      <c r="AJ206" s="102"/>
      <c r="AK206" s="634"/>
      <c r="AL206" s="102"/>
      <c r="AM206" s="779"/>
      <c r="AN206" s="634"/>
      <c r="AO206" s="102"/>
      <c r="AP206" s="634"/>
      <c r="AQ206" s="102"/>
      <c r="AR206" s="634"/>
      <c r="AS206" s="102"/>
      <c r="AT206" s="634"/>
      <c r="AU206" s="102"/>
      <c r="AV206" s="634"/>
      <c r="AW206" s="102"/>
      <c r="AX206" s="102"/>
      <c r="AY206" s="102"/>
      <c r="AZ206" s="102"/>
      <c r="BA206" s="102"/>
      <c r="BB206" s="102"/>
      <c r="BC206" s="102"/>
      <c r="BD206" s="634"/>
      <c r="BE206" s="102"/>
      <c r="BF206" s="634"/>
      <c r="BG206" s="102"/>
      <c r="BH206" s="634"/>
      <c r="BI206" s="102"/>
      <c r="BJ206" s="111"/>
      <c r="BK206" s="186"/>
      <c r="BL206" s="102"/>
      <c r="BM206" s="102"/>
      <c r="BN206" s="102"/>
      <c r="BO206" s="102"/>
      <c r="BP206" s="102"/>
      <c r="BQ206" s="102"/>
      <c r="BR206" s="102"/>
      <c r="BS206" s="102"/>
      <c r="BT206" s="634"/>
      <c r="BU206" s="102"/>
      <c r="BW206" s="793"/>
      <c r="CA206" s="781"/>
      <c r="CB206" s="2258"/>
      <c r="CC206" s="782"/>
      <c r="CD206" s="782"/>
      <c r="CE206" s="634"/>
      <c r="CF206" s="783"/>
      <c r="CG206" s="634"/>
      <c r="CH206" s="783"/>
      <c r="CI206" s="634"/>
      <c r="CK206" s="634"/>
      <c r="CM206" s="634"/>
      <c r="CN206" s="784"/>
      <c r="CO206" s="784"/>
      <c r="CP206" s="784"/>
      <c r="CQ206" s="634"/>
      <c r="CR206" s="102"/>
      <c r="CS206" s="784"/>
      <c r="CT206" s="784"/>
      <c r="CU206" s="784"/>
      <c r="CV206" s="784"/>
      <c r="CW206" s="634"/>
      <c r="CX206" s="102"/>
      <c r="CY206" s="784"/>
      <c r="CZ206" s="784"/>
      <c r="DA206" s="784"/>
      <c r="DB206" s="784"/>
      <c r="DC206" s="784"/>
      <c r="DD206" s="784"/>
      <c r="DE206" s="634"/>
      <c r="DF206" s="102"/>
      <c r="DG206" s="634"/>
      <c r="DH206" s="296"/>
      <c r="DI206" s="802"/>
      <c r="DJ206" s="785"/>
      <c r="DK206" s="899"/>
      <c r="DL206" s="772"/>
      <c r="DM206" s="787"/>
      <c r="DN206" s="787"/>
      <c r="DO206" s="787"/>
      <c r="DP206" s="787"/>
      <c r="DQ206" s="787"/>
      <c r="DR206" s="787"/>
      <c r="DS206" s="787"/>
      <c r="DT206" s="787"/>
      <c r="DU206" s="787"/>
      <c r="DV206" s="787"/>
      <c r="DW206" s="802"/>
      <c r="DX206" s="788"/>
      <c r="DY206" s="634"/>
      <c r="DZ206" s="2288"/>
      <c r="EA206" s="2231"/>
      <c r="EB206" s="187"/>
      <c r="EC206" s="2232"/>
      <c r="ED206" s="187"/>
      <c r="EE206" s="187"/>
      <c r="EF206" s="2232"/>
      <c r="EG206" s="187"/>
      <c r="EH206" s="2232"/>
      <c r="EI206" s="187"/>
      <c r="EJ206" s="2232"/>
      <c r="EK206" s="187"/>
      <c r="EL206" s="2232"/>
      <c r="EM206" s="195"/>
      <c r="EN206" s="2232"/>
      <c r="EO206" s="195"/>
      <c r="EP206" s="2232"/>
      <c r="EQ206" s="187"/>
      <c r="ER206" s="2232"/>
      <c r="ES206" s="187"/>
      <c r="ET206" s="2232"/>
      <c r="EU206" s="187">
        <f t="shared" si="125"/>
        <v>0</v>
      </c>
      <c r="EV206" s="2232"/>
      <c r="EW206" s="187"/>
      <c r="EX206" s="2232"/>
      <c r="EY206" s="195"/>
      <c r="EZ206" s="2232"/>
      <c r="FA206" s="195"/>
      <c r="FB206" s="2232"/>
      <c r="FC206" s="195"/>
      <c r="FD206" s="2232"/>
      <c r="FE206" s="195"/>
      <c r="FF206" s="2232"/>
      <c r="FG206" s="195"/>
      <c r="FH206" s="2232"/>
      <c r="FI206" s="195"/>
      <c r="FJ206" s="2232"/>
      <c r="FK206" s="195"/>
      <c r="FL206" s="2232"/>
      <c r="FM206" s="187"/>
      <c r="FN206" s="2232"/>
      <c r="FO206" s="187"/>
      <c r="FP206" s="2232"/>
      <c r="FQ206" s="187"/>
      <c r="FR206" s="195"/>
      <c r="FS206" s="195"/>
      <c r="FT206" s="789"/>
      <c r="FU206" s="789"/>
      <c r="FV206" s="789"/>
      <c r="FW206" s="789"/>
      <c r="FX206" s="789"/>
      <c r="FY206" s="789"/>
      <c r="FZ206" s="789"/>
      <c r="GA206" s="789"/>
      <c r="GB206" s="2286"/>
      <c r="GC206" s="776"/>
    </row>
    <row r="207" spans="1:202" s="127" customFormat="1" ht="15" customHeight="1">
      <c r="A207" s="2588"/>
      <c r="B207" s="2588">
        <v>76</v>
      </c>
      <c r="C207" s="115" t="s">
        <v>703</v>
      </c>
      <c r="D207" s="115">
        <v>2872</v>
      </c>
      <c r="E207" s="115">
        <v>50</v>
      </c>
      <c r="F207" s="763">
        <v>2028720050</v>
      </c>
      <c r="G207" s="120">
        <v>10488</v>
      </c>
      <c r="H207" s="115" t="s">
        <v>726</v>
      </c>
      <c r="I207" s="119" t="s">
        <v>727</v>
      </c>
      <c r="J207" s="115">
        <v>1.35</v>
      </c>
      <c r="K207" s="115">
        <v>3.44</v>
      </c>
      <c r="L207" s="115">
        <v>0</v>
      </c>
      <c r="M207" s="115">
        <v>4.8</v>
      </c>
      <c r="N207" s="117">
        <v>14200</v>
      </c>
      <c r="O207" s="117">
        <v>6000</v>
      </c>
      <c r="P207" s="117">
        <v>0</v>
      </c>
      <c r="Q207" s="117">
        <v>14200</v>
      </c>
      <c r="R207" s="120">
        <v>0</v>
      </c>
      <c r="S207" s="764" t="s">
        <v>722</v>
      </c>
      <c r="T207" s="2600">
        <f>SUM(U207:U208)</f>
        <v>0</v>
      </c>
      <c r="U207" s="122">
        <v>0</v>
      </c>
      <c r="V207" s="2600">
        <f>SUM(W207:W208)</f>
        <v>25080</v>
      </c>
      <c r="W207" s="122">
        <f>N207</f>
        <v>14200</v>
      </c>
      <c r="X207" s="122"/>
      <c r="Y207" s="122">
        <f>W207-AA207</f>
        <v>14200</v>
      </c>
      <c r="Z207" s="2600">
        <f>SUM(AA207:AA208)</f>
        <v>0</v>
      </c>
      <c r="AA207" s="122">
        <v>0</v>
      </c>
      <c r="AB207" s="2600">
        <f>SUM(AC207:AC208)</f>
        <v>0</v>
      </c>
      <c r="AC207" s="122">
        <v>0</v>
      </c>
      <c r="AD207" s="2600">
        <f>SUM(AE207:AE208)</f>
        <v>0</v>
      </c>
      <c r="AE207" s="122">
        <f>AG207+AF207</f>
        <v>0</v>
      </c>
      <c r="AF207" s="122">
        <v>0</v>
      </c>
      <c r="AG207" s="122">
        <v>0</v>
      </c>
      <c r="AH207" s="122">
        <v>0</v>
      </c>
      <c r="AI207" s="2600">
        <f>SUM(AJ207:AJ208)</f>
        <v>0</v>
      </c>
      <c r="AJ207" s="122">
        <v>0</v>
      </c>
      <c r="AK207" s="2600">
        <f>SUM(AL207:AL208)</f>
        <v>10800</v>
      </c>
      <c r="AL207" s="122">
        <f>W207-(AA207+AC207+AE207+AH207+AJ207+AM207+AW207+AO207+AQ207+AS207+AU207)</f>
        <v>5360</v>
      </c>
      <c r="AM207" s="765">
        <v>0</v>
      </c>
      <c r="AN207" s="2600">
        <f>SUM(AO207:AO208)</f>
        <v>6000</v>
      </c>
      <c r="AO207" s="122">
        <v>6000</v>
      </c>
      <c r="AP207" s="2600">
        <f>SUM(AQ207:AQ208)</f>
        <v>0</v>
      </c>
      <c r="AQ207" s="122">
        <v>0</v>
      </c>
      <c r="AR207" s="2600">
        <f>SUM(AS207:AS208)</f>
        <v>5440</v>
      </c>
      <c r="AS207" s="122">
        <v>0</v>
      </c>
      <c r="AT207" s="2600">
        <f>SUM(AU207:AU208)</f>
        <v>0</v>
      </c>
      <c r="AU207" s="122">
        <v>0</v>
      </c>
      <c r="AV207" s="2600">
        <f>SUM(AW207:AW208)</f>
        <v>2840</v>
      </c>
      <c r="AW207" s="122">
        <f>AX207+AY207+AZ207+BA207+BB207</f>
        <v>2840</v>
      </c>
      <c r="AX207" s="122">
        <v>0</v>
      </c>
      <c r="AY207" s="122">
        <f>0.2*W207</f>
        <v>2840</v>
      </c>
      <c r="AZ207" s="122">
        <v>0</v>
      </c>
      <c r="BA207" s="122">
        <v>0</v>
      </c>
      <c r="BB207" s="122">
        <v>0</v>
      </c>
      <c r="BC207" s="122">
        <v>0</v>
      </c>
      <c r="BD207" s="2600">
        <f>SUM(BE207:BE208)</f>
        <v>25080</v>
      </c>
      <c r="BE207" s="122">
        <f>U207+W207</f>
        <v>14200</v>
      </c>
      <c r="BF207" s="2600">
        <f>SUM(BG207:BG208)</f>
        <v>0</v>
      </c>
      <c r="BG207" s="122">
        <f>U207/1000</f>
        <v>0</v>
      </c>
      <c r="BH207" s="2600">
        <f>SUM(BI207:BI208)</f>
        <v>0</v>
      </c>
      <c r="BI207" s="122">
        <v>0</v>
      </c>
      <c r="BJ207" s="122">
        <f t="shared" si="127"/>
        <v>0</v>
      </c>
      <c r="BK207" s="129">
        <f>ROUND((Y207+AC207+AA207)/1000*3,0)+ROUND((AE207+AU207)/1000,0)+ROUND((ROUND(AH207/400,0))/2.67,0)+ROUND(AM207/250,0)+ROUND(AO207/15000,0)+ROUND((AX207+AY207+AZ207+BB207)/1000*3,0)+ROUND(BG207/25,0)+ROUND(BU298/50,0)</f>
        <v>52</v>
      </c>
      <c r="BL207" s="122">
        <v>0</v>
      </c>
      <c r="BM207" s="122">
        <v>0</v>
      </c>
      <c r="BN207" s="122">
        <v>0</v>
      </c>
      <c r="BO207" s="122">
        <f>AC207/1000</f>
        <v>0</v>
      </c>
      <c r="BP207" s="122">
        <v>0</v>
      </c>
      <c r="BQ207" s="122">
        <v>0</v>
      </c>
      <c r="BR207" s="122">
        <v>0</v>
      </c>
      <c r="BS207" s="122">
        <v>0</v>
      </c>
      <c r="BT207" s="2600">
        <f>SUM(BU207:BU208)</f>
        <v>0</v>
      </c>
      <c r="BU207" s="122">
        <f>SUM(BL207:BS207)</f>
        <v>0</v>
      </c>
      <c r="BV207" s="127">
        <v>25</v>
      </c>
      <c r="BW207" s="766" t="s">
        <v>758</v>
      </c>
      <c r="BX207" s="127">
        <v>8.5</v>
      </c>
      <c r="BY207" s="127">
        <v>2</v>
      </c>
      <c r="BZ207" s="127">
        <v>7.5</v>
      </c>
      <c r="CA207" s="767" t="s">
        <v>706</v>
      </c>
      <c r="CB207" s="2596" t="s">
        <v>869</v>
      </c>
      <c r="CC207" s="768">
        <f>(BX207*G207)-CF207</f>
        <v>80233.2</v>
      </c>
      <c r="CD207" s="2731">
        <f>SUM(CC207:CC208)</f>
        <v>121849.2</v>
      </c>
      <c r="CE207" s="2600">
        <f>SUM(CF207:CF208)</f>
        <v>13538.8</v>
      </c>
      <c r="CF207" s="769">
        <f>1*(G207)-(0.15*1*(G207))</f>
        <v>8914.7999999999993</v>
      </c>
      <c r="CG207" s="2600">
        <f>SUM(CH207:CH208)</f>
        <v>11938.8</v>
      </c>
      <c r="CH207" s="769">
        <f>CF207-CJ207</f>
        <v>8914.7999999999993</v>
      </c>
      <c r="CI207" s="2600">
        <f>SUM(CJ207:CJ208)</f>
        <v>1600</v>
      </c>
      <c r="CJ207" s="127">
        <v>0</v>
      </c>
      <c r="CK207" s="2600">
        <f>SUM(CL207:CL208)</f>
        <v>0</v>
      </c>
      <c r="CL207" s="127">
        <v>0</v>
      </c>
      <c r="CM207" s="2600">
        <f>SUM(CN207:CN208)</f>
        <v>9098.7999999999993</v>
      </c>
      <c r="CN207" s="770">
        <f>CF207-(CJ207+CL207+CO207+CP207+CR207+CU207+CV207+CX207)</f>
        <v>6074.7999999999993</v>
      </c>
      <c r="CO207" s="770">
        <v>0</v>
      </c>
      <c r="CP207" s="770">
        <v>0</v>
      </c>
      <c r="CQ207" s="2600">
        <f>SUM(CR207:CR208)</f>
        <v>0</v>
      </c>
      <c r="CR207" s="122">
        <v>0</v>
      </c>
      <c r="CS207" s="770">
        <v>0</v>
      </c>
      <c r="CT207" s="770">
        <v>0</v>
      </c>
      <c r="CU207" s="770">
        <v>0</v>
      </c>
      <c r="CV207" s="770">
        <v>0</v>
      </c>
      <c r="CW207" s="2600">
        <f>SUM(CX207:CX208)</f>
        <v>2840</v>
      </c>
      <c r="CX207" s="122">
        <f>SUM(CY207:DC207)</f>
        <v>2840</v>
      </c>
      <c r="CY207" s="770">
        <f t="shared" ref="CY207:DC208" si="128">AX207</f>
        <v>0</v>
      </c>
      <c r="CZ207" s="770">
        <f t="shared" si="128"/>
        <v>2840</v>
      </c>
      <c r="DA207" s="770">
        <f t="shared" si="128"/>
        <v>0</v>
      </c>
      <c r="DB207" s="770">
        <f t="shared" si="128"/>
        <v>0</v>
      </c>
      <c r="DC207" s="770">
        <f t="shared" si="128"/>
        <v>0</v>
      </c>
      <c r="DD207" s="770"/>
      <c r="DE207" s="2600">
        <f>SUM(DF207:DF208)</f>
        <v>135388</v>
      </c>
      <c r="DF207" s="122">
        <f>CC207+CF207</f>
        <v>89148</v>
      </c>
      <c r="DG207" s="2600">
        <f>SUM(DH207:DH208)</f>
        <v>121.8492</v>
      </c>
      <c r="DH207" s="293">
        <f>CC207/'[1]Projected Development Sites'!DF$134</f>
        <v>80.233199999999997</v>
      </c>
      <c r="DI207" s="2722">
        <f>SUM(DJ207:DJ208)</f>
        <v>121.8492</v>
      </c>
      <c r="DJ207" s="771">
        <f>'[1]Projected Development Sites'!DK$136*DH207</f>
        <v>80.233199999999997</v>
      </c>
      <c r="DK207" s="765">
        <f>2.87*DH207</f>
        <v>230.269284</v>
      </c>
      <c r="DL207" s="772">
        <f>ROUND((CN207+CL207+CJ207)/1000*3,0)+ROUND((ROUND(CP207/400,0))/2.67,0)+ROUND(CV207/1000,0)+ROUND((CY207+CZ207+DA207+DC207)/1000*3,0)+ROUND(DH207/25,0)+ROUND(DX207/50,0)</f>
        <v>30</v>
      </c>
      <c r="DM207" s="773">
        <v>0</v>
      </c>
      <c r="DN207" s="773"/>
      <c r="DO207" s="773">
        <v>0</v>
      </c>
      <c r="DP207" s="773">
        <f>0.25*DJ207</f>
        <v>20.058299999999999</v>
      </c>
      <c r="DQ207" s="773">
        <f>SUM(CO207,CJ207,CN207,CR207,CU207)/1000</f>
        <v>6.0747999999999989</v>
      </c>
      <c r="DR207" s="773">
        <f>CL207/1000</f>
        <v>0</v>
      </c>
      <c r="DS207" s="773">
        <f>((CP207/400)/12)</f>
        <v>0</v>
      </c>
      <c r="DT207" s="773">
        <v>0</v>
      </c>
      <c r="DU207" s="773">
        <v>0</v>
      </c>
      <c r="DV207" s="773">
        <f>CX207/1000</f>
        <v>2.84</v>
      </c>
      <c r="DW207" s="2722">
        <f>SUM(DX207:DX208)</f>
        <v>13.538799999999998</v>
      </c>
      <c r="DX207" s="774">
        <f>SUM(DM207,DO207,DQ207:DV207)</f>
        <v>8.9147999999999996</v>
      </c>
      <c r="DY207" s="2725">
        <v>225</v>
      </c>
      <c r="DZ207" s="2728">
        <f>CD207-T207</f>
        <v>121849.2</v>
      </c>
      <c r="EA207" s="2602">
        <f>CE207-V207</f>
        <v>-11541.2</v>
      </c>
      <c r="EB207" s="187">
        <f>CF207-W207</f>
        <v>-5285.2000000000007</v>
      </c>
      <c r="EC207" s="2602">
        <f>SUM(ED207:ED208)</f>
        <v>-101.20000000000073</v>
      </c>
      <c r="ED207" s="187">
        <v>714.79999999999927</v>
      </c>
      <c r="EE207" s="187">
        <f>(SUM(CJ207:CO207))-(SUM(AA207:AE207,AL207))</f>
        <v>9813.5999999999985</v>
      </c>
      <c r="EF207" s="2602">
        <f>SUM(EG207:EG208)</f>
        <v>-1701.2000000000007</v>
      </c>
      <c r="EG207" s="187">
        <v>714.79999999999927</v>
      </c>
      <c r="EH207" s="2602">
        <f>SUM(EI207:EI208)</f>
        <v>0</v>
      </c>
      <c r="EI207" s="187">
        <f>CL207-AC207</f>
        <v>0</v>
      </c>
      <c r="EJ207" s="2602">
        <f>SUM(EK207:EK208)</f>
        <v>1600</v>
      </c>
      <c r="EK207" s="187">
        <f>CJ207-AA207</f>
        <v>0</v>
      </c>
      <c r="EL207" s="2602">
        <f>SUM(EM207:EM208)</f>
        <v>0</v>
      </c>
      <c r="EM207" s="187">
        <f>CO207-AE207</f>
        <v>0</v>
      </c>
      <c r="EN207" s="2602">
        <f>SUM(EO207:EO208)</f>
        <v>0</v>
      </c>
      <c r="EO207" s="187">
        <f>CP207-AH207</f>
        <v>0</v>
      </c>
      <c r="EP207" s="2602">
        <f>SUM(EQ207:EQ208)</f>
        <v>0</v>
      </c>
      <c r="EQ207" s="187">
        <f>CR207-AJ207</f>
        <v>0</v>
      </c>
      <c r="ER207" s="2602">
        <f>SUM(ES207:ES208)</f>
        <v>-6000</v>
      </c>
      <c r="ES207" s="187">
        <f>CS207-AO207</f>
        <v>-6000</v>
      </c>
      <c r="ET207" s="2602">
        <f>SUM(EU207:EU208)</f>
        <v>0</v>
      </c>
      <c r="EU207" s="187">
        <f t="shared" si="125"/>
        <v>0</v>
      </c>
      <c r="EV207" s="2602">
        <f>SUM(EW207:EW208)</f>
        <v>-5440</v>
      </c>
      <c r="EW207" s="187">
        <f>CU207-AS207</f>
        <v>0</v>
      </c>
      <c r="EX207" s="2602">
        <f>SUM(EY207:EY208)</f>
        <v>0</v>
      </c>
      <c r="EY207" s="187">
        <f>CV207-AU207</f>
        <v>0</v>
      </c>
      <c r="EZ207" s="2602">
        <f>SUM(FA207:FA208)</f>
        <v>0</v>
      </c>
      <c r="FA207" s="187">
        <f>CY207-AX207</f>
        <v>0</v>
      </c>
      <c r="FB207" s="2602">
        <f>SUM(FC207:FC208)</f>
        <v>0</v>
      </c>
      <c r="FC207" s="187">
        <f>CZ207-AY207</f>
        <v>0</v>
      </c>
      <c r="FD207" s="2602">
        <f>SUM(FE207:FE208)</f>
        <v>0</v>
      </c>
      <c r="FE207" s="187">
        <f>DA207-AZ207</f>
        <v>0</v>
      </c>
      <c r="FF207" s="2602">
        <f>SUM(FG207:FG208)</f>
        <v>0</v>
      </c>
      <c r="FG207" s="187">
        <f>DB207-BA207</f>
        <v>0</v>
      </c>
      <c r="FH207" s="2602">
        <f>SUM(FI207:FI208)</f>
        <v>0</v>
      </c>
      <c r="FI207" s="187">
        <f>DC207-BB207</f>
        <v>0</v>
      </c>
      <c r="FJ207" s="2602">
        <f>SUM(FK207:FK208)</f>
        <v>0</v>
      </c>
      <c r="FK207" s="187">
        <f>CX207-AW207</f>
        <v>0</v>
      </c>
      <c r="FL207" s="2602">
        <f>SUM(FM207:FM208)</f>
        <v>110308</v>
      </c>
      <c r="FM207" s="187">
        <f>DF207-BE207</f>
        <v>74948</v>
      </c>
      <c r="FN207" s="2602">
        <f>SUM(FO207:FO208)</f>
        <v>121.8492</v>
      </c>
      <c r="FO207" s="187">
        <f>DH207-BG207</f>
        <v>80.233199999999997</v>
      </c>
      <c r="FP207" s="2602">
        <f>SUM(FQ207:FQ208)</f>
        <v>121.8492</v>
      </c>
      <c r="FQ207" s="187">
        <f t="shared" ref="FQ207:FT208" si="129">DJ207-BI207</f>
        <v>80.233199999999997</v>
      </c>
      <c r="FR207" s="187">
        <f t="shared" si="129"/>
        <v>230.269284</v>
      </c>
      <c r="FS207" s="187">
        <f t="shared" si="129"/>
        <v>-22</v>
      </c>
      <c r="FT207" s="775">
        <f t="shared" si="129"/>
        <v>0</v>
      </c>
      <c r="FU207" s="775">
        <f>DR207-BO207</f>
        <v>0</v>
      </c>
      <c r="FV207" s="775">
        <f>DO207-BM207</f>
        <v>0</v>
      </c>
      <c r="FW207" s="775">
        <f>DQ207-BN207</f>
        <v>6.0747999999999989</v>
      </c>
      <c r="FX207" s="775">
        <f t="shared" ref="FX207:GA222" si="130">DS207-BP207</f>
        <v>0</v>
      </c>
      <c r="FY207" s="775">
        <f t="shared" si="130"/>
        <v>0</v>
      </c>
      <c r="FZ207" s="775">
        <f t="shared" si="130"/>
        <v>0</v>
      </c>
      <c r="GA207" s="775">
        <f t="shared" si="130"/>
        <v>2.84</v>
      </c>
      <c r="GB207" s="2734">
        <f>SUM(GC207:GC208)</f>
        <v>13.538799999999998</v>
      </c>
      <c r="GC207" s="776">
        <f t="shared" si="126"/>
        <v>8.9147999999999996</v>
      </c>
      <c r="GD207" s="139"/>
      <c r="GE207" s="139"/>
      <c r="GF207" s="139"/>
      <c r="GG207" s="139"/>
      <c r="GH207" s="139"/>
      <c r="GI207" s="139"/>
      <c r="GJ207" s="139"/>
      <c r="GK207" s="139"/>
      <c r="GL207" s="139"/>
      <c r="GM207" s="139"/>
      <c r="GN207" s="139"/>
      <c r="GO207" s="139"/>
      <c r="GP207" s="139"/>
      <c r="GQ207" s="139"/>
      <c r="GR207" s="139"/>
      <c r="GS207" s="139"/>
      <c r="GT207" s="139"/>
    </row>
    <row r="208" spans="1:202" s="81" customFormat="1" ht="15" customHeight="1">
      <c r="A208" s="2589"/>
      <c r="B208" s="2589"/>
      <c r="C208" s="66" t="s">
        <v>710</v>
      </c>
      <c r="D208" s="66">
        <v>2872</v>
      </c>
      <c r="E208" s="66">
        <v>46</v>
      </c>
      <c r="F208" s="841">
        <v>2028720046</v>
      </c>
      <c r="G208" s="71">
        <v>5440</v>
      </c>
      <c r="H208" s="66" t="s">
        <v>726</v>
      </c>
      <c r="I208" s="70" t="s">
        <v>727</v>
      </c>
      <c r="J208" s="66">
        <v>2</v>
      </c>
      <c r="K208" s="66">
        <v>3.44</v>
      </c>
      <c r="L208" s="66">
        <v>0</v>
      </c>
      <c r="M208" s="66">
        <v>4.8</v>
      </c>
      <c r="N208" s="68">
        <v>10880</v>
      </c>
      <c r="O208" s="68">
        <v>0</v>
      </c>
      <c r="P208" s="68">
        <v>0</v>
      </c>
      <c r="Q208" s="68">
        <v>10880</v>
      </c>
      <c r="R208" s="71">
        <v>0</v>
      </c>
      <c r="S208" s="791" t="s">
        <v>722</v>
      </c>
      <c r="T208" s="2601"/>
      <c r="U208" s="74">
        <v>0</v>
      </c>
      <c r="V208" s="2601"/>
      <c r="W208" s="74">
        <f>N208</f>
        <v>10880</v>
      </c>
      <c r="X208" s="74"/>
      <c r="Y208" s="74">
        <f>W208-AA208</f>
        <v>10880</v>
      </c>
      <c r="Z208" s="2601"/>
      <c r="AA208" s="74">
        <v>0</v>
      </c>
      <c r="AB208" s="2601"/>
      <c r="AC208" s="74">
        <v>0</v>
      </c>
      <c r="AD208" s="2601"/>
      <c r="AE208" s="74">
        <f>AG208+AF208</f>
        <v>0</v>
      </c>
      <c r="AF208" s="74">
        <v>0</v>
      </c>
      <c r="AG208" s="74">
        <v>0</v>
      </c>
      <c r="AH208" s="74">
        <v>0</v>
      </c>
      <c r="AI208" s="2601"/>
      <c r="AJ208" s="74">
        <v>0</v>
      </c>
      <c r="AK208" s="2601"/>
      <c r="AL208" s="74">
        <f>W208-(AA208+AC208+AE208+AH208+AJ208+AM208+AW208+AO208+AQ208+AS208+AU208)</f>
        <v>5440</v>
      </c>
      <c r="AM208" s="792">
        <v>0</v>
      </c>
      <c r="AN208" s="2601"/>
      <c r="AO208" s="74">
        <v>0</v>
      </c>
      <c r="AP208" s="2601"/>
      <c r="AQ208" s="74">
        <v>0</v>
      </c>
      <c r="AR208" s="2601"/>
      <c r="AS208" s="74">
        <v>5440</v>
      </c>
      <c r="AT208" s="2601"/>
      <c r="AU208" s="74">
        <v>0</v>
      </c>
      <c r="AV208" s="2601"/>
      <c r="AW208" s="74">
        <f>AX208+AY208+AZ208+BA208+BB208</f>
        <v>0</v>
      </c>
      <c r="AX208" s="74">
        <v>0</v>
      </c>
      <c r="AY208" s="74">
        <v>0</v>
      </c>
      <c r="AZ208" s="74">
        <v>0</v>
      </c>
      <c r="BA208" s="74">
        <v>0</v>
      </c>
      <c r="BB208" s="74">
        <v>0</v>
      </c>
      <c r="BC208" s="74">
        <v>0</v>
      </c>
      <c r="BD208" s="2601"/>
      <c r="BE208" s="74">
        <f>U208+W208</f>
        <v>10880</v>
      </c>
      <c r="BF208" s="2601"/>
      <c r="BG208" s="74">
        <f>U208/1000</f>
        <v>0</v>
      </c>
      <c r="BH208" s="2601"/>
      <c r="BI208" s="74">
        <v>0</v>
      </c>
      <c r="BJ208" s="74">
        <f t="shared" si="127"/>
        <v>0</v>
      </c>
      <c r="BK208" s="88">
        <f>ROUND((Y208+AC208+AA208)/1000*3,0)+ROUND((AE208+AU208)/1000,0)+ROUND((ROUND(AH208/400,0))/2.67,0)+ROUND(AM208/250,0)+ROUND(AO208/15000,0)+ROUND((AX208+AY208+AZ208+BB208)/1000*3,0)+ROUND(BG208/25,0)+ROUND(BU299/50,0)</f>
        <v>33</v>
      </c>
      <c r="BL208" s="74">
        <v>0</v>
      </c>
      <c r="BM208" s="74">
        <v>0</v>
      </c>
      <c r="BN208" s="74">
        <v>0</v>
      </c>
      <c r="BO208" s="74">
        <f>AC208/1000</f>
        <v>0</v>
      </c>
      <c r="BP208" s="74">
        <f>AH208/1000</f>
        <v>0</v>
      </c>
      <c r="BQ208" s="74">
        <v>0</v>
      </c>
      <c r="BR208" s="74">
        <v>0</v>
      </c>
      <c r="BS208" s="74">
        <v>0</v>
      </c>
      <c r="BT208" s="2601"/>
      <c r="BU208" s="74">
        <f>SUM(BL208:BS208)</f>
        <v>0</v>
      </c>
      <c r="BV208" s="81">
        <v>25</v>
      </c>
      <c r="BW208" s="793" t="s">
        <v>758</v>
      </c>
      <c r="BX208" s="81">
        <v>8.5</v>
      </c>
      <c r="BY208" s="81">
        <v>2</v>
      </c>
      <c r="BZ208" s="81">
        <v>7.5</v>
      </c>
      <c r="CA208" s="794" t="s">
        <v>706</v>
      </c>
      <c r="CB208" s="2597"/>
      <c r="CC208" s="795">
        <f>(BX208*G208)-CF208</f>
        <v>41616</v>
      </c>
      <c r="CD208" s="2733"/>
      <c r="CE208" s="2601"/>
      <c r="CF208" s="843">
        <f>1*(G208)-(0.15*1*(G208))</f>
        <v>4624</v>
      </c>
      <c r="CG208" s="2601"/>
      <c r="CH208" s="843">
        <f>CF208-CJ208</f>
        <v>3024</v>
      </c>
      <c r="CI208" s="2601"/>
      <c r="CJ208" s="795">
        <v>1600</v>
      </c>
      <c r="CK208" s="2601"/>
      <c r="CL208" s="81">
        <v>0</v>
      </c>
      <c r="CM208" s="2601"/>
      <c r="CN208" s="74">
        <f>CF208-(CJ208+CL208+CO208+CP208+CR208+CU208+CV208+CX208)</f>
        <v>3024</v>
      </c>
      <c r="CO208" s="797">
        <v>0</v>
      </c>
      <c r="CP208" s="797">
        <v>0</v>
      </c>
      <c r="CQ208" s="2601"/>
      <c r="CR208" s="74">
        <v>0</v>
      </c>
      <c r="CS208" s="797">
        <v>0</v>
      </c>
      <c r="CT208" s="797">
        <v>0</v>
      </c>
      <c r="CU208" s="797">
        <v>0</v>
      </c>
      <c r="CV208" s="797">
        <v>0</v>
      </c>
      <c r="CW208" s="2601"/>
      <c r="CX208" s="74">
        <f>SUM(CY208:DC208)</f>
        <v>0</v>
      </c>
      <c r="CY208" s="797">
        <f t="shared" si="128"/>
        <v>0</v>
      </c>
      <c r="CZ208" s="797">
        <f t="shared" si="128"/>
        <v>0</v>
      </c>
      <c r="DA208" s="797">
        <f t="shared" si="128"/>
        <v>0</v>
      </c>
      <c r="DB208" s="797">
        <f t="shared" si="128"/>
        <v>0</v>
      </c>
      <c r="DC208" s="797">
        <f t="shared" si="128"/>
        <v>0</v>
      </c>
      <c r="DD208" s="797"/>
      <c r="DE208" s="2601"/>
      <c r="DF208" s="74">
        <f>CC208+CF208</f>
        <v>46240</v>
      </c>
      <c r="DG208" s="2601"/>
      <c r="DH208" s="303">
        <f>CC208/'[1]Projected Development Sites'!DF$134</f>
        <v>41.616</v>
      </c>
      <c r="DI208" s="2724"/>
      <c r="DJ208" s="798">
        <f>'[1]Projected Development Sites'!DK$136*DH208</f>
        <v>41.616</v>
      </c>
      <c r="DK208" s="792">
        <f>2.87*DH208</f>
        <v>119.43792000000001</v>
      </c>
      <c r="DL208" s="917">
        <f>ROUND((CN208+CL208+CJ208)/1000*3,0)+ROUND((ROUND(CP208/400,0))/2.67,0)+ROUND(CV208/1000,0)+ROUND((CY208+CZ208+DA208+DC208)/1000*3,0)+ROUND(DH208/25,0)+ROUND(DX208/50,0)</f>
        <v>16</v>
      </c>
      <c r="DM208" s="799">
        <v>0</v>
      </c>
      <c r="DN208" s="799"/>
      <c r="DO208" s="799">
        <v>0</v>
      </c>
      <c r="DP208" s="799">
        <f>0.25*DJ208</f>
        <v>10.404</v>
      </c>
      <c r="DQ208" s="799">
        <f>SUM(CO208,CJ208,CN208,CR208,CU208)/1000</f>
        <v>4.6239999999999997</v>
      </c>
      <c r="DR208" s="799">
        <f>CL208/1000</f>
        <v>0</v>
      </c>
      <c r="DS208" s="799">
        <f>((CP208/400)/12)</f>
        <v>0</v>
      </c>
      <c r="DT208" s="799">
        <f>IF(CX208&gt;0,"Calculate",0)</f>
        <v>0</v>
      </c>
      <c r="DU208" s="799">
        <v>0</v>
      </c>
      <c r="DV208" s="799">
        <f>CX208/1000</f>
        <v>0</v>
      </c>
      <c r="DW208" s="2724"/>
      <c r="DX208" s="800">
        <f>SUM(DM208,DO208,DQ208:DV208)</f>
        <v>4.6239999999999997</v>
      </c>
      <c r="DY208" s="2727"/>
      <c r="DZ208" s="2730"/>
      <c r="EA208" s="2603"/>
      <c r="EB208" s="195">
        <f>CF208-W208</f>
        <v>-6256</v>
      </c>
      <c r="EC208" s="2603"/>
      <c r="ED208" s="195">
        <v>-816</v>
      </c>
      <c r="EE208" s="195">
        <f>(SUM(CJ208:CO208))-(SUM(AA208:AE208,AL208))</f>
        <v>-816</v>
      </c>
      <c r="EF208" s="2603"/>
      <c r="EG208" s="187">
        <v>-2416</v>
      </c>
      <c r="EH208" s="2603"/>
      <c r="EI208" s="195">
        <f>CL208-AC208</f>
        <v>0</v>
      </c>
      <c r="EJ208" s="2603"/>
      <c r="EK208" s="195">
        <f>CJ208-AA208</f>
        <v>1600</v>
      </c>
      <c r="EL208" s="2603"/>
      <c r="EM208" s="190">
        <f>CO208-AE208</f>
        <v>0</v>
      </c>
      <c r="EN208" s="2603"/>
      <c r="EO208" s="190">
        <f>CP208-AH208</f>
        <v>0</v>
      </c>
      <c r="EP208" s="2603"/>
      <c r="EQ208" s="195">
        <f>CR208-AJ208</f>
        <v>0</v>
      </c>
      <c r="ER208" s="2603"/>
      <c r="ES208" s="195">
        <f>CS208-AO208</f>
        <v>0</v>
      </c>
      <c r="ET208" s="2603"/>
      <c r="EU208" s="190">
        <f t="shared" si="125"/>
        <v>0</v>
      </c>
      <c r="EV208" s="2603"/>
      <c r="EW208" s="195">
        <f>CU208-AS208</f>
        <v>-5440</v>
      </c>
      <c r="EX208" s="2603"/>
      <c r="EY208" s="190">
        <f>CV208-AU208</f>
        <v>0</v>
      </c>
      <c r="EZ208" s="2603"/>
      <c r="FA208" s="190">
        <f>CY208-AX208</f>
        <v>0</v>
      </c>
      <c r="FB208" s="2603"/>
      <c r="FC208" s="190">
        <f>CZ208-AY208</f>
        <v>0</v>
      </c>
      <c r="FD208" s="2603"/>
      <c r="FE208" s="190">
        <f>DA208-AZ208</f>
        <v>0</v>
      </c>
      <c r="FF208" s="2603"/>
      <c r="FG208" s="190">
        <f>DB208-BA208</f>
        <v>0</v>
      </c>
      <c r="FH208" s="2603"/>
      <c r="FI208" s="190">
        <f>DC208-BB208</f>
        <v>0</v>
      </c>
      <c r="FJ208" s="2603"/>
      <c r="FK208" s="190">
        <f>CX208-AW208</f>
        <v>0</v>
      </c>
      <c r="FL208" s="2603"/>
      <c r="FM208" s="195">
        <f>DF208-BE208</f>
        <v>35360</v>
      </c>
      <c r="FN208" s="2603"/>
      <c r="FO208" s="195">
        <f>DH208-BG208</f>
        <v>41.616</v>
      </c>
      <c r="FP208" s="2603"/>
      <c r="FQ208" s="195">
        <f t="shared" si="129"/>
        <v>41.616</v>
      </c>
      <c r="FR208" s="190">
        <f t="shared" si="129"/>
        <v>119.43792000000001</v>
      </c>
      <c r="FS208" s="190">
        <f t="shared" si="129"/>
        <v>-17</v>
      </c>
      <c r="FT208" s="801">
        <f t="shared" si="129"/>
        <v>0</v>
      </c>
      <c r="FU208" s="801">
        <f>DR208-BO208</f>
        <v>0</v>
      </c>
      <c r="FV208" s="801">
        <f>DO208-BM208</f>
        <v>0</v>
      </c>
      <c r="FW208" s="801">
        <f>DQ208-BN208</f>
        <v>4.6239999999999997</v>
      </c>
      <c r="FX208" s="801">
        <f t="shared" si="130"/>
        <v>0</v>
      </c>
      <c r="FY208" s="801">
        <f t="shared" si="130"/>
        <v>0</v>
      </c>
      <c r="FZ208" s="801">
        <f t="shared" si="130"/>
        <v>0</v>
      </c>
      <c r="GA208" s="801">
        <f t="shared" si="130"/>
        <v>0</v>
      </c>
      <c r="GB208" s="2736"/>
      <c r="GC208" s="845">
        <f t="shared" si="126"/>
        <v>4.6239999999999997</v>
      </c>
      <c r="GD208" s="139"/>
      <c r="GE208" s="139"/>
      <c r="GF208" s="139"/>
      <c r="GG208" s="139"/>
      <c r="GH208" s="139"/>
      <c r="GI208" s="139"/>
      <c r="GJ208" s="139"/>
      <c r="GK208" s="139"/>
      <c r="GL208" s="139"/>
      <c r="GM208" s="139"/>
      <c r="GN208" s="139"/>
      <c r="GO208" s="139"/>
      <c r="GP208" s="139"/>
      <c r="GQ208" s="139"/>
      <c r="GR208" s="139"/>
      <c r="GS208" s="139"/>
      <c r="GT208" s="139"/>
    </row>
    <row r="209" spans="1:202" s="139" customFormat="1" ht="18.75">
      <c r="A209" s="2263"/>
      <c r="B209" s="2263"/>
      <c r="C209" s="132"/>
      <c r="D209" s="132"/>
      <c r="E209" s="132"/>
      <c r="F209" s="777"/>
      <c r="G209" s="137"/>
      <c r="H209" s="132"/>
      <c r="I209" s="136"/>
      <c r="J209" s="132"/>
      <c r="K209" s="132"/>
      <c r="L209" s="132"/>
      <c r="M209" s="132"/>
      <c r="N209" s="134"/>
      <c r="O209" s="134"/>
      <c r="P209" s="134"/>
      <c r="Q209" s="134"/>
      <c r="R209" s="137"/>
      <c r="S209" s="778"/>
      <c r="T209" s="634"/>
      <c r="U209" s="102"/>
      <c r="V209" s="634"/>
      <c r="W209" s="102"/>
      <c r="X209" s="102"/>
      <c r="Y209" s="102"/>
      <c r="Z209" s="634"/>
      <c r="AA209" s="102"/>
      <c r="AB209" s="634"/>
      <c r="AC209" s="102"/>
      <c r="AD209" s="634"/>
      <c r="AE209" s="102"/>
      <c r="AF209" s="102"/>
      <c r="AG209" s="102"/>
      <c r="AH209" s="102"/>
      <c r="AI209" s="634"/>
      <c r="AJ209" s="102"/>
      <c r="AK209" s="634"/>
      <c r="AL209" s="102"/>
      <c r="AM209" s="779"/>
      <c r="AN209" s="634"/>
      <c r="AO209" s="102"/>
      <c r="AP209" s="634"/>
      <c r="AQ209" s="102"/>
      <c r="AR209" s="634"/>
      <c r="AS209" s="102"/>
      <c r="AT209" s="634"/>
      <c r="AU209" s="102"/>
      <c r="AV209" s="634"/>
      <c r="AW209" s="102"/>
      <c r="AX209" s="102"/>
      <c r="AY209" s="102"/>
      <c r="AZ209" s="102"/>
      <c r="BA209" s="102"/>
      <c r="BB209" s="102"/>
      <c r="BC209" s="102"/>
      <c r="BD209" s="634"/>
      <c r="BE209" s="102"/>
      <c r="BF209" s="634"/>
      <c r="BG209" s="102"/>
      <c r="BH209" s="634"/>
      <c r="BI209" s="102"/>
      <c r="BJ209" s="111"/>
      <c r="BK209" s="186"/>
      <c r="BL209" s="102"/>
      <c r="BM209" s="102"/>
      <c r="BN209" s="102"/>
      <c r="BO209" s="102"/>
      <c r="BP209" s="102"/>
      <c r="BQ209" s="102"/>
      <c r="BR209" s="102"/>
      <c r="BS209" s="102"/>
      <c r="BT209" s="634"/>
      <c r="BU209" s="102"/>
      <c r="BW209" s="780"/>
      <c r="CA209" s="781"/>
      <c r="CB209" s="2258"/>
      <c r="CC209" s="782"/>
      <c r="CD209" s="782"/>
      <c r="CE209" s="634"/>
      <c r="CF209" s="783"/>
      <c r="CG209" s="634"/>
      <c r="CH209" s="783"/>
      <c r="CI209" s="634"/>
      <c r="CK209" s="634"/>
      <c r="CM209" s="634"/>
      <c r="CN209" s="784"/>
      <c r="CO209" s="784"/>
      <c r="CP209" s="784"/>
      <c r="CQ209" s="634"/>
      <c r="CR209" s="102"/>
      <c r="CS209" s="784"/>
      <c r="CT209" s="784"/>
      <c r="CU209" s="784"/>
      <c r="CV209" s="784"/>
      <c r="CW209" s="634"/>
      <c r="CX209" s="784"/>
      <c r="CY209" s="784"/>
      <c r="CZ209" s="784"/>
      <c r="DA209" s="784"/>
      <c r="DB209" s="784"/>
      <c r="DC209" s="784"/>
      <c r="DD209" s="784"/>
      <c r="DE209" s="634"/>
      <c r="DF209" s="102"/>
      <c r="DG209" s="634"/>
      <c r="DH209" s="296"/>
      <c r="DI209" s="802"/>
      <c r="DJ209" s="785"/>
      <c r="DK209" s="899"/>
      <c r="DL209" s="786"/>
      <c r="DM209" s="787"/>
      <c r="DN209" s="787"/>
      <c r="DO209" s="787"/>
      <c r="DP209" s="787"/>
      <c r="DQ209" s="787"/>
      <c r="DR209" s="787"/>
      <c r="DS209" s="787"/>
      <c r="DT209" s="787"/>
      <c r="DU209" s="787"/>
      <c r="DV209" s="787"/>
      <c r="DW209" s="802"/>
      <c r="DX209" s="788"/>
      <c r="DY209" s="634"/>
      <c r="DZ209" s="2288"/>
      <c r="EA209" s="2231"/>
      <c r="EB209" s="187"/>
      <c r="EC209" s="2232"/>
      <c r="ED209" s="187"/>
      <c r="EE209" s="187"/>
      <c r="EF209" s="2232"/>
      <c r="EG209" s="187"/>
      <c r="EH209" s="2232"/>
      <c r="EI209" s="187"/>
      <c r="EJ209" s="2232"/>
      <c r="EK209" s="187"/>
      <c r="EL209" s="2232"/>
      <c r="EM209" s="195"/>
      <c r="EN209" s="2232"/>
      <c r="EO209" s="195"/>
      <c r="EP209" s="2232"/>
      <c r="EQ209" s="187"/>
      <c r="ER209" s="2232"/>
      <c r="ES209" s="187"/>
      <c r="ET209" s="2232"/>
      <c r="EU209" s="187">
        <f t="shared" si="125"/>
        <v>0</v>
      </c>
      <c r="EV209" s="2232"/>
      <c r="EW209" s="187"/>
      <c r="EX209" s="2232"/>
      <c r="EY209" s="195"/>
      <c r="EZ209" s="2232"/>
      <c r="FA209" s="195"/>
      <c r="FB209" s="2232"/>
      <c r="FC209" s="195"/>
      <c r="FD209" s="2232"/>
      <c r="FE209" s="195"/>
      <c r="FF209" s="2232"/>
      <c r="FG209" s="195"/>
      <c r="FH209" s="2232"/>
      <c r="FI209" s="195"/>
      <c r="FJ209" s="2232"/>
      <c r="FK209" s="195"/>
      <c r="FL209" s="2232"/>
      <c r="FM209" s="187"/>
      <c r="FN209" s="2232"/>
      <c r="FO209" s="187"/>
      <c r="FP209" s="2232"/>
      <c r="FQ209" s="187"/>
      <c r="FR209" s="195"/>
      <c r="FS209" s="195"/>
      <c r="FT209" s="789"/>
      <c r="FU209" s="789"/>
      <c r="FV209" s="789"/>
      <c r="FW209" s="789"/>
      <c r="FX209" s="789"/>
      <c r="FY209" s="801">
        <f t="shared" si="130"/>
        <v>0</v>
      </c>
      <c r="FZ209" s="789"/>
      <c r="GA209" s="789"/>
      <c r="GB209" s="2289"/>
      <c r="GC209" s="776"/>
    </row>
    <row r="210" spans="1:202" s="228" customFormat="1" ht="18.75">
      <c r="A210" s="216"/>
      <c r="B210" s="216">
        <v>77</v>
      </c>
      <c r="C210" s="218" t="s">
        <v>703</v>
      </c>
      <c r="D210" s="218">
        <v>2871</v>
      </c>
      <c r="E210" s="218">
        <v>78</v>
      </c>
      <c r="F210" s="897">
        <v>2028710078</v>
      </c>
      <c r="G210" s="223">
        <v>7434</v>
      </c>
      <c r="H210" s="218" t="s">
        <v>756</v>
      </c>
      <c r="I210" s="222"/>
      <c r="J210" s="218">
        <v>0</v>
      </c>
      <c r="K210" s="218">
        <v>0</v>
      </c>
      <c r="L210" s="218">
        <v>2</v>
      </c>
      <c r="M210" s="218">
        <v>4.8</v>
      </c>
      <c r="N210" s="220">
        <v>0</v>
      </c>
      <c r="O210" s="220">
        <v>0</v>
      </c>
      <c r="P210" s="220">
        <v>0</v>
      </c>
      <c r="Q210" s="220">
        <v>0</v>
      </c>
      <c r="R210" s="223">
        <v>0</v>
      </c>
      <c r="S210" s="898" t="s">
        <v>711</v>
      </c>
      <c r="T210" s="234">
        <f>U210</f>
        <v>0</v>
      </c>
      <c r="U210" s="111">
        <v>0</v>
      </c>
      <c r="V210" s="234">
        <f>W210</f>
        <v>0</v>
      </c>
      <c r="W210" s="111">
        <f>N210</f>
        <v>0</v>
      </c>
      <c r="X210" s="111"/>
      <c r="Y210" s="111">
        <f>W210-AA210</f>
        <v>0</v>
      </c>
      <c r="Z210" s="234">
        <f>AA210</f>
        <v>0</v>
      </c>
      <c r="AA210" s="111">
        <v>0</v>
      </c>
      <c r="AB210" s="234">
        <f>AC210</f>
        <v>0</v>
      </c>
      <c r="AC210" s="111">
        <v>0</v>
      </c>
      <c r="AD210" s="234">
        <f>AE210</f>
        <v>0</v>
      </c>
      <c r="AE210" s="111">
        <v>0</v>
      </c>
      <c r="AF210" s="111">
        <v>0</v>
      </c>
      <c r="AG210" s="111">
        <v>0</v>
      </c>
      <c r="AH210" s="111">
        <v>0</v>
      </c>
      <c r="AI210" s="234">
        <f>AJ210</f>
        <v>0</v>
      </c>
      <c r="AJ210" s="111">
        <v>0</v>
      </c>
      <c r="AK210" s="234">
        <f>AL210</f>
        <v>0</v>
      </c>
      <c r="AL210" s="111">
        <f>W210-(AA210+AC210+AE210+AH210+AJ210+AM210+AW210)</f>
        <v>0</v>
      </c>
      <c r="AM210" s="899">
        <v>0</v>
      </c>
      <c r="AN210" s="234">
        <f>AO210</f>
        <v>0</v>
      </c>
      <c r="AO210" s="111">
        <v>0</v>
      </c>
      <c r="AP210" s="234">
        <f>AQ210</f>
        <v>0</v>
      </c>
      <c r="AQ210" s="111">
        <v>0</v>
      </c>
      <c r="AR210" s="234">
        <f>AS210</f>
        <v>0</v>
      </c>
      <c r="AS210" s="111">
        <v>0</v>
      </c>
      <c r="AT210" s="234">
        <f>AU210</f>
        <v>0</v>
      </c>
      <c r="AU210" s="111">
        <v>0</v>
      </c>
      <c r="AV210" s="234">
        <f>AW210</f>
        <v>0</v>
      </c>
      <c r="AW210" s="111">
        <f>AX210+AY210+AZ210+BA210+BB210</f>
        <v>0</v>
      </c>
      <c r="AX210" s="111">
        <v>0</v>
      </c>
      <c r="AY210" s="111">
        <v>0</v>
      </c>
      <c r="AZ210" s="111">
        <v>0</v>
      </c>
      <c r="BA210" s="111">
        <v>0</v>
      </c>
      <c r="BB210" s="111">
        <v>0</v>
      </c>
      <c r="BC210" s="111">
        <v>0</v>
      </c>
      <c r="BD210" s="234">
        <f>BE210</f>
        <v>0</v>
      </c>
      <c r="BE210" s="111">
        <f>ROUND(U210+W210,0)</f>
        <v>0</v>
      </c>
      <c r="BF210" s="234">
        <f>BG210</f>
        <v>0</v>
      </c>
      <c r="BG210" s="111">
        <f>ROUND(U210/'[1]Projected Development Sites'!DF$134,0)</f>
        <v>0</v>
      </c>
      <c r="BH210" s="234">
        <f>BI210</f>
        <v>0</v>
      </c>
      <c r="BI210" s="111">
        <f>'[1]Projected Development Sites'!BG$135*BG210</f>
        <v>0</v>
      </c>
      <c r="BJ210" s="111">
        <f t="shared" si="127"/>
        <v>0</v>
      </c>
      <c r="BK210" s="306">
        <f>ROUND((AL210+AC210+AA210)/1000*3,0)+ROUND((AE210+AU210)/1000,0)+ROUND((ROUND(AH210/400,0))/2.67,0)+ROUND(AJ210/250,0)+ROUND(AO210/15000,0)+ROUND((AX210+AY210+AZ210+BB210)/1000*3,0)+ROUND(BG210/25,0)+ROUND(BU210/50,0)</f>
        <v>0</v>
      </c>
      <c r="BL210" s="111">
        <v>0</v>
      </c>
      <c r="BM210" s="111">
        <v>0</v>
      </c>
      <c r="BN210" s="111">
        <f>W210/1000</f>
        <v>0</v>
      </c>
      <c r="BO210" s="111">
        <f>AC210/1000</f>
        <v>0</v>
      </c>
      <c r="BP210" s="111">
        <f>((AH210/400)/12)</f>
        <v>0</v>
      </c>
      <c r="BQ210" s="111">
        <f>IFERROR(VLOOKUP(F210,#REF!,3,FALSE),0)</f>
        <v>0</v>
      </c>
      <c r="BR210" s="111">
        <f>IF(H210="M1-2",G210/1000)</f>
        <v>7.4340000000000002</v>
      </c>
      <c r="BS210" s="111">
        <f>IF(BB210&gt;0,"Calculate",0)</f>
        <v>0</v>
      </c>
      <c r="BT210" s="234">
        <f>BU210</f>
        <v>7.4340000000000002</v>
      </c>
      <c r="BU210" s="111">
        <f>SUM(BL210:BS210)</f>
        <v>7.4340000000000002</v>
      </c>
      <c r="BV210" s="228">
        <v>0</v>
      </c>
      <c r="BW210" s="900" t="s">
        <v>758</v>
      </c>
      <c r="BX210" s="228">
        <v>8.5</v>
      </c>
      <c r="BY210" s="228">
        <v>2</v>
      </c>
      <c r="BZ210" s="228">
        <v>7.5</v>
      </c>
      <c r="CA210" s="901" t="s">
        <v>706</v>
      </c>
      <c r="CB210" s="230" t="s">
        <v>716</v>
      </c>
      <c r="CC210" s="399">
        <f>(BX210*G210)-CF210</f>
        <v>56870.1</v>
      </c>
      <c r="CD210" s="399">
        <v>56870.1</v>
      </c>
      <c r="CE210" s="234">
        <f>CF210</f>
        <v>6318.9</v>
      </c>
      <c r="CF210" s="836">
        <f>1*(G210)-(0.15*1*(G210))</f>
        <v>6318.9</v>
      </c>
      <c r="CG210" s="234">
        <f>CH210</f>
        <v>6318.9</v>
      </c>
      <c r="CH210" s="836">
        <f>CF210-CJ210</f>
        <v>6318.9</v>
      </c>
      <c r="CI210" s="234">
        <f>CJ210</f>
        <v>0</v>
      </c>
      <c r="CJ210" s="228">
        <v>0</v>
      </c>
      <c r="CK210" s="234">
        <f>CL210</f>
        <v>0</v>
      </c>
      <c r="CL210" s="228">
        <v>0</v>
      </c>
      <c r="CM210" s="234">
        <f>CN210</f>
        <v>6318.9</v>
      </c>
      <c r="CN210" s="903">
        <f>CF210-(CJ210+CL210+CO210+CP210+CR210+CU210+CV210+CX210)</f>
        <v>6318.9</v>
      </c>
      <c r="CO210" s="903">
        <v>0</v>
      </c>
      <c r="CP210" s="903">
        <v>0</v>
      </c>
      <c r="CQ210" s="234">
        <f>CR210</f>
        <v>0</v>
      </c>
      <c r="CR210" s="111">
        <v>0</v>
      </c>
      <c r="CS210" s="903">
        <v>0</v>
      </c>
      <c r="CT210" s="903">
        <v>0</v>
      </c>
      <c r="CU210" s="903">
        <v>0</v>
      </c>
      <c r="CV210" s="903">
        <v>0</v>
      </c>
      <c r="CW210" s="234">
        <f>CX210</f>
        <v>0</v>
      </c>
      <c r="CX210" s="111">
        <f>SUM(CY210:DC210)</f>
        <v>0</v>
      </c>
      <c r="CY210" s="903">
        <v>0</v>
      </c>
      <c r="CZ210" s="903">
        <v>0</v>
      </c>
      <c r="DA210" s="903">
        <v>0</v>
      </c>
      <c r="DB210" s="903">
        <v>0</v>
      </c>
      <c r="DC210" s="903">
        <v>0</v>
      </c>
      <c r="DD210" s="903"/>
      <c r="DE210" s="234">
        <f>DF210</f>
        <v>63189</v>
      </c>
      <c r="DF210" s="111">
        <f>ROUND(CC210+CF210,0)</f>
        <v>63189</v>
      </c>
      <c r="DG210" s="234">
        <f>DH210</f>
        <v>57</v>
      </c>
      <c r="DH210" s="228">
        <f>ROUND(CC210/'[1]Projected Development Sites'!DF$134,0)</f>
        <v>57</v>
      </c>
      <c r="DI210" s="886">
        <f>DJ210</f>
        <v>57</v>
      </c>
      <c r="DJ210" s="905">
        <f>'[1]Projected Development Sites'!DK$136*DH210</f>
        <v>57</v>
      </c>
      <c r="DK210" s="899">
        <f>2.87*DH210</f>
        <v>163.59</v>
      </c>
      <c r="DL210" s="772">
        <f>ROUND((CN210+CL210+CJ210)/1000*3,0)+ROUND((ROUND(CP210/400,0))/2.67,0)+ROUND(CV210/1000,0)+ROUND((CY210+CZ210+DA210+DC210)/1000*3,0)+ROUND(DH210/25,0)+ROUND(DX210/50,0)</f>
        <v>21</v>
      </c>
      <c r="DM210" s="905">
        <v>0</v>
      </c>
      <c r="DN210" s="905"/>
      <c r="DO210" s="905">
        <v>0</v>
      </c>
      <c r="DP210" s="905">
        <f>0.25*DJ210</f>
        <v>14.25</v>
      </c>
      <c r="DQ210" s="905">
        <f>SUM(CO210,CJ210,CN210,CR210,CU210)/1000</f>
        <v>6.3188999999999993</v>
      </c>
      <c r="DR210" s="905">
        <f>CL210/1000</f>
        <v>0</v>
      </c>
      <c r="DS210" s="905">
        <f>((CP210/400)/12)</f>
        <v>0</v>
      </c>
      <c r="DT210" s="905">
        <f>IF(CX210&gt;0,"Calculate",0)</f>
        <v>0</v>
      </c>
      <c r="DU210" s="905">
        <v>0</v>
      </c>
      <c r="DV210" s="905">
        <f>CX210/1000</f>
        <v>0</v>
      </c>
      <c r="DW210" s="886">
        <f>DX210</f>
        <v>6.3188999999999993</v>
      </c>
      <c r="DX210" s="906">
        <f>SUM(DM210,DO210,DQ210:DV210)</f>
        <v>6.3188999999999993</v>
      </c>
      <c r="DY210" s="837">
        <v>175</v>
      </c>
      <c r="DZ210" s="2288">
        <f>CD210-T210</f>
        <v>56870.1</v>
      </c>
      <c r="EA210" s="2231">
        <f>CE210-V210</f>
        <v>6318.9</v>
      </c>
      <c r="EB210" s="187">
        <f>CF210-W210</f>
        <v>6318.9</v>
      </c>
      <c r="EC210" s="235">
        <f>ED210</f>
        <v>6318.9</v>
      </c>
      <c r="ED210" s="187">
        <v>6318.9</v>
      </c>
      <c r="EE210" s="187">
        <f>(SUM(CJ210:CO210))-(SUM(AA210:AE210,AL210))</f>
        <v>12637.8</v>
      </c>
      <c r="EF210" s="235">
        <f>EG210</f>
        <v>6318.9</v>
      </c>
      <c r="EG210" s="187">
        <v>6318.9</v>
      </c>
      <c r="EH210" s="235">
        <f>EI210</f>
        <v>0</v>
      </c>
      <c r="EI210" s="187">
        <f>CL210-AC210</f>
        <v>0</v>
      </c>
      <c r="EJ210" s="235">
        <f>EK210</f>
        <v>0</v>
      </c>
      <c r="EK210" s="187">
        <f>CJ210-AA210</f>
        <v>0</v>
      </c>
      <c r="EL210" s="235">
        <f>EM210</f>
        <v>0</v>
      </c>
      <c r="EM210" s="245">
        <f>CO210-AE210</f>
        <v>0</v>
      </c>
      <c r="EN210" s="235">
        <f>EO210</f>
        <v>0</v>
      </c>
      <c r="EO210" s="245">
        <f>CP210-AH210</f>
        <v>0</v>
      </c>
      <c r="EP210" s="235">
        <f>EQ210</f>
        <v>0</v>
      </c>
      <c r="EQ210" s="187">
        <f>CR210-AJ210</f>
        <v>0</v>
      </c>
      <c r="ER210" s="235">
        <f>ES210</f>
        <v>0</v>
      </c>
      <c r="ES210" s="187">
        <f>CS210-AO210</f>
        <v>0</v>
      </c>
      <c r="ET210" s="235">
        <f>EU210</f>
        <v>0</v>
      </c>
      <c r="EU210" s="187">
        <f t="shared" si="125"/>
        <v>0</v>
      </c>
      <c r="EV210" s="235">
        <f>EW210</f>
        <v>0</v>
      </c>
      <c r="EW210" s="187">
        <f>CU210-AS210</f>
        <v>0</v>
      </c>
      <c r="EX210" s="235">
        <f>EY210</f>
        <v>0</v>
      </c>
      <c r="EY210" s="245">
        <f>CV210-AU210</f>
        <v>0</v>
      </c>
      <c r="EZ210" s="235">
        <f>FA210</f>
        <v>0</v>
      </c>
      <c r="FA210" s="245">
        <f>CY210-AX210</f>
        <v>0</v>
      </c>
      <c r="FB210" s="235">
        <f>FC210</f>
        <v>0</v>
      </c>
      <c r="FC210" s="245">
        <f>CZ210-AY210</f>
        <v>0</v>
      </c>
      <c r="FD210" s="235">
        <f>FE210</f>
        <v>0</v>
      </c>
      <c r="FE210" s="245">
        <f>DA210-AZ210</f>
        <v>0</v>
      </c>
      <c r="FF210" s="235">
        <f>FG210</f>
        <v>0</v>
      </c>
      <c r="FG210" s="245">
        <f>DB210-BA210</f>
        <v>0</v>
      </c>
      <c r="FH210" s="235">
        <f>FI210</f>
        <v>0</v>
      </c>
      <c r="FI210" s="245">
        <f>DC210-BB210</f>
        <v>0</v>
      </c>
      <c r="FJ210" s="235">
        <f>FK210</f>
        <v>0</v>
      </c>
      <c r="FK210" s="245">
        <f>CX210-AW210</f>
        <v>0</v>
      </c>
      <c r="FL210" s="235">
        <f>FM210</f>
        <v>63189</v>
      </c>
      <c r="FM210" s="187">
        <f>DF210-BE210</f>
        <v>63189</v>
      </c>
      <c r="FN210" s="235">
        <f>FO210</f>
        <v>57</v>
      </c>
      <c r="FO210" s="187">
        <f>DH210-BG210</f>
        <v>57</v>
      </c>
      <c r="FP210" s="235">
        <f>FQ210</f>
        <v>57</v>
      </c>
      <c r="FQ210" s="187">
        <f>DJ210-BI210</f>
        <v>57</v>
      </c>
      <c r="FR210" s="245">
        <f>DK210-BJ210</f>
        <v>163.59</v>
      </c>
      <c r="FS210" s="245">
        <f>DL210-BK210</f>
        <v>21</v>
      </c>
      <c r="FT210" s="907">
        <f>DM210-BL210</f>
        <v>0</v>
      </c>
      <c r="FU210" s="907">
        <f>DR210-BO210</f>
        <v>0</v>
      </c>
      <c r="FV210" s="907">
        <f>DO210-BM210</f>
        <v>0</v>
      </c>
      <c r="FW210" s="907">
        <f>DQ210-BN210</f>
        <v>6.3188999999999993</v>
      </c>
      <c r="FX210" s="907">
        <f>DS210-BP210</f>
        <v>0</v>
      </c>
      <c r="FY210" s="801">
        <f t="shared" si="130"/>
        <v>0</v>
      </c>
      <c r="FZ210" s="907">
        <f>DU210-BR210</f>
        <v>-7.4340000000000002</v>
      </c>
      <c r="GA210" s="907">
        <f>DV210-BS210</f>
        <v>0</v>
      </c>
      <c r="GB210" s="894">
        <f>GC210</f>
        <v>-1.1151000000000009</v>
      </c>
      <c r="GC210" s="776">
        <f t="shared" si="126"/>
        <v>-1.1151000000000009</v>
      </c>
      <c r="GD210" s="139"/>
      <c r="GE210" s="139"/>
      <c r="GF210" s="139"/>
      <c r="GG210" s="139"/>
      <c r="GH210" s="139"/>
      <c r="GI210" s="139"/>
      <c r="GJ210" s="139"/>
      <c r="GK210" s="139"/>
      <c r="GL210" s="139"/>
      <c r="GM210" s="139"/>
      <c r="GN210" s="139"/>
      <c r="GO210" s="139"/>
      <c r="GP210" s="139"/>
      <c r="GQ210" s="139"/>
      <c r="GR210" s="139"/>
      <c r="GS210" s="139"/>
      <c r="GT210" s="139"/>
    </row>
    <row r="211" spans="1:202" s="139" customFormat="1" ht="18.75">
      <c r="A211" s="2263"/>
      <c r="B211" s="2263"/>
      <c r="C211" s="132"/>
      <c r="D211" s="132"/>
      <c r="E211" s="132"/>
      <c r="F211" s="777"/>
      <c r="G211" s="137"/>
      <c r="H211" s="132"/>
      <c r="I211" s="136"/>
      <c r="J211" s="132"/>
      <c r="K211" s="132"/>
      <c r="L211" s="132"/>
      <c r="M211" s="132"/>
      <c r="N211" s="134"/>
      <c r="O211" s="134"/>
      <c r="P211" s="134"/>
      <c r="Q211" s="134"/>
      <c r="R211" s="137"/>
      <c r="S211" s="778"/>
      <c r="T211" s="634"/>
      <c r="U211" s="102"/>
      <c r="V211" s="634"/>
      <c r="W211" s="102"/>
      <c r="X211" s="102"/>
      <c r="Y211" s="102"/>
      <c r="Z211" s="634"/>
      <c r="AA211" s="102"/>
      <c r="AB211" s="634"/>
      <c r="AC211" s="102"/>
      <c r="AD211" s="634"/>
      <c r="AE211" s="102"/>
      <c r="AF211" s="102"/>
      <c r="AG211" s="102"/>
      <c r="AH211" s="102"/>
      <c r="AI211" s="634"/>
      <c r="AJ211" s="102"/>
      <c r="AK211" s="634"/>
      <c r="AL211" s="102"/>
      <c r="AM211" s="779"/>
      <c r="AN211" s="634"/>
      <c r="AO211" s="102"/>
      <c r="AP211" s="634"/>
      <c r="AQ211" s="102"/>
      <c r="AR211" s="634"/>
      <c r="AS211" s="102"/>
      <c r="AT211" s="634"/>
      <c r="AU211" s="102"/>
      <c r="AV211" s="634"/>
      <c r="AW211" s="102"/>
      <c r="AX211" s="102"/>
      <c r="AY211" s="102"/>
      <c r="AZ211" s="102"/>
      <c r="BA211" s="102"/>
      <c r="BB211" s="102"/>
      <c r="BC211" s="102"/>
      <c r="BD211" s="634"/>
      <c r="BE211" s="102"/>
      <c r="BF211" s="634"/>
      <c r="BG211" s="102"/>
      <c r="BH211" s="634"/>
      <c r="BI211" s="102"/>
      <c r="BJ211" s="111"/>
      <c r="BK211" s="186"/>
      <c r="BL211" s="102"/>
      <c r="BM211" s="102"/>
      <c r="BN211" s="102"/>
      <c r="BO211" s="102"/>
      <c r="BP211" s="102"/>
      <c r="BQ211" s="102"/>
      <c r="BR211" s="102"/>
      <c r="BS211" s="102"/>
      <c r="BT211" s="634"/>
      <c r="BU211" s="102"/>
      <c r="BW211" s="780"/>
      <c r="CA211" s="781"/>
      <c r="CB211" s="2258"/>
      <c r="CC211" s="782"/>
      <c r="CD211" s="782"/>
      <c r="CE211" s="634"/>
      <c r="CF211" s="783"/>
      <c r="CG211" s="634"/>
      <c r="CH211" s="783"/>
      <c r="CI211" s="634"/>
      <c r="CK211" s="634"/>
      <c r="CM211" s="634"/>
      <c r="CN211" s="784"/>
      <c r="CO211" s="784"/>
      <c r="CP211" s="784"/>
      <c r="CQ211" s="634"/>
      <c r="CR211" s="102"/>
      <c r="CS211" s="784"/>
      <c r="CT211" s="784"/>
      <c r="CU211" s="784"/>
      <c r="CV211" s="784"/>
      <c r="CW211" s="634"/>
      <c r="CX211" s="784"/>
      <c r="CY211" s="784"/>
      <c r="CZ211" s="784"/>
      <c r="DA211" s="784"/>
      <c r="DB211" s="784"/>
      <c r="DC211" s="784"/>
      <c r="DD211" s="784"/>
      <c r="DE211" s="634"/>
      <c r="DF211" s="102"/>
      <c r="DG211" s="634"/>
      <c r="DH211" s="296"/>
      <c r="DI211" s="802"/>
      <c r="DJ211" s="787"/>
      <c r="DK211" s="899"/>
      <c r="DL211" s="772"/>
      <c r="DM211" s="787"/>
      <c r="DN211" s="787"/>
      <c r="DO211" s="787"/>
      <c r="DP211" s="787"/>
      <c r="DQ211" s="787"/>
      <c r="DR211" s="787"/>
      <c r="DS211" s="787"/>
      <c r="DT211" s="787"/>
      <c r="DU211" s="787"/>
      <c r="DV211" s="787"/>
      <c r="DW211" s="802"/>
      <c r="DX211" s="788"/>
      <c r="DY211" s="634"/>
      <c r="DZ211" s="2288"/>
      <c r="EA211" s="2231"/>
      <c r="EB211" s="187"/>
      <c r="EC211" s="2232"/>
      <c r="ED211" s="187"/>
      <c r="EE211" s="187"/>
      <c r="EF211" s="2232"/>
      <c r="EG211" s="187"/>
      <c r="EH211" s="2232"/>
      <c r="EI211" s="187"/>
      <c r="EJ211" s="2232"/>
      <c r="EK211" s="187"/>
      <c r="EL211" s="2232"/>
      <c r="EM211" s="195"/>
      <c r="EN211" s="2232"/>
      <c r="EO211" s="195"/>
      <c r="EP211" s="2232"/>
      <c r="EQ211" s="187"/>
      <c r="ER211" s="2232"/>
      <c r="ES211" s="187"/>
      <c r="ET211" s="2232"/>
      <c r="EU211" s="187">
        <f t="shared" si="125"/>
        <v>0</v>
      </c>
      <c r="EV211" s="2232"/>
      <c r="EW211" s="187"/>
      <c r="EX211" s="2232"/>
      <c r="EY211" s="195"/>
      <c r="EZ211" s="2232"/>
      <c r="FA211" s="195"/>
      <c r="FB211" s="2232"/>
      <c r="FC211" s="195"/>
      <c r="FD211" s="2232"/>
      <c r="FE211" s="195"/>
      <c r="FF211" s="2232"/>
      <c r="FG211" s="195"/>
      <c r="FH211" s="2232"/>
      <c r="FI211" s="195"/>
      <c r="FJ211" s="2232"/>
      <c r="FK211" s="195"/>
      <c r="FL211" s="2232"/>
      <c r="FM211" s="187"/>
      <c r="FN211" s="2232"/>
      <c r="FO211" s="187"/>
      <c r="FP211" s="2232"/>
      <c r="FQ211" s="187"/>
      <c r="FR211" s="195"/>
      <c r="FS211" s="195"/>
      <c r="FT211" s="789"/>
      <c r="FU211" s="789"/>
      <c r="FV211" s="789"/>
      <c r="FW211" s="789"/>
      <c r="FX211" s="789"/>
      <c r="FY211" s="801">
        <f t="shared" si="130"/>
        <v>0</v>
      </c>
      <c r="FZ211" s="789"/>
      <c r="GA211" s="789"/>
      <c r="GB211" s="2289"/>
      <c r="GC211" s="776"/>
    </row>
    <row r="212" spans="1:202" s="228" customFormat="1" ht="18.75">
      <c r="A212" s="216"/>
      <c r="B212" s="216">
        <v>78</v>
      </c>
      <c r="C212" s="918" t="s">
        <v>703</v>
      </c>
      <c r="D212" s="218">
        <v>2873</v>
      </c>
      <c r="E212" s="218">
        <v>1</v>
      </c>
      <c r="F212" s="218">
        <v>2028730001</v>
      </c>
      <c r="G212" s="223">
        <v>11215</v>
      </c>
      <c r="H212" s="218" t="s">
        <v>726</v>
      </c>
      <c r="I212" s="222" t="s">
        <v>727</v>
      </c>
      <c r="J212" s="218">
        <v>0.87</v>
      </c>
      <c r="K212" s="218">
        <v>4</v>
      </c>
      <c r="L212" s="218">
        <v>0</v>
      </c>
      <c r="M212" s="218">
        <v>4.8</v>
      </c>
      <c r="N212" s="220">
        <v>9800</v>
      </c>
      <c r="O212" s="220">
        <v>0</v>
      </c>
      <c r="P212" s="220">
        <v>0</v>
      </c>
      <c r="Q212" s="220">
        <v>9800</v>
      </c>
      <c r="R212" s="223">
        <v>0</v>
      </c>
      <c r="S212" s="898" t="s">
        <v>896</v>
      </c>
      <c r="T212" s="234">
        <f>U212</f>
        <v>0</v>
      </c>
      <c r="U212" s="111">
        <f>Q212-N212</f>
        <v>0</v>
      </c>
      <c r="V212" s="234">
        <f>W212</f>
        <v>9800</v>
      </c>
      <c r="W212" s="111">
        <f>N212</f>
        <v>9800</v>
      </c>
      <c r="X212" s="111"/>
      <c r="Y212" s="111">
        <f>W212-AA212</f>
        <v>9800</v>
      </c>
      <c r="Z212" s="234">
        <f>AA212</f>
        <v>0</v>
      </c>
      <c r="AA212" s="111">
        <v>0</v>
      </c>
      <c r="AB212" s="234">
        <f>AC212</f>
        <v>0</v>
      </c>
      <c r="AC212" s="111">
        <v>0</v>
      </c>
      <c r="AD212" s="234">
        <f>AE212</f>
        <v>0</v>
      </c>
      <c r="AE212" s="111">
        <f>AF212+AG212</f>
        <v>0</v>
      </c>
      <c r="AF212" s="111">
        <v>0</v>
      </c>
      <c r="AG212" s="111">
        <v>0</v>
      </c>
      <c r="AH212" s="111">
        <v>0</v>
      </c>
      <c r="AI212" s="234">
        <f>AJ212</f>
        <v>0</v>
      </c>
      <c r="AJ212" s="111">
        <f>P212</f>
        <v>0</v>
      </c>
      <c r="AK212" s="234">
        <f>AL212</f>
        <v>0</v>
      </c>
      <c r="AL212" s="111">
        <f>W212-(AA212+AC212+AE212+AH212+AJ212+AM212+AW212+AO212+AQ212+AS212+AU212)</f>
        <v>0</v>
      </c>
      <c r="AM212" s="899">
        <v>0</v>
      </c>
      <c r="AN212" s="234">
        <f>AO212</f>
        <v>0</v>
      </c>
      <c r="AO212" s="111">
        <v>0</v>
      </c>
      <c r="AP212" s="234">
        <f>AQ212</f>
        <v>0</v>
      </c>
      <c r="AQ212" s="111">
        <v>0</v>
      </c>
      <c r="AR212" s="234">
        <f>AS212</f>
        <v>0</v>
      </c>
      <c r="AS212" s="111">
        <v>0</v>
      </c>
      <c r="AT212" s="234">
        <f>AU212</f>
        <v>0</v>
      </c>
      <c r="AU212" s="111">
        <v>0</v>
      </c>
      <c r="AV212" s="234">
        <f>AW212</f>
        <v>9800</v>
      </c>
      <c r="AW212" s="111">
        <f>AX212+AY212+AZ212+BA212+BB212</f>
        <v>9800</v>
      </c>
      <c r="AX212" s="111">
        <v>0</v>
      </c>
      <c r="AY212" s="111">
        <v>9800</v>
      </c>
      <c r="AZ212" s="111">
        <v>0</v>
      </c>
      <c r="BA212" s="111">
        <v>0</v>
      </c>
      <c r="BB212" s="111">
        <v>0</v>
      </c>
      <c r="BC212" s="111">
        <v>0</v>
      </c>
      <c r="BD212" s="234">
        <f>BE212</f>
        <v>9800</v>
      </c>
      <c r="BE212" s="111">
        <f>U212+W212</f>
        <v>9800</v>
      </c>
      <c r="BF212" s="234">
        <f>BG212</f>
        <v>0</v>
      </c>
      <c r="BG212" s="111">
        <v>0</v>
      </c>
      <c r="BH212" s="234">
        <f>BI212</f>
        <v>0</v>
      </c>
      <c r="BI212" s="111">
        <f>'[1]Projected Development Sites'!BG$135*BG212</f>
        <v>0</v>
      </c>
      <c r="BJ212" s="111">
        <f t="shared" si="127"/>
        <v>0</v>
      </c>
      <c r="BK212" s="306">
        <f>ROUND((AL212+AC212+AA212)/1000*3,0)+ROUND((AE212+AU212)/1000,0)+ROUND((ROUND(AH212/400,0))/2.67,0)+ROUND(AJ212/250,0)+ROUND(AO212/15000,0)+ROUND((AX212+AY212+AZ212+BB212)/1000*3,0)+ROUND(BG212/25,0)+ROUND(BU212/50,0)</f>
        <v>29</v>
      </c>
      <c r="BL212" s="111">
        <v>0</v>
      </c>
      <c r="BM212" s="111">
        <v>0</v>
      </c>
      <c r="BN212" s="111">
        <v>0</v>
      </c>
      <c r="BO212" s="111">
        <v>0</v>
      </c>
      <c r="BP212" s="111">
        <v>0</v>
      </c>
      <c r="BQ212" s="111">
        <v>0</v>
      </c>
      <c r="BR212" s="111">
        <v>0</v>
      </c>
      <c r="BS212" s="111">
        <v>0</v>
      </c>
      <c r="BT212" s="234">
        <f>BU212</f>
        <v>0</v>
      </c>
      <c r="BU212" s="111">
        <v>0</v>
      </c>
      <c r="BV212" s="228">
        <v>30</v>
      </c>
      <c r="BW212" s="900" t="s">
        <v>741</v>
      </c>
      <c r="BX212" s="228">
        <v>7.2</v>
      </c>
      <c r="BY212" s="228">
        <v>2</v>
      </c>
      <c r="BZ212" s="228">
        <v>6.5</v>
      </c>
      <c r="CA212" s="923" t="s">
        <v>706</v>
      </c>
      <c r="CB212" s="230" t="s">
        <v>866</v>
      </c>
      <c r="CC212" s="399">
        <f>(BX212*G212)-CF212</f>
        <v>70948</v>
      </c>
      <c r="CD212" s="399">
        <v>70948</v>
      </c>
      <c r="CE212" s="234">
        <f>CF212</f>
        <v>9800</v>
      </c>
      <c r="CF212" s="902">
        <f>W212</f>
        <v>9800</v>
      </c>
      <c r="CG212" s="234">
        <f>CH212</f>
        <v>9800</v>
      </c>
      <c r="CH212" s="902">
        <f>CF212-CJ212</f>
        <v>9800</v>
      </c>
      <c r="CI212" s="234">
        <f>CJ212</f>
        <v>0</v>
      </c>
      <c r="CJ212" s="228">
        <v>0</v>
      </c>
      <c r="CK212" s="234">
        <f>CL212</f>
        <v>0</v>
      </c>
      <c r="CL212" s="228">
        <v>0</v>
      </c>
      <c r="CM212" s="234">
        <f>CN212</f>
        <v>0</v>
      </c>
      <c r="CN212" s="111">
        <f>CF212-(CJ212+CL212+CO212+CP212+CR212+CU212+CV212+CX212)</f>
        <v>0</v>
      </c>
      <c r="CO212" s="903">
        <v>0</v>
      </c>
      <c r="CP212" s="903">
        <v>0</v>
      </c>
      <c r="CQ212" s="234">
        <f>CR212</f>
        <v>0</v>
      </c>
      <c r="CR212" s="111">
        <v>0</v>
      </c>
      <c r="CS212" s="903">
        <v>0</v>
      </c>
      <c r="CT212" s="903">
        <v>0</v>
      </c>
      <c r="CU212" s="903">
        <v>0</v>
      </c>
      <c r="CV212" s="903">
        <v>0</v>
      </c>
      <c r="CW212" s="234">
        <f>CX212</f>
        <v>9800</v>
      </c>
      <c r="CX212" s="111">
        <f>SUM(CY212:DC212)</f>
        <v>9800</v>
      </c>
      <c r="CY212" s="903">
        <f>AX212</f>
        <v>0</v>
      </c>
      <c r="CZ212" s="903">
        <f>AY212</f>
        <v>9800</v>
      </c>
      <c r="DA212" s="903">
        <f>AZ212</f>
        <v>0</v>
      </c>
      <c r="DB212" s="903">
        <f>BA212</f>
        <v>0</v>
      </c>
      <c r="DC212" s="903">
        <f>BB212</f>
        <v>0</v>
      </c>
      <c r="DD212" s="903"/>
      <c r="DE212" s="234">
        <f>DF212</f>
        <v>80748</v>
      </c>
      <c r="DF212" s="111">
        <f>CC212+CF212</f>
        <v>80748</v>
      </c>
      <c r="DG212" s="234">
        <f>DH212</f>
        <v>71</v>
      </c>
      <c r="DH212" s="228">
        <f>ROUND(CC212/'[1]Projected Development Sites'!DF$134,0)</f>
        <v>71</v>
      </c>
      <c r="DI212" s="886">
        <f>DJ212</f>
        <v>71</v>
      </c>
      <c r="DJ212" s="905">
        <f>'[1]Projected Development Sites'!DK$136*DH212</f>
        <v>71</v>
      </c>
      <c r="DK212" s="899">
        <f>2.87*DH212</f>
        <v>203.77</v>
      </c>
      <c r="DL212" s="772">
        <f>ROUND((CN212+CL212+CJ212)/1000*3,0)+ROUND((ROUND(CP212/400,0))/2.67,0)+ROUND(CV212/1000,0)+ROUND((CY212+CZ212+DA212+DC212)/1000*3,0)+ROUND(DH212/25,0)+ROUND(DX212/50,0)</f>
        <v>32</v>
      </c>
      <c r="DM212" s="905">
        <v>0</v>
      </c>
      <c r="DN212" s="905"/>
      <c r="DO212" s="905">
        <v>0</v>
      </c>
      <c r="DP212" s="905">
        <f>0.25*DJ212</f>
        <v>17.75</v>
      </c>
      <c r="DQ212" s="905">
        <f>SUM(CO212,CJ212,CN212,CR212,CU212)/1000</f>
        <v>0</v>
      </c>
      <c r="DR212" s="905">
        <f>CL212/1000</f>
        <v>0</v>
      </c>
      <c r="DS212" s="905">
        <f>((CP212/400)/12)</f>
        <v>0</v>
      </c>
      <c r="DT212" s="905">
        <v>0</v>
      </c>
      <c r="DU212" s="905">
        <v>0</v>
      </c>
      <c r="DV212" s="905">
        <f>CX212/1000</f>
        <v>9.8000000000000007</v>
      </c>
      <c r="DW212" s="886">
        <f>DX212</f>
        <v>9.8000000000000007</v>
      </c>
      <c r="DX212" s="906">
        <f>SUM(DM212,DO212,DQ212:DV212)</f>
        <v>9.8000000000000007</v>
      </c>
      <c r="DY212" s="837">
        <v>145</v>
      </c>
      <c r="DZ212" s="2288">
        <f>CD212-T212</f>
        <v>70948</v>
      </c>
      <c r="EA212" s="2231">
        <f>CE212-V212</f>
        <v>0</v>
      </c>
      <c r="EB212" s="187">
        <f>CF212-W212</f>
        <v>0</v>
      </c>
      <c r="EC212" s="235">
        <f>ED212</f>
        <v>0</v>
      </c>
      <c r="ED212" s="187">
        <v>0</v>
      </c>
      <c r="EE212" s="187">
        <f>(SUM(CJ212:CO212))-(SUM(AA212:AE212,AL212))</f>
        <v>0</v>
      </c>
      <c r="EF212" s="235">
        <f>EG212</f>
        <v>0</v>
      </c>
      <c r="EG212" s="187">
        <v>0</v>
      </c>
      <c r="EH212" s="235">
        <f>EI212</f>
        <v>0</v>
      </c>
      <c r="EI212" s="187">
        <f>CL212-AC212</f>
        <v>0</v>
      </c>
      <c r="EJ212" s="235">
        <f>EK212</f>
        <v>0</v>
      </c>
      <c r="EK212" s="187">
        <f>CJ212-AA212</f>
        <v>0</v>
      </c>
      <c r="EL212" s="235">
        <f>EM212</f>
        <v>0</v>
      </c>
      <c r="EM212" s="245">
        <f>CO212-AE212</f>
        <v>0</v>
      </c>
      <c r="EN212" s="235">
        <f>EO212</f>
        <v>0</v>
      </c>
      <c r="EO212" s="245">
        <f>CP212-AH212</f>
        <v>0</v>
      </c>
      <c r="EP212" s="235">
        <f>EQ212</f>
        <v>0</v>
      </c>
      <c r="EQ212" s="187">
        <f>CR212-AJ212</f>
        <v>0</v>
      </c>
      <c r="ER212" s="235">
        <f>ES212</f>
        <v>0</v>
      </c>
      <c r="ES212" s="187">
        <f>CS212-AO212</f>
        <v>0</v>
      </c>
      <c r="ET212" s="235">
        <f>EU212</f>
        <v>0</v>
      </c>
      <c r="EU212" s="187">
        <f t="shared" si="125"/>
        <v>0</v>
      </c>
      <c r="EV212" s="235">
        <f>EW212</f>
        <v>0</v>
      </c>
      <c r="EW212" s="187">
        <f>CU212-AS212</f>
        <v>0</v>
      </c>
      <c r="EX212" s="235">
        <f>EY212</f>
        <v>0</v>
      </c>
      <c r="EY212" s="245">
        <f>CV212-AU212</f>
        <v>0</v>
      </c>
      <c r="EZ212" s="235">
        <f>FA212</f>
        <v>0</v>
      </c>
      <c r="FA212" s="245">
        <f>CY212-AX212</f>
        <v>0</v>
      </c>
      <c r="FB212" s="235">
        <f>FC212</f>
        <v>0</v>
      </c>
      <c r="FC212" s="245">
        <f>CZ212-AY212</f>
        <v>0</v>
      </c>
      <c r="FD212" s="235">
        <f>FE212</f>
        <v>0</v>
      </c>
      <c r="FE212" s="245">
        <f>DA212-AZ212</f>
        <v>0</v>
      </c>
      <c r="FF212" s="235">
        <f>FG212</f>
        <v>0</v>
      </c>
      <c r="FG212" s="245">
        <f>DB212-BA212</f>
        <v>0</v>
      </c>
      <c r="FH212" s="235">
        <f>FI212</f>
        <v>0</v>
      </c>
      <c r="FI212" s="245">
        <f>DC212-BB212</f>
        <v>0</v>
      </c>
      <c r="FJ212" s="235">
        <f>FK212</f>
        <v>0</v>
      </c>
      <c r="FK212" s="245">
        <f>CX212-AW212</f>
        <v>0</v>
      </c>
      <c r="FL212" s="235">
        <f>FM212</f>
        <v>70948</v>
      </c>
      <c r="FM212" s="187">
        <f>DF212-BE212</f>
        <v>70948</v>
      </c>
      <c r="FN212" s="235">
        <f>FO212</f>
        <v>71</v>
      </c>
      <c r="FO212" s="187">
        <f>DH212-BG212</f>
        <v>71</v>
      </c>
      <c r="FP212" s="235">
        <f>FQ212</f>
        <v>71</v>
      </c>
      <c r="FQ212" s="187">
        <f>DJ212-BI212</f>
        <v>71</v>
      </c>
      <c r="FR212" s="245">
        <f>DK212-BJ212</f>
        <v>203.77</v>
      </c>
      <c r="FS212" s="245">
        <f>DL212-BK212</f>
        <v>3</v>
      </c>
      <c r="FT212" s="907">
        <f>DM212-BL212</f>
        <v>0</v>
      </c>
      <c r="FU212" s="907">
        <f>DR212-BO212</f>
        <v>0</v>
      </c>
      <c r="FV212" s="907">
        <f>DO212-BM212</f>
        <v>0</v>
      </c>
      <c r="FW212" s="907">
        <f>DQ212-BN212</f>
        <v>0</v>
      </c>
      <c r="FX212" s="907">
        <f>DS212-BP212</f>
        <v>0</v>
      </c>
      <c r="FY212" s="801">
        <f t="shared" si="130"/>
        <v>0</v>
      </c>
      <c r="FZ212" s="907">
        <f>DU212-BR212</f>
        <v>0</v>
      </c>
      <c r="GA212" s="907">
        <f>DV212-BS212</f>
        <v>9.8000000000000007</v>
      </c>
      <c r="GB212" s="894">
        <f>GC212</f>
        <v>9.8000000000000007</v>
      </c>
      <c r="GC212" s="776">
        <f t="shared" si="126"/>
        <v>9.8000000000000007</v>
      </c>
      <c r="GD212" s="139"/>
      <c r="GE212" s="139"/>
      <c r="GF212" s="139"/>
      <c r="GG212" s="139"/>
      <c r="GH212" s="139"/>
      <c r="GI212" s="139"/>
      <c r="GJ212" s="139"/>
      <c r="GK212" s="139"/>
      <c r="GL212" s="139"/>
      <c r="GM212" s="139"/>
      <c r="GN212" s="139"/>
      <c r="GO212" s="139"/>
      <c r="GP212" s="139"/>
      <c r="GQ212" s="139"/>
      <c r="GR212" s="139"/>
      <c r="GS212" s="139"/>
      <c r="GT212" s="139"/>
    </row>
    <row r="213" spans="1:202" s="139" customFormat="1" ht="18.75">
      <c r="A213" s="2263"/>
      <c r="B213" s="2263"/>
      <c r="C213" s="913"/>
      <c r="D213" s="132"/>
      <c r="E213" s="132"/>
      <c r="F213" s="132"/>
      <c r="G213" s="137"/>
      <c r="H213" s="132"/>
      <c r="I213" s="136"/>
      <c r="J213" s="132"/>
      <c r="K213" s="132"/>
      <c r="L213" s="132"/>
      <c r="M213" s="132"/>
      <c r="N213" s="134"/>
      <c r="O213" s="134"/>
      <c r="P213" s="134"/>
      <c r="Q213" s="134"/>
      <c r="R213" s="137"/>
      <c r="S213" s="778"/>
      <c r="T213" s="634"/>
      <c r="U213" s="102"/>
      <c r="V213" s="634"/>
      <c r="W213" s="102"/>
      <c r="X213" s="102"/>
      <c r="Y213" s="102"/>
      <c r="Z213" s="634"/>
      <c r="AA213" s="102"/>
      <c r="AB213" s="634"/>
      <c r="AC213" s="102"/>
      <c r="AD213" s="634"/>
      <c r="AE213" s="102"/>
      <c r="AF213" s="102"/>
      <c r="AG213" s="102"/>
      <c r="AH213" s="102"/>
      <c r="AI213" s="634"/>
      <c r="AJ213" s="102"/>
      <c r="AK213" s="634"/>
      <c r="AL213" s="102"/>
      <c r="AM213" s="779"/>
      <c r="AN213" s="634"/>
      <c r="AO213" s="102"/>
      <c r="AP213" s="634"/>
      <c r="AQ213" s="102"/>
      <c r="AR213" s="634"/>
      <c r="AS213" s="102"/>
      <c r="AT213" s="634"/>
      <c r="AU213" s="102"/>
      <c r="AV213" s="634"/>
      <c r="AW213" s="102"/>
      <c r="AX213" s="102"/>
      <c r="AY213" s="102"/>
      <c r="AZ213" s="102"/>
      <c r="BA213" s="102"/>
      <c r="BB213" s="102"/>
      <c r="BC213" s="102"/>
      <c r="BD213" s="634"/>
      <c r="BE213" s="102"/>
      <c r="BF213" s="634"/>
      <c r="BG213" s="102"/>
      <c r="BH213" s="634"/>
      <c r="BI213" s="102"/>
      <c r="BJ213" s="111"/>
      <c r="BK213" s="186"/>
      <c r="BL213" s="102"/>
      <c r="BM213" s="102"/>
      <c r="BN213" s="102"/>
      <c r="BO213" s="102"/>
      <c r="BP213" s="102"/>
      <c r="BQ213" s="102"/>
      <c r="BR213" s="102"/>
      <c r="BS213" s="102"/>
      <c r="BT213" s="634"/>
      <c r="BU213" s="102"/>
      <c r="BW213" s="780"/>
      <c r="CA213" s="627"/>
      <c r="CB213" s="2258"/>
      <c r="CC213" s="782"/>
      <c r="CD213" s="782"/>
      <c r="CE213" s="634"/>
      <c r="CF213" s="783"/>
      <c r="CG213" s="634"/>
      <c r="CH213" s="783"/>
      <c r="CI213" s="634"/>
      <c r="CK213" s="634"/>
      <c r="CM213" s="634"/>
      <c r="CN213" s="784"/>
      <c r="CO213" s="784"/>
      <c r="CP213" s="784"/>
      <c r="CQ213" s="634"/>
      <c r="CR213" s="102"/>
      <c r="CS213" s="784"/>
      <c r="CT213" s="784"/>
      <c r="CU213" s="784"/>
      <c r="CV213" s="784"/>
      <c r="CW213" s="634"/>
      <c r="CX213" s="784"/>
      <c r="CY213" s="784"/>
      <c r="CZ213" s="784"/>
      <c r="DA213" s="784"/>
      <c r="DB213" s="784"/>
      <c r="DC213" s="784"/>
      <c r="DD213" s="784"/>
      <c r="DE213" s="634"/>
      <c r="DF213" s="784"/>
      <c r="DG213" s="634"/>
      <c r="DI213" s="802"/>
      <c r="DJ213" s="787"/>
      <c r="DK213" s="899"/>
      <c r="DL213" s="772"/>
      <c r="DM213" s="787"/>
      <c r="DN213" s="787"/>
      <c r="DO213" s="787"/>
      <c r="DP213" s="787"/>
      <c r="DQ213" s="787"/>
      <c r="DR213" s="787"/>
      <c r="DS213" s="787"/>
      <c r="DT213" s="787"/>
      <c r="DU213" s="787"/>
      <c r="DV213" s="787"/>
      <c r="DW213" s="802"/>
      <c r="DX213" s="788"/>
      <c r="DY213" s="634"/>
      <c r="DZ213" s="2288"/>
      <c r="EA213" s="2231"/>
      <c r="EB213" s="187"/>
      <c r="EC213" s="2232"/>
      <c r="ED213" s="187"/>
      <c r="EE213" s="187"/>
      <c r="EF213" s="2232"/>
      <c r="EG213" s="187"/>
      <c r="EH213" s="2232"/>
      <c r="EI213" s="187"/>
      <c r="EJ213" s="2232"/>
      <c r="EK213" s="187"/>
      <c r="EL213" s="2232"/>
      <c r="EM213" s="195"/>
      <c r="EN213" s="2232"/>
      <c r="EO213" s="195"/>
      <c r="EP213" s="2232"/>
      <c r="EQ213" s="187"/>
      <c r="ER213" s="2232"/>
      <c r="ES213" s="187"/>
      <c r="ET213" s="2232"/>
      <c r="EU213" s="187">
        <f t="shared" si="125"/>
        <v>0</v>
      </c>
      <c r="EV213" s="2232"/>
      <c r="EW213" s="187"/>
      <c r="EX213" s="2232"/>
      <c r="EY213" s="195"/>
      <c r="EZ213" s="2232"/>
      <c r="FA213" s="195"/>
      <c r="FB213" s="2232"/>
      <c r="FC213" s="195"/>
      <c r="FD213" s="2232"/>
      <c r="FE213" s="195"/>
      <c r="FF213" s="2232"/>
      <c r="FG213" s="195"/>
      <c r="FH213" s="2232"/>
      <c r="FI213" s="195"/>
      <c r="FJ213" s="2232"/>
      <c r="FK213" s="195"/>
      <c r="FL213" s="2232"/>
      <c r="FM213" s="187"/>
      <c r="FN213" s="2232"/>
      <c r="FO213" s="187"/>
      <c r="FP213" s="2232"/>
      <c r="FQ213" s="187"/>
      <c r="FR213" s="195"/>
      <c r="FS213" s="195"/>
      <c r="FT213" s="789"/>
      <c r="FU213" s="789"/>
      <c r="FV213" s="789"/>
      <c r="FW213" s="789"/>
      <c r="FX213" s="789"/>
      <c r="FY213" s="801">
        <f t="shared" si="130"/>
        <v>0</v>
      </c>
      <c r="FZ213" s="789"/>
      <c r="GA213" s="789"/>
      <c r="GB213" s="2289"/>
      <c r="GC213" s="776"/>
    </row>
    <row r="214" spans="1:202" s="228" customFormat="1" ht="18.75">
      <c r="A214" s="216"/>
      <c r="B214" s="216">
        <v>79</v>
      </c>
      <c r="C214" s="218" t="s">
        <v>703</v>
      </c>
      <c r="D214" s="218">
        <v>2874</v>
      </c>
      <c r="E214" s="218">
        <v>1</v>
      </c>
      <c r="F214" s="897">
        <v>2028740001</v>
      </c>
      <c r="G214" s="223">
        <v>2983</v>
      </c>
      <c r="H214" s="218" t="s">
        <v>726</v>
      </c>
      <c r="I214" s="222" t="s">
        <v>727</v>
      </c>
      <c r="J214" s="218">
        <v>0</v>
      </c>
      <c r="K214" s="218">
        <v>4</v>
      </c>
      <c r="L214" s="218">
        <v>0</v>
      </c>
      <c r="M214" s="218">
        <v>4.8</v>
      </c>
      <c r="N214" s="220">
        <v>0</v>
      </c>
      <c r="O214" s="220">
        <v>0</v>
      </c>
      <c r="P214" s="220">
        <v>0</v>
      </c>
      <c r="Q214" s="220">
        <v>0</v>
      </c>
      <c r="R214" s="223">
        <v>0</v>
      </c>
      <c r="S214" s="898" t="s">
        <v>897</v>
      </c>
      <c r="T214" s="234">
        <f>U214</f>
        <v>0</v>
      </c>
      <c r="U214" s="111">
        <v>0</v>
      </c>
      <c r="V214" s="234">
        <f>W214</f>
        <v>0</v>
      </c>
      <c r="W214" s="111">
        <f>N214</f>
        <v>0</v>
      </c>
      <c r="X214" s="111"/>
      <c r="Y214" s="111">
        <f>W214-AA214</f>
        <v>0</v>
      </c>
      <c r="Z214" s="234">
        <f>AA214</f>
        <v>0</v>
      </c>
      <c r="AA214" s="111">
        <v>0</v>
      </c>
      <c r="AB214" s="234">
        <f>AC214</f>
        <v>0</v>
      </c>
      <c r="AC214" s="111">
        <v>0</v>
      </c>
      <c r="AD214" s="234">
        <f>AE214</f>
        <v>0</v>
      </c>
      <c r="AE214" s="111">
        <f>AG214+AF214</f>
        <v>0</v>
      </c>
      <c r="AF214" s="111">
        <v>0</v>
      </c>
      <c r="AG214" s="111">
        <v>0</v>
      </c>
      <c r="AH214" s="111">
        <v>0</v>
      </c>
      <c r="AI214" s="234">
        <f>AJ214</f>
        <v>0</v>
      </c>
      <c r="AJ214" s="111">
        <v>0</v>
      </c>
      <c r="AK214" s="234">
        <f>AL214</f>
        <v>0</v>
      </c>
      <c r="AL214" s="111">
        <f>W214-(AA214+AC214+AE214+AH214+AJ214+AM214+AW214+AO214+AQ214+AS214+AU214)</f>
        <v>0</v>
      </c>
      <c r="AM214" s="899">
        <v>0</v>
      </c>
      <c r="AN214" s="234">
        <f>AO214</f>
        <v>0</v>
      </c>
      <c r="AO214" s="111">
        <v>0</v>
      </c>
      <c r="AP214" s="234">
        <f>AQ214</f>
        <v>0</v>
      </c>
      <c r="AQ214" s="111">
        <v>0</v>
      </c>
      <c r="AR214" s="234">
        <f>AS214</f>
        <v>0</v>
      </c>
      <c r="AS214" s="111">
        <v>0</v>
      </c>
      <c r="AT214" s="234">
        <f>AU214</f>
        <v>0</v>
      </c>
      <c r="AU214" s="111">
        <v>0</v>
      </c>
      <c r="AV214" s="234">
        <f>AW214</f>
        <v>0</v>
      </c>
      <c r="AW214" s="111">
        <f>AX214+AY214+AZ214+BA214+BB214</f>
        <v>0</v>
      </c>
      <c r="AX214" s="111">
        <v>0</v>
      </c>
      <c r="AY214" s="111">
        <v>0</v>
      </c>
      <c r="AZ214" s="111">
        <v>0</v>
      </c>
      <c r="BA214" s="111">
        <v>0</v>
      </c>
      <c r="BB214" s="111">
        <v>0</v>
      </c>
      <c r="BC214" s="111">
        <v>0</v>
      </c>
      <c r="BD214" s="234">
        <f>BE214</f>
        <v>0</v>
      </c>
      <c r="BE214" s="111">
        <f>U214+W214</f>
        <v>0</v>
      </c>
      <c r="BF214" s="234">
        <f>BG214</f>
        <v>0</v>
      </c>
      <c r="BG214" s="111">
        <f>U214/1000</f>
        <v>0</v>
      </c>
      <c r="BH214" s="234">
        <f>BI214</f>
        <v>0</v>
      </c>
      <c r="BI214" s="111">
        <v>0</v>
      </c>
      <c r="BJ214" s="111">
        <f t="shared" si="127"/>
        <v>0</v>
      </c>
      <c r="BK214" s="306">
        <f>ROUND((AL214+AC214+AA214)/1000*3,0)+ROUND((AE214+AU214)/1000,0)+ROUND((ROUND(AH214/400,0))/2.67,0)+ROUND(AJ214/250,0)+ROUND(AO214/15000,0)+ROUND((AX214+AY214+AZ214+BB214)/1000*3,0)+ROUND(BG214/25,0)+ROUND(BU214/50,0)</f>
        <v>0</v>
      </c>
      <c r="BL214" s="111">
        <v>0</v>
      </c>
      <c r="BM214" s="111">
        <v>0</v>
      </c>
      <c r="BN214" s="111">
        <v>0</v>
      </c>
      <c r="BO214" s="111">
        <f>AC214/1000</f>
        <v>0</v>
      </c>
      <c r="BP214" s="111">
        <f>AH214/1000</f>
        <v>0</v>
      </c>
      <c r="BQ214" s="111">
        <v>0</v>
      </c>
      <c r="BR214" s="111">
        <v>0</v>
      </c>
      <c r="BS214" s="111">
        <v>0</v>
      </c>
      <c r="BT214" s="234">
        <f>BU214</f>
        <v>0</v>
      </c>
      <c r="BU214" s="111">
        <f>SUM(BL214:BS214)</f>
        <v>0</v>
      </c>
      <c r="BV214" s="228">
        <v>0</v>
      </c>
      <c r="BW214" s="900" t="s">
        <v>741</v>
      </c>
      <c r="BX214" s="228">
        <v>7.2</v>
      </c>
      <c r="BY214" s="228">
        <v>2</v>
      </c>
      <c r="BZ214" s="228">
        <v>6.5</v>
      </c>
      <c r="CA214" s="901" t="s">
        <v>706</v>
      </c>
      <c r="CB214" s="230" t="s">
        <v>716</v>
      </c>
      <c r="CC214" s="399">
        <f>(BX214*G214)-CF214</f>
        <v>18942.050000000003</v>
      </c>
      <c r="CD214" s="399">
        <v>18942.050000000003</v>
      </c>
      <c r="CE214" s="234">
        <f>CF214</f>
        <v>2535.5500000000002</v>
      </c>
      <c r="CF214" s="836">
        <f>1*(G214)-(0.15*1*(G214))</f>
        <v>2535.5500000000002</v>
      </c>
      <c r="CG214" s="234">
        <f>CH214</f>
        <v>2535.5500000000002</v>
      </c>
      <c r="CH214" s="836">
        <f>CF214-CJ214</f>
        <v>2535.5500000000002</v>
      </c>
      <c r="CI214" s="234">
        <f>CJ214</f>
        <v>0</v>
      </c>
      <c r="CJ214" s="228">
        <v>0</v>
      </c>
      <c r="CK214" s="234">
        <f>CL214</f>
        <v>0</v>
      </c>
      <c r="CL214" s="228">
        <v>0</v>
      </c>
      <c r="CM214" s="234">
        <f>CN214</f>
        <v>2535.5500000000002</v>
      </c>
      <c r="CN214" s="903">
        <f>CF214-(CJ214+CL214+CO214+CP214+CR214+CU214+CV214+CX214)</f>
        <v>2535.5500000000002</v>
      </c>
      <c r="CO214" s="903">
        <v>0</v>
      </c>
      <c r="CP214" s="903">
        <v>0</v>
      </c>
      <c r="CQ214" s="234">
        <f>CR214</f>
        <v>0</v>
      </c>
      <c r="CR214" s="111">
        <v>0</v>
      </c>
      <c r="CS214" s="903">
        <v>0</v>
      </c>
      <c r="CT214" s="903">
        <v>0</v>
      </c>
      <c r="CU214" s="903">
        <v>0</v>
      </c>
      <c r="CV214" s="903">
        <v>0</v>
      </c>
      <c r="CW214" s="234">
        <f>CX214</f>
        <v>0</v>
      </c>
      <c r="CX214" s="111">
        <f>SUM(CY214:DC214)</f>
        <v>0</v>
      </c>
      <c r="CY214" s="903">
        <f>AX214</f>
        <v>0</v>
      </c>
      <c r="CZ214" s="903">
        <f>AY214</f>
        <v>0</v>
      </c>
      <c r="DA214" s="903">
        <f>AZ214</f>
        <v>0</v>
      </c>
      <c r="DB214" s="903">
        <f>BA214</f>
        <v>0</v>
      </c>
      <c r="DC214" s="903">
        <f>BB214</f>
        <v>0</v>
      </c>
      <c r="DD214" s="903"/>
      <c r="DE214" s="234">
        <f>DF214</f>
        <v>21477.600000000002</v>
      </c>
      <c r="DF214" s="903">
        <f>CC214+CF214</f>
        <v>21477.600000000002</v>
      </c>
      <c r="DG214" s="234">
        <f>DH214</f>
        <v>18.942050000000002</v>
      </c>
      <c r="DH214" s="904">
        <f>CC214/'[1]Projected Development Sites'!DF$134</f>
        <v>18.942050000000002</v>
      </c>
      <c r="DI214" s="886">
        <f>DJ214</f>
        <v>18.942050000000002</v>
      </c>
      <c r="DJ214" s="803">
        <f>'[1]Projected Development Sites'!DK$136*DH214</f>
        <v>18.942050000000002</v>
      </c>
      <c r="DK214" s="899">
        <f>2.87*DH214</f>
        <v>54.363683500000008</v>
      </c>
      <c r="DL214" s="772">
        <f>ROUND((CN214+CL214+CJ214)/1000*3,0)+ROUND((ROUND(CP214/400,0))/2.67,0)+ROUND(CV214/1000,0)+ROUND((CY214+CZ214+DA214+DC214)/1000*3,0)+ROUND(DH214/25,0)+ROUND(DX214/50,0)</f>
        <v>9</v>
      </c>
      <c r="DM214" s="905">
        <v>0</v>
      </c>
      <c r="DN214" s="905"/>
      <c r="DO214" s="905">
        <v>0</v>
      </c>
      <c r="DP214" s="905">
        <f>0.25*DJ214</f>
        <v>4.7355125000000005</v>
      </c>
      <c r="DQ214" s="905">
        <f>SUM(CO214,CJ214,CN214,CR214,CU214)/1000</f>
        <v>2.5355500000000002</v>
      </c>
      <c r="DR214" s="905">
        <f>CL214/1000</f>
        <v>0</v>
      </c>
      <c r="DS214" s="905">
        <f>((CP214/400)/12)</f>
        <v>0</v>
      </c>
      <c r="DT214" s="905">
        <f>IF(CX214&gt;0,"Calculate",0)</f>
        <v>0</v>
      </c>
      <c r="DU214" s="905">
        <v>0</v>
      </c>
      <c r="DV214" s="905">
        <f>CX214/1000</f>
        <v>0</v>
      </c>
      <c r="DW214" s="886">
        <f>DX214</f>
        <v>2.5355500000000002</v>
      </c>
      <c r="DX214" s="906">
        <f>SUM(DM214,DO214,DQ214:DV214)</f>
        <v>2.5355500000000002</v>
      </c>
      <c r="DY214" s="837">
        <v>145</v>
      </c>
      <c r="DZ214" s="2288">
        <f>CD214-T214</f>
        <v>18942.050000000003</v>
      </c>
      <c r="EA214" s="2231">
        <f>CE214-V214</f>
        <v>2535.5500000000002</v>
      </c>
      <c r="EB214" s="187">
        <f>CF214-W214</f>
        <v>2535.5500000000002</v>
      </c>
      <c r="EC214" s="235">
        <f>ED214</f>
        <v>2535.5500000000002</v>
      </c>
      <c r="ED214" s="187">
        <v>2535.5500000000002</v>
      </c>
      <c r="EE214" s="187">
        <f>(SUM(CJ214:CO214))-(SUM(AA214:AE214,AL214))</f>
        <v>5071.1000000000004</v>
      </c>
      <c r="EF214" s="235">
        <f>EG214</f>
        <v>2535.5500000000002</v>
      </c>
      <c r="EG214" s="187">
        <v>2535.5500000000002</v>
      </c>
      <c r="EH214" s="235">
        <f>EI214</f>
        <v>0</v>
      </c>
      <c r="EI214" s="187">
        <f>CL214-AC214</f>
        <v>0</v>
      </c>
      <c r="EJ214" s="235">
        <f>EK214</f>
        <v>0</v>
      </c>
      <c r="EK214" s="187">
        <f>CJ214-AA214</f>
        <v>0</v>
      </c>
      <c r="EL214" s="235">
        <f>EM214</f>
        <v>0</v>
      </c>
      <c r="EM214" s="245">
        <f>CO214-AE214</f>
        <v>0</v>
      </c>
      <c r="EN214" s="235">
        <f>EO214</f>
        <v>0</v>
      </c>
      <c r="EO214" s="245">
        <f>CP214-AH214</f>
        <v>0</v>
      </c>
      <c r="EP214" s="235">
        <f>EQ214</f>
        <v>0</v>
      </c>
      <c r="EQ214" s="187">
        <f>CR214-AJ214</f>
        <v>0</v>
      </c>
      <c r="ER214" s="235">
        <f>ES214</f>
        <v>0</v>
      </c>
      <c r="ES214" s="187">
        <f>CS214-AO214</f>
        <v>0</v>
      </c>
      <c r="ET214" s="235">
        <f>EU214</f>
        <v>0</v>
      </c>
      <c r="EU214" s="187">
        <f t="shared" si="125"/>
        <v>0</v>
      </c>
      <c r="EV214" s="235">
        <f>EW214</f>
        <v>0</v>
      </c>
      <c r="EW214" s="187">
        <f>CU214-AS214</f>
        <v>0</v>
      </c>
      <c r="EX214" s="235">
        <f>EY214</f>
        <v>0</v>
      </c>
      <c r="EY214" s="245">
        <f>CV214-AU214</f>
        <v>0</v>
      </c>
      <c r="EZ214" s="235">
        <f>FA214</f>
        <v>0</v>
      </c>
      <c r="FA214" s="245">
        <f>CY214-AX214</f>
        <v>0</v>
      </c>
      <c r="FB214" s="235">
        <f>FC214</f>
        <v>0</v>
      </c>
      <c r="FC214" s="245">
        <f>CZ214-AY214</f>
        <v>0</v>
      </c>
      <c r="FD214" s="235">
        <f>FE214</f>
        <v>0</v>
      </c>
      <c r="FE214" s="245">
        <f>DA214-AZ214</f>
        <v>0</v>
      </c>
      <c r="FF214" s="235">
        <f>FG214</f>
        <v>0</v>
      </c>
      <c r="FG214" s="245">
        <f>DB214-BA214</f>
        <v>0</v>
      </c>
      <c r="FH214" s="235">
        <f>FI214</f>
        <v>0</v>
      </c>
      <c r="FI214" s="245">
        <f>DC214-BB214</f>
        <v>0</v>
      </c>
      <c r="FJ214" s="235">
        <f>FK214</f>
        <v>0</v>
      </c>
      <c r="FK214" s="245">
        <f>CX214-AW214</f>
        <v>0</v>
      </c>
      <c r="FL214" s="235">
        <f>FM214</f>
        <v>21477.600000000002</v>
      </c>
      <c r="FM214" s="187">
        <f>DF214-BE214</f>
        <v>21477.600000000002</v>
      </c>
      <c r="FN214" s="235">
        <f>FO214</f>
        <v>18.942050000000002</v>
      </c>
      <c r="FO214" s="187">
        <f>DH214-BG214</f>
        <v>18.942050000000002</v>
      </c>
      <c r="FP214" s="235">
        <f>FQ214</f>
        <v>18.942050000000002</v>
      </c>
      <c r="FQ214" s="187">
        <f>DJ214-BI214</f>
        <v>18.942050000000002</v>
      </c>
      <c r="FR214" s="245">
        <f>DK214-BJ214</f>
        <v>54.363683500000008</v>
      </c>
      <c r="FS214" s="245">
        <f>DL214-BK214</f>
        <v>9</v>
      </c>
      <c r="FT214" s="907">
        <f>DM214-BL214</f>
        <v>0</v>
      </c>
      <c r="FU214" s="907">
        <f>DR214-BO214</f>
        <v>0</v>
      </c>
      <c r="FV214" s="907">
        <f>DO214-BM214</f>
        <v>0</v>
      </c>
      <c r="FW214" s="907">
        <f>DQ214-BN214</f>
        <v>2.5355500000000002</v>
      </c>
      <c r="FX214" s="907">
        <f>DS214-BP214</f>
        <v>0</v>
      </c>
      <c r="FY214" s="801">
        <f t="shared" si="130"/>
        <v>0</v>
      </c>
      <c r="FZ214" s="907">
        <f>DU214-BR214</f>
        <v>0</v>
      </c>
      <c r="GA214" s="907">
        <f>DV214-BS214</f>
        <v>0</v>
      </c>
      <c r="GB214" s="894">
        <f>GC214</f>
        <v>2.5355500000000002</v>
      </c>
      <c r="GC214" s="776">
        <f t="shared" si="126"/>
        <v>2.5355500000000002</v>
      </c>
      <c r="GD214" s="139"/>
      <c r="GE214" s="139"/>
      <c r="GF214" s="139"/>
      <c r="GG214" s="139"/>
      <c r="GH214" s="139"/>
      <c r="GI214" s="139"/>
      <c r="GJ214" s="139"/>
      <c r="GK214" s="139"/>
      <c r="GL214" s="139"/>
      <c r="GM214" s="139"/>
      <c r="GN214" s="139"/>
      <c r="GO214" s="139"/>
      <c r="GP214" s="139"/>
      <c r="GQ214" s="139"/>
      <c r="GR214" s="139"/>
      <c r="GS214" s="139"/>
      <c r="GT214" s="139"/>
    </row>
    <row r="215" spans="1:202" s="139" customFormat="1" ht="18.75">
      <c r="A215" s="2263"/>
      <c r="B215" s="2263"/>
      <c r="C215" s="132"/>
      <c r="D215" s="132"/>
      <c r="E215" s="132"/>
      <c r="F215" s="777"/>
      <c r="G215" s="137"/>
      <c r="H215" s="132"/>
      <c r="I215" s="136"/>
      <c r="J215" s="132"/>
      <c r="K215" s="132"/>
      <c r="L215" s="132"/>
      <c r="M215" s="132"/>
      <c r="N215" s="134"/>
      <c r="O215" s="134"/>
      <c r="P215" s="134"/>
      <c r="Q215" s="134"/>
      <c r="R215" s="137"/>
      <c r="S215" s="778"/>
      <c r="T215" s="634"/>
      <c r="U215" s="102"/>
      <c r="V215" s="634"/>
      <c r="W215" s="102"/>
      <c r="X215" s="102"/>
      <c r="Y215" s="102"/>
      <c r="Z215" s="634"/>
      <c r="AA215" s="102"/>
      <c r="AB215" s="634"/>
      <c r="AC215" s="102"/>
      <c r="AD215" s="634"/>
      <c r="AE215" s="102"/>
      <c r="AF215" s="102"/>
      <c r="AG215" s="102"/>
      <c r="AH215" s="102"/>
      <c r="AI215" s="634"/>
      <c r="AJ215" s="102"/>
      <c r="AK215" s="634"/>
      <c r="AL215" s="102"/>
      <c r="AM215" s="779"/>
      <c r="AN215" s="634"/>
      <c r="AO215" s="102"/>
      <c r="AP215" s="634"/>
      <c r="AQ215" s="102"/>
      <c r="AR215" s="634"/>
      <c r="AS215" s="102"/>
      <c r="AT215" s="634"/>
      <c r="AU215" s="102"/>
      <c r="AV215" s="634"/>
      <c r="AW215" s="102"/>
      <c r="AX215" s="102"/>
      <c r="AY215" s="102"/>
      <c r="AZ215" s="102"/>
      <c r="BA215" s="102"/>
      <c r="BB215" s="102"/>
      <c r="BC215" s="102"/>
      <c r="BD215" s="634"/>
      <c r="BE215" s="102"/>
      <c r="BF215" s="634"/>
      <c r="BG215" s="102"/>
      <c r="BH215" s="634"/>
      <c r="BI215" s="102"/>
      <c r="BJ215" s="111"/>
      <c r="BK215" s="186"/>
      <c r="BL215" s="102"/>
      <c r="BM215" s="102"/>
      <c r="BN215" s="102"/>
      <c r="BO215" s="102"/>
      <c r="BP215" s="102"/>
      <c r="BQ215" s="102"/>
      <c r="BR215" s="102"/>
      <c r="BS215" s="102"/>
      <c r="BT215" s="634"/>
      <c r="BU215" s="102"/>
      <c r="BW215" s="780"/>
      <c r="CA215" s="781"/>
      <c r="CB215" s="2258"/>
      <c r="CC215" s="782"/>
      <c r="CD215" s="782"/>
      <c r="CE215" s="634"/>
      <c r="CF215" s="783"/>
      <c r="CG215" s="634"/>
      <c r="CH215" s="783"/>
      <c r="CI215" s="634"/>
      <c r="CK215" s="634"/>
      <c r="CM215" s="634"/>
      <c r="CN215" s="784"/>
      <c r="CO215" s="784"/>
      <c r="CP215" s="784"/>
      <c r="CQ215" s="634"/>
      <c r="CR215" s="102"/>
      <c r="CS215" s="784"/>
      <c r="CT215" s="784"/>
      <c r="CU215" s="784"/>
      <c r="CV215" s="784"/>
      <c r="CW215" s="634"/>
      <c r="CX215" s="102"/>
      <c r="CY215" s="784"/>
      <c r="CZ215" s="784"/>
      <c r="DA215" s="784"/>
      <c r="DB215" s="784"/>
      <c r="DC215" s="784"/>
      <c r="DD215" s="784"/>
      <c r="DE215" s="634"/>
      <c r="DF215" s="784"/>
      <c r="DG215" s="634"/>
      <c r="DH215" s="296"/>
      <c r="DI215" s="802"/>
      <c r="DJ215" s="785"/>
      <c r="DK215" s="899"/>
      <c r="DL215" s="772"/>
      <c r="DM215" s="787"/>
      <c r="DN215" s="787"/>
      <c r="DO215" s="787"/>
      <c r="DP215" s="787"/>
      <c r="DQ215" s="787"/>
      <c r="DR215" s="787"/>
      <c r="DS215" s="787"/>
      <c r="DT215" s="787"/>
      <c r="DU215" s="787"/>
      <c r="DV215" s="787"/>
      <c r="DW215" s="802"/>
      <c r="DX215" s="788"/>
      <c r="DY215" s="634"/>
      <c r="DZ215" s="2288"/>
      <c r="EA215" s="2231"/>
      <c r="EB215" s="187"/>
      <c r="EC215" s="2232"/>
      <c r="ED215" s="187"/>
      <c r="EE215" s="187"/>
      <c r="EF215" s="2232"/>
      <c r="EG215" s="187"/>
      <c r="EH215" s="2232"/>
      <c r="EI215" s="187"/>
      <c r="EJ215" s="2232"/>
      <c r="EK215" s="187"/>
      <c r="EL215" s="2232"/>
      <c r="EM215" s="195"/>
      <c r="EN215" s="2232"/>
      <c r="EO215" s="195"/>
      <c r="EP215" s="2232"/>
      <c r="EQ215" s="187"/>
      <c r="ER215" s="2232"/>
      <c r="ES215" s="187"/>
      <c r="ET215" s="2232"/>
      <c r="EU215" s="187">
        <f t="shared" si="125"/>
        <v>0</v>
      </c>
      <c r="EV215" s="2232"/>
      <c r="EW215" s="187"/>
      <c r="EX215" s="2232"/>
      <c r="EY215" s="195"/>
      <c r="EZ215" s="2232"/>
      <c r="FA215" s="195"/>
      <c r="FB215" s="2232"/>
      <c r="FC215" s="195"/>
      <c r="FD215" s="2232"/>
      <c r="FE215" s="195"/>
      <c r="FF215" s="2232"/>
      <c r="FG215" s="195"/>
      <c r="FH215" s="2232"/>
      <c r="FI215" s="195"/>
      <c r="FJ215" s="2232"/>
      <c r="FK215" s="195"/>
      <c r="FL215" s="2232"/>
      <c r="FM215" s="187"/>
      <c r="FN215" s="2232"/>
      <c r="FO215" s="187"/>
      <c r="FP215" s="2232"/>
      <c r="FQ215" s="187"/>
      <c r="FR215" s="195"/>
      <c r="FS215" s="195"/>
      <c r="FT215" s="789"/>
      <c r="FU215" s="789"/>
      <c r="FV215" s="789"/>
      <c r="FW215" s="789"/>
      <c r="FX215" s="789"/>
      <c r="FY215" s="801">
        <f t="shared" si="130"/>
        <v>0</v>
      </c>
      <c r="FZ215" s="789"/>
      <c r="GA215" s="789"/>
      <c r="GB215" s="2289"/>
      <c r="GC215" s="776"/>
    </row>
    <row r="216" spans="1:202" s="228" customFormat="1" ht="18.75">
      <c r="A216" s="216"/>
      <c r="B216" s="216">
        <v>80</v>
      </c>
      <c r="C216" s="918" t="s">
        <v>703</v>
      </c>
      <c r="D216" s="218">
        <v>2521</v>
      </c>
      <c r="E216" s="218">
        <v>15</v>
      </c>
      <c r="F216" s="897">
        <v>2025210015</v>
      </c>
      <c r="G216" s="223">
        <v>11655</v>
      </c>
      <c r="H216" s="218" t="s">
        <v>726</v>
      </c>
      <c r="I216" s="222" t="s">
        <v>727</v>
      </c>
      <c r="J216" s="218">
        <v>0.14000000000000001</v>
      </c>
      <c r="K216" s="218">
        <v>4</v>
      </c>
      <c r="L216" s="218">
        <v>0</v>
      </c>
      <c r="M216" s="218">
        <v>4.8</v>
      </c>
      <c r="N216" s="220">
        <v>1679</v>
      </c>
      <c r="O216" s="220">
        <v>0</v>
      </c>
      <c r="P216" s="220">
        <v>0</v>
      </c>
      <c r="Q216" s="220">
        <v>1679</v>
      </c>
      <c r="R216" s="223">
        <v>0</v>
      </c>
      <c r="S216" s="898" t="s">
        <v>735</v>
      </c>
      <c r="T216" s="234">
        <f>U216</f>
        <v>36713.25</v>
      </c>
      <c r="U216" s="111">
        <f>(G216*K216)-W216</f>
        <v>36713.25</v>
      </c>
      <c r="V216" s="234">
        <f>W216</f>
        <v>9906.75</v>
      </c>
      <c r="W216" s="111">
        <f>(1*G216)-(0.15*(1*G216))</f>
        <v>9906.75</v>
      </c>
      <c r="X216" s="111"/>
      <c r="Y216" s="111">
        <f>W216-AA216</f>
        <v>9906.75</v>
      </c>
      <c r="Z216" s="234">
        <f>AA216</f>
        <v>0</v>
      </c>
      <c r="AA216" s="111">
        <v>0</v>
      </c>
      <c r="AB216" s="234">
        <f>AC216</f>
        <v>0</v>
      </c>
      <c r="AC216" s="111">
        <v>0</v>
      </c>
      <c r="AD216" s="234">
        <f>AE216</f>
        <v>0</v>
      </c>
      <c r="AE216" s="111">
        <v>0</v>
      </c>
      <c r="AF216" s="111">
        <v>0</v>
      </c>
      <c r="AG216" s="111">
        <v>0</v>
      </c>
      <c r="AH216" s="111">
        <v>0</v>
      </c>
      <c r="AI216" s="234">
        <f>AJ216</f>
        <v>0</v>
      </c>
      <c r="AJ216" s="111">
        <v>0</v>
      </c>
      <c r="AK216" s="234">
        <f>AL216</f>
        <v>9906.75</v>
      </c>
      <c r="AL216" s="111">
        <f>W216-(AA216+AC216+AE216+AH216+AJ216+AM216+AW216+AO216+AQ216+AS216+AU216)</f>
        <v>9906.75</v>
      </c>
      <c r="AM216" s="899">
        <v>0</v>
      </c>
      <c r="AN216" s="234">
        <f>AO216</f>
        <v>0</v>
      </c>
      <c r="AO216" s="111">
        <v>0</v>
      </c>
      <c r="AP216" s="234">
        <f>AQ216</f>
        <v>0</v>
      </c>
      <c r="AQ216" s="111">
        <v>0</v>
      </c>
      <c r="AR216" s="234">
        <f>AS216</f>
        <v>0</v>
      </c>
      <c r="AS216" s="111">
        <v>0</v>
      </c>
      <c r="AT216" s="234">
        <f>AU216</f>
        <v>0</v>
      </c>
      <c r="AU216" s="111">
        <v>0</v>
      </c>
      <c r="AV216" s="234">
        <f>AW216</f>
        <v>0</v>
      </c>
      <c r="AW216" s="111">
        <f>AX216+AY216+AZ216+BA216+BB216</f>
        <v>0</v>
      </c>
      <c r="AX216" s="111">
        <v>0</v>
      </c>
      <c r="AY216" s="111">
        <v>0</v>
      </c>
      <c r="AZ216" s="111">
        <v>0</v>
      </c>
      <c r="BA216" s="111">
        <v>0</v>
      </c>
      <c r="BB216" s="111">
        <v>0</v>
      </c>
      <c r="BC216" s="111">
        <v>0</v>
      </c>
      <c r="BD216" s="234">
        <f>BE216</f>
        <v>46620</v>
      </c>
      <c r="BE216" s="111">
        <f>W216+U216</f>
        <v>46620</v>
      </c>
      <c r="BF216" s="234">
        <f>BG216</f>
        <v>37</v>
      </c>
      <c r="BG216" s="111">
        <f>ROUND(U216/'[1]Projected Development Sites'!DF$134,0)</f>
        <v>37</v>
      </c>
      <c r="BH216" s="234">
        <f>BI216</f>
        <v>25.9</v>
      </c>
      <c r="BI216" s="111">
        <f>'[1]Projected Development Sites'!BG$135*BG216</f>
        <v>25.9</v>
      </c>
      <c r="BJ216" s="111">
        <f t="shared" si="127"/>
        <v>106</v>
      </c>
      <c r="BK216" s="306">
        <f>ROUND((AL216+AC216+AA216)/1000*3,0)+ROUND((AE216+AU216)/1000,0)+ROUND((ROUND(AH216/400,0))/2.67,0)+ROUND(AJ216/250,0)+ROUND(AO216/15000,0)+ROUND((AX216+AY216+AZ216+BB216)/1000*3,0)+ROUND(BG216/25,0)+ROUND(BU216/50,0)</f>
        <v>31</v>
      </c>
      <c r="BL216" s="111">
        <v>0</v>
      </c>
      <c r="BM216" s="111">
        <v>0</v>
      </c>
      <c r="BN216" s="111">
        <f>W216/1000</f>
        <v>9.9067500000000006</v>
      </c>
      <c r="BO216" s="111">
        <f>AC216/1000</f>
        <v>0</v>
      </c>
      <c r="BP216" s="111">
        <f>((AH216/400)/12)</f>
        <v>0</v>
      </c>
      <c r="BQ216" s="111">
        <f>IFERROR(VLOOKUP(F216,#REF!,3,FALSE),0)</f>
        <v>0</v>
      </c>
      <c r="BR216" s="111">
        <v>0</v>
      </c>
      <c r="BS216" s="111">
        <f>IF(BB216&gt;0,"Calculate",0)</f>
        <v>0</v>
      </c>
      <c r="BT216" s="234">
        <f>BU216</f>
        <v>9.9067500000000006</v>
      </c>
      <c r="BU216" s="111">
        <f>SUM(BL216:BS216)</f>
        <v>9.9067500000000006</v>
      </c>
      <c r="BV216" s="228">
        <v>10</v>
      </c>
      <c r="BW216" s="900" t="s">
        <v>741</v>
      </c>
      <c r="BX216" s="228">
        <v>7.2</v>
      </c>
      <c r="BY216" s="228">
        <v>2</v>
      </c>
      <c r="BZ216" s="228">
        <v>6.5</v>
      </c>
      <c r="CA216" s="901" t="s">
        <v>706</v>
      </c>
      <c r="CB216" s="230" t="s">
        <v>716</v>
      </c>
      <c r="CC216" s="399">
        <f>(BX216*G216)-CF216</f>
        <v>74009.25</v>
      </c>
      <c r="CD216" s="399">
        <v>74009.25</v>
      </c>
      <c r="CE216" s="234">
        <f>CF216</f>
        <v>9906.75</v>
      </c>
      <c r="CF216" s="836">
        <f>1*(G216)-(0.15*1*(G216))</f>
        <v>9906.75</v>
      </c>
      <c r="CG216" s="234">
        <f>CH216</f>
        <v>9906.75</v>
      </c>
      <c r="CH216" s="836">
        <f>CF216-CJ216</f>
        <v>9906.75</v>
      </c>
      <c r="CI216" s="234">
        <f>CJ216</f>
        <v>0</v>
      </c>
      <c r="CJ216" s="228">
        <v>0</v>
      </c>
      <c r="CK216" s="234">
        <f>CL216</f>
        <v>0</v>
      </c>
      <c r="CL216" s="228">
        <v>0</v>
      </c>
      <c r="CM216" s="234">
        <f>CN216</f>
        <v>9906.75</v>
      </c>
      <c r="CN216" s="903">
        <f>CF216</f>
        <v>9906.75</v>
      </c>
      <c r="CO216" s="903">
        <v>0</v>
      </c>
      <c r="CP216" s="903">
        <v>0</v>
      </c>
      <c r="CQ216" s="234">
        <f>CR216</f>
        <v>0</v>
      </c>
      <c r="CR216" s="111">
        <v>0</v>
      </c>
      <c r="CS216" s="903">
        <v>0</v>
      </c>
      <c r="CT216" s="903">
        <v>0</v>
      </c>
      <c r="CU216" s="903">
        <v>0</v>
      </c>
      <c r="CV216" s="903">
        <v>0</v>
      </c>
      <c r="CW216" s="234">
        <f>CX216</f>
        <v>0</v>
      </c>
      <c r="CX216" s="111">
        <f>SUM(CY216:DC216)</f>
        <v>0</v>
      </c>
      <c r="CY216" s="903">
        <v>0</v>
      </c>
      <c r="CZ216" s="903">
        <v>0</v>
      </c>
      <c r="DA216" s="903">
        <v>0</v>
      </c>
      <c r="DB216" s="903">
        <v>0</v>
      </c>
      <c r="DC216" s="903">
        <v>0</v>
      </c>
      <c r="DD216" s="903"/>
      <c r="DE216" s="234">
        <f>DF216</f>
        <v>83916</v>
      </c>
      <c r="DF216" s="111">
        <f>CC216+CF216</f>
        <v>83916</v>
      </c>
      <c r="DG216" s="234">
        <f>DH216</f>
        <v>74</v>
      </c>
      <c r="DH216" s="228">
        <f>ROUND(CC216/'[1]Projected Development Sites'!DF$134,0)</f>
        <v>74</v>
      </c>
      <c r="DI216" s="886">
        <f>DJ216</f>
        <v>74</v>
      </c>
      <c r="DJ216" s="905">
        <f>'[1]Projected Development Sites'!DK$136*DH216</f>
        <v>74</v>
      </c>
      <c r="DK216" s="899">
        <f>2.87*DH216</f>
        <v>212.38</v>
      </c>
      <c r="DL216" s="772">
        <f>ROUND((CN216+CL216+CJ216)/1000*3,0)+ROUND((ROUND(CP216/400,0))/2.67,0)+ROUND(CV216/1000,0)+ROUND((CY216+CZ216+DA216+DC216)/1000*3,0)+ROUND(DH216/25,0)+ROUND(DX216/50,0)</f>
        <v>33</v>
      </c>
      <c r="DM216" s="905">
        <v>0</v>
      </c>
      <c r="DN216" s="905"/>
      <c r="DO216" s="905">
        <v>0</v>
      </c>
      <c r="DP216" s="905">
        <f>0.25*DJ216</f>
        <v>18.5</v>
      </c>
      <c r="DQ216" s="905">
        <f>SUM(CO216,CJ216,CN216,CR216,CU216)/1000</f>
        <v>9.9067500000000006</v>
      </c>
      <c r="DR216" s="905">
        <f>CL216/1000</f>
        <v>0</v>
      </c>
      <c r="DS216" s="905">
        <f>((CP216/400)/12)</f>
        <v>0</v>
      </c>
      <c r="DT216" s="905">
        <f>IF(CX216&gt;0,"Calculate",0)</f>
        <v>0</v>
      </c>
      <c r="DU216" s="905">
        <v>0</v>
      </c>
      <c r="DV216" s="905">
        <f>CX216/1000</f>
        <v>0</v>
      </c>
      <c r="DW216" s="886">
        <f>DX216</f>
        <v>9.9067500000000006</v>
      </c>
      <c r="DX216" s="906">
        <f>SUM(DM216,DO216,DQ216:DV216)</f>
        <v>9.9067500000000006</v>
      </c>
      <c r="DY216" s="837">
        <v>145</v>
      </c>
      <c r="DZ216" s="2288">
        <f>CD216-T216</f>
        <v>37296</v>
      </c>
      <c r="EA216" s="2231">
        <f>CE216-V216</f>
        <v>0</v>
      </c>
      <c r="EB216" s="187">
        <f>CF216-W216</f>
        <v>0</v>
      </c>
      <c r="EC216" s="235">
        <f>ED216</f>
        <v>0</v>
      </c>
      <c r="ED216" s="187">
        <v>0</v>
      </c>
      <c r="EE216" s="187">
        <f>(SUM(CJ216:CO216))-(SUM(AA216:AE216,AL216))</f>
        <v>9906.75</v>
      </c>
      <c r="EF216" s="235">
        <f>EG216</f>
        <v>0</v>
      </c>
      <c r="EG216" s="187">
        <v>0</v>
      </c>
      <c r="EH216" s="235">
        <f>EI216</f>
        <v>0</v>
      </c>
      <c r="EI216" s="187">
        <f>CL216-AC216</f>
        <v>0</v>
      </c>
      <c r="EJ216" s="235">
        <f>EK216</f>
        <v>0</v>
      </c>
      <c r="EK216" s="187">
        <f>CJ216-AA216</f>
        <v>0</v>
      </c>
      <c r="EL216" s="235">
        <f>EM216</f>
        <v>0</v>
      </c>
      <c r="EM216" s="245">
        <f>CO216-AE216</f>
        <v>0</v>
      </c>
      <c r="EN216" s="235">
        <f>EO216</f>
        <v>0</v>
      </c>
      <c r="EO216" s="245">
        <f>CP216-AH216</f>
        <v>0</v>
      </c>
      <c r="EP216" s="235">
        <f>EQ216</f>
        <v>0</v>
      </c>
      <c r="EQ216" s="187">
        <f>CR216-AJ216</f>
        <v>0</v>
      </c>
      <c r="ER216" s="235">
        <f>ES216</f>
        <v>0</v>
      </c>
      <c r="ES216" s="187">
        <f>CS216-AO216</f>
        <v>0</v>
      </c>
      <c r="ET216" s="235">
        <f>EU216</f>
        <v>0</v>
      </c>
      <c r="EU216" s="187">
        <f t="shared" si="125"/>
        <v>0</v>
      </c>
      <c r="EV216" s="235">
        <f>EW216</f>
        <v>0</v>
      </c>
      <c r="EW216" s="187">
        <f>CU216-AS216</f>
        <v>0</v>
      </c>
      <c r="EX216" s="235">
        <f>EY216</f>
        <v>0</v>
      </c>
      <c r="EY216" s="245">
        <f>CV216-AU216</f>
        <v>0</v>
      </c>
      <c r="EZ216" s="235">
        <f>FA216</f>
        <v>0</v>
      </c>
      <c r="FA216" s="245">
        <f>CY216-AX216</f>
        <v>0</v>
      </c>
      <c r="FB216" s="235">
        <f>FC216</f>
        <v>0</v>
      </c>
      <c r="FC216" s="245">
        <f>CZ216-AY216</f>
        <v>0</v>
      </c>
      <c r="FD216" s="235">
        <f>FE216</f>
        <v>0</v>
      </c>
      <c r="FE216" s="245">
        <f>DA216-AZ216</f>
        <v>0</v>
      </c>
      <c r="FF216" s="235">
        <f>FG216</f>
        <v>0</v>
      </c>
      <c r="FG216" s="245">
        <f>DB216-BA216</f>
        <v>0</v>
      </c>
      <c r="FH216" s="235">
        <f>FI216</f>
        <v>0</v>
      </c>
      <c r="FI216" s="245">
        <f>DC216-BB216</f>
        <v>0</v>
      </c>
      <c r="FJ216" s="235">
        <f>FK216</f>
        <v>0</v>
      </c>
      <c r="FK216" s="245">
        <f>CX216-AW216</f>
        <v>0</v>
      </c>
      <c r="FL216" s="235">
        <f>FM216</f>
        <v>37296</v>
      </c>
      <c r="FM216" s="187">
        <f>DF216-BE216</f>
        <v>37296</v>
      </c>
      <c r="FN216" s="235">
        <f>FO216</f>
        <v>37</v>
      </c>
      <c r="FO216" s="187">
        <f>DH216-BG216</f>
        <v>37</v>
      </c>
      <c r="FP216" s="235">
        <f>FQ216</f>
        <v>48.1</v>
      </c>
      <c r="FQ216" s="187">
        <f>DJ216-BI216</f>
        <v>48.1</v>
      </c>
      <c r="FR216" s="245">
        <f>DK216-BJ216</f>
        <v>106.38</v>
      </c>
      <c r="FS216" s="245">
        <f>DL216-BK216</f>
        <v>2</v>
      </c>
      <c r="FT216" s="907">
        <f>DM216-BL216</f>
        <v>0</v>
      </c>
      <c r="FU216" s="907">
        <f>DR216-BO216</f>
        <v>0</v>
      </c>
      <c r="FV216" s="907">
        <f>DO216-BM216</f>
        <v>0</v>
      </c>
      <c r="FW216" s="907">
        <f>DQ216-BN216</f>
        <v>0</v>
      </c>
      <c r="FX216" s="907">
        <f>DS216-BP216</f>
        <v>0</v>
      </c>
      <c r="FY216" s="801">
        <f t="shared" si="130"/>
        <v>0</v>
      </c>
      <c r="FZ216" s="907">
        <f>DU216-BR216</f>
        <v>0</v>
      </c>
      <c r="GA216" s="907">
        <f>DV216-BS216</f>
        <v>0</v>
      </c>
      <c r="GB216" s="894">
        <f>GC216</f>
        <v>0</v>
      </c>
      <c r="GC216" s="776">
        <f t="shared" si="126"/>
        <v>0</v>
      </c>
      <c r="GD216" s="139"/>
      <c r="GE216" s="139"/>
      <c r="GF216" s="139"/>
      <c r="GG216" s="139"/>
      <c r="GH216" s="139"/>
      <c r="GI216" s="139"/>
      <c r="GJ216" s="139"/>
      <c r="GK216" s="139"/>
      <c r="GL216" s="139"/>
      <c r="GM216" s="139"/>
      <c r="GN216" s="139"/>
      <c r="GO216" s="139"/>
      <c r="GP216" s="139"/>
      <c r="GQ216" s="139"/>
      <c r="GR216" s="139"/>
      <c r="GS216" s="139"/>
      <c r="GT216" s="139"/>
    </row>
    <row r="217" spans="1:202" s="139" customFormat="1" ht="18.75">
      <c r="A217" s="2263"/>
      <c r="B217" s="2263"/>
      <c r="C217" s="913"/>
      <c r="D217" s="132"/>
      <c r="E217" s="132"/>
      <c r="F217" s="777"/>
      <c r="G217" s="137"/>
      <c r="H217" s="132"/>
      <c r="I217" s="136"/>
      <c r="J217" s="132"/>
      <c r="K217" s="132"/>
      <c r="L217" s="132"/>
      <c r="M217" s="132"/>
      <c r="N217" s="134"/>
      <c r="O217" s="134"/>
      <c r="P217" s="134"/>
      <c r="Q217" s="134"/>
      <c r="R217" s="137"/>
      <c r="S217" s="778"/>
      <c r="T217" s="634"/>
      <c r="U217" s="102"/>
      <c r="V217" s="634"/>
      <c r="W217" s="102"/>
      <c r="X217" s="102"/>
      <c r="Y217" s="102"/>
      <c r="Z217" s="634"/>
      <c r="AA217" s="102"/>
      <c r="AB217" s="634"/>
      <c r="AC217" s="102"/>
      <c r="AD217" s="634"/>
      <c r="AE217" s="102"/>
      <c r="AF217" s="102"/>
      <c r="AG217" s="102"/>
      <c r="AH217" s="102"/>
      <c r="AI217" s="634"/>
      <c r="AJ217" s="102"/>
      <c r="AK217" s="634"/>
      <c r="AL217" s="102"/>
      <c r="AM217" s="779"/>
      <c r="AN217" s="634"/>
      <c r="AO217" s="102"/>
      <c r="AP217" s="634"/>
      <c r="AQ217" s="102"/>
      <c r="AR217" s="634"/>
      <c r="AS217" s="102"/>
      <c r="AT217" s="634"/>
      <c r="AU217" s="102"/>
      <c r="AV217" s="634"/>
      <c r="AW217" s="102"/>
      <c r="AX217" s="102"/>
      <c r="AY217" s="102"/>
      <c r="AZ217" s="102"/>
      <c r="BA217" s="102"/>
      <c r="BB217" s="102"/>
      <c r="BC217" s="102"/>
      <c r="BD217" s="634"/>
      <c r="BE217" s="102"/>
      <c r="BF217" s="634"/>
      <c r="BG217" s="102"/>
      <c r="BH217" s="634"/>
      <c r="BI217" s="102"/>
      <c r="BJ217" s="111"/>
      <c r="BK217" s="186"/>
      <c r="BL217" s="102"/>
      <c r="BM217" s="102"/>
      <c r="BN217" s="102"/>
      <c r="BO217" s="102"/>
      <c r="BP217" s="102"/>
      <c r="BQ217" s="102"/>
      <c r="BR217" s="102"/>
      <c r="BS217" s="102"/>
      <c r="BT217" s="634"/>
      <c r="BU217" s="102"/>
      <c r="BW217" s="780"/>
      <c r="CA217" s="781"/>
      <c r="CB217" s="2258"/>
      <c r="CC217" s="782"/>
      <c r="CD217" s="782"/>
      <c r="CE217" s="634"/>
      <c r="CF217" s="783"/>
      <c r="CG217" s="634"/>
      <c r="CH217" s="783"/>
      <c r="CI217" s="634"/>
      <c r="CK217" s="634"/>
      <c r="CM217" s="634"/>
      <c r="CN217" s="784"/>
      <c r="CO217" s="784"/>
      <c r="CP217" s="784"/>
      <c r="CQ217" s="634"/>
      <c r="CR217" s="102"/>
      <c r="CS217" s="784"/>
      <c r="CT217" s="784"/>
      <c r="CU217" s="784"/>
      <c r="CV217" s="784"/>
      <c r="CW217" s="634"/>
      <c r="CX217" s="102"/>
      <c r="CY217" s="784"/>
      <c r="CZ217" s="784"/>
      <c r="DA217" s="784"/>
      <c r="DB217" s="784"/>
      <c r="DC217" s="784"/>
      <c r="DD217" s="784"/>
      <c r="DE217" s="634"/>
      <c r="DF217" s="102"/>
      <c r="DG217" s="634"/>
      <c r="DI217" s="802"/>
      <c r="DJ217" s="787"/>
      <c r="DK217" s="899"/>
      <c r="DL217" s="772"/>
      <c r="DM217" s="787"/>
      <c r="DN217" s="787"/>
      <c r="DO217" s="787"/>
      <c r="DP217" s="787"/>
      <c r="DQ217" s="787"/>
      <c r="DR217" s="787"/>
      <c r="DS217" s="787"/>
      <c r="DT217" s="787"/>
      <c r="DU217" s="787"/>
      <c r="DV217" s="787"/>
      <c r="DW217" s="802"/>
      <c r="DX217" s="788"/>
      <c r="DY217" s="634"/>
      <c r="DZ217" s="2288"/>
      <c r="EA217" s="2231"/>
      <c r="EB217" s="187"/>
      <c r="EC217" s="2232"/>
      <c r="ED217" s="187"/>
      <c r="EE217" s="187"/>
      <c r="EF217" s="2232"/>
      <c r="EG217" s="187"/>
      <c r="EH217" s="2232"/>
      <c r="EI217" s="187"/>
      <c r="EJ217" s="2232"/>
      <c r="EK217" s="187"/>
      <c r="EL217" s="2232"/>
      <c r="EM217" s="195"/>
      <c r="EN217" s="2232"/>
      <c r="EO217" s="195"/>
      <c r="EP217" s="2232"/>
      <c r="EQ217" s="187"/>
      <c r="ER217" s="2232"/>
      <c r="ES217" s="187"/>
      <c r="ET217" s="2232"/>
      <c r="EU217" s="187">
        <f t="shared" si="125"/>
        <v>0</v>
      </c>
      <c r="EV217" s="2232"/>
      <c r="EW217" s="187"/>
      <c r="EX217" s="2232"/>
      <c r="EY217" s="195"/>
      <c r="EZ217" s="2232"/>
      <c r="FA217" s="195"/>
      <c r="FB217" s="2232"/>
      <c r="FC217" s="195"/>
      <c r="FD217" s="2232"/>
      <c r="FE217" s="195"/>
      <c r="FF217" s="2232"/>
      <c r="FG217" s="195"/>
      <c r="FH217" s="2232"/>
      <c r="FI217" s="195"/>
      <c r="FJ217" s="2232"/>
      <c r="FK217" s="195"/>
      <c r="FL217" s="2232"/>
      <c r="FM217" s="187"/>
      <c r="FN217" s="2232"/>
      <c r="FO217" s="187"/>
      <c r="FP217" s="2232"/>
      <c r="FQ217" s="187"/>
      <c r="FR217" s="195"/>
      <c r="FS217" s="195"/>
      <c r="FT217" s="789"/>
      <c r="FU217" s="789"/>
      <c r="FV217" s="789"/>
      <c r="FW217" s="789"/>
      <c r="FX217" s="789"/>
      <c r="FY217" s="801">
        <f t="shared" si="130"/>
        <v>0</v>
      </c>
      <c r="FZ217" s="789"/>
      <c r="GA217" s="789"/>
      <c r="GB217" s="2286"/>
      <c r="GC217" s="776"/>
    </row>
    <row r="218" spans="1:202" s="127" customFormat="1" ht="15" customHeight="1">
      <c r="A218" s="2588"/>
      <c r="B218" s="2588">
        <v>81</v>
      </c>
      <c r="C218" s="115" t="s">
        <v>703</v>
      </c>
      <c r="D218" s="115">
        <v>2522</v>
      </c>
      <c r="E218" s="115">
        <v>65</v>
      </c>
      <c r="F218" s="763">
        <v>2025220065</v>
      </c>
      <c r="G218" s="120">
        <v>7490</v>
      </c>
      <c r="H218" s="115" t="s">
        <v>726</v>
      </c>
      <c r="I218" s="119" t="s">
        <v>727</v>
      </c>
      <c r="J218" s="115">
        <v>0.68</v>
      </c>
      <c r="K218" s="115">
        <v>3.44</v>
      </c>
      <c r="L218" s="115">
        <v>0</v>
      </c>
      <c r="M218" s="115">
        <v>4.8</v>
      </c>
      <c r="N218" s="117">
        <v>5128</v>
      </c>
      <c r="O218" s="117">
        <f>0.66*N218</f>
        <v>3384.48</v>
      </c>
      <c r="P218" s="117">
        <v>0</v>
      </c>
      <c r="Q218" s="117">
        <v>5128</v>
      </c>
      <c r="R218" s="120">
        <v>0</v>
      </c>
      <c r="S218" s="764" t="s">
        <v>761</v>
      </c>
      <c r="T218" s="2610">
        <f>SUM(U218:U219)</f>
        <v>0</v>
      </c>
      <c r="U218" s="122">
        <v>0</v>
      </c>
      <c r="V218" s="2610">
        <f>SUM(W218:W219)</f>
        <v>7228</v>
      </c>
      <c r="W218" s="122">
        <f>N218</f>
        <v>5128</v>
      </c>
      <c r="X218" s="122"/>
      <c r="Y218" s="122">
        <f>W218-AA218</f>
        <v>5128</v>
      </c>
      <c r="Z218" s="2610">
        <f>SUM(AA218:AA219)</f>
        <v>0</v>
      </c>
      <c r="AA218" s="122">
        <v>0</v>
      </c>
      <c r="AB218" s="2610">
        <f>SUM(AC218:AC219)</f>
        <v>0</v>
      </c>
      <c r="AC218" s="122">
        <v>0</v>
      </c>
      <c r="AD218" s="2610">
        <f>SUM(AE218:AE219)</f>
        <v>3384.48</v>
      </c>
      <c r="AE218" s="122">
        <f>AG218+AF218</f>
        <v>3384.48</v>
      </c>
      <c r="AF218" s="122">
        <v>0</v>
      </c>
      <c r="AG218" s="122">
        <f>0.66*W218</f>
        <v>3384.48</v>
      </c>
      <c r="AH218" s="122">
        <v>0</v>
      </c>
      <c r="AI218" s="2610">
        <f>SUM(AJ218:AJ219)</f>
        <v>0</v>
      </c>
      <c r="AJ218" s="122">
        <v>0</v>
      </c>
      <c r="AK218" s="2610">
        <f>SUM(AL218:AL219)</f>
        <v>3843.52</v>
      </c>
      <c r="AL218" s="122">
        <f>W218-(AA218+AC218+AE218+AH218+AJ218+AM218+AW218+AO218+AQ218+AS218+AU218)</f>
        <v>1743.52</v>
      </c>
      <c r="AM218" s="765">
        <v>0</v>
      </c>
      <c r="AN218" s="2610">
        <f>SUM(AO218:AO219)</f>
        <v>0</v>
      </c>
      <c r="AO218" s="122">
        <v>0</v>
      </c>
      <c r="AP218" s="2610">
        <f>SUM(AQ218:AQ219)</f>
        <v>0</v>
      </c>
      <c r="AQ218" s="122">
        <v>0</v>
      </c>
      <c r="AR218" s="2610">
        <f>SUM(AS218:AS219)</f>
        <v>0</v>
      </c>
      <c r="AS218" s="122">
        <v>0</v>
      </c>
      <c r="AT218" s="2610">
        <f>SUM(AU218:AU219)</f>
        <v>0</v>
      </c>
      <c r="AU218" s="122">
        <v>0</v>
      </c>
      <c r="AV218" s="2610">
        <f>SUM(AW218:AW219)</f>
        <v>0</v>
      </c>
      <c r="AW218" s="122">
        <f>AX218+AY218+AZ218+BA218+BB218</f>
        <v>0</v>
      </c>
      <c r="AX218" s="122">
        <v>0</v>
      </c>
      <c r="AY218" s="122">
        <v>0</v>
      </c>
      <c r="AZ218" s="122">
        <v>0</v>
      </c>
      <c r="BA218" s="122">
        <v>0</v>
      </c>
      <c r="BB218" s="122">
        <v>0</v>
      </c>
      <c r="BC218" s="122">
        <v>0</v>
      </c>
      <c r="BD218" s="2610">
        <f>SUM(BE218:BE219)</f>
        <v>7228</v>
      </c>
      <c r="BE218" s="122">
        <f>U218+W218</f>
        <v>5128</v>
      </c>
      <c r="BF218" s="2610">
        <f>SUM(BG218:BG219)</f>
        <v>0</v>
      </c>
      <c r="BG218" s="122">
        <f>U218/1000</f>
        <v>0</v>
      </c>
      <c r="BH218" s="2610">
        <f>SUM(BI218:BI219)</f>
        <v>0</v>
      </c>
      <c r="BI218" s="122">
        <v>0</v>
      </c>
      <c r="BJ218" s="122">
        <f t="shared" si="127"/>
        <v>0</v>
      </c>
      <c r="BK218" s="129">
        <f>ROUND((Y218+AC218+AA218)/1000*3,0)+ROUND((AE218+AU218)/1000,0)+ROUND((ROUND(AH218/400,0))/2.67,0)+ROUND(AM218/250,0)+ROUND(AO218/15000,0)+ROUND((AX218+AY218+AZ218+BB218)/1000*3,0)+ROUND(BG218/25,0)+ROUND(BU8/50,0)</f>
        <v>18</v>
      </c>
      <c r="BL218" s="122">
        <v>0</v>
      </c>
      <c r="BM218" s="122">
        <v>0</v>
      </c>
      <c r="BN218" s="122">
        <v>0</v>
      </c>
      <c r="BO218" s="122">
        <f>AC218/1000</f>
        <v>0</v>
      </c>
      <c r="BP218" s="122">
        <f>AH218/1000</f>
        <v>0</v>
      </c>
      <c r="BQ218" s="122">
        <v>0</v>
      </c>
      <c r="BR218" s="122">
        <v>0</v>
      </c>
      <c r="BS218" s="122">
        <v>0</v>
      </c>
      <c r="BT218" s="2610">
        <f>SUM(BU218:BU219)</f>
        <v>0</v>
      </c>
      <c r="BU218" s="122">
        <f>SUM(BL218:BS218)</f>
        <v>0</v>
      </c>
      <c r="BV218" s="127">
        <v>15</v>
      </c>
      <c r="BW218" s="766" t="s">
        <v>741</v>
      </c>
      <c r="BX218" s="127">
        <v>7.2</v>
      </c>
      <c r="BY218" s="127">
        <v>2</v>
      </c>
      <c r="BZ218" s="127">
        <v>6.5</v>
      </c>
      <c r="CA218" s="767" t="s">
        <v>706</v>
      </c>
      <c r="CB218" s="2596" t="s">
        <v>716</v>
      </c>
      <c r="CC218" s="768">
        <f>(BX218*G218)-CF218</f>
        <v>47561.5</v>
      </c>
      <c r="CD218" s="2731">
        <f>SUM(CC218:CC219)</f>
        <v>62668.15</v>
      </c>
      <c r="CE218" s="2610">
        <f>SUM(CF218:CF219)</f>
        <v>8388.65</v>
      </c>
      <c r="CF218" s="769">
        <f>1*(G218)-(0.15*1*(G218))</f>
        <v>6366.5</v>
      </c>
      <c r="CG218" s="2610">
        <f>SUM(CH218:CH219)</f>
        <v>8388.65</v>
      </c>
      <c r="CH218" s="769">
        <f>CF218-CJ218</f>
        <v>6366.5</v>
      </c>
      <c r="CI218" s="2610">
        <f>SUM(CJ218:CJ219)</f>
        <v>0</v>
      </c>
      <c r="CJ218" s="127">
        <v>0</v>
      </c>
      <c r="CK218" s="2610">
        <f>SUM(CL218:CL219)</f>
        <v>0</v>
      </c>
      <c r="CL218" s="127">
        <v>0</v>
      </c>
      <c r="CM218" s="2610">
        <f>SUM(CN218:CN219)</f>
        <v>8388.65</v>
      </c>
      <c r="CN218" s="770">
        <f>CF218-(CJ218+CL218+CO218+CP218+CR218+CU218+CV218+CX218)</f>
        <v>6366.5</v>
      </c>
      <c r="CO218" s="770">
        <v>0</v>
      </c>
      <c r="CP218" s="770">
        <v>0</v>
      </c>
      <c r="CQ218" s="2610">
        <f>SUM(CR218:CR219)</f>
        <v>0</v>
      </c>
      <c r="CR218" s="122">
        <v>0</v>
      </c>
      <c r="CS218" s="770">
        <v>0</v>
      </c>
      <c r="CT218" s="770">
        <v>0</v>
      </c>
      <c r="CU218" s="770">
        <v>0</v>
      </c>
      <c r="CV218" s="770">
        <v>0</v>
      </c>
      <c r="CW218" s="2610">
        <f>SUM(CX218:CX219)</f>
        <v>0</v>
      </c>
      <c r="CX218" s="122">
        <f>SUM(CY218:DC218)</f>
        <v>0</v>
      </c>
      <c r="CY218" s="770">
        <f>AX218</f>
        <v>0</v>
      </c>
      <c r="CZ218" s="770">
        <f>AY218</f>
        <v>0</v>
      </c>
      <c r="DA218" s="770">
        <f>AZ218</f>
        <v>0</v>
      </c>
      <c r="DB218" s="770">
        <f>BA218</f>
        <v>0</v>
      </c>
      <c r="DC218" s="770">
        <f>BB218</f>
        <v>0</v>
      </c>
      <c r="DD218" s="770"/>
      <c r="DE218" s="2610">
        <f>SUM(DF218:DF219)</f>
        <v>71056.800000000003</v>
      </c>
      <c r="DF218" s="122">
        <f>CC218+CF218</f>
        <v>53928</v>
      </c>
      <c r="DG218" s="2610">
        <f>SUM(DH218:DH219)</f>
        <v>62.668150000000004</v>
      </c>
      <c r="DH218" s="293">
        <f>CC218/'[1]Projected Development Sites'!DF$134</f>
        <v>47.561500000000002</v>
      </c>
      <c r="DI218" s="2767">
        <f>SUM(DJ218:DJ219)</f>
        <v>62.668150000000004</v>
      </c>
      <c r="DJ218" s="771">
        <f>'[1]Projected Development Sites'!DK$136*DH218</f>
        <v>47.561500000000002</v>
      </c>
      <c r="DK218" s="765">
        <f>2.87*DH218</f>
        <v>136.50150500000001</v>
      </c>
      <c r="DL218" s="772">
        <f>ROUND((CN218+CL218+CJ218)/1000*3,0)+ROUND((ROUND(CP218/400,0))/2.67,0)+ROUND(CV218/1000,0)+ROUND((CY218+CZ218+DA218+DC218)/1000*3,0)+ROUND(DH218/25,0)+ROUND(DX218/50,0)</f>
        <v>21</v>
      </c>
      <c r="DM218" s="773">
        <v>0</v>
      </c>
      <c r="DN218" s="773"/>
      <c r="DO218" s="773">
        <v>0</v>
      </c>
      <c r="DP218" s="773">
        <f>0.25*DJ218</f>
        <v>11.890375000000001</v>
      </c>
      <c r="DQ218" s="773">
        <f>SUM(CO218,CJ218,CN218,CR218,CU218)/1000</f>
        <v>6.3665000000000003</v>
      </c>
      <c r="DR218" s="773">
        <f>CL218/1000</f>
        <v>0</v>
      </c>
      <c r="DS218" s="773">
        <f>((CP218/400)/12)</f>
        <v>0</v>
      </c>
      <c r="DT218" s="773">
        <f>IF(CX218&gt;0,"Calculate",0)</f>
        <v>0</v>
      </c>
      <c r="DU218" s="773">
        <v>0</v>
      </c>
      <c r="DV218" s="773">
        <f>CX218/1000</f>
        <v>0</v>
      </c>
      <c r="DW218" s="2767">
        <f>SUM(DX218:DX219)</f>
        <v>8.3886500000000002</v>
      </c>
      <c r="DX218" s="774">
        <f>SUM(DM218,DO218,DQ218:DV218)</f>
        <v>6.3665000000000003</v>
      </c>
      <c r="DY218" s="2725">
        <v>145</v>
      </c>
      <c r="DZ218" s="2728">
        <f>CD218-T218</f>
        <v>62668.15</v>
      </c>
      <c r="EA218" s="2602">
        <f>CE218-V218</f>
        <v>1160.6499999999996</v>
      </c>
      <c r="EB218" s="187">
        <f>CF218-W218</f>
        <v>1238.5</v>
      </c>
      <c r="EC218" s="2695">
        <f>SUM(ED218:ED219)</f>
        <v>1160.6500000000001</v>
      </c>
      <c r="ED218" s="187">
        <v>1238.5</v>
      </c>
      <c r="EE218" s="187">
        <f>(SUM(CJ218:CO218))-(SUM(AA218:AE218,AL218))</f>
        <v>6242.67</v>
      </c>
      <c r="EF218" s="2695">
        <f>SUM(EG218:EG219)</f>
        <v>4545.1299999999992</v>
      </c>
      <c r="EG218" s="187">
        <v>4622.9799999999996</v>
      </c>
      <c r="EH218" s="2695">
        <f>SUM(EI218:EI219)</f>
        <v>0</v>
      </c>
      <c r="EI218" s="187">
        <f>CL218-AC218</f>
        <v>0</v>
      </c>
      <c r="EJ218" s="2695">
        <f>SUM(EK218:EK219)</f>
        <v>0</v>
      </c>
      <c r="EK218" s="187">
        <f>CJ218-AA218</f>
        <v>0</v>
      </c>
      <c r="EL218" s="2695">
        <f>SUM(EM218:EM219)</f>
        <v>-3384.48</v>
      </c>
      <c r="EM218" s="187">
        <f>CO218-AE218</f>
        <v>-3384.48</v>
      </c>
      <c r="EN218" s="2695">
        <f>SUM(EO218:EO219)</f>
        <v>0</v>
      </c>
      <c r="EO218" s="187">
        <f>CP218-AH218</f>
        <v>0</v>
      </c>
      <c r="EP218" s="2695">
        <f>SUM(EQ218:EQ219)</f>
        <v>0</v>
      </c>
      <c r="EQ218" s="187">
        <f>CR218-AJ218</f>
        <v>0</v>
      </c>
      <c r="ER218" s="2695">
        <f>SUM(ES218:ES219)</f>
        <v>0</v>
      </c>
      <c r="ES218" s="187">
        <f>CS218-AO218</f>
        <v>0</v>
      </c>
      <c r="ET218" s="2695">
        <f>SUM(EU218:EU219)</f>
        <v>0</v>
      </c>
      <c r="EU218" s="187">
        <f t="shared" si="125"/>
        <v>0</v>
      </c>
      <c r="EV218" s="2695">
        <f>SUM(EW218:EW219)</f>
        <v>0</v>
      </c>
      <c r="EW218" s="187">
        <f>CU218-AS218</f>
        <v>0</v>
      </c>
      <c r="EX218" s="2695">
        <f>SUM(EY218:EY219)</f>
        <v>0</v>
      </c>
      <c r="EY218" s="187">
        <f>CV218-AU218</f>
        <v>0</v>
      </c>
      <c r="EZ218" s="2695">
        <f>SUM(FA218:FA219)</f>
        <v>0</v>
      </c>
      <c r="FA218" s="187">
        <f>CY218-AX218</f>
        <v>0</v>
      </c>
      <c r="FB218" s="2695">
        <f>SUM(FC218:FC219)</f>
        <v>0</v>
      </c>
      <c r="FC218" s="187">
        <f>CZ218-AY218</f>
        <v>0</v>
      </c>
      <c r="FD218" s="2695">
        <f>SUM(FE218:FE219)</f>
        <v>0</v>
      </c>
      <c r="FE218" s="187">
        <f>DA218-AZ218</f>
        <v>0</v>
      </c>
      <c r="FF218" s="2695">
        <f>SUM(FG218:FG219)</f>
        <v>0</v>
      </c>
      <c r="FG218" s="187">
        <f>DB218-BA218</f>
        <v>0</v>
      </c>
      <c r="FH218" s="2695">
        <f>SUM(FI218:FI219)</f>
        <v>0</v>
      </c>
      <c r="FI218" s="187">
        <f>DC218-BB218</f>
        <v>0</v>
      </c>
      <c r="FJ218" s="2695">
        <f>SUM(FK218:FK219)</f>
        <v>0</v>
      </c>
      <c r="FK218" s="187">
        <f>CX218-AW218</f>
        <v>0</v>
      </c>
      <c r="FL218" s="2695">
        <f>SUM(FM218:FM219)</f>
        <v>63828.800000000003</v>
      </c>
      <c r="FM218" s="187">
        <f>DF218-BE218</f>
        <v>48800</v>
      </c>
      <c r="FN218" s="2695">
        <f>SUM(FO218:FO219)</f>
        <v>62.668150000000004</v>
      </c>
      <c r="FO218" s="187">
        <f>DH218-BG218</f>
        <v>47.561500000000002</v>
      </c>
      <c r="FP218" s="2695">
        <f>SUM(FQ218:FQ219)</f>
        <v>62.668150000000004</v>
      </c>
      <c r="FQ218" s="187">
        <f t="shared" ref="FQ218:FT219" si="131">DJ218-BI218</f>
        <v>47.561500000000002</v>
      </c>
      <c r="FR218" s="187">
        <f t="shared" si="131"/>
        <v>136.50150500000001</v>
      </c>
      <c r="FS218" s="187">
        <f t="shared" si="131"/>
        <v>3</v>
      </c>
      <c r="FT218" s="775">
        <f t="shared" si="131"/>
        <v>0</v>
      </c>
      <c r="FU218" s="775">
        <f>DR218-BO218</f>
        <v>0</v>
      </c>
      <c r="FV218" s="775">
        <f>DO218-BM218</f>
        <v>0</v>
      </c>
      <c r="FW218" s="775">
        <f>DQ218-BN218</f>
        <v>6.3665000000000003</v>
      </c>
      <c r="FX218" s="775">
        <f>DS218-BP218</f>
        <v>0</v>
      </c>
      <c r="FY218" s="789">
        <f t="shared" si="130"/>
        <v>0</v>
      </c>
      <c r="FZ218" s="775">
        <f>DU218-BR218</f>
        <v>0</v>
      </c>
      <c r="GA218" s="775">
        <f>DV218-BS218</f>
        <v>0</v>
      </c>
      <c r="GB218" s="2769">
        <f>SUM(GC218:GC219)</f>
        <v>8.3886500000000002</v>
      </c>
      <c r="GC218" s="776">
        <f t="shared" si="126"/>
        <v>6.3665000000000003</v>
      </c>
      <c r="GD218" s="139"/>
      <c r="GE218" s="139"/>
      <c r="GF218" s="139"/>
      <c r="GG218" s="139"/>
      <c r="GH218" s="139"/>
      <c r="GI218" s="139"/>
      <c r="GJ218" s="139"/>
      <c r="GK218" s="139"/>
      <c r="GL218" s="139"/>
      <c r="GM218" s="139"/>
      <c r="GN218" s="139"/>
      <c r="GO218" s="139"/>
      <c r="GP218" s="139"/>
      <c r="GQ218" s="139"/>
      <c r="GR218" s="139"/>
      <c r="GS218" s="139"/>
      <c r="GT218" s="139"/>
    </row>
    <row r="219" spans="1:202" s="81" customFormat="1" ht="15" customHeight="1">
      <c r="A219" s="2589"/>
      <c r="B219" s="2589"/>
      <c r="C219" s="66" t="s">
        <v>710</v>
      </c>
      <c r="D219" s="66">
        <v>2522</v>
      </c>
      <c r="E219" s="66">
        <v>68</v>
      </c>
      <c r="F219" s="66">
        <v>2025220068</v>
      </c>
      <c r="G219" s="71">
        <v>2379</v>
      </c>
      <c r="H219" s="66" t="s">
        <v>726</v>
      </c>
      <c r="I219" s="70" t="s">
        <v>727</v>
      </c>
      <c r="J219" s="66">
        <v>0.88</v>
      </c>
      <c r="K219" s="66">
        <v>3.44</v>
      </c>
      <c r="L219" s="66">
        <v>0</v>
      </c>
      <c r="M219" s="66">
        <v>4.8</v>
      </c>
      <c r="N219" s="68">
        <v>2100</v>
      </c>
      <c r="O219" s="68">
        <v>0</v>
      </c>
      <c r="P219" s="68">
        <v>0</v>
      </c>
      <c r="Q219" s="68">
        <v>2100</v>
      </c>
      <c r="R219" s="71">
        <v>0</v>
      </c>
      <c r="S219" s="791" t="s">
        <v>695</v>
      </c>
      <c r="T219" s="2611"/>
      <c r="U219" s="74">
        <v>0</v>
      </c>
      <c r="V219" s="2611"/>
      <c r="W219" s="74">
        <f>N219</f>
        <v>2100</v>
      </c>
      <c r="X219" s="74"/>
      <c r="Y219" s="74">
        <f>W219-AA219</f>
        <v>2100</v>
      </c>
      <c r="Z219" s="2611"/>
      <c r="AA219" s="74">
        <v>0</v>
      </c>
      <c r="AB219" s="2611"/>
      <c r="AC219" s="74">
        <v>0</v>
      </c>
      <c r="AD219" s="2611"/>
      <c r="AE219" s="74">
        <f>AG219+AF219</f>
        <v>0</v>
      </c>
      <c r="AF219" s="74">
        <v>0</v>
      </c>
      <c r="AG219" s="74">
        <v>0</v>
      </c>
      <c r="AH219" s="74">
        <v>0</v>
      </c>
      <c r="AI219" s="2611"/>
      <c r="AJ219" s="74">
        <v>0</v>
      </c>
      <c r="AK219" s="2611"/>
      <c r="AL219" s="74">
        <f>W219-(AA219+AC219+AE219+AH219+AJ219+AM219+AW219+AO219+AQ219+AS219+AU219)</f>
        <v>2100</v>
      </c>
      <c r="AM219" s="792">
        <v>0</v>
      </c>
      <c r="AN219" s="2611"/>
      <c r="AO219" s="74">
        <v>0</v>
      </c>
      <c r="AP219" s="2611"/>
      <c r="AQ219" s="74">
        <v>0</v>
      </c>
      <c r="AR219" s="2611"/>
      <c r="AS219" s="74">
        <v>0</v>
      </c>
      <c r="AT219" s="2611"/>
      <c r="AU219" s="74">
        <v>0</v>
      </c>
      <c r="AV219" s="2611"/>
      <c r="AW219" s="74">
        <f>AX219+AY219+AZ219+BA219+BB219</f>
        <v>0</v>
      </c>
      <c r="AX219" s="74">
        <v>0</v>
      </c>
      <c r="AY219" s="74">
        <v>0</v>
      </c>
      <c r="AZ219" s="74">
        <v>0</v>
      </c>
      <c r="BA219" s="74">
        <v>0</v>
      </c>
      <c r="BB219" s="74">
        <v>0</v>
      </c>
      <c r="BC219" s="74">
        <v>0</v>
      </c>
      <c r="BD219" s="2611"/>
      <c r="BE219" s="74">
        <f>U219+W219</f>
        <v>2100</v>
      </c>
      <c r="BF219" s="2611"/>
      <c r="BG219" s="74"/>
      <c r="BH219" s="2611"/>
      <c r="BI219" s="74">
        <v>0</v>
      </c>
      <c r="BJ219" s="74">
        <f t="shared" si="127"/>
        <v>0</v>
      </c>
      <c r="BK219" s="88">
        <f>ROUND((Y219+AC219+AA219)/1000*3,0)+ROUND((AE219+AU219)/1000,0)+ROUND((ROUND(AH219/400,0))/2.67,0)+ROUND(AM219/250,0)+ROUND(AO219/15000,0)+ROUND((AX219+AY219+AZ219+BB219)/1000*3,0)+ROUND(BG219/25,0)+ROUND(BU5/50,0)</f>
        <v>6</v>
      </c>
      <c r="BL219" s="74">
        <v>0</v>
      </c>
      <c r="BM219" s="74">
        <v>0</v>
      </c>
      <c r="BN219" s="74">
        <v>0</v>
      </c>
      <c r="BO219" s="74">
        <v>0</v>
      </c>
      <c r="BP219" s="74">
        <f>AH219/1000</f>
        <v>0</v>
      </c>
      <c r="BQ219" s="74">
        <v>0</v>
      </c>
      <c r="BR219" s="74">
        <v>0</v>
      </c>
      <c r="BS219" s="74">
        <v>0</v>
      </c>
      <c r="BT219" s="2611"/>
      <c r="BU219" s="74">
        <f>SUM(BL219:BS219)</f>
        <v>0</v>
      </c>
      <c r="BV219" s="81">
        <v>15</v>
      </c>
      <c r="BW219" s="793" t="s">
        <v>741</v>
      </c>
      <c r="BX219" s="81">
        <v>7.2</v>
      </c>
      <c r="BY219" s="81">
        <v>2</v>
      </c>
      <c r="BZ219" s="81">
        <v>6.5</v>
      </c>
      <c r="CA219" s="794"/>
      <c r="CB219" s="2597"/>
      <c r="CC219" s="795">
        <f>(BX219*G219)-CF219</f>
        <v>15106.65</v>
      </c>
      <c r="CD219" s="2733"/>
      <c r="CE219" s="2611"/>
      <c r="CF219" s="796">
        <f>1*(G219)-(0.15*1*(G219))</f>
        <v>2022.15</v>
      </c>
      <c r="CG219" s="2611"/>
      <c r="CH219" s="796">
        <f>CF219-CJ219</f>
        <v>2022.15</v>
      </c>
      <c r="CI219" s="2611"/>
      <c r="CJ219" s="81">
        <v>0</v>
      </c>
      <c r="CK219" s="2611"/>
      <c r="CL219" s="81">
        <v>0</v>
      </c>
      <c r="CM219" s="2611"/>
      <c r="CN219" s="797">
        <f>CF219-(CJ219+CL219+CO219+CP219+CR219+CU219+CV219+CX219)</f>
        <v>2022.15</v>
      </c>
      <c r="CO219" s="797">
        <v>0</v>
      </c>
      <c r="CP219" s="797">
        <v>0</v>
      </c>
      <c r="CQ219" s="2611"/>
      <c r="CR219" s="74">
        <v>0</v>
      </c>
      <c r="CS219" s="797">
        <v>0</v>
      </c>
      <c r="CT219" s="797">
        <v>0</v>
      </c>
      <c r="CU219" s="797">
        <v>0</v>
      </c>
      <c r="CV219" s="797">
        <v>0</v>
      </c>
      <c r="CW219" s="2611"/>
      <c r="CX219" s="74">
        <f>SUM(CY219:DC219)</f>
        <v>0</v>
      </c>
      <c r="CY219" s="797">
        <v>0</v>
      </c>
      <c r="CZ219" s="797">
        <v>0</v>
      </c>
      <c r="DA219" s="797">
        <v>0</v>
      </c>
      <c r="DB219" s="797">
        <v>0</v>
      </c>
      <c r="DC219" s="797">
        <v>0</v>
      </c>
      <c r="DD219" s="797"/>
      <c r="DE219" s="2611"/>
      <c r="DF219" s="797">
        <f>CC219+CF219</f>
        <v>17128.8</v>
      </c>
      <c r="DG219" s="2611"/>
      <c r="DH219" s="303">
        <f>CC219/'[1]Projected Development Sites'!DF$134</f>
        <v>15.10665</v>
      </c>
      <c r="DI219" s="2768"/>
      <c r="DJ219" s="798">
        <f>'[1]Projected Development Sites'!DK$136*DH219</f>
        <v>15.10665</v>
      </c>
      <c r="DK219" s="792">
        <f>2.87*DH219</f>
        <v>43.356085499999999</v>
      </c>
      <c r="DL219" s="917">
        <f>ROUND((CN219+CL219+CJ219)/1000*3,0)+ROUND((ROUND(CP219/400,0))/2.67,0)+ROUND(CV219/1000,0)+ROUND((CY219+CZ219+DA219+DC219)/1000*3,0)+ROUND(DH219/25,0)+ROUND(DX219/50,0)</f>
        <v>7</v>
      </c>
      <c r="DM219" s="799">
        <v>0</v>
      </c>
      <c r="DN219" s="799"/>
      <c r="DO219" s="799">
        <v>0</v>
      </c>
      <c r="DP219" s="799">
        <f>0.25*DJ219</f>
        <v>3.7766625</v>
      </c>
      <c r="DQ219" s="799">
        <f>SUM(CO219,CJ219,CN219,CR219,CU219)/1000</f>
        <v>2.0221499999999999</v>
      </c>
      <c r="DR219" s="799">
        <f>CL219/1000</f>
        <v>0</v>
      </c>
      <c r="DS219" s="799">
        <f>((CP219/400)/12)</f>
        <v>0</v>
      </c>
      <c r="DT219" s="799">
        <f>IF(CX219&gt;0,"Calculate",0)</f>
        <v>0</v>
      </c>
      <c r="DU219" s="799">
        <v>0</v>
      </c>
      <c r="DV219" s="799">
        <f>CX219/1000</f>
        <v>0</v>
      </c>
      <c r="DW219" s="2768"/>
      <c r="DX219" s="800">
        <f>SUM(DM219,DO219,DQ219:DV219)</f>
        <v>2.0221499999999999</v>
      </c>
      <c r="DY219" s="2727"/>
      <c r="DZ219" s="2730"/>
      <c r="EA219" s="2603"/>
      <c r="EB219" s="195">
        <f>CF219-W219</f>
        <v>-77.849999999999909</v>
      </c>
      <c r="EC219" s="2696"/>
      <c r="ED219" s="195">
        <v>-77.849999999999909</v>
      </c>
      <c r="EE219" s="195">
        <f>(SUM(CJ219:CO219))-(SUM(AA219:AE219,AL219))</f>
        <v>-77.849999999999909</v>
      </c>
      <c r="EF219" s="2696"/>
      <c r="EG219" s="195">
        <v>-77.849999999999909</v>
      </c>
      <c r="EH219" s="2696"/>
      <c r="EI219" s="195">
        <f>CL219-AC219</f>
        <v>0</v>
      </c>
      <c r="EJ219" s="2696"/>
      <c r="EK219" s="195">
        <f>CJ219-AA219</f>
        <v>0</v>
      </c>
      <c r="EL219" s="2696"/>
      <c r="EM219" s="190">
        <f>CO219-AE219</f>
        <v>0</v>
      </c>
      <c r="EN219" s="2696"/>
      <c r="EO219" s="190">
        <f>CP219-AH219</f>
        <v>0</v>
      </c>
      <c r="EP219" s="2696"/>
      <c r="EQ219" s="195">
        <f>CR219-AJ219</f>
        <v>0</v>
      </c>
      <c r="ER219" s="2696"/>
      <c r="ES219" s="195">
        <f>CS219-AO219</f>
        <v>0</v>
      </c>
      <c r="ET219" s="2696"/>
      <c r="EU219" s="195">
        <f t="shared" si="125"/>
        <v>0</v>
      </c>
      <c r="EV219" s="2696"/>
      <c r="EW219" s="195">
        <f>CU219-AS219</f>
        <v>0</v>
      </c>
      <c r="EX219" s="2696"/>
      <c r="EY219" s="190">
        <f>CV219-AU219</f>
        <v>0</v>
      </c>
      <c r="EZ219" s="2696"/>
      <c r="FA219" s="190">
        <f>CY219-AX219</f>
        <v>0</v>
      </c>
      <c r="FB219" s="2696"/>
      <c r="FC219" s="190">
        <f>CZ219-AY219</f>
        <v>0</v>
      </c>
      <c r="FD219" s="2696"/>
      <c r="FE219" s="190">
        <f>DA219-AZ219</f>
        <v>0</v>
      </c>
      <c r="FF219" s="2696"/>
      <c r="FG219" s="190">
        <f>DB219-BA219</f>
        <v>0</v>
      </c>
      <c r="FH219" s="2696"/>
      <c r="FI219" s="190">
        <f>DC219-BB219</f>
        <v>0</v>
      </c>
      <c r="FJ219" s="2696"/>
      <c r="FK219" s="190">
        <f>CX219-AW219</f>
        <v>0</v>
      </c>
      <c r="FL219" s="2696"/>
      <c r="FM219" s="195">
        <f>DF219-BE219</f>
        <v>15028.8</v>
      </c>
      <c r="FN219" s="2696"/>
      <c r="FO219" s="195">
        <f>DH219-BG219</f>
        <v>15.10665</v>
      </c>
      <c r="FP219" s="2696"/>
      <c r="FQ219" s="195">
        <f t="shared" si="131"/>
        <v>15.10665</v>
      </c>
      <c r="FR219" s="190">
        <f t="shared" si="131"/>
        <v>43.356085499999999</v>
      </c>
      <c r="FS219" s="190">
        <f t="shared" si="131"/>
        <v>1</v>
      </c>
      <c r="FT219" s="801">
        <f t="shared" si="131"/>
        <v>0</v>
      </c>
      <c r="FU219" s="801">
        <f>DR219-BO219</f>
        <v>0</v>
      </c>
      <c r="FV219" s="801">
        <f>DO219-BM219</f>
        <v>0</v>
      </c>
      <c r="FW219" s="801">
        <f>DQ219-BN219</f>
        <v>2.0221499999999999</v>
      </c>
      <c r="FX219" s="801">
        <f>DS219-BP219</f>
        <v>0</v>
      </c>
      <c r="FY219" s="801">
        <f t="shared" si="130"/>
        <v>0</v>
      </c>
      <c r="FZ219" s="801">
        <f>DU219-BR219</f>
        <v>0</v>
      </c>
      <c r="GA219" s="801">
        <f>DV219-BS219</f>
        <v>0</v>
      </c>
      <c r="GB219" s="2770"/>
      <c r="GC219" s="845">
        <f t="shared" si="126"/>
        <v>2.0221499999999999</v>
      </c>
      <c r="GD219" s="139"/>
      <c r="GE219" s="139"/>
      <c r="GF219" s="139"/>
      <c r="GG219" s="139"/>
      <c r="GH219" s="139"/>
      <c r="GI219" s="139"/>
      <c r="GJ219" s="139"/>
      <c r="GK219" s="139"/>
      <c r="GL219" s="139"/>
      <c r="GM219" s="139"/>
      <c r="GN219" s="139"/>
      <c r="GO219" s="139"/>
      <c r="GP219" s="139"/>
      <c r="GQ219" s="139"/>
      <c r="GR219" s="139"/>
      <c r="GS219" s="139"/>
      <c r="GT219" s="139"/>
    </row>
    <row r="220" spans="1:202" s="139" customFormat="1" ht="18.75">
      <c r="A220" s="2263"/>
      <c r="B220" s="2263"/>
      <c r="C220" s="913"/>
      <c r="D220" s="132"/>
      <c r="E220" s="132"/>
      <c r="F220" s="132"/>
      <c r="G220" s="137"/>
      <c r="H220" s="132"/>
      <c r="I220" s="136"/>
      <c r="J220" s="132"/>
      <c r="K220" s="132"/>
      <c r="L220" s="132"/>
      <c r="M220" s="132"/>
      <c r="N220" s="134"/>
      <c r="O220" s="134"/>
      <c r="P220" s="134"/>
      <c r="Q220" s="134"/>
      <c r="R220" s="137"/>
      <c r="S220" s="778"/>
      <c r="T220" s="634"/>
      <c r="U220" s="102"/>
      <c r="V220" s="634"/>
      <c r="W220" s="102"/>
      <c r="X220" s="102"/>
      <c r="Y220" s="102"/>
      <c r="Z220" s="634"/>
      <c r="AA220" s="102"/>
      <c r="AB220" s="634"/>
      <c r="AC220" s="102"/>
      <c r="AD220" s="634"/>
      <c r="AE220" s="102"/>
      <c r="AF220" s="102"/>
      <c r="AG220" s="102"/>
      <c r="AH220" s="102"/>
      <c r="AI220" s="634"/>
      <c r="AJ220" s="102"/>
      <c r="AK220" s="634"/>
      <c r="AL220" s="102"/>
      <c r="AM220" s="779"/>
      <c r="AN220" s="634"/>
      <c r="AO220" s="102"/>
      <c r="AP220" s="634"/>
      <c r="AQ220" s="102"/>
      <c r="AR220" s="634"/>
      <c r="AS220" s="102"/>
      <c r="AT220" s="634"/>
      <c r="AU220" s="102"/>
      <c r="AV220" s="634"/>
      <c r="AW220" s="102"/>
      <c r="AX220" s="102"/>
      <c r="AY220" s="102"/>
      <c r="AZ220" s="102"/>
      <c r="BA220" s="102"/>
      <c r="BB220" s="102"/>
      <c r="BC220" s="102"/>
      <c r="BD220" s="634"/>
      <c r="BE220" s="102"/>
      <c r="BF220" s="634"/>
      <c r="BG220" s="102"/>
      <c r="BH220" s="634"/>
      <c r="BI220" s="102"/>
      <c r="BJ220" s="111"/>
      <c r="BK220" s="186"/>
      <c r="BL220" s="102"/>
      <c r="BM220" s="102"/>
      <c r="BN220" s="102"/>
      <c r="BO220" s="102"/>
      <c r="BP220" s="102"/>
      <c r="BQ220" s="102"/>
      <c r="BR220" s="102"/>
      <c r="BS220" s="102"/>
      <c r="BT220" s="634"/>
      <c r="BU220" s="102"/>
      <c r="BW220" s="780"/>
      <c r="BZ220" s="921"/>
      <c r="CA220" s="627"/>
      <c r="CB220" s="2258"/>
      <c r="CC220" s="782"/>
      <c r="CD220" s="782"/>
      <c r="CE220" s="634"/>
      <c r="CF220" s="783"/>
      <c r="CG220" s="634"/>
      <c r="CH220" s="783"/>
      <c r="CI220" s="634"/>
      <c r="CK220" s="634"/>
      <c r="CM220" s="634"/>
      <c r="CN220" s="784"/>
      <c r="CO220" s="784"/>
      <c r="CP220" s="784"/>
      <c r="CQ220" s="634"/>
      <c r="CR220" s="102"/>
      <c r="CS220" s="784"/>
      <c r="CT220" s="784"/>
      <c r="CU220" s="784"/>
      <c r="CV220" s="784"/>
      <c r="CW220" s="634"/>
      <c r="CX220" s="784"/>
      <c r="CY220" s="784"/>
      <c r="CZ220" s="784"/>
      <c r="DA220" s="784"/>
      <c r="DB220" s="784"/>
      <c r="DC220" s="784"/>
      <c r="DD220" s="784"/>
      <c r="DE220" s="634"/>
      <c r="DF220" s="784"/>
      <c r="DG220" s="634"/>
      <c r="DI220" s="802"/>
      <c r="DJ220" s="787"/>
      <c r="DK220" s="899"/>
      <c r="DL220" s="786"/>
      <c r="DM220" s="787"/>
      <c r="DN220" s="787"/>
      <c r="DO220" s="787"/>
      <c r="DP220" s="787"/>
      <c r="DQ220" s="787"/>
      <c r="DR220" s="787"/>
      <c r="DS220" s="787"/>
      <c r="DT220" s="787"/>
      <c r="DU220" s="787"/>
      <c r="DV220" s="787"/>
      <c r="DW220" s="802"/>
      <c r="DX220" s="788"/>
      <c r="DY220" s="634"/>
      <c r="DZ220" s="2288"/>
      <c r="EA220" s="2231"/>
      <c r="EB220" s="187"/>
      <c r="EC220" s="2232"/>
      <c r="ED220" s="187"/>
      <c r="EE220" s="187"/>
      <c r="EF220" s="2232"/>
      <c r="EG220" s="187"/>
      <c r="EH220" s="2232"/>
      <c r="EI220" s="187"/>
      <c r="EJ220" s="2232"/>
      <c r="EK220" s="187"/>
      <c r="EL220" s="2232"/>
      <c r="EM220" s="195"/>
      <c r="EN220" s="2232"/>
      <c r="EO220" s="195"/>
      <c r="EP220" s="2232"/>
      <c r="EQ220" s="187"/>
      <c r="ER220" s="2232"/>
      <c r="ES220" s="187"/>
      <c r="ET220" s="2232"/>
      <c r="EU220" s="187">
        <f t="shared" si="125"/>
        <v>0</v>
      </c>
      <c r="EV220" s="2232"/>
      <c r="EW220" s="187"/>
      <c r="EX220" s="2232"/>
      <c r="EY220" s="195"/>
      <c r="EZ220" s="2232"/>
      <c r="FA220" s="195"/>
      <c r="FB220" s="2232"/>
      <c r="FC220" s="195"/>
      <c r="FD220" s="2232"/>
      <c r="FE220" s="195"/>
      <c r="FF220" s="2232"/>
      <c r="FG220" s="195"/>
      <c r="FH220" s="2232"/>
      <c r="FI220" s="195"/>
      <c r="FJ220" s="2232"/>
      <c r="FK220" s="195"/>
      <c r="FL220" s="2232"/>
      <c r="FM220" s="187"/>
      <c r="FN220" s="2232"/>
      <c r="FO220" s="187"/>
      <c r="FP220" s="2232"/>
      <c r="FQ220" s="187"/>
      <c r="FR220" s="195"/>
      <c r="FS220" s="195"/>
      <c r="FT220" s="789"/>
      <c r="FU220" s="789"/>
      <c r="FV220" s="789"/>
      <c r="FW220" s="789"/>
      <c r="FX220" s="789"/>
      <c r="FY220" s="801">
        <f t="shared" si="130"/>
        <v>0</v>
      </c>
      <c r="FZ220" s="789"/>
      <c r="GA220" s="789"/>
      <c r="GB220" s="2289"/>
      <c r="GC220" s="776"/>
    </row>
    <row r="221" spans="1:202" s="228" customFormat="1" ht="18.75">
      <c r="A221" s="216"/>
      <c r="B221" s="216">
        <v>82</v>
      </c>
      <c r="C221" s="918" t="s">
        <v>703</v>
      </c>
      <c r="D221" s="218">
        <v>2522</v>
      </c>
      <c r="E221" s="218">
        <v>96</v>
      </c>
      <c r="F221" s="218">
        <v>2025220096</v>
      </c>
      <c r="G221" s="223">
        <v>3900</v>
      </c>
      <c r="H221" s="218" t="s">
        <v>726</v>
      </c>
      <c r="I221" s="222" t="s">
        <v>727</v>
      </c>
      <c r="J221" s="218">
        <v>1.59</v>
      </c>
      <c r="K221" s="218">
        <v>4</v>
      </c>
      <c r="L221" s="218">
        <v>0</v>
      </c>
      <c r="M221" s="218">
        <v>4.8</v>
      </c>
      <c r="N221" s="220">
        <v>6196</v>
      </c>
      <c r="O221" s="220">
        <v>0</v>
      </c>
      <c r="P221" s="220">
        <v>0</v>
      </c>
      <c r="Q221" s="220">
        <v>6196</v>
      </c>
      <c r="R221" s="223">
        <v>0</v>
      </c>
      <c r="S221" s="898" t="s">
        <v>898</v>
      </c>
      <c r="T221" s="234">
        <f>U221</f>
        <v>0</v>
      </c>
      <c r="U221" s="111">
        <f>Q221-N221</f>
        <v>0</v>
      </c>
      <c r="V221" s="234">
        <f>W221</f>
        <v>6196</v>
      </c>
      <c r="W221" s="111">
        <f>N221</f>
        <v>6196</v>
      </c>
      <c r="X221" s="111"/>
      <c r="Y221" s="111">
        <f>W221-AA221</f>
        <v>6196</v>
      </c>
      <c r="Z221" s="234">
        <f>AA221</f>
        <v>0</v>
      </c>
      <c r="AA221" s="111">
        <v>0</v>
      </c>
      <c r="AB221" s="234">
        <f>AC221</f>
        <v>0</v>
      </c>
      <c r="AC221" s="111">
        <v>0</v>
      </c>
      <c r="AD221" s="234">
        <f>AE221</f>
        <v>0</v>
      </c>
      <c r="AE221" s="111">
        <f>AF221+AG221</f>
        <v>0</v>
      </c>
      <c r="AF221" s="111">
        <v>0</v>
      </c>
      <c r="AG221" s="111">
        <v>0</v>
      </c>
      <c r="AH221" s="111">
        <v>0</v>
      </c>
      <c r="AI221" s="234">
        <f>AJ221</f>
        <v>0</v>
      </c>
      <c r="AJ221" s="111">
        <f>P221</f>
        <v>0</v>
      </c>
      <c r="AK221" s="234">
        <f>AL221</f>
        <v>0</v>
      </c>
      <c r="AL221" s="111">
        <f>W221-(AA221+AC221+AE221+AH221+AJ221+AM221+AW221+AO221+AQ221+AS221+AU221)</f>
        <v>0</v>
      </c>
      <c r="AM221" s="899">
        <v>0</v>
      </c>
      <c r="AN221" s="234">
        <f>AO221</f>
        <v>0</v>
      </c>
      <c r="AO221" s="111">
        <v>0</v>
      </c>
      <c r="AP221" s="234">
        <f>AQ221</f>
        <v>0</v>
      </c>
      <c r="AQ221" s="111">
        <v>0</v>
      </c>
      <c r="AR221" s="234">
        <f>AS221</f>
        <v>6196</v>
      </c>
      <c r="AS221" s="111">
        <v>6196</v>
      </c>
      <c r="AT221" s="234">
        <f>AU221</f>
        <v>0</v>
      </c>
      <c r="AU221" s="111">
        <v>0</v>
      </c>
      <c r="AV221" s="234">
        <f>AW221</f>
        <v>0</v>
      </c>
      <c r="AW221" s="111">
        <f>AX221+AY221+AZ221+BA221+BB221</f>
        <v>0</v>
      </c>
      <c r="AX221" s="111">
        <v>0</v>
      </c>
      <c r="AY221" s="111">
        <v>0</v>
      </c>
      <c r="AZ221" s="111">
        <v>0</v>
      </c>
      <c r="BA221" s="111">
        <v>0</v>
      </c>
      <c r="BB221" s="111">
        <v>0</v>
      </c>
      <c r="BC221" s="111">
        <v>0</v>
      </c>
      <c r="BD221" s="234">
        <f>BE221</f>
        <v>6196</v>
      </c>
      <c r="BE221" s="111">
        <f>U221+W221</f>
        <v>6196</v>
      </c>
      <c r="BF221" s="234">
        <f>BG221</f>
        <v>0</v>
      </c>
      <c r="BG221" s="111">
        <v>0</v>
      </c>
      <c r="BH221" s="234">
        <f>BI221</f>
        <v>0</v>
      </c>
      <c r="BI221" s="111">
        <f>'[1]Projected Development Sites'!BG$135*BG221</f>
        <v>0</v>
      </c>
      <c r="BJ221" s="111">
        <f t="shared" si="127"/>
        <v>0</v>
      </c>
      <c r="BK221" s="306">
        <f>ROUND((AL221+AC221+AA221)/1000*3,0)+ROUND((AE221+AU221)/1000,0)+ROUND((ROUND(AH221/400,0))/2.67,0)+ROUND(AJ221/250,0)+ROUND(AO221/15000,0)+ROUND((AX221+AY221+AZ221+BB221)/1000*3,0)+ROUND(BG221/25,0)+ROUND(BU221/50,0)</f>
        <v>0</v>
      </c>
      <c r="BL221" s="111">
        <v>0</v>
      </c>
      <c r="BM221" s="111">
        <v>0</v>
      </c>
      <c r="BN221" s="111">
        <v>0</v>
      </c>
      <c r="BO221" s="111">
        <v>0</v>
      </c>
      <c r="BP221" s="111">
        <v>0</v>
      </c>
      <c r="BQ221" s="111">
        <v>0</v>
      </c>
      <c r="BR221" s="111">
        <v>0</v>
      </c>
      <c r="BS221" s="111">
        <v>0</v>
      </c>
      <c r="BT221" s="234">
        <f>BU221</f>
        <v>0</v>
      </c>
      <c r="BU221" s="111">
        <v>0</v>
      </c>
      <c r="BV221" s="228">
        <v>35</v>
      </c>
      <c r="BW221" s="900" t="s">
        <v>741</v>
      </c>
      <c r="BX221" s="228">
        <v>7.2</v>
      </c>
      <c r="BY221" s="228">
        <v>2</v>
      </c>
      <c r="BZ221" s="228">
        <v>6.5</v>
      </c>
      <c r="CA221" s="901" t="s">
        <v>706</v>
      </c>
      <c r="CB221" s="230" t="s">
        <v>716</v>
      </c>
      <c r="CC221" s="399">
        <f>(BX221*G221)-CF221</f>
        <v>24765</v>
      </c>
      <c r="CD221" s="399">
        <v>24765</v>
      </c>
      <c r="CE221" s="234">
        <f>CF221</f>
        <v>3315</v>
      </c>
      <c r="CF221" s="902">
        <f>1*(G221)-(0.15*1*(G221))</f>
        <v>3315</v>
      </c>
      <c r="CG221" s="234">
        <f>CH221</f>
        <v>3315</v>
      </c>
      <c r="CH221" s="902">
        <f>CF221-CJ221</f>
        <v>3315</v>
      </c>
      <c r="CI221" s="234">
        <f>CJ221</f>
        <v>0</v>
      </c>
      <c r="CJ221" s="228">
        <v>0</v>
      </c>
      <c r="CK221" s="234">
        <f>CL221</f>
        <v>0</v>
      </c>
      <c r="CL221" s="228">
        <v>0</v>
      </c>
      <c r="CM221" s="234">
        <f>CN221</f>
        <v>3315</v>
      </c>
      <c r="CN221" s="111">
        <f>CF221-(CJ221+CL221+CO221+CP221+CR221+CU221+CV221+CX221)</f>
        <v>3315</v>
      </c>
      <c r="CO221" s="903">
        <v>0</v>
      </c>
      <c r="CP221" s="903">
        <v>0</v>
      </c>
      <c r="CQ221" s="234">
        <f>CR221</f>
        <v>0</v>
      </c>
      <c r="CR221" s="111">
        <v>0</v>
      </c>
      <c r="CS221" s="903">
        <v>0</v>
      </c>
      <c r="CT221" s="903">
        <v>0</v>
      </c>
      <c r="CU221" s="903">
        <v>0</v>
      </c>
      <c r="CV221" s="903">
        <v>0</v>
      </c>
      <c r="CW221" s="234">
        <f>CX221</f>
        <v>0</v>
      </c>
      <c r="CX221" s="111">
        <f>SUM(CY221:DC221)</f>
        <v>0</v>
      </c>
      <c r="CY221" s="903">
        <f>AX221</f>
        <v>0</v>
      </c>
      <c r="CZ221" s="903">
        <f>AY221</f>
        <v>0</v>
      </c>
      <c r="DA221" s="903">
        <f>AZ221</f>
        <v>0</v>
      </c>
      <c r="DB221" s="903">
        <f>BA221</f>
        <v>0</v>
      </c>
      <c r="DC221" s="903">
        <f>BB221</f>
        <v>0</v>
      </c>
      <c r="DD221" s="903"/>
      <c r="DE221" s="234">
        <f>DF221</f>
        <v>28080</v>
      </c>
      <c r="DF221" s="111">
        <f>CC221+CF221</f>
        <v>28080</v>
      </c>
      <c r="DG221" s="234">
        <f>DH221</f>
        <v>25</v>
      </c>
      <c r="DH221" s="228">
        <f>ROUND(CC221/'[1]Projected Development Sites'!DF$134,0)</f>
        <v>25</v>
      </c>
      <c r="DI221" s="886">
        <f>DJ221</f>
        <v>25</v>
      </c>
      <c r="DJ221" s="905">
        <f>'[1]Projected Development Sites'!DK$136*DH221</f>
        <v>25</v>
      </c>
      <c r="DK221" s="899">
        <f>2.87*DH221</f>
        <v>71.75</v>
      </c>
      <c r="DL221" s="772">
        <f>ROUND((CN221+CL221+CJ221)/1000*3,0)+ROUND((ROUND(CP221/400,0))/2.67,0)+ROUND(CV221/1000,0)+ROUND((CY221+CZ221+DA221+DC221)/1000*3,0)+ROUND(DH221/25,0)+ROUND(DX221/50,0)</f>
        <v>11</v>
      </c>
      <c r="DM221" s="905">
        <v>0</v>
      </c>
      <c r="DN221" s="905"/>
      <c r="DO221" s="905">
        <v>0</v>
      </c>
      <c r="DP221" s="905">
        <f>0.25*DJ221</f>
        <v>6.25</v>
      </c>
      <c r="DQ221" s="905">
        <f>SUM(CO221,CJ221,CN221,CR221,CU221)/1000</f>
        <v>3.3149999999999999</v>
      </c>
      <c r="DR221" s="905">
        <f>CL221/1000</f>
        <v>0</v>
      </c>
      <c r="DS221" s="905">
        <f>((CP221/400)/12)</f>
        <v>0</v>
      </c>
      <c r="DT221" s="905">
        <f>IF(CX221&gt;0,"Calculate",0)</f>
        <v>0</v>
      </c>
      <c r="DU221" s="905">
        <v>0</v>
      </c>
      <c r="DV221" s="905">
        <f>CX221/1000</f>
        <v>0</v>
      </c>
      <c r="DW221" s="886">
        <f>DX221</f>
        <v>3.3149999999999999</v>
      </c>
      <c r="DX221" s="906">
        <f>SUM(DM221,DO221,DQ221:DV221)</f>
        <v>3.3149999999999999</v>
      </c>
      <c r="DY221" s="837">
        <v>145</v>
      </c>
      <c r="DZ221" s="2288">
        <f>CD221-T221</f>
        <v>24765</v>
      </c>
      <c r="EA221" s="2231">
        <f>CE221-V221</f>
        <v>-2881</v>
      </c>
      <c r="EB221" s="187">
        <f>CF221-W221</f>
        <v>-2881</v>
      </c>
      <c r="EC221" s="235">
        <f>ED221</f>
        <v>3315</v>
      </c>
      <c r="ED221" s="187">
        <v>3315</v>
      </c>
      <c r="EE221" s="187">
        <f>(SUM(CJ221:CO221))-(SUM(AA221:AE221,AL221))</f>
        <v>6630</v>
      </c>
      <c r="EF221" s="235">
        <f>EG221</f>
        <v>3315</v>
      </c>
      <c r="EG221" s="187">
        <v>3315</v>
      </c>
      <c r="EH221" s="235">
        <f>EI221</f>
        <v>0</v>
      </c>
      <c r="EI221" s="187">
        <f>CL221-AC221</f>
        <v>0</v>
      </c>
      <c r="EJ221" s="235">
        <f>EK221</f>
        <v>0</v>
      </c>
      <c r="EK221" s="187">
        <f>CJ221-AA221</f>
        <v>0</v>
      </c>
      <c r="EL221" s="235">
        <f>EM221</f>
        <v>0</v>
      </c>
      <c r="EM221" s="245">
        <f>CO221-AE221</f>
        <v>0</v>
      </c>
      <c r="EN221" s="235">
        <f>EO221</f>
        <v>0</v>
      </c>
      <c r="EO221" s="245">
        <f>CP221-AH221</f>
        <v>0</v>
      </c>
      <c r="EP221" s="235">
        <f>EQ221</f>
        <v>0</v>
      </c>
      <c r="EQ221" s="187">
        <f>CR221-AJ221</f>
        <v>0</v>
      </c>
      <c r="ER221" s="235">
        <f>ES221</f>
        <v>0</v>
      </c>
      <c r="ES221" s="187">
        <f>CS221-AO221</f>
        <v>0</v>
      </c>
      <c r="ET221" s="235">
        <f>EU221</f>
        <v>0</v>
      </c>
      <c r="EU221" s="187">
        <f t="shared" si="125"/>
        <v>0</v>
      </c>
      <c r="EV221" s="235">
        <f>EW221</f>
        <v>-6196</v>
      </c>
      <c r="EW221" s="187">
        <f>CU221-AS221</f>
        <v>-6196</v>
      </c>
      <c r="EX221" s="235">
        <f>EY221</f>
        <v>0</v>
      </c>
      <c r="EY221" s="245">
        <f>CV221-AU221</f>
        <v>0</v>
      </c>
      <c r="EZ221" s="235">
        <f>FA221</f>
        <v>0</v>
      </c>
      <c r="FA221" s="245">
        <f>CY221-AX221</f>
        <v>0</v>
      </c>
      <c r="FB221" s="235">
        <f>FC221</f>
        <v>0</v>
      </c>
      <c r="FC221" s="245">
        <f>CZ221-AY221</f>
        <v>0</v>
      </c>
      <c r="FD221" s="235">
        <f>FE221</f>
        <v>0</v>
      </c>
      <c r="FE221" s="245">
        <f>DA221-AZ221</f>
        <v>0</v>
      </c>
      <c r="FF221" s="235">
        <f>FG221</f>
        <v>0</v>
      </c>
      <c r="FG221" s="245">
        <f>DB221-BA221</f>
        <v>0</v>
      </c>
      <c r="FH221" s="235">
        <f>FI221</f>
        <v>0</v>
      </c>
      <c r="FI221" s="245">
        <f>DC221-BB221</f>
        <v>0</v>
      </c>
      <c r="FJ221" s="235">
        <f>FK221</f>
        <v>0</v>
      </c>
      <c r="FK221" s="245">
        <f>CX221-AW221</f>
        <v>0</v>
      </c>
      <c r="FL221" s="235">
        <f>FM221</f>
        <v>21884</v>
      </c>
      <c r="FM221" s="187">
        <f>DF221-BE221</f>
        <v>21884</v>
      </c>
      <c r="FN221" s="235">
        <f>FO221</f>
        <v>25</v>
      </c>
      <c r="FO221" s="187">
        <f>DH221-BG221</f>
        <v>25</v>
      </c>
      <c r="FP221" s="235">
        <f>FQ221</f>
        <v>25</v>
      </c>
      <c r="FQ221" s="187">
        <f>DJ221-BI221</f>
        <v>25</v>
      </c>
      <c r="FR221" s="245">
        <f>DK221-BJ221</f>
        <v>71.75</v>
      </c>
      <c r="FS221" s="245">
        <f>DL221-BK221</f>
        <v>11</v>
      </c>
      <c r="FT221" s="907">
        <f>DM221-BL221</f>
        <v>0</v>
      </c>
      <c r="FU221" s="907">
        <f>DR221-BO221</f>
        <v>0</v>
      </c>
      <c r="FV221" s="907">
        <f>DO221-BM221</f>
        <v>0</v>
      </c>
      <c r="FW221" s="907">
        <f>DQ221-BN221</f>
        <v>3.3149999999999999</v>
      </c>
      <c r="FX221" s="907">
        <f>DS221-BP221</f>
        <v>0</v>
      </c>
      <c r="FY221" s="801">
        <f t="shared" si="130"/>
        <v>0</v>
      </c>
      <c r="FZ221" s="907">
        <f>DU221-BR221</f>
        <v>0</v>
      </c>
      <c r="GA221" s="907">
        <f>DV221-BS221</f>
        <v>0</v>
      </c>
      <c r="GB221" s="894">
        <f>GC221</f>
        <v>3.3149999999999999</v>
      </c>
      <c r="GC221" s="776">
        <f t="shared" si="126"/>
        <v>3.3149999999999999</v>
      </c>
      <c r="GD221" s="139"/>
      <c r="GE221" s="139"/>
      <c r="GF221" s="139"/>
      <c r="GG221" s="139"/>
      <c r="GH221" s="139"/>
      <c r="GI221" s="139"/>
      <c r="GJ221" s="139"/>
      <c r="GK221" s="139"/>
      <c r="GL221" s="139"/>
      <c r="GM221" s="139"/>
      <c r="GN221" s="139"/>
      <c r="GO221" s="139"/>
      <c r="GP221" s="139"/>
      <c r="GQ221" s="139"/>
      <c r="GR221" s="139"/>
      <c r="GS221" s="139"/>
      <c r="GT221" s="139"/>
    </row>
    <row r="222" spans="1:202" s="139" customFormat="1" ht="18.75">
      <c r="A222" s="2263"/>
      <c r="B222" s="2263"/>
      <c r="C222" s="913"/>
      <c r="D222" s="132"/>
      <c r="E222" s="132"/>
      <c r="F222" s="132"/>
      <c r="G222" s="71"/>
      <c r="H222" s="132"/>
      <c r="I222" s="136"/>
      <c r="J222" s="132"/>
      <c r="K222" s="132"/>
      <c r="L222" s="132"/>
      <c r="M222" s="132"/>
      <c r="N222" s="134"/>
      <c r="O222" s="134"/>
      <c r="P222" s="134"/>
      <c r="Q222" s="134"/>
      <c r="R222" s="137"/>
      <c r="S222" s="778"/>
      <c r="T222" s="634"/>
      <c r="U222" s="102"/>
      <c r="V222" s="634"/>
      <c r="W222" s="102"/>
      <c r="X222" s="102"/>
      <c r="Y222" s="102"/>
      <c r="Z222" s="634"/>
      <c r="AA222" s="102"/>
      <c r="AB222" s="634"/>
      <c r="AC222" s="102"/>
      <c r="AD222" s="634"/>
      <c r="AE222" s="102"/>
      <c r="AF222" s="102"/>
      <c r="AG222" s="102"/>
      <c r="AH222" s="102"/>
      <c r="AI222" s="634"/>
      <c r="AJ222" s="102"/>
      <c r="AK222" s="634"/>
      <c r="AL222" s="102"/>
      <c r="AM222" s="779"/>
      <c r="AN222" s="634"/>
      <c r="AO222" s="102"/>
      <c r="AP222" s="634"/>
      <c r="AQ222" s="102"/>
      <c r="AR222" s="634"/>
      <c r="AS222" s="102"/>
      <c r="AT222" s="634"/>
      <c r="AU222" s="102"/>
      <c r="AV222" s="634"/>
      <c r="AW222" s="102"/>
      <c r="AX222" s="102"/>
      <c r="AY222" s="102"/>
      <c r="AZ222" s="102"/>
      <c r="BA222" s="102"/>
      <c r="BB222" s="102"/>
      <c r="BC222" s="102"/>
      <c r="BD222" s="634"/>
      <c r="BE222" s="102"/>
      <c r="BF222" s="634"/>
      <c r="BG222" s="102"/>
      <c r="BH222" s="634"/>
      <c r="BI222" s="102"/>
      <c r="BJ222" s="111"/>
      <c r="BK222" s="186"/>
      <c r="BL222" s="102"/>
      <c r="BM222" s="102"/>
      <c r="BN222" s="102"/>
      <c r="BO222" s="102"/>
      <c r="BP222" s="102"/>
      <c r="BQ222" s="102"/>
      <c r="BR222" s="102"/>
      <c r="BS222" s="102"/>
      <c r="BT222" s="634"/>
      <c r="BU222" s="111"/>
      <c r="BW222" s="780"/>
      <c r="CA222" s="627"/>
      <c r="CB222" s="2258"/>
      <c r="CC222" s="782"/>
      <c r="CD222" s="782"/>
      <c r="CE222" s="634"/>
      <c r="CF222" s="783"/>
      <c r="CG222" s="634"/>
      <c r="CH222" s="783"/>
      <c r="CI222" s="634"/>
      <c r="CK222" s="634"/>
      <c r="CM222" s="634"/>
      <c r="CN222" s="784"/>
      <c r="CO222" s="784"/>
      <c r="CP222" s="784"/>
      <c r="CQ222" s="634"/>
      <c r="CR222" s="102"/>
      <c r="CS222" s="784"/>
      <c r="CT222" s="784"/>
      <c r="CU222" s="784"/>
      <c r="CV222" s="784"/>
      <c r="CW222" s="634"/>
      <c r="CX222" s="784"/>
      <c r="CY222" s="784"/>
      <c r="CZ222" s="784"/>
      <c r="DA222" s="784"/>
      <c r="DB222" s="784"/>
      <c r="DC222" s="784"/>
      <c r="DD222" s="784"/>
      <c r="DE222" s="634"/>
      <c r="DF222" s="784"/>
      <c r="DG222" s="634"/>
      <c r="DI222" s="802"/>
      <c r="DJ222" s="787"/>
      <c r="DK222" s="899"/>
      <c r="DL222" s="772"/>
      <c r="DM222" s="787"/>
      <c r="DN222" s="787"/>
      <c r="DO222" s="787"/>
      <c r="DP222" s="787"/>
      <c r="DQ222" s="787"/>
      <c r="DR222" s="787"/>
      <c r="DS222" s="787"/>
      <c r="DT222" s="787"/>
      <c r="DU222" s="787"/>
      <c r="DV222" s="787"/>
      <c r="DW222" s="802"/>
      <c r="DX222" s="788"/>
      <c r="DY222" s="634"/>
      <c r="DZ222" s="2288"/>
      <c r="EA222" s="2231"/>
      <c r="EB222" s="187"/>
      <c r="EC222" s="2232"/>
      <c r="ED222" s="187"/>
      <c r="EE222" s="187"/>
      <c r="EF222" s="2232"/>
      <c r="EG222" s="187"/>
      <c r="EH222" s="2232"/>
      <c r="EI222" s="187"/>
      <c r="EJ222" s="2232"/>
      <c r="EK222" s="187"/>
      <c r="EL222" s="2232"/>
      <c r="EM222" s="195"/>
      <c r="EN222" s="2232"/>
      <c r="EO222" s="195"/>
      <c r="EP222" s="2232"/>
      <c r="EQ222" s="187"/>
      <c r="ER222" s="2232"/>
      <c r="ES222" s="187"/>
      <c r="ET222" s="2232"/>
      <c r="EU222" s="187">
        <f t="shared" si="125"/>
        <v>0</v>
      </c>
      <c r="EV222" s="2232"/>
      <c r="EW222" s="187"/>
      <c r="EX222" s="2232"/>
      <c r="EY222" s="195"/>
      <c r="EZ222" s="2232"/>
      <c r="FA222" s="195"/>
      <c r="FB222" s="2232"/>
      <c r="FC222" s="195"/>
      <c r="FD222" s="2232"/>
      <c r="FE222" s="195"/>
      <c r="FF222" s="2232"/>
      <c r="FG222" s="195"/>
      <c r="FH222" s="2232"/>
      <c r="FI222" s="195"/>
      <c r="FJ222" s="2232"/>
      <c r="FK222" s="195"/>
      <c r="FL222" s="2232"/>
      <c r="FM222" s="187"/>
      <c r="FN222" s="2232"/>
      <c r="FO222" s="187"/>
      <c r="FP222" s="2232"/>
      <c r="FQ222" s="187"/>
      <c r="FR222" s="195"/>
      <c r="FS222" s="195"/>
      <c r="FT222" s="789"/>
      <c r="FU222" s="789"/>
      <c r="FV222" s="789"/>
      <c r="FW222" s="789"/>
      <c r="FX222" s="789"/>
      <c r="FY222" s="801">
        <f t="shared" si="130"/>
        <v>0</v>
      </c>
      <c r="FZ222" s="789"/>
      <c r="GA222" s="789"/>
      <c r="GB222" s="2289"/>
      <c r="GC222" s="776"/>
    </row>
    <row r="223" spans="1:202" s="228" customFormat="1" ht="18.75">
      <c r="A223" s="216"/>
      <c r="B223" s="216">
        <v>83</v>
      </c>
      <c r="C223" s="918" t="s">
        <v>703</v>
      </c>
      <c r="D223" s="218">
        <v>2522</v>
      </c>
      <c r="E223" s="218">
        <v>81</v>
      </c>
      <c r="F223" s="218">
        <v>2025220081</v>
      </c>
      <c r="G223" s="218">
        <v>3600</v>
      </c>
      <c r="H223" s="221" t="s">
        <v>726</v>
      </c>
      <c r="I223" s="222" t="s">
        <v>727</v>
      </c>
      <c r="J223" s="218">
        <v>1.94</v>
      </c>
      <c r="K223" s="218">
        <v>3.44</v>
      </c>
      <c r="L223" s="218">
        <v>0</v>
      </c>
      <c r="M223" s="218">
        <v>4.8</v>
      </c>
      <c r="N223" s="220">
        <v>7000</v>
      </c>
      <c r="O223" s="220">
        <v>0</v>
      </c>
      <c r="P223" s="220">
        <v>3500</v>
      </c>
      <c r="Q223" s="220">
        <v>7000</v>
      </c>
      <c r="R223" s="223">
        <v>0</v>
      </c>
      <c r="S223" s="898" t="s">
        <v>884</v>
      </c>
      <c r="T223" s="234">
        <f>U223</f>
        <v>0</v>
      </c>
      <c r="U223" s="111">
        <f>Q223-N223</f>
        <v>0</v>
      </c>
      <c r="V223" s="234">
        <f>W223</f>
        <v>7000</v>
      </c>
      <c r="W223" s="111">
        <f>N223</f>
        <v>7000</v>
      </c>
      <c r="X223" s="111"/>
      <c r="Y223" s="111">
        <f>W223-AA223</f>
        <v>0</v>
      </c>
      <c r="Z223" s="234">
        <f>AA223</f>
        <v>7000</v>
      </c>
      <c r="AA223" s="111">
        <v>7000</v>
      </c>
      <c r="AB223" s="234">
        <f>AC223</f>
        <v>0</v>
      </c>
      <c r="AC223" s="111">
        <v>0</v>
      </c>
      <c r="AD223" s="234">
        <f>AE223</f>
        <v>0</v>
      </c>
      <c r="AE223" s="111">
        <f>AF223+AG223</f>
        <v>0</v>
      </c>
      <c r="AF223" s="111">
        <v>0</v>
      </c>
      <c r="AG223" s="111">
        <v>0</v>
      </c>
      <c r="AH223" s="111">
        <v>0</v>
      </c>
      <c r="AI223" s="234">
        <f>AJ223</f>
        <v>0</v>
      </c>
      <c r="AJ223" s="264">
        <v>0</v>
      </c>
      <c r="AK223" s="234">
        <f>AL223</f>
        <v>0</v>
      </c>
      <c r="AL223" s="111">
        <f>W223-(AA223+AC223+AE223+AH223+AJ223+AM223+AW223+AO223+AQ223+AS223+AU223)</f>
        <v>0</v>
      </c>
      <c r="AM223" s="899">
        <v>0</v>
      </c>
      <c r="AN223" s="234">
        <f>AO223</f>
        <v>0</v>
      </c>
      <c r="AO223" s="111">
        <v>0</v>
      </c>
      <c r="AP223" s="234">
        <f>AQ223</f>
        <v>0</v>
      </c>
      <c r="AQ223" s="111">
        <v>0</v>
      </c>
      <c r="AR223" s="234">
        <f>AS223</f>
        <v>0</v>
      </c>
      <c r="AS223" s="111">
        <v>0</v>
      </c>
      <c r="AT223" s="234">
        <f>AU223</f>
        <v>0</v>
      </c>
      <c r="AU223" s="111">
        <v>0</v>
      </c>
      <c r="AV223" s="234">
        <f>AW223</f>
        <v>0</v>
      </c>
      <c r="AW223" s="111">
        <f>AX223+AY223+AZ223+BA223+BB223</f>
        <v>0</v>
      </c>
      <c r="AX223" s="111">
        <v>0</v>
      </c>
      <c r="AY223" s="111">
        <v>0</v>
      </c>
      <c r="AZ223" s="111">
        <v>0</v>
      </c>
      <c r="BA223" s="111">
        <v>0</v>
      </c>
      <c r="BB223" s="111">
        <v>0</v>
      </c>
      <c r="BC223" s="111">
        <v>0</v>
      </c>
      <c r="BD223" s="234">
        <f>BE223</f>
        <v>7000</v>
      </c>
      <c r="BE223" s="111">
        <f>U223+W223</f>
        <v>7000</v>
      </c>
      <c r="BF223" s="234">
        <f>BG223</f>
        <v>0</v>
      </c>
      <c r="BG223" s="111">
        <v>0</v>
      </c>
      <c r="BH223" s="234">
        <f>BI223</f>
        <v>0</v>
      </c>
      <c r="BI223" s="111">
        <f>'[1]Projected Development Sites'!BG$135*BG223</f>
        <v>0</v>
      </c>
      <c r="BJ223" s="111">
        <f t="shared" si="127"/>
        <v>0</v>
      </c>
      <c r="BK223" s="306">
        <f>ROUND((AL223+AC223+AA223)/1000*3,0)+ROUND((AE223+AU223)/1000,0)+ROUND((ROUND(AH223/400,0))/2.67,0)+ROUND(AJ223/250,0)+ROUND(AO223/15000,0)+ROUND((AX223+AY223+AZ223+BB223)/1000*3,0)+ROUND(BG223/25,0)+ROUND(BU223/50,0)</f>
        <v>21</v>
      </c>
      <c r="BL223" s="111">
        <v>0</v>
      </c>
      <c r="BM223" s="111">
        <v>0</v>
      </c>
      <c r="BN223" s="111">
        <v>0</v>
      </c>
      <c r="BO223" s="111">
        <v>0</v>
      </c>
      <c r="BP223" s="111">
        <v>0</v>
      </c>
      <c r="BQ223" s="111">
        <v>0</v>
      </c>
      <c r="BR223" s="111">
        <v>0</v>
      </c>
      <c r="BS223" s="111">
        <v>0</v>
      </c>
      <c r="BT223" s="234">
        <f>BU223</f>
        <v>0</v>
      </c>
      <c r="BU223" s="111">
        <v>0</v>
      </c>
      <c r="BV223" s="228">
        <v>30</v>
      </c>
      <c r="BW223" s="900" t="s">
        <v>741</v>
      </c>
      <c r="BX223" s="228">
        <v>7.2</v>
      </c>
      <c r="BY223" s="228">
        <v>2</v>
      </c>
      <c r="BZ223" s="228">
        <v>6.5</v>
      </c>
      <c r="CA223" s="901" t="s">
        <v>706</v>
      </c>
      <c r="CB223" s="230" t="s">
        <v>754</v>
      </c>
      <c r="CC223" s="399">
        <f>(BX223*G223)-CF223</f>
        <v>18920</v>
      </c>
      <c r="CD223" s="399">
        <v>18920</v>
      </c>
      <c r="CE223" s="234">
        <f>CF223</f>
        <v>7000</v>
      </c>
      <c r="CF223" s="902">
        <f>W223</f>
        <v>7000</v>
      </c>
      <c r="CG223" s="234">
        <f>CH223</f>
        <v>0</v>
      </c>
      <c r="CH223" s="902">
        <f>CF223-CJ223</f>
        <v>0</v>
      </c>
      <c r="CI223" s="234">
        <f>CJ223</f>
        <v>7000</v>
      </c>
      <c r="CJ223" s="399">
        <f>CF223</f>
        <v>7000</v>
      </c>
      <c r="CK223" s="234">
        <f>CL223</f>
        <v>0</v>
      </c>
      <c r="CL223" s="228">
        <v>0</v>
      </c>
      <c r="CM223" s="234">
        <f>CN223</f>
        <v>0</v>
      </c>
      <c r="CN223" s="111">
        <f>CF223-(CJ223+CL223+CO223+CP223+CR223+CU223+CV223+CX223)</f>
        <v>0</v>
      </c>
      <c r="CO223" s="903">
        <v>0</v>
      </c>
      <c r="CP223" s="903">
        <v>0</v>
      </c>
      <c r="CQ223" s="234">
        <f>CR223</f>
        <v>0</v>
      </c>
      <c r="CR223" s="111">
        <v>0</v>
      </c>
      <c r="CS223" s="903">
        <v>0</v>
      </c>
      <c r="CT223" s="903">
        <v>0</v>
      </c>
      <c r="CU223" s="903">
        <v>0</v>
      </c>
      <c r="CV223" s="903">
        <v>0</v>
      </c>
      <c r="CW223" s="234">
        <f>CX223</f>
        <v>0</v>
      </c>
      <c r="CX223" s="111">
        <f>SUM(CY223:DC223)</f>
        <v>0</v>
      </c>
      <c r="CY223" s="903">
        <f>AX223</f>
        <v>0</v>
      </c>
      <c r="CZ223" s="903">
        <f>AY223</f>
        <v>0</v>
      </c>
      <c r="DA223" s="903">
        <f>AZ223</f>
        <v>0</v>
      </c>
      <c r="DB223" s="903">
        <f>BA223</f>
        <v>0</v>
      </c>
      <c r="DC223" s="903">
        <f>BB223</f>
        <v>0</v>
      </c>
      <c r="DD223" s="903"/>
      <c r="DE223" s="234">
        <f>DF223</f>
        <v>25920</v>
      </c>
      <c r="DF223" s="111">
        <f>CC223+CF223</f>
        <v>25920</v>
      </c>
      <c r="DG223" s="234">
        <f>DH223</f>
        <v>19</v>
      </c>
      <c r="DH223" s="228">
        <f>ROUND(CC223/'[1]Projected Development Sites'!DF$134,0)</f>
        <v>19</v>
      </c>
      <c r="DI223" s="886">
        <f>DJ223</f>
        <v>19</v>
      </c>
      <c r="DJ223" s="803">
        <f>'[1]Projected Development Sites'!DK$136*DH223</f>
        <v>19</v>
      </c>
      <c r="DK223" s="899">
        <f>2.87*DH223</f>
        <v>54.53</v>
      </c>
      <c r="DL223" s="772">
        <f>ROUND((CN223+CL223+CJ223)/1000*3,0)+ROUND((ROUND(CP223/400,0))/2.67,0)+ROUND(CV223/1000,0)+ROUND((CY223+CZ223+DA223+DC223)/1000*3,0)+ROUND(DH223/25,0)+ROUND(DX223/50,0)</f>
        <v>22</v>
      </c>
      <c r="DM223" s="905">
        <v>0</v>
      </c>
      <c r="DN223" s="905"/>
      <c r="DO223" s="905">
        <v>0</v>
      </c>
      <c r="DP223" s="905">
        <f>0.25*DJ223</f>
        <v>4.75</v>
      </c>
      <c r="DQ223" s="905">
        <f>SUM(CO223,CJ223,CN223,CR223,CU223)/1000</f>
        <v>7</v>
      </c>
      <c r="DR223" s="905">
        <f>CL223/1000</f>
        <v>0</v>
      </c>
      <c r="DS223" s="905">
        <f>((CP223/400)/12)</f>
        <v>0</v>
      </c>
      <c r="DT223" s="905">
        <f>IF(CX223&gt;0,"Calculate",0)</f>
        <v>0</v>
      </c>
      <c r="DU223" s="905">
        <v>0</v>
      </c>
      <c r="DV223" s="905">
        <f>CX223/1000</f>
        <v>0</v>
      </c>
      <c r="DW223" s="886">
        <f>DX223</f>
        <v>7</v>
      </c>
      <c r="DX223" s="906">
        <f>SUM(DM223,DO223,DQ223:DV223)</f>
        <v>7</v>
      </c>
      <c r="DY223" s="837">
        <v>145</v>
      </c>
      <c r="DZ223" s="2288">
        <f>CD223-T223</f>
        <v>18920</v>
      </c>
      <c r="EA223" s="2231">
        <f>CE223-V223</f>
        <v>0</v>
      </c>
      <c r="EB223" s="187">
        <f>CF223-W223</f>
        <v>0</v>
      </c>
      <c r="EC223" s="235">
        <f>ED223</f>
        <v>0</v>
      </c>
      <c r="ED223" s="187">
        <v>0</v>
      </c>
      <c r="EE223" s="187">
        <f>(SUM(CJ223:CO223))-(SUM(AA223:AE223,AL223))</f>
        <v>0</v>
      </c>
      <c r="EF223" s="235">
        <f>EG223</f>
        <v>0</v>
      </c>
      <c r="EG223" s="187">
        <v>0</v>
      </c>
      <c r="EH223" s="235">
        <f>EI223</f>
        <v>0</v>
      </c>
      <c r="EI223" s="187">
        <f>CL223-AC223</f>
        <v>0</v>
      </c>
      <c r="EJ223" s="235">
        <f>EK223</f>
        <v>0</v>
      </c>
      <c r="EK223" s="187">
        <f>CJ223-AA223</f>
        <v>0</v>
      </c>
      <c r="EL223" s="235">
        <f>EM223</f>
        <v>0</v>
      </c>
      <c r="EM223" s="245">
        <f>CO223-AE223</f>
        <v>0</v>
      </c>
      <c r="EN223" s="235">
        <f>EO223</f>
        <v>0</v>
      </c>
      <c r="EO223" s="245">
        <f>CP223-AH223</f>
        <v>0</v>
      </c>
      <c r="EP223" s="235">
        <f>EQ223</f>
        <v>0</v>
      </c>
      <c r="EQ223" s="187">
        <f>CR223-AJ223</f>
        <v>0</v>
      </c>
      <c r="ER223" s="235">
        <f>ES223</f>
        <v>0</v>
      </c>
      <c r="ES223" s="187">
        <f>CS223-AO223</f>
        <v>0</v>
      </c>
      <c r="ET223" s="235">
        <f>EU223</f>
        <v>0</v>
      </c>
      <c r="EU223" s="187">
        <f t="shared" si="125"/>
        <v>0</v>
      </c>
      <c r="EV223" s="235">
        <f>EW223</f>
        <v>0</v>
      </c>
      <c r="EW223" s="187">
        <f>CU223-AS223</f>
        <v>0</v>
      </c>
      <c r="EX223" s="235">
        <f>EY223</f>
        <v>0</v>
      </c>
      <c r="EY223" s="245">
        <f>CV223-AU223</f>
        <v>0</v>
      </c>
      <c r="EZ223" s="235">
        <f>FA223</f>
        <v>0</v>
      </c>
      <c r="FA223" s="245">
        <f>CY223-AX223</f>
        <v>0</v>
      </c>
      <c r="FB223" s="235">
        <f>FC223</f>
        <v>0</v>
      </c>
      <c r="FC223" s="245">
        <f>CZ223-AY223</f>
        <v>0</v>
      </c>
      <c r="FD223" s="235">
        <f>FE223</f>
        <v>0</v>
      </c>
      <c r="FE223" s="245">
        <f>DA223-AZ223</f>
        <v>0</v>
      </c>
      <c r="FF223" s="235">
        <f>FG223</f>
        <v>0</v>
      </c>
      <c r="FG223" s="245">
        <f>DB223-BA223</f>
        <v>0</v>
      </c>
      <c r="FH223" s="235">
        <f>FI223</f>
        <v>0</v>
      </c>
      <c r="FI223" s="245">
        <f>DC223-BB223</f>
        <v>0</v>
      </c>
      <c r="FJ223" s="235">
        <f>FK223</f>
        <v>0</v>
      </c>
      <c r="FK223" s="245">
        <f>CX223-AW223</f>
        <v>0</v>
      </c>
      <c r="FL223" s="235">
        <f>FM223</f>
        <v>18920</v>
      </c>
      <c r="FM223" s="187">
        <f>DF223-BE223</f>
        <v>18920</v>
      </c>
      <c r="FN223" s="235">
        <f>FO223</f>
        <v>19</v>
      </c>
      <c r="FO223" s="187">
        <f>DH223-BG223</f>
        <v>19</v>
      </c>
      <c r="FP223" s="235">
        <f>FQ223</f>
        <v>19</v>
      </c>
      <c r="FQ223" s="187">
        <f>DJ223-BI223</f>
        <v>19</v>
      </c>
      <c r="FR223" s="245">
        <f>DK223-BJ223</f>
        <v>54.53</v>
      </c>
      <c r="FS223" s="245">
        <f>DL223-BK223</f>
        <v>1</v>
      </c>
      <c r="FT223" s="907">
        <f>DM223-BL223</f>
        <v>0</v>
      </c>
      <c r="FU223" s="907">
        <f>DR223-BO223</f>
        <v>0</v>
      </c>
      <c r="FV223" s="907">
        <f>DO223-BM223</f>
        <v>0</v>
      </c>
      <c r="FW223" s="907">
        <f>DQ223-BN223</f>
        <v>7</v>
      </c>
      <c r="FX223" s="907">
        <f>DS223-BP223</f>
        <v>0</v>
      </c>
      <c r="FY223" s="801">
        <f t="shared" ref="FY223:GA254" si="132">DT223-BQ223</f>
        <v>0</v>
      </c>
      <c r="FZ223" s="907">
        <f>DU223-BR223</f>
        <v>0</v>
      </c>
      <c r="GA223" s="907">
        <f>DV223-BS223</f>
        <v>0</v>
      </c>
      <c r="GB223" s="894">
        <f>GC223</f>
        <v>7</v>
      </c>
      <c r="GC223" s="776">
        <f t="shared" si="126"/>
        <v>7</v>
      </c>
      <c r="GD223" s="139"/>
      <c r="GE223" s="139"/>
      <c r="GF223" s="139"/>
      <c r="GG223" s="139"/>
      <c r="GH223" s="139"/>
      <c r="GI223" s="139"/>
      <c r="GJ223" s="139"/>
      <c r="GK223" s="139"/>
      <c r="GL223" s="139"/>
      <c r="GM223" s="139"/>
      <c r="GN223" s="139"/>
      <c r="GO223" s="139"/>
      <c r="GP223" s="139"/>
      <c r="GQ223" s="139"/>
      <c r="GR223" s="139"/>
      <c r="GS223" s="139"/>
      <c r="GT223" s="139"/>
    </row>
    <row r="224" spans="1:202" s="139" customFormat="1" ht="18.75">
      <c r="A224" s="2263"/>
      <c r="B224" s="2263"/>
      <c r="C224" s="132"/>
      <c r="D224" s="132"/>
      <c r="E224" s="132"/>
      <c r="F224" s="777"/>
      <c r="G224" s="132"/>
      <c r="H224" s="135"/>
      <c r="I224" s="136"/>
      <c r="J224" s="132"/>
      <c r="K224" s="132"/>
      <c r="L224" s="132"/>
      <c r="M224" s="132"/>
      <c r="N224" s="134"/>
      <c r="O224" s="134"/>
      <c r="P224" s="134"/>
      <c r="Q224" s="134"/>
      <c r="R224" s="137"/>
      <c r="S224" s="778"/>
      <c r="T224" s="634"/>
      <c r="U224" s="102"/>
      <c r="V224" s="634"/>
      <c r="W224" s="102"/>
      <c r="X224" s="102"/>
      <c r="Y224" s="102"/>
      <c r="Z224" s="634"/>
      <c r="AA224" s="102"/>
      <c r="AB224" s="634"/>
      <c r="AC224" s="102"/>
      <c r="AD224" s="634"/>
      <c r="AE224" s="102"/>
      <c r="AF224" s="102"/>
      <c r="AG224" s="102"/>
      <c r="AH224" s="102"/>
      <c r="AI224" s="634"/>
      <c r="AJ224" s="102"/>
      <c r="AK224" s="634"/>
      <c r="AL224" s="102"/>
      <c r="AM224" s="779"/>
      <c r="AN224" s="634"/>
      <c r="AO224" s="102"/>
      <c r="AP224" s="634"/>
      <c r="AQ224" s="102"/>
      <c r="AR224" s="634"/>
      <c r="AS224" s="102"/>
      <c r="AT224" s="634"/>
      <c r="AU224" s="102"/>
      <c r="AV224" s="634"/>
      <c r="AW224" s="102"/>
      <c r="AX224" s="102"/>
      <c r="AY224" s="102"/>
      <c r="AZ224" s="102"/>
      <c r="BA224" s="102"/>
      <c r="BB224" s="102"/>
      <c r="BC224" s="102"/>
      <c r="BD224" s="634"/>
      <c r="BE224" s="102"/>
      <c r="BF224" s="634"/>
      <c r="BG224" s="102"/>
      <c r="BH224" s="634"/>
      <c r="BI224" s="102"/>
      <c r="BJ224" s="111"/>
      <c r="BK224" s="186"/>
      <c r="BL224" s="102"/>
      <c r="BM224" s="102"/>
      <c r="BN224" s="102"/>
      <c r="BO224" s="102"/>
      <c r="BP224" s="102"/>
      <c r="BQ224" s="102"/>
      <c r="BR224" s="102"/>
      <c r="BS224" s="102"/>
      <c r="BT224" s="634"/>
      <c r="BU224" s="111"/>
      <c r="BW224" s="780"/>
      <c r="CA224" s="781"/>
      <c r="CB224" s="2258"/>
      <c r="CC224" s="782"/>
      <c r="CD224" s="782"/>
      <c r="CE224" s="634"/>
      <c r="CF224" s="783"/>
      <c r="CG224" s="634"/>
      <c r="CH224" s="783"/>
      <c r="CI224" s="634"/>
      <c r="CK224" s="634"/>
      <c r="CM224" s="634"/>
      <c r="CN224" s="102"/>
      <c r="CO224" s="784"/>
      <c r="CP224" s="784"/>
      <c r="CQ224" s="634"/>
      <c r="CR224" s="102"/>
      <c r="CS224" s="784"/>
      <c r="CT224" s="784"/>
      <c r="CU224" s="784"/>
      <c r="CV224" s="784"/>
      <c r="CW224" s="634"/>
      <c r="CX224" s="784"/>
      <c r="CY224" s="784"/>
      <c r="CZ224" s="784"/>
      <c r="DA224" s="784"/>
      <c r="DB224" s="784"/>
      <c r="DC224" s="784"/>
      <c r="DD224" s="784"/>
      <c r="DE224" s="634"/>
      <c r="DF224" s="784"/>
      <c r="DG224" s="634"/>
      <c r="DH224" s="296"/>
      <c r="DI224" s="802"/>
      <c r="DJ224" s="785"/>
      <c r="DK224" s="899"/>
      <c r="DL224" s="772"/>
      <c r="DM224" s="787"/>
      <c r="DN224" s="787"/>
      <c r="DO224" s="787"/>
      <c r="DP224" s="787"/>
      <c r="DQ224" s="787"/>
      <c r="DR224" s="787"/>
      <c r="DS224" s="787"/>
      <c r="DT224" s="787"/>
      <c r="DU224" s="787"/>
      <c r="DV224" s="787"/>
      <c r="DW224" s="802"/>
      <c r="DX224" s="788"/>
      <c r="DY224" s="634"/>
      <c r="DZ224" s="2288"/>
      <c r="EA224" s="2231"/>
      <c r="EB224" s="187"/>
      <c r="EC224" s="2232"/>
      <c r="ED224" s="187"/>
      <c r="EE224" s="187"/>
      <c r="EF224" s="2232"/>
      <c r="EG224" s="187"/>
      <c r="EH224" s="2232"/>
      <c r="EI224" s="187"/>
      <c r="EJ224" s="2232"/>
      <c r="EK224" s="187"/>
      <c r="EL224" s="2232"/>
      <c r="EM224" s="195"/>
      <c r="EN224" s="2232"/>
      <c r="EO224" s="195"/>
      <c r="EP224" s="2232"/>
      <c r="EQ224" s="187"/>
      <c r="ER224" s="2232"/>
      <c r="ES224" s="187"/>
      <c r="ET224" s="2232"/>
      <c r="EU224" s="187">
        <f t="shared" si="125"/>
        <v>0</v>
      </c>
      <c r="EV224" s="2232"/>
      <c r="EW224" s="187"/>
      <c r="EX224" s="2232"/>
      <c r="EY224" s="195"/>
      <c r="EZ224" s="2232"/>
      <c r="FA224" s="195"/>
      <c r="FB224" s="2232"/>
      <c r="FC224" s="195"/>
      <c r="FD224" s="2232"/>
      <c r="FE224" s="195"/>
      <c r="FF224" s="2232"/>
      <c r="FG224" s="195"/>
      <c r="FH224" s="2232"/>
      <c r="FI224" s="195"/>
      <c r="FJ224" s="2232"/>
      <c r="FK224" s="195"/>
      <c r="FL224" s="2232"/>
      <c r="FM224" s="187"/>
      <c r="FN224" s="2232"/>
      <c r="FO224" s="187"/>
      <c r="FP224" s="2232"/>
      <c r="FQ224" s="187"/>
      <c r="FR224" s="195"/>
      <c r="FS224" s="195"/>
      <c r="FT224" s="789"/>
      <c r="FU224" s="789"/>
      <c r="FV224" s="789"/>
      <c r="FW224" s="789"/>
      <c r="FX224" s="789"/>
      <c r="FY224" s="801">
        <f t="shared" si="132"/>
        <v>0</v>
      </c>
      <c r="FZ224" s="789"/>
      <c r="GA224" s="789"/>
      <c r="GB224" s="2289"/>
      <c r="GC224" s="776"/>
    </row>
    <row r="225" spans="1:204" s="878" customFormat="1" ht="25.5">
      <c r="A225" s="216"/>
      <c r="B225" s="216">
        <v>84</v>
      </c>
      <c r="C225" s="937" t="s">
        <v>703</v>
      </c>
      <c r="D225" s="869">
        <v>2856</v>
      </c>
      <c r="E225" s="869">
        <v>29</v>
      </c>
      <c r="F225" s="869">
        <v>2028560029</v>
      </c>
      <c r="G225" s="869">
        <v>27000</v>
      </c>
      <c r="H225" s="871" t="s">
        <v>756</v>
      </c>
      <c r="I225" s="872" t="s">
        <v>706</v>
      </c>
      <c r="J225" s="869">
        <v>1.56</v>
      </c>
      <c r="K225" s="869">
        <v>0</v>
      </c>
      <c r="L225" s="869">
        <v>2</v>
      </c>
      <c r="M225" s="869">
        <v>4.8</v>
      </c>
      <c r="N225" s="873">
        <v>42192</v>
      </c>
      <c r="O225" s="873">
        <v>0</v>
      </c>
      <c r="P225" s="873">
        <v>42192</v>
      </c>
      <c r="Q225" s="873">
        <v>42192</v>
      </c>
      <c r="R225" s="874">
        <v>0</v>
      </c>
      <c r="S225" s="875" t="s">
        <v>731</v>
      </c>
      <c r="T225" s="234">
        <f>U225</f>
        <v>0</v>
      </c>
      <c r="U225" s="876">
        <f>Q225-N225</f>
        <v>0</v>
      </c>
      <c r="V225" s="234">
        <f>W225</f>
        <v>42192</v>
      </c>
      <c r="W225" s="876">
        <f>N225</f>
        <v>42192</v>
      </c>
      <c r="X225" s="876"/>
      <c r="Y225" s="876">
        <f>W225-AA225</f>
        <v>42192</v>
      </c>
      <c r="Z225" s="234">
        <f>AA225</f>
        <v>0</v>
      </c>
      <c r="AA225" s="876">
        <v>0</v>
      </c>
      <c r="AB225" s="234">
        <f>AC225</f>
        <v>0</v>
      </c>
      <c r="AC225" s="876">
        <v>0</v>
      </c>
      <c r="AD225" s="234">
        <f>AE225</f>
        <v>0</v>
      </c>
      <c r="AE225" s="876">
        <f>AF225+AG225</f>
        <v>0</v>
      </c>
      <c r="AF225" s="876">
        <v>0</v>
      </c>
      <c r="AG225" s="876">
        <v>0</v>
      </c>
      <c r="AH225" s="876">
        <v>0</v>
      </c>
      <c r="AI225" s="234">
        <f>AJ225</f>
        <v>0</v>
      </c>
      <c r="AJ225" s="979">
        <v>0</v>
      </c>
      <c r="AK225" s="234">
        <f>AL225</f>
        <v>0</v>
      </c>
      <c r="AL225" s="876">
        <f>W225-(AA225+AC225+AE225+AH225+AJ225+AM225+AW225+AO225+AQ225+AS225+AU225)</f>
        <v>0</v>
      </c>
      <c r="AM225" s="877">
        <v>0</v>
      </c>
      <c r="AN225" s="234">
        <f>AO225</f>
        <v>0</v>
      </c>
      <c r="AO225" s="876">
        <v>0</v>
      </c>
      <c r="AP225" s="234">
        <f>AQ225</f>
        <v>0</v>
      </c>
      <c r="AQ225" s="876">
        <v>0</v>
      </c>
      <c r="AR225" s="234">
        <f>AS225</f>
        <v>0</v>
      </c>
      <c r="AS225" s="876">
        <v>0</v>
      </c>
      <c r="AT225" s="234">
        <f>AU225</f>
        <v>0</v>
      </c>
      <c r="AU225" s="876">
        <v>0</v>
      </c>
      <c r="AV225" s="234">
        <f>AW225</f>
        <v>42192</v>
      </c>
      <c r="AW225" s="876">
        <f>AX225+AY225+AZ225+BA225+BB225+BC225</f>
        <v>42192</v>
      </c>
      <c r="AX225" s="876">
        <v>0</v>
      </c>
      <c r="AY225" s="876">
        <v>0</v>
      </c>
      <c r="AZ225" s="876">
        <v>0</v>
      </c>
      <c r="BA225" s="876">
        <v>0</v>
      </c>
      <c r="BB225" s="876">
        <v>42192</v>
      </c>
      <c r="BC225" s="876">
        <v>0</v>
      </c>
      <c r="BD225" s="234">
        <f>BE225</f>
        <v>42192</v>
      </c>
      <c r="BE225" s="876">
        <f>U225+W225</f>
        <v>42192</v>
      </c>
      <c r="BF225" s="234">
        <f>BG225</f>
        <v>0</v>
      </c>
      <c r="BG225" s="876">
        <v>0</v>
      </c>
      <c r="BH225" s="234">
        <f>BI225</f>
        <v>0</v>
      </c>
      <c r="BI225" s="876">
        <f>'[1]Projected Development Sites'!BG$135*BG225</f>
        <v>0</v>
      </c>
      <c r="BJ225" s="876">
        <f t="shared" si="127"/>
        <v>0</v>
      </c>
      <c r="BK225" s="306">
        <f>ROUND((AL225+AC225+AA225)/1000*3,0)+ROUND((AE225+AU225)/1000,0)+ROUND((ROUND(AH225/400,0))/2.67,0)+ROUND(AJ225/250,0)+ROUND(AO225/15000,0)+ROUND((AX225+AY225+AZ225+BB225)/1000*3,0)+ROUND(BG225/25,0)+ROUND(BU225/50,0)</f>
        <v>127</v>
      </c>
      <c r="BL225" s="876">
        <v>0</v>
      </c>
      <c r="BM225" s="876">
        <v>0</v>
      </c>
      <c r="BN225" s="876">
        <v>0</v>
      </c>
      <c r="BO225" s="876">
        <v>0</v>
      </c>
      <c r="BP225" s="876">
        <v>0</v>
      </c>
      <c r="BQ225" s="876">
        <v>0</v>
      </c>
      <c r="BR225" s="876">
        <v>0</v>
      </c>
      <c r="BS225" s="876">
        <v>0</v>
      </c>
      <c r="BT225" s="234">
        <f>BU225</f>
        <v>0</v>
      </c>
      <c r="BU225" s="876">
        <v>0</v>
      </c>
      <c r="BV225" s="878">
        <v>20</v>
      </c>
      <c r="BW225" s="879" t="s">
        <v>741</v>
      </c>
      <c r="BX225" s="878">
        <v>7.2</v>
      </c>
      <c r="BY225" s="878">
        <v>2</v>
      </c>
      <c r="BZ225" s="878">
        <v>6.5</v>
      </c>
      <c r="CA225" s="938" t="s">
        <v>706</v>
      </c>
      <c r="CB225" s="881" t="s">
        <v>899</v>
      </c>
      <c r="CC225" s="882">
        <f>(BX225*G225)-CF225</f>
        <v>152208</v>
      </c>
      <c r="CD225" s="882">
        <v>152208</v>
      </c>
      <c r="CE225" s="234">
        <f>CF225</f>
        <v>42192</v>
      </c>
      <c r="CF225" s="883">
        <f>W225</f>
        <v>42192</v>
      </c>
      <c r="CG225" s="234">
        <f>CH225</f>
        <v>42192</v>
      </c>
      <c r="CH225" s="961">
        <f>CF225-CJ225</f>
        <v>42192</v>
      </c>
      <c r="CI225" s="234">
        <f>CJ225</f>
        <v>0</v>
      </c>
      <c r="CJ225" s="878">
        <v>0</v>
      </c>
      <c r="CK225" s="234">
        <f>CL225</f>
        <v>0</v>
      </c>
      <c r="CL225" s="878">
        <v>0</v>
      </c>
      <c r="CM225" s="234">
        <f>CN225</f>
        <v>0</v>
      </c>
      <c r="CN225" s="876">
        <f>CF225-(CJ225+CL225+CO225+CP225+CR225+CU225+CV225+CX225)</f>
        <v>0</v>
      </c>
      <c r="CO225" s="884">
        <v>0</v>
      </c>
      <c r="CP225" s="884">
        <v>0</v>
      </c>
      <c r="CQ225" s="234">
        <f>CR225</f>
        <v>0</v>
      </c>
      <c r="CR225" s="876">
        <v>0</v>
      </c>
      <c r="CS225" s="884">
        <v>0</v>
      </c>
      <c r="CT225" s="884">
        <v>0</v>
      </c>
      <c r="CU225" s="884">
        <v>0</v>
      </c>
      <c r="CV225" s="884">
        <v>0</v>
      </c>
      <c r="CW225" s="234">
        <f>CX225</f>
        <v>42192</v>
      </c>
      <c r="CX225" s="876">
        <f>SUM(CY225:DC225)</f>
        <v>42192</v>
      </c>
      <c r="CY225" s="884">
        <f>AX225</f>
        <v>0</v>
      </c>
      <c r="CZ225" s="884">
        <f>AY225</f>
        <v>0</v>
      </c>
      <c r="DA225" s="884">
        <f>AZ225</f>
        <v>0</v>
      </c>
      <c r="DB225" s="884">
        <f>BA225</f>
        <v>0</v>
      </c>
      <c r="DC225" s="884">
        <f>BB225</f>
        <v>42192</v>
      </c>
      <c r="DD225" s="884"/>
      <c r="DE225" s="234">
        <f>DF225</f>
        <v>194400</v>
      </c>
      <c r="DF225" s="876">
        <f>CC225+CF225</f>
        <v>194400</v>
      </c>
      <c r="DG225" s="234">
        <f>DH225</f>
        <v>152</v>
      </c>
      <c r="DH225" s="878">
        <f>ROUND(CC225/'[1]Projected Development Sites'!DF$134,0)</f>
        <v>152</v>
      </c>
      <c r="DI225" s="886">
        <f>DJ225</f>
        <v>152</v>
      </c>
      <c r="DJ225" s="887">
        <f>'[1]Projected Development Sites'!DK$136*DH225</f>
        <v>152</v>
      </c>
      <c r="DK225" s="877">
        <f>2.87*DH225</f>
        <v>436.24</v>
      </c>
      <c r="DL225" s="772">
        <f>ROUND((CN225+CL225+CJ225)/1000*3,0)+ROUND((ROUND(CP225/400,0))/2.67,0)+ROUND(CV225/1000,0)+ROUND((CY225+CZ225+DA225+DC225)/1000*3,0)+ROUND(DH225/25,0)+ROUND(DX225/50,0)</f>
        <v>134</v>
      </c>
      <c r="DM225" s="888">
        <v>0</v>
      </c>
      <c r="DN225" s="888"/>
      <c r="DO225" s="888">
        <v>0</v>
      </c>
      <c r="DP225" s="888">
        <f>0.25*DJ225</f>
        <v>38</v>
      </c>
      <c r="DQ225" s="888">
        <f>SUM(CO225,CJ225,CN225,CR225,CU225)/1000</f>
        <v>0</v>
      </c>
      <c r="DR225" s="888">
        <f>CL225/1000</f>
        <v>0</v>
      </c>
      <c r="DS225" s="888">
        <f>((CP225/400)/12)</f>
        <v>0</v>
      </c>
      <c r="DT225" s="888">
        <v>0</v>
      </c>
      <c r="DU225" s="888">
        <v>0</v>
      </c>
      <c r="DV225" s="888">
        <f>CX225/1000</f>
        <v>42.192</v>
      </c>
      <c r="DW225" s="886">
        <f>DX225</f>
        <v>42.192</v>
      </c>
      <c r="DX225" s="889">
        <f>SUM(DM225,DO225,DQ225:DV225)</f>
        <v>42.192</v>
      </c>
      <c r="DY225" s="837">
        <v>145</v>
      </c>
      <c r="DZ225" s="2288">
        <f>CD225-T225</f>
        <v>152208</v>
      </c>
      <c r="EA225" s="2231">
        <f>CE225-V225</f>
        <v>0</v>
      </c>
      <c r="EB225" s="890">
        <f>CF225-W225</f>
        <v>0</v>
      </c>
      <c r="EC225" s="235">
        <f>ED225</f>
        <v>0</v>
      </c>
      <c r="ED225" s="890">
        <v>0</v>
      </c>
      <c r="EE225" s="890">
        <f>(SUM(CJ225:CO225))-(SUM(AA225:AE225,AL225))</f>
        <v>0</v>
      </c>
      <c r="EF225" s="235">
        <f>EG225</f>
        <v>0</v>
      </c>
      <c r="EG225" s="890">
        <v>0</v>
      </c>
      <c r="EH225" s="235">
        <f>EI225</f>
        <v>0</v>
      </c>
      <c r="EI225" s="890">
        <f>CL225-AC225</f>
        <v>0</v>
      </c>
      <c r="EJ225" s="235">
        <f>EK225</f>
        <v>0</v>
      </c>
      <c r="EK225" s="890">
        <f>CJ225-AA225</f>
        <v>0</v>
      </c>
      <c r="EL225" s="235">
        <f>EM225</f>
        <v>0</v>
      </c>
      <c r="EM225" s="892">
        <f>CO225-AE225</f>
        <v>0</v>
      </c>
      <c r="EN225" s="235">
        <f>EO225</f>
        <v>0</v>
      </c>
      <c r="EO225" s="892">
        <f>CP225-AH225</f>
        <v>0</v>
      </c>
      <c r="EP225" s="235">
        <f>EQ225</f>
        <v>0</v>
      </c>
      <c r="EQ225" s="890">
        <f>CR225-AJ225</f>
        <v>0</v>
      </c>
      <c r="ER225" s="235">
        <f>ES225</f>
        <v>0</v>
      </c>
      <c r="ES225" s="890">
        <f>CS225-AO225</f>
        <v>0</v>
      </c>
      <c r="ET225" s="235">
        <f>EU225</f>
        <v>0</v>
      </c>
      <c r="EU225" s="890">
        <f t="shared" si="125"/>
        <v>0</v>
      </c>
      <c r="EV225" s="235">
        <f>EW225</f>
        <v>0</v>
      </c>
      <c r="EW225" s="890">
        <f>CU225-AS225</f>
        <v>0</v>
      </c>
      <c r="EX225" s="235">
        <f>EY225</f>
        <v>0</v>
      </c>
      <c r="EY225" s="892">
        <f>CV225-AU225</f>
        <v>0</v>
      </c>
      <c r="EZ225" s="235">
        <f>FA225</f>
        <v>0</v>
      </c>
      <c r="FA225" s="892">
        <f>CY225-AX225</f>
        <v>0</v>
      </c>
      <c r="FB225" s="235">
        <f>FC225</f>
        <v>0</v>
      </c>
      <c r="FC225" s="892">
        <f>CZ225-AY225</f>
        <v>0</v>
      </c>
      <c r="FD225" s="235">
        <f>FE225</f>
        <v>0</v>
      </c>
      <c r="FE225" s="892">
        <f>DA225-AZ225</f>
        <v>0</v>
      </c>
      <c r="FF225" s="235">
        <f>FG225</f>
        <v>0</v>
      </c>
      <c r="FG225" s="892">
        <f>DB225-BA225</f>
        <v>0</v>
      </c>
      <c r="FH225" s="235">
        <f>FI225</f>
        <v>0</v>
      </c>
      <c r="FI225" s="892">
        <f>DC225-BB225</f>
        <v>0</v>
      </c>
      <c r="FJ225" s="235">
        <f>FK225</f>
        <v>0</v>
      </c>
      <c r="FK225" s="892">
        <f>CX225-AW225</f>
        <v>0</v>
      </c>
      <c r="FL225" s="235">
        <f>FM225</f>
        <v>152208</v>
      </c>
      <c r="FM225" s="890">
        <f>DF225-BE225</f>
        <v>152208</v>
      </c>
      <c r="FN225" s="235">
        <f>FO225</f>
        <v>152</v>
      </c>
      <c r="FO225" s="890">
        <f>DH225-BG225</f>
        <v>152</v>
      </c>
      <c r="FP225" s="235">
        <f>FQ225</f>
        <v>152</v>
      </c>
      <c r="FQ225" s="890">
        <f>DJ225-BI225</f>
        <v>152</v>
      </c>
      <c r="FR225" s="892">
        <f>DK225-BJ225</f>
        <v>436.24</v>
      </c>
      <c r="FS225" s="892">
        <f>DL225-BK225</f>
        <v>7</v>
      </c>
      <c r="FT225" s="893">
        <f>DM225-BL225</f>
        <v>0</v>
      </c>
      <c r="FU225" s="893">
        <f>DR225-BO225</f>
        <v>0</v>
      </c>
      <c r="FV225" s="893">
        <f>DO225-BM225</f>
        <v>0</v>
      </c>
      <c r="FW225" s="893">
        <f>DQ225-BN225</f>
        <v>0</v>
      </c>
      <c r="FX225" s="893">
        <f>DS225-BP225</f>
        <v>0</v>
      </c>
      <c r="FY225" s="980">
        <f t="shared" si="132"/>
        <v>0</v>
      </c>
      <c r="FZ225" s="893">
        <f>DU225-BR225</f>
        <v>0</v>
      </c>
      <c r="GA225" s="893">
        <f>DV225-BS225</f>
        <v>42.192</v>
      </c>
      <c r="GB225" s="894">
        <f>GC225</f>
        <v>42.192</v>
      </c>
      <c r="GC225" s="895">
        <f t="shared" si="126"/>
        <v>42.192</v>
      </c>
      <c r="GD225" s="896"/>
      <c r="GE225" s="896"/>
      <c r="GF225" s="896"/>
      <c r="GG225" s="896"/>
      <c r="GH225" s="896"/>
      <c r="GI225" s="896"/>
      <c r="GJ225" s="896"/>
      <c r="GK225" s="896"/>
      <c r="GL225" s="896"/>
      <c r="GM225" s="896"/>
      <c r="GN225" s="896"/>
      <c r="GO225" s="896"/>
      <c r="GP225" s="896"/>
      <c r="GQ225" s="896"/>
      <c r="GR225" s="896"/>
      <c r="GS225" s="896"/>
      <c r="GT225" s="896"/>
    </row>
    <row r="226" spans="1:204" s="139" customFormat="1" ht="18.75">
      <c r="A226" s="2263"/>
      <c r="B226" s="2263"/>
      <c r="C226" s="913"/>
      <c r="D226" s="132"/>
      <c r="E226" s="132"/>
      <c r="F226" s="218"/>
      <c r="G226" s="218"/>
      <c r="H226" s="221"/>
      <c r="I226" s="222"/>
      <c r="J226" s="218"/>
      <c r="K226" s="218"/>
      <c r="L226" s="218"/>
      <c r="M226" s="218"/>
      <c r="N226" s="220"/>
      <c r="O226" s="220"/>
      <c r="P226" s="220"/>
      <c r="Q226" s="220"/>
      <c r="R226" s="223"/>
      <c r="S226" s="898"/>
      <c r="T226" s="837"/>
      <c r="U226" s="111"/>
      <c r="V226" s="837"/>
      <c r="W226" s="111"/>
      <c r="X226" s="111"/>
      <c r="Y226" s="111"/>
      <c r="Z226" s="837"/>
      <c r="AA226" s="111"/>
      <c r="AB226" s="837"/>
      <c r="AC226" s="111"/>
      <c r="AD226" s="837"/>
      <c r="AE226" s="111"/>
      <c r="AF226" s="111"/>
      <c r="AG226" s="111"/>
      <c r="AH226" s="111"/>
      <c r="AI226" s="837"/>
      <c r="AJ226" s="264"/>
      <c r="AK226" s="837"/>
      <c r="AL226" s="111"/>
      <c r="AM226" s="899"/>
      <c r="AN226" s="837"/>
      <c r="AO226" s="111"/>
      <c r="AP226" s="837"/>
      <c r="AQ226" s="111"/>
      <c r="AR226" s="837"/>
      <c r="AS226" s="111"/>
      <c r="AT226" s="837"/>
      <c r="AU226" s="111"/>
      <c r="AV226" s="837"/>
      <c r="AW226" s="111"/>
      <c r="AX226" s="111"/>
      <c r="AY226" s="111"/>
      <c r="AZ226" s="111"/>
      <c r="BA226" s="111"/>
      <c r="BB226" s="111"/>
      <c r="BC226" s="111"/>
      <c r="BD226" s="837"/>
      <c r="BE226" s="111"/>
      <c r="BF226" s="837"/>
      <c r="BG226" s="111"/>
      <c r="BH226" s="837"/>
      <c r="BI226" s="111"/>
      <c r="BJ226" s="111"/>
      <c r="BK226" s="306"/>
      <c r="BL226" s="111"/>
      <c r="BM226" s="111"/>
      <c r="BN226" s="111"/>
      <c r="BO226" s="111"/>
      <c r="BP226" s="111"/>
      <c r="BQ226" s="111"/>
      <c r="BR226" s="111"/>
      <c r="BS226" s="111"/>
      <c r="BT226" s="837"/>
      <c r="BU226" s="111"/>
      <c r="BV226" s="228"/>
      <c r="BW226" s="900"/>
      <c r="BX226" s="228"/>
      <c r="BY226" s="228"/>
      <c r="BZ226" s="228"/>
      <c r="CA226" s="923"/>
      <c r="CB226" s="230"/>
      <c r="CC226" s="399"/>
      <c r="CD226" s="399"/>
      <c r="CE226" s="837"/>
      <c r="CF226" s="836"/>
      <c r="CG226" s="837"/>
      <c r="CH226" s="836"/>
      <c r="CI226" s="837"/>
      <c r="CJ226" s="228"/>
      <c r="CK226" s="837"/>
      <c r="CL226" s="228"/>
      <c r="CM226" s="837"/>
      <c r="CN226" s="903"/>
      <c r="CO226" s="903"/>
      <c r="CP226" s="903"/>
      <c r="CQ226" s="837"/>
      <c r="CR226" s="111"/>
      <c r="CS226" s="903"/>
      <c r="CT226" s="903"/>
      <c r="CU226" s="903"/>
      <c r="CV226" s="903"/>
      <c r="CW226" s="837"/>
      <c r="CX226" s="903"/>
      <c r="CY226" s="903"/>
      <c r="CZ226" s="903"/>
      <c r="DA226" s="903"/>
      <c r="DB226" s="903"/>
      <c r="DC226" s="903"/>
      <c r="DD226" s="903"/>
      <c r="DE226" s="837"/>
      <c r="DF226" s="903"/>
      <c r="DG226" s="837"/>
      <c r="DH226" s="228"/>
      <c r="DI226" s="926"/>
      <c r="DJ226" s="803"/>
      <c r="DK226" s="899"/>
      <c r="DL226" s="864"/>
      <c r="DM226" s="905"/>
      <c r="DN226" s="905"/>
      <c r="DO226" s="905"/>
      <c r="DP226" s="905"/>
      <c r="DQ226" s="905"/>
      <c r="DR226" s="905"/>
      <c r="DS226" s="905"/>
      <c r="DT226" s="905"/>
      <c r="DU226" s="905"/>
      <c r="DV226" s="905"/>
      <c r="DW226" s="926"/>
      <c r="DX226" s="906"/>
      <c r="DY226" s="981"/>
      <c r="DZ226" s="2288"/>
      <c r="EA226" s="2231"/>
      <c r="EB226" s="187"/>
      <c r="EC226" s="235"/>
      <c r="ED226" s="187"/>
      <c r="EE226" s="187"/>
      <c r="EF226" s="235"/>
      <c r="EG226" s="187"/>
      <c r="EH226" s="235"/>
      <c r="EI226" s="187"/>
      <c r="EJ226" s="235"/>
      <c r="EK226" s="187"/>
      <c r="EL226" s="235"/>
      <c r="EM226" s="245"/>
      <c r="EN226" s="235"/>
      <c r="EO226" s="245"/>
      <c r="EP226" s="235"/>
      <c r="EQ226" s="245"/>
      <c r="ER226" s="235"/>
      <c r="ES226" s="245"/>
      <c r="ET226" s="235"/>
      <c r="EU226" s="187">
        <f t="shared" si="125"/>
        <v>0</v>
      </c>
      <c r="EV226" s="235"/>
      <c r="EW226" s="187"/>
      <c r="EX226" s="235"/>
      <c r="EY226" s="245"/>
      <c r="EZ226" s="235"/>
      <c r="FA226" s="245"/>
      <c r="FB226" s="235"/>
      <c r="FC226" s="245"/>
      <c r="FD226" s="235"/>
      <c r="FE226" s="245"/>
      <c r="FF226" s="235"/>
      <c r="FG226" s="245"/>
      <c r="FH226" s="235"/>
      <c r="FI226" s="245"/>
      <c r="FJ226" s="235"/>
      <c r="FK226" s="245"/>
      <c r="FL226" s="235"/>
      <c r="FM226" s="187"/>
      <c r="FN226" s="235"/>
      <c r="FO226" s="187"/>
      <c r="FP226" s="235"/>
      <c r="FQ226" s="187"/>
      <c r="FR226" s="245"/>
      <c r="FS226" s="245"/>
      <c r="FT226" s="907"/>
      <c r="FU226" s="907"/>
      <c r="FV226" s="907"/>
      <c r="FW226" s="907"/>
      <c r="FX226" s="907"/>
      <c r="FY226" s="801">
        <f t="shared" si="132"/>
        <v>0</v>
      </c>
      <c r="FZ226" s="907"/>
      <c r="GA226" s="907"/>
      <c r="GB226" s="894"/>
      <c r="GC226" s="776"/>
    </row>
    <row r="227" spans="1:204" s="139" customFormat="1">
      <c r="A227" s="2660"/>
      <c r="B227" s="2588">
        <v>85</v>
      </c>
      <c r="C227" s="115" t="s">
        <v>703</v>
      </c>
      <c r="D227" s="115">
        <v>2856</v>
      </c>
      <c r="E227" s="115">
        <v>19</v>
      </c>
      <c r="F227" s="777">
        <v>2028560019</v>
      </c>
      <c r="G227" s="132">
        <v>2625</v>
      </c>
      <c r="H227" s="135" t="s">
        <v>756</v>
      </c>
      <c r="I227" s="136"/>
      <c r="J227" s="132">
        <v>0.95</v>
      </c>
      <c r="K227" s="132">
        <v>0</v>
      </c>
      <c r="L227" s="132">
        <v>2</v>
      </c>
      <c r="M227" s="115">
        <v>4.8</v>
      </c>
      <c r="N227" s="117">
        <v>2500</v>
      </c>
      <c r="O227" s="134">
        <v>0</v>
      </c>
      <c r="P227" s="134">
        <v>0</v>
      </c>
      <c r="Q227" s="134">
        <v>2500</v>
      </c>
      <c r="R227" s="137">
        <v>0</v>
      </c>
      <c r="S227" s="778" t="s">
        <v>900</v>
      </c>
      <c r="T227" s="2600">
        <f>SUM(U227:U230)</f>
        <v>7316</v>
      </c>
      <c r="U227" s="122">
        <v>0</v>
      </c>
      <c r="V227" s="2600">
        <f>SUM(W227:W230)</f>
        <v>54750</v>
      </c>
      <c r="W227" s="122">
        <v>2500</v>
      </c>
      <c r="X227" s="102"/>
      <c r="Y227" s="102">
        <v>2500</v>
      </c>
      <c r="Z227" s="2600">
        <f>SUM(AA227:AA230)</f>
        <v>0</v>
      </c>
      <c r="AA227" s="102">
        <v>0</v>
      </c>
      <c r="AB227" s="2600">
        <f>SUM(AC227:AC230)</f>
        <v>0</v>
      </c>
      <c r="AC227" s="102">
        <v>0</v>
      </c>
      <c r="AD227" s="2600">
        <f>SUM(AE227:AE230)</f>
        <v>0</v>
      </c>
      <c r="AE227" s="102">
        <v>0</v>
      </c>
      <c r="AF227" s="102">
        <v>0</v>
      </c>
      <c r="AG227" s="102">
        <v>0</v>
      </c>
      <c r="AH227" s="102">
        <v>0</v>
      </c>
      <c r="AI227" s="2600">
        <f>SUM(AJ227:AJ230)</f>
        <v>52250</v>
      </c>
      <c r="AJ227" s="266">
        <v>0</v>
      </c>
      <c r="AK227" s="2600">
        <f>SUM(AL227:AL230)</f>
        <v>2500</v>
      </c>
      <c r="AL227" s="102">
        <v>2500</v>
      </c>
      <c r="AM227" s="779">
        <v>0</v>
      </c>
      <c r="AN227" s="2600">
        <f>SUM(AO227:AO230)</f>
        <v>0</v>
      </c>
      <c r="AO227" s="102">
        <v>0</v>
      </c>
      <c r="AP227" s="2600">
        <f>SUM(AQ227:AQ230)</f>
        <v>0</v>
      </c>
      <c r="AQ227" s="102">
        <v>0</v>
      </c>
      <c r="AR227" s="2600">
        <f>SUM(AS227:AS230)</f>
        <v>0</v>
      </c>
      <c r="AS227" s="102">
        <v>0</v>
      </c>
      <c r="AT227" s="2600">
        <f>SUM(AU227:AU230)</f>
        <v>0</v>
      </c>
      <c r="AU227" s="122">
        <v>0</v>
      </c>
      <c r="AV227" s="2600">
        <f>SUM(AW227:AW230)</f>
        <v>0</v>
      </c>
      <c r="AW227" s="122">
        <v>0</v>
      </c>
      <c r="AX227" s="122">
        <v>0</v>
      </c>
      <c r="AY227" s="122">
        <v>0</v>
      </c>
      <c r="AZ227" s="122">
        <v>0</v>
      </c>
      <c r="BA227" s="122">
        <v>0</v>
      </c>
      <c r="BB227" s="122">
        <v>0</v>
      </c>
      <c r="BC227" s="122">
        <v>0</v>
      </c>
      <c r="BD227" s="2600">
        <f>SUM(BE227:BE230)</f>
        <v>62066</v>
      </c>
      <c r="BE227" s="122">
        <v>2500</v>
      </c>
      <c r="BF227" s="2600">
        <f>SUM(BG227:BG230)</f>
        <v>6</v>
      </c>
      <c r="BG227" s="122">
        <v>0</v>
      </c>
      <c r="BH227" s="2600">
        <f>SUM(BI227:BI230)</f>
        <v>0</v>
      </c>
      <c r="BI227" s="122">
        <v>0</v>
      </c>
      <c r="BJ227" s="102">
        <v>0</v>
      </c>
      <c r="BK227" s="186">
        <v>0</v>
      </c>
      <c r="BL227" s="102">
        <v>0</v>
      </c>
      <c r="BM227" s="102">
        <v>0</v>
      </c>
      <c r="BN227" s="102">
        <v>0</v>
      </c>
      <c r="BO227" s="102">
        <v>0</v>
      </c>
      <c r="BP227" s="102">
        <v>0</v>
      </c>
      <c r="BQ227" s="102">
        <v>0</v>
      </c>
      <c r="BR227" s="102">
        <v>0</v>
      </c>
      <c r="BS227" s="102">
        <v>0</v>
      </c>
      <c r="BT227" s="2600">
        <f>SUM(BU227:BU230)</f>
        <v>2</v>
      </c>
      <c r="BU227" s="102">
        <v>0</v>
      </c>
      <c r="BV227" s="122">
        <v>15</v>
      </c>
      <c r="BW227" s="766" t="s">
        <v>741</v>
      </c>
      <c r="BX227" s="102">
        <v>7.2</v>
      </c>
      <c r="BZ227" s="784">
        <v>6.5</v>
      </c>
      <c r="CA227" s="781"/>
      <c r="CB227" s="2596" t="s">
        <v>901</v>
      </c>
      <c r="CC227" s="768">
        <f>(BX227*G227)-CF227</f>
        <v>16400</v>
      </c>
      <c r="CD227" s="2731">
        <f>SUM(CC227:CC230)</f>
        <v>182803.6</v>
      </c>
      <c r="CE227" s="2600">
        <f>SUM(CF227:CF230)</f>
        <v>54750</v>
      </c>
      <c r="CF227" s="838">
        <f>W227</f>
        <v>2500</v>
      </c>
      <c r="CG227" s="2600">
        <f>SUM(CH227:CH230)</f>
        <v>54750</v>
      </c>
      <c r="CH227" s="838">
        <f>CF227-CJ227</f>
        <v>2500</v>
      </c>
      <c r="CI227" s="2600">
        <f>SUM(CJ227:CJ230)</f>
        <v>0</v>
      </c>
      <c r="CJ227" s="127">
        <v>0</v>
      </c>
      <c r="CK227" s="2600">
        <f>SUM(CL227:CL230)</f>
        <v>0</v>
      </c>
      <c r="CL227" s="127">
        <v>0</v>
      </c>
      <c r="CM227" s="2600">
        <f>SUM(CN227:CN230)</f>
        <v>0</v>
      </c>
      <c r="CN227" s="122">
        <v>0</v>
      </c>
      <c r="CO227" s="770">
        <v>0</v>
      </c>
      <c r="CP227" s="770">
        <v>0</v>
      </c>
      <c r="CQ227" s="2600">
        <f>SUM(CR227:CR230)</f>
        <v>54750</v>
      </c>
      <c r="CR227" s="122">
        <f>CF227</f>
        <v>2500</v>
      </c>
      <c r="CS227" s="770">
        <v>0</v>
      </c>
      <c r="CT227" s="770">
        <v>0</v>
      </c>
      <c r="CU227" s="770">
        <v>0</v>
      </c>
      <c r="CV227" s="770">
        <v>0</v>
      </c>
      <c r="CW227" s="2600">
        <f>SUM(CX227:CX230)</f>
        <v>0</v>
      </c>
      <c r="CX227" s="122">
        <f>SUM(CY227:DC227)</f>
        <v>0</v>
      </c>
      <c r="CY227" s="122">
        <v>0</v>
      </c>
      <c r="CZ227" s="122">
        <v>0</v>
      </c>
      <c r="DA227" s="122">
        <v>0</v>
      </c>
      <c r="DB227" s="122">
        <v>0</v>
      </c>
      <c r="DC227" s="122">
        <f>BB227</f>
        <v>0</v>
      </c>
      <c r="DD227" s="122"/>
      <c r="DE227" s="2600">
        <f>SUM(DF227:DF230)</f>
        <v>237553.6</v>
      </c>
      <c r="DF227" s="122">
        <f>CC227+CF227</f>
        <v>18900</v>
      </c>
      <c r="DG227" s="2600">
        <f>SUM(DH227:DH230)</f>
        <v>182</v>
      </c>
      <c r="DH227" s="127">
        <f>ROUND(CC227/'[1]Projected Development Sites'!DF$134,0)</f>
        <v>16</v>
      </c>
      <c r="DI227" s="2722">
        <f>SUM(DJ227:DJ230)</f>
        <v>182</v>
      </c>
      <c r="DJ227" s="771">
        <f>'[1]Projected Development Sites'!DK$136*DH227</f>
        <v>16</v>
      </c>
      <c r="DK227" s="765">
        <f>2.87*DH227</f>
        <v>45.92</v>
      </c>
      <c r="DL227" s="772">
        <f>ROUND((CN227+CL227+CJ227)/1000*3,0)+ROUND((ROUND(CP227/400,0))/2.67,0)+ROUND(CV227/1000,0)+ROUND((CY227+CZ227+DA227+DC227)/1000*3,0)+ROUND(DH227/25,0)+ROUND(DX227/50,0)</f>
        <v>1</v>
      </c>
      <c r="DM227" s="773">
        <v>0</v>
      </c>
      <c r="DN227" s="773"/>
      <c r="DO227" s="773">
        <v>0</v>
      </c>
      <c r="DP227" s="773">
        <f>0.25*DJ227</f>
        <v>4</v>
      </c>
      <c r="DQ227" s="773">
        <f>SUM(CO227,CJ227,CN227,CR227,CU227)/1000</f>
        <v>2.5</v>
      </c>
      <c r="DR227" s="773">
        <f>CL227/1000</f>
        <v>0</v>
      </c>
      <c r="DS227" s="773">
        <f>((CP227/400)/12)</f>
        <v>0</v>
      </c>
      <c r="DT227" s="773">
        <f>IF(CX227&gt;0,"Calculate",0)</f>
        <v>0</v>
      </c>
      <c r="DU227" s="773">
        <v>0</v>
      </c>
      <c r="DV227" s="773">
        <f>CX227/1000</f>
        <v>0</v>
      </c>
      <c r="DW227" s="2722">
        <f>SUM(DX227:DX230)</f>
        <v>54.75</v>
      </c>
      <c r="DX227" s="774">
        <f>SUM(DM227,DO227,DQ227:DV227)</f>
        <v>2.5</v>
      </c>
      <c r="DY227" s="2725">
        <v>145</v>
      </c>
      <c r="DZ227" s="2728">
        <f>CD227-T227</f>
        <v>175487.6</v>
      </c>
      <c r="EA227" s="2602">
        <f>CE227-V227</f>
        <v>0</v>
      </c>
      <c r="EB227" s="187">
        <f>CF227-W227</f>
        <v>0</v>
      </c>
      <c r="EC227" s="2602">
        <f>SUM(ED227:ED230)</f>
        <v>-2500</v>
      </c>
      <c r="ED227" s="187">
        <v>-2500</v>
      </c>
      <c r="EE227" s="187">
        <f>(SUM(CJ227:CO227))-(SUM(AA227:AE227,AL227))</f>
        <v>-2500</v>
      </c>
      <c r="EF227" s="2602">
        <f>SUM(EG227:EG230)</f>
        <v>-2500</v>
      </c>
      <c r="EG227" s="187">
        <v>-2500</v>
      </c>
      <c r="EH227" s="2602">
        <f>SUM(EI227:EI230)</f>
        <v>0</v>
      </c>
      <c r="EI227" s="187">
        <f>CL227-AC227</f>
        <v>0</v>
      </c>
      <c r="EJ227" s="2602">
        <f>SUM(EK227:EK230)</f>
        <v>0</v>
      </c>
      <c r="EK227" s="187">
        <f>CJ227-AA227</f>
        <v>0</v>
      </c>
      <c r="EL227" s="2602">
        <f>SUM(EM227:EM230)</f>
        <v>0</v>
      </c>
      <c r="EM227" s="187">
        <f>CO227-AE227</f>
        <v>0</v>
      </c>
      <c r="EN227" s="2602">
        <f>SUM(EO227:EO230)</f>
        <v>0</v>
      </c>
      <c r="EO227" s="187">
        <f>CP227-AH227</f>
        <v>0</v>
      </c>
      <c r="EP227" s="2602">
        <f>SUM(EQ227:EQ230)</f>
        <v>2500</v>
      </c>
      <c r="EQ227" s="195">
        <f>CR227-AJ227</f>
        <v>2500</v>
      </c>
      <c r="ER227" s="2602">
        <f>SUM(ES227:ES230)</f>
        <v>0</v>
      </c>
      <c r="ES227" s="195">
        <f>CS227-AO227</f>
        <v>0</v>
      </c>
      <c r="ET227" s="2602">
        <f>SUM(EU227:EU230)</f>
        <v>0</v>
      </c>
      <c r="EU227" s="187">
        <f t="shared" si="125"/>
        <v>0</v>
      </c>
      <c r="EV227" s="2602">
        <f>SUM(EW227:EW230)</f>
        <v>0</v>
      </c>
      <c r="EW227" s="187">
        <f>CU227-AS227</f>
        <v>0</v>
      </c>
      <c r="EX227" s="2602">
        <f>SUM(EY227:EY230)</f>
        <v>0</v>
      </c>
      <c r="EY227" s="187">
        <f>CV227-AU227</f>
        <v>0</v>
      </c>
      <c r="EZ227" s="2602">
        <f>SUM(FA227:FA230)</f>
        <v>0</v>
      </c>
      <c r="FA227" s="187">
        <f>CY227-AX227</f>
        <v>0</v>
      </c>
      <c r="FB227" s="2602">
        <f>SUM(FC227:FC230)</f>
        <v>0</v>
      </c>
      <c r="FC227" s="187">
        <f>CZ227-AY227</f>
        <v>0</v>
      </c>
      <c r="FD227" s="2602">
        <f>SUM(FE227:FE230)</f>
        <v>0</v>
      </c>
      <c r="FE227" s="187">
        <f>DA227-AZ227</f>
        <v>0</v>
      </c>
      <c r="FF227" s="2602">
        <f>SUM(FG227:FG230)</f>
        <v>0</v>
      </c>
      <c r="FG227" s="187">
        <f>DB227-BA227</f>
        <v>0</v>
      </c>
      <c r="FH227" s="2602">
        <f>SUM(FI227:FI230)</f>
        <v>0</v>
      </c>
      <c r="FI227" s="187">
        <f>DC227-BB227</f>
        <v>0</v>
      </c>
      <c r="FJ227" s="2602">
        <f>SUM(FK227:FK230)</f>
        <v>0</v>
      </c>
      <c r="FK227" s="187">
        <f>CX227-AW227</f>
        <v>0</v>
      </c>
      <c r="FL227" s="2602">
        <f>SUM(FM227:FM230)</f>
        <v>175487.6</v>
      </c>
      <c r="FM227" s="187">
        <f>DF227-BE227</f>
        <v>16400</v>
      </c>
      <c r="FN227" s="2602">
        <f>SUM(FO227:FO230)</f>
        <v>176</v>
      </c>
      <c r="FO227" s="187">
        <f>DH227-BG227</f>
        <v>16</v>
      </c>
      <c r="FP227" s="2602">
        <f>SUM(FQ227:FQ230)</f>
        <v>182</v>
      </c>
      <c r="FQ227" s="187">
        <f t="shared" ref="FQ227:FT230" si="133">DJ227-BI227</f>
        <v>16</v>
      </c>
      <c r="FR227" s="187">
        <f t="shared" si="133"/>
        <v>45.92</v>
      </c>
      <c r="FS227" s="187">
        <f t="shared" si="133"/>
        <v>1</v>
      </c>
      <c r="FT227" s="775">
        <f t="shared" si="133"/>
        <v>0</v>
      </c>
      <c r="FU227" s="775">
        <f>DR227-BO227</f>
        <v>0</v>
      </c>
      <c r="FV227" s="775">
        <f>DO227-BM227</f>
        <v>0</v>
      </c>
      <c r="FW227" s="775">
        <f>DQ227-BN227</f>
        <v>2.5</v>
      </c>
      <c r="FX227" s="775">
        <f>DS227-BP227</f>
        <v>0</v>
      </c>
      <c r="FY227" s="789">
        <f t="shared" si="132"/>
        <v>0</v>
      </c>
      <c r="FZ227" s="775">
        <f t="shared" si="132"/>
        <v>0</v>
      </c>
      <c r="GA227" s="775">
        <f t="shared" si="132"/>
        <v>0</v>
      </c>
      <c r="GB227" s="2734">
        <f>SUM(GC227:GC230)</f>
        <v>52.75</v>
      </c>
      <c r="GC227" s="776">
        <f>SUM(FT227:GA227)</f>
        <v>2.5</v>
      </c>
    </row>
    <row r="228" spans="1:204" s="127" customFormat="1" ht="15" customHeight="1">
      <c r="A228" s="2660"/>
      <c r="B228" s="2660"/>
      <c r="C228" s="132" t="s">
        <v>710</v>
      </c>
      <c r="D228" s="132">
        <v>2856</v>
      </c>
      <c r="E228" s="132">
        <v>23</v>
      </c>
      <c r="F228" s="777">
        <v>2028560023</v>
      </c>
      <c r="G228" s="294">
        <v>2500</v>
      </c>
      <c r="H228" s="135" t="s">
        <v>756</v>
      </c>
      <c r="I228" s="136"/>
      <c r="J228" s="132">
        <v>1.48</v>
      </c>
      <c r="K228" s="132">
        <v>0</v>
      </c>
      <c r="L228" s="132">
        <v>2</v>
      </c>
      <c r="M228" s="132">
        <v>4.8</v>
      </c>
      <c r="N228" s="134">
        <v>0</v>
      </c>
      <c r="O228" s="134">
        <v>0</v>
      </c>
      <c r="P228" s="134">
        <v>0</v>
      </c>
      <c r="Q228" s="134">
        <v>3694</v>
      </c>
      <c r="R228" s="137">
        <v>3</v>
      </c>
      <c r="S228" s="839" t="s">
        <v>743</v>
      </c>
      <c r="T228" s="2643"/>
      <c r="U228" s="102">
        <v>3694</v>
      </c>
      <c r="V228" s="2643"/>
      <c r="W228" s="102">
        <f>N228</f>
        <v>0</v>
      </c>
      <c r="X228" s="102"/>
      <c r="Y228" s="102">
        <f>W228-AA228</f>
        <v>0</v>
      </c>
      <c r="Z228" s="2643"/>
      <c r="AA228" s="102">
        <v>0</v>
      </c>
      <c r="AB228" s="2643"/>
      <c r="AC228" s="102">
        <v>0</v>
      </c>
      <c r="AD228" s="2643"/>
      <c r="AE228" s="102">
        <f>AG228+AF228</f>
        <v>0</v>
      </c>
      <c r="AF228" s="102">
        <v>0</v>
      </c>
      <c r="AG228" s="102">
        <v>0</v>
      </c>
      <c r="AH228" s="102">
        <v>0</v>
      </c>
      <c r="AI228" s="2643"/>
      <c r="AJ228" s="102">
        <v>0</v>
      </c>
      <c r="AK228" s="2643"/>
      <c r="AL228" s="102">
        <f>W228-(AA228+AC228+AE228+AH228+AJ228+AM228+AW228+AO228+AQ228+AS228+AU228)</f>
        <v>0</v>
      </c>
      <c r="AM228" s="779">
        <v>0</v>
      </c>
      <c r="AN228" s="2643"/>
      <c r="AO228" s="102">
        <v>0</v>
      </c>
      <c r="AP228" s="2643"/>
      <c r="AQ228" s="102">
        <v>0</v>
      </c>
      <c r="AR228" s="2643"/>
      <c r="AS228" s="102">
        <v>0</v>
      </c>
      <c r="AT228" s="2643"/>
      <c r="AU228" s="102">
        <v>0</v>
      </c>
      <c r="AV228" s="2643"/>
      <c r="AW228" s="102">
        <f>AX228+AY228+AZ228+BA228+BB228</f>
        <v>0</v>
      </c>
      <c r="AX228" s="102">
        <v>0</v>
      </c>
      <c r="AY228" s="102">
        <v>0</v>
      </c>
      <c r="AZ228" s="102">
        <v>0</v>
      </c>
      <c r="BA228" s="102">
        <v>0</v>
      </c>
      <c r="BB228" s="102">
        <v>0</v>
      </c>
      <c r="BC228" s="102">
        <v>0</v>
      </c>
      <c r="BD228" s="2643"/>
      <c r="BE228" s="102">
        <f>U228+W228</f>
        <v>3694</v>
      </c>
      <c r="BF228" s="2643"/>
      <c r="BG228" s="102">
        <v>3</v>
      </c>
      <c r="BH228" s="2643"/>
      <c r="BI228" s="102">
        <v>0</v>
      </c>
      <c r="BJ228" s="102">
        <f t="shared" si="127"/>
        <v>9</v>
      </c>
      <c r="BK228" s="186">
        <f>ROUND((Y228+AC228+AA228)/1000*3,0)+ROUND((AE228+AU228)/1000,0)+ROUND((ROUND(AH228/400,0))/2.67,0)+ROUND(AM228/250,0)+ROUND(AO228/15000,0)+ROUND((AX228+AY228+AZ228+BB228)/1000*3,0)+ROUND(BG228/25,0)+ROUND(BU67/50,0)</f>
        <v>0</v>
      </c>
      <c r="BL228" s="102">
        <v>1</v>
      </c>
      <c r="BM228" s="102">
        <v>0</v>
      </c>
      <c r="BN228" s="102">
        <v>0</v>
      </c>
      <c r="BO228" s="102">
        <f>AC228/1000</f>
        <v>0</v>
      </c>
      <c r="BP228" s="102">
        <f>AH228/1000</f>
        <v>0</v>
      </c>
      <c r="BQ228" s="102">
        <v>0</v>
      </c>
      <c r="BR228" s="102">
        <v>0</v>
      </c>
      <c r="BS228" s="102">
        <v>0</v>
      </c>
      <c r="BT228" s="2643"/>
      <c r="BU228" s="102">
        <f>SUM(BL228:BS228)</f>
        <v>1</v>
      </c>
      <c r="BV228" s="139">
        <v>35</v>
      </c>
      <c r="BW228" s="780" t="s">
        <v>741</v>
      </c>
      <c r="BX228" s="139">
        <v>7.2</v>
      </c>
      <c r="BY228" s="139">
        <v>0</v>
      </c>
      <c r="BZ228" s="139">
        <v>6.5</v>
      </c>
      <c r="CA228" s="781"/>
      <c r="CB228" s="2662"/>
      <c r="CC228" s="782">
        <f t="shared" ref="CC228:CC229" si="134">(BX228*G228)-G228</f>
        <v>15500</v>
      </c>
      <c r="CD228" s="2732"/>
      <c r="CE228" s="2643"/>
      <c r="CF228" s="840">
        <v>0</v>
      </c>
      <c r="CG228" s="2643"/>
      <c r="CH228" s="840">
        <f>CF228-CJ228</f>
        <v>0</v>
      </c>
      <c r="CI228" s="2643"/>
      <c r="CJ228" s="139">
        <v>0</v>
      </c>
      <c r="CK228" s="2643"/>
      <c r="CL228" s="139">
        <v>0</v>
      </c>
      <c r="CM228" s="2643"/>
      <c r="CN228" s="102">
        <f>CF228-(CJ228+CL228+CO228+CP228+CR228+CU228+CV228+CX228)</f>
        <v>0</v>
      </c>
      <c r="CO228" s="784">
        <v>0</v>
      </c>
      <c r="CP228" s="784">
        <v>0</v>
      </c>
      <c r="CQ228" s="2643"/>
      <c r="CR228" s="102">
        <v>0</v>
      </c>
      <c r="CS228" s="784">
        <v>0</v>
      </c>
      <c r="CT228" s="784">
        <v>0</v>
      </c>
      <c r="CU228" s="784">
        <v>0</v>
      </c>
      <c r="CV228" s="784">
        <v>0</v>
      </c>
      <c r="CW228" s="2643"/>
      <c r="CX228" s="102">
        <f>SUM(CY228:DC228)</f>
        <v>0</v>
      </c>
      <c r="CY228" s="102">
        <f t="shared" ref="CY228:DB229" si="135">AX228</f>
        <v>0</v>
      </c>
      <c r="CZ228" s="102">
        <f t="shared" si="135"/>
        <v>0</v>
      </c>
      <c r="DA228" s="102">
        <f t="shared" si="135"/>
        <v>0</v>
      </c>
      <c r="DB228" s="102">
        <f t="shared" si="135"/>
        <v>0</v>
      </c>
      <c r="DC228" s="102">
        <f>BB228</f>
        <v>0</v>
      </c>
      <c r="DD228" s="102"/>
      <c r="DE228" s="2643"/>
      <c r="DF228" s="102">
        <f>CC228+CF228</f>
        <v>15500</v>
      </c>
      <c r="DG228" s="2643"/>
      <c r="DH228" s="296">
        <f>CC228/'[1]Projected Development Sites'!DF$134</f>
        <v>15.5</v>
      </c>
      <c r="DI228" s="2723"/>
      <c r="DJ228" s="785">
        <f>'[1]Projected Development Sites'!DK$136*DH228</f>
        <v>15.5</v>
      </c>
      <c r="DK228" s="779">
        <f>2.87*DH228</f>
        <v>44.484999999999999</v>
      </c>
      <c r="DL228" s="786">
        <f>ROUND((CN228+CL228+CJ228)/1000*3,0)+ROUND((ROUND(CP228/400,0))/2.67,0)+ROUND(CV228/1000,0)+ROUND((CY228+CZ228+DA228+DC228)/1000*3,0)+ROUND(DH228/25,0)+ROUND(DX228/50,0)</f>
        <v>1</v>
      </c>
      <c r="DM228" s="787">
        <v>0</v>
      </c>
      <c r="DN228" s="787"/>
      <c r="DO228" s="787">
        <v>0</v>
      </c>
      <c r="DP228" s="787">
        <f>0.25*DJ228</f>
        <v>3.875</v>
      </c>
      <c r="DQ228" s="787">
        <f>SUM(CO228,CJ228,CN228,CR228,CU228)/1000</f>
        <v>0</v>
      </c>
      <c r="DR228" s="787">
        <f>CL228/1000</f>
        <v>0</v>
      </c>
      <c r="DS228" s="787">
        <f>((CP228/400)/12)</f>
        <v>0</v>
      </c>
      <c r="DT228" s="787">
        <f>IF(CX228&gt;0,"Calculate",0)</f>
        <v>0</v>
      </c>
      <c r="DU228" s="787">
        <v>0</v>
      </c>
      <c r="DV228" s="787">
        <f>CX228/1000</f>
        <v>0</v>
      </c>
      <c r="DW228" s="2723"/>
      <c r="DX228" s="914">
        <f>SUM(DM228,DO228,DQ228:DV228)</f>
        <v>0</v>
      </c>
      <c r="DY228" s="2726"/>
      <c r="DZ228" s="2729"/>
      <c r="EA228" s="2665"/>
      <c r="EB228" s="195">
        <f>CF228-W228</f>
        <v>0</v>
      </c>
      <c r="EC228" s="2665"/>
      <c r="ED228" s="195">
        <v>0</v>
      </c>
      <c r="EE228" s="195">
        <f>(SUM(CJ228:CO228))-(SUM(AA228:AE228,AL228))</f>
        <v>0</v>
      </c>
      <c r="EF228" s="2665"/>
      <c r="EG228" s="195">
        <v>0</v>
      </c>
      <c r="EH228" s="2665"/>
      <c r="EI228" s="195">
        <f>CL228-AC228</f>
        <v>0</v>
      </c>
      <c r="EJ228" s="2665"/>
      <c r="EK228" s="195">
        <f>CJ228-AA228</f>
        <v>0</v>
      </c>
      <c r="EL228" s="2665"/>
      <c r="EM228" s="195">
        <f>CO228-AE228</f>
        <v>0</v>
      </c>
      <c r="EN228" s="2665"/>
      <c r="EO228" s="195">
        <f>CP228-AH228</f>
        <v>0</v>
      </c>
      <c r="EP228" s="2665"/>
      <c r="EQ228" s="195">
        <f>CR228-AJ228</f>
        <v>0</v>
      </c>
      <c r="ER228" s="2665"/>
      <c r="ES228" s="195">
        <f>CS228-AO228</f>
        <v>0</v>
      </c>
      <c r="ET228" s="2665"/>
      <c r="EU228" s="195">
        <f t="shared" si="125"/>
        <v>0</v>
      </c>
      <c r="EV228" s="2665"/>
      <c r="EW228" s="195">
        <f>CU228-AS228</f>
        <v>0</v>
      </c>
      <c r="EX228" s="2665"/>
      <c r="EY228" s="195">
        <f>CV228-AU228</f>
        <v>0</v>
      </c>
      <c r="EZ228" s="2665"/>
      <c r="FA228" s="195">
        <f>CY228-AX228</f>
        <v>0</v>
      </c>
      <c r="FB228" s="2665"/>
      <c r="FC228" s="195">
        <f>CZ228-AY228</f>
        <v>0</v>
      </c>
      <c r="FD228" s="2665"/>
      <c r="FE228" s="195">
        <f>DA228-AZ228</f>
        <v>0</v>
      </c>
      <c r="FF228" s="2665"/>
      <c r="FG228" s="195">
        <f>DB228-BA228</f>
        <v>0</v>
      </c>
      <c r="FH228" s="2665"/>
      <c r="FI228" s="195">
        <f>DC228-BB228</f>
        <v>0</v>
      </c>
      <c r="FJ228" s="2665"/>
      <c r="FK228" s="195">
        <f>CX228-AW228</f>
        <v>0</v>
      </c>
      <c r="FL228" s="2665"/>
      <c r="FM228" s="195">
        <f>DF228-BE228</f>
        <v>11806</v>
      </c>
      <c r="FN228" s="2665"/>
      <c r="FO228" s="195">
        <f>DH228-BG228</f>
        <v>12.5</v>
      </c>
      <c r="FP228" s="2665"/>
      <c r="FQ228" s="195">
        <f t="shared" si="133"/>
        <v>15.5</v>
      </c>
      <c r="FR228" s="195">
        <f t="shared" si="133"/>
        <v>35.484999999999999</v>
      </c>
      <c r="FS228" s="195">
        <f t="shared" si="133"/>
        <v>1</v>
      </c>
      <c r="FT228" s="789">
        <f t="shared" si="133"/>
        <v>-1</v>
      </c>
      <c r="FU228" s="789">
        <f>DR228-BO228</f>
        <v>0</v>
      </c>
      <c r="FV228" s="789">
        <f>DO228-BM228</f>
        <v>0</v>
      </c>
      <c r="FW228" s="789">
        <f>DQ228-BN228</f>
        <v>0</v>
      </c>
      <c r="FX228" s="789">
        <f>DS228-BP228</f>
        <v>0</v>
      </c>
      <c r="FY228" s="789">
        <f t="shared" si="132"/>
        <v>0</v>
      </c>
      <c r="FZ228" s="789">
        <f t="shared" si="132"/>
        <v>0</v>
      </c>
      <c r="GA228" s="789">
        <f t="shared" si="132"/>
        <v>0</v>
      </c>
      <c r="GB228" s="2735"/>
      <c r="GC228" s="790">
        <f t="shared" si="126"/>
        <v>-1</v>
      </c>
      <c r="GD228" s="139"/>
      <c r="GE228" s="139"/>
      <c r="GF228" s="139"/>
      <c r="GG228" s="139"/>
      <c r="GH228" s="139"/>
      <c r="GI228" s="139"/>
      <c r="GJ228" s="139"/>
      <c r="GK228" s="139"/>
      <c r="GL228" s="139"/>
      <c r="GM228" s="139"/>
      <c r="GN228" s="139"/>
      <c r="GO228" s="139"/>
      <c r="GP228" s="139"/>
      <c r="GQ228" s="139"/>
      <c r="GR228" s="139"/>
      <c r="GS228" s="139"/>
      <c r="GT228" s="139"/>
    </row>
    <row r="229" spans="1:204" s="139" customFormat="1" ht="15" customHeight="1">
      <c r="A229" s="2660"/>
      <c r="B229" s="2660"/>
      <c r="C229" s="132" t="s">
        <v>721</v>
      </c>
      <c r="D229" s="132">
        <v>2856</v>
      </c>
      <c r="E229" s="132">
        <v>24</v>
      </c>
      <c r="F229" s="777">
        <v>2028560024</v>
      </c>
      <c r="G229" s="132">
        <v>2500</v>
      </c>
      <c r="H229" s="135" t="s">
        <v>756</v>
      </c>
      <c r="I229" s="136"/>
      <c r="J229" s="132">
        <v>1.45</v>
      </c>
      <c r="K229" s="132">
        <v>0</v>
      </c>
      <c r="L229" s="132">
        <v>2</v>
      </c>
      <c r="M229" s="132">
        <v>4.8</v>
      </c>
      <c r="N229" s="134">
        <v>0</v>
      </c>
      <c r="O229" s="134">
        <v>0</v>
      </c>
      <c r="P229" s="134">
        <v>0</v>
      </c>
      <c r="Q229" s="134">
        <v>3622</v>
      </c>
      <c r="R229" s="137">
        <v>3</v>
      </c>
      <c r="S229" s="778" t="s">
        <v>743</v>
      </c>
      <c r="T229" s="2643"/>
      <c r="U229" s="102">
        <v>3622</v>
      </c>
      <c r="V229" s="2643"/>
      <c r="W229" s="102">
        <f>N229</f>
        <v>0</v>
      </c>
      <c r="X229" s="102"/>
      <c r="Y229" s="102">
        <f>W229-AA229</f>
        <v>0</v>
      </c>
      <c r="Z229" s="2643"/>
      <c r="AA229" s="102">
        <v>0</v>
      </c>
      <c r="AB229" s="2643"/>
      <c r="AC229" s="102">
        <v>0</v>
      </c>
      <c r="AD229" s="2643"/>
      <c r="AE229" s="102">
        <f>AG229+AF229</f>
        <v>0</v>
      </c>
      <c r="AF229" s="102">
        <v>0</v>
      </c>
      <c r="AG229" s="102">
        <v>0</v>
      </c>
      <c r="AH229" s="102">
        <v>0</v>
      </c>
      <c r="AI229" s="2643"/>
      <c r="AJ229" s="102">
        <v>0</v>
      </c>
      <c r="AK229" s="2643"/>
      <c r="AL229" s="102">
        <f>W229-(AA229+AC229+AE229+AH229+AJ229+AM229+AW229+AO229+AQ229+AS229+AU229)</f>
        <v>0</v>
      </c>
      <c r="AM229" s="779">
        <v>0</v>
      </c>
      <c r="AN229" s="2643"/>
      <c r="AO229" s="102">
        <v>0</v>
      </c>
      <c r="AP229" s="2643"/>
      <c r="AQ229" s="102">
        <v>0</v>
      </c>
      <c r="AR229" s="2643"/>
      <c r="AS229" s="102">
        <v>0</v>
      </c>
      <c r="AT229" s="2643"/>
      <c r="AU229" s="102">
        <v>0</v>
      </c>
      <c r="AV229" s="2643"/>
      <c r="AW229" s="102">
        <f>AX229+AY229+AZ229+BA229+BB229</f>
        <v>0</v>
      </c>
      <c r="AX229" s="102">
        <v>0</v>
      </c>
      <c r="AY229" s="102">
        <v>0</v>
      </c>
      <c r="AZ229" s="102">
        <v>0</v>
      </c>
      <c r="BA229" s="102">
        <v>0</v>
      </c>
      <c r="BB229" s="102">
        <v>0</v>
      </c>
      <c r="BC229" s="102">
        <v>0</v>
      </c>
      <c r="BD229" s="2643"/>
      <c r="BE229" s="102">
        <f>U229+W229</f>
        <v>3622</v>
      </c>
      <c r="BF229" s="2643"/>
      <c r="BG229" s="102">
        <v>3</v>
      </c>
      <c r="BH229" s="2643"/>
      <c r="BI229" s="102">
        <v>0</v>
      </c>
      <c r="BJ229" s="102">
        <f t="shared" si="127"/>
        <v>9</v>
      </c>
      <c r="BK229" s="186">
        <f>ROUND((Y229+AC229+AA229)/1000*3,0)+ROUND((AE229+AU229)/1000,0)+ROUND((ROUND(AH229/400,0))/2.67,0)+ROUND(AM229/250,0)+ROUND(AO229/15000,0)+ROUND((AX229+AY229+AZ229+BB229)/1000*3,0)+ROUND(BG229/25,0)+ROUND(BU94/50,0)</f>
        <v>0</v>
      </c>
      <c r="BL229" s="102">
        <v>1</v>
      </c>
      <c r="BM229" s="102">
        <v>0</v>
      </c>
      <c r="BN229" s="102">
        <v>0</v>
      </c>
      <c r="BO229" s="102">
        <f>AC229/1000</f>
        <v>0</v>
      </c>
      <c r="BP229" s="102">
        <f>AH229/1000</f>
        <v>0</v>
      </c>
      <c r="BQ229" s="102">
        <v>0</v>
      </c>
      <c r="BR229" s="102">
        <v>0</v>
      </c>
      <c r="BS229" s="102">
        <v>0</v>
      </c>
      <c r="BT229" s="2643"/>
      <c r="BU229" s="102">
        <f>SUM(BL229:BS229)</f>
        <v>1</v>
      </c>
      <c r="BV229" s="139">
        <v>35</v>
      </c>
      <c r="BW229" s="780" t="s">
        <v>741</v>
      </c>
      <c r="BX229" s="139">
        <v>7.2</v>
      </c>
      <c r="BY229" s="139">
        <v>0</v>
      </c>
      <c r="BZ229" s="139">
        <v>6.5</v>
      </c>
      <c r="CA229" s="781"/>
      <c r="CB229" s="2662"/>
      <c r="CC229" s="782">
        <f t="shared" si="134"/>
        <v>15500</v>
      </c>
      <c r="CD229" s="2732"/>
      <c r="CE229" s="2643"/>
      <c r="CF229" s="840">
        <v>0</v>
      </c>
      <c r="CG229" s="2643"/>
      <c r="CH229" s="840">
        <f>CF229-CJ229</f>
        <v>0</v>
      </c>
      <c r="CI229" s="2643"/>
      <c r="CJ229" s="139">
        <v>0</v>
      </c>
      <c r="CK229" s="2643"/>
      <c r="CL229" s="139">
        <v>0</v>
      </c>
      <c r="CM229" s="2643"/>
      <c r="CN229" s="102">
        <f>CF229-(CJ229+CL229+CO229+CP229+CR229+CU229+CV229+CX229)</f>
        <v>0</v>
      </c>
      <c r="CO229" s="784">
        <v>0</v>
      </c>
      <c r="CP229" s="784">
        <v>0</v>
      </c>
      <c r="CQ229" s="2643"/>
      <c r="CR229" s="102">
        <v>0</v>
      </c>
      <c r="CS229" s="784">
        <v>0</v>
      </c>
      <c r="CT229" s="784">
        <v>0</v>
      </c>
      <c r="CU229" s="784">
        <v>0</v>
      </c>
      <c r="CV229" s="784">
        <v>0</v>
      </c>
      <c r="CW229" s="2643"/>
      <c r="CX229" s="102">
        <f>SUM(CY229:DC229)</f>
        <v>0</v>
      </c>
      <c r="CY229" s="102">
        <f t="shared" si="135"/>
        <v>0</v>
      </c>
      <c r="CZ229" s="102">
        <f t="shared" si="135"/>
        <v>0</v>
      </c>
      <c r="DA229" s="102">
        <f t="shared" si="135"/>
        <v>0</v>
      </c>
      <c r="DB229" s="102">
        <f t="shared" si="135"/>
        <v>0</v>
      </c>
      <c r="DC229" s="102">
        <f>BB229</f>
        <v>0</v>
      </c>
      <c r="DD229" s="102"/>
      <c r="DE229" s="2643"/>
      <c r="DF229" s="102">
        <f>CC229+CF229</f>
        <v>15500</v>
      </c>
      <c r="DG229" s="2643"/>
      <c r="DH229" s="296">
        <f>CC229/'[1]Projected Development Sites'!DF$134</f>
        <v>15.5</v>
      </c>
      <c r="DI229" s="2723"/>
      <c r="DJ229" s="785">
        <f>'[1]Projected Development Sites'!DK$136*DH229</f>
        <v>15.5</v>
      </c>
      <c r="DK229" s="779">
        <f>2.87*DH229</f>
        <v>44.484999999999999</v>
      </c>
      <c r="DL229" s="786">
        <f>ROUND((CN229+CL229+CJ229)/1000*3,0)+ROUND((ROUND(CP229/400,0))/2.67,0)+ROUND(CV229/1000,0)+ROUND((CY229+CZ229+DA229+DC229)/1000*3,0)+ROUND(DH229/25,0)+ROUND(DX229/50,0)</f>
        <v>1</v>
      </c>
      <c r="DM229" s="787">
        <v>0</v>
      </c>
      <c r="DN229" s="787"/>
      <c r="DO229" s="787">
        <v>0</v>
      </c>
      <c r="DP229" s="787">
        <f>0.25*DJ229</f>
        <v>3.875</v>
      </c>
      <c r="DQ229" s="787">
        <f>SUM(CO229,CJ229,CN229,CR229,CU229)/1000</f>
        <v>0</v>
      </c>
      <c r="DR229" s="787">
        <f>CL229/1000</f>
        <v>0</v>
      </c>
      <c r="DS229" s="787">
        <f>((CP229/400)/12)</f>
        <v>0</v>
      </c>
      <c r="DT229" s="787">
        <f>IF(CX229&gt;0,"Calculate",0)</f>
        <v>0</v>
      </c>
      <c r="DU229" s="787">
        <v>0</v>
      </c>
      <c r="DV229" s="787">
        <f>CX229/1000</f>
        <v>0</v>
      </c>
      <c r="DW229" s="2723"/>
      <c r="DX229" s="914">
        <f>SUM(DM229,DO229,DQ229:DV229)</f>
        <v>0</v>
      </c>
      <c r="DY229" s="2726"/>
      <c r="DZ229" s="2729"/>
      <c r="EA229" s="2665"/>
      <c r="EB229" s="195">
        <f>CF229-W229</f>
        <v>0</v>
      </c>
      <c r="EC229" s="2665"/>
      <c r="ED229" s="195">
        <v>0</v>
      </c>
      <c r="EE229" s="195">
        <f>(SUM(CJ229:CO229))-(SUM(AA229:AE229,AL229))</f>
        <v>0</v>
      </c>
      <c r="EF229" s="2665"/>
      <c r="EG229" s="195">
        <v>0</v>
      </c>
      <c r="EH229" s="2665"/>
      <c r="EI229" s="195">
        <f>CL229-AC229</f>
        <v>0</v>
      </c>
      <c r="EJ229" s="2665"/>
      <c r="EK229" s="195">
        <f>CJ229-AA229</f>
        <v>0</v>
      </c>
      <c r="EL229" s="2665"/>
      <c r="EM229" s="195">
        <f>CO229-AE229</f>
        <v>0</v>
      </c>
      <c r="EN229" s="2665"/>
      <c r="EO229" s="195">
        <f>CP229-AH229</f>
        <v>0</v>
      </c>
      <c r="EP229" s="2665"/>
      <c r="EQ229" s="195">
        <f>CR229-AJ229</f>
        <v>0</v>
      </c>
      <c r="ER229" s="2665"/>
      <c r="ES229" s="195">
        <f>CS229-AO229</f>
        <v>0</v>
      </c>
      <c r="ET229" s="2665"/>
      <c r="EU229" s="195">
        <f t="shared" si="125"/>
        <v>0</v>
      </c>
      <c r="EV229" s="2665"/>
      <c r="EW229" s="195">
        <f>CU229-AS229</f>
        <v>0</v>
      </c>
      <c r="EX229" s="2665"/>
      <c r="EY229" s="195">
        <f>CV229-AU229</f>
        <v>0</v>
      </c>
      <c r="EZ229" s="2665"/>
      <c r="FA229" s="195">
        <f>CY229-AX229</f>
        <v>0</v>
      </c>
      <c r="FB229" s="2665"/>
      <c r="FC229" s="195">
        <f>CZ229-AY229</f>
        <v>0</v>
      </c>
      <c r="FD229" s="2665"/>
      <c r="FE229" s="195">
        <f>DA229-AZ229</f>
        <v>0</v>
      </c>
      <c r="FF229" s="2665"/>
      <c r="FG229" s="195">
        <f>DB229-BA229</f>
        <v>0</v>
      </c>
      <c r="FH229" s="2665"/>
      <c r="FI229" s="195">
        <f>DC229-BB229</f>
        <v>0</v>
      </c>
      <c r="FJ229" s="2665"/>
      <c r="FK229" s="195">
        <f>CX229-AW229</f>
        <v>0</v>
      </c>
      <c r="FL229" s="2665"/>
      <c r="FM229" s="195">
        <f>DF229-BE229</f>
        <v>11878</v>
      </c>
      <c r="FN229" s="2665"/>
      <c r="FO229" s="195">
        <f>DH229-BG229</f>
        <v>12.5</v>
      </c>
      <c r="FP229" s="2665"/>
      <c r="FQ229" s="195">
        <f t="shared" si="133"/>
        <v>15.5</v>
      </c>
      <c r="FR229" s="195">
        <f t="shared" si="133"/>
        <v>35.484999999999999</v>
      </c>
      <c r="FS229" s="195">
        <f t="shared" si="133"/>
        <v>1</v>
      </c>
      <c r="FT229" s="789">
        <f t="shared" si="133"/>
        <v>-1</v>
      </c>
      <c r="FU229" s="789">
        <f>DR229-BO229</f>
        <v>0</v>
      </c>
      <c r="FV229" s="789">
        <f>DO229-BM229</f>
        <v>0</v>
      </c>
      <c r="FW229" s="789">
        <f>DQ229-BN229</f>
        <v>0</v>
      </c>
      <c r="FX229" s="789">
        <f>DS229-BP229</f>
        <v>0</v>
      </c>
      <c r="FY229" s="789">
        <f t="shared" si="132"/>
        <v>0</v>
      </c>
      <c r="FZ229" s="789">
        <f t="shared" si="132"/>
        <v>0</v>
      </c>
      <c r="GA229" s="789">
        <f t="shared" si="132"/>
        <v>0</v>
      </c>
      <c r="GB229" s="2735"/>
      <c r="GC229" s="790">
        <f t="shared" si="126"/>
        <v>-1</v>
      </c>
    </row>
    <row r="230" spans="1:204" s="81" customFormat="1" ht="23.25" customHeight="1">
      <c r="A230" s="2589"/>
      <c r="B230" s="2589"/>
      <c r="C230" s="81" t="s">
        <v>724</v>
      </c>
      <c r="D230" s="66">
        <v>2856</v>
      </c>
      <c r="E230" s="66">
        <v>20</v>
      </c>
      <c r="F230" s="66">
        <v>2028560020</v>
      </c>
      <c r="G230" s="66">
        <v>26063</v>
      </c>
      <c r="H230" s="69" t="s">
        <v>902</v>
      </c>
      <c r="I230" s="70" t="s">
        <v>706</v>
      </c>
      <c r="J230" s="66">
        <v>2</v>
      </c>
      <c r="K230" s="66">
        <v>6.02</v>
      </c>
      <c r="L230" s="66">
        <v>0</v>
      </c>
      <c r="M230" s="66">
        <v>6.5</v>
      </c>
      <c r="N230" s="68">
        <v>52250</v>
      </c>
      <c r="O230" s="68">
        <v>0</v>
      </c>
      <c r="P230" s="68">
        <v>19100</v>
      </c>
      <c r="Q230" s="68">
        <v>52250</v>
      </c>
      <c r="R230" s="71">
        <v>0</v>
      </c>
      <c r="S230" s="791" t="s">
        <v>903</v>
      </c>
      <c r="T230" s="2601"/>
      <c r="U230" s="74">
        <f>Q230-N230</f>
        <v>0</v>
      </c>
      <c r="V230" s="2601"/>
      <c r="W230" s="74">
        <f>N230</f>
        <v>52250</v>
      </c>
      <c r="X230" s="74"/>
      <c r="Y230" s="74">
        <f>W230-AA230</f>
        <v>52250</v>
      </c>
      <c r="Z230" s="2601"/>
      <c r="AA230" s="74">
        <v>0</v>
      </c>
      <c r="AB230" s="2601"/>
      <c r="AC230" s="74">
        <v>0</v>
      </c>
      <c r="AD230" s="2601"/>
      <c r="AE230" s="74">
        <f>AF230+AG230</f>
        <v>0</v>
      </c>
      <c r="AF230" s="74">
        <v>0</v>
      </c>
      <c r="AG230" s="74">
        <v>0</v>
      </c>
      <c r="AH230" s="74">
        <v>0</v>
      </c>
      <c r="AI230" s="2601"/>
      <c r="AJ230" s="74">
        <f>Q230</f>
        <v>52250</v>
      </c>
      <c r="AK230" s="2601"/>
      <c r="AL230" s="74">
        <f>W230-(AA230+AC230+AE230+AH230+AJ230+AM230+AW230+AO230+AQ230+AS230+AU230)</f>
        <v>0</v>
      </c>
      <c r="AM230" s="792">
        <v>0</v>
      </c>
      <c r="AN230" s="2601"/>
      <c r="AO230" s="74">
        <v>0</v>
      </c>
      <c r="AP230" s="2601"/>
      <c r="AQ230" s="74">
        <v>0</v>
      </c>
      <c r="AR230" s="2601"/>
      <c r="AS230" s="74">
        <v>0</v>
      </c>
      <c r="AT230" s="2601"/>
      <c r="AU230" s="74">
        <v>0</v>
      </c>
      <c r="AV230" s="2601"/>
      <c r="AW230" s="74">
        <f>AX230+AY230+AZ230+BA230+BB230</f>
        <v>0</v>
      </c>
      <c r="AX230" s="74">
        <v>0</v>
      </c>
      <c r="AY230" s="74">
        <v>0</v>
      </c>
      <c r="AZ230" s="74">
        <v>0</v>
      </c>
      <c r="BA230" s="74">
        <v>0</v>
      </c>
      <c r="BB230" s="74">
        <v>0</v>
      </c>
      <c r="BC230" s="74">
        <v>0</v>
      </c>
      <c r="BD230" s="2601"/>
      <c r="BE230" s="74">
        <f>U230+W230</f>
        <v>52250</v>
      </c>
      <c r="BF230" s="2601"/>
      <c r="BG230" s="74">
        <v>0</v>
      </c>
      <c r="BH230" s="2601"/>
      <c r="BI230" s="74">
        <f>'[1]Projected Development Sites'!BG$135*BG230</f>
        <v>0</v>
      </c>
      <c r="BJ230" s="74">
        <f t="shared" si="127"/>
        <v>0</v>
      </c>
      <c r="BK230" s="88">
        <f>ROUND((AL230+AC230+AA230)/1000*3,0)+ROUND((AE230+AU230)/1000,0)+ROUND((ROUND(AH230/400,0))/2.67,0)+ROUND(AJ230/250,0)+ROUND(AO230/15000,0)+ROUND((AX230+AY230+AZ230+BB230)/1000*3,0)+ROUND(BG230/25,0)+ROUND(BU230/50,0)</f>
        <v>209</v>
      </c>
      <c r="BL230" s="74">
        <v>0</v>
      </c>
      <c r="BM230" s="74">
        <v>0</v>
      </c>
      <c r="BN230" s="74">
        <v>0</v>
      </c>
      <c r="BO230" s="74">
        <v>0</v>
      </c>
      <c r="BP230" s="74">
        <v>0</v>
      </c>
      <c r="BQ230" s="74">
        <v>0</v>
      </c>
      <c r="BR230" s="74">
        <v>0</v>
      </c>
      <c r="BS230" s="74">
        <v>0</v>
      </c>
      <c r="BT230" s="2601"/>
      <c r="BU230" s="74">
        <v>0</v>
      </c>
      <c r="BV230" s="81">
        <v>30</v>
      </c>
      <c r="BW230" s="793" t="s">
        <v>741</v>
      </c>
      <c r="BX230" s="81">
        <v>7.2</v>
      </c>
      <c r="BY230" s="81">
        <v>2</v>
      </c>
      <c r="BZ230" s="982">
        <v>6.5</v>
      </c>
      <c r="CA230" s="983" t="s">
        <v>904</v>
      </c>
      <c r="CB230" s="2597"/>
      <c r="CC230" s="795">
        <f>(BX230*G230)-CF230</f>
        <v>135403.6</v>
      </c>
      <c r="CD230" s="2733"/>
      <c r="CE230" s="2601"/>
      <c r="CF230" s="843">
        <f>W230</f>
        <v>52250</v>
      </c>
      <c r="CG230" s="2601"/>
      <c r="CH230" s="843">
        <f>CF230-CJ230</f>
        <v>52250</v>
      </c>
      <c r="CI230" s="2601"/>
      <c r="CJ230" s="81">
        <v>0</v>
      </c>
      <c r="CK230" s="2601"/>
      <c r="CL230" s="81">
        <v>0</v>
      </c>
      <c r="CM230" s="2601"/>
      <c r="CN230" s="74">
        <v>0</v>
      </c>
      <c r="CO230" s="797">
        <v>0</v>
      </c>
      <c r="CP230" s="797">
        <v>0</v>
      </c>
      <c r="CQ230" s="2601"/>
      <c r="CR230" s="74">
        <f>CF230</f>
        <v>52250</v>
      </c>
      <c r="CS230" s="797">
        <v>0</v>
      </c>
      <c r="CT230" s="797">
        <v>0</v>
      </c>
      <c r="CU230" s="797">
        <v>0</v>
      </c>
      <c r="CV230" s="797">
        <v>0</v>
      </c>
      <c r="CW230" s="2601"/>
      <c r="CX230" s="74">
        <f>SUM(CY230:DC230)</f>
        <v>0</v>
      </c>
      <c r="CY230" s="797">
        <v>0</v>
      </c>
      <c r="CZ230" s="797">
        <v>0</v>
      </c>
      <c r="DA230" s="797">
        <v>0</v>
      </c>
      <c r="DB230" s="797">
        <v>0</v>
      </c>
      <c r="DC230" s="797">
        <f>BB230</f>
        <v>0</v>
      </c>
      <c r="DD230" s="797"/>
      <c r="DE230" s="2601"/>
      <c r="DF230" s="797">
        <f>CC230+CF230</f>
        <v>187653.6</v>
      </c>
      <c r="DG230" s="2601"/>
      <c r="DH230" s="81">
        <f>ROUND(CC230/'[1]Projected Development Sites'!DF$134,0)</f>
        <v>135</v>
      </c>
      <c r="DI230" s="2724"/>
      <c r="DJ230" s="798">
        <f>'[1]Projected Development Sites'!DK$136*DH230</f>
        <v>135</v>
      </c>
      <c r="DK230" s="792">
        <f>2.87*DH230</f>
        <v>387.45</v>
      </c>
      <c r="DL230" s="786">
        <f>ROUND((CN230+CL230+CJ230)/1000*3,0)+ROUND((ROUND(CP230/400,0))/2.67,0)+ROUND(CV230/1000,0)+ROUND((CY230+CZ230+DA230+DC230)/1000*3,0)+ROUND(DH230/25,0)+ROUND(DX230/50,0)</f>
        <v>6</v>
      </c>
      <c r="DM230" s="799">
        <v>0</v>
      </c>
      <c r="DN230" s="799"/>
      <c r="DO230" s="799">
        <v>0</v>
      </c>
      <c r="DP230" s="799">
        <f>0.25*DJ230</f>
        <v>33.75</v>
      </c>
      <c r="DQ230" s="799">
        <f>SUM(CO230,CJ230,CN230,CR230,CU230)/1000</f>
        <v>52.25</v>
      </c>
      <c r="DR230" s="799">
        <f>CL230/1000</f>
        <v>0</v>
      </c>
      <c r="DS230" s="799">
        <f>((CP230/400)/12)</f>
        <v>0</v>
      </c>
      <c r="DT230" s="799">
        <f>IF(CX230&gt;0,"Calculate",0)</f>
        <v>0</v>
      </c>
      <c r="DU230" s="799">
        <v>0</v>
      </c>
      <c r="DV230" s="799">
        <f>CX230/1000</f>
        <v>0</v>
      </c>
      <c r="DW230" s="2724"/>
      <c r="DX230" s="800">
        <f>SUM(DM230,DO230,DQ230:DV230)</f>
        <v>52.25</v>
      </c>
      <c r="DY230" s="2727"/>
      <c r="DZ230" s="2730"/>
      <c r="EA230" s="2603"/>
      <c r="EB230" s="195">
        <f>CF230-W230</f>
        <v>0</v>
      </c>
      <c r="EC230" s="2603"/>
      <c r="ED230" s="195">
        <v>0</v>
      </c>
      <c r="EE230" s="195">
        <f>(SUM(CJ230:CO230))-(SUM(AA230:AE230,AL230))</f>
        <v>0</v>
      </c>
      <c r="EF230" s="2603"/>
      <c r="EG230" s="190">
        <v>0</v>
      </c>
      <c r="EH230" s="2603"/>
      <c r="EI230" s="195">
        <f>CL230-AC230</f>
        <v>0</v>
      </c>
      <c r="EJ230" s="2603"/>
      <c r="EK230" s="195">
        <f>CJ230-AA230</f>
        <v>0</v>
      </c>
      <c r="EL230" s="2603"/>
      <c r="EM230" s="190">
        <f>CO230-AE230</f>
        <v>0</v>
      </c>
      <c r="EN230" s="2603"/>
      <c r="EO230" s="190">
        <f>CP230-AH230</f>
        <v>0</v>
      </c>
      <c r="EP230" s="2603"/>
      <c r="EQ230" s="195">
        <f>CR230-AJ230</f>
        <v>0</v>
      </c>
      <c r="ER230" s="2603"/>
      <c r="ES230" s="195">
        <f>CS230-AO230</f>
        <v>0</v>
      </c>
      <c r="ET230" s="2603"/>
      <c r="EU230" s="190">
        <f t="shared" si="125"/>
        <v>0</v>
      </c>
      <c r="EV230" s="2603"/>
      <c r="EW230" s="195">
        <f>CU230-AS230</f>
        <v>0</v>
      </c>
      <c r="EX230" s="2603"/>
      <c r="EY230" s="190">
        <f>CV230-AU230</f>
        <v>0</v>
      </c>
      <c r="EZ230" s="2603"/>
      <c r="FA230" s="190">
        <f>CY230-AX230</f>
        <v>0</v>
      </c>
      <c r="FB230" s="2603"/>
      <c r="FC230" s="190">
        <f>CZ230-AY230</f>
        <v>0</v>
      </c>
      <c r="FD230" s="2603"/>
      <c r="FE230" s="190">
        <f>DA230-AZ230</f>
        <v>0</v>
      </c>
      <c r="FF230" s="2603"/>
      <c r="FG230" s="190">
        <f>DB230-BA230</f>
        <v>0</v>
      </c>
      <c r="FH230" s="2603"/>
      <c r="FI230" s="190">
        <f>DC230-BB230</f>
        <v>0</v>
      </c>
      <c r="FJ230" s="2603"/>
      <c r="FK230" s="190">
        <f>CX230-AW230</f>
        <v>0</v>
      </c>
      <c r="FL230" s="2603"/>
      <c r="FM230" s="195">
        <f>DF230-BE230</f>
        <v>135403.6</v>
      </c>
      <c r="FN230" s="2603"/>
      <c r="FO230" s="195">
        <f>DH230-BG230</f>
        <v>135</v>
      </c>
      <c r="FP230" s="2603"/>
      <c r="FQ230" s="195">
        <f t="shared" si="133"/>
        <v>135</v>
      </c>
      <c r="FR230" s="190">
        <f t="shared" si="133"/>
        <v>387.45</v>
      </c>
      <c r="FS230" s="190">
        <f t="shared" si="133"/>
        <v>-203</v>
      </c>
      <c r="FT230" s="801">
        <f t="shared" si="133"/>
        <v>0</v>
      </c>
      <c r="FU230" s="801">
        <f>DR230-BO230</f>
        <v>0</v>
      </c>
      <c r="FV230" s="801">
        <f>DO230-BM230</f>
        <v>0</v>
      </c>
      <c r="FW230" s="801">
        <f>DQ230-BN230</f>
        <v>52.25</v>
      </c>
      <c r="FX230" s="801">
        <f>DS230-BP230</f>
        <v>0</v>
      </c>
      <c r="FY230" s="801">
        <f t="shared" si="132"/>
        <v>0</v>
      </c>
      <c r="FZ230" s="801">
        <f t="shared" si="132"/>
        <v>0</v>
      </c>
      <c r="GA230" s="801">
        <f t="shared" si="132"/>
        <v>0</v>
      </c>
      <c r="GB230" s="2736"/>
      <c r="GC230" s="845">
        <f t="shared" si="126"/>
        <v>52.25</v>
      </c>
      <c r="GD230" s="139"/>
      <c r="GE230" s="139"/>
      <c r="GF230" s="139"/>
      <c r="GG230" s="139"/>
      <c r="GH230" s="139"/>
      <c r="GI230" s="139"/>
      <c r="GJ230" s="139"/>
      <c r="GK230" s="139"/>
      <c r="GL230" s="139"/>
      <c r="GM230" s="139"/>
      <c r="GN230" s="139"/>
      <c r="GO230" s="139"/>
      <c r="GP230" s="139"/>
      <c r="GQ230" s="139"/>
      <c r="GR230" s="139"/>
      <c r="GS230" s="139"/>
      <c r="GT230" s="139"/>
    </row>
    <row r="231" spans="1:204" s="139" customFormat="1" ht="18.75">
      <c r="A231" s="2263"/>
      <c r="B231" s="2263"/>
      <c r="C231" s="132"/>
      <c r="D231" s="132"/>
      <c r="E231" s="132"/>
      <c r="F231" s="132"/>
      <c r="G231" s="132"/>
      <c r="H231" s="135"/>
      <c r="I231" s="984"/>
      <c r="J231" s="132"/>
      <c r="K231" s="132"/>
      <c r="L231" s="132"/>
      <c r="M231" s="132"/>
      <c r="N231" s="134"/>
      <c r="O231" s="134"/>
      <c r="P231" s="134"/>
      <c r="Q231" s="134"/>
      <c r="R231" s="137"/>
      <c r="S231" s="778"/>
      <c r="T231" s="634"/>
      <c r="U231" s="102"/>
      <c r="V231" s="634"/>
      <c r="W231" s="102"/>
      <c r="X231" s="102"/>
      <c r="Y231" s="102"/>
      <c r="Z231" s="634"/>
      <c r="AA231" s="102"/>
      <c r="AB231" s="634"/>
      <c r="AC231" s="102"/>
      <c r="AD231" s="634"/>
      <c r="AE231" s="102"/>
      <c r="AF231" s="102"/>
      <c r="AG231" s="102"/>
      <c r="AH231" s="102"/>
      <c r="AI231" s="634"/>
      <c r="AJ231" s="102"/>
      <c r="AK231" s="634"/>
      <c r="AL231" s="102"/>
      <c r="AM231" s="779"/>
      <c r="AN231" s="634"/>
      <c r="AO231" s="102"/>
      <c r="AP231" s="634"/>
      <c r="AQ231" s="102"/>
      <c r="AR231" s="634"/>
      <c r="AS231" s="102"/>
      <c r="AT231" s="634"/>
      <c r="AU231" s="102"/>
      <c r="AV231" s="634"/>
      <c r="AW231" s="102"/>
      <c r="AX231" s="102"/>
      <c r="AY231" s="102"/>
      <c r="AZ231" s="102"/>
      <c r="BA231" s="102"/>
      <c r="BB231" s="102"/>
      <c r="BC231" s="102"/>
      <c r="BD231" s="634"/>
      <c r="BE231" s="102"/>
      <c r="BF231" s="634"/>
      <c r="BG231" s="102"/>
      <c r="BH231" s="634"/>
      <c r="BI231" s="102"/>
      <c r="BJ231" s="111"/>
      <c r="BK231" s="186"/>
      <c r="BL231" s="102"/>
      <c r="BM231" s="102"/>
      <c r="BN231" s="102"/>
      <c r="BO231" s="102"/>
      <c r="BP231" s="102"/>
      <c r="BQ231" s="102"/>
      <c r="BR231" s="102"/>
      <c r="BS231" s="102"/>
      <c r="BT231" s="634"/>
      <c r="BU231" s="102"/>
      <c r="BW231" s="780"/>
      <c r="CA231" s="627"/>
      <c r="CB231" s="2258"/>
      <c r="CC231" s="782"/>
      <c r="CD231" s="782"/>
      <c r="CE231" s="634"/>
      <c r="CF231" s="840"/>
      <c r="CG231" s="634"/>
      <c r="CH231" s="840"/>
      <c r="CI231" s="634"/>
      <c r="CK231" s="634"/>
      <c r="CM231" s="634"/>
      <c r="CN231" s="784"/>
      <c r="CO231" s="784"/>
      <c r="CP231" s="784"/>
      <c r="CQ231" s="634"/>
      <c r="CR231" s="102"/>
      <c r="CS231" s="784"/>
      <c r="CT231" s="784"/>
      <c r="CU231" s="784"/>
      <c r="CV231" s="784"/>
      <c r="CW231" s="634"/>
      <c r="CX231" s="784"/>
      <c r="CY231" s="784"/>
      <c r="CZ231" s="784"/>
      <c r="DA231" s="784"/>
      <c r="DB231" s="784"/>
      <c r="DC231" s="784"/>
      <c r="DD231" s="784"/>
      <c r="DE231" s="634"/>
      <c r="DF231" s="784"/>
      <c r="DG231" s="634"/>
      <c r="DI231" s="802"/>
      <c r="DJ231" s="787"/>
      <c r="DK231" s="899"/>
      <c r="DL231" s="772"/>
      <c r="DM231" s="787"/>
      <c r="DN231" s="787"/>
      <c r="DO231" s="787"/>
      <c r="DP231" s="787"/>
      <c r="DQ231" s="787"/>
      <c r="DR231" s="787"/>
      <c r="DS231" s="787"/>
      <c r="DT231" s="787"/>
      <c r="DU231" s="787"/>
      <c r="DV231" s="787"/>
      <c r="DW231" s="802"/>
      <c r="DX231" s="788"/>
      <c r="DY231" s="634"/>
      <c r="DZ231" s="2288"/>
      <c r="EA231" s="2231"/>
      <c r="EB231" s="187"/>
      <c r="EC231" s="2232"/>
      <c r="ED231" s="187"/>
      <c r="EE231" s="187"/>
      <c r="EF231" s="2232"/>
      <c r="EG231" s="187"/>
      <c r="EH231" s="2232"/>
      <c r="EI231" s="187"/>
      <c r="EJ231" s="2232"/>
      <c r="EK231" s="187"/>
      <c r="EL231" s="2232"/>
      <c r="EM231" s="195"/>
      <c r="EN231" s="2232"/>
      <c r="EO231" s="195"/>
      <c r="EP231" s="2232"/>
      <c r="EQ231" s="187"/>
      <c r="ER231" s="2232"/>
      <c r="ES231" s="187"/>
      <c r="ET231" s="2232"/>
      <c r="EU231" s="187">
        <f t="shared" si="125"/>
        <v>0</v>
      </c>
      <c r="EV231" s="2232"/>
      <c r="EW231" s="187"/>
      <c r="EX231" s="2232"/>
      <c r="EY231" s="195"/>
      <c r="EZ231" s="2232"/>
      <c r="FA231" s="195"/>
      <c r="FB231" s="2232"/>
      <c r="FC231" s="195"/>
      <c r="FD231" s="2232"/>
      <c r="FE231" s="195"/>
      <c r="FF231" s="2232"/>
      <c r="FG231" s="195"/>
      <c r="FH231" s="2232"/>
      <c r="FI231" s="195"/>
      <c r="FJ231" s="2232"/>
      <c r="FK231" s="195"/>
      <c r="FL231" s="2232"/>
      <c r="FM231" s="187"/>
      <c r="FN231" s="2232"/>
      <c r="FO231" s="187"/>
      <c r="FP231" s="2232"/>
      <c r="FQ231" s="187"/>
      <c r="FR231" s="195"/>
      <c r="FS231" s="195"/>
      <c r="FT231" s="789"/>
      <c r="FU231" s="789"/>
      <c r="FV231" s="789"/>
      <c r="FW231" s="789"/>
      <c r="FX231" s="789"/>
      <c r="FY231" s="801">
        <f t="shared" si="132"/>
        <v>0</v>
      </c>
      <c r="FZ231" s="789"/>
      <c r="GA231" s="789"/>
      <c r="GB231" s="2289"/>
      <c r="GC231" s="776"/>
    </row>
    <row r="232" spans="1:204" s="228" customFormat="1" ht="18.75">
      <c r="A232" s="216"/>
      <c r="B232" s="216">
        <v>86</v>
      </c>
      <c r="C232" s="218" t="s">
        <v>703</v>
      </c>
      <c r="D232" s="218">
        <v>2864</v>
      </c>
      <c r="E232" s="218">
        <v>27</v>
      </c>
      <c r="F232" s="897">
        <v>2028640027</v>
      </c>
      <c r="G232" s="218">
        <v>9977</v>
      </c>
      <c r="H232" s="221" t="s">
        <v>756</v>
      </c>
      <c r="I232" s="222" t="s">
        <v>756</v>
      </c>
      <c r="J232" s="218">
        <v>2</v>
      </c>
      <c r="K232" s="218">
        <v>0</v>
      </c>
      <c r="L232" s="218">
        <v>2</v>
      </c>
      <c r="M232" s="218">
        <v>4.8</v>
      </c>
      <c r="N232" s="220">
        <v>20000</v>
      </c>
      <c r="O232" s="220">
        <f>0.95*Q232</f>
        <v>19000</v>
      </c>
      <c r="P232" s="220">
        <v>0</v>
      </c>
      <c r="Q232" s="220">
        <v>20000</v>
      </c>
      <c r="R232" s="223">
        <v>0</v>
      </c>
      <c r="S232" s="898" t="s">
        <v>761</v>
      </c>
      <c r="T232" s="234">
        <f>U232</f>
        <v>0</v>
      </c>
      <c r="U232" s="111">
        <v>0</v>
      </c>
      <c r="V232" s="234">
        <f>W232</f>
        <v>20000</v>
      </c>
      <c r="W232" s="111">
        <f>N232</f>
        <v>20000</v>
      </c>
      <c r="X232" s="111"/>
      <c r="Y232" s="111">
        <f>W232-AA232</f>
        <v>20000</v>
      </c>
      <c r="Z232" s="234">
        <f>AA232</f>
        <v>0</v>
      </c>
      <c r="AA232" s="111">
        <v>0</v>
      </c>
      <c r="AB232" s="234">
        <f>AC232</f>
        <v>0</v>
      </c>
      <c r="AC232" s="111">
        <v>0</v>
      </c>
      <c r="AD232" s="234">
        <f>AE232</f>
        <v>19000</v>
      </c>
      <c r="AE232" s="111">
        <f>AG232+AF232</f>
        <v>19000</v>
      </c>
      <c r="AF232" s="111">
        <v>0</v>
      </c>
      <c r="AG232" s="111">
        <f>0.95*W232</f>
        <v>19000</v>
      </c>
      <c r="AH232" s="111">
        <v>0</v>
      </c>
      <c r="AI232" s="234">
        <f>AJ232</f>
        <v>0</v>
      </c>
      <c r="AJ232" s="111">
        <v>0</v>
      </c>
      <c r="AK232" s="234">
        <f>AL232</f>
        <v>1000</v>
      </c>
      <c r="AL232" s="111">
        <f>W232-(AA232+AC232+AE232+AH232+AJ232+AM232+AW232+AO232+AQ232+AS232+AU232)</f>
        <v>1000</v>
      </c>
      <c r="AM232" s="899">
        <v>0</v>
      </c>
      <c r="AN232" s="234">
        <f>AO232</f>
        <v>0</v>
      </c>
      <c r="AO232" s="111">
        <v>0</v>
      </c>
      <c r="AP232" s="234">
        <f>AQ232</f>
        <v>0</v>
      </c>
      <c r="AQ232" s="111">
        <v>0</v>
      </c>
      <c r="AR232" s="234">
        <f>AS232</f>
        <v>0</v>
      </c>
      <c r="AS232" s="111">
        <v>0</v>
      </c>
      <c r="AT232" s="234">
        <f>AU232</f>
        <v>0</v>
      </c>
      <c r="AU232" s="111">
        <v>0</v>
      </c>
      <c r="AV232" s="234">
        <f>AW232</f>
        <v>0</v>
      </c>
      <c r="AW232" s="111">
        <f>AX232+AY232+AZ232+BA232+BB232</f>
        <v>0</v>
      </c>
      <c r="AX232" s="111">
        <v>0</v>
      </c>
      <c r="AY232" s="111">
        <v>0</v>
      </c>
      <c r="AZ232" s="111">
        <v>0</v>
      </c>
      <c r="BA232" s="111">
        <v>0</v>
      </c>
      <c r="BB232" s="111">
        <v>0</v>
      </c>
      <c r="BC232" s="111">
        <v>0</v>
      </c>
      <c r="BD232" s="234">
        <f>BE232</f>
        <v>20000</v>
      </c>
      <c r="BE232" s="111">
        <f>U232+W232</f>
        <v>20000</v>
      </c>
      <c r="BF232" s="234">
        <f>BG232</f>
        <v>0</v>
      </c>
      <c r="BG232" s="111">
        <f>U232/1000</f>
        <v>0</v>
      </c>
      <c r="BH232" s="234">
        <f>BI232</f>
        <v>0</v>
      </c>
      <c r="BI232" s="111">
        <v>0</v>
      </c>
      <c r="BJ232" s="111">
        <f t="shared" si="127"/>
        <v>0</v>
      </c>
      <c r="BK232" s="306">
        <f>ROUND((AL232+AC232+AA232)/1000*3,0)+ROUND((AE232+AU232)/1000,0)+ROUND((ROUND(AH232/400,0))/2.67,0)+ROUND(AJ232/250,0)+ROUND(AO232/15000,0)+ROUND((AX232+AY232+AZ232+BB232)/1000*3,0)+ROUND(BG232/25,0)+ROUND(BU232/50,0)</f>
        <v>22</v>
      </c>
      <c r="BL232" s="111">
        <v>0</v>
      </c>
      <c r="BM232" s="111">
        <v>0</v>
      </c>
      <c r="BN232" s="111">
        <v>0</v>
      </c>
      <c r="BO232" s="111">
        <f>AC232/1000</f>
        <v>0</v>
      </c>
      <c r="BP232" s="111">
        <f>AH232/1000</f>
        <v>0</v>
      </c>
      <c r="BQ232" s="111">
        <v>0</v>
      </c>
      <c r="BR232" s="111">
        <v>0</v>
      </c>
      <c r="BS232" s="111">
        <v>0</v>
      </c>
      <c r="BT232" s="234">
        <f>BU232</f>
        <v>0</v>
      </c>
      <c r="BU232" s="111">
        <f>SUM(BL232:BS232)</f>
        <v>0</v>
      </c>
      <c r="BV232" s="228">
        <v>25</v>
      </c>
      <c r="BW232" s="900" t="s">
        <v>741</v>
      </c>
      <c r="BX232" s="228">
        <v>7.2</v>
      </c>
      <c r="BY232" s="228">
        <v>0</v>
      </c>
      <c r="BZ232" s="228">
        <v>6.5</v>
      </c>
      <c r="CA232" s="901"/>
      <c r="CB232" s="230" t="s">
        <v>744</v>
      </c>
      <c r="CC232" s="399">
        <f t="shared" ref="CC232" si="136">(BX232*G232)-G232</f>
        <v>61857.400000000009</v>
      </c>
      <c r="CD232" s="399">
        <f>CC232</f>
        <v>61857.400000000009</v>
      </c>
      <c r="CE232" s="234">
        <f>CF232</f>
        <v>0</v>
      </c>
      <c r="CF232" s="902">
        <v>0</v>
      </c>
      <c r="CG232" s="234">
        <f>CH232</f>
        <v>0</v>
      </c>
      <c r="CH232" s="902">
        <f>CF232-CJ232</f>
        <v>0</v>
      </c>
      <c r="CI232" s="234">
        <f>CJ232</f>
        <v>0</v>
      </c>
      <c r="CJ232" s="228">
        <v>0</v>
      </c>
      <c r="CK232" s="234">
        <f>CL232</f>
        <v>0</v>
      </c>
      <c r="CL232" s="228">
        <v>0</v>
      </c>
      <c r="CM232" s="234">
        <f>CN232</f>
        <v>0</v>
      </c>
      <c r="CN232" s="111">
        <f>CF232-(CJ232+CL232+CO232+CP232+CR232+CU232+CV232+CX232)</f>
        <v>0</v>
      </c>
      <c r="CO232" s="903">
        <v>0</v>
      </c>
      <c r="CP232" s="903">
        <v>0</v>
      </c>
      <c r="CQ232" s="234">
        <f>CR232</f>
        <v>0</v>
      </c>
      <c r="CR232" s="111">
        <v>0</v>
      </c>
      <c r="CS232" s="903">
        <v>0</v>
      </c>
      <c r="CT232" s="903">
        <v>0</v>
      </c>
      <c r="CU232" s="903">
        <v>0</v>
      </c>
      <c r="CV232" s="903">
        <v>0</v>
      </c>
      <c r="CW232" s="234">
        <f>CX232</f>
        <v>0</v>
      </c>
      <c r="CX232" s="111">
        <f>SUM(CY232:DC232)</f>
        <v>0</v>
      </c>
      <c r="CY232" s="903">
        <f>AX232</f>
        <v>0</v>
      </c>
      <c r="CZ232" s="903">
        <f>AY232</f>
        <v>0</v>
      </c>
      <c r="DA232" s="903">
        <f>AZ232</f>
        <v>0</v>
      </c>
      <c r="DB232" s="903">
        <f>BA232</f>
        <v>0</v>
      </c>
      <c r="DC232" s="903">
        <f>BB232</f>
        <v>0</v>
      </c>
      <c r="DD232" s="903"/>
      <c r="DE232" s="234">
        <f>DF232</f>
        <v>61857.400000000009</v>
      </c>
      <c r="DF232" s="111">
        <f>CC232+CF232</f>
        <v>61857.400000000009</v>
      </c>
      <c r="DG232" s="234">
        <f>DH232</f>
        <v>61.857400000000005</v>
      </c>
      <c r="DH232" s="904">
        <f>CC232/'[1]Projected Development Sites'!DF$134</f>
        <v>61.857400000000005</v>
      </c>
      <c r="DI232" s="886">
        <f>DJ232</f>
        <v>61.857400000000005</v>
      </c>
      <c r="DJ232" s="803">
        <f>'[1]Projected Development Sites'!DK$136*DH232</f>
        <v>61.857400000000005</v>
      </c>
      <c r="DK232" s="899">
        <f>2.87*DH232</f>
        <v>177.53073800000001</v>
      </c>
      <c r="DL232" s="772">
        <f>ROUND((CN232+CL232+CJ232)/1000*3,0)+ROUND((ROUND(CP232/400,0))/2.67,0)+ROUND(CV232/1000,0)+ROUND((CY232+CZ232+DA232+DC232)/1000*3,0)+ROUND(DH232/25,0)+ROUND(DX232/50,0)</f>
        <v>2</v>
      </c>
      <c r="DM232" s="905">
        <v>0</v>
      </c>
      <c r="DN232" s="905"/>
      <c r="DO232" s="905">
        <v>0</v>
      </c>
      <c r="DP232" s="905">
        <f>0.25*DJ232</f>
        <v>15.464350000000001</v>
      </c>
      <c r="DQ232" s="905">
        <f>SUM(CO232,CJ232,CN232,CR232,CU232)/1000</f>
        <v>0</v>
      </c>
      <c r="DR232" s="905">
        <f>CL232/1000</f>
        <v>0</v>
      </c>
      <c r="DS232" s="905">
        <f>((CP232/400)/12)</f>
        <v>0</v>
      </c>
      <c r="DT232" s="905">
        <f>IF(CX232&gt;0,"Calculate",0)</f>
        <v>0</v>
      </c>
      <c r="DU232" s="905">
        <v>0</v>
      </c>
      <c r="DV232" s="905">
        <f>CX232/1000</f>
        <v>0</v>
      </c>
      <c r="DW232" s="886">
        <f>DX232</f>
        <v>0</v>
      </c>
      <c r="DX232" s="906">
        <f>SUM(DM232,DO232,DQ232:DV232)</f>
        <v>0</v>
      </c>
      <c r="DY232" s="837">
        <v>145</v>
      </c>
      <c r="DZ232" s="2288">
        <f>CD232-T232</f>
        <v>61857.400000000009</v>
      </c>
      <c r="EA232" s="2231">
        <f>CE232-V232</f>
        <v>-20000</v>
      </c>
      <c r="EB232" s="187">
        <f>CF232-W232</f>
        <v>-20000</v>
      </c>
      <c r="EC232" s="235">
        <f>ED232</f>
        <v>-20000</v>
      </c>
      <c r="ED232" s="187">
        <v>-20000</v>
      </c>
      <c r="EE232" s="187">
        <f>(SUM(CJ232:CO232))-(SUM(AA232:AE232,AL232))</f>
        <v>-39000</v>
      </c>
      <c r="EF232" s="235">
        <f>EG232</f>
        <v>-1000</v>
      </c>
      <c r="EG232" s="187">
        <v>-1000</v>
      </c>
      <c r="EH232" s="235">
        <f>EI232</f>
        <v>0</v>
      </c>
      <c r="EI232" s="187">
        <f>CL232-AC232</f>
        <v>0</v>
      </c>
      <c r="EJ232" s="235">
        <f>EK232</f>
        <v>0</v>
      </c>
      <c r="EK232" s="187">
        <f>CJ232-AA232</f>
        <v>0</v>
      </c>
      <c r="EL232" s="235">
        <f>EM232</f>
        <v>-19000</v>
      </c>
      <c r="EM232" s="245">
        <f>CO232-AE232</f>
        <v>-19000</v>
      </c>
      <c r="EN232" s="235">
        <f>EO232</f>
        <v>0</v>
      </c>
      <c r="EO232" s="245">
        <f>CP232-AH232</f>
        <v>0</v>
      </c>
      <c r="EP232" s="235">
        <f>EQ232</f>
        <v>0</v>
      </c>
      <c r="EQ232" s="187">
        <f>CR232-AJ232</f>
        <v>0</v>
      </c>
      <c r="ER232" s="235">
        <f>ES232</f>
        <v>0</v>
      </c>
      <c r="ES232" s="187">
        <f>CS232-AO232</f>
        <v>0</v>
      </c>
      <c r="ET232" s="235">
        <f>EU232</f>
        <v>0</v>
      </c>
      <c r="EU232" s="187">
        <f t="shared" si="125"/>
        <v>0</v>
      </c>
      <c r="EV232" s="235">
        <f>EW232</f>
        <v>0</v>
      </c>
      <c r="EW232" s="187">
        <f>CU232-AS232</f>
        <v>0</v>
      </c>
      <c r="EX232" s="235">
        <f>EY232</f>
        <v>0</v>
      </c>
      <c r="EY232" s="245">
        <f>CV232-AU232</f>
        <v>0</v>
      </c>
      <c r="EZ232" s="235">
        <f>FA232</f>
        <v>0</v>
      </c>
      <c r="FA232" s="245">
        <f>CY232-AX232</f>
        <v>0</v>
      </c>
      <c r="FB232" s="235">
        <f>FC232</f>
        <v>0</v>
      </c>
      <c r="FC232" s="245">
        <f>CZ232-AY232</f>
        <v>0</v>
      </c>
      <c r="FD232" s="235">
        <f>FE232</f>
        <v>0</v>
      </c>
      <c r="FE232" s="245">
        <f>DA232-AZ232</f>
        <v>0</v>
      </c>
      <c r="FF232" s="235">
        <f>FG232</f>
        <v>0</v>
      </c>
      <c r="FG232" s="245">
        <f>DB232-BA232</f>
        <v>0</v>
      </c>
      <c r="FH232" s="235">
        <f>FI232</f>
        <v>0</v>
      </c>
      <c r="FI232" s="245">
        <f>DC232-BB232</f>
        <v>0</v>
      </c>
      <c r="FJ232" s="235">
        <f>FK232</f>
        <v>0</v>
      </c>
      <c r="FK232" s="245">
        <f>CX232-AW232</f>
        <v>0</v>
      </c>
      <c r="FL232" s="235">
        <f>FM232</f>
        <v>41857.400000000009</v>
      </c>
      <c r="FM232" s="187">
        <f>DF232-BE232</f>
        <v>41857.400000000009</v>
      </c>
      <c r="FN232" s="235">
        <f>FO232</f>
        <v>61.857400000000005</v>
      </c>
      <c r="FO232" s="187">
        <f>DH232-BG232</f>
        <v>61.857400000000005</v>
      </c>
      <c r="FP232" s="235">
        <f>FQ232</f>
        <v>61.857400000000005</v>
      </c>
      <c r="FQ232" s="187">
        <f>DJ232-BI232</f>
        <v>61.857400000000005</v>
      </c>
      <c r="FR232" s="245">
        <f>DK232-BJ232</f>
        <v>177.53073800000001</v>
      </c>
      <c r="FS232" s="245">
        <f>DL232-BK232</f>
        <v>-20</v>
      </c>
      <c r="FT232" s="907">
        <f>DM232-BL232</f>
        <v>0</v>
      </c>
      <c r="FU232" s="907">
        <f>DR232-BO232</f>
        <v>0</v>
      </c>
      <c r="FV232" s="907">
        <f>DO232-BM232</f>
        <v>0</v>
      </c>
      <c r="FW232" s="907">
        <f>DQ232-BN232</f>
        <v>0</v>
      </c>
      <c r="FX232" s="907">
        <f>DS232-BP232</f>
        <v>0</v>
      </c>
      <c r="FY232" s="801">
        <f t="shared" si="132"/>
        <v>0</v>
      </c>
      <c r="FZ232" s="907">
        <f>DU232-BR232</f>
        <v>0</v>
      </c>
      <c r="GA232" s="907">
        <f>DV232-BS232</f>
        <v>0</v>
      </c>
      <c r="GB232" s="894">
        <f>GC232</f>
        <v>0</v>
      </c>
      <c r="GC232" s="776">
        <f t="shared" si="126"/>
        <v>0</v>
      </c>
      <c r="GD232" s="139"/>
      <c r="GE232" s="139"/>
      <c r="GF232" s="139"/>
      <c r="GG232" s="139"/>
      <c r="GH232" s="139"/>
      <c r="GI232" s="139"/>
      <c r="GJ232" s="139"/>
      <c r="GK232" s="139"/>
      <c r="GL232" s="139"/>
      <c r="GM232" s="139"/>
      <c r="GN232" s="139"/>
      <c r="GO232" s="139"/>
      <c r="GP232" s="139"/>
      <c r="GQ232" s="139"/>
      <c r="GR232" s="139"/>
      <c r="GS232" s="139"/>
      <c r="GT232" s="139"/>
    </row>
    <row r="233" spans="1:204" s="139" customFormat="1" ht="18.75">
      <c r="A233" s="2263"/>
      <c r="B233" s="2263"/>
      <c r="C233" s="132"/>
      <c r="D233" s="132"/>
      <c r="E233" s="132"/>
      <c r="F233" s="777"/>
      <c r="G233" s="132"/>
      <c r="H233" s="135"/>
      <c r="I233" s="136"/>
      <c r="J233" s="132"/>
      <c r="K233" s="132"/>
      <c r="L233" s="132"/>
      <c r="M233" s="132"/>
      <c r="N233" s="134"/>
      <c r="O233" s="134"/>
      <c r="P233" s="134"/>
      <c r="Q233" s="134"/>
      <c r="R233" s="137"/>
      <c r="S233" s="778"/>
      <c r="T233" s="634"/>
      <c r="U233" s="102"/>
      <c r="V233" s="634"/>
      <c r="W233" s="102"/>
      <c r="X233" s="102"/>
      <c r="Y233" s="102"/>
      <c r="Z233" s="634"/>
      <c r="AA233" s="102"/>
      <c r="AB233" s="634"/>
      <c r="AC233" s="102"/>
      <c r="AD233" s="634"/>
      <c r="AE233" s="102"/>
      <c r="AF233" s="102"/>
      <c r="AG233" s="102"/>
      <c r="AH233" s="102"/>
      <c r="AI233" s="634"/>
      <c r="AJ233" s="102"/>
      <c r="AK233" s="634"/>
      <c r="AL233" s="102"/>
      <c r="AM233" s="779"/>
      <c r="AN233" s="634"/>
      <c r="AO233" s="102"/>
      <c r="AP233" s="634"/>
      <c r="AQ233" s="102"/>
      <c r="AR233" s="634"/>
      <c r="AS233" s="102"/>
      <c r="AT233" s="634"/>
      <c r="AU233" s="102"/>
      <c r="AV233" s="634"/>
      <c r="AW233" s="102"/>
      <c r="AX233" s="102"/>
      <c r="AY233" s="102"/>
      <c r="AZ233" s="102"/>
      <c r="BA233" s="102"/>
      <c r="BB233" s="102"/>
      <c r="BC233" s="102"/>
      <c r="BD233" s="634"/>
      <c r="BE233" s="102"/>
      <c r="BF233" s="634"/>
      <c r="BG233" s="102"/>
      <c r="BH233" s="634"/>
      <c r="BI233" s="102"/>
      <c r="BJ233" s="111"/>
      <c r="BK233" s="186"/>
      <c r="BL233" s="102"/>
      <c r="BM233" s="102"/>
      <c r="BN233" s="102"/>
      <c r="BO233" s="102"/>
      <c r="BP233" s="102"/>
      <c r="BQ233" s="102"/>
      <c r="BR233" s="102"/>
      <c r="BS233" s="102"/>
      <c r="BT233" s="634"/>
      <c r="BU233" s="102"/>
      <c r="BW233" s="780"/>
      <c r="CA233" s="781"/>
      <c r="CB233" s="2258"/>
      <c r="CC233" s="782"/>
      <c r="CD233" s="782"/>
      <c r="CE233" s="634"/>
      <c r="CF233" s="840"/>
      <c r="CG233" s="634"/>
      <c r="CH233" s="840"/>
      <c r="CI233" s="634"/>
      <c r="CK233" s="634"/>
      <c r="CM233" s="634"/>
      <c r="CN233" s="102"/>
      <c r="CO233" s="784"/>
      <c r="CP233" s="784"/>
      <c r="CQ233" s="634"/>
      <c r="CR233" s="102"/>
      <c r="CS233" s="784"/>
      <c r="CT233" s="784"/>
      <c r="CU233" s="784"/>
      <c r="CV233" s="784"/>
      <c r="CW233" s="634"/>
      <c r="CX233" s="784"/>
      <c r="CY233" s="784"/>
      <c r="CZ233" s="784"/>
      <c r="DA233" s="784"/>
      <c r="DB233" s="784"/>
      <c r="DC233" s="784"/>
      <c r="DD233" s="784"/>
      <c r="DE233" s="634"/>
      <c r="DF233" s="784"/>
      <c r="DG233" s="634"/>
      <c r="DH233" s="296"/>
      <c r="DI233" s="802"/>
      <c r="DJ233" s="785"/>
      <c r="DK233" s="899"/>
      <c r="DL233" s="772"/>
      <c r="DM233" s="787"/>
      <c r="DN233" s="787"/>
      <c r="DO233" s="787"/>
      <c r="DP233" s="787"/>
      <c r="DQ233" s="787"/>
      <c r="DR233" s="787"/>
      <c r="DS233" s="787"/>
      <c r="DT233" s="787"/>
      <c r="DU233" s="787"/>
      <c r="DV233" s="787"/>
      <c r="DW233" s="802"/>
      <c r="DX233" s="788"/>
      <c r="DY233" s="634"/>
      <c r="DZ233" s="2288"/>
      <c r="EA233" s="2231"/>
      <c r="EB233" s="187"/>
      <c r="EC233" s="2232"/>
      <c r="ED233" s="187"/>
      <c r="EE233" s="187"/>
      <c r="EF233" s="2232"/>
      <c r="EG233" s="187"/>
      <c r="EH233" s="2232"/>
      <c r="EI233" s="187"/>
      <c r="EJ233" s="2232"/>
      <c r="EK233" s="187"/>
      <c r="EL233" s="2232"/>
      <c r="EM233" s="195"/>
      <c r="EN233" s="2232"/>
      <c r="EO233" s="195"/>
      <c r="EP233" s="2232"/>
      <c r="EQ233" s="187"/>
      <c r="ER233" s="2232"/>
      <c r="ES233" s="187"/>
      <c r="ET233" s="2232"/>
      <c r="EU233" s="187">
        <f t="shared" si="125"/>
        <v>0</v>
      </c>
      <c r="EV233" s="2232"/>
      <c r="EW233" s="187"/>
      <c r="EX233" s="2232"/>
      <c r="EY233" s="195"/>
      <c r="EZ233" s="2232"/>
      <c r="FA233" s="195"/>
      <c r="FB233" s="2232"/>
      <c r="FC233" s="195"/>
      <c r="FD233" s="2232"/>
      <c r="FE233" s="195"/>
      <c r="FF233" s="2232"/>
      <c r="FG233" s="195"/>
      <c r="FH233" s="2232"/>
      <c r="FI233" s="195"/>
      <c r="FJ233" s="2232"/>
      <c r="FK233" s="195"/>
      <c r="FL233" s="2232"/>
      <c r="FM233" s="187"/>
      <c r="FN233" s="2232"/>
      <c r="FO233" s="187"/>
      <c r="FP233" s="2232"/>
      <c r="FQ233" s="187"/>
      <c r="FR233" s="195"/>
      <c r="FS233" s="195"/>
      <c r="FT233" s="789"/>
      <c r="FU233" s="789"/>
      <c r="FV233" s="789"/>
      <c r="FW233" s="789"/>
      <c r="FX233" s="789"/>
      <c r="FY233" s="801">
        <f t="shared" si="132"/>
        <v>0</v>
      </c>
      <c r="FZ233" s="789"/>
      <c r="GA233" s="789"/>
      <c r="GB233" s="2289"/>
      <c r="GC233" s="776"/>
    </row>
    <row r="234" spans="1:204" s="228" customFormat="1" ht="18.75">
      <c r="A234" s="216"/>
      <c r="B234" s="216">
        <v>87</v>
      </c>
      <c r="C234" s="918" t="s">
        <v>703</v>
      </c>
      <c r="D234" s="218">
        <v>2856</v>
      </c>
      <c r="E234" s="218">
        <v>45</v>
      </c>
      <c r="F234" s="218">
        <v>2028560045</v>
      </c>
      <c r="G234" s="218">
        <v>9963</v>
      </c>
      <c r="H234" s="221" t="s">
        <v>902</v>
      </c>
      <c r="I234" s="222" t="s">
        <v>706</v>
      </c>
      <c r="J234" s="218">
        <v>1.0900000000000001</v>
      </c>
      <c r="K234" s="218">
        <v>6.02</v>
      </c>
      <c r="L234" s="218">
        <v>0</v>
      </c>
      <c r="M234" s="218">
        <v>6.5</v>
      </c>
      <c r="N234" s="220">
        <v>10828</v>
      </c>
      <c r="O234" s="220"/>
      <c r="P234" s="220">
        <v>10828</v>
      </c>
      <c r="Q234" s="220">
        <v>10828</v>
      </c>
      <c r="R234" s="223">
        <v>0</v>
      </c>
      <c r="S234" s="898" t="s">
        <v>652</v>
      </c>
      <c r="T234" s="234">
        <f>U234</f>
        <v>0</v>
      </c>
      <c r="U234" s="111">
        <v>0</v>
      </c>
      <c r="V234" s="234">
        <f>W234</f>
        <v>10828</v>
      </c>
      <c r="W234" s="111">
        <f>N234</f>
        <v>10828</v>
      </c>
      <c r="X234" s="111"/>
      <c r="Y234" s="111">
        <f>W234-AA234</f>
        <v>10828</v>
      </c>
      <c r="Z234" s="234">
        <f>AA234</f>
        <v>0</v>
      </c>
      <c r="AA234" s="111">
        <v>0</v>
      </c>
      <c r="AB234" s="234">
        <f>AC234</f>
        <v>0</v>
      </c>
      <c r="AC234" s="111">
        <v>0</v>
      </c>
      <c r="AD234" s="234">
        <f>AE234</f>
        <v>0</v>
      </c>
      <c r="AE234" s="111">
        <v>0</v>
      </c>
      <c r="AF234" s="111">
        <v>0</v>
      </c>
      <c r="AG234" s="111">
        <v>0</v>
      </c>
      <c r="AH234" s="111">
        <v>0</v>
      </c>
      <c r="AI234" s="234">
        <f>AJ234</f>
        <v>0</v>
      </c>
      <c r="AJ234" s="111">
        <v>0</v>
      </c>
      <c r="AK234" s="234">
        <f>AL234</f>
        <v>0</v>
      </c>
      <c r="AL234" s="111">
        <f>W234-(AA234+AC234+AE234+AH234+AJ234+AM234+AW234+AO234+AQ234+AS234+AU234)</f>
        <v>0</v>
      </c>
      <c r="AM234" s="899">
        <v>0</v>
      </c>
      <c r="AN234" s="234">
        <f>AO234</f>
        <v>0</v>
      </c>
      <c r="AO234" s="111">
        <v>0</v>
      </c>
      <c r="AP234" s="234">
        <f>AQ234</f>
        <v>0</v>
      </c>
      <c r="AQ234" s="111">
        <v>0</v>
      </c>
      <c r="AR234" s="234">
        <f>AS234</f>
        <v>0</v>
      </c>
      <c r="AS234" s="111">
        <v>0</v>
      </c>
      <c r="AT234" s="234">
        <f>AU234</f>
        <v>0</v>
      </c>
      <c r="AU234" s="111">
        <v>0</v>
      </c>
      <c r="AV234" s="234">
        <f>AW234</f>
        <v>10828</v>
      </c>
      <c r="AW234" s="111">
        <f>AX234+AY234+AZ234+BA234+BB234+BC234</f>
        <v>10828</v>
      </c>
      <c r="AX234" s="111">
        <v>0</v>
      </c>
      <c r="AY234" s="111">
        <f>W234</f>
        <v>10828</v>
      </c>
      <c r="AZ234" s="111">
        <v>0</v>
      </c>
      <c r="BA234" s="111">
        <v>0</v>
      </c>
      <c r="BB234" s="111">
        <v>0</v>
      </c>
      <c r="BC234" s="111">
        <v>0</v>
      </c>
      <c r="BD234" s="234">
        <f>BE234</f>
        <v>10828</v>
      </c>
      <c r="BE234" s="111">
        <f>W234+U234</f>
        <v>10828</v>
      </c>
      <c r="BF234" s="234">
        <f>BG234</f>
        <v>0</v>
      </c>
      <c r="BG234" s="111">
        <v>0</v>
      </c>
      <c r="BH234" s="234">
        <f>BI234</f>
        <v>0</v>
      </c>
      <c r="BI234" s="111">
        <v>0</v>
      </c>
      <c r="BJ234" s="111">
        <f t="shared" si="127"/>
        <v>0</v>
      </c>
      <c r="BK234" s="306">
        <f>ROUND((AL234+AC234+AA234)/1000*3,0)+ROUND((AE234+AU234)/1000,0)+ROUND((ROUND(AH234/400,0))/2.67,0)+ROUND(AJ234/250,0)+ROUND(AO234/15000,0)+ROUND((AX234+AY234+AZ234+BB234)/1000*3,0)+ROUND(BG234/25,0)+ROUND(BU234/50,0)</f>
        <v>32</v>
      </c>
      <c r="BL234" s="111">
        <v>0</v>
      </c>
      <c r="BM234" s="111">
        <v>0</v>
      </c>
      <c r="BN234" s="111">
        <v>0</v>
      </c>
      <c r="BO234" s="111">
        <v>0</v>
      </c>
      <c r="BP234" s="111">
        <v>0</v>
      </c>
      <c r="BQ234" s="111">
        <v>0</v>
      </c>
      <c r="BR234" s="111">
        <v>0</v>
      </c>
      <c r="BS234" s="111">
        <v>0</v>
      </c>
      <c r="BT234" s="234">
        <f>BU234</f>
        <v>0</v>
      </c>
      <c r="BU234" s="111">
        <f>SUM(BL234:BS234)</f>
        <v>0</v>
      </c>
      <c r="BV234" s="228">
        <v>25</v>
      </c>
      <c r="BW234" s="900" t="s">
        <v>741</v>
      </c>
      <c r="BX234" s="228">
        <v>7.2</v>
      </c>
      <c r="BY234" s="228">
        <v>2</v>
      </c>
      <c r="BZ234" s="228">
        <v>6.5</v>
      </c>
      <c r="CA234" s="901" t="s">
        <v>706</v>
      </c>
      <c r="CB234" s="230" t="s">
        <v>866</v>
      </c>
      <c r="CC234" s="399">
        <f>(BX234*G234)-CF234</f>
        <v>60905.600000000006</v>
      </c>
      <c r="CD234" s="399">
        <v>60905.600000000006</v>
      </c>
      <c r="CE234" s="234">
        <f>CF234</f>
        <v>10828</v>
      </c>
      <c r="CF234" s="902">
        <f>W234</f>
        <v>10828</v>
      </c>
      <c r="CG234" s="234">
        <f>CH234</f>
        <v>10828</v>
      </c>
      <c r="CH234" s="902">
        <f>CF234-CJ234</f>
        <v>10828</v>
      </c>
      <c r="CI234" s="234">
        <f>CJ234</f>
        <v>0</v>
      </c>
      <c r="CJ234" s="228">
        <v>0</v>
      </c>
      <c r="CK234" s="234">
        <f>CL234</f>
        <v>0</v>
      </c>
      <c r="CL234" s="228">
        <v>0</v>
      </c>
      <c r="CM234" s="234">
        <f>CN234</f>
        <v>0</v>
      </c>
      <c r="CN234" s="111">
        <v>0</v>
      </c>
      <c r="CO234" s="903"/>
      <c r="CP234" s="903"/>
      <c r="CQ234" s="234">
        <f>CR234</f>
        <v>0</v>
      </c>
      <c r="CR234" s="111"/>
      <c r="CS234" s="903"/>
      <c r="CT234" s="903"/>
      <c r="CU234" s="903"/>
      <c r="CV234" s="903"/>
      <c r="CW234" s="234">
        <f>CX234</f>
        <v>10828</v>
      </c>
      <c r="CX234" s="903">
        <f>SUM(CY234:DC234)</f>
        <v>10828</v>
      </c>
      <c r="CY234" s="903">
        <v>0</v>
      </c>
      <c r="CZ234" s="903">
        <f>AY234</f>
        <v>10828</v>
      </c>
      <c r="DA234" s="903">
        <v>0</v>
      </c>
      <c r="DB234" s="903">
        <v>0</v>
      </c>
      <c r="DC234" s="903">
        <v>0</v>
      </c>
      <c r="DD234" s="903"/>
      <c r="DE234" s="234">
        <f>DF234</f>
        <v>71733.600000000006</v>
      </c>
      <c r="DF234" s="903">
        <f>CC234+CF234</f>
        <v>71733.600000000006</v>
      </c>
      <c r="DG234" s="234">
        <f>DH234</f>
        <v>61</v>
      </c>
      <c r="DH234" s="228">
        <f>ROUND(CC234/'[1]Projected Development Sites'!DF$134,0)</f>
        <v>61</v>
      </c>
      <c r="DI234" s="886">
        <f>DJ234</f>
        <v>61</v>
      </c>
      <c r="DJ234" s="905">
        <f>'[1]Projected Development Sites'!DK$136*DH234</f>
        <v>61</v>
      </c>
      <c r="DK234" s="899">
        <f>2.87*DH234</f>
        <v>175.07</v>
      </c>
      <c r="DL234" s="772">
        <f>ROUND((CN234+CL234+CJ234)/1000*3,0)+ROUND((ROUND(CP234/400,0))/2.67,0)+ROUND(CV234/1000,0)+ROUND((CY234+CZ234+DA234+DC234)/1000*3,0)+ROUND(DH234/25,0)+ROUND(DX234/50,0)</f>
        <v>34</v>
      </c>
      <c r="DM234" s="905">
        <v>0</v>
      </c>
      <c r="DN234" s="905"/>
      <c r="DO234" s="905">
        <v>0</v>
      </c>
      <c r="DP234" s="905">
        <f>0.25*DJ234</f>
        <v>15.25</v>
      </c>
      <c r="DQ234" s="905">
        <f>SUM(CO234,CJ234,CN234,CR234,CU234)/1000</f>
        <v>0</v>
      </c>
      <c r="DR234" s="905">
        <f>CL234/1000</f>
        <v>0</v>
      </c>
      <c r="DS234" s="905">
        <f>((CP234/400)/12)</f>
        <v>0</v>
      </c>
      <c r="DT234" s="905">
        <v>0</v>
      </c>
      <c r="DU234" s="905">
        <v>0</v>
      </c>
      <c r="DV234" s="905">
        <f>CX234/1000</f>
        <v>10.827999999999999</v>
      </c>
      <c r="DW234" s="886">
        <f>DX234</f>
        <v>10.827999999999999</v>
      </c>
      <c r="DX234" s="906">
        <f>SUM(DM234,DO234,DQ234:DV234)</f>
        <v>10.827999999999999</v>
      </c>
      <c r="DY234" s="837">
        <v>165</v>
      </c>
      <c r="DZ234" s="2288">
        <f>CD234-T234</f>
        <v>60905.600000000006</v>
      </c>
      <c r="EA234" s="2231">
        <f>CE234-V234</f>
        <v>0</v>
      </c>
      <c r="EB234" s="187">
        <f>CF234-W234</f>
        <v>0</v>
      </c>
      <c r="EC234" s="235">
        <f>ED234</f>
        <v>0</v>
      </c>
      <c r="ED234" s="187">
        <v>0</v>
      </c>
      <c r="EE234" s="187">
        <f>(SUM(CJ234:CO234))-(SUM(AA234:AE234,AL234))</f>
        <v>0</v>
      </c>
      <c r="EF234" s="235">
        <f>EG234</f>
        <v>0</v>
      </c>
      <c r="EG234" s="187">
        <v>0</v>
      </c>
      <c r="EH234" s="235">
        <f>EI234</f>
        <v>0</v>
      </c>
      <c r="EI234" s="187">
        <f>CL234-AC234</f>
        <v>0</v>
      </c>
      <c r="EJ234" s="235">
        <f>EK234</f>
        <v>0</v>
      </c>
      <c r="EK234" s="187">
        <f>CJ234-AA234</f>
        <v>0</v>
      </c>
      <c r="EL234" s="235">
        <f>EM234</f>
        <v>0</v>
      </c>
      <c r="EM234" s="245">
        <f>CO234-AE234</f>
        <v>0</v>
      </c>
      <c r="EN234" s="235">
        <f>EO234</f>
        <v>0</v>
      </c>
      <c r="EO234" s="245">
        <f>CP234-AH234</f>
        <v>0</v>
      </c>
      <c r="EP234" s="235">
        <f>EQ234</f>
        <v>0</v>
      </c>
      <c r="EQ234" s="187">
        <f>CR234-AJ234</f>
        <v>0</v>
      </c>
      <c r="ER234" s="235">
        <f>ES234</f>
        <v>0</v>
      </c>
      <c r="ES234" s="187">
        <f>CS234-AO234</f>
        <v>0</v>
      </c>
      <c r="ET234" s="235">
        <f>EU234</f>
        <v>0</v>
      </c>
      <c r="EU234" s="187">
        <f t="shared" si="125"/>
        <v>0</v>
      </c>
      <c r="EV234" s="235">
        <f>EW234</f>
        <v>0</v>
      </c>
      <c r="EW234" s="187">
        <f>CU234-AS234</f>
        <v>0</v>
      </c>
      <c r="EX234" s="235">
        <f>EY234</f>
        <v>0</v>
      </c>
      <c r="EY234" s="245">
        <f>CV234-AU234</f>
        <v>0</v>
      </c>
      <c r="EZ234" s="235">
        <f>FA234</f>
        <v>0</v>
      </c>
      <c r="FA234" s="245">
        <f>CY234-AX234</f>
        <v>0</v>
      </c>
      <c r="FB234" s="235">
        <f>FC234</f>
        <v>0</v>
      </c>
      <c r="FC234" s="245">
        <f>CZ234-AY234</f>
        <v>0</v>
      </c>
      <c r="FD234" s="235">
        <f>FE234</f>
        <v>0</v>
      </c>
      <c r="FE234" s="245">
        <f>DA234-AZ234</f>
        <v>0</v>
      </c>
      <c r="FF234" s="235">
        <f>FG234</f>
        <v>0</v>
      </c>
      <c r="FG234" s="245">
        <f>DB234-BA234</f>
        <v>0</v>
      </c>
      <c r="FH234" s="235">
        <f>FI234</f>
        <v>0</v>
      </c>
      <c r="FI234" s="245">
        <f>DC234-BB234</f>
        <v>0</v>
      </c>
      <c r="FJ234" s="235">
        <f>FK234</f>
        <v>0</v>
      </c>
      <c r="FK234" s="245">
        <f>CX234-AW234</f>
        <v>0</v>
      </c>
      <c r="FL234" s="235">
        <f>FM234</f>
        <v>60905.600000000006</v>
      </c>
      <c r="FM234" s="187">
        <f>DF234-BE234</f>
        <v>60905.600000000006</v>
      </c>
      <c r="FN234" s="235">
        <f>FO234</f>
        <v>61</v>
      </c>
      <c r="FO234" s="187">
        <f>DH234-BG234</f>
        <v>61</v>
      </c>
      <c r="FP234" s="235">
        <f>FQ234</f>
        <v>61</v>
      </c>
      <c r="FQ234" s="187">
        <f>DJ234-BI234</f>
        <v>61</v>
      </c>
      <c r="FR234" s="245">
        <f>DK234-BJ234</f>
        <v>175.07</v>
      </c>
      <c r="FS234" s="245">
        <f>DL234-BK234</f>
        <v>2</v>
      </c>
      <c r="FT234" s="907">
        <f>DM234-BL234</f>
        <v>0</v>
      </c>
      <c r="FU234" s="907">
        <f>DR234-BO234</f>
        <v>0</v>
      </c>
      <c r="FV234" s="907">
        <f>DO234-BM234</f>
        <v>0</v>
      </c>
      <c r="FW234" s="907">
        <f>DQ234-BN234</f>
        <v>0</v>
      </c>
      <c r="FX234" s="907">
        <f>DS234-BP234</f>
        <v>0</v>
      </c>
      <c r="FY234" s="801">
        <f t="shared" si="132"/>
        <v>0</v>
      </c>
      <c r="FZ234" s="907">
        <f>DU234-BR234</f>
        <v>0</v>
      </c>
      <c r="GA234" s="907">
        <f>DV234-BS234</f>
        <v>10.827999999999999</v>
      </c>
      <c r="GB234" s="894">
        <f>GC234</f>
        <v>10.827999999999999</v>
      </c>
      <c r="GC234" s="776">
        <f t="shared" si="126"/>
        <v>10.827999999999999</v>
      </c>
      <c r="GD234" s="139"/>
      <c r="GE234" s="139"/>
      <c r="GF234" s="139"/>
      <c r="GG234" s="139"/>
      <c r="GH234" s="139"/>
      <c r="GI234" s="139"/>
      <c r="GJ234" s="139"/>
      <c r="GK234" s="139"/>
      <c r="GL234" s="139"/>
      <c r="GM234" s="139"/>
      <c r="GN234" s="139"/>
      <c r="GO234" s="139"/>
      <c r="GP234" s="139"/>
      <c r="GQ234" s="139"/>
      <c r="GR234" s="139"/>
      <c r="GS234" s="139"/>
      <c r="GT234" s="139"/>
    </row>
    <row r="235" spans="1:204" s="139" customFormat="1" ht="18.75">
      <c r="A235" s="2263"/>
      <c r="B235" s="2263"/>
      <c r="C235" s="913"/>
      <c r="D235" s="132"/>
      <c r="E235" s="132"/>
      <c r="F235" s="132"/>
      <c r="G235" s="132"/>
      <c r="H235" s="135"/>
      <c r="I235" s="136"/>
      <c r="J235" s="132"/>
      <c r="K235" s="132"/>
      <c r="L235" s="132"/>
      <c r="M235" s="132"/>
      <c r="N235" s="134"/>
      <c r="O235" s="134"/>
      <c r="P235" s="134"/>
      <c r="Q235" s="134"/>
      <c r="R235" s="137"/>
      <c r="S235" s="778"/>
      <c r="T235" s="634"/>
      <c r="U235" s="102"/>
      <c r="V235" s="634"/>
      <c r="W235" s="102"/>
      <c r="X235" s="102"/>
      <c r="Y235" s="102"/>
      <c r="Z235" s="634"/>
      <c r="AA235" s="102"/>
      <c r="AB235" s="634"/>
      <c r="AC235" s="102"/>
      <c r="AD235" s="634"/>
      <c r="AE235" s="102"/>
      <c r="AF235" s="102"/>
      <c r="AG235" s="102"/>
      <c r="AH235" s="102"/>
      <c r="AI235" s="634"/>
      <c r="AJ235" s="102"/>
      <c r="AK235" s="634"/>
      <c r="AL235" s="102"/>
      <c r="AM235" s="779"/>
      <c r="AN235" s="634"/>
      <c r="AO235" s="102"/>
      <c r="AP235" s="634"/>
      <c r="AQ235" s="102"/>
      <c r="AR235" s="634"/>
      <c r="AS235" s="102"/>
      <c r="AT235" s="634"/>
      <c r="AU235" s="102"/>
      <c r="AV235" s="634"/>
      <c r="AW235" s="102"/>
      <c r="AX235" s="102"/>
      <c r="AY235" s="102"/>
      <c r="AZ235" s="102"/>
      <c r="BA235" s="102"/>
      <c r="BB235" s="102"/>
      <c r="BC235" s="102"/>
      <c r="BD235" s="634"/>
      <c r="BE235" s="102"/>
      <c r="BF235" s="634"/>
      <c r="BG235" s="102"/>
      <c r="BH235" s="634"/>
      <c r="BI235" s="102"/>
      <c r="BJ235" s="111"/>
      <c r="BK235" s="186"/>
      <c r="BL235" s="102"/>
      <c r="BM235" s="102"/>
      <c r="BN235" s="102"/>
      <c r="BO235" s="102"/>
      <c r="BP235" s="102"/>
      <c r="BQ235" s="102"/>
      <c r="BR235" s="102"/>
      <c r="BS235" s="102"/>
      <c r="BT235" s="634"/>
      <c r="BU235" s="102"/>
      <c r="BW235" s="780"/>
      <c r="CA235" s="781"/>
      <c r="CB235" s="2258"/>
      <c r="CC235" s="782"/>
      <c r="CD235" s="782"/>
      <c r="CE235" s="634"/>
      <c r="CF235" s="840"/>
      <c r="CG235" s="634"/>
      <c r="CH235" s="840"/>
      <c r="CI235" s="634"/>
      <c r="CK235" s="634"/>
      <c r="CM235" s="634"/>
      <c r="CN235" s="102"/>
      <c r="CO235" s="784"/>
      <c r="CP235" s="784"/>
      <c r="CQ235" s="634"/>
      <c r="CR235" s="102"/>
      <c r="CS235" s="784"/>
      <c r="CT235" s="784"/>
      <c r="CU235" s="784"/>
      <c r="CV235" s="784"/>
      <c r="CW235" s="634"/>
      <c r="CX235" s="784"/>
      <c r="CY235" s="784"/>
      <c r="CZ235" s="784"/>
      <c r="DA235" s="784"/>
      <c r="DB235" s="784"/>
      <c r="DC235" s="784"/>
      <c r="DD235" s="784"/>
      <c r="DE235" s="634"/>
      <c r="DF235" s="102"/>
      <c r="DG235" s="634"/>
      <c r="DI235" s="802"/>
      <c r="DJ235" s="787"/>
      <c r="DK235" s="899"/>
      <c r="DL235" s="772"/>
      <c r="DM235" s="787"/>
      <c r="DN235" s="787"/>
      <c r="DO235" s="787"/>
      <c r="DP235" s="787"/>
      <c r="DQ235" s="787"/>
      <c r="DR235" s="787"/>
      <c r="DS235" s="787"/>
      <c r="DT235" s="787"/>
      <c r="DU235" s="787"/>
      <c r="DV235" s="787"/>
      <c r="DW235" s="802"/>
      <c r="DX235" s="788"/>
      <c r="DY235" s="634"/>
      <c r="DZ235" s="2288"/>
      <c r="EA235" s="2231"/>
      <c r="EB235" s="187"/>
      <c r="EC235" s="2232"/>
      <c r="ED235" s="187"/>
      <c r="EE235" s="187"/>
      <c r="EF235" s="2232"/>
      <c r="EG235" s="187"/>
      <c r="EH235" s="2232"/>
      <c r="EI235" s="187"/>
      <c r="EJ235" s="2232"/>
      <c r="EK235" s="187"/>
      <c r="EL235" s="2232"/>
      <c r="EM235" s="195"/>
      <c r="EN235" s="2232"/>
      <c r="EO235" s="195"/>
      <c r="EP235" s="2232"/>
      <c r="EQ235" s="187"/>
      <c r="ER235" s="2232"/>
      <c r="ES235" s="187"/>
      <c r="ET235" s="2232"/>
      <c r="EU235" s="187">
        <f t="shared" si="125"/>
        <v>0</v>
      </c>
      <c r="EV235" s="2232"/>
      <c r="EW235" s="187"/>
      <c r="EX235" s="2232"/>
      <c r="EY235" s="195"/>
      <c r="EZ235" s="2232"/>
      <c r="FA235" s="195"/>
      <c r="FB235" s="2232"/>
      <c r="FC235" s="195"/>
      <c r="FD235" s="2232"/>
      <c r="FE235" s="195"/>
      <c r="FF235" s="2232"/>
      <c r="FG235" s="195"/>
      <c r="FH235" s="2232"/>
      <c r="FI235" s="195"/>
      <c r="FJ235" s="2232"/>
      <c r="FK235" s="195"/>
      <c r="FL235" s="2232"/>
      <c r="FM235" s="187"/>
      <c r="FN235" s="2232"/>
      <c r="FO235" s="187"/>
      <c r="FP235" s="2232"/>
      <c r="FQ235" s="187"/>
      <c r="FR235" s="195"/>
      <c r="FS235" s="195"/>
      <c r="FT235" s="789"/>
      <c r="FU235" s="789"/>
      <c r="FV235" s="789"/>
      <c r="FW235" s="789"/>
      <c r="FX235" s="789"/>
      <c r="FY235" s="801">
        <f t="shared" si="132"/>
        <v>0</v>
      </c>
      <c r="FZ235" s="789"/>
      <c r="GA235" s="789"/>
      <c r="GB235" s="2289"/>
      <c r="GC235" s="776"/>
    </row>
    <row r="236" spans="1:204" s="228" customFormat="1" ht="23.25" customHeight="1">
      <c r="A236" s="216"/>
      <c r="B236" s="216">
        <v>88</v>
      </c>
      <c r="C236" s="218" t="s">
        <v>710</v>
      </c>
      <c r="D236" s="218">
        <v>2856</v>
      </c>
      <c r="E236" s="218">
        <v>49</v>
      </c>
      <c r="F236" s="897">
        <v>2028560049</v>
      </c>
      <c r="G236" s="220">
        <v>12474</v>
      </c>
      <c r="H236" s="221" t="s">
        <v>756</v>
      </c>
      <c r="I236" s="222"/>
      <c r="J236" s="218">
        <v>1.45</v>
      </c>
      <c r="K236" s="218">
        <v>0</v>
      </c>
      <c r="L236" s="218">
        <v>2</v>
      </c>
      <c r="M236" s="218">
        <v>4.8</v>
      </c>
      <c r="N236" s="220">
        <v>18100</v>
      </c>
      <c r="O236" s="220">
        <v>9050</v>
      </c>
      <c r="P236" s="220">
        <v>0</v>
      </c>
      <c r="Q236" s="220">
        <v>18100</v>
      </c>
      <c r="R236" s="223">
        <v>0</v>
      </c>
      <c r="S236" s="898" t="s">
        <v>862</v>
      </c>
      <c r="T236" s="234">
        <f>U236</f>
        <v>0</v>
      </c>
      <c r="U236" s="111">
        <v>0</v>
      </c>
      <c r="V236" s="234">
        <f>W236</f>
        <v>18100</v>
      </c>
      <c r="W236" s="111">
        <f>N236</f>
        <v>18100</v>
      </c>
      <c r="X236" s="111"/>
      <c r="Y236" s="111">
        <f>W236-AA236</f>
        <v>18100</v>
      </c>
      <c r="Z236" s="234">
        <f>AA236</f>
        <v>0</v>
      </c>
      <c r="AA236" s="111">
        <v>0</v>
      </c>
      <c r="AB236" s="234">
        <f>AC236</f>
        <v>9050</v>
      </c>
      <c r="AC236" s="111">
        <f>0.5*W236</f>
        <v>9050</v>
      </c>
      <c r="AD236" s="234">
        <f>AE236</f>
        <v>0</v>
      </c>
      <c r="AE236" s="111">
        <f>AG236+AF236</f>
        <v>0</v>
      </c>
      <c r="AF236" s="111">
        <v>0</v>
      </c>
      <c r="AG236" s="111">
        <v>0</v>
      </c>
      <c r="AH236" s="111">
        <v>0</v>
      </c>
      <c r="AI236" s="234">
        <f>AJ236</f>
        <v>0</v>
      </c>
      <c r="AJ236" s="111">
        <v>0</v>
      </c>
      <c r="AK236" s="234">
        <f>AL236</f>
        <v>0</v>
      </c>
      <c r="AL236" s="111">
        <f>W236-(AA236+AC236+AE236+AH236+AJ236+AM236+AW236+AO236+AQ236+AS236+AU236)</f>
        <v>0</v>
      </c>
      <c r="AM236" s="899">
        <v>0</v>
      </c>
      <c r="AN236" s="234">
        <f>AO236</f>
        <v>9050</v>
      </c>
      <c r="AO236" s="111">
        <f>0.5*W236</f>
        <v>9050</v>
      </c>
      <c r="AP236" s="234">
        <f>AQ236</f>
        <v>0</v>
      </c>
      <c r="AQ236" s="111">
        <v>0</v>
      </c>
      <c r="AR236" s="234">
        <f>AS236</f>
        <v>0</v>
      </c>
      <c r="AS236" s="111">
        <v>0</v>
      </c>
      <c r="AT236" s="234">
        <f>AU236</f>
        <v>0</v>
      </c>
      <c r="AU236" s="111">
        <v>0</v>
      </c>
      <c r="AV236" s="234">
        <f>AW236</f>
        <v>0</v>
      </c>
      <c r="AW236" s="111">
        <f>AX236+AY236+AZ236+BA236+BB236</f>
        <v>0</v>
      </c>
      <c r="AX236" s="111">
        <v>0</v>
      </c>
      <c r="AY236" s="111">
        <v>0</v>
      </c>
      <c r="AZ236" s="111">
        <v>0</v>
      </c>
      <c r="BA236" s="111">
        <v>0</v>
      </c>
      <c r="BB236" s="111">
        <v>0</v>
      </c>
      <c r="BC236" s="111">
        <v>0</v>
      </c>
      <c r="BD236" s="234">
        <f>BE236</f>
        <v>18100</v>
      </c>
      <c r="BE236" s="111">
        <f>ROUND(U236+W236,0)</f>
        <v>18100</v>
      </c>
      <c r="BF236" s="234">
        <f>BG236</f>
        <v>0</v>
      </c>
      <c r="BG236" s="111">
        <f>U236/1000</f>
        <v>0</v>
      </c>
      <c r="BH236" s="234">
        <f>BI236</f>
        <v>0</v>
      </c>
      <c r="BI236" s="111">
        <v>0</v>
      </c>
      <c r="BJ236" s="111">
        <f t="shared" si="127"/>
        <v>0</v>
      </c>
      <c r="BK236" s="306">
        <f>ROUND((AL236+AC236+AA236)/1000*3,0)+ROUND((AE236+AU236)/1000,0)+ROUND((ROUND(AH236/400,0))/2.67,0)+ROUND(AJ236/250,0)+ROUND(AO236/15000,0)+ROUND((AX236+AY236+AZ236+BB236)/1000*3,0)+ROUND(BG236/25,0)+ROUND(BU236/50,0)</f>
        <v>28</v>
      </c>
      <c r="BL236" s="111">
        <v>0</v>
      </c>
      <c r="BM236" s="111">
        <v>0</v>
      </c>
      <c r="BN236" s="111">
        <v>0</v>
      </c>
      <c r="BO236" s="111">
        <f>AC236/1000</f>
        <v>9.0500000000000007</v>
      </c>
      <c r="BP236" s="111">
        <f>AH236/1000</f>
        <v>0</v>
      </c>
      <c r="BQ236" s="111">
        <v>0</v>
      </c>
      <c r="BR236" s="111">
        <v>0</v>
      </c>
      <c r="BS236" s="111">
        <v>0</v>
      </c>
      <c r="BT236" s="234">
        <f>BU236</f>
        <v>9.0500000000000007</v>
      </c>
      <c r="BU236" s="111">
        <f>SUM(BL236:BS236)</f>
        <v>9.0500000000000007</v>
      </c>
      <c r="BV236" s="111">
        <v>15</v>
      </c>
      <c r="BW236" s="900" t="s">
        <v>741</v>
      </c>
      <c r="BX236" s="228">
        <v>7.2</v>
      </c>
      <c r="BY236" s="228">
        <v>2</v>
      </c>
      <c r="BZ236" s="878">
        <v>6.5</v>
      </c>
      <c r="CA236" s="985" t="s">
        <v>905</v>
      </c>
      <c r="CB236" s="230" t="s">
        <v>906</v>
      </c>
      <c r="CC236" s="399">
        <f>(BX236*G236)+CL236</f>
        <v>98862.8</v>
      </c>
      <c r="CD236" s="399">
        <v>98862.8</v>
      </c>
      <c r="CE236" s="234">
        <f>CF236</f>
        <v>9050</v>
      </c>
      <c r="CF236" s="902">
        <f>W236-AO236</f>
        <v>9050</v>
      </c>
      <c r="CG236" s="234">
        <f>CH236</f>
        <v>9050</v>
      </c>
      <c r="CH236" s="902">
        <f>CF236-CJ236</f>
        <v>9050</v>
      </c>
      <c r="CI236" s="234">
        <f>CJ236</f>
        <v>0</v>
      </c>
      <c r="CJ236" s="111">
        <v>0</v>
      </c>
      <c r="CK236" s="234">
        <f>CL236</f>
        <v>9050</v>
      </c>
      <c r="CL236" s="111">
        <v>9050</v>
      </c>
      <c r="CM236" s="234">
        <f>CN236</f>
        <v>0</v>
      </c>
      <c r="CN236" s="111">
        <f>CF236-(CJ236+CL236+CO236+CP236+CR236+CU236+CV236+CX236)</f>
        <v>0</v>
      </c>
      <c r="CO236" s="903">
        <v>0</v>
      </c>
      <c r="CP236" s="903">
        <v>0</v>
      </c>
      <c r="CQ236" s="234">
        <f>CR236</f>
        <v>0</v>
      </c>
      <c r="CR236" s="111">
        <v>0</v>
      </c>
      <c r="CS236" s="903">
        <v>0</v>
      </c>
      <c r="CT236" s="903">
        <v>0</v>
      </c>
      <c r="CU236" s="903">
        <v>0</v>
      </c>
      <c r="CV236" s="903">
        <v>0</v>
      </c>
      <c r="CW236" s="234">
        <f>CX236</f>
        <v>0</v>
      </c>
      <c r="CX236" s="111">
        <f>SUM(CY236:DC236)</f>
        <v>0</v>
      </c>
      <c r="CY236" s="903">
        <f>AX236</f>
        <v>0</v>
      </c>
      <c r="CZ236" s="903">
        <f>AY236</f>
        <v>0</v>
      </c>
      <c r="DA236" s="903">
        <f>AZ236</f>
        <v>0</v>
      </c>
      <c r="DB236" s="903">
        <f>BA236</f>
        <v>0</v>
      </c>
      <c r="DC236" s="903">
        <f>BB236</f>
        <v>0</v>
      </c>
      <c r="DD236" s="903"/>
      <c r="DE236" s="234">
        <f>DF236</f>
        <v>107913</v>
      </c>
      <c r="DF236" s="111">
        <f>ROUND(CC236+CF236,0)</f>
        <v>107913</v>
      </c>
      <c r="DG236" s="234">
        <f>DH236</f>
        <v>98.862800000000007</v>
      </c>
      <c r="DH236" s="111">
        <f>CC236/'[1]Projected Development Sites'!DF$134</f>
        <v>98.862800000000007</v>
      </c>
      <c r="DI236" s="886">
        <f>DJ236</f>
        <v>98.862800000000007</v>
      </c>
      <c r="DJ236" s="899">
        <f>'[1]Projected Development Sites'!DK$136*DH236</f>
        <v>98.862800000000007</v>
      </c>
      <c r="DK236" s="899">
        <f>2.87*DH236</f>
        <v>283.73623600000002</v>
      </c>
      <c r="DL236" s="924">
        <f>ROUND((CN236+CL236+CJ236)/1000*3,0)+ROUND((ROUND(CP236/400,0))/2.67,0)+ROUND(CV236/1000,0)+ROUND((CY236+CZ236+DA236+DC236)/1000*3,0)+ROUND(DH236/25,0)+ROUND(DX236/50,0)</f>
        <v>31</v>
      </c>
      <c r="DM236" s="925">
        <v>0</v>
      </c>
      <c r="DN236" s="925">
        <v>0</v>
      </c>
      <c r="DO236" s="899">
        <v>0</v>
      </c>
      <c r="DP236" s="899">
        <f>DJ236*0.25</f>
        <v>24.715700000000002</v>
      </c>
      <c r="DQ236" s="899">
        <f>ROUND((CN236+CO236+CJ236+CR236+CU236)/1000,0)</f>
        <v>0</v>
      </c>
      <c r="DR236" s="899">
        <v>0</v>
      </c>
      <c r="DS236" s="899">
        <f>((CP236/400)/12)</f>
        <v>0</v>
      </c>
      <c r="DT236" s="899">
        <v>0</v>
      </c>
      <c r="DU236" s="899">
        <v>0</v>
      </c>
      <c r="DV236" s="899">
        <f>CX236/1000</f>
        <v>0</v>
      </c>
      <c r="DW236" s="886">
        <f>DX236</f>
        <v>0</v>
      </c>
      <c r="DX236" s="919">
        <f>DN236+DO236+DQ236+DR236+DS236+DT236+DU236+DV236</f>
        <v>0</v>
      </c>
      <c r="DY236" s="234">
        <v>165</v>
      </c>
      <c r="DZ236" s="2288">
        <f>CD236-T236</f>
        <v>98862.8</v>
      </c>
      <c r="EA236" s="2231">
        <f>CE236-V236</f>
        <v>-9050</v>
      </c>
      <c r="EB236" s="187">
        <f>CF236-W236</f>
        <v>-9050</v>
      </c>
      <c r="EC236" s="235">
        <f>ED236</f>
        <v>0</v>
      </c>
      <c r="ED236" s="187">
        <v>0</v>
      </c>
      <c r="EE236" s="187">
        <f>(SUM(CJ236:CO236))-(SUM(AA236:AE236,AL236))</f>
        <v>0</v>
      </c>
      <c r="EF236" s="235">
        <f>EG236</f>
        <v>0</v>
      </c>
      <c r="EG236" s="187">
        <v>0</v>
      </c>
      <c r="EH236" s="235">
        <f>EI236</f>
        <v>0</v>
      </c>
      <c r="EI236" s="187">
        <f>CL236-AC236</f>
        <v>0</v>
      </c>
      <c r="EJ236" s="235">
        <f>EK236</f>
        <v>0</v>
      </c>
      <c r="EK236" s="187">
        <f>CJ236-AA236</f>
        <v>0</v>
      </c>
      <c r="EL236" s="235">
        <f>EM236</f>
        <v>0</v>
      </c>
      <c r="EM236" s="245">
        <f>CO236-AE236</f>
        <v>0</v>
      </c>
      <c r="EN236" s="235">
        <f>EO236</f>
        <v>0</v>
      </c>
      <c r="EO236" s="245">
        <f>CP236-AH236</f>
        <v>0</v>
      </c>
      <c r="EP236" s="235">
        <f>EQ236</f>
        <v>0</v>
      </c>
      <c r="EQ236" s="187">
        <f>CR236-AJ236</f>
        <v>0</v>
      </c>
      <c r="ER236" s="235">
        <f>ES236</f>
        <v>-9050</v>
      </c>
      <c r="ES236" s="187">
        <f>CS236-AO236</f>
        <v>-9050</v>
      </c>
      <c r="ET236" s="235">
        <f>EU236</f>
        <v>0</v>
      </c>
      <c r="EU236" s="187">
        <f t="shared" si="125"/>
        <v>0</v>
      </c>
      <c r="EV236" s="235">
        <f>EW236</f>
        <v>0</v>
      </c>
      <c r="EW236" s="187">
        <f>CU236-AS236</f>
        <v>0</v>
      </c>
      <c r="EX236" s="235">
        <f>EY236</f>
        <v>0</v>
      </c>
      <c r="EY236" s="245">
        <f>CV236-AU236</f>
        <v>0</v>
      </c>
      <c r="EZ236" s="235">
        <f>FA236</f>
        <v>0</v>
      </c>
      <c r="FA236" s="245">
        <f>CY236-AX236</f>
        <v>0</v>
      </c>
      <c r="FB236" s="235">
        <f>FC236</f>
        <v>0</v>
      </c>
      <c r="FC236" s="245">
        <f>CZ236-AY236</f>
        <v>0</v>
      </c>
      <c r="FD236" s="235">
        <f>FE236</f>
        <v>0</v>
      </c>
      <c r="FE236" s="245">
        <f>DA236-AZ236</f>
        <v>0</v>
      </c>
      <c r="FF236" s="235">
        <f>FG236</f>
        <v>0</v>
      </c>
      <c r="FG236" s="245">
        <f>DB236-BA236</f>
        <v>0</v>
      </c>
      <c r="FH236" s="235">
        <f>FI236</f>
        <v>0</v>
      </c>
      <c r="FI236" s="245">
        <f>DC236-BB236</f>
        <v>0</v>
      </c>
      <c r="FJ236" s="235">
        <f>FK236</f>
        <v>0</v>
      </c>
      <c r="FK236" s="245">
        <f>CX236-AW236</f>
        <v>0</v>
      </c>
      <c r="FL236" s="235">
        <f>FM236</f>
        <v>89813</v>
      </c>
      <c r="FM236" s="187">
        <f>DF236-BE236</f>
        <v>89813</v>
      </c>
      <c r="FN236" s="235">
        <f>FO236</f>
        <v>98.862800000000007</v>
      </c>
      <c r="FO236" s="187">
        <f>DH236-BG236</f>
        <v>98.862800000000007</v>
      </c>
      <c r="FP236" s="235">
        <f>FQ236</f>
        <v>98.862800000000007</v>
      </c>
      <c r="FQ236" s="187">
        <f>DJ236-BI236</f>
        <v>98.862800000000007</v>
      </c>
      <c r="FR236" s="245">
        <f>DK236-BJ236</f>
        <v>283.73623600000002</v>
      </c>
      <c r="FS236" s="245">
        <f>DL236-BK236</f>
        <v>3</v>
      </c>
      <c r="FT236" s="907">
        <f>DM236-BL236</f>
        <v>0</v>
      </c>
      <c r="FU236" s="907">
        <f>DR236-BO236</f>
        <v>-9.0500000000000007</v>
      </c>
      <c r="FV236" s="907"/>
      <c r="FW236" s="907">
        <f>DQ236-BN236</f>
        <v>0</v>
      </c>
      <c r="FX236" s="907">
        <f>DS236-BP236</f>
        <v>0</v>
      </c>
      <c r="FY236" s="801">
        <f t="shared" si="132"/>
        <v>0</v>
      </c>
      <c r="FZ236" s="907">
        <f>DU236-BR236</f>
        <v>0</v>
      </c>
      <c r="GA236" s="907">
        <f>DV236-BS236</f>
        <v>0</v>
      </c>
      <c r="GB236" s="894">
        <f>GC236</f>
        <v>-9.0500000000000007</v>
      </c>
      <c r="GC236" s="776">
        <f t="shared" si="126"/>
        <v>-9.0500000000000007</v>
      </c>
      <c r="GD236" s="139"/>
      <c r="GE236" s="139"/>
      <c r="GF236" s="139"/>
      <c r="GG236" s="139"/>
      <c r="GH236" s="139"/>
      <c r="GI236" s="139"/>
      <c r="GJ236" s="139"/>
      <c r="GK236" s="139"/>
      <c r="GL236" s="139"/>
      <c r="GM236" s="139"/>
      <c r="GN236" s="139"/>
      <c r="GO236" s="139"/>
      <c r="GP236" s="139"/>
      <c r="GQ236" s="139"/>
      <c r="GR236" s="139"/>
      <c r="GS236" s="139"/>
      <c r="GT236" s="139"/>
    </row>
    <row r="237" spans="1:204" s="139" customFormat="1" ht="18.75">
      <c r="A237" s="2263"/>
      <c r="B237" s="2263"/>
      <c r="C237" s="913"/>
      <c r="D237" s="132"/>
      <c r="E237" s="218"/>
      <c r="F237" s="218"/>
      <c r="G237" s="986"/>
      <c r="H237" s="135"/>
      <c r="I237" s="136"/>
      <c r="J237" s="132"/>
      <c r="K237" s="132"/>
      <c r="L237" s="132"/>
      <c r="M237" s="132"/>
      <c r="N237" s="134"/>
      <c r="O237" s="134"/>
      <c r="P237" s="134"/>
      <c r="Q237" s="134"/>
      <c r="R237" s="137"/>
      <c r="S237" s="778"/>
      <c r="T237" s="634"/>
      <c r="U237" s="102"/>
      <c r="V237" s="634"/>
      <c r="W237" s="102"/>
      <c r="X237" s="102"/>
      <c r="Y237" s="102"/>
      <c r="Z237" s="634"/>
      <c r="AA237" s="102"/>
      <c r="AB237" s="634"/>
      <c r="AC237" s="102"/>
      <c r="AD237" s="634"/>
      <c r="AE237" s="102"/>
      <c r="AF237" s="102"/>
      <c r="AG237" s="102"/>
      <c r="AH237" s="102"/>
      <c r="AI237" s="634"/>
      <c r="AJ237" s="102"/>
      <c r="AK237" s="634"/>
      <c r="AL237" s="102"/>
      <c r="AM237" s="779"/>
      <c r="AN237" s="634"/>
      <c r="AO237" s="102"/>
      <c r="AP237" s="634"/>
      <c r="AQ237" s="102"/>
      <c r="AR237" s="634"/>
      <c r="AS237" s="102"/>
      <c r="AT237" s="634"/>
      <c r="AU237" s="102"/>
      <c r="AV237" s="634"/>
      <c r="AW237" s="102"/>
      <c r="AX237" s="102"/>
      <c r="AY237" s="102"/>
      <c r="AZ237" s="102"/>
      <c r="BA237" s="102"/>
      <c r="BB237" s="102"/>
      <c r="BC237" s="102"/>
      <c r="BD237" s="634"/>
      <c r="BE237" s="102"/>
      <c r="BF237" s="634"/>
      <c r="BG237" s="102"/>
      <c r="BH237" s="634"/>
      <c r="BI237" s="102"/>
      <c r="BJ237" s="122"/>
      <c r="BK237" s="186"/>
      <c r="BL237" s="102"/>
      <c r="BM237" s="102"/>
      <c r="BN237" s="102"/>
      <c r="BO237" s="102"/>
      <c r="BP237" s="102"/>
      <c r="BQ237" s="102"/>
      <c r="BR237" s="102"/>
      <c r="BS237" s="102"/>
      <c r="BT237" s="634"/>
      <c r="BU237" s="111"/>
      <c r="BV237" s="228"/>
      <c r="BW237" s="900"/>
      <c r="BX237" s="228"/>
      <c r="CA237" s="781"/>
      <c r="CB237" s="2258"/>
      <c r="CC237" s="782"/>
      <c r="CD237" s="782"/>
      <c r="CE237" s="634"/>
      <c r="CF237" s="783"/>
      <c r="CG237" s="634"/>
      <c r="CH237" s="783"/>
      <c r="CI237" s="634"/>
      <c r="CK237" s="634"/>
      <c r="CM237" s="634"/>
      <c r="CN237" s="102"/>
      <c r="CO237" s="784"/>
      <c r="CP237" s="784"/>
      <c r="CQ237" s="634"/>
      <c r="CR237" s="102"/>
      <c r="CS237" s="784"/>
      <c r="CT237" s="784"/>
      <c r="CU237" s="784"/>
      <c r="CV237" s="784"/>
      <c r="CW237" s="634"/>
      <c r="CX237" s="102"/>
      <c r="CY237" s="784"/>
      <c r="CZ237" s="784"/>
      <c r="DA237" s="784"/>
      <c r="DB237" s="784"/>
      <c r="DC237" s="784"/>
      <c r="DD237" s="784"/>
      <c r="DE237" s="634"/>
      <c r="DF237" s="784"/>
      <c r="DG237" s="634"/>
      <c r="DI237" s="802"/>
      <c r="DJ237" s="787"/>
      <c r="DK237" s="899"/>
      <c r="DL237" s="786"/>
      <c r="DM237" s="787"/>
      <c r="DN237" s="787"/>
      <c r="DO237" s="787"/>
      <c r="DP237" s="787"/>
      <c r="DQ237" s="787"/>
      <c r="DR237" s="787"/>
      <c r="DS237" s="787"/>
      <c r="DT237" s="787"/>
      <c r="DU237" s="787"/>
      <c r="DV237" s="787"/>
      <c r="DW237" s="802"/>
      <c r="DX237" s="788"/>
      <c r="DY237" s="981"/>
      <c r="DZ237" s="2288"/>
      <c r="EA237" s="2231"/>
      <c r="EB237" s="187"/>
      <c r="EC237" s="2232"/>
      <c r="ED237" s="187"/>
      <c r="EE237" s="187"/>
      <c r="EF237" s="2232"/>
      <c r="EG237" s="187"/>
      <c r="EH237" s="2232"/>
      <c r="EI237" s="187"/>
      <c r="EJ237" s="2232"/>
      <c r="EK237" s="187"/>
      <c r="EL237" s="2232"/>
      <c r="EM237" s="195"/>
      <c r="EN237" s="2232"/>
      <c r="EO237" s="195"/>
      <c r="EP237" s="2232"/>
      <c r="EQ237" s="187"/>
      <c r="ER237" s="2232"/>
      <c r="ES237" s="187"/>
      <c r="ET237" s="2232"/>
      <c r="EU237" s="187">
        <f t="shared" si="125"/>
        <v>0</v>
      </c>
      <c r="EV237" s="2232"/>
      <c r="EW237" s="187"/>
      <c r="EX237" s="2232"/>
      <c r="EY237" s="195"/>
      <c r="EZ237" s="2232"/>
      <c r="FA237" s="195"/>
      <c r="FB237" s="2232"/>
      <c r="FC237" s="195"/>
      <c r="FD237" s="2232"/>
      <c r="FE237" s="195"/>
      <c r="FF237" s="2232"/>
      <c r="FG237" s="195"/>
      <c r="FH237" s="2232"/>
      <c r="FI237" s="195"/>
      <c r="FJ237" s="2232"/>
      <c r="FK237" s="195"/>
      <c r="FL237" s="2232"/>
      <c r="FM237" s="187"/>
      <c r="FN237" s="2232"/>
      <c r="FO237" s="187"/>
      <c r="FP237" s="2232"/>
      <c r="FQ237" s="187"/>
      <c r="FR237" s="195"/>
      <c r="FS237" s="195"/>
      <c r="FT237" s="789"/>
      <c r="FU237" s="789"/>
      <c r="FV237" s="789"/>
      <c r="FW237" s="789"/>
      <c r="FX237" s="789"/>
      <c r="FY237" s="801">
        <f t="shared" si="132"/>
        <v>0</v>
      </c>
      <c r="FZ237" s="789"/>
      <c r="GA237" s="789"/>
      <c r="GB237" s="2289"/>
      <c r="GC237" s="776"/>
      <c r="GD237" s="975"/>
    </row>
    <row r="238" spans="1:204" s="1010" customFormat="1" ht="18.75">
      <c r="A238" s="987"/>
      <c r="B238" s="988">
        <v>89</v>
      </c>
      <c r="C238" s="989" t="s">
        <v>703</v>
      </c>
      <c r="D238" s="337">
        <v>2856</v>
      </c>
      <c r="E238" s="990">
        <v>1</v>
      </c>
      <c r="F238" s="991">
        <v>2028560001</v>
      </c>
      <c r="G238" s="992">
        <v>21544</v>
      </c>
      <c r="H238" s="338" t="s">
        <v>756</v>
      </c>
      <c r="I238" s="339"/>
      <c r="J238" s="337">
        <v>1</v>
      </c>
      <c r="K238" s="337">
        <v>0</v>
      </c>
      <c r="L238" s="337">
        <v>2</v>
      </c>
      <c r="M238" s="337">
        <v>4.8</v>
      </c>
      <c r="N238" s="340">
        <v>21500</v>
      </c>
      <c r="O238" s="340">
        <v>0</v>
      </c>
      <c r="P238" s="340">
        <v>0</v>
      </c>
      <c r="Q238" s="340">
        <v>21500</v>
      </c>
      <c r="R238" s="341">
        <v>0</v>
      </c>
      <c r="S238" s="350" t="s">
        <v>907</v>
      </c>
      <c r="T238" s="343">
        <f>U238</f>
        <v>0</v>
      </c>
      <c r="U238" s="344">
        <v>0</v>
      </c>
      <c r="V238" s="343">
        <f>W238</f>
        <v>21500</v>
      </c>
      <c r="W238" s="344">
        <f>N238</f>
        <v>21500</v>
      </c>
      <c r="X238" s="343">
        <f>Y238</f>
        <v>21500</v>
      </c>
      <c r="Y238" s="344">
        <f>W238-AA238</f>
        <v>21500</v>
      </c>
      <c r="Z238" s="343">
        <f>AA238</f>
        <v>0</v>
      </c>
      <c r="AA238" s="344">
        <v>0</v>
      </c>
      <c r="AB238" s="343">
        <f>AC238</f>
        <v>0</v>
      </c>
      <c r="AC238" s="344">
        <v>0</v>
      </c>
      <c r="AD238" s="993">
        <v>0</v>
      </c>
      <c r="AE238" s="344">
        <v>0</v>
      </c>
      <c r="AF238" s="344">
        <v>0</v>
      </c>
      <c r="AG238" s="344">
        <v>0</v>
      </c>
      <c r="AH238" s="344">
        <v>0</v>
      </c>
      <c r="AI238" s="993">
        <v>0</v>
      </c>
      <c r="AJ238" s="344">
        <v>0</v>
      </c>
      <c r="AK238" s="993">
        <v>0</v>
      </c>
      <c r="AL238" s="344">
        <v>0</v>
      </c>
      <c r="AM238" s="344">
        <v>0</v>
      </c>
      <c r="AN238" s="993">
        <v>0</v>
      </c>
      <c r="AO238" s="344">
        <v>0</v>
      </c>
      <c r="AP238" s="993">
        <v>0</v>
      </c>
      <c r="AQ238" s="344">
        <v>0</v>
      </c>
      <c r="AR238" s="993">
        <v>0</v>
      </c>
      <c r="AS238" s="344">
        <v>0</v>
      </c>
      <c r="AT238" s="343">
        <f>AU238</f>
        <v>21500</v>
      </c>
      <c r="AU238" s="344">
        <v>21500</v>
      </c>
      <c r="AV238" s="993">
        <v>0</v>
      </c>
      <c r="AW238" s="344">
        <v>0</v>
      </c>
      <c r="AX238" s="344">
        <v>0</v>
      </c>
      <c r="AY238" s="344">
        <v>0</v>
      </c>
      <c r="AZ238" s="344">
        <v>0</v>
      </c>
      <c r="BA238" s="344">
        <v>0</v>
      </c>
      <c r="BB238" s="344">
        <v>0</v>
      </c>
      <c r="BC238" s="344">
        <v>0</v>
      </c>
      <c r="BD238" s="344">
        <f>BE238</f>
        <v>21500</v>
      </c>
      <c r="BE238" s="344">
        <f>U238+W238</f>
        <v>21500</v>
      </c>
      <c r="BF238" s="344">
        <v>0</v>
      </c>
      <c r="BG238" s="344">
        <v>0</v>
      </c>
      <c r="BH238" s="344">
        <v>0</v>
      </c>
      <c r="BI238" s="344">
        <f>'[1]Projected Development Sites'!BG$135*BG238</f>
        <v>0</v>
      </c>
      <c r="BJ238" s="344">
        <f t="shared" ref="BJ238" si="137">ROUND(BG238*2.87,0)</f>
        <v>0</v>
      </c>
      <c r="BK238" s="344">
        <f>ROUND((AL238+AC238+AA238)/1000*3,0)+ROUND((AE238+AU238)/1000,0)+ROUND((ROUND(AH238/400,0))/2.67,0)+ROUND(AJ238/250,0)+ROUND(AO238/15000,0)+ROUND((AX238+AY238+AZ238+BB238)/1000*3,0)+ROUND(BG238/25,0)+ROUND(BU238/50,0)</f>
        <v>22</v>
      </c>
      <c r="BL238" s="344">
        <v>0</v>
      </c>
      <c r="BM238" s="344">
        <v>0</v>
      </c>
      <c r="BN238" s="344">
        <v>0</v>
      </c>
      <c r="BO238" s="344">
        <v>0</v>
      </c>
      <c r="BP238" s="344">
        <v>0</v>
      </c>
      <c r="BQ238" s="344">
        <v>0</v>
      </c>
      <c r="BR238" s="344">
        <v>0</v>
      </c>
      <c r="BS238" s="344">
        <v>0</v>
      </c>
      <c r="BT238" s="344">
        <v>0</v>
      </c>
      <c r="BU238" s="353">
        <v>0</v>
      </c>
      <c r="BV238" s="994">
        <v>20</v>
      </c>
      <c r="BW238" s="353" t="s">
        <v>741</v>
      </c>
      <c r="BX238" s="995">
        <v>7.2</v>
      </c>
      <c r="BY238" s="344">
        <v>0</v>
      </c>
      <c r="BZ238" s="996">
        <v>6.5</v>
      </c>
      <c r="CA238" s="344"/>
      <c r="CB238" s="997" t="s">
        <v>744</v>
      </c>
      <c r="CC238" s="344">
        <f>(BX238*G238)-G238</f>
        <v>133572.80000000002</v>
      </c>
      <c r="CD238" s="344">
        <f>CC238</f>
        <v>133572.80000000002</v>
      </c>
      <c r="CE238" s="344">
        <f>CF238</f>
        <v>0</v>
      </c>
      <c r="CF238" s="344">
        <v>0</v>
      </c>
      <c r="CG238" s="344">
        <f>CH238</f>
        <v>0</v>
      </c>
      <c r="CH238" s="344">
        <f>CF238-CJ238</f>
        <v>0</v>
      </c>
      <c r="CI238" s="993">
        <v>0</v>
      </c>
      <c r="CJ238" s="993">
        <v>0</v>
      </c>
      <c r="CK238" s="993">
        <v>0</v>
      </c>
      <c r="CL238" s="993">
        <v>0</v>
      </c>
      <c r="CM238" s="993">
        <v>0</v>
      </c>
      <c r="CN238" s="993">
        <v>0</v>
      </c>
      <c r="CO238" s="993">
        <v>0</v>
      </c>
      <c r="CP238" s="993">
        <v>0</v>
      </c>
      <c r="CQ238" s="993">
        <v>0</v>
      </c>
      <c r="CR238" s="993">
        <v>0</v>
      </c>
      <c r="CS238" s="993">
        <v>0</v>
      </c>
      <c r="CT238" s="993">
        <v>0</v>
      </c>
      <c r="CU238" s="993">
        <v>0</v>
      </c>
      <c r="CV238" s="993">
        <v>0</v>
      </c>
      <c r="CW238" s="993">
        <v>0</v>
      </c>
      <c r="CX238" s="993">
        <v>0</v>
      </c>
      <c r="CY238" s="993">
        <v>0</v>
      </c>
      <c r="CZ238" s="993">
        <v>0</v>
      </c>
      <c r="DA238" s="993">
        <v>0</v>
      </c>
      <c r="DB238" s="993">
        <v>0</v>
      </c>
      <c r="DC238" s="993">
        <v>0</v>
      </c>
      <c r="DD238" s="996">
        <v>0</v>
      </c>
      <c r="DE238" s="343">
        <f>DF238</f>
        <v>133572.80000000002</v>
      </c>
      <c r="DF238" s="998">
        <f>CC238+CF238</f>
        <v>133572.80000000002</v>
      </c>
      <c r="DG238" s="343">
        <f>DH238</f>
        <v>134</v>
      </c>
      <c r="DH238" s="999">
        <f>ROUND(CC238/'[1]Projected Development Sites'!DF$134,0)</f>
        <v>134</v>
      </c>
      <c r="DI238" s="888">
        <f>DJ238</f>
        <v>134</v>
      </c>
      <c r="DJ238" s="888">
        <f>'[1]Projected Development Sites'!DK$136*DH238</f>
        <v>134</v>
      </c>
      <c r="DK238" s="344"/>
      <c r="DL238" s="1000"/>
      <c r="DM238" s="366"/>
      <c r="DN238" s="366"/>
      <c r="DO238" s="366"/>
      <c r="DP238" s="366"/>
      <c r="DQ238" s="366"/>
      <c r="DR238" s="366"/>
      <c r="DS238" s="366"/>
      <c r="DT238" s="366"/>
      <c r="DU238" s="366"/>
      <c r="DV238" s="366"/>
      <c r="DW238" s="1001"/>
      <c r="DX238" s="1002"/>
      <c r="DY238" s="1003">
        <v>145</v>
      </c>
      <c r="DZ238" s="1004">
        <f>CD238-T238</f>
        <v>133572.80000000002</v>
      </c>
      <c r="EA238" s="387">
        <f>CE238-V238</f>
        <v>-21500</v>
      </c>
      <c r="EB238" s="364">
        <f>CF238-W238</f>
        <v>-21500</v>
      </c>
      <c r="EC238" s="361">
        <f>ED238</f>
        <v>0</v>
      </c>
      <c r="ED238" s="364">
        <v>0</v>
      </c>
      <c r="EE238" s="364">
        <f>(SUM(CJ238:CO238))-(SUM(AA238:AE238,AL238))</f>
        <v>0</v>
      </c>
      <c r="EF238" s="361">
        <f>EG238</f>
        <v>0</v>
      </c>
      <c r="EG238" s="364">
        <v>0</v>
      </c>
      <c r="EH238" s="361">
        <f>EI238</f>
        <v>0</v>
      </c>
      <c r="EI238" s="364">
        <f>CL238-AC238</f>
        <v>0</v>
      </c>
      <c r="EJ238" s="361">
        <f>EK238</f>
        <v>0</v>
      </c>
      <c r="EK238" s="364">
        <f>CJ238-AA238</f>
        <v>0</v>
      </c>
      <c r="EL238" s="361">
        <f>EM238</f>
        <v>0</v>
      </c>
      <c r="EM238" s="362">
        <f>CO238-AE238</f>
        <v>0</v>
      </c>
      <c r="EN238" s="361">
        <f>EO238</f>
        <v>0</v>
      </c>
      <c r="EO238" s="362">
        <f>CP238-AH238</f>
        <v>0</v>
      </c>
      <c r="EP238" s="361">
        <f>EQ238</f>
        <v>0</v>
      </c>
      <c r="EQ238" s="364">
        <f>CR238-AJ238</f>
        <v>0</v>
      </c>
      <c r="ER238" s="361">
        <f>ES238</f>
        <v>0</v>
      </c>
      <c r="ES238" s="364">
        <f>CS238-AO238</f>
        <v>0</v>
      </c>
      <c r="ET238" s="361">
        <f>EU238</f>
        <v>0</v>
      </c>
      <c r="EU238" s="364">
        <f t="shared" si="125"/>
        <v>0</v>
      </c>
      <c r="EV238" s="361">
        <f>EW238</f>
        <v>0</v>
      </c>
      <c r="EW238" s="364">
        <f>CU238-AS238</f>
        <v>0</v>
      </c>
      <c r="EX238" s="361">
        <f>EY238</f>
        <v>-21500</v>
      </c>
      <c r="EY238" s="362">
        <f>CV238-AU238</f>
        <v>-21500</v>
      </c>
      <c r="EZ238" s="361">
        <f>FA238</f>
        <v>0</v>
      </c>
      <c r="FA238" s="362">
        <f>CY238-AX238</f>
        <v>0</v>
      </c>
      <c r="FB238" s="361">
        <f>FC238</f>
        <v>0</v>
      </c>
      <c r="FC238" s="362">
        <f>CZ238-AY238</f>
        <v>0</v>
      </c>
      <c r="FD238" s="361">
        <f>FE238</f>
        <v>0</v>
      </c>
      <c r="FE238" s="362">
        <f>DA238-AZ238</f>
        <v>0</v>
      </c>
      <c r="FF238" s="361">
        <f>FG238</f>
        <v>0</v>
      </c>
      <c r="FG238" s="362">
        <f>DB238-BA238</f>
        <v>0</v>
      </c>
      <c r="FH238" s="361">
        <f>FI238</f>
        <v>0</v>
      </c>
      <c r="FI238" s="362">
        <f>DC238-BB238</f>
        <v>0</v>
      </c>
      <c r="FJ238" s="361">
        <f>FK238</f>
        <v>0</v>
      </c>
      <c r="FK238" s="362">
        <f>CX238-AW238</f>
        <v>0</v>
      </c>
      <c r="FL238" s="361">
        <f>FM238</f>
        <v>112072.80000000002</v>
      </c>
      <c r="FM238" s="364">
        <f>DF238-BE238</f>
        <v>112072.80000000002</v>
      </c>
      <c r="FN238" s="361">
        <f>FO238</f>
        <v>134</v>
      </c>
      <c r="FO238" s="364">
        <f>DH238-BG238</f>
        <v>134</v>
      </c>
      <c r="FP238" s="361">
        <f>FQ238</f>
        <v>134</v>
      </c>
      <c r="FQ238" s="364">
        <f>DJ238-BI238</f>
        <v>134</v>
      </c>
      <c r="FR238" s="362">
        <f>DK238-BJ238</f>
        <v>0</v>
      </c>
      <c r="FS238" s="362">
        <f>DL238-BK238</f>
        <v>-22</v>
      </c>
      <c r="FT238" s="1005">
        <f>DM238-BL238</f>
        <v>0</v>
      </c>
      <c r="FU238" s="1005">
        <f>DR238-BO238</f>
        <v>0</v>
      </c>
      <c r="FV238" s="1005">
        <f>DO238-BM238</f>
        <v>0</v>
      </c>
      <c r="FW238" s="1005">
        <f>DQ238-BN238</f>
        <v>0</v>
      </c>
      <c r="FX238" s="1005">
        <f>DS238-BP238</f>
        <v>0</v>
      </c>
      <c r="FY238" s="1006">
        <f t="shared" si="132"/>
        <v>0</v>
      </c>
      <c r="FZ238" s="1005">
        <f>DU238-BR238</f>
        <v>0</v>
      </c>
      <c r="GA238" s="1005">
        <f>DV238-BS238</f>
        <v>0</v>
      </c>
      <c r="GB238" s="1007">
        <f>GC238</f>
        <v>0</v>
      </c>
      <c r="GC238" s="1008">
        <f t="shared" ref="GC238" si="138">SUM(FT238:GA238)</f>
        <v>0</v>
      </c>
      <c r="GD238" s="1009"/>
      <c r="GE238" s="366"/>
      <c r="GF238" s="366"/>
      <c r="GG238" s="366"/>
      <c r="GH238" s="366"/>
      <c r="GI238" s="366"/>
      <c r="GJ238" s="366"/>
      <c r="GK238" s="366"/>
      <c r="GL238" s="366"/>
      <c r="GM238" s="366"/>
      <c r="GN238" s="366"/>
      <c r="GO238" s="366"/>
      <c r="GP238" s="366"/>
      <c r="GQ238" s="366"/>
      <c r="GR238" s="366"/>
      <c r="GS238" s="366"/>
      <c r="GT238" s="366"/>
      <c r="GU238" s="366"/>
      <c r="GV238" s="366"/>
    </row>
    <row r="239" spans="1:204" s="366" customFormat="1" ht="18.75">
      <c r="A239" s="1011"/>
      <c r="B239" s="1011"/>
      <c r="C239" s="336"/>
      <c r="D239" s="337"/>
      <c r="E239" s="990"/>
      <c r="F239" s="991"/>
      <c r="G239" s="992"/>
      <c r="H239" s="338"/>
      <c r="I239" s="339"/>
      <c r="J239" s="337"/>
      <c r="K239" s="337"/>
      <c r="L239" s="337"/>
      <c r="M239" s="337"/>
      <c r="N239" s="340"/>
      <c r="O239" s="340"/>
      <c r="P239" s="340"/>
      <c r="Q239" s="340"/>
      <c r="R239" s="341"/>
      <c r="S239" s="350"/>
      <c r="T239" s="343"/>
      <c r="U239" s="344"/>
      <c r="V239" s="343"/>
      <c r="W239" s="344"/>
      <c r="X239" s="343"/>
      <c r="Y239" s="344"/>
      <c r="Z239" s="343"/>
      <c r="AA239" s="344"/>
      <c r="AB239" s="343"/>
      <c r="AC239" s="344"/>
      <c r="AD239" s="1001"/>
      <c r="AE239" s="376"/>
      <c r="AF239" s="376"/>
      <c r="AG239" s="376"/>
      <c r="AH239" s="376"/>
      <c r="AI239" s="1001"/>
      <c r="AJ239" s="376"/>
      <c r="AK239" s="1001"/>
      <c r="AL239" s="376"/>
      <c r="AM239" s="376"/>
      <c r="AN239" s="1001"/>
      <c r="AO239" s="376"/>
      <c r="AP239" s="1001"/>
      <c r="AQ239" s="376"/>
      <c r="AR239" s="1001"/>
      <c r="AS239" s="376"/>
      <c r="AT239" s="347"/>
      <c r="AU239" s="353"/>
      <c r="AV239" s="1001"/>
      <c r="AW239" s="376"/>
      <c r="AX239" s="376"/>
      <c r="AY239" s="376"/>
      <c r="AZ239" s="376"/>
      <c r="BA239" s="376"/>
      <c r="BB239" s="376"/>
      <c r="BC239" s="376"/>
      <c r="BD239" s="376"/>
      <c r="BE239" s="376"/>
      <c r="BF239" s="376"/>
      <c r="BG239" s="376"/>
      <c r="BH239" s="376"/>
      <c r="BI239" s="376"/>
      <c r="BJ239" s="376"/>
      <c r="BK239" s="376"/>
      <c r="BL239" s="376"/>
      <c r="BM239" s="376"/>
      <c r="BN239" s="376"/>
      <c r="BO239" s="376"/>
      <c r="BP239" s="376"/>
      <c r="BQ239" s="376"/>
      <c r="BR239" s="376"/>
      <c r="BS239" s="376"/>
      <c r="BT239" s="376"/>
      <c r="BU239" s="376"/>
      <c r="BV239" s="1012"/>
      <c r="BW239" s="376"/>
      <c r="BX239" s="1013"/>
      <c r="BY239" s="376"/>
      <c r="BZ239" s="1013"/>
      <c r="CA239" s="376"/>
      <c r="CB239" s="1014"/>
      <c r="CC239" s="376"/>
      <c r="CD239" s="376"/>
      <c r="CE239" s="376"/>
      <c r="CF239" s="376"/>
      <c r="CG239" s="376"/>
      <c r="CH239" s="376"/>
      <c r="CI239" s="1001"/>
      <c r="CJ239" s="1001"/>
      <c r="CK239" s="1001"/>
      <c r="CL239" s="1001"/>
      <c r="CM239" s="1001"/>
      <c r="CN239" s="1001"/>
      <c r="CO239" s="1001"/>
      <c r="CP239" s="1001"/>
      <c r="CQ239" s="1001"/>
      <c r="CR239" s="1001"/>
      <c r="CS239" s="1001"/>
      <c r="CT239" s="1001"/>
      <c r="CU239" s="1001"/>
      <c r="CV239" s="1001"/>
      <c r="CW239" s="1001"/>
      <c r="CX239" s="1001"/>
      <c r="CY239" s="1001"/>
      <c r="CZ239" s="1001"/>
      <c r="DA239" s="1001"/>
      <c r="DB239" s="1001"/>
      <c r="DC239" s="1001"/>
      <c r="DD239" s="1013"/>
      <c r="DE239" s="343"/>
      <c r="DF239" s="998"/>
      <c r="DG239" s="343"/>
      <c r="DH239" s="999"/>
      <c r="DI239" s="888"/>
      <c r="DJ239" s="888"/>
      <c r="DK239" s="344"/>
      <c r="DL239" s="1000"/>
      <c r="DW239" s="1001"/>
      <c r="DX239" s="1002"/>
      <c r="DY239" s="1001"/>
      <c r="DZ239" s="1004"/>
      <c r="EA239" s="387"/>
      <c r="EB239" s="364"/>
      <c r="EC239" s="361"/>
      <c r="ED239" s="364"/>
      <c r="EE239" s="364"/>
      <c r="EF239" s="361"/>
      <c r="EG239" s="364"/>
      <c r="EH239" s="361"/>
      <c r="EI239" s="364"/>
      <c r="EJ239" s="361"/>
      <c r="EK239" s="364"/>
      <c r="EL239" s="361"/>
      <c r="EM239" s="362"/>
      <c r="EN239" s="361"/>
      <c r="EO239" s="362"/>
      <c r="EP239" s="361"/>
      <c r="EQ239" s="364"/>
      <c r="ER239" s="361"/>
      <c r="ES239" s="364"/>
      <c r="ET239" s="361"/>
      <c r="EU239" s="364"/>
      <c r="EV239" s="361"/>
      <c r="EW239" s="364"/>
      <c r="EX239" s="361"/>
      <c r="EY239" s="362"/>
      <c r="EZ239" s="361"/>
      <c r="FA239" s="362"/>
      <c r="FB239" s="361"/>
      <c r="FC239" s="362"/>
      <c r="FD239" s="361"/>
      <c r="FE239" s="362"/>
      <c r="FF239" s="361"/>
      <c r="FG239" s="362"/>
      <c r="FH239" s="361"/>
      <c r="FI239" s="362"/>
      <c r="FJ239" s="361"/>
      <c r="FK239" s="362"/>
      <c r="FL239" s="361"/>
      <c r="FM239" s="364"/>
      <c r="FN239" s="361"/>
      <c r="FO239" s="364"/>
      <c r="FP239" s="361"/>
      <c r="FQ239" s="364"/>
      <c r="FR239" s="362"/>
      <c r="FS239" s="362"/>
      <c r="FT239" s="1005"/>
      <c r="FU239" s="1005"/>
      <c r="FV239" s="1005"/>
      <c r="FW239" s="1005"/>
      <c r="FX239" s="1005"/>
      <c r="FY239" s="1006"/>
      <c r="FZ239" s="1005"/>
      <c r="GA239" s="1005"/>
      <c r="GB239" s="1007"/>
      <c r="GC239" s="1008"/>
    </row>
    <row r="240" spans="1:204" s="896" customFormat="1" ht="25.5">
      <c r="A240" s="216"/>
      <c r="B240" s="216">
        <v>90</v>
      </c>
      <c r="C240" s="937" t="s">
        <v>703</v>
      </c>
      <c r="D240" s="869">
        <v>2871</v>
      </c>
      <c r="E240" s="869">
        <v>2</v>
      </c>
      <c r="F240" s="870">
        <v>2028710002</v>
      </c>
      <c r="G240" s="869">
        <v>59050</v>
      </c>
      <c r="H240" s="871" t="s">
        <v>704</v>
      </c>
      <c r="I240" s="872"/>
      <c r="J240" s="869">
        <v>0.44</v>
      </c>
      <c r="K240" s="869">
        <v>0</v>
      </c>
      <c r="L240" s="869">
        <v>2</v>
      </c>
      <c r="M240" s="869">
        <v>6.5</v>
      </c>
      <c r="N240" s="873">
        <v>26000</v>
      </c>
      <c r="O240" s="873">
        <v>0</v>
      </c>
      <c r="P240" s="873">
        <v>0</v>
      </c>
      <c r="Q240" s="873">
        <v>26000</v>
      </c>
      <c r="R240" s="874">
        <v>0</v>
      </c>
      <c r="S240" s="875" t="s">
        <v>908</v>
      </c>
      <c r="T240" s="234">
        <f>U240</f>
        <v>0</v>
      </c>
      <c r="U240" s="876">
        <v>0</v>
      </c>
      <c r="V240" s="234">
        <f>W240</f>
        <v>26000</v>
      </c>
      <c r="W240" s="876">
        <f>N240</f>
        <v>26000</v>
      </c>
      <c r="X240" s="876"/>
      <c r="Y240" s="876">
        <f>W240-AA240</f>
        <v>26000</v>
      </c>
      <c r="Z240" s="234">
        <f>AA240</f>
        <v>0</v>
      </c>
      <c r="AA240" s="876">
        <v>0</v>
      </c>
      <c r="AB240" s="234">
        <f>AC240</f>
        <v>0</v>
      </c>
      <c r="AC240" s="876">
        <v>0</v>
      </c>
      <c r="AD240" s="234">
        <f>AE240</f>
        <v>0</v>
      </c>
      <c r="AE240" s="876">
        <v>0</v>
      </c>
      <c r="AF240" s="876">
        <v>0</v>
      </c>
      <c r="AG240" s="876">
        <v>0</v>
      </c>
      <c r="AH240" s="876">
        <v>0</v>
      </c>
      <c r="AI240" s="234">
        <f>AJ240</f>
        <v>8684</v>
      </c>
      <c r="AJ240" s="876">
        <f>BE240-AW240-AL240</f>
        <v>8684</v>
      </c>
      <c r="AK240" s="234">
        <f>AL240</f>
        <v>4316</v>
      </c>
      <c r="AL240" s="876">
        <f>0.166*W240</f>
        <v>4316</v>
      </c>
      <c r="AM240" s="877">
        <v>0</v>
      </c>
      <c r="AN240" s="234">
        <f>AO240</f>
        <v>0</v>
      </c>
      <c r="AO240" s="876">
        <v>0</v>
      </c>
      <c r="AP240" s="234">
        <f>AQ240</f>
        <v>0</v>
      </c>
      <c r="AQ240" s="876">
        <v>0</v>
      </c>
      <c r="AR240" s="234">
        <f>AS240</f>
        <v>0</v>
      </c>
      <c r="AS240" s="876">
        <v>0</v>
      </c>
      <c r="AT240" s="234">
        <f>AU240</f>
        <v>0</v>
      </c>
      <c r="AU240" s="876">
        <v>0</v>
      </c>
      <c r="AV240" s="234">
        <f>AW240</f>
        <v>13000</v>
      </c>
      <c r="AW240" s="876">
        <f>AX240+AY240+AZ240+BA240+BB240+BC240</f>
        <v>13000</v>
      </c>
      <c r="AX240" s="876">
        <f>0.5*W240</f>
        <v>13000</v>
      </c>
      <c r="AY240" s="876">
        <v>0</v>
      </c>
      <c r="AZ240" s="876">
        <v>0</v>
      </c>
      <c r="BA240" s="876">
        <v>0</v>
      </c>
      <c r="BB240" s="876">
        <v>0</v>
      </c>
      <c r="BC240" s="876">
        <v>0</v>
      </c>
      <c r="BD240" s="234">
        <f>BE240</f>
        <v>26000</v>
      </c>
      <c r="BE240" s="876">
        <f>U240+W240</f>
        <v>26000</v>
      </c>
      <c r="BF240" s="234">
        <f>BG240</f>
        <v>0</v>
      </c>
      <c r="BG240" s="876">
        <f>ROUND(U240/'[1]Projected Development Sites'!DF$134,0)</f>
        <v>0</v>
      </c>
      <c r="BH240" s="234">
        <f>BI240</f>
        <v>0</v>
      </c>
      <c r="BI240" s="876">
        <f>'[1]Projected Development Sites'!BG$135*BG240</f>
        <v>0</v>
      </c>
      <c r="BJ240" s="876">
        <f t="shared" si="127"/>
        <v>0</v>
      </c>
      <c r="BK240" s="306">
        <f>ROUND((AL240+AC240+AA240)/1000*3,0)+ROUND((AE240+AU240)/1000,0)+ROUND((ROUND(AH240/400,0))/2.67,0)+ROUND(AJ240/250,0)+ROUND(AO240/15000,0)+ROUND((AX240+AY240+AZ240+BB240)/1000*3,0)+ROUND(BG240/25,0)+ROUND(BU240/50,0)</f>
        <v>88</v>
      </c>
      <c r="BL240" s="876">
        <v>0</v>
      </c>
      <c r="BM240" s="876">
        <v>0</v>
      </c>
      <c r="BN240" s="876">
        <f>W240/1000</f>
        <v>26</v>
      </c>
      <c r="BO240" s="876">
        <f>AC240/1000</f>
        <v>0</v>
      </c>
      <c r="BP240" s="876">
        <f>((AH240/400)/12)</f>
        <v>0</v>
      </c>
      <c r="BQ240" s="876">
        <f>IFERROR(VLOOKUP(F240,#REF!,3,FALSE),0)</f>
        <v>0</v>
      </c>
      <c r="BR240" s="876" t="b">
        <f>IF(H240="M1-2",G240/1000)</f>
        <v>0</v>
      </c>
      <c r="BS240" s="876">
        <f>IF(BB240&gt;0,"Calculate",0)</f>
        <v>0</v>
      </c>
      <c r="BT240" s="234">
        <f>BU240</f>
        <v>26</v>
      </c>
      <c r="BU240" s="876">
        <f>SUM(BL240:BS240)</f>
        <v>26</v>
      </c>
      <c r="BV240" s="878">
        <v>22</v>
      </c>
      <c r="BW240" s="879" t="s">
        <v>758</v>
      </c>
      <c r="BX240" s="878">
        <v>8.5</v>
      </c>
      <c r="BY240" s="878">
        <v>2</v>
      </c>
      <c r="BZ240" s="878">
        <v>7.5</v>
      </c>
      <c r="CA240" s="880" t="s">
        <v>706</v>
      </c>
      <c r="CB240" s="881" t="s">
        <v>909</v>
      </c>
      <c r="CC240" s="882">
        <f>(BX240*G240)-CF240+CL240</f>
        <v>488925</v>
      </c>
      <c r="CD240" s="882">
        <v>488925</v>
      </c>
      <c r="CE240" s="234">
        <f>CF240</f>
        <v>50192.5</v>
      </c>
      <c r="CF240" s="961">
        <f>1*(G240)-(0.15*1*(G240))</f>
        <v>50192.5</v>
      </c>
      <c r="CG240" s="234">
        <f>CH240</f>
        <v>50192.5</v>
      </c>
      <c r="CH240" s="961">
        <f>CF240-CJ240</f>
        <v>50192.5</v>
      </c>
      <c r="CI240" s="234">
        <f>CJ240</f>
        <v>0</v>
      </c>
      <c r="CJ240" s="878">
        <v>0</v>
      </c>
      <c r="CK240" s="234">
        <f>CL240</f>
        <v>37192.5</v>
      </c>
      <c r="CL240" s="878">
        <f>CH240-CX240</f>
        <v>37192.5</v>
      </c>
      <c r="CM240" s="234">
        <f>CN240</f>
        <v>0</v>
      </c>
      <c r="CN240" s="876">
        <v>0</v>
      </c>
      <c r="CO240" s="884">
        <v>0</v>
      </c>
      <c r="CP240" s="884">
        <v>0</v>
      </c>
      <c r="CQ240" s="234">
        <f>CR240</f>
        <v>0</v>
      </c>
      <c r="CR240" s="876">
        <v>0</v>
      </c>
      <c r="CS240" s="884">
        <v>0</v>
      </c>
      <c r="CT240" s="884">
        <v>0</v>
      </c>
      <c r="CU240" s="884">
        <v>0</v>
      </c>
      <c r="CV240" s="884">
        <v>0</v>
      </c>
      <c r="CW240" s="234">
        <f>CX240</f>
        <v>13000</v>
      </c>
      <c r="CX240" s="876">
        <f>SUM(CY240:DC240)</f>
        <v>13000</v>
      </c>
      <c r="CY240" s="884">
        <f>AX240</f>
        <v>13000</v>
      </c>
      <c r="CZ240" s="884">
        <v>0</v>
      </c>
      <c r="DA240" s="884">
        <v>0</v>
      </c>
      <c r="DB240" s="884">
        <v>0</v>
      </c>
      <c r="DC240" s="884">
        <v>0</v>
      </c>
      <c r="DD240" s="884"/>
      <c r="DE240" s="234">
        <f>DF240</f>
        <v>539117.5</v>
      </c>
      <c r="DF240" s="884">
        <f>CC240+CF240</f>
        <v>539117.5</v>
      </c>
      <c r="DG240" s="234">
        <f>DH240</f>
        <v>489</v>
      </c>
      <c r="DH240" s="878">
        <f>ROUND(CC240/'[1]Projected Development Sites'!DF$134,0)</f>
        <v>489</v>
      </c>
      <c r="DI240" s="886">
        <f>DJ240</f>
        <v>489</v>
      </c>
      <c r="DJ240" s="888">
        <f>'[1]Projected Development Sites'!DK$136*DH240</f>
        <v>489</v>
      </c>
      <c r="DK240" s="877">
        <f>2.87*DH240</f>
        <v>1403.43</v>
      </c>
      <c r="DL240" s="772">
        <f>ROUND((CN240+CL240+CJ240)/1000*3,0)+ROUND((ROUND(CP240/400,0))/2.67,0)+ROUND(CV240/1000,0)+ROUND((CY240+CZ240+DA240+DC240)/1000*3,0)+ROUND(DH240/25,0)+ROUND(DX240/50,0)</f>
        <v>171</v>
      </c>
      <c r="DM240" s="888">
        <v>0</v>
      </c>
      <c r="DN240" s="888"/>
      <c r="DO240" s="888">
        <v>0</v>
      </c>
      <c r="DP240" s="888">
        <f>0.25*DJ240</f>
        <v>122.25</v>
      </c>
      <c r="DQ240" s="888">
        <f>SUM(CO240,CJ240,CN240,CR240,CU240)/1000</f>
        <v>0</v>
      </c>
      <c r="DR240" s="888">
        <v>0</v>
      </c>
      <c r="DS240" s="888">
        <f>((CP240/400)/12)</f>
        <v>0</v>
      </c>
      <c r="DT240" s="888">
        <v>0</v>
      </c>
      <c r="DU240" s="888">
        <v>0</v>
      </c>
      <c r="DV240" s="888">
        <f>CX240/1000</f>
        <v>13</v>
      </c>
      <c r="DW240" s="886">
        <f>DX240</f>
        <v>13</v>
      </c>
      <c r="DX240" s="889">
        <f>SUM(DM240,DO240,DQ240:DV240)</f>
        <v>13</v>
      </c>
      <c r="DY240" s="837">
        <v>225</v>
      </c>
      <c r="DZ240" s="2288">
        <f>CD240-T240</f>
        <v>488925</v>
      </c>
      <c r="EA240" s="2231">
        <f>CE240-V240</f>
        <v>24192.5</v>
      </c>
      <c r="EB240" s="890">
        <f>CF240-W240</f>
        <v>24192.5</v>
      </c>
      <c r="EC240" s="235">
        <f>ED240</f>
        <v>32876.5</v>
      </c>
      <c r="ED240" s="890">
        <v>32876.5</v>
      </c>
      <c r="EE240" s="890">
        <f>(SUM(CJ240:CO240))-(SUM(AA240:AE240,AL240))</f>
        <v>70069</v>
      </c>
      <c r="EF240" s="235">
        <f>EG240</f>
        <v>-4316</v>
      </c>
      <c r="EG240" s="890">
        <v>-4316</v>
      </c>
      <c r="EH240" s="235">
        <f>EI240</f>
        <v>37192.5</v>
      </c>
      <c r="EI240" s="890">
        <f>CL240-AC240</f>
        <v>37192.5</v>
      </c>
      <c r="EJ240" s="235">
        <f>EK240</f>
        <v>0</v>
      </c>
      <c r="EK240" s="890">
        <f>CJ240-AA240</f>
        <v>0</v>
      </c>
      <c r="EL240" s="235">
        <f>EM240</f>
        <v>0</v>
      </c>
      <c r="EM240" s="892">
        <f>CO240-AE240</f>
        <v>0</v>
      </c>
      <c r="EN240" s="235">
        <f>EO240</f>
        <v>0</v>
      </c>
      <c r="EO240" s="892">
        <f>CP240-AH240</f>
        <v>0</v>
      </c>
      <c r="EP240" s="235">
        <f>EQ240</f>
        <v>-8684</v>
      </c>
      <c r="EQ240" s="890">
        <f>CR240-AJ240</f>
        <v>-8684</v>
      </c>
      <c r="ER240" s="235">
        <f>ES240</f>
        <v>0</v>
      </c>
      <c r="ES240" s="890">
        <f>CS240-AO240</f>
        <v>0</v>
      </c>
      <c r="ET240" s="235">
        <f>EU240</f>
        <v>0</v>
      </c>
      <c r="EU240" s="890">
        <f t="shared" si="125"/>
        <v>0</v>
      </c>
      <c r="EV240" s="235">
        <f>EW240</f>
        <v>0</v>
      </c>
      <c r="EW240" s="890">
        <f>CU240-AS240</f>
        <v>0</v>
      </c>
      <c r="EX240" s="235">
        <f>EY240</f>
        <v>0</v>
      </c>
      <c r="EY240" s="892">
        <f>CV240-AU240</f>
        <v>0</v>
      </c>
      <c r="EZ240" s="235">
        <f>FA240</f>
        <v>0</v>
      </c>
      <c r="FA240" s="892">
        <f>CY240-AX240</f>
        <v>0</v>
      </c>
      <c r="FB240" s="235">
        <f>FC240</f>
        <v>0</v>
      </c>
      <c r="FC240" s="892">
        <f>CZ240-AY240</f>
        <v>0</v>
      </c>
      <c r="FD240" s="235">
        <f>FE240</f>
        <v>0</v>
      </c>
      <c r="FE240" s="892">
        <f>DA240-AZ240</f>
        <v>0</v>
      </c>
      <c r="FF240" s="235">
        <f>FG240</f>
        <v>0</v>
      </c>
      <c r="FG240" s="892">
        <f>DB240-BA240</f>
        <v>0</v>
      </c>
      <c r="FH240" s="235">
        <f>FI240</f>
        <v>0</v>
      </c>
      <c r="FI240" s="892">
        <f>DC240-BB240</f>
        <v>0</v>
      </c>
      <c r="FJ240" s="235">
        <f>FK240</f>
        <v>0</v>
      </c>
      <c r="FK240" s="892">
        <f>CX240-AW240</f>
        <v>0</v>
      </c>
      <c r="FL240" s="235">
        <f>FM240</f>
        <v>513117.5</v>
      </c>
      <c r="FM240" s="890">
        <f>DF240-BE240</f>
        <v>513117.5</v>
      </c>
      <c r="FN240" s="235">
        <f>FO240</f>
        <v>489</v>
      </c>
      <c r="FO240" s="890">
        <f>DH240-BG240</f>
        <v>489</v>
      </c>
      <c r="FP240" s="235">
        <f>FQ240</f>
        <v>489</v>
      </c>
      <c r="FQ240" s="890">
        <f>DJ240-BI240</f>
        <v>489</v>
      </c>
      <c r="FR240" s="892">
        <f>DK240-BJ240</f>
        <v>1403.43</v>
      </c>
      <c r="FS240" s="892">
        <f>DL240-BK240</f>
        <v>83</v>
      </c>
      <c r="FT240" s="893">
        <f>DM240-BL240</f>
        <v>0</v>
      </c>
      <c r="FU240" s="893">
        <f>DR240-BO240</f>
        <v>0</v>
      </c>
      <c r="FV240" s="893">
        <f>DO240-BM240</f>
        <v>0</v>
      </c>
      <c r="FW240" s="893">
        <f>DQ240-BN240</f>
        <v>-26</v>
      </c>
      <c r="FX240" s="893">
        <f>DS240-BP240</f>
        <v>0</v>
      </c>
      <c r="FY240" s="980">
        <f t="shared" si="132"/>
        <v>0</v>
      </c>
      <c r="FZ240" s="893">
        <f>DU240-BR240</f>
        <v>0</v>
      </c>
      <c r="GA240" s="893">
        <f>DV240-BS240</f>
        <v>13</v>
      </c>
      <c r="GB240" s="894">
        <f>GC240</f>
        <v>-13</v>
      </c>
      <c r="GC240" s="895">
        <f t="shared" si="126"/>
        <v>-13</v>
      </c>
      <c r="GU240" s="878"/>
      <c r="GV240" s="878"/>
    </row>
    <row r="241" spans="1:204" s="127" customFormat="1" ht="15" customHeight="1">
      <c r="A241" s="2263"/>
      <c r="B241" s="2263"/>
      <c r="C241" s="913"/>
      <c r="D241" s="132"/>
      <c r="E241" s="132"/>
      <c r="F241" s="777"/>
      <c r="G241" s="132"/>
      <c r="H241" s="135"/>
      <c r="I241" s="136"/>
      <c r="J241" s="132"/>
      <c r="K241" s="132"/>
      <c r="L241" s="132"/>
      <c r="M241" s="132"/>
      <c r="N241" s="134"/>
      <c r="O241" s="134"/>
      <c r="P241" s="134"/>
      <c r="Q241" s="134"/>
      <c r="R241" s="137"/>
      <c r="S241" s="778"/>
      <c r="T241" s="634"/>
      <c r="U241" s="102"/>
      <c r="V241" s="634"/>
      <c r="W241" s="102"/>
      <c r="X241" s="102"/>
      <c r="Y241" s="102"/>
      <c r="Z241" s="634"/>
      <c r="AA241" s="102"/>
      <c r="AB241" s="634"/>
      <c r="AC241" s="102"/>
      <c r="AD241" s="634"/>
      <c r="AE241" s="102"/>
      <c r="AF241" s="102"/>
      <c r="AG241" s="102"/>
      <c r="AH241" s="102"/>
      <c r="AI241" s="634"/>
      <c r="AJ241" s="102"/>
      <c r="AK241" s="634"/>
      <c r="AL241" s="102"/>
      <c r="AM241" s="779"/>
      <c r="AN241" s="634"/>
      <c r="AO241" s="102"/>
      <c r="AP241" s="634"/>
      <c r="AQ241" s="102"/>
      <c r="AR241" s="634"/>
      <c r="AS241" s="102"/>
      <c r="AT241" s="634"/>
      <c r="AU241" s="102"/>
      <c r="AV241" s="634"/>
      <c r="AW241" s="102"/>
      <c r="AX241" s="102"/>
      <c r="AY241" s="102"/>
      <c r="AZ241" s="102"/>
      <c r="BA241" s="102"/>
      <c r="BB241" s="102"/>
      <c r="BC241" s="102"/>
      <c r="BD241" s="634"/>
      <c r="BE241" s="102"/>
      <c r="BF241" s="634"/>
      <c r="BG241" s="102"/>
      <c r="BH241" s="634"/>
      <c r="BI241" s="102"/>
      <c r="BJ241" s="111"/>
      <c r="BK241" s="186"/>
      <c r="BL241" s="102"/>
      <c r="BM241" s="102"/>
      <c r="BN241" s="102"/>
      <c r="BO241" s="102"/>
      <c r="BP241" s="102"/>
      <c r="BQ241" s="102"/>
      <c r="BR241" s="102"/>
      <c r="BS241" s="102"/>
      <c r="BT241" s="634"/>
      <c r="BU241" s="102"/>
      <c r="BV241" s="139"/>
      <c r="BW241" s="780"/>
      <c r="BX241" s="139"/>
      <c r="BY241" s="139"/>
      <c r="BZ241" s="139"/>
      <c r="CA241" s="781"/>
      <c r="CB241" s="2258"/>
      <c r="CC241" s="782"/>
      <c r="CD241" s="782"/>
      <c r="CE241" s="634"/>
      <c r="CF241" s="783"/>
      <c r="CG241" s="634"/>
      <c r="CH241" s="783"/>
      <c r="CI241" s="634"/>
      <c r="CJ241" s="139"/>
      <c r="CK241" s="634"/>
      <c r="CL241" s="139"/>
      <c r="CM241" s="634"/>
      <c r="CN241" s="784"/>
      <c r="CO241" s="784"/>
      <c r="CP241" s="784"/>
      <c r="CQ241" s="634"/>
      <c r="CR241" s="102"/>
      <c r="CS241" s="784"/>
      <c r="CT241" s="784"/>
      <c r="CU241" s="784"/>
      <c r="CV241" s="784"/>
      <c r="CW241" s="634"/>
      <c r="CX241" s="784"/>
      <c r="CY241" s="784"/>
      <c r="CZ241" s="784"/>
      <c r="DA241" s="784"/>
      <c r="DB241" s="784"/>
      <c r="DC241" s="784"/>
      <c r="DD241" s="784"/>
      <c r="DE241" s="634"/>
      <c r="DF241" s="784"/>
      <c r="DG241" s="634"/>
      <c r="DH241" s="139"/>
      <c r="DI241" s="802"/>
      <c r="DJ241" s="787"/>
      <c r="DK241" s="899"/>
      <c r="DL241" s="772"/>
      <c r="DM241" s="787"/>
      <c r="DN241" s="787"/>
      <c r="DO241" s="787"/>
      <c r="DP241" s="787"/>
      <c r="DQ241" s="787"/>
      <c r="DR241" s="787"/>
      <c r="DS241" s="787"/>
      <c r="DT241" s="787"/>
      <c r="DU241" s="787"/>
      <c r="DV241" s="787"/>
      <c r="DW241" s="802"/>
      <c r="DX241" s="788"/>
      <c r="DY241" s="634"/>
      <c r="DZ241" s="2288"/>
      <c r="EA241" s="2231"/>
      <c r="EB241" s="187"/>
      <c r="EC241" s="2232"/>
      <c r="ED241" s="187"/>
      <c r="EE241" s="187"/>
      <c r="EF241" s="2232"/>
      <c r="EG241" s="187"/>
      <c r="EH241" s="2232"/>
      <c r="EI241" s="187"/>
      <c r="EJ241" s="2232"/>
      <c r="EK241" s="187"/>
      <c r="EL241" s="2232"/>
      <c r="EM241" s="195"/>
      <c r="EN241" s="2232"/>
      <c r="EO241" s="195"/>
      <c r="EP241" s="2232"/>
      <c r="EQ241" s="187"/>
      <c r="ER241" s="2232"/>
      <c r="ES241" s="187"/>
      <c r="ET241" s="2232"/>
      <c r="EU241" s="187">
        <f t="shared" si="125"/>
        <v>0</v>
      </c>
      <c r="EV241" s="2232"/>
      <c r="EW241" s="187"/>
      <c r="EX241" s="2232"/>
      <c r="EY241" s="195"/>
      <c r="EZ241" s="2232"/>
      <c r="FA241" s="195"/>
      <c r="FB241" s="2232"/>
      <c r="FC241" s="195"/>
      <c r="FD241" s="2232"/>
      <c r="FE241" s="195"/>
      <c r="FF241" s="2232"/>
      <c r="FG241" s="195"/>
      <c r="FH241" s="2232"/>
      <c r="FI241" s="195"/>
      <c r="FJ241" s="2232"/>
      <c r="FK241" s="195"/>
      <c r="FL241" s="2232"/>
      <c r="FM241" s="187"/>
      <c r="FN241" s="2232"/>
      <c r="FO241" s="187"/>
      <c r="FP241" s="2232"/>
      <c r="FQ241" s="187"/>
      <c r="FR241" s="195"/>
      <c r="FS241" s="195"/>
      <c r="FT241" s="789"/>
      <c r="FU241" s="789"/>
      <c r="FV241" s="789"/>
      <c r="FW241" s="789"/>
      <c r="FX241" s="789"/>
      <c r="FY241" s="801">
        <f t="shared" si="132"/>
        <v>0</v>
      </c>
      <c r="FZ241" s="789"/>
      <c r="GA241" s="789"/>
      <c r="GB241" s="2286"/>
      <c r="GC241" s="776"/>
      <c r="GD241" s="139"/>
      <c r="GE241" s="139"/>
      <c r="GF241" s="139"/>
      <c r="GG241" s="139"/>
      <c r="GH241" s="139"/>
      <c r="GI241" s="139"/>
      <c r="GJ241" s="139"/>
      <c r="GK241" s="139"/>
      <c r="GL241" s="139"/>
      <c r="GM241" s="139"/>
      <c r="GN241" s="139"/>
      <c r="GO241" s="139"/>
      <c r="GP241" s="139"/>
      <c r="GQ241" s="139"/>
      <c r="GR241" s="139"/>
      <c r="GS241" s="139"/>
      <c r="GT241" s="139"/>
      <c r="GU241" s="139"/>
      <c r="GV241" s="139"/>
    </row>
    <row r="242" spans="1:204" s="139" customFormat="1" ht="15" customHeight="1">
      <c r="A242" s="2588"/>
      <c r="B242" s="2588">
        <v>91</v>
      </c>
      <c r="C242" s="115" t="s">
        <v>703</v>
      </c>
      <c r="D242" s="115">
        <v>2855</v>
      </c>
      <c r="E242" s="115">
        <v>1</v>
      </c>
      <c r="F242" s="763">
        <v>2028550001</v>
      </c>
      <c r="G242" s="115">
        <v>5516</v>
      </c>
      <c r="H242" s="118" t="s">
        <v>704</v>
      </c>
      <c r="I242" s="119"/>
      <c r="J242" s="115">
        <v>0.03</v>
      </c>
      <c r="K242" s="115">
        <v>0</v>
      </c>
      <c r="L242" s="115">
        <v>2</v>
      </c>
      <c r="M242" s="115">
        <v>6.5</v>
      </c>
      <c r="N242" s="117">
        <v>142</v>
      </c>
      <c r="O242" s="117">
        <v>0</v>
      </c>
      <c r="P242" s="117">
        <v>0</v>
      </c>
      <c r="Q242" s="117">
        <v>142</v>
      </c>
      <c r="R242" s="120">
        <v>0</v>
      </c>
      <c r="S242" s="764" t="s">
        <v>711</v>
      </c>
      <c r="T242" s="2600">
        <f>SUM(U242:U245)</f>
        <v>0</v>
      </c>
      <c r="U242" s="122">
        <v>0</v>
      </c>
      <c r="V242" s="2600">
        <f>SUM(W242:W245)</f>
        <v>9797</v>
      </c>
      <c r="W242" s="122">
        <f>N242</f>
        <v>142</v>
      </c>
      <c r="X242" s="122"/>
      <c r="Y242" s="122">
        <f>W242-AA242</f>
        <v>142</v>
      </c>
      <c r="Z242" s="2600">
        <f>SUM(AA242:AA245)</f>
        <v>0</v>
      </c>
      <c r="AA242" s="122">
        <v>0</v>
      </c>
      <c r="AB242" s="2600">
        <f>SUM(AC242:AC245)</f>
        <v>0</v>
      </c>
      <c r="AC242" s="122">
        <v>0</v>
      </c>
      <c r="AD242" s="2600">
        <f>SUM(AE242:AE245)</f>
        <v>9655</v>
      </c>
      <c r="AE242" s="122">
        <f>AG242+AF242</f>
        <v>0</v>
      </c>
      <c r="AF242" s="122">
        <v>0</v>
      </c>
      <c r="AG242" s="122">
        <v>0</v>
      </c>
      <c r="AH242" s="122">
        <v>0</v>
      </c>
      <c r="AI242" s="2600">
        <f>SUM(AJ242:AJ245)</f>
        <v>0</v>
      </c>
      <c r="AJ242" s="122">
        <v>0</v>
      </c>
      <c r="AK242" s="2600">
        <f>SUM(AL242:AL245)</f>
        <v>0</v>
      </c>
      <c r="AL242" s="122">
        <f>W242-(AA242+AC242+AE242+AH242+AJ242+AM242+AW242+AO242+AQ242+AS242+AU242)</f>
        <v>0</v>
      </c>
      <c r="AM242" s="765">
        <v>0</v>
      </c>
      <c r="AN242" s="2600">
        <f>SUM(AO242:AO245)</f>
        <v>0</v>
      </c>
      <c r="AO242" s="122">
        <v>0</v>
      </c>
      <c r="AP242" s="2600">
        <f>SUM(AQ242:AQ245)</f>
        <v>0</v>
      </c>
      <c r="AQ242" s="122">
        <v>0</v>
      </c>
      <c r="AR242" s="2600">
        <f>SUM(AS242:AS245)</f>
        <v>142</v>
      </c>
      <c r="AS242" s="122">
        <v>142</v>
      </c>
      <c r="AT242" s="2600">
        <f>SUM(AU242:AU245)</f>
        <v>0</v>
      </c>
      <c r="AU242" s="122">
        <v>0</v>
      </c>
      <c r="AV242" s="2600">
        <f>SUM(AW242:AW245)</f>
        <v>0</v>
      </c>
      <c r="AW242" s="122">
        <f>AX242+AY242+AZ242+BA242+BB242</f>
        <v>0</v>
      </c>
      <c r="AX242" s="122">
        <v>0</v>
      </c>
      <c r="AY242" s="122">
        <v>0</v>
      </c>
      <c r="AZ242" s="122">
        <v>0</v>
      </c>
      <c r="BA242" s="122">
        <v>0</v>
      </c>
      <c r="BB242" s="122">
        <v>0</v>
      </c>
      <c r="BC242" s="122">
        <v>0</v>
      </c>
      <c r="BD242" s="2600">
        <f>SUM(BE242:BE245)</f>
        <v>9797</v>
      </c>
      <c r="BE242" s="122">
        <f>U242+W242</f>
        <v>142</v>
      </c>
      <c r="BF242" s="2600">
        <f>SUM(BG242:BG245)</f>
        <v>0</v>
      </c>
      <c r="BG242" s="122">
        <f>U242/1000</f>
        <v>0</v>
      </c>
      <c r="BH242" s="2600">
        <f>SUM(BI242:BI245)</f>
        <v>0</v>
      </c>
      <c r="BI242" s="122">
        <v>0</v>
      </c>
      <c r="BJ242" s="122">
        <f t="shared" si="127"/>
        <v>0</v>
      </c>
      <c r="BK242" s="129">
        <f>ROUND((Y242+AC242+AA242)/1000*3,0)+ROUND((AE242+AU242)/1000,0)+ROUND((ROUND(AH242/400,0))/2.67,0)+ROUND(AM242/250,0)+ROUND(AO242/15000,0)+ROUND((AX242+AY242+AZ242+BB242)/1000*3,0)+ROUND(BG242/25,0)+ROUND(BU309/50,0)</f>
        <v>0</v>
      </c>
      <c r="BL242" s="122">
        <v>0</v>
      </c>
      <c r="BM242" s="122">
        <v>0</v>
      </c>
      <c r="BN242" s="122">
        <v>0</v>
      </c>
      <c r="BO242" s="122">
        <f>AC242/1000</f>
        <v>0</v>
      </c>
      <c r="BP242" s="122">
        <f>AH242/1000</f>
        <v>0</v>
      </c>
      <c r="BQ242" s="122">
        <v>0</v>
      </c>
      <c r="BR242" s="122">
        <v>0</v>
      </c>
      <c r="BS242" s="122">
        <v>0</v>
      </c>
      <c r="BT242" s="2600">
        <f>SUM(BU242:BU245)</f>
        <v>0</v>
      </c>
      <c r="BU242" s="122">
        <f>SUM(BL242:BS242)</f>
        <v>0</v>
      </c>
      <c r="BV242" s="127">
        <v>10</v>
      </c>
      <c r="BW242" s="766" t="s">
        <v>758</v>
      </c>
      <c r="BX242" s="127">
        <v>8.5</v>
      </c>
      <c r="BY242" s="127">
        <v>2</v>
      </c>
      <c r="BZ242" s="127">
        <v>7.5</v>
      </c>
      <c r="CA242" s="767" t="s">
        <v>706</v>
      </c>
      <c r="CB242" s="2596" t="s">
        <v>716</v>
      </c>
      <c r="CC242" s="768">
        <f>(BX242*G242)-CF242</f>
        <v>42197.4</v>
      </c>
      <c r="CD242" s="2731">
        <f>SUM(CC242:CC245)</f>
        <v>133966.79999999999</v>
      </c>
      <c r="CE242" s="2600">
        <f>SUM(CF242:CF245)</f>
        <v>14885.2</v>
      </c>
      <c r="CF242" s="769">
        <f>1*(G242)-(0.15*1*(G242))</f>
        <v>4688.6000000000004</v>
      </c>
      <c r="CG242" s="2600">
        <f>SUM(CH242:CH245)</f>
        <v>14885.2</v>
      </c>
      <c r="CH242" s="769">
        <f>CF242-CJ242</f>
        <v>4688.6000000000004</v>
      </c>
      <c r="CI242" s="2600">
        <f>SUM(CJ242:CJ245)</f>
        <v>0</v>
      </c>
      <c r="CJ242" s="127">
        <v>0</v>
      </c>
      <c r="CK242" s="2600">
        <f>SUM(CL242:CL245)</f>
        <v>0</v>
      </c>
      <c r="CL242" s="127">
        <v>0</v>
      </c>
      <c r="CM242" s="2600">
        <f>SUM(CN242:CN245)</f>
        <v>14885.2</v>
      </c>
      <c r="CN242" s="770">
        <f>CF242-(CJ242+CL242+CO242+CP242+CR242+CU242+CV242+CX242)</f>
        <v>4688.6000000000004</v>
      </c>
      <c r="CO242" s="770">
        <v>0</v>
      </c>
      <c r="CP242" s="770">
        <v>0</v>
      </c>
      <c r="CQ242" s="2600">
        <f>SUM(CR242:CR245)</f>
        <v>0</v>
      </c>
      <c r="CR242" s="122">
        <v>0</v>
      </c>
      <c r="CS242" s="770">
        <v>0</v>
      </c>
      <c r="CT242" s="770">
        <v>0</v>
      </c>
      <c r="CU242" s="770">
        <v>0</v>
      </c>
      <c r="CV242" s="770">
        <v>0</v>
      </c>
      <c r="CW242" s="2600">
        <f>SUM(CX242:CX245)</f>
        <v>0</v>
      </c>
      <c r="CX242" s="122">
        <f>SUM(CY242:DC242)</f>
        <v>0</v>
      </c>
      <c r="CY242" s="770">
        <f t="shared" ref="CY242:DC245" si="139">AX242</f>
        <v>0</v>
      </c>
      <c r="CZ242" s="770">
        <f t="shared" si="139"/>
        <v>0</v>
      </c>
      <c r="DA242" s="770">
        <f t="shared" si="139"/>
        <v>0</v>
      </c>
      <c r="DB242" s="770">
        <f t="shared" si="139"/>
        <v>0</v>
      </c>
      <c r="DC242" s="770">
        <f t="shared" si="139"/>
        <v>0</v>
      </c>
      <c r="DD242" s="770"/>
      <c r="DE242" s="2600">
        <f>SUM(DF242:DF245)</f>
        <v>148852</v>
      </c>
      <c r="DF242" s="122">
        <f>CC242+CF242</f>
        <v>46886</v>
      </c>
      <c r="DG242" s="2600">
        <f>SUM(DH242:DH245)</f>
        <v>133.96680000000001</v>
      </c>
      <c r="DH242" s="293">
        <f>CC242/'[1]Projected Development Sites'!DF$134</f>
        <v>42.197400000000002</v>
      </c>
      <c r="DI242" s="2722">
        <f>SUM(DJ242:DJ245)</f>
        <v>133.96680000000001</v>
      </c>
      <c r="DJ242" s="771">
        <f>'[1]Projected Development Sites'!DK$136*DH242</f>
        <v>42.197400000000002</v>
      </c>
      <c r="DK242" s="765">
        <f>2.87*DH242</f>
        <v>121.10653800000001</v>
      </c>
      <c r="DL242" s="772">
        <f>ROUND((CN242+CL242+CJ242)/1000*3,0)+ROUND((ROUND(CP242/400,0))/2.67,0)+ROUND(CV242/1000,0)+ROUND((CY242+CZ242+DA242+DC242)/1000*3,0)+ROUND(DH242/25,0)+ROUND(DX242/50,0)</f>
        <v>16</v>
      </c>
      <c r="DM242" s="773">
        <v>0</v>
      </c>
      <c r="DN242" s="773"/>
      <c r="DO242" s="773">
        <v>0</v>
      </c>
      <c r="DP242" s="773">
        <f>0.25*DJ242</f>
        <v>10.54935</v>
      </c>
      <c r="DQ242" s="773">
        <f>SUM(CO242,CJ242,CN242,CR242,CU242)/1000</f>
        <v>4.6886000000000001</v>
      </c>
      <c r="DR242" s="773">
        <f>CL242/1000</f>
        <v>0</v>
      </c>
      <c r="DS242" s="773">
        <f>((CP242/400)/12)</f>
        <v>0</v>
      </c>
      <c r="DT242" s="773">
        <f>IF(CX242&gt;0,"Calculate",0)</f>
        <v>0</v>
      </c>
      <c r="DU242" s="773">
        <v>0</v>
      </c>
      <c r="DV242" s="773">
        <f>CX242/1000</f>
        <v>0</v>
      </c>
      <c r="DW242" s="2722">
        <f>SUM(DX242:DX245)</f>
        <v>14.885199999999999</v>
      </c>
      <c r="DX242" s="774">
        <f>SUM(DM242,DO242,DQ242:DV242)</f>
        <v>4.6886000000000001</v>
      </c>
      <c r="DY242" s="2725">
        <v>225</v>
      </c>
      <c r="DZ242" s="2728">
        <f>CD242-T242</f>
        <v>133966.79999999999</v>
      </c>
      <c r="EA242" s="2602">
        <f>CE242-V242</f>
        <v>5088.2000000000007</v>
      </c>
      <c r="EB242" s="187">
        <f>CF242-W242</f>
        <v>4546.6000000000004</v>
      </c>
      <c r="EC242" s="2602">
        <f>SUM(ED242:ED245)</f>
        <v>5230.2</v>
      </c>
      <c r="ED242" s="187">
        <v>4688.6000000000004</v>
      </c>
      <c r="EE242" s="187">
        <f>(SUM(CJ242:CO242))-(SUM(AA242:AE242,AL242))</f>
        <v>9918.8000000000029</v>
      </c>
      <c r="EF242" s="2602">
        <f>SUM(EG242:EG245)</f>
        <v>14885.2</v>
      </c>
      <c r="EG242" s="187">
        <v>4688.6000000000004</v>
      </c>
      <c r="EH242" s="2602">
        <f>SUM(EI242:EI245)</f>
        <v>0</v>
      </c>
      <c r="EI242" s="187">
        <f>CL242-AC242</f>
        <v>0</v>
      </c>
      <c r="EJ242" s="2602">
        <f>SUM(EK242:EK245)</f>
        <v>0</v>
      </c>
      <c r="EK242" s="187">
        <f>CJ242-AA242</f>
        <v>0</v>
      </c>
      <c r="EL242" s="2602">
        <f>SUM(EM242:EM245)</f>
        <v>-9655</v>
      </c>
      <c r="EM242" s="187">
        <f>CO242-AE242</f>
        <v>0</v>
      </c>
      <c r="EN242" s="2602">
        <f>SUM(EO242:EO245)</f>
        <v>0</v>
      </c>
      <c r="EO242" s="187">
        <f>CP242-AH242</f>
        <v>0</v>
      </c>
      <c r="EP242" s="2602">
        <f>SUM(EQ242:EQ245)</f>
        <v>0</v>
      </c>
      <c r="EQ242" s="187">
        <f>CR242-AJ242</f>
        <v>0</v>
      </c>
      <c r="ER242" s="2602">
        <f>SUM(ES242:ES245)</f>
        <v>0</v>
      </c>
      <c r="ES242" s="187">
        <f>CS242-AO242</f>
        <v>0</v>
      </c>
      <c r="ET242" s="2602">
        <f>SUM(EU242:EU245)</f>
        <v>0</v>
      </c>
      <c r="EU242" s="187">
        <f t="shared" si="125"/>
        <v>0</v>
      </c>
      <c r="EV242" s="2602">
        <f>SUM(EW242:EW245)</f>
        <v>-142</v>
      </c>
      <c r="EW242" s="187">
        <f>CU242-AS242</f>
        <v>-142</v>
      </c>
      <c r="EX242" s="2602">
        <f>SUM(EY242:EY245)</f>
        <v>0</v>
      </c>
      <c r="EY242" s="187">
        <f>CV242-AU242</f>
        <v>0</v>
      </c>
      <c r="EZ242" s="2602">
        <f>SUM(FA242:FA245)</f>
        <v>0</v>
      </c>
      <c r="FA242" s="187">
        <f>CY242-AX242</f>
        <v>0</v>
      </c>
      <c r="FB242" s="2602">
        <f>SUM(FC242:FC245)</f>
        <v>0</v>
      </c>
      <c r="FC242" s="187">
        <f>CZ242-AY242</f>
        <v>0</v>
      </c>
      <c r="FD242" s="2602">
        <f>SUM(FE242:FE245)</f>
        <v>0</v>
      </c>
      <c r="FE242" s="187">
        <f>DA242-AZ242</f>
        <v>0</v>
      </c>
      <c r="FF242" s="2602">
        <f>SUM(FG242:FG245)</f>
        <v>0</v>
      </c>
      <c r="FG242" s="187">
        <f>DB242-BA242</f>
        <v>0</v>
      </c>
      <c r="FH242" s="2602">
        <f>SUM(FI242:FI245)</f>
        <v>0</v>
      </c>
      <c r="FI242" s="187">
        <f>DC242-BB242</f>
        <v>0</v>
      </c>
      <c r="FJ242" s="2602">
        <f>SUM(FK242:FK245)</f>
        <v>0</v>
      </c>
      <c r="FK242" s="187">
        <f>CX242-AW242</f>
        <v>0</v>
      </c>
      <c r="FL242" s="2602">
        <f>SUM(FM242:FM245)</f>
        <v>139055</v>
      </c>
      <c r="FM242" s="187">
        <f>DF242-BE242</f>
        <v>46744</v>
      </c>
      <c r="FN242" s="2602">
        <f>SUM(FO242:FO245)</f>
        <v>133.96680000000001</v>
      </c>
      <c r="FO242" s="187">
        <f>DH242-BG242</f>
        <v>42.197400000000002</v>
      </c>
      <c r="FP242" s="2602">
        <f>SUM(FQ242:FQ245)</f>
        <v>133.96680000000001</v>
      </c>
      <c r="FQ242" s="187">
        <f t="shared" ref="FQ242:FT245" si="140">DJ242-BI242</f>
        <v>42.197400000000002</v>
      </c>
      <c r="FR242" s="187">
        <f t="shared" si="140"/>
        <v>121.10653800000001</v>
      </c>
      <c r="FS242" s="187">
        <f t="shared" si="140"/>
        <v>16</v>
      </c>
      <c r="FT242" s="775">
        <f t="shared" si="140"/>
        <v>0</v>
      </c>
      <c r="FU242" s="775">
        <f>DR242-BO242</f>
        <v>0</v>
      </c>
      <c r="FV242" s="775">
        <f>DO242-BM242</f>
        <v>0</v>
      </c>
      <c r="FW242" s="775">
        <f>DQ242-BN242</f>
        <v>4.6886000000000001</v>
      </c>
      <c r="FX242" s="775">
        <f>DS242-BP242</f>
        <v>0</v>
      </c>
      <c r="FY242" s="789">
        <f t="shared" si="132"/>
        <v>0</v>
      </c>
      <c r="FZ242" s="775">
        <f t="shared" si="132"/>
        <v>0</v>
      </c>
      <c r="GA242" s="775">
        <f t="shared" si="132"/>
        <v>0</v>
      </c>
      <c r="GB242" s="2734">
        <f>SUM(GC242:GC245)</f>
        <v>14.885199999999999</v>
      </c>
      <c r="GC242" s="776">
        <f t="shared" si="126"/>
        <v>4.6886000000000001</v>
      </c>
      <c r="GU242" s="127"/>
      <c r="GV242" s="127"/>
    </row>
    <row r="243" spans="1:204" s="139" customFormat="1" ht="15" customHeight="1">
      <c r="A243" s="2660"/>
      <c r="B243" s="2660"/>
      <c r="C243" s="132" t="s">
        <v>710</v>
      </c>
      <c r="D243" s="132">
        <v>2855</v>
      </c>
      <c r="E243" s="132">
        <v>12</v>
      </c>
      <c r="F243" s="777">
        <v>2028550012</v>
      </c>
      <c r="G243" s="132">
        <v>3685</v>
      </c>
      <c r="H243" s="135" t="s">
        <v>704</v>
      </c>
      <c r="I243" s="136"/>
      <c r="J243" s="132">
        <v>0.54</v>
      </c>
      <c r="K243" s="132">
        <v>0</v>
      </c>
      <c r="L243" s="132">
        <v>2</v>
      </c>
      <c r="M243" s="132">
        <v>6.5</v>
      </c>
      <c r="N243" s="134">
        <v>1975</v>
      </c>
      <c r="O243" s="134">
        <f>Q243</f>
        <v>1975</v>
      </c>
      <c r="P243" s="134">
        <v>0</v>
      </c>
      <c r="Q243" s="134">
        <v>1975</v>
      </c>
      <c r="R243" s="137">
        <v>0</v>
      </c>
      <c r="S243" s="778" t="s">
        <v>720</v>
      </c>
      <c r="T243" s="2643"/>
      <c r="U243" s="102">
        <v>0</v>
      </c>
      <c r="V243" s="2643"/>
      <c r="W243" s="102">
        <f>N243</f>
        <v>1975</v>
      </c>
      <c r="X243" s="102"/>
      <c r="Y243" s="102">
        <f>W243-AA243</f>
        <v>1975</v>
      </c>
      <c r="Z243" s="2643"/>
      <c r="AA243" s="102">
        <v>0</v>
      </c>
      <c r="AB243" s="2643"/>
      <c r="AC243" s="102">
        <v>0</v>
      </c>
      <c r="AD243" s="2643"/>
      <c r="AE243" s="102">
        <f>AG243+AF243</f>
        <v>1975</v>
      </c>
      <c r="AF243" s="102">
        <v>0</v>
      </c>
      <c r="AG243" s="102">
        <v>1975</v>
      </c>
      <c r="AH243" s="102">
        <v>0</v>
      </c>
      <c r="AI243" s="2643"/>
      <c r="AJ243" s="102">
        <v>0</v>
      </c>
      <c r="AK243" s="2643"/>
      <c r="AL243" s="102">
        <f>W243-(AA243+AC243+AE243+AH243+AJ243+AM243+AW243+AO243+AQ243+AS243+AU243)</f>
        <v>0</v>
      </c>
      <c r="AM243" s="779">
        <v>0</v>
      </c>
      <c r="AN243" s="2643"/>
      <c r="AO243" s="102">
        <v>0</v>
      </c>
      <c r="AP243" s="2643"/>
      <c r="AQ243" s="102">
        <v>0</v>
      </c>
      <c r="AR243" s="2643"/>
      <c r="AS243" s="102">
        <v>0</v>
      </c>
      <c r="AT243" s="2643"/>
      <c r="AU243" s="102">
        <v>0</v>
      </c>
      <c r="AV243" s="2643"/>
      <c r="AW243" s="102">
        <f>AX243+AY243+AZ243+BA243+BB243</f>
        <v>0</v>
      </c>
      <c r="AX243" s="102">
        <v>0</v>
      </c>
      <c r="AY243" s="102">
        <v>0</v>
      </c>
      <c r="AZ243" s="102">
        <v>0</v>
      </c>
      <c r="BA243" s="102">
        <v>0</v>
      </c>
      <c r="BB243" s="102">
        <v>0</v>
      </c>
      <c r="BC243" s="102">
        <v>0</v>
      </c>
      <c r="BD243" s="2643"/>
      <c r="BE243" s="102">
        <f>U243+W243</f>
        <v>1975</v>
      </c>
      <c r="BF243" s="2643"/>
      <c r="BG243" s="102">
        <f>U243/1000</f>
        <v>0</v>
      </c>
      <c r="BH243" s="2643"/>
      <c r="BI243" s="102">
        <v>0</v>
      </c>
      <c r="BJ243" s="102">
        <f t="shared" si="127"/>
        <v>0</v>
      </c>
      <c r="BK243" s="186">
        <f>ROUND((Y243+AC243+AA243)/1000*3,0)+ROUND((AE243+AU243)/1000,0)+ROUND((ROUND(AH243/400,0))/2.67,0)+ROUND(AM243/250,0)+ROUND(AO243/15000,0)+ROUND((AX243+AY243+AZ243+BB243)/1000*3,0)+ROUND(BG243/25,0)+ROUND(BU73/50,0)</f>
        <v>8</v>
      </c>
      <c r="BL243" s="102">
        <v>0</v>
      </c>
      <c r="BM243" s="102">
        <v>0</v>
      </c>
      <c r="BN243" s="102">
        <v>0</v>
      </c>
      <c r="BO243" s="102">
        <f>AC243/1000</f>
        <v>0</v>
      </c>
      <c r="BP243" s="102">
        <f>AH243/1000</f>
        <v>0</v>
      </c>
      <c r="BQ243" s="102">
        <v>0</v>
      </c>
      <c r="BR243" s="102">
        <v>0</v>
      </c>
      <c r="BS243" s="102">
        <v>0</v>
      </c>
      <c r="BT243" s="2643"/>
      <c r="BU243" s="102">
        <f>SUM(BL243:BS243)</f>
        <v>0</v>
      </c>
      <c r="BV243" s="139">
        <v>15</v>
      </c>
      <c r="BW243" s="780" t="s">
        <v>758</v>
      </c>
      <c r="BX243" s="139">
        <v>8.5</v>
      </c>
      <c r="BY243" s="139">
        <v>2</v>
      </c>
      <c r="BZ243" s="139">
        <v>7.5</v>
      </c>
      <c r="CA243" s="781" t="s">
        <v>706</v>
      </c>
      <c r="CB243" s="2662"/>
      <c r="CC243" s="782">
        <f>(BX243*G243)-CF243</f>
        <v>28190.25</v>
      </c>
      <c r="CD243" s="2732"/>
      <c r="CE243" s="2643"/>
      <c r="CF243" s="783">
        <f>1*(G243)-(0.15*1*(G243))</f>
        <v>3132.25</v>
      </c>
      <c r="CG243" s="2643"/>
      <c r="CH243" s="783">
        <f>CF243-CJ243</f>
        <v>3132.25</v>
      </c>
      <c r="CI243" s="2643"/>
      <c r="CJ243" s="139">
        <v>0</v>
      </c>
      <c r="CK243" s="2643"/>
      <c r="CL243" s="139">
        <v>0</v>
      </c>
      <c r="CM243" s="2643"/>
      <c r="CN243" s="784">
        <f>CF243-(CJ243+CL243+CO243+CP243+CR243+CU243+CV243+CX243)</f>
        <v>3132.25</v>
      </c>
      <c r="CO243" s="784">
        <v>0</v>
      </c>
      <c r="CP243" s="784">
        <v>0</v>
      </c>
      <c r="CQ243" s="2643"/>
      <c r="CR243" s="102">
        <v>0</v>
      </c>
      <c r="CS243" s="784">
        <v>0</v>
      </c>
      <c r="CT243" s="784">
        <v>0</v>
      </c>
      <c r="CU243" s="784">
        <v>0</v>
      </c>
      <c r="CV243" s="784">
        <v>0</v>
      </c>
      <c r="CW243" s="2643"/>
      <c r="CX243" s="102">
        <f>SUM(CY243:DC243)</f>
        <v>0</v>
      </c>
      <c r="CY243" s="784">
        <f t="shared" si="139"/>
        <v>0</v>
      </c>
      <c r="CZ243" s="784">
        <f t="shared" si="139"/>
        <v>0</v>
      </c>
      <c r="DA243" s="784">
        <f t="shared" si="139"/>
        <v>0</v>
      </c>
      <c r="DB243" s="784">
        <f t="shared" si="139"/>
        <v>0</v>
      </c>
      <c r="DC243" s="784">
        <f t="shared" si="139"/>
        <v>0</v>
      </c>
      <c r="DD243" s="784"/>
      <c r="DE243" s="2643"/>
      <c r="DF243" s="784">
        <f>CC243+CF243</f>
        <v>31322.5</v>
      </c>
      <c r="DG243" s="2643"/>
      <c r="DH243" s="296">
        <f>CC243/'[1]Projected Development Sites'!DF$134</f>
        <v>28.190249999999999</v>
      </c>
      <c r="DI243" s="2723"/>
      <c r="DJ243" s="785">
        <f>'[1]Projected Development Sites'!DK$136*DH243</f>
        <v>28.190249999999999</v>
      </c>
      <c r="DK243" s="779">
        <f>2.87*DH243</f>
        <v>80.906017500000004</v>
      </c>
      <c r="DL243" s="786">
        <f>ROUND((CN243+CL243+CJ243)/1000*3,0)+ROUND((ROUND(CP243/400,0))/2.67,0)+ROUND(CV243/1000,0)+ROUND((CY243+CZ243+DA243+DC243)/1000*3,0)+ROUND(DH243/25,0)+ROUND(DX243/50,0)</f>
        <v>10</v>
      </c>
      <c r="DM243" s="787">
        <v>0</v>
      </c>
      <c r="DN243" s="787"/>
      <c r="DO243" s="787">
        <v>0</v>
      </c>
      <c r="DP243" s="787">
        <f>0.25*DJ243</f>
        <v>7.0475624999999997</v>
      </c>
      <c r="DQ243" s="787">
        <f>SUM(CO243,CJ243,CN243,CR243,CU243)/1000</f>
        <v>3.13225</v>
      </c>
      <c r="DR243" s="787">
        <f>CL243/1000</f>
        <v>0</v>
      </c>
      <c r="DS243" s="787">
        <f>((CP243/400)/12)</f>
        <v>0</v>
      </c>
      <c r="DT243" s="787">
        <f>IF(CX243&gt;0,"Calculate",0)</f>
        <v>0</v>
      </c>
      <c r="DU243" s="787">
        <v>0</v>
      </c>
      <c r="DV243" s="787">
        <f>CX243/1000</f>
        <v>0</v>
      </c>
      <c r="DW243" s="2723"/>
      <c r="DX243" s="788">
        <f>SUM(DM243,DO243,DQ243:DV243)</f>
        <v>3.13225</v>
      </c>
      <c r="DY243" s="2726"/>
      <c r="DZ243" s="2729"/>
      <c r="EA243" s="2665"/>
      <c r="EB243" s="195">
        <f>CF243-W243</f>
        <v>1157.25</v>
      </c>
      <c r="EC243" s="2665"/>
      <c r="ED243" s="195">
        <v>1157.25</v>
      </c>
      <c r="EE243" s="195">
        <f>(SUM(CJ243:CO243))-(SUM(AA243:AE243,AL243))</f>
        <v>1157.25</v>
      </c>
      <c r="EF243" s="2665"/>
      <c r="EG243" s="195">
        <v>3132.25</v>
      </c>
      <c r="EH243" s="2665"/>
      <c r="EI243" s="195">
        <f>CL243-AC243</f>
        <v>0</v>
      </c>
      <c r="EJ243" s="2665"/>
      <c r="EK243" s="195">
        <f>CJ243-AA243</f>
        <v>0</v>
      </c>
      <c r="EL243" s="2665"/>
      <c r="EM243" s="195">
        <f>CO243-AE243</f>
        <v>-1975</v>
      </c>
      <c r="EN243" s="2665"/>
      <c r="EO243" s="195">
        <f>CP243-AH243</f>
        <v>0</v>
      </c>
      <c r="EP243" s="2665"/>
      <c r="EQ243" s="195">
        <f>CR243-AJ243</f>
        <v>0</v>
      </c>
      <c r="ER243" s="2665"/>
      <c r="ES243" s="195">
        <f>CS243-AO243</f>
        <v>0</v>
      </c>
      <c r="ET243" s="2665"/>
      <c r="EU243" s="195">
        <f t="shared" si="125"/>
        <v>0</v>
      </c>
      <c r="EV243" s="2665"/>
      <c r="EW243" s="195">
        <f>CU243-AS243</f>
        <v>0</v>
      </c>
      <c r="EX243" s="2665"/>
      <c r="EY243" s="195">
        <f>CV243-AU243</f>
        <v>0</v>
      </c>
      <c r="EZ243" s="2665"/>
      <c r="FA243" s="195">
        <f>CY243-AX243</f>
        <v>0</v>
      </c>
      <c r="FB243" s="2665"/>
      <c r="FC243" s="195">
        <f>CZ243-AY243</f>
        <v>0</v>
      </c>
      <c r="FD243" s="2665"/>
      <c r="FE243" s="195">
        <f>DA243-AZ243</f>
        <v>0</v>
      </c>
      <c r="FF243" s="2665"/>
      <c r="FG243" s="195">
        <f>DB243-BA243</f>
        <v>0</v>
      </c>
      <c r="FH243" s="2665"/>
      <c r="FI243" s="195">
        <f>DC243-BB243</f>
        <v>0</v>
      </c>
      <c r="FJ243" s="2665"/>
      <c r="FK243" s="195">
        <f>CX243-AW243</f>
        <v>0</v>
      </c>
      <c r="FL243" s="2665"/>
      <c r="FM243" s="195">
        <f>DF243-BE243</f>
        <v>29347.5</v>
      </c>
      <c r="FN243" s="2665"/>
      <c r="FO243" s="195">
        <f>DH243-BG243</f>
        <v>28.190249999999999</v>
      </c>
      <c r="FP243" s="2665"/>
      <c r="FQ243" s="195">
        <f t="shared" si="140"/>
        <v>28.190249999999999</v>
      </c>
      <c r="FR243" s="195">
        <f t="shared" si="140"/>
        <v>80.906017500000004</v>
      </c>
      <c r="FS243" s="195">
        <f t="shared" si="140"/>
        <v>2</v>
      </c>
      <c r="FT243" s="789">
        <f t="shared" si="140"/>
        <v>0</v>
      </c>
      <c r="FU243" s="789">
        <f>DR243-BO243</f>
        <v>0</v>
      </c>
      <c r="FV243" s="789">
        <f>DO243-BM243</f>
        <v>0</v>
      </c>
      <c r="FW243" s="789">
        <f>DQ243-BN243</f>
        <v>3.13225</v>
      </c>
      <c r="FX243" s="789">
        <f>DS243-BP243</f>
        <v>0</v>
      </c>
      <c r="FY243" s="789">
        <f t="shared" si="132"/>
        <v>0</v>
      </c>
      <c r="FZ243" s="789">
        <f t="shared" si="132"/>
        <v>0</v>
      </c>
      <c r="GA243" s="789">
        <f t="shared" si="132"/>
        <v>0</v>
      </c>
      <c r="GB243" s="2735"/>
      <c r="GC243" s="790">
        <f t="shared" si="126"/>
        <v>3.13225</v>
      </c>
    </row>
    <row r="244" spans="1:204" s="81" customFormat="1" ht="15" customHeight="1">
      <c r="A244" s="2660"/>
      <c r="B244" s="2660"/>
      <c r="C244" s="132" t="s">
        <v>721</v>
      </c>
      <c r="D244" s="132">
        <v>2855</v>
      </c>
      <c r="E244" s="132">
        <v>8</v>
      </c>
      <c r="F244" s="777">
        <v>2028550008</v>
      </c>
      <c r="G244" s="132">
        <v>4514</v>
      </c>
      <c r="H244" s="135" t="s">
        <v>704</v>
      </c>
      <c r="I244" s="136"/>
      <c r="J244" s="132">
        <v>1</v>
      </c>
      <c r="K244" s="132">
        <v>0</v>
      </c>
      <c r="L244" s="132">
        <v>2</v>
      </c>
      <c r="M244" s="132">
        <v>6.5</v>
      </c>
      <c r="N244" s="134">
        <v>4500</v>
      </c>
      <c r="O244" s="134">
        <f>Q244</f>
        <v>4500</v>
      </c>
      <c r="P244" s="134">
        <v>0</v>
      </c>
      <c r="Q244" s="134">
        <v>4500</v>
      </c>
      <c r="R244" s="137">
        <v>0</v>
      </c>
      <c r="S244" s="778" t="s">
        <v>708</v>
      </c>
      <c r="T244" s="2643"/>
      <c r="U244" s="102">
        <v>0</v>
      </c>
      <c r="V244" s="2643"/>
      <c r="W244" s="102">
        <f>N244</f>
        <v>4500</v>
      </c>
      <c r="X244" s="102"/>
      <c r="Y244" s="102">
        <f>W244-AA244</f>
        <v>4500</v>
      </c>
      <c r="Z244" s="2643"/>
      <c r="AA244" s="102">
        <v>0</v>
      </c>
      <c r="AB244" s="2643"/>
      <c r="AC244" s="102">
        <v>0</v>
      </c>
      <c r="AD244" s="2643"/>
      <c r="AE244" s="102">
        <f>AG244+AF244</f>
        <v>4500</v>
      </c>
      <c r="AF244" s="102">
        <v>0</v>
      </c>
      <c r="AG244" s="102">
        <v>4500</v>
      </c>
      <c r="AH244" s="102">
        <v>0</v>
      </c>
      <c r="AI244" s="2643"/>
      <c r="AJ244" s="102">
        <v>0</v>
      </c>
      <c r="AK244" s="2643"/>
      <c r="AL244" s="102">
        <f>W244-(AA244+AC244+AE244+AH244+AJ244+AM244+AW244+AO244+AQ244+AS244+AU244)</f>
        <v>0</v>
      </c>
      <c r="AM244" s="779">
        <v>0</v>
      </c>
      <c r="AN244" s="2643"/>
      <c r="AO244" s="102">
        <v>0</v>
      </c>
      <c r="AP244" s="2643"/>
      <c r="AQ244" s="102">
        <v>0</v>
      </c>
      <c r="AR244" s="2643"/>
      <c r="AS244" s="102">
        <v>0</v>
      </c>
      <c r="AT244" s="2643"/>
      <c r="AU244" s="102">
        <v>0</v>
      </c>
      <c r="AV244" s="2643"/>
      <c r="AW244" s="102">
        <f>AX244+AY244+AZ244+BA244+BB244</f>
        <v>0</v>
      </c>
      <c r="AX244" s="102">
        <v>0</v>
      </c>
      <c r="AY244" s="102">
        <v>0</v>
      </c>
      <c r="AZ244" s="102">
        <v>0</v>
      </c>
      <c r="BA244" s="102">
        <v>0</v>
      </c>
      <c r="BB244" s="102">
        <v>0</v>
      </c>
      <c r="BC244" s="102">
        <v>0</v>
      </c>
      <c r="BD244" s="2643"/>
      <c r="BE244" s="102">
        <f>U244+W244</f>
        <v>4500</v>
      </c>
      <c r="BF244" s="2643"/>
      <c r="BG244" s="102">
        <f>U244/1000</f>
        <v>0</v>
      </c>
      <c r="BH244" s="2643"/>
      <c r="BI244" s="102">
        <v>0</v>
      </c>
      <c r="BJ244" s="102">
        <f t="shared" si="127"/>
        <v>0</v>
      </c>
      <c r="BK244" s="186">
        <f>ROUND((Y244+AC244+AA244)/1000*3,0)+ROUND((AE244+AU244)/1000,0)+ROUND((ROUND(AH244/400,0))/2.67,0)+ROUND(AM244/250,0)+ROUND(AO244/15000,0)+ROUND((AX244+AY244+AZ244+BB244)/1000*3,0)+ROUND(BG244/25,0)+ROUND('A-App Potential sites'!BU74/50,0)</f>
        <v>19</v>
      </c>
      <c r="BL244" s="102">
        <v>0</v>
      </c>
      <c r="BM244" s="102">
        <v>0</v>
      </c>
      <c r="BN244" s="102">
        <v>0</v>
      </c>
      <c r="BO244" s="102">
        <f>AC244/1000</f>
        <v>0</v>
      </c>
      <c r="BP244" s="102">
        <f>AH244/1000</f>
        <v>0</v>
      </c>
      <c r="BQ244" s="102">
        <v>0</v>
      </c>
      <c r="BR244" s="102">
        <v>0</v>
      </c>
      <c r="BS244" s="102">
        <v>0</v>
      </c>
      <c r="BT244" s="2643"/>
      <c r="BU244" s="102">
        <f>SUM(BL244:BS244)</f>
        <v>0</v>
      </c>
      <c r="BV244" s="139">
        <v>15</v>
      </c>
      <c r="BW244" s="780" t="s">
        <v>758</v>
      </c>
      <c r="BX244" s="139">
        <v>8.5</v>
      </c>
      <c r="BY244" s="139">
        <v>2</v>
      </c>
      <c r="BZ244" s="139">
        <v>7.5</v>
      </c>
      <c r="CA244" s="781" t="s">
        <v>706</v>
      </c>
      <c r="CB244" s="2662"/>
      <c r="CC244" s="782">
        <f>(BX244*G244)-CF244</f>
        <v>34532.1</v>
      </c>
      <c r="CD244" s="2732"/>
      <c r="CE244" s="2643"/>
      <c r="CF244" s="783">
        <f>1*(G244)-(0.15*1*(G244))</f>
        <v>3836.9</v>
      </c>
      <c r="CG244" s="2643"/>
      <c r="CH244" s="783">
        <f>CF244-CJ244</f>
        <v>3836.9</v>
      </c>
      <c r="CI244" s="2643"/>
      <c r="CJ244" s="139">
        <v>0</v>
      </c>
      <c r="CK244" s="2643"/>
      <c r="CL244" s="139">
        <v>0</v>
      </c>
      <c r="CM244" s="2643"/>
      <c r="CN244" s="784">
        <f>CF244-(CJ244+CL244+CO244+CP244+CR244+CU244+CV244+CX244)</f>
        <v>3836.9</v>
      </c>
      <c r="CO244" s="784">
        <v>0</v>
      </c>
      <c r="CP244" s="784">
        <v>0</v>
      </c>
      <c r="CQ244" s="2643"/>
      <c r="CR244" s="102">
        <v>0</v>
      </c>
      <c r="CS244" s="784">
        <v>0</v>
      </c>
      <c r="CT244" s="784">
        <v>0</v>
      </c>
      <c r="CU244" s="784">
        <v>0</v>
      </c>
      <c r="CV244" s="784">
        <v>0</v>
      </c>
      <c r="CW244" s="2643"/>
      <c r="CX244" s="102">
        <f>SUM(CY244:DC244)</f>
        <v>0</v>
      </c>
      <c r="CY244" s="784">
        <f t="shared" si="139"/>
        <v>0</v>
      </c>
      <c r="CZ244" s="784">
        <f t="shared" si="139"/>
        <v>0</v>
      </c>
      <c r="DA244" s="784">
        <f t="shared" si="139"/>
        <v>0</v>
      </c>
      <c r="DB244" s="784">
        <f t="shared" si="139"/>
        <v>0</v>
      </c>
      <c r="DC244" s="784">
        <f t="shared" si="139"/>
        <v>0</v>
      </c>
      <c r="DD244" s="784"/>
      <c r="DE244" s="2643"/>
      <c r="DF244" s="102">
        <f>CC244+CF244</f>
        <v>38369</v>
      </c>
      <c r="DG244" s="2643"/>
      <c r="DH244" s="296">
        <f>CC244/'[1]Projected Development Sites'!DF$134</f>
        <v>34.5321</v>
      </c>
      <c r="DI244" s="2723"/>
      <c r="DJ244" s="785">
        <f>'[1]Projected Development Sites'!DK$136*DH244</f>
        <v>34.5321</v>
      </c>
      <c r="DK244" s="779">
        <f>2.87*DH244</f>
        <v>99.107127000000006</v>
      </c>
      <c r="DL244" s="786">
        <f>ROUND((CN244+CL244+CJ244)/1000*3,0)+ROUND((ROUND(CP244/400,0))/2.67,0)+ROUND(CV244/1000,0)+ROUND((CY244+CZ244+DA244+DC244)/1000*3,0)+ROUND(DH244/25,0)+ROUND(DX244/50,0)</f>
        <v>13</v>
      </c>
      <c r="DM244" s="787">
        <v>0</v>
      </c>
      <c r="DN244" s="787"/>
      <c r="DO244" s="787">
        <v>0</v>
      </c>
      <c r="DP244" s="787">
        <f>0.25*DJ244</f>
        <v>8.6330249999999999</v>
      </c>
      <c r="DQ244" s="787">
        <f>SUM(CO244,CJ244,CN244,CR244,CU244)/1000</f>
        <v>3.8369</v>
      </c>
      <c r="DR244" s="787">
        <f>CL244/1000</f>
        <v>0</v>
      </c>
      <c r="DS244" s="787">
        <f>((CP244/400)/12)</f>
        <v>0</v>
      </c>
      <c r="DT244" s="787">
        <f>IF(CX244&gt;0,"Calculate",0)</f>
        <v>0</v>
      </c>
      <c r="DU244" s="787">
        <v>0</v>
      </c>
      <c r="DV244" s="787">
        <f>CX244/1000</f>
        <v>0</v>
      </c>
      <c r="DW244" s="2723"/>
      <c r="DX244" s="788">
        <f>SUM(DM244,DO244,DQ244:DV244)</f>
        <v>3.8369</v>
      </c>
      <c r="DY244" s="2726"/>
      <c r="DZ244" s="2729"/>
      <c r="EA244" s="2665"/>
      <c r="EB244" s="195">
        <f>CF244-W244</f>
        <v>-663.09999999999991</v>
      </c>
      <c r="EC244" s="2665"/>
      <c r="ED244" s="195">
        <v>-663.09999999999991</v>
      </c>
      <c r="EE244" s="195">
        <f>(SUM(CJ244:CO244))-(SUM(AA244:AE244,AL244))</f>
        <v>-663.09999999999991</v>
      </c>
      <c r="EF244" s="2665"/>
      <c r="EG244" s="195">
        <v>3836.9</v>
      </c>
      <c r="EH244" s="2665"/>
      <c r="EI244" s="195">
        <f>CL244-AC244</f>
        <v>0</v>
      </c>
      <c r="EJ244" s="2665"/>
      <c r="EK244" s="195">
        <f>CJ244-AA244</f>
        <v>0</v>
      </c>
      <c r="EL244" s="2665"/>
      <c r="EM244" s="195">
        <f>CO244-AE244</f>
        <v>-4500</v>
      </c>
      <c r="EN244" s="2665"/>
      <c r="EO244" s="195">
        <f>CP244-AH244</f>
        <v>0</v>
      </c>
      <c r="EP244" s="2665"/>
      <c r="EQ244" s="195">
        <f>CR244-AJ244</f>
        <v>0</v>
      </c>
      <c r="ER244" s="2665"/>
      <c r="ES244" s="195">
        <f>CS244-AO244</f>
        <v>0</v>
      </c>
      <c r="ET244" s="2665"/>
      <c r="EU244" s="195">
        <f t="shared" si="125"/>
        <v>0</v>
      </c>
      <c r="EV244" s="2665"/>
      <c r="EW244" s="195">
        <f>CU244-AS244</f>
        <v>0</v>
      </c>
      <c r="EX244" s="2665"/>
      <c r="EY244" s="195">
        <f>CV244-AU244</f>
        <v>0</v>
      </c>
      <c r="EZ244" s="2665"/>
      <c r="FA244" s="195">
        <f>CY244-AX244</f>
        <v>0</v>
      </c>
      <c r="FB244" s="2665"/>
      <c r="FC244" s="195">
        <f>CZ244-AY244</f>
        <v>0</v>
      </c>
      <c r="FD244" s="2665"/>
      <c r="FE244" s="195">
        <f>DA244-AZ244</f>
        <v>0</v>
      </c>
      <c r="FF244" s="2665"/>
      <c r="FG244" s="195">
        <f>DB244-BA244</f>
        <v>0</v>
      </c>
      <c r="FH244" s="2665"/>
      <c r="FI244" s="195">
        <f>DC244-BB244</f>
        <v>0</v>
      </c>
      <c r="FJ244" s="2665"/>
      <c r="FK244" s="195">
        <f>CX244-AW244</f>
        <v>0</v>
      </c>
      <c r="FL244" s="2665"/>
      <c r="FM244" s="195">
        <f>DF244-BE244</f>
        <v>33869</v>
      </c>
      <c r="FN244" s="2665"/>
      <c r="FO244" s="195">
        <f>DH244-BG244</f>
        <v>34.5321</v>
      </c>
      <c r="FP244" s="2665"/>
      <c r="FQ244" s="195">
        <f t="shared" si="140"/>
        <v>34.5321</v>
      </c>
      <c r="FR244" s="195">
        <f t="shared" si="140"/>
        <v>99.107127000000006</v>
      </c>
      <c r="FS244" s="195">
        <f t="shared" si="140"/>
        <v>-6</v>
      </c>
      <c r="FT244" s="789">
        <f t="shared" si="140"/>
        <v>0</v>
      </c>
      <c r="FU244" s="789">
        <f>DR244-BO244</f>
        <v>0</v>
      </c>
      <c r="FV244" s="789">
        <f>DO244-BM244</f>
        <v>0</v>
      </c>
      <c r="FW244" s="789">
        <f>DQ244-BN244</f>
        <v>3.8369</v>
      </c>
      <c r="FX244" s="789">
        <f>DS244-BP244</f>
        <v>0</v>
      </c>
      <c r="FY244" s="789">
        <f t="shared" si="132"/>
        <v>0</v>
      </c>
      <c r="FZ244" s="789">
        <f t="shared" si="132"/>
        <v>0</v>
      </c>
      <c r="GA244" s="789">
        <f t="shared" si="132"/>
        <v>0</v>
      </c>
      <c r="GB244" s="2735"/>
      <c r="GC244" s="790">
        <f t="shared" si="126"/>
        <v>3.8369</v>
      </c>
      <c r="GD244" s="139"/>
      <c r="GE244" s="139"/>
      <c r="GF244" s="139"/>
      <c r="GG244" s="139"/>
      <c r="GH244" s="139"/>
      <c r="GI244" s="139"/>
      <c r="GJ244" s="139"/>
      <c r="GK244" s="139"/>
      <c r="GL244" s="139"/>
      <c r="GM244" s="139"/>
      <c r="GN244" s="139"/>
      <c r="GO244" s="139"/>
      <c r="GP244" s="139"/>
      <c r="GQ244" s="139"/>
      <c r="GR244" s="139"/>
      <c r="GS244" s="139"/>
      <c r="GT244" s="139"/>
      <c r="GU244" s="139"/>
      <c r="GV244" s="139"/>
    </row>
    <row r="245" spans="1:204" s="139" customFormat="1" ht="18.75" customHeight="1">
      <c r="A245" s="2589"/>
      <c r="B245" s="2589"/>
      <c r="C245" s="66" t="s">
        <v>724</v>
      </c>
      <c r="D245" s="66">
        <v>2855</v>
      </c>
      <c r="E245" s="66">
        <v>15</v>
      </c>
      <c r="F245" s="841">
        <v>2028550015</v>
      </c>
      <c r="G245" s="66">
        <v>3797</v>
      </c>
      <c r="H245" s="69" t="s">
        <v>704</v>
      </c>
      <c r="I245" s="70"/>
      <c r="J245" s="66">
        <v>0.84</v>
      </c>
      <c r="K245" s="66">
        <v>0</v>
      </c>
      <c r="L245" s="66">
        <v>2</v>
      </c>
      <c r="M245" s="66">
        <v>6.5</v>
      </c>
      <c r="N245" s="68">
        <v>3180</v>
      </c>
      <c r="O245" s="68">
        <f>Q245</f>
        <v>3180</v>
      </c>
      <c r="P245" s="68">
        <v>0</v>
      </c>
      <c r="Q245" s="68">
        <v>3180</v>
      </c>
      <c r="R245" s="71">
        <v>0</v>
      </c>
      <c r="S245" s="791" t="s">
        <v>708</v>
      </c>
      <c r="T245" s="2601"/>
      <c r="U245" s="74">
        <v>0</v>
      </c>
      <c r="V245" s="2601"/>
      <c r="W245" s="74">
        <f>N245</f>
        <v>3180</v>
      </c>
      <c r="X245" s="74"/>
      <c r="Y245" s="74">
        <f>W245-AA245</f>
        <v>3180</v>
      </c>
      <c r="Z245" s="2601"/>
      <c r="AA245" s="74">
        <v>0</v>
      </c>
      <c r="AB245" s="2601"/>
      <c r="AC245" s="74">
        <v>0</v>
      </c>
      <c r="AD245" s="2601"/>
      <c r="AE245" s="74">
        <f>AG245+AF245</f>
        <v>3180</v>
      </c>
      <c r="AF245" s="74">
        <v>0</v>
      </c>
      <c r="AG245" s="74">
        <v>3180</v>
      </c>
      <c r="AH245" s="74">
        <v>0</v>
      </c>
      <c r="AI245" s="2601"/>
      <c r="AJ245" s="74">
        <v>0</v>
      </c>
      <c r="AK245" s="2601"/>
      <c r="AL245" s="74">
        <f>W245-(AA245+AC245+AE245+AH245+AJ245+AM245+AW245+AO245+AQ245+AS245+AU245)</f>
        <v>0</v>
      </c>
      <c r="AM245" s="792">
        <v>0</v>
      </c>
      <c r="AN245" s="2601"/>
      <c r="AO245" s="74">
        <v>0</v>
      </c>
      <c r="AP245" s="2601"/>
      <c r="AQ245" s="74">
        <v>0</v>
      </c>
      <c r="AR245" s="2601"/>
      <c r="AS245" s="74">
        <v>0</v>
      </c>
      <c r="AT245" s="2601"/>
      <c r="AU245" s="74">
        <v>0</v>
      </c>
      <c r="AV245" s="2601"/>
      <c r="AW245" s="74">
        <f>AX245+AY245+AZ245+BA245+BB245</f>
        <v>0</v>
      </c>
      <c r="AX245" s="74">
        <v>0</v>
      </c>
      <c r="AY245" s="74">
        <v>0</v>
      </c>
      <c r="AZ245" s="74">
        <v>0</v>
      </c>
      <c r="BA245" s="74">
        <v>0</v>
      </c>
      <c r="BB245" s="74">
        <v>0</v>
      </c>
      <c r="BC245" s="74">
        <v>0</v>
      </c>
      <c r="BD245" s="2601"/>
      <c r="BE245" s="74">
        <f>U245+W245</f>
        <v>3180</v>
      </c>
      <c r="BF245" s="2601"/>
      <c r="BG245" s="74">
        <f>U245/1000</f>
        <v>0</v>
      </c>
      <c r="BH245" s="2601"/>
      <c r="BI245" s="74">
        <v>0</v>
      </c>
      <c r="BJ245" s="74">
        <f t="shared" si="127"/>
        <v>0</v>
      </c>
      <c r="BK245" s="88">
        <f>ROUND((Y245+AC245+AA245)/1000*3,0)+ROUND((AE245+AU245)/1000,0)+ROUND((ROUND(AH245/400,0))/2.67,0)+ROUND(AM245/250,0)+ROUND(AO245/15000,0)+ROUND((AX245+AY245+AZ245+BB245)/1000*3,0)+ROUND(BG245/25,0)+ROUND(BU75/50,0)</f>
        <v>13</v>
      </c>
      <c r="BL245" s="74">
        <v>0</v>
      </c>
      <c r="BM245" s="74">
        <v>0</v>
      </c>
      <c r="BN245" s="74">
        <v>0</v>
      </c>
      <c r="BO245" s="74">
        <f>AC245/1000</f>
        <v>0</v>
      </c>
      <c r="BP245" s="74">
        <f>AH245/1000</f>
        <v>0</v>
      </c>
      <c r="BQ245" s="74">
        <v>0</v>
      </c>
      <c r="BR245" s="74">
        <v>0</v>
      </c>
      <c r="BS245" s="74">
        <v>0</v>
      </c>
      <c r="BT245" s="2601"/>
      <c r="BU245" s="74">
        <f>SUM(BL245:BS245)</f>
        <v>0</v>
      </c>
      <c r="BV245" s="81">
        <v>15</v>
      </c>
      <c r="BW245" s="793" t="s">
        <v>758</v>
      </c>
      <c r="BX245" s="81">
        <v>8.5</v>
      </c>
      <c r="BY245" s="81">
        <v>2</v>
      </c>
      <c r="BZ245" s="81">
        <v>7.5</v>
      </c>
      <c r="CA245" s="794" t="s">
        <v>706</v>
      </c>
      <c r="CB245" s="2597"/>
      <c r="CC245" s="795">
        <f>(BX245*G245)-CF245</f>
        <v>29047.05</v>
      </c>
      <c r="CD245" s="2733"/>
      <c r="CE245" s="2601"/>
      <c r="CF245" s="796">
        <f>1*(G245)-(0.15*1*(G245))</f>
        <v>3227.45</v>
      </c>
      <c r="CG245" s="2601"/>
      <c r="CH245" s="796">
        <f>CF245-CJ245</f>
        <v>3227.45</v>
      </c>
      <c r="CI245" s="2601"/>
      <c r="CJ245" s="81">
        <v>0</v>
      </c>
      <c r="CK245" s="2601"/>
      <c r="CL245" s="81">
        <v>0</v>
      </c>
      <c r="CM245" s="2601"/>
      <c r="CN245" s="797">
        <f>CF245-(CJ245+CL245+CO245+CP245+CR245+CU245+CV245+CX245)</f>
        <v>3227.45</v>
      </c>
      <c r="CO245" s="797">
        <v>0</v>
      </c>
      <c r="CP245" s="797">
        <v>0</v>
      </c>
      <c r="CQ245" s="2601"/>
      <c r="CR245" s="74">
        <v>0</v>
      </c>
      <c r="CS245" s="797">
        <v>0</v>
      </c>
      <c r="CT245" s="797">
        <v>0</v>
      </c>
      <c r="CU245" s="797">
        <v>0</v>
      </c>
      <c r="CV245" s="797">
        <v>0</v>
      </c>
      <c r="CW245" s="2601"/>
      <c r="CX245" s="74">
        <f>SUM(CY245:DC245)</f>
        <v>0</v>
      </c>
      <c r="CY245" s="797">
        <f t="shared" si="139"/>
        <v>0</v>
      </c>
      <c r="CZ245" s="797">
        <f t="shared" si="139"/>
        <v>0</v>
      </c>
      <c r="DA245" s="797">
        <f t="shared" si="139"/>
        <v>0</v>
      </c>
      <c r="DB245" s="797">
        <f t="shared" si="139"/>
        <v>0</v>
      </c>
      <c r="DC245" s="797">
        <f t="shared" si="139"/>
        <v>0</v>
      </c>
      <c r="DD245" s="797"/>
      <c r="DE245" s="2601"/>
      <c r="DF245" s="797">
        <f>CC245+CF245</f>
        <v>32274.5</v>
      </c>
      <c r="DG245" s="2601"/>
      <c r="DH245" s="303">
        <f>CC245/'[1]Projected Development Sites'!DF$134</f>
        <v>29.047049999999999</v>
      </c>
      <c r="DI245" s="2724"/>
      <c r="DJ245" s="798">
        <f>'[1]Projected Development Sites'!DK$136*DH245</f>
        <v>29.047049999999999</v>
      </c>
      <c r="DK245" s="792">
        <f>2.87*DH245</f>
        <v>83.365033499999996</v>
      </c>
      <c r="DL245" s="786">
        <f>ROUND((CN245+CL245+CJ245)/1000*3,0)+ROUND((ROUND(CP245/400,0))/2.67,0)+ROUND(CV245/1000,0)+ROUND((CY245+CZ245+DA245+DC245)/1000*3,0)+ROUND(DH245/25,0)+ROUND(DX245/50,0)</f>
        <v>11</v>
      </c>
      <c r="DM245" s="799">
        <v>0</v>
      </c>
      <c r="DN245" s="799"/>
      <c r="DO245" s="799">
        <v>0</v>
      </c>
      <c r="DP245" s="799">
        <f>0.25*DJ245</f>
        <v>7.2617624999999997</v>
      </c>
      <c r="DQ245" s="799">
        <f>SUM(CO245,CJ245,CN245,CR245,CU245)/1000</f>
        <v>3.2274499999999997</v>
      </c>
      <c r="DR245" s="799">
        <f>CL245/1000</f>
        <v>0</v>
      </c>
      <c r="DS245" s="799">
        <f>((CP245/400)/12)</f>
        <v>0</v>
      </c>
      <c r="DT245" s="799">
        <f>IF(CX245&gt;0,"Calculate",0)</f>
        <v>0</v>
      </c>
      <c r="DU245" s="799">
        <v>0</v>
      </c>
      <c r="DV245" s="799">
        <f>CX245/1000</f>
        <v>0</v>
      </c>
      <c r="DW245" s="2724"/>
      <c r="DX245" s="800">
        <f>SUM(DM245,DO245,DQ245:DV245)</f>
        <v>3.2274499999999997</v>
      </c>
      <c r="DY245" s="2727"/>
      <c r="DZ245" s="2730"/>
      <c r="EA245" s="2603"/>
      <c r="EB245" s="195">
        <f>CF245-W245</f>
        <v>47.449999999999818</v>
      </c>
      <c r="EC245" s="2603"/>
      <c r="ED245" s="190">
        <v>47.449999999999818</v>
      </c>
      <c r="EE245" s="195">
        <f>(SUM(CJ245:CO245))-(SUM(AA245:AE245,AL245))</f>
        <v>47.449999999999818</v>
      </c>
      <c r="EF245" s="2603"/>
      <c r="EG245" s="190">
        <v>3227.45</v>
      </c>
      <c r="EH245" s="2603"/>
      <c r="EI245" s="190">
        <f>CL245-AC245</f>
        <v>0</v>
      </c>
      <c r="EJ245" s="2603"/>
      <c r="EK245" s="195">
        <f>CJ245-AA245</f>
        <v>0</v>
      </c>
      <c r="EL245" s="2603"/>
      <c r="EM245" s="190">
        <f>CO245-AE245</f>
        <v>-3180</v>
      </c>
      <c r="EN245" s="2603"/>
      <c r="EO245" s="190">
        <f>CP245-AH245</f>
        <v>0</v>
      </c>
      <c r="EP245" s="2603"/>
      <c r="EQ245" s="195">
        <f>CR245-AJ245</f>
        <v>0</v>
      </c>
      <c r="ER245" s="2603"/>
      <c r="ES245" s="195">
        <f>CS245-AO245</f>
        <v>0</v>
      </c>
      <c r="ET245" s="2603"/>
      <c r="EU245" s="190">
        <f t="shared" si="125"/>
        <v>0</v>
      </c>
      <c r="EV245" s="2603"/>
      <c r="EW245" s="195">
        <f>CU245-AS245</f>
        <v>0</v>
      </c>
      <c r="EX245" s="2603"/>
      <c r="EY245" s="190">
        <f>CV245-AU245</f>
        <v>0</v>
      </c>
      <c r="EZ245" s="2603"/>
      <c r="FA245" s="190">
        <f>CY245-AX245</f>
        <v>0</v>
      </c>
      <c r="FB245" s="2603"/>
      <c r="FC245" s="190">
        <f>CZ245-AY245</f>
        <v>0</v>
      </c>
      <c r="FD245" s="2603"/>
      <c r="FE245" s="190">
        <f>DA245-AZ245</f>
        <v>0</v>
      </c>
      <c r="FF245" s="2603"/>
      <c r="FG245" s="190">
        <f>DB245-BA245</f>
        <v>0</v>
      </c>
      <c r="FH245" s="2603"/>
      <c r="FI245" s="190">
        <f>DC245-BB245</f>
        <v>0</v>
      </c>
      <c r="FJ245" s="2603"/>
      <c r="FK245" s="190">
        <f>CX245-AW245</f>
        <v>0</v>
      </c>
      <c r="FL245" s="2603"/>
      <c r="FM245" s="195">
        <f>DF245-BE245</f>
        <v>29094.5</v>
      </c>
      <c r="FN245" s="2603"/>
      <c r="FO245" s="195">
        <f>DH245-BG245</f>
        <v>29.047049999999999</v>
      </c>
      <c r="FP245" s="2603"/>
      <c r="FQ245" s="195">
        <f t="shared" si="140"/>
        <v>29.047049999999999</v>
      </c>
      <c r="FR245" s="190">
        <f t="shared" si="140"/>
        <v>83.365033499999996</v>
      </c>
      <c r="FS245" s="190">
        <f t="shared" si="140"/>
        <v>-2</v>
      </c>
      <c r="FT245" s="801">
        <f t="shared" si="140"/>
        <v>0</v>
      </c>
      <c r="FU245" s="801">
        <f>DR245-BO245</f>
        <v>0</v>
      </c>
      <c r="FV245" s="801">
        <f>DO245-BM245</f>
        <v>0</v>
      </c>
      <c r="FW245" s="801">
        <f>DQ245-BN245</f>
        <v>3.2274499999999997</v>
      </c>
      <c r="FX245" s="801">
        <f>DS245-BP245</f>
        <v>0</v>
      </c>
      <c r="FY245" s="801">
        <f t="shared" si="132"/>
        <v>0</v>
      </c>
      <c r="FZ245" s="801">
        <f t="shared" si="132"/>
        <v>0</v>
      </c>
      <c r="GA245" s="801">
        <f t="shared" si="132"/>
        <v>0</v>
      </c>
      <c r="GB245" s="2736"/>
      <c r="GC245" s="845">
        <f t="shared" si="126"/>
        <v>3.2274499999999997</v>
      </c>
      <c r="GU245" s="81"/>
      <c r="GV245" s="81"/>
    </row>
    <row r="246" spans="1:204" s="127" customFormat="1" ht="15" customHeight="1">
      <c r="A246" s="2263"/>
      <c r="B246" s="2263"/>
      <c r="C246" s="132"/>
      <c r="D246" s="132"/>
      <c r="E246" s="132"/>
      <c r="F246" s="777"/>
      <c r="G246" s="132"/>
      <c r="H246" s="135"/>
      <c r="I246" s="136"/>
      <c r="J246" s="132"/>
      <c r="K246" s="132"/>
      <c r="L246" s="132"/>
      <c r="M246" s="132"/>
      <c r="N246" s="134"/>
      <c r="O246" s="134"/>
      <c r="P246" s="134"/>
      <c r="Q246" s="134"/>
      <c r="R246" s="137"/>
      <c r="S246" s="778"/>
      <c r="T246" s="634"/>
      <c r="U246" s="102"/>
      <c r="V246" s="634"/>
      <c r="W246" s="102"/>
      <c r="X246" s="102"/>
      <c r="Y246" s="102"/>
      <c r="Z246" s="634"/>
      <c r="AA246" s="102"/>
      <c r="AB246" s="634"/>
      <c r="AC246" s="102"/>
      <c r="AD246" s="634"/>
      <c r="AE246" s="102"/>
      <c r="AF246" s="102"/>
      <c r="AG246" s="102"/>
      <c r="AH246" s="102"/>
      <c r="AI246" s="634"/>
      <c r="AJ246" s="102"/>
      <c r="AK246" s="634"/>
      <c r="AL246" s="102"/>
      <c r="AM246" s="779"/>
      <c r="AN246" s="634"/>
      <c r="AO246" s="102"/>
      <c r="AP246" s="634"/>
      <c r="AQ246" s="102"/>
      <c r="AR246" s="634"/>
      <c r="AS246" s="102"/>
      <c r="AT246" s="634"/>
      <c r="AU246" s="102"/>
      <c r="AV246" s="634"/>
      <c r="AW246" s="102"/>
      <c r="AX246" s="102"/>
      <c r="AY246" s="102"/>
      <c r="AZ246" s="102"/>
      <c r="BA246" s="102"/>
      <c r="BB246" s="102"/>
      <c r="BC246" s="102"/>
      <c r="BD246" s="634"/>
      <c r="BE246" s="102"/>
      <c r="BF246" s="634"/>
      <c r="BG246" s="102"/>
      <c r="BH246" s="634"/>
      <c r="BI246" s="102"/>
      <c r="BJ246" s="111"/>
      <c r="BK246" s="186"/>
      <c r="BL246" s="102"/>
      <c r="BM246" s="102"/>
      <c r="BN246" s="102"/>
      <c r="BO246" s="102"/>
      <c r="BP246" s="102"/>
      <c r="BQ246" s="102"/>
      <c r="BR246" s="102"/>
      <c r="BS246" s="102"/>
      <c r="BT246" s="634"/>
      <c r="BU246" s="102"/>
      <c r="BV246" s="139"/>
      <c r="BW246" s="780"/>
      <c r="BX246" s="139"/>
      <c r="BY246" s="139"/>
      <c r="BZ246" s="139"/>
      <c r="CA246" s="781"/>
      <c r="CB246" s="2258"/>
      <c r="CC246" s="782"/>
      <c r="CD246" s="782"/>
      <c r="CE246" s="634"/>
      <c r="CF246" s="783"/>
      <c r="CG246" s="634"/>
      <c r="CH246" s="783"/>
      <c r="CI246" s="634"/>
      <c r="CJ246" s="139"/>
      <c r="CK246" s="634"/>
      <c r="CL246" s="139"/>
      <c r="CM246" s="634"/>
      <c r="CN246" s="784"/>
      <c r="CO246" s="784"/>
      <c r="CP246" s="784"/>
      <c r="CQ246" s="634"/>
      <c r="CR246" s="102"/>
      <c r="CS246" s="784"/>
      <c r="CT246" s="784"/>
      <c r="CU246" s="784"/>
      <c r="CV246" s="784"/>
      <c r="CW246" s="634"/>
      <c r="CX246" s="102"/>
      <c r="CY246" s="784"/>
      <c r="CZ246" s="784"/>
      <c r="DA246" s="784"/>
      <c r="DB246" s="784"/>
      <c r="DC246" s="784"/>
      <c r="DD246" s="784"/>
      <c r="DE246" s="634"/>
      <c r="DF246" s="784"/>
      <c r="DG246" s="634"/>
      <c r="DH246" s="296"/>
      <c r="DI246" s="802"/>
      <c r="DJ246" s="785"/>
      <c r="DK246" s="899"/>
      <c r="DL246" s="772"/>
      <c r="DM246" s="787"/>
      <c r="DN246" s="787"/>
      <c r="DO246" s="787"/>
      <c r="DP246" s="787"/>
      <c r="DQ246" s="787"/>
      <c r="DR246" s="787"/>
      <c r="DS246" s="787"/>
      <c r="DT246" s="787"/>
      <c r="DU246" s="787"/>
      <c r="DV246" s="787"/>
      <c r="DW246" s="802"/>
      <c r="DX246" s="788"/>
      <c r="DY246" s="634"/>
      <c r="DZ246" s="2288"/>
      <c r="EA246" s="2231"/>
      <c r="EB246" s="187"/>
      <c r="EC246" s="2232"/>
      <c r="ED246" s="187"/>
      <c r="EE246" s="187"/>
      <c r="EF246" s="2232"/>
      <c r="EG246" s="187"/>
      <c r="EH246" s="2232"/>
      <c r="EI246" s="195"/>
      <c r="EJ246" s="2232"/>
      <c r="EK246" s="245"/>
      <c r="EL246" s="2232"/>
      <c r="EM246" s="195"/>
      <c r="EN246" s="2232"/>
      <c r="EO246" s="195"/>
      <c r="EP246" s="2232"/>
      <c r="EQ246" s="187"/>
      <c r="ER246" s="2232"/>
      <c r="ES246" s="187"/>
      <c r="ET246" s="2232"/>
      <c r="EU246" s="187">
        <f t="shared" si="125"/>
        <v>0</v>
      </c>
      <c r="EV246" s="2232"/>
      <c r="EW246" s="187"/>
      <c r="EX246" s="2232"/>
      <c r="EY246" s="195"/>
      <c r="EZ246" s="2232"/>
      <c r="FA246" s="195"/>
      <c r="FB246" s="2232"/>
      <c r="FC246" s="195"/>
      <c r="FD246" s="2232"/>
      <c r="FE246" s="195"/>
      <c r="FF246" s="2232"/>
      <c r="FG246" s="195"/>
      <c r="FH246" s="2232"/>
      <c r="FI246" s="195"/>
      <c r="FJ246" s="2232"/>
      <c r="FK246" s="195"/>
      <c r="FL246" s="2232"/>
      <c r="FM246" s="187"/>
      <c r="FN246" s="2232"/>
      <c r="FO246" s="187"/>
      <c r="FP246" s="2232"/>
      <c r="FQ246" s="187"/>
      <c r="FR246" s="195"/>
      <c r="FS246" s="195"/>
      <c r="FT246" s="789"/>
      <c r="FU246" s="789"/>
      <c r="FV246" s="789"/>
      <c r="FW246" s="789"/>
      <c r="FX246" s="789"/>
      <c r="FY246" s="801">
        <f t="shared" si="132"/>
        <v>0</v>
      </c>
      <c r="FZ246" s="789"/>
      <c r="GA246" s="789"/>
      <c r="GB246" s="2286"/>
      <c r="GC246" s="776"/>
      <c r="GD246" s="139"/>
      <c r="GE246" s="139"/>
      <c r="GF246" s="139"/>
      <c r="GG246" s="139"/>
      <c r="GH246" s="139"/>
      <c r="GI246" s="139"/>
      <c r="GJ246" s="139"/>
      <c r="GK246" s="139"/>
      <c r="GL246" s="139"/>
      <c r="GM246" s="139"/>
      <c r="GN246" s="139"/>
      <c r="GO246" s="139"/>
      <c r="GP246" s="139"/>
      <c r="GQ246" s="139"/>
      <c r="GR246" s="139"/>
      <c r="GS246" s="139"/>
      <c r="GT246" s="139"/>
      <c r="GU246" s="139"/>
      <c r="GV246" s="139"/>
    </row>
    <row r="247" spans="1:204" s="81" customFormat="1" ht="15" customHeight="1">
      <c r="A247" s="2588"/>
      <c r="B247" s="2588">
        <v>92</v>
      </c>
      <c r="C247" s="911" t="s">
        <v>703</v>
      </c>
      <c r="D247" s="115">
        <v>2506</v>
      </c>
      <c r="E247" s="115">
        <v>54</v>
      </c>
      <c r="F247" s="763">
        <v>2025060054</v>
      </c>
      <c r="G247" s="115">
        <v>10350</v>
      </c>
      <c r="H247" s="118" t="s">
        <v>704</v>
      </c>
      <c r="I247" s="119"/>
      <c r="J247" s="115">
        <v>0.86</v>
      </c>
      <c r="K247" s="115">
        <v>0</v>
      </c>
      <c r="L247" s="115">
        <v>2</v>
      </c>
      <c r="M247" s="115">
        <v>6.5</v>
      </c>
      <c r="N247" s="117">
        <v>8930</v>
      </c>
      <c r="O247" s="117">
        <v>0</v>
      </c>
      <c r="P247" s="117">
        <v>0</v>
      </c>
      <c r="Q247" s="117">
        <v>8930</v>
      </c>
      <c r="R247" s="120">
        <v>0</v>
      </c>
      <c r="S247" s="764" t="s">
        <v>637</v>
      </c>
      <c r="T247" s="2600">
        <f>SUM(U247:U248)</f>
        <v>0</v>
      </c>
      <c r="U247" s="122">
        <v>0</v>
      </c>
      <c r="V247" s="2600">
        <f>SUM(W247:W248)</f>
        <v>36186</v>
      </c>
      <c r="W247" s="122">
        <f>Q247</f>
        <v>8930</v>
      </c>
      <c r="X247" s="122"/>
      <c r="Y247" s="122">
        <f>W247-AA247</f>
        <v>8930</v>
      </c>
      <c r="Z247" s="2600">
        <f>SUM(AA247:AA248)</f>
        <v>2725.6000000000004</v>
      </c>
      <c r="AA247" s="122">
        <v>0</v>
      </c>
      <c r="AB247" s="2600">
        <f>SUM(AC247:AC248)</f>
        <v>11655.6</v>
      </c>
      <c r="AC247" s="122">
        <f>W247</f>
        <v>8930</v>
      </c>
      <c r="AD247" s="2600">
        <f>SUM(AE247:AE248)</f>
        <v>0</v>
      </c>
      <c r="AE247" s="122">
        <v>0</v>
      </c>
      <c r="AF247" s="122">
        <v>0</v>
      </c>
      <c r="AG247" s="122">
        <v>0</v>
      </c>
      <c r="AH247" s="122">
        <v>0</v>
      </c>
      <c r="AI247" s="2600">
        <f>SUM(AJ247:AJ248)</f>
        <v>0</v>
      </c>
      <c r="AJ247" s="122">
        <v>0</v>
      </c>
      <c r="AK247" s="2600">
        <f>SUM(AL247:AL248)</f>
        <v>8176.7999999999993</v>
      </c>
      <c r="AL247" s="122">
        <f>W247-(AA247+AC247+AE247+AH247+AJ247+AM247+AW247+AO247+AQ247+AS247+AU247)</f>
        <v>0</v>
      </c>
      <c r="AM247" s="765">
        <v>0</v>
      </c>
      <c r="AN247" s="2600">
        <f>SUM(AO247:AO248)</f>
        <v>0</v>
      </c>
      <c r="AO247" s="122">
        <v>0</v>
      </c>
      <c r="AP247" s="2600">
        <f>SUM(AQ247:AQ248)</f>
        <v>0</v>
      </c>
      <c r="AQ247" s="122">
        <v>0</v>
      </c>
      <c r="AR247" s="2600">
        <f>SUM(AS247:AS248)</f>
        <v>0</v>
      </c>
      <c r="AS247" s="122">
        <v>0</v>
      </c>
      <c r="AT247" s="2600">
        <f>SUM(AU247:AU248)</f>
        <v>0</v>
      </c>
      <c r="AU247" s="122">
        <v>0</v>
      </c>
      <c r="AV247" s="2600">
        <f>SUM(AW247:AW248)</f>
        <v>13628</v>
      </c>
      <c r="AW247" s="122">
        <f>AX247+AY247+AZ247+BA247+BB247</f>
        <v>0</v>
      </c>
      <c r="AX247" s="122">
        <v>0</v>
      </c>
      <c r="AY247" s="122">
        <v>0</v>
      </c>
      <c r="AZ247" s="122">
        <v>0</v>
      </c>
      <c r="BA247" s="122">
        <v>0</v>
      </c>
      <c r="BB247" s="122">
        <v>0</v>
      </c>
      <c r="BC247" s="122">
        <v>0</v>
      </c>
      <c r="BD247" s="2600">
        <f>SUM(BE247:BE248)</f>
        <v>36186</v>
      </c>
      <c r="BE247" s="122">
        <f>ROUND(U247+W247,0)</f>
        <v>8930</v>
      </c>
      <c r="BF247" s="2600">
        <f>SUM(BG247:BG248)</f>
        <v>0</v>
      </c>
      <c r="BG247" s="122">
        <f>ROUND(U247/'[1]Projected Development Sites'!DF$134,0)</f>
        <v>0</v>
      </c>
      <c r="BH247" s="2600">
        <f>SUM(BI247:BI248)</f>
        <v>0</v>
      </c>
      <c r="BI247" s="122">
        <f>'[1]Projected Development Sites'!BG$135*BG247</f>
        <v>0</v>
      </c>
      <c r="BJ247" s="122">
        <f t="shared" si="127"/>
        <v>0</v>
      </c>
      <c r="BK247" s="129">
        <f>ROUND((AL247+AC247+AA247)/1000*3,0)+ROUND((AE247+AU247)/1000,0)+ROUND((ROUND(AH247/400,0))/2.67,0)+ROUND(AJ247/250,0)+ROUND(AO247/15000,0)+ROUND((AX247+AY247+AZ247+BB247)/1000*3,0)+ROUND(BG247/25,0)+ROUND(BU247/50,0)</f>
        <v>27</v>
      </c>
      <c r="BL247" s="122">
        <v>0</v>
      </c>
      <c r="BM247" s="122">
        <v>0</v>
      </c>
      <c r="BN247" s="122">
        <f>W247/1000</f>
        <v>8.93</v>
      </c>
      <c r="BO247" s="122">
        <f>AC247/1000</f>
        <v>8.93</v>
      </c>
      <c r="BP247" s="122">
        <f>((AH247/400)/12)</f>
        <v>0</v>
      </c>
      <c r="BQ247" s="122">
        <f>IFERROR(VLOOKUP(F247,#REF!,3,FALSE),0)</f>
        <v>0</v>
      </c>
      <c r="BR247" s="122">
        <v>0</v>
      </c>
      <c r="BS247" s="122">
        <f>IF(BB247&gt;0,"Calculate",0)</f>
        <v>0</v>
      </c>
      <c r="BT247" s="2600">
        <f>SUM(BU247:BU248)</f>
        <v>17.86</v>
      </c>
      <c r="BU247" s="122">
        <f>SUM(BL247:BS247)</f>
        <v>17.86</v>
      </c>
      <c r="BV247" s="127">
        <v>10</v>
      </c>
      <c r="BW247" s="766" t="s">
        <v>758</v>
      </c>
      <c r="BX247" s="127">
        <v>8.5</v>
      </c>
      <c r="BY247" s="127">
        <v>2</v>
      </c>
      <c r="BZ247" s="127">
        <v>7.5</v>
      </c>
      <c r="CA247" s="767" t="s">
        <v>706</v>
      </c>
      <c r="CB247" s="2745" t="s">
        <v>910</v>
      </c>
      <c r="CC247" s="768">
        <f>(BX247*G247)+CL247</f>
        <v>96772.5</v>
      </c>
      <c r="CD247" s="2731">
        <f>SUM(CC247:CC248)</f>
        <v>226437.5</v>
      </c>
      <c r="CE247" s="2600">
        <f>SUM(CF247:CF248)</f>
        <v>22425.5</v>
      </c>
      <c r="CF247" s="769">
        <f>1*(G247)-(0.15*1*(G247))</f>
        <v>8797.5</v>
      </c>
      <c r="CG247" s="2600">
        <f>SUM(CH247:CH248)</f>
        <v>22425.5</v>
      </c>
      <c r="CH247" s="769">
        <f>CF247-CJ247</f>
        <v>8797.5</v>
      </c>
      <c r="CI247" s="2600">
        <f>SUM(CJ247:CJ248)</f>
        <v>0</v>
      </c>
      <c r="CJ247" s="127">
        <v>0</v>
      </c>
      <c r="CK247" s="2600">
        <f>SUM(CL247:CL248)</f>
        <v>8797.5</v>
      </c>
      <c r="CL247" s="1015">
        <f>CF247</f>
        <v>8797.5</v>
      </c>
      <c r="CM247" s="2600">
        <f>SUM(CN247:CN248)</f>
        <v>0</v>
      </c>
      <c r="CN247" s="122">
        <f>CF247-(CJ247+CL247+CO247+CP247+CR247+CU247+CV247+CX247)</f>
        <v>0</v>
      </c>
      <c r="CO247" s="770">
        <v>0</v>
      </c>
      <c r="CP247" s="770">
        <v>0</v>
      </c>
      <c r="CQ247" s="2600">
        <f>SUM(CR247:CR248)</f>
        <v>0</v>
      </c>
      <c r="CR247" s="122">
        <v>0</v>
      </c>
      <c r="CS247" s="770">
        <v>0</v>
      </c>
      <c r="CT247" s="770">
        <v>0</v>
      </c>
      <c r="CU247" s="770">
        <v>0</v>
      </c>
      <c r="CV247" s="770">
        <v>0</v>
      </c>
      <c r="CW247" s="2600">
        <f>SUM(CX247:CX248)</f>
        <v>13628</v>
      </c>
      <c r="CX247" s="122">
        <f>SUM(CY247:DC247)</f>
        <v>0</v>
      </c>
      <c r="CY247" s="770">
        <v>0</v>
      </c>
      <c r="CZ247" s="770">
        <v>0</v>
      </c>
      <c r="DA247" s="770">
        <v>0</v>
      </c>
      <c r="DB247" s="770">
        <v>0</v>
      </c>
      <c r="DC247" s="770">
        <v>0</v>
      </c>
      <c r="DD247" s="770"/>
      <c r="DE247" s="2600">
        <f>SUM(DF247:DF248)</f>
        <v>248863</v>
      </c>
      <c r="DF247" s="122">
        <f>ROUND(CC247+CF247,0)</f>
        <v>105570</v>
      </c>
      <c r="DG247" s="2600">
        <f>SUM(DH247:DH248)</f>
        <v>226.66499999999999</v>
      </c>
      <c r="DH247" s="127">
        <f>ROUND(CC247/'[1]Projected Development Sites'!DF$134,0)</f>
        <v>97</v>
      </c>
      <c r="DI247" s="2722">
        <f>SUM(DJ247:DJ248)</f>
        <v>226.66499999999999</v>
      </c>
      <c r="DJ247" s="773">
        <f>'[1]Projected Development Sites'!DK$136*DH247</f>
        <v>97</v>
      </c>
      <c r="DK247" s="765">
        <f>2.87*DH247</f>
        <v>278.39</v>
      </c>
      <c r="DL247" s="772">
        <f>ROUND((CN247+CL247+CJ247)/1000*3,0)+ROUND((ROUND(CP247/400,0))/2.67,0)+ROUND(CV247/1000,0)+ROUND((CY247+CZ247+DA247+DC247)/1000*3,0)+ROUND(DH247/25,0)+ROUND(DX247/50,0)</f>
        <v>30</v>
      </c>
      <c r="DM247" s="773">
        <v>0</v>
      </c>
      <c r="DN247" s="773"/>
      <c r="DO247" s="773">
        <v>0</v>
      </c>
      <c r="DP247" s="773">
        <f>0.25*DJ247</f>
        <v>24.25</v>
      </c>
      <c r="DQ247" s="773">
        <f>SUM(CO247,CJ247,CN247,CR247,CU247)/1000</f>
        <v>0</v>
      </c>
      <c r="DR247" s="773">
        <v>0</v>
      </c>
      <c r="DS247" s="773">
        <f>((CP247/400)/12)</f>
        <v>0</v>
      </c>
      <c r="DT247" s="773">
        <f>IF(CX247&gt;0,"Calculate",0)</f>
        <v>0</v>
      </c>
      <c r="DU247" s="773">
        <v>0</v>
      </c>
      <c r="DV247" s="773">
        <f>CX247/1000</f>
        <v>0</v>
      </c>
      <c r="DW247" s="2722">
        <f>SUM(DX247:DX248)</f>
        <v>13.628</v>
      </c>
      <c r="DX247" s="1016">
        <f>SUM(DM247,DO247,DQ247:DV247)</f>
        <v>0</v>
      </c>
      <c r="DY247" s="2725">
        <v>175</v>
      </c>
      <c r="DZ247" s="2728">
        <f>CD247-T247</f>
        <v>226437.5</v>
      </c>
      <c r="EA247" s="2602">
        <f>CE247-V247</f>
        <v>-13760.5</v>
      </c>
      <c r="EB247" s="187">
        <f>CF247-W247</f>
        <v>-132.5</v>
      </c>
      <c r="EC247" s="2602">
        <f>SUM(ED247:ED248)</f>
        <v>-13760.5</v>
      </c>
      <c r="ED247" s="187">
        <v>-132.5</v>
      </c>
      <c r="EE247" s="187">
        <f>(SUM(CJ247:CO247))-(SUM(AA247:AE247,AL247))</f>
        <v>-2990.5999999999985</v>
      </c>
      <c r="EF247" s="2602">
        <f>SUM(EG247:EG248)</f>
        <v>-8176.7999999999993</v>
      </c>
      <c r="EG247" s="187">
        <v>0</v>
      </c>
      <c r="EH247" s="2602">
        <f>SUM(EI247:EI248)</f>
        <v>-2858.1000000000004</v>
      </c>
      <c r="EI247" s="187">
        <f>CL247-AC247</f>
        <v>-132.5</v>
      </c>
      <c r="EJ247" s="2602">
        <f>SUM(EK247:EK248)</f>
        <v>-2725.6000000000004</v>
      </c>
      <c r="EK247" s="187">
        <f>CJ247-AA247</f>
        <v>0</v>
      </c>
      <c r="EL247" s="2602">
        <f>SUM(EM247:EM248)</f>
        <v>0</v>
      </c>
      <c r="EM247" s="187">
        <f>CO247-AE247</f>
        <v>0</v>
      </c>
      <c r="EN247" s="2602">
        <f>SUM(EO247:EO248)</f>
        <v>0</v>
      </c>
      <c r="EO247" s="187">
        <f>CP247-AH247</f>
        <v>0</v>
      </c>
      <c r="EP247" s="2602">
        <f>SUM(EQ247:EQ248)</f>
        <v>0</v>
      </c>
      <c r="EQ247" s="187">
        <f>CR247-AJ247</f>
        <v>0</v>
      </c>
      <c r="ER247" s="2602">
        <f>SUM(ES247:ES248)</f>
        <v>0</v>
      </c>
      <c r="ES247" s="187">
        <f>CS247-AO247</f>
        <v>0</v>
      </c>
      <c r="ET247" s="2602">
        <f>SUM(EU247:EU248)</f>
        <v>0</v>
      </c>
      <c r="EU247" s="187">
        <f t="shared" si="125"/>
        <v>0</v>
      </c>
      <c r="EV247" s="2602">
        <f>SUM(EW247:EW248)</f>
        <v>0</v>
      </c>
      <c r="EW247" s="187">
        <f>CU247-AS247</f>
        <v>0</v>
      </c>
      <c r="EX247" s="2602">
        <f>SUM(EY247:EY248)</f>
        <v>0</v>
      </c>
      <c r="EY247" s="187">
        <f>CV247-AU247</f>
        <v>0</v>
      </c>
      <c r="EZ247" s="2602">
        <f>SUM(FA247:FA248)</f>
        <v>0</v>
      </c>
      <c r="FA247" s="187">
        <f>CY247-AX247</f>
        <v>0</v>
      </c>
      <c r="FB247" s="2602">
        <f>SUM(FC247:FC248)</f>
        <v>0</v>
      </c>
      <c r="FC247" s="187">
        <f>CZ247-AY247</f>
        <v>0</v>
      </c>
      <c r="FD247" s="2602">
        <f>SUM(FE247:FE248)</f>
        <v>0</v>
      </c>
      <c r="FE247" s="187">
        <f>DA247-AZ247</f>
        <v>0</v>
      </c>
      <c r="FF247" s="2602">
        <f>SUM(FG247:FG248)</f>
        <v>0</v>
      </c>
      <c r="FG247" s="187">
        <f>DB247-BA247</f>
        <v>0</v>
      </c>
      <c r="FH247" s="2602">
        <f>SUM(FI247:FI248)</f>
        <v>0</v>
      </c>
      <c r="FI247" s="187">
        <f>DC247-BB247</f>
        <v>0</v>
      </c>
      <c r="FJ247" s="2602">
        <f>SUM(FK247:FK248)</f>
        <v>0</v>
      </c>
      <c r="FK247" s="187">
        <f>CX247-AW247</f>
        <v>0</v>
      </c>
      <c r="FL247" s="2602">
        <f>SUM(FM247:FM248)</f>
        <v>212677</v>
      </c>
      <c r="FM247" s="187">
        <f>DF247-BE247</f>
        <v>96640</v>
      </c>
      <c r="FN247" s="2602">
        <f>SUM(FO247:FO248)</f>
        <v>226.66499999999999</v>
      </c>
      <c r="FO247" s="187">
        <f>DH247-BG247</f>
        <v>97</v>
      </c>
      <c r="FP247" s="2602">
        <f>SUM(FQ247:FQ248)</f>
        <v>226.66499999999999</v>
      </c>
      <c r="FQ247" s="187">
        <f t="shared" ref="FQ247:FT248" si="141">DJ247-BI247</f>
        <v>97</v>
      </c>
      <c r="FR247" s="187">
        <f t="shared" si="141"/>
        <v>278.39</v>
      </c>
      <c r="FS247" s="187">
        <f t="shared" si="141"/>
        <v>3</v>
      </c>
      <c r="FT247" s="775">
        <f t="shared" si="141"/>
        <v>0</v>
      </c>
      <c r="FU247" s="775">
        <f>DR247-BO247</f>
        <v>-8.93</v>
      </c>
      <c r="FV247" s="775"/>
      <c r="FW247" s="775">
        <f>DQ247-BN247</f>
        <v>-8.93</v>
      </c>
      <c r="FX247" s="775">
        <f>DS247-BP247</f>
        <v>0</v>
      </c>
      <c r="FY247" s="789">
        <f t="shared" si="132"/>
        <v>0</v>
      </c>
      <c r="FZ247" s="775">
        <f>DU247-BR247</f>
        <v>0</v>
      </c>
      <c r="GA247" s="775">
        <f>DV247-BS247</f>
        <v>0</v>
      </c>
      <c r="GB247" s="2734">
        <f>SUM(GC247:GC248)</f>
        <v>-4.2319999999999993</v>
      </c>
      <c r="GC247" s="776">
        <f t="shared" si="126"/>
        <v>-17.86</v>
      </c>
      <c r="GD247" s="139"/>
      <c r="GE247" s="139"/>
      <c r="GF247" s="139"/>
      <c r="GG247" s="139"/>
      <c r="GH247" s="139"/>
      <c r="GI247" s="139"/>
      <c r="GJ247" s="139"/>
      <c r="GK247" s="139"/>
      <c r="GL247" s="139"/>
      <c r="GM247" s="139"/>
      <c r="GN247" s="139"/>
      <c r="GO247" s="139"/>
      <c r="GP247" s="139"/>
      <c r="GQ247" s="139"/>
      <c r="GR247" s="139"/>
      <c r="GS247" s="139"/>
      <c r="GT247" s="139"/>
      <c r="GU247" s="127"/>
      <c r="GV247" s="127"/>
    </row>
    <row r="248" spans="1:204" s="139" customFormat="1">
      <c r="A248" s="2589"/>
      <c r="B248" s="2589"/>
      <c r="C248" s="66" t="s">
        <v>703</v>
      </c>
      <c r="D248" s="66">
        <v>2506</v>
      </c>
      <c r="E248" s="66">
        <v>44</v>
      </c>
      <c r="F248" s="841">
        <v>2025060044</v>
      </c>
      <c r="G248" s="66">
        <v>16858</v>
      </c>
      <c r="H248" s="69" t="s">
        <v>704</v>
      </c>
      <c r="I248" s="70"/>
      <c r="J248" s="66">
        <v>1.62</v>
      </c>
      <c r="K248" s="66">
        <v>0</v>
      </c>
      <c r="L248" s="66">
        <v>2</v>
      </c>
      <c r="M248" s="66">
        <v>6.5</v>
      </c>
      <c r="N248" s="68">
        <v>27256</v>
      </c>
      <c r="O248" s="68">
        <v>0</v>
      </c>
      <c r="P248" s="68">
        <v>0</v>
      </c>
      <c r="Q248" s="68">
        <v>27256</v>
      </c>
      <c r="R248" s="71">
        <v>0</v>
      </c>
      <c r="S248" s="791" t="s">
        <v>856</v>
      </c>
      <c r="T248" s="2601"/>
      <c r="U248" s="74">
        <v>0</v>
      </c>
      <c r="V248" s="2601"/>
      <c r="W248" s="74">
        <f>N248</f>
        <v>27256</v>
      </c>
      <c r="X248" s="74"/>
      <c r="Y248" s="74">
        <f>W248-AA248</f>
        <v>24530.400000000001</v>
      </c>
      <c r="Z248" s="2601"/>
      <c r="AA248" s="74">
        <f>0.1*W248</f>
        <v>2725.6000000000004</v>
      </c>
      <c r="AB248" s="2601"/>
      <c r="AC248" s="74">
        <f>0.1*W248</f>
        <v>2725.6000000000004</v>
      </c>
      <c r="AD248" s="2601"/>
      <c r="AE248" s="74">
        <f>AG248+AF248</f>
        <v>0</v>
      </c>
      <c r="AF248" s="74">
        <v>0</v>
      </c>
      <c r="AG248" s="74">
        <v>0</v>
      </c>
      <c r="AH248" s="74">
        <v>0</v>
      </c>
      <c r="AI248" s="2601"/>
      <c r="AJ248" s="74">
        <v>0</v>
      </c>
      <c r="AK248" s="2601"/>
      <c r="AL248" s="74">
        <f>W248-(AA248+AC248+AE248+AH248+AJ248+AM248+AW248+AO248+AQ248+AS248+AU248)</f>
        <v>8176.7999999999993</v>
      </c>
      <c r="AM248" s="792">
        <v>0</v>
      </c>
      <c r="AN248" s="2601"/>
      <c r="AO248" s="74">
        <v>0</v>
      </c>
      <c r="AP248" s="2601"/>
      <c r="AQ248" s="74">
        <v>0</v>
      </c>
      <c r="AR248" s="2601"/>
      <c r="AS248" s="74">
        <v>0</v>
      </c>
      <c r="AT248" s="2601"/>
      <c r="AU248" s="74">
        <v>0</v>
      </c>
      <c r="AV248" s="2601"/>
      <c r="AW248" s="74">
        <f>AX248+AY248+AZ248+BA248+BB248+BC248</f>
        <v>13628</v>
      </c>
      <c r="AX248" s="74">
        <v>0</v>
      </c>
      <c r="AY248" s="74">
        <v>0</v>
      </c>
      <c r="AZ248" s="74">
        <v>0</v>
      </c>
      <c r="BA248" s="74">
        <v>0</v>
      </c>
      <c r="BB248" s="74">
        <f>0.5*W248</f>
        <v>13628</v>
      </c>
      <c r="BC248" s="74">
        <v>0</v>
      </c>
      <c r="BD248" s="2601"/>
      <c r="BE248" s="74">
        <f>U248+W248</f>
        <v>27256</v>
      </c>
      <c r="BF248" s="2601"/>
      <c r="BG248" s="74">
        <f>U248/1000</f>
        <v>0</v>
      </c>
      <c r="BH248" s="2601"/>
      <c r="BI248" s="74">
        <f>'[1]Projected Development Sites'!BG$135*BG248</f>
        <v>0</v>
      </c>
      <c r="BJ248" s="74">
        <f t="shared" si="127"/>
        <v>0</v>
      </c>
      <c r="BK248" s="88">
        <f>ROUND((Y248+AC248+AA248)/1000*3,0)+ROUND((AE248+AU248)/1000,0)+ROUND((ROUND(AH248/400,0))/2.67,0)+ROUND(AM248/250,0)+ROUND(AO248/15000,0)+ROUND((AX248+AY248+AZ248+BB248)/1000*3,0)+ROUND(BG248/25,0)+ROUND(BU325/50,0)</f>
        <v>131</v>
      </c>
      <c r="BL248" s="74">
        <v>0</v>
      </c>
      <c r="BM248" s="74">
        <v>0</v>
      </c>
      <c r="BN248" s="74">
        <v>0</v>
      </c>
      <c r="BO248" s="74">
        <v>0</v>
      </c>
      <c r="BP248" s="74">
        <f>AH248/1000</f>
        <v>0</v>
      </c>
      <c r="BQ248" s="74">
        <v>0</v>
      </c>
      <c r="BR248" s="74">
        <v>0</v>
      </c>
      <c r="BS248" s="74">
        <v>0</v>
      </c>
      <c r="BT248" s="2601"/>
      <c r="BU248" s="74">
        <f>SUM(BL248:BS248)</f>
        <v>0</v>
      </c>
      <c r="BV248" s="81">
        <v>25</v>
      </c>
      <c r="BW248" s="793" t="s">
        <v>758</v>
      </c>
      <c r="BX248" s="81">
        <v>8.5</v>
      </c>
      <c r="BY248" s="81"/>
      <c r="BZ248" s="81"/>
      <c r="CA248" s="794" t="s">
        <v>706</v>
      </c>
      <c r="CB248" s="2747"/>
      <c r="CC248" s="795">
        <f>(BX248*G248)-CF248</f>
        <v>129665</v>
      </c>
      <c r="CD248" s="2733"/>
      <c r="CE248" s="2601"/>
      <c r="CF248" s="843">
        <f>CX248</f>
        <v>13628</v>
      </c>
      <c r="CG248" s="2601"/>
      <c r="CH248" s="843">
        <f>CF248-CJ248</f>
        <v>13628</v>
      </c>
      <c r="CI248" s="2601"/>
      <c r="CJ248" s="81">
        <v>0</v>
      </c>
      <c r="CK248" s="2601"/>
      <c r="CL248" s="81">
        <v>0</v>
      </c>
      <c r="CM248" s="2601"/>
      <c r="CN248" s="74">
        <f>CF248-(CJ248+CL248+CO248+CP248+CR248+CU248+CV248+CX248)</f>
        <v>0</v>
      </c>
      <c r="CO248" s="797">
        <v>0</v>
      </c>
      <c r="CP248" s="797">
        <v>0</v>
      </c>
      <c r="CQ248" s="2601"/>
      <c r="CR248" s="74">
        <v>0</v>
      </c>
      <c r="CS248" s="797">
        <v>0</v>
      </c>
      <c r="CT248" s="797">
        <v>0</v>
      </c>
      <c r="CU248" s="797">
        <v>0</v>
      </c>
      <c r="CV248" s="797">
        <v>0</v>
      </c>
      <c r="CW248" s="2601"/>
      <c r="CX248" s="74">
        <f>SUM(CY248:DC248)</f>
        <v>13628</v>
      </c>
      <c r="CY248" s="797">
        <f>AX248</f>
        <v>0</v>
      </c>
      <c r="CZ248" s="797">
        <f>AY248</f>
        <v>0</v>
      </c>
      <c r="DA248" s="797">
        <f>AZ248</f>
        <v>0</v>
      </c>
      <c r="DB248" s="797">
        <f>BA248</f>
        <v>0</v>
      </c>
      <c r="DC248" s="797">
        <f>BB248</f>
        <v>13628</v>
      </c>
      <c r="DD248" s="797"/>
      <c r="DE248" s="2601"/>
      <c r="DF248" s="74">
        <f>CC248+CF248</f>
        <v>143293</v>
      </c>
      <c r="DG248" s="2601"/>
      <c r="DH248" s="303">
        <f>CC248/'[1]Projected Development Sites'!DF$134</f>
        <v>129.66499999999999</v>
      </c>
      <c r="DI248" s="2724"/>
      <c r="DJ248" s="798">
        <f>'[1]Projected Development Sites'!DK$136*DH248</f>
        <v>129.66499999999999</v>
      </c>
      <c r="DK248" s="792">
        <f>2.87*DH248</f>
        <v>372.13855000000001</v>
      </c>
      <c r="DL248" s="917">
        <f>ROUND((CN248+CL248+CJ248)/1000*3,0)+ROUND((ROUND(CP248/400,0))/2.67,0)+ROUND(CV248/1000,0)+ROUND((CY248+CZ248+DA248+DC248)/1000*3,0)+ROUND(DH248/25,0)+ROUND(DX248/50,0)</f>
        <v>46</v>
      </c>
      <c r="DM248" s="799">
        <v>0</v>
      </c>
      <c r="DN248" s="799"/>
      <c r="DO248" s="799">
        <v>0</v>
      </c>
      <c r="DP248" s="799">
        <f>0.25*DJ248</f>
        <v>32.416249999999998</v>
      </c>
      <c r="DQ248" s="799">
        <f>SUM(CO248,CJ248,CN248,CR248,CU248)/1000</f>
        <v>0</v>
      </c>
      <c r="DR248" s="799">
        <f>CL248/1000</f>
        <v>0</v>
      </c>
      <c r="DS248" s="799">
        <f>((CP248/400)/12)</f>
        <v>0</v>
      </c>
      <c r="DT248" s="799">
        <v>0</v>
      </c>
      <c r="DU248" s="799">
        <v>0</v>
      </c>
      <c r="DV248" s="799">
        <f>CX248/1000</f>
        <v>13.628</v>
      </c>
      <c r="DW248" s="2724"/>
      <c r="DX248" s="800">
        <f>SUM(DM248,DO248,DQ248:DV248)</f>
        <v>13.628</v>
      </c>
      <c r="DY248" s="2727"/>
      <c r="DZ248" s="2730"/>
      <c r="EA248" s="2603"/>
      <c r="EB248" s="195">
        <f>CF248-W248</f>
        <v>-13628</v>
      </c>
      <c r="EC248" s="2603"/>
      <c r="ED248" s="190">
        <v>-13628</v>
      </c>
      <c r="EE248" s="195">
        <f>(SUM(CJ248:CO248))-(SUM(AA248:AE248,AL248))</f>
        <v>-13628</v>
      </c>
      <c r="EF248" s="2603"/>
      <c r="EG248" s="190">
        <v>-8176.7999999999993</v>
      </c>
      <c r="EH248" s="2603"/>
      <c r="EI248" s="195">
        <f>CL248-AC248</f>
        <v>-2725.6000000000004</v>
      </c>
      <c r="EJ248" s="2603"/>
      <c r="EK248" s="195">
        <f>CJ248-AA248</f>
        <v>-2725.6000000000004</v>
      </c>
      <c r="EL248" s="2603"/>
      <c r="EM248" s="190">
        <f>CO248-AE248</f>
        <v>0</v>
      </c>
      <c r="EN248" s="2603"/>
      <c r="EO248" s="190">
        <f>CP248-AH248</f>
        <v>0</v>
      </c>
      <c r="EP248" s="2603"/>
      <c r="EQ248" s="195">
        <f>CR248-AJ248</f>
        <v>0</v>
      </c>
      <c r="ER248" s="2603"/>
      <c r="ES248" s="195">
        <f>CS248-AO248</f>
        <v>0</v>
      </c>
      <c r="ET248" s="2603"/>
      <c r="EU248" s="190">
        <f t="shared" si="125"/>
        <v>0</v>
      </c>
      <c r="EV248" s="2603"/>
      <c r="EW248" s="195">
        <f>CU248-AS248</f>
        <v>0</v>
      </c>
      <c r="EX248" s="2603"/>
      <c r="EY248" s="190">
        <f>CV248-AU248</f>
        <v>0</v>
      </c>
      <c r="EZ248" s="2603"/>
      <c r="FA248" s="190">
        <f>CY248-AX248</f>
        <v>0</v>
      </c>
      <c r="FB248" s="2603"/>
      <c r="FC248" s="190">
        <f>CZ248-AY248</f>
        <v>0</v>
      </c>
      <c r="FD248" s="2603"/>
      <c r="FE248" s="190">
        <f>DA248-AZ248</f>
        <v>0</v>
      </c>
      <c r="FF248" s="2603"/>
      <c r="FG248" s="190">
        <f>DB248-BA248</f>
        <v>0</v>
      </c>
      <c r="FH248" s="2603"/>
      <c r="FI248" s="190">
        <f>DC248-BB248</f>
        <v>0</v>
      </c>
      <c r="FJ248" s="2603"/>
      <c r="FK248" s="190">
        <f>CX248-AW248</f>
        <v>0</v>
      </c>
      <c r="FL248" s="2603"/>
      <c r="FM248" s="195">
        <f>DF248-BE248</f>
        <v>116037</v>
      </c>
      <c r="FN248" s="2603"/>
      <c r="FO248" s="195">
        <f>DH248-BG248</f>
        <v>129.66499999999999</v>
      </c>
      <c r="FP248" s="2603"/>
      <c r="FQ248" s="195">
        <f t="shared" si="141"/>
        <v>129.66499999999999</v>
      </c>
      <c r="FR248" s="190">
        <f t="shared" si="141"/>
        <v>372.13855000000001</v>
      </c>
      <c r="FS248" s="190">
        <f t="shared" si="141"/>
        <v>-85</v>
      </c>
      <c r="FT248" s="801">
        <f t="shared" si="141"/>
        <v>0</v>
      </c>
      <c r="FU248" s="801">
        <f>DR248-BO248</f>
        <v>0</v>
      </c>
      <c r="FV248" s="801">
        <f>DO248-BM248</f>
        <v>0</v>
      </c>
      <c r="FW248" s="801">
        <f>DQ248-BN248</f>
        <v>0</v>
      </c>
      <c r="FX248" s="801">
        <f>DS248-BP248</f>
        <v>0</v>
      </c>
      <c r="FY248" s="801">
        <f t="shared" si="132"/>
        <v>0</v>
      </c>
      <c r="FZ248" s="801">
        <f>DU248-BR248</f>
        <v>0</v>
      </c>
      <c r="GA248" s="801">
        <f>DV248-BS248</f>
        <v>13.628</v>
      </c>
      <c r="GB248" s="2736"/>
      <c r="GC248" s="845">
        <f t="shared" si="126"/>
        <v>13.628</v>
      </c>
      <c r="GU248" s="81"/>
      <c r="GV248" s="81"/>
    </row>
    <row r="249" spans="1:204" s="228" customFormat="1" ht="18.75">
      <c r="A249" s="2263"/>
      <c r="B249" s="2263"/>
      <c r="C249" s="132"/>
      <c r="D249" s="132"/>
      <c r="E249" s="132"/>
      <c r="F249" s="777"/>
      <c r="G249" s="132"/>
      <c r="H249" s="135"/>
      <c r="I249" s="136"/>
      <c r="J249" s="132"/>
      <c r="K249" s="132"/>
      <c r="L249" s="132"/>
      <c r="M249" s="132"/>
      <c r="N249" s="134"/>
      <c r="O249" s="134"/>
      <c r="P249" s="134"/>
      <c r="Q249" s="134"/>
      <c r="R249" s="137"/>
      <c r="S249" s="778"/>
      <c r="T249" s="634"/>
      <c r="U249" s="102"/>
      <c r="V249" s="634"/>
      <c r="W249" s="102"/>
      <c r="X249" s="102"/>
      <c r="Y249" s="102"/>
      <c r="Z249" s="634"/>
      <c r="AA249" s="102"/>
      <c r="AB249" s="634"/>
      <c r="AC249" s="102"/>
      <c r="AD249" s="634"/>
      <c r="AE249" s="102"/>
      <c r="AF249" s="102"/>
      <c r="AG249" s="102"/>
      <c r="AH249" s="102"/>
      <c r="AI249" s="634"/>
      <c r="AJ249" s="102"/>
      <c r="AK249" s="634"/>
      <c r="AL249" s="102"/>
      <c r="AM249" s="779"/>
      <c r="AN249" s="634"/>
      <c r="AO249" s="102"/>
      <c r="AP249" s="634"/>
      <c r="AQ249" s="102"/>
      <c r="AR249" s="634"/>
      <c r="AS249" s="102"/>
      <c r="AT249" s="634"/>
      <c r="AU249" s="102"/>
      <c r="AV249" s="634"/>
      <c r="AW249" s="102"/>
      <c r="AX249" s="102"/>
      <c r="AY249" s="102"/>
      <c r="AZ249" s="102"/>
      <c r="BA249" s="102"/>
      <c r="BB249" s="102"/>
      <c r="BC249" s="102"/>
      <c r="BD249" s="634"/>
      <c r="BE249" s="102"/>
      <c r="BF249" s="634"/>
      <c r="BG249" s="102"/>
      <c r="BH249" s="634"/>
      <c r="BI249" s="102"/>
      <c r="BJ249" s="111"/>
      <c r="BK249" s="186"/>
      <c r="BL249" s="102"/>
      <c r="BM249" s="102"/>
      <c r="BN249" s="102"/>
      <c r="BO249" s="102"/>
      <c r="BP249" s="102"/>
      <c r="BQ249" s="102"/>
      <c r="BR249" s="102"/>
      <c r="BS249" s="102"/>
      <c r="BT249" s="634"/>
      <c r="BU249" s="102"/>
      <c r="BV249" s="139"/>
      <c r="BW249" s="780"/>
      <c r="BX249" s="139"/>
      <c r="BY249" s="139"/>
      <c r="BZ249" s="139"/>
      <c r="CA249" s="781"/>
      <c r="CB249" s="2258"/>
      <c r="CC249" s="782"/>
      <c r="CD249" s="782"/>
      <c r="CE249" s="634"/>
      <c r="CF249" s="783"/>
      <c r="CG249" s="634"/>
      <c r="CH249" s="783"/>
      <c r="CI249" s="634"/>
      <c r="CJ249" s="139"/>
      <c r="CK249" s="634"/>
      <c r="CL249" s="139"/>
      <c r="CM249" s="634"/>
      <c r="CN249" s="784"/>
      <c r="CO249" s="784"/>
      <c r="CP249" s="784"/>
      <c r="CQ249" s="634"/>
      <c r="CR249" s="102"/>
      <c r="CS249" s="784"/>
      <c r="CT249" s="784"/>
      <c r="CU249" s="784"/>
      <c r="CV249" s="784"/>
      <c r="CW249" s="634"/>
      <c r="CX249" s="784"/>
      <c r="CY249" s="784"/>
      <c r="CZ249" s="784"/>
      <c r="DA249" s="784"/>
      <c r="DB249" s="784"/>
      <c r="DC249" s="784"/>
      <c r="DD249" s="784"/>
      <c r="DE249" s="634"/>
      <c r="DF249" s="784"/>
      <c r="DG249" s="634"/>
      <c r="DH249" s="296"/>
      <c r="DI249" s="802"/>
      <c r="DJ249" s="785"/>
      <c r="DK249" s="899"/>
      <c r="DL249" s="786"/>
      <c r="DM249" s="787"/>
      <c r="DN249" s="787"/>
      <c r="DO249" s="787"/>
      <c r="DP249" s="787"/>
      <c r="DQ249" s="787"/>
      <c r="DR249" s="787"/>
      <c r="DS249" s="787"/>
      <c r="DT249" s="787"/>
      <c r="DU249" s="787"/>
      <c r="DV249" s="787"/>
      <c r="DW249" s="802"/>
      <c r="DX249" s="788"/>
      <c r="DY249" s="634"/>
      <c r="DZ249" s="2288"/>
      <c r="EA249" s="2231"/>
      <c r="EB249" s="187"/>
      <c r="EC249" s="2232"/>
      <c r="ED249" s="187"/>
      <c r="EE249" s="187"/>
      <c r="EF249" s="2232"/>
      <c r="EG249" s="187"/>
      <c r="EH249" s="2232"/>
      <c r="EI249" s="187"/>
      <c r="EJ249" s="2232"/>
      <c r="EK249" s="187"/>
      <c r="EL249" s="2232"/>
      <c r="EM249" s="195"/>
      <c r="EN249" s="2232"/>
      <c r="EO249" s="195"/>
      <c r="EP249" s="2232"/>
      <c r="EQ249" s="187"/>
      <c r="ER249" s="2232"/>
      <c r="ES249" s="187"/>
      <c r="ET249" s="2232"/>
      <c r="EU249" s="187">
        <f t="shared" si="125"/>
        <v>0</v>
      </c>
      <c r="EV249" s="2232"/>
      <c r="EW249" s="187"/>
      <c r="EX249" s="2232"/>
      <c r="EY249" s="195"/>
      <c r="EZ249" s="2232"/>
      <c r="FA249" s="195"/>
      <c r="FB249" s="2232"/>
      <c r="FC249" s="195"/>
      <c r="FD249" s="2232"/>
      <c r="FE249" s="195"/>
      <c r="FF249" s="2232"/>
      <c r="FG249" s="195"/>
      <c r="FH249" s="2232"/>
      <c r="FI249" s="195"/>
      <c r="FJ249" s="2232"/>
      <c r="FK249" s="195"/>
      <c r="FL249" s="2232"/>
      <c r="FM249" s="187"/>
      <c r="FN249" s="2232"/>
      <c r="FO249" s="187"/>
      <c r="FP249" s="2232"/>
      <c r="FQ249" s="187"/>
      <c r="FR249" s="195"/>
      <c r="FS249" s="195"/>
      <c r="FT249" s="789"/>
      <c r="FU249" s="789"/>
      <c r="FV249" s="789"/>
      <c r="FW249" s="789"/>
      <c r="FX249" s="789"/>
      <c r="FY249" s="801">
        <f t="shared" si="132"/>
        <v>0</v>
      </c>
      <c r="FZ249" s="789"/>
      <c r="GA249" s="789"/>
      <c r="GB249" s="2289"/>
      <c r="GC249" s="776"/>
      <c r="GD249" s="139"/>
      <c r="GE249" s="139"/>
      <c r="GF249" s="139"/>
      <c r="GG249" s="139"/>
      <c r="GH249" s="139"/>
      <c r="GI249" s="139"/>
      <c r="GJ249" s="139"/>
      <c r="GK249" s="139"/>
      <c r="GL249" s="139"/>
      <c r="GM249" s="139"/>
      <c r="GN249" s="139"/>
      <c r="GO249" s="139"/>
      <c r="GP249" s="139"/>
      <c r="GQ249" s="139"/>
      <c r="GR249" s="139"/>
      <c r="GS249" s="139"/>
      <c r="GT249" s="139"/>
      <c r="GU249" s="139"/>
      <c r="GV249" s="139"/>
    </row>
    <row r="250" spans="1:204" s="139" customFormat="1" ht="18.75">
      <c r="A250" s="216"/>
      <c r="B250" s="216">
        <v>93</v>
      </c>
      <c r="C250" s="218" t="s">
        <v>703</v>
      </c>
      <c r="D250" s="218">
        <v>2506</v>
      </c>
      <c r="E250" s="218">
        <v>62</v>
      </c>
      <c r="F250" s="897">
        <v>2025060062</v>
      </c>
      <c r="G250" s="218">
        <v>25375</v>
      </c>
      <c r="H250" s="221" t="s">
        <v>704</v>
      </c>
      <c r="I250" s="222" t="s">
        <v>706</v>
      </c>
      <c r="J250" s="218">
        <v>0.5</v>
      </c>
      <c r="K250" s="218">
        <v>0</v>
      </c>
      <c r="L250" s="218">
        <v>2</v>
      </c>
      <c r="M250" s="218">
        <v>6.5</v>
      </c>
      <c r="N250" s="220">
        <v>12765</v>
      </c>
      <c r="O250" s="220">
        <v>0</v>
      </c>
      <c r="P250" s="220">
        <v>0</v>
      </c>
      <c r="Q250" s="220">
        <v>12765</v>
      </c>
      <c r="R250" s="223">
        <v>0</v>
      </c>
      <c r="S250" s="898" t="s">
        <v>876</v>
      </c>
      <c r="T250" s="234">
        <f>U250</f>
        <v>0</v>
      </c>
      <c r="U250" s="111">
        <v>0</v>
      </c>
      <c r="V250" s="234">
        <f>W250</f>
        <v>12765</v>
      </c>
      <c r="W250" s="111">
        <f>N250</f>
        <v>12765</v>
      </c>
      <c r="X250" s="111"/>
      <c r="Y250" s="111">
        <f>W250-AA250</f>
        <v>12765</v>
      </c>
      <c r="Z250" s="234">
        <f>AA250</f>
        <v>0</v>
      </c>
      <c r="AA250" s="111">
        <v>0</v>
      </c>
      <c r="AB250" s="234">
        <f>AC250</f>
        <v>0</v>
      </c>
      <c r="AC250" s="111">
        <v>0</v>
      </c>
      <c r="AD250" s="234">
        <f>AE250</f>
        <v>0</v>
      </c>
      <c r="AE250" s="111">
        <f>AG250+AF250</f>
        <v>0</v>
      </c>
      <c r="AF250" s="111">
        <v>0</v>
      </c>
      <c r="AG250" s="111">
        <v>0</v>
      </c>
      <c r="AH250" s="111">
        <v>0</v>
      </c>
      <c r="AI250" s="234">
        <f>AJ250</f>
        <v>0</v>
      </c>
      <c r="AJ250" s="111">
        <v>0</v>
      </c>
      <c r="AK250" s="234">
        <f>AL250</f>
        <v>12765</v>
      </c>
      <c r="AL250" s="111">
        <f>W250-(AA250+AC250+AE250+AH250+AJ250+AM250+AW250+AO250+AQ250+AS250+AU250)</f>
        <v>12765</v>
      </c>
      <c r="AM250" s="899">
        <v>0</v>
      </c>
      <c r="AN250" s="234">
        <f>AO250</f>
        <v>0</v>
      </c>
      <c r="AO250" s="111">
        <v>0</v>
      </c>
      <c r="AP250" s="234">
        <f>AQ250</f>
        <v>0</v>
      </c>
      <c r="AQ250" s="111">
        <v>0</v>
      </c>
      <c r="AR250" s="234">
        <f>AS250</f>
        <v>0</v>
      </c>
      <c r="AS250" s="111">
        <v>0</v>
      </c>
      <c r="AT250" s="234">
        <f>AU250</f>
        <v>0</v>
      </c>
      <c r="AU250" s="111">
        <v>0</v>
      </c>
      <c r="AV250" s="234">
        <f>AW250</f>
        <v>0</v>
      </c>
      <c r="AW250" s="111">
        <f>AX250+AY250+AZ250+BA250+BB250</f>
        <v>0</v>
      </c>
      <c r="AX250" s="111">
        <v>0</v>
      </c>
      <c r="AY250" s="111">
        <v>0</v>
      </c>
      <c r="AZ250" s="111">
        <v>0</v>
      </c>
      <c r="BA250" s="111">
        <v>0</v>
      </c>
      <c r="BB250" s="111">
        <v>0</v>
      </c>
      <c r="BC250" s="111">
        <v>0</v>
      </c>
      <c r="BD250" s="234">
        <f>BE250</f>
        <v>12765</v>
      </c>
      <c r="BE250" s="111">
        <f>U250+W250</f>
        <v>12765</v>
      </c>
      <c r="BF250" s="234">
        <f>BG250</f>
        <v>0</v>
      </c>
      <c r="BG250" s="111">
        <f>U250/1000</f>
        <v>0</v>
      </c>
      <c r="BH250" s="234">
        <f>BI250</f>
        <v>0</v>
      </c>
      <c r="BI250" s="111">
        <v>0</v>
      </c>
      <c r="BJ250" s="111">
        <f t="shared" si="127"/>
        <v>0</v>
      </c>
      <c r="BK250" s="306">
        <f>ROUND((AL250+AC250+AA250)/1000*3,0)+ROUND((AE250+AU250)/1000,0)+ROUND((ROUND(AH250/400,0))/2.67,0)+ROUND(AJ250/250,0)+ROUND(AO250/15000,0)+ROUND((AX250+AY250+AZ250+BB250)/1000*3,0)+ROUND(BG250/25,0)+ROUND(BU250/50,0)</f>
        <v>38</v>
      </c>
      <c r="BL250" s="111">
        <v>0</v>
      </c>
      <c r="BM250" s="111">
        <v>0</v>
      </c>
      <c r="BN250" s="111">
        <v>0</v>
      </c>
      <c r="BO250" s="111">
        <f>AC250/1000</f>
        <v>0</v>
      </c>
      <c r="BP250" s="111">
        <f>AH250/1000</f>
        <v>0</v>
      </c>
      <c r="BQ250" s="111">
        <v>0</v>
      </c>
      <c r="BR250" s="111">
        <v>0</v>
      </c>
      <c r="BS250" s="111">
        <v>0</v>
      </c>
      <c r="BT250" s="234">
        <f>BU250</f>
        <v>0</v>
      </c>
      <c r="BU250" s="111">
        <f>SUM(BL250:BS250)</f>
        <v>0</v>
      </c>
      <c r="BV250" s="228">
        <v>15</v>
      </c>
      <c r="BW250" s="900" t="s">
        <v>758</v>
      </c>
      <c r="BX250" s="228">
        <v>8.5</v>
      </c>
      <c r="BY250" s="228">
        <v>2</v>
      </c>
      <c r="BZ250" s="228">
        <v>7.5</v>
      </c>
      <c r="CA250" s="901" t="s">
        <v>706</v>
      </c>
      <c r="CB250" s="230" t="s">
        <v>716</v>
      </c>
      <c r="CC250" s="399">
        <f>(BX250*G250)-CF250</f>
        <v>194118.75</v>
      </c>
      <c r="CD250" s="399">
        <v>194118.75</v>
      </c>
      <c r="CE250" s="234">
        <f>CF250</f>
        <v>21568.75</v>
      </c>
      <c r="CF250" s="836">
        <f>1*(G250)-(0.15*1*(G250))</f>
        <v>21568.75</v>
      </c>
      <c r="CG250" s="234">
        <f>CH250</f>
        <v>21568.75</v>
      </c>
      <c r="CH250" s="836">
        <f>CF250-CJ250</f>
        <v>21568.75</v>
      </c>
      <c r="CI250" s="234">
        <f>CJ250</f>
        <v>0</v>
      </c>
      <c r="CJ250" s="228"/>
      <c r="CK250" s="234">
        <f>CL250</f>
        <v>0</v>
      </c>
      <c r="CL250" s="228"/>
      <c r="CM250" s="234">
        <f>CN250</f>
        <v>21568.75</v>
      </c>
      <c r="CN250" s="903">
        <f>CF250-(CJ250+CL250+CO250+CP250+CR250+CU250+CV250+CX250)</f>
        <v>21568.75</v>
      </c>
      <c r="CO250" s="903">
        <v>0</v>
      </c>
      <c r="CP250" s="903">
        <v>0</v>
      </c>
      <c r="CQ250" s="234">
        <f>CR250</f>
        <v>0</v>
      </c>
      <c r="CR250" s="111">
        <v>0</v>
      </c>
      <c r="CS250" s="903">
        <v>0</v>
      </c>
      <c r="CT250" s="903">
        <v>0</v>
      </c>
      <c r="CU250" s="903">
        <v>0</v>
      </c>
      <c r="CV250" s="903">
        <v>0</v>
      </c>
      <c r="CW250" s="234">
        <f>CX250</f>
        <v>0</v>
      </c>
      <c r="CX250" s="111">
        <f>SUM(CY250:DC250)</f>
        <v>0</v>
      </c>
      <c r="CY250" s="903">
        <f>AX250</f>
        <v>0</v>
      </c>
      <c r="CZ250" s="903">
        <f>AY250</f>
        <v>0</v>
      </c>
      <c r="DA250" s="903">
        <f>AZ250</f>
        <v>0</v>
      </c>
      <c r="DB250" s="903">
        <f>BA250</f>
        <v>0</v>
      </c>
      <c r="DC250" s="903">
        <f>BB250</f>
        <v>0</v>
      </c>
      <c r="DD250" s="903"/>
      <c r="DE250" s="234">
        <f>DF250</f>
        <v>215687.5</v>
      </c>
      <c r="DF250" s="903">
        <f>CC250+CF250</f>
        <v>215687.5</v>
      </c>
      <c r="DG250" s="234">
        <f>DH250</f>
        <v>194.11875000000001</v>
      </c>
      <c r="DH250" s="904">
        <f>CC250/'[1]Projected Development Sites'!DF$134</f>
        <v>194.11875000000001</v>
      </c>
      <c r="DI250" s="886">
        <f>DJ250</f>
        <v>194.11875000000001</v>
      </c>
      <c r="DJ250" s="803">
        <f>'[1]Projected Development Sites'!DK$136*DH250</f>
        <v>194.11875000000001</v>
      </c>
      <c r="DK250" s="899">
        <f>2.87*DH250</f>
        <v>557.12081250000006</v>
      </c>
      <c r="DL250" s="772">
        <f>ROUND((CN250+CL250+CJ250)/1000*3,0)+ROUND((ROUND(CP250/400,0))/2.67,0)+ROUND(CV250/1000,0)+ROUND((CY250+CZ250+DA250+DC250)/1000*3,0)+ROUND(DH250/25,0)+ROUND(DX250/50,0)</f>
        <v>73</v>
      </c>
      <c r="DM250" s="905">
        <v>0</v>
      </c>
      <c r="DN250" s="905"/>
      <c r="DO250" s="905">
        <v>0</v>
      </c>
      <c r="DP250" s="905">
        <f>0.25*DJ250</f>
        <v>48.529687500000001</v>
      </c>
      <c r="DQ250" s="905">
        <f>SUM(CO250,CJ250,CN250,CR250,CU250)/1000</f>
        <v>21.568750000000001</v>
      </c>
      <c r="DR250" s="905">
        <f>CL250/1000</f>
        <v>0</v>
      </c>
      <c r="DS250" s="905">
        <f>((CP250/400)/12)</f>
        <v>0</v>
      </c>
      <c r="DT250" s="905">
        <f>IF(CX250&gt;0,"Calculate",0)</f>
        <v>0</v>
      </c>
      <c r="DU250" s="905">
        <v>0</v>
      </c>
      <c r="DV250" s="905">
        <f>CX250/1000</f>
        <v>0</v>
      </c>
      <c r="DW250" s="886">
        <f>DX250</f>
        <v>21.568750000000001</v>
      </c>
      <c r="DX250" s="906">
        <f>SUM(DM250,DO250,DQ250:DV250)</f>
        <v>21.568750000000001</v>
      </c>
      <c r="DY250" s="837">
        <v>175</v>
      </c>
      <c r="DZ250" s="2288">
        <f>CD250-T250</f>
        <v>194118.75</v>
      </c>
      <c r="EA250" s="2231">
        <f>CE250-V250</f>
        <v>8803.75</v>
      </c>
      <c r="EB250" s="187">
        <f>CF250-W250</f>
        <v>8803.75</v>
      </c>
      <c r="EC250" s="235">
        <f>ED250</f>
        <v>8803.75</v>
      </c>
      <c r="ED250" s="187">
        <v>8803.75</v>
      </c>
      <c r="EE250" s="187">
        <f>(SUM(CJ250:CO250))-(SUM(AA250:AE250,AL250))</f>
        <v>30372.5</v>
      </c>
      <c r="EF250" s="235">
        <f>EG250</f>
        <v>8803.75</v>
      </c>
      <c r="EG250" s="187">
        <v>8803.75</v>
      </c>
      <c r="EH250" s="235">
        <f>EI250</f>
        <v>0</v>
      </c>
      <c r="EI250" s="187">
        <f>CL250-AC250</f>
        <v>0</v>
      </c>
      <c r="EJ250" s="235">
        <f>EK250</f>
        <v>0</v>
      </c>
      <c r="EK250" s="187">
        <f>CJ250-AA250</f>
        <v>0</v>
      </c>
      <c r="EL250" s="235">
        <f>EM250</f>
        <v>0</v>
      </c>
      <c r="EM250" s="245">
        <f>CO250-AE250</f>
        <v>0</v>
      </c>
      <c r="EN250" s="235">
        <f>EO250</f>
        <v>0</v>
      </c>
      <c r="EO250" s="245">
        <f>CP250-AH250</f>
        <v>0</v>
      </c>
      <c r="EP250" s="235">
        <f>EQ250</f>
        <v>0</v>
      </c>
      <c r="EQ250" s="187">
        <f>CR250-AJ250</f>
        <v>0</v>
      </c>
      <c r="ER250" s="235">
        <f>ES250</f>
        <v>0</v>
      </c>
      <c r="ES250" s="187">
        <f>CS250-AO250</f>
        <v>0</v>
      </c>
      <c r="ET250" s="235">
        <f>EU250</f>
        <v>0</v>
      </c>
      <c r="EU250" s="187">
        <f t="shared" si="125"/>
        <v>0</v>
      </c>
      <c r="EV250" s="235">
        <f>EW250</f>
        <v>0</v>
      </c>
      <c r="EW250" s="187">
        <f>CU250-AS250</f>
        <v>0</v>
      </c>
      <c r="EX250" s="235">
        <f>EY250</f>
        <v>0</v>
      </c>
      <c r="EY250" s="245">
        <f>CV250-AU250</f>
        <v>0</v>
      </c>
      <c r="EZ250" s="235">
        <f>FA250</f>
        <v>0</v>
      </c>
      <c r="FA250" s="245">
        <f>CY250-AX250</f>
        <v>0</v>
      </c>
      <c r="FB250" s="235">
        <f>FC250</f>
        <v>0</v>
      </c>
      <c r="FC250" s="245">
        <f>CZ250-AY250</f>
        <v>0</v>
      </c>
      <c r="FD250" s="235">
        <f>FE250</f>
        <v>0</v>
      </c>
      <c r="FE250" s="245">
        <f>DA250-AZ250</f>
        <v>0</v>
      </c>
      <c r="FF250" s="235">
        <f>FG250</f>
        <v>0</v>
      </c>
      <c r="FG250" s="245">
        <f>DB250-BA250</f>
        <v>0</v>
      </c>
      <c r="FH250" s="235">
        <f>FI250</f>
        <v>0</v>
      </c>
      <c r="FI250" s="245">
        <f>DC250-BB250</f>
        <v>0</v>
      </c>
      <c r="FJ250" s="235">
        <f>FK250</f>
        <v>0</v>
      </c>
      <c r="FK250" s="245">
        <f>CX250-AW250</f>
        <v>0</v>
      </c>
      <c r="FL250" s="235">
        <f>FM250</f>
        <v>202922.5</v>
      </c>
      <c r="FM250" s="187">
        <f>DF250-BE250</f>
        <v>202922.5</v>
      </c>
      <c r="FN250" s="235">
        <f>FO250</f>
        <v>194.11875000000001</v>
      </c>
      <c r="FO250" s="187">
        <f>DH250-BG250</f>
        <v>194.11875000000001</v>
      </c>
      <c r="FP250" s="235">
        <f>FQ250</f>
        <v>194.11875000000001</v>
      </c>
      <c r="FQ250" s="187">
        <f>DJ250-BI250</f>
        <v>194.11875000000001</v>
      </c>
      <c r="FR250" s="245">
        <f>DK250-BJ250</f>
        <v>557.12081250000006</v>
      </c>
      <c r="FS250" s="245">
        <f>DL250-BK250</f>
        <v>35</v>
      </c>
      <c r="FT250" s="907">
        <f>DM250-BL250</f>
        <v>0</v>
      </c>
      <c r="FU250" s="907">
        <f>DR250-BO250</f>
        <v>0</v>
      </c>
      <c r="FV250" s="907">
        <f>DO250-BM250</f>
        <v>0</v>
      </c>
      <c r="FW250" s="907">
        <f>DQ250-BN250</f>
        <v>21.568750000000001</v>
      </c>
      <c r="FX250" s="907">
        <f>DS250-BP250</f>
        <v>0</v>
      </c>
      <c r="FY250" s="801">
        <f t="shared" si="132"/>
        <v>0</v>
      </c>
      <c r="FZ250" s="907">
        <f>DU250-BR250</f>
        <v>0</v>
      </c>
      <c r="GA250" s="907">
        <f>DV250-BS250</f>
        <v>0</v>
      </c>
      <c r="GB250" s="894">
        <f>GC250</f>
        <v>21.568750000000001</v>
      </c>
      <c r="GC250" s="776">
        <f t="shared" si="126"/>
        <v>21.568750000000001</v>
      </c>
      <c r="GU250" s="228"/>
      <c r="GV250" s="228"/>
    </row>
    <row r="251" spans="1:204" s="127" customFormat="1" ht="15" customHeight="1">
      <c r="A251" s="2263"/>
      <c r="B251" s="2263"/>
      <c r="C251" s="132"/>
      <c r="D251" s="132"/>
      <c r="E251" s="132"/>
      <c r="F251" s="777"/>
      <c r="G251" s="132"/>
      <c r="H251" s="135"/>
      <c r="I251" s="136"/>
      <c r="J251" s="132"/>
      <c r="K251" s="132"/>
      <c r="L251" s="132"/>
      <c r="M251" s="132"/>
      <c r="N251" s="134"/>
      <c r="O251" s="134"/>
      <c r="P251" s="134"/>
      <c r="Q251" s="134"/>
      <c r="R251" s="137"/>
      <c r="S251" s="778"/>
      <c r="T251" s="634"/>
      <c r="U251" s="102"/>
      <c r="V251" s="634"/>
      <c r="W251" s="102"/>
      <c r="X251" s="102"/>
      <c r="Y251" s="102"/>
      <c r="Z251" s="634"/>
      <c r="AA251" s="102"/>
      <c r="AB251" s="634"/>
      <c r="AC251" s="102"/>
      <c r="AD251" s="634"/>
      <c r="AE251" s="102"/>
      <c r="AF251" s="102"/>
      <c r="AG251" s="102"/>
      <c r="AH251" s="102"/>
      <c r="AI251" s="634"/>
      <c r="AJ251" s="102"/>
      <c r="AK251" s="634"/>
      <c r="AL251" s="102"/>
      <c r="AM251" s="779"/>
      <c r="AN251" s="634"/>
      <c r="AO251" s="102"/>
      <c r="AP251" s="634"/>
      <c r="AQ251" s="102"/>
      <c r="AR251" s="634"/>
      <c r="AS251" s="102"/>
      <c r="AT251" s="634"/>
      <c r="AU251" s="102"/>
      <c r="AV251" s="634"/>
      <c r="AW251" s="102"/>
      <c r="AX251" s="102"/>
      <c r="AY251" s="102"/>
      <c r="AZ251" s="102"/>
      <c r="BA251" s="102"/>
      <c r="BB251" s="102"/>
      <c r="BC251" s="102"/>
      <c r="BD251" s="634"/>
      <c r="BE251" s="102"/>
      <c r="BF251" s="634"/>
      <c r="BG251" s="102"/>
      <c r="BH251" s="634"/>
      <c r="BI251" s="102"/>
      <c r="BJ251" s="111"/>
      <c r="BK251" s="186"/>
      <c r="BL251" s="102"/>
      <c r="BM251" s="102"/>
      <c r="BN251" s="102"/>
      <c r="BO251" s="102"/>
      <c r="BP251" s="102"/>
      <c r="BQ251" s="102"/>
      <c r="BR251" s="102"/>
      <c r="BS251" s="102"/>
      <c r="BT251" s="634"/>
      <c r="BU251" s="102"/>
      <c r="BV251" s="139"/>
      <c r="BW251" s="780"/>
      <c r="BX251" s="139"/>
      <c r="BY251" s="139"/>
      <c r="BZ251" s="139"/>
      <c r="CA251" s="781"/>
      <c r="CB251" s="2258"/>
      <c r="CC251" s="782"/>
      <c r="CD251" s="782"/>
      <c r="CE251" s="634"/>
      <c r="CF251" s="783"/>
      <c r="CG251" s="634"/>
      <c r="CH251" s="783"/>
      <c r="CI251" s="634"/>
      <c r="CJ251" s="139"/>
      <c r="CK251" s="634"/>
      <c r="CL251" s="139"/>
      <c r="CM251" s="634"/>
      <c r="CN251" s="784"/>
      <c r="CO251" s="784"/>
      <c r="CP251" s="784"/>
      <c r="CQ251" s="634"/>
      <c r="CR251" s="102"/>
      <c r="CS251" s="784"/>
      <c r="CT251" s="784"/>
      <c r="CU251" s="784"/>
      <c r="CV251" s="784"/>
      <c r="CW251" s="634"/>
      <c r="CX251" s="102"/>
      <c r="CY251" s="784"/>
      <c r="CZ251" s="784"/>
      <c r="DA251" s="784"/>
      <c r="DB251" s="784"/>
      <c r="DC251" s="784"/>
      <c r="DD251" s="784"/>
      <c r="DE251" s="634"/>
      <c r="DF251" s="784"/>
      <c r="DG251" s="634"/>
      <c r="DH251" s="139"/>
      <c r="DI251" s="802"/>
      <c r="DJ251" s="787"/>
      <c r="DK251" s="899"/>
      <c r="DL251" s="772"/>
      <c r="DM251" s="787"/>
      <c r="DN251" s="787"/>
      <c r="DO251" s="787"/>
      <c r="DP251" s="787"/>
      <c r="DQ251" s="787"/>
      <c r="DR251" s="787"/>
      <c r="DS251" s="787"/>
      <c r="DT251" s="787"/>
      <c r="DU251" s="787"/>
      <c r="DV251" s="787"/>
      <c r="DW251" s="802"/>
      <c r="DX251" s="788"/>
      <c r="DY251" s="634"/>
      <c r="DZ251" s="2288"/>
      <c r="EA251" s="2231"/>
      <c r="EB251" s="187"/>
      <c r="EC251" s="2232"/>
      <c r="ED251" s="187"/>
      <c r="EE251" s="187"/>
      <c r="EF251" s="2232"/>
      <c r="EG251" s="187"/>
      <c r="EH251" s="2232"/>
      <c r="EI251" s="187"/>
      <c r="EJ251" s="2232"/>
      <c r="EK251" s="187"/>
      <c r="EL251" s="2232"/>
      <c r="EM251" s="195"/>
      <c r="EN251" s="2232"/>
      <c r="EO251" s="195"/>
      <c r="EP251" s="2232"/>
      <c r="EQ251" s="187"/>
      <c r="ER251" s="2232"/>
      <c r="ES251" s="187"/>
      <c r="ET251" s="2232"/>
      <c r="EU251" s="187">
        <f t="shared" si="125"/>
        <v>0</v>
      </c>
      <c r="EV251" s="2232"/>
      <c r="EW251" s="187"/>
      <c r="EX251" s="2232"/>
      <c r="EY251" s="195"/>
      <c r="EZ251" s="2232"/>
      <c r="FA251" s="195"/>
      <c r="FB251" s="2232"/>
      <c r="FC251" s="195"/>
      <c r="FD251" s="2232"/>
      <c r="FE251" s="195"/>
      <c r="FF251" s="2232"/>
      <c r="FG251" s="195"/>
      <c r="FH251" s="2232"/>
      <c r="FI251" s="195"/>
      <c r="FJ251" s="2232"/>
      <c r="FK251" s="195"/>
      <c r="FL251" s="2232"/>
      <c r="FM251" s="187"/>
      <c r="FN251" s="2232"/>
      <c r="FO251" s="187"/>
      <c r="FP251" s="2232"/>
      <c r="FQ251" s="187"/>
      <c r="FR251" s="195"/>
      <c r="FS251" s="195"/>
      <c r="FT251" s="789"/>
      <c r="FU251" s="789"/>
      <c r="FV251" s="789"/>
      <c r="FW251" s="789"/>
      <c r="FX251" s="789"/>
      <c r="FY251" s="801">
        <f t="shared" si="132"/>
        <v>0</v>
      </c>
      <c r="FZ251" s="789"/>
      <c r="GA251" s="789"/>
      <c r="GB251" s="2286"/>
      <c r="GC251" s="776"/>
      <c r="GD251" s="139"/>
      <c r="GE251" s="139"/>
      <c r="GF251" s="139"/>
      <c r="GG251" s="139"/>
      <c r="GH251" s="139"/>
      <c r="GI251" s="139"/>
      <c r="GJ251" s="139"/>
      <c r="GK251" s="139"/>
      <c r="GL251" s="139"/>
      <c r="GM251" s="139"/>
      <c r="GN251" s="139"/>
      <c r="GO251" s="139"/>
      <c r="GP251" s="139"/>
      <c r="GQ251" s="139"/>
      <c r="GR251" s="139"/>
      <c r="GS251" s="139"/>
      <c r="GT251" s="139"/>
      <c r="GU251" s="139"/>
      <c r="GV251" s="139"/>
    </row>
    <row r="252" spans="1:204" s="81" customFormat="1" ht="15" customHeight="1">
      <c r="A252" s="2588"/>
      <c r="B252" s="2588">
        <v>94</v>
      </c>
      <c r="C252" s="911" t="s">
        <v>703</v>
      </c>
      <c r="D252" s="115">
        <v>2489</v>
      </c>
      <c r="E252" s="115">
        <v>11</v>
      </c>
      <c r="F252" s="763">
        <v>2024890011</v>
      </c>
      <c r="G252" s="115">
        <v>7421</v>
      </c>
      <c r="H252" s="118" t="s">
        <v>704</v>
      </c>
      <c r="I252" s="119"/>
      <c r="J252" s="115">
        <v>0.28000000000000003</v>
      </c>
      <c r="K252" s="115">
        <v>0</v>
      </c>
      <c r="L252" s="115">
        <v>2</v>
      </c>
      <c r="M252" s="115">
        <v>6.5</v>
      </c>
      <c r="N252" s="117">
        <v>2093</v>
      </c>
      <c r="O252" s="117">
        <f>N252</f>
        <v>2093</v>
      </c>
      <c r="P252" s="117">
        <v>0</v>
      </c>
      <c r="Q252" s="117">
        <v>2093</v>
      </c>
      <c r="R252" s="120">
        <v>0</v>
      </c>
      <c r="S252" s="764" t="s">
        <v>711</v>
      </c>
      <c r="T252" s="2600">
        <f>SUM(U252:U253)</f>
        <v>0</v>
      </c>
      <c r="U252" s="122">
        <v>0</v>
      </c>
      <c r="V252" s="2600">
        <f>SUM(W252:W253)</f>
        <v>4983</v>
      </c>
      <c r="W252" s="122">
        <f>N252</f>
        <v>2093</v>
      </c>
      <c r="X252" s="122"/>
      <c r="Y252" s="122">
        <f>W252-AA252</f>
        <v>2093</v>
      </c>
      <c r="Z252" s="2600">
        <f>SUM(AA252:AA253)</f>
        <v>0</v>
      </c>
      <c r="AA252" s="122">
        <v>0</v>
      </c>
      <c r="AB252" s="2600">
        <f>SUM(AC252:AC253)</f>
        <v>0</v>
      </c>
      <c r="AC252" s="122">
        <v>0</v>
      </c>
      <c r="AD252" s="2600">
        <f>SUM(AE252:AE253)</f>
        <v>4983</v>
      </c>
      <c r="AE252" s="122">
        <f>AF252+AG252</f>
        <v>2093</v>
      </c>
      <c r="AF252" s="122">
        <v>0</v>
      </c>
      <c r="AG252" s="122">
        <f>O252</f>
        <v>2093</v>
      </c>
      <c r="AH252" s="122">
        <v>0</v>
      </c>
      <c r="AI252" s="2600">
        <f>SUM(AJ252:AJ253)</f>
        <v>0</v>
      </c>
      <c r="AJ252" s="122">
        <v>0</v>
      </c>
      <c r="AK252" s="2600">
        <f>SUM(AL252:AL253)</f>
        <v>0</v>
      </c>
      <c r="AL252" s="122">
        <f>W252-(AA252+AC252+AE252+AH252+AJ252+AM252+AW252+AO252+AQ252+AS252+AU252)</f>
        <v>0</v>
      </c>
      <c r="AM252" s="765">
        <v>0</v>
      </c>
      <c r="AN252" s="2600">
        <f>SUM(AO252:AO253)</f>
        <v>0</v>
      </c>
      <c r="AO252" s="122">
        <v>0</v>
      </c>
      <c r="AP252" s="2600">
        <f>SUM(AQ252:AQ253)</f>
        <v>0</v>
      </c>
      <c r="AQ252" s="122">
        <v>0</v>
      </c>
      <c r="AR252" s="2600">
        <f>SUM(AS252:AS253)</f>
        <v>0</v>
      </c>
      <c r="AS252" s="122">
        <v>0</v>
      </c>
      <c r="AT252" s="2600">
        <f>SUM(AU252:AU253)</f>
        <v>0</v>
      </c>
      <c r="AU252" s="122">
        <v>0</v>
      </c>
      <c r="AV252" s="2600">
        <f>SUM(AW252:AW253)</f>
        <v>0</v>
      </c>
      <c r="AW252" s="122">
        <f>AX252+AY252+AZ252+BA252+BB252</f>
        <v>0</v>
      </c>
      <c r="AX252" s="122">
        <v>0</v>
      </c>
      <c r="AY252" s="122">
        <v>0</v>
      </c>
      <c r="AZ252" s="122">
        <v>0</v>
      </c>
      <c r="BA252" s="122">
        <v>0</v>
      </c>
      <c r="BB252" s="122">
        <v>0</v>
      </c>
      <c r="BC252" s="122">
        <v>0</v>
      </c>
      <c r="BD252" s="2600">
        <f>SUM(BE252:BE253)</f>
        <v>4983</v>
      </c>
      <c r="BE252" s="122">
        <f>U252+W252</f>
        <v>2093</v>
      </c>
      <c r="BF252" s="2600">
        <f>SUM(BG252:BG253)</f>
        <v>0</v>
      </c>
      <c r="BG252" s="122">
        <f>ROUND(U252/'[1]Projected Development Sites'!DF$134,0)</f>
        <v>0</v>
      </c>
      <c r="BH252" s="2600">
        <f>SUM(BI252:BI253)</f>
        <v>0</v>
      </c>
      <c r="BI252" s="122">
        <f>'[1]Projected Development Sites'!BG$135*BG252</f>
        <v>0</v>
      </c>
      <c r="BJ252" s="122">
        <f t="shared" si="127"/>
        <v>0</v>
      </c>
      <c r="BK252" s="129">
        <f>ROUND((Y252+AC252+AA252)/1000*3,0)+ROUND((AE252+AU252)/1000,0)+ROUND((ROUND(AH252/400,0))/2.67,0)+ROUND(AM252/250,0)+ROUND(AO252/15000,0)+ROUND((AX252+AY252+AZ252+BB252)/1000*3,0)+ROUND(BG252/25,0)+ROUND(BU314/50,0)</f>
        <v>8</v>
      </c>
      <c r="BL252" s="122">
        <v>0</v>
      </c>
      <c r="BM252" s="122">
        <v>0</v>
      </c>
      <c r="BN252" s="122">
        <f>W252/1000</f>
        <v>2.093</v>
      </c>
      <c r="BO252" s="122">
        <f>AC252/1000</f>
        <v>0</v>
      </c>
      <c r="BP252" s="122">
        <f>((AH252/400)/12)</f>
        <v>0</v>
      </c>
      <c r="BQ252" s="122">
        <f>IFERROR(VLOOKUP(F252,#REF!,3,FALSE),0)</f>
        <v>0</v>
      </c>
      <c r="BR252" s="122">
        <v>0</v>
      </c>
      <c r="BS252" s="122">
        <f>IF(BB252&gt;0,"Calculate",0)</f>
        <v>0</v>
      </c>
      <c r="BT252" s="2600">
        <f>SUM(BU252:BU253)</f>
        <v>2.093</v>
      </c>
      <c r="BU252" s="122">
        <f>SUM(BL252:BS252)</f>
        <v>2.093</v>
      </c>
      <c r="BV252" s="127">
        <v>10</v>
      </c>
      <c r="BW252" s="766" t="s">
        <v>758</v>
      </c>
      <c r="BX252" s="127">
        <v>8.5</v>
      </c>
      <c r="BY252" s="127">
        <v>2</v>
      </c>
      <c r="BZ252" s="127">
        <v>7.5</v>
      </c>
      <c r="CA252" s="767" t="s">
        <v>706</v>
      </c>
      <c r="CB252" s="2596" t="s">
        <v>716</v>
      </c>
      <c r="CC252" s="768">
        <f>(BX252*G252)-CF252</f>
        <v>56770.65</v>
      </c>
      <c r="CD252" s="2731">
        <f>SUM(CC252:CC253)</f>
        <v>101331.9</v>
      </c>
      <c r="CE252" s="2600">
        <f>SUM(CF252:CF253)</f>
        <v>11259.1</v>
      </c>
      <c r="CF252" s="769">
        <f>1*(G252)-(0.15*1*(G252))</f>
        <v>6307.85</v>
      </c>
      <c r="CG252" s="2600">
        <f>SUM(CH252:CH253)</f>
        <v>11259.1</v>
      </c>
      <c r="CH252" s="769">
        <f>CF252-CJ252</f>
        <v>6307.85</v>
      </c>
      <c r="CI252" s="2600">
        <f>SUM(CJ252:CJ253)</f>
        <v>0</v>
      </c>
      <c r="CJ252" s="127">
        <v>0</v>
      </c>
      <c r="CK252" s="2600">
        <f>SUM(CL252:CL253)</f>
        <v>0</v>
      </c>
      <c r="CL252" s="127">
        <v>0</v>
      </c>
      <c r="CM252" s="2600">
        <f>SUM(CN252:CN253)</f>
        <v>11259.1</v>
      </c>
      <c r="CN252" s="770">
        <f>CF252</f>
        <v>6307.85</v>
      </c>
      <c r="CO252" s="770">
        <v>0</v>
      </c>
      <c r="CP252" s="770">
        <v>0</v>
      </c>
      <c r="CQ252" s="2600">
        <f>SUM(CR252:CR253)</f>
        <v>0</v>
      </c>
      <c r="CR252" s="122">
        <v>0</v>
      </c>
      <c r="CS252" s="770">
        <v>0</v>
      </c>
      <c r="CT252" s="770">
        <v>0</v>
      </c>
      <c r="CU252" s="770">
        <v>0</v>
      </c>
      <c r="CV252" s="770">
        <v>0</v>
      </c>
      <c r="CW252" s="2600">
        <f>SUM(CX252:CX253)</f>
        <v>0</v>
      </c>
      <c r="CX252" s="122">
        <f>SUM(CY252:DC252)</f>
        <v>0</v>
      </c>
      <c r="CY252" s="770">
        <v>0</v>
      </c>
      <c r="CZ252" s="770">
        <v>0</v>
      </c>
      <c r="DA252" s="770">
        <v>0</v>
      </c>
      <c r="DB252" s="770">
        <v>0</v>
      </c>
      <c r="DC252" s="770">
        <v>0</v>
      </c>
      <c r="DD252" s="770"/>
      <c r="DE252" s="2600">
        <f>SUM(DF252:DF253)</f>
        <v>112591</v>
      </c>
      <c r="DF252" s="770">
        <f>CC252+CF252</f>
        <v>63078.5</v>
      </c>
      <c r="DG252" s="2600">
        <f>SUM(DH252:DH253)</f>
        <v>101.56125</v>
      </c>
      <c r="DH252" s="127">
        <f>ROUND(CC252/'[1]Projected Development Sites'!DF$134,0)</f>
        <v>57</v>
      </c>
      <c r="DI252" s="2722">
        <f>SUM(DJ252:DJ253)</f>
        <v>101.56125</v>
      </c>
      <c r="DJ252" s="773">
        <f>'[1]Projected Development Sites'!DK$136*DH252</f>
        <v>57</v>
      </c>
      <c r="DK252" s="765">
        <f>2.87*DH252</f>
        <v>163.59</v>
      </c>
      <c r="DL252" s="772">
        <f>ROUND((CN252+CL252+CJ252)/1000*3,0)+ROUND((ROUND(CP252/400,0))/2.67,0)+ROUND(CV252/1000,0)+ROUND((CY252+CZ252+DA252+DC252)/1000*3,0)+ROUND(DH252/25,0)+ROUND(DX252/50,0)</f>
        <v>21</v>
      </c>
      <c r="DM252" s="773">
        <v>0</v>
      </c>
      <c r="DN252" s="773"/>
      <c r="DO252" s="773">
        <v>0</v>
      </c>
      <c r="DP252" s="773">
        <f>0.25*DJ252</f>
        <v>14.25</v>
      </c>
      <c r="DQ252" s="773">
        <f>SUM(CO252,CJ252,CN252,CR252,CU252)/1000</f>
        <v>6.3078500000000002</v>
      </c>
      <c r="DR252" s="773">
        <f>CL252/1000</f>
        <v>0</v>
      </c>
      <c r="DS252" s="773">
        <f>((CP252/400)/12)</f>
        <v>0</v>
      </c>
      <c r="DT252" s="773">
        <f>IF(CX252&gt;0,"Calculate",0)</f>
        <v>0</v>
      </c>
      <c r="DU252" s="773">
        <v>0</v>
      </c>
      <c r="DV252" s="773">
        <f>CX252/1000</f>
        <v>0</v>
      </c>
      <c r="DW252" s="2722">
        <f>SUM(DX252:DX253)</f>
        <v>11.2591</v>
      </c>
      <c r="DX252" s="774">
        <f>SUM(DM252,DO252,DQ252:DV252)</f>
        <v>6.3078500000000002</v>
      </c>
      <c r="DY252" s="2725">
        <v>225</v>
      </c>
      <c r="DZ252" s="2728">
        <f>CD252-T252</f>
        <v>101331.9</v>
      </c>
      <c r="EA252" s="2602">
        <f>CE252-V252</f>
        <v>6276.1</v>
      </c>
      <c r="EB252" s="187">
        <f>CF252-W252</f>
        <v>4214.8500000000004</v>
      </c>
      <c r="EC252" s="2602">
        <f>SUM(ED252:ED253)</f>
        <v>6276.1</v>
      </c>
      <c r="ED252" s="187">
        <v>4214.8500000000004</v>
      </c>
      <c r="EE252" s="187">
        <f>(SUM(CJ252:CO252))-(SUM(AA252:AE252,AL252))</f>
        <v>10490.95</v>
      </c>
      <c r="EF252" s="2602">
        <f>SUM(EG252:EG253)</f>
        <v>11259.1</v>
      </c>
      <c r="EG252" s="187">
        <v>6307.85</v>
      </c>
      <c r="EH252" s="2602">
        <f>SUM(EI252:EI253)</f>
        <v>0</v>
      </c>
      <c r="EI252" s="187">
        <f>CL252-AC252</f>
        <v>0</v>
      </c>
      <c r="EJ252" s="2602">
        <f>SUM(EK252:EK253)</f>
        <v>0</v>
      </c>
      <c r="EK252" s="187">
        <f>CJ252-AA252</f>
        <v>0</v>
      </c>
      <c r="EL252" s="2602">
        <f>SUM(EM252:EM253)</f>
        <v>-4983</v>
      </c>
      <c r="EM252" s="187">
        <f>CO252-AE252</f>
        <v>-2093</v>
      </c>
      <c r="EN252" s="2602">
        <f>SUM(EO252:EO253)</f>
        <v>0</v>
      </c>
      <c r="EO252" s="187">
        <f>CP252-AH252</f>
        <v>0</v>
      </c>
      <c r="EP252" s="2602">
        <f>SUM(EQ252:EQ253)</f>
        <v>0</v>
      </c>
      <c r="EQ252" s="187">
        <f>CR252-AJ252</f>
        <v>0</v>
      </c>
      <c r="ER252" s="2602">
        <f>SUM(ES252:ES253)</f>
        <v>0</v>
      </c>
      <c r="ES252" s="187">
        <f>CS252-AO252</f>
        <v>0</v>
      </c>
      <c r="ET252" s="2602">
        <f>SUM(EU252:EU253)</f>
        <v>0</v>
      </c>
      <c r="EU252" s="187">
        <f t="shared" si="125"/>
        <v>0</v>
      </c>
      <c r="EV252" s="2602">
        <f>SUM(EW252:EW253)</f>
        <v>0</v>
      </c>
      <c r="EW252" s="187">
        <f>CU252-AS252</f>
        <v>0</v>
      </c>
      <c r="EX252" s="2602">
        <f>SUM(EY252:EY253)</f>
        <v>0</v>
      </c>
      <c r="EY252" s="187">
        <f>CV252-AU252</f>
        <v>0</v>
      </c>
      <c r="EZ252" s="2602">
        <f>SUM(FA252:FA253)</f>
        <v>0</v>
      </c>
      <c r="FA252" s="187">
        <f>CY252-AX252</f>
        <v>0</v>
      </c>
      <c r="FB252" s="2602">
        <f>SUM(FC252:FC253)</f>
        <v>0</v>
      </c>
      <c r="FC252" s="187">
        <f>CZ252-AY252</f>
        <v>0</v>
      </c>
      <c r="FD252" s="2602">
        <f>SUM(FE252:FE253)</f>
        <v>0</v>
      </c>
      <c r="FE252" s="187">
        <f>DA252-AZ252</f>
        <v>0</v>
      </c>
      <c r="FF252" s="2602">
        <f>SUM(FG252:FG253)</f>
        <v>0</v>
      </c>
      <c r="FG252" s="187">
        <f>DB252-BA252</f>
        <v>0</v>
      </c>
      <c r="FH252" s="2602">
        <f>SUM(FI252:FI253)</f>
        <v>0</v>
      </c>
      <c r="FI252" s="187">
        <f>DC252-BB252</f>
        <v>0</v>
      </c>
      <c r="FJ252" s="2602">
        <f>SUM(FK252:FK253)</f>
        <v>0</v>
      </c>
      <c r="FK252" s="187">
        <f>CX252-AW252</f>
        <v>0</v>
      </c>
      <c r="FL252" s="2602">
        <f>SUM(FM252:FM253)</f>
        <v>107608</v>
      </c>
      <c r="FM252" s="187">
        <f>DF252-BE252</f>
        <v>60985.5</v>
      </c>
      <c r="FN252" s="2602">
        <f>SUM(FO252:FO253)</f>
        <v>101.56125</v>
      </c>
      <c r="FO252" s="187">
        <f>DH252-BG252</f>
        <v>57</v>
      </c>
      <c r="FP252" s="2602">
        <f>SUM(FQ252:FQ253)</f>
        <v>101.56125</v>
      </c>
      <c r="FQ252" s="187">
        <f t="shared" ref="FQ252:FT253" si="142">DJ252-BI252</f>
        <v>57</v>
      </c>
      <c r="FR252" s="187">
        <f t="shared" si="142"/>
        <v>163.59</v>
      </c>
      <c r="FS252" s="187">
        <f t="shared" si="142"/>
        <v>13</v>
      </c>
      <c r="FT252" s="775">
        <f t="shared" si="142"/>
        <v>0</v>
      </c>
      <c r="FU252" s="775">
        <f>DR252-BO252</f>
        <v>0</v>
      </c>
      <c r="FV252" s="775">
        <f>DO252-BM252</f>
        <v>0</v>
      </c>
      <c r="FW252" s="775">
        <f>DQ252-BN252</f>
        <v>4.2148500000000002</v>
      </c>
      <c r="FX252" s="775">
        <f>DS252-BP252</f>
        <v>0</v>
      </c>
      <c r="FY252" s="789">
        <f t="shared" si="132"/>
        <v>0</v>
      </c>
      <c r="FZ252" s="775">
        <f>DU252-BR252</f>
        <v>0</v>
      </c>
      <c r="GA252" s="775">
        <f>DV252-BS252</f>
        <v>0</v>
      </c>
      <c r="GB252" s="2734">
        <f>SUM(GC252:GC253)</f>
        <v>9.1661000000000001</v>
      </c>
      <c r="GC252" s="776">
        <f t="shared" si="126"/>
        <v>4.2148500000000002</v>
      </c>
      <c r="GD252" s="139"/>
      <c r="GE252" s="139"/>
      <c r="GF252" s="139"/>
      <c r="GG252" s="139"/>
      <c r="GH252" s="139"/>
      <c r="GI252" s="139"/>
      <c r="GJ252" s="139"/>
      <c r="GK252" s="139"/>
      <c r="GL252" s="139"/>
      <c r="GM252" s="139"/>
      <c r="GN252" s="139"/>
      <c r="GO252" s="139"/>
      <c r="GP252" s="139"/>
      <c r="GQ252" s="139"/>
      <c r="GR252" s="139"/>
      <c r="GS252" s="139"/>
      <c r="GT252" s="139"/>
      <c r="GU252" s="127"/>
      <c r="GV252" s="127"/>
    </row>
    <row r="253" spans="1:204" s="139" customFormat="1" ht="15.75" customHeight="1">
      <c r="A253" s="2589"/>
      <c r="B253" s="2589"/>
      <c r="C253" s="66" t="s">
        <v>710</v>
      </c>
      <c r="D253" s="66">
        <v>2489</v>
      </c>
      <c r="E253" s="66">
        <v>14</v>
      </c>
      <c r="F253" s="841">
        <v>2024890014</v>
      </c>
      <c r="G253" s="66">
        <v>5825</v>
      </c>
      <c r="H253" s="69" t="s">
        <v>704</v>
      </c>
      <c r="I253" s="70"/>
      <c r="J253" s="66">
        <v>0.5</v>
      </c>
      <c r="K253" s="66">
        <v>0</v>
      </c>
      <c r="L253" s="66">
        <v>2</v>
      </c>
      <c r="M253" s="66">
        <v>6.5</v>
      </c>
      <c r="N253" s="68">
        <v>2890</v>
      </c>
      <c r="O253" s="68">
        <f>Q253</f>
        <v>2890</v>
      </c>
      <c r="P253" s="68">
        <v>0</v>
      </c>
      <c r="Q253" s="68">
        <v>2890</v>
      </c>
      <c r="R253" s="71">
        <v>0</v>
      </c>
      <c r="S253" s="791" t="s">
        <v>711</v>
      </c>
      <c r="T253" s="2601"/>
      <c r="U253" s="74">
        <v>0</v>
      </c>
      <c r="V253" s="2601"/>
      <c r="W253" s="74">
        <f>N253</f>
        <v>2890</v>
      </c>
      <c r="X253" s="74"/>
      <c r="Y253" s="74">
        <f>W253-AA253</f>
        <v>2890</v>
      </c>
      <c r="Z253" s="2601"/>
      <c r="AA253" s="74">
        <v>0</v>
      </c>
      <c r="AB253" s="2601"/>
      <c r="AC253" s="74">
        <v>0</v>
      </c>
      <c r="AD253" s="2601"/>
      <c r="AE253" s="74">
        <f>AG253+AF253</f>
        <v>2890</v>
      </c>
      <c r="AF253" s="74">
        <v>0</v>
      </c>
      <c r="AG253" s="74">
        <f>W253</f>
        <v>2890</v>
      </c>
      <c r="AH253" s="74">
        <v>0</v>
      </c>
      <c r="AI253" s="2601"/>
      <c r="AJ253" s="74">
        <v>0</v>
      </c>
      <c r="AK253" s="2601"/>
      <c r="AL253" s="74">
        <f>W253-(AA253+AC253+AE253+AH253+AJ253+AM253+AW253+AO253+AQ253+AS253+AU253)</f>
        <v>0</v>
      </c>
      <c r="AM253" s="792">
        <v>0</v>
      </c>
      <c r="AN253" s="2601"/>
      <c r="AO253" s="74">
        <v>0</v>
      </c>
      <c r="AP253" s="2601"/>
      <c r="AQ253" s="74">
        <v>0</v>
      </c>
      <c r="AR253" s="2601"/>
      <c r="AS253" s="74">
        <v>0</v>
      </c>
      <c r="AT253" s="2601"/>
      <c r="AU253" s="74">
        <v>0</v>
      </c>
      <c r="AV253" s="2601"/>
      <c r="AW253" s="74">
        <f>AX253+AY253+AZ253+BA253+BB253</f>
        <v>0</v>
      </c>
      <c r="AX253" s="74">
        <v>0</v>
      </c>
      <c r="AY253" s="74">
        <v>0</v>
      </c>
      <c r="AZ253" s="74">
        <v>0</v>
      </c>
      <c r="BA253" s="74">
        <v>0</v>
      </c>
      <c r="BB253" s="74">
        <v>0</v>
      </c>
      <c r="BC253" s="74">
        <v>0</v>
      </c>
      <c r="BD253" s="2601"/>
      <c r="BE253" s="74">
        <f>U253+W253</f>
        <v>2890</v>
      </c>
      <c r="BF253" s="2601"/>
      <c r="BG253" s="74">
        <f>U253/1000</f>
        <v>0</v>
      </c>
      <c r="BH253" s="2601"/>
      <c r="BI253" s="74">
        <f>'[1]Projected Development Sites'!BG$135*BG253</f>
        <v>0</v>
      </c>
      <c r="BJ253" s="74">
        <f t="shared" si="127"/>
        <v>0</v>
      </c>
      <c r="BK253" s="88">
        <f>ROUND((Y253+AC253+AA253)/1000*3,0)+ROUND((AE253+AU253)/1000,0)+ROUND((ROUND(AH253/400,0))/2.67,0)+ROUND(AM253/250,0)+ROUND(AO253/15000,0)+ROUND((AX253+AY253+AZ253+BB253)/1000*3,0)+ROUND(BG253/25,0)+ROUND(BU318/50,0)</f>
        <v>12</v>
      </c>
      <c r="BL253" s="74">
        <v>0</v>
      </c>
      <c r="BM253" s="74">
        <v>0</v>
      </c>
      <c r="BN253" s="74">
        <v>0</v>
      </c>
      <c r="BO253" s="74">
        <f>AC253/1000</f>
        <v>0</v>
      </c>
      <c r="BP253" s="74">
        <f>AH253/1000</f>
        <v>0</v>
      </c>
      <c r="BQ253" s="74">
        <v>0</v>
      </c>
      <c r="BR253" s="74">
        <v>0</v>
      </c>
      <c r="BS253" s="74">
        <v>0</v>
      </c>
      <c r="BT253" s="2601"/>
      <c r="BU253" s="74">
        <f>SUM(BL253:BS253)</f>
        <v>0</v>
      </c>
      <c r="BV253" s="81">
        <v>15</v>
      </c>
      <c r="BW253" s="793" t="s">
        <v>758</v>
      </c>
      <c r="BX253" s="81">
        <v>8.5</v>
      </c>
      <c r="BY253" s="81">
        <v>2</v>
      </c>
      <c r="BZ253" s="81">
        <v>7.5</v>
      </c>
      <c r="CA253" s="794" t="s">
        <v>706</v>
      </c>
      <c r="CB253" s="2597"/>
      <c r="CC253" s="795">
        <f>(BX253*G253)-CF253</f>
        <v>44561.25</v>
      </c>
      <c r="CD253" s="2733"/>
      <c r="CE253" s="2601"/>
      <c r="CF253" s="796">
        <f>1*(G253)-(0.15*1*(G253))</f>
        <v>4951.25</v>
      </c>
      <c r="CG253" s="2601"/>
      <c r="CH253" s="796">
        <f>CF253-CJ253</f>
        <v>4951.25</v>
      </c>
      <c r="CI253" s="2601"/>
      <c r="CJ253" s="81">
        <v>0</v>
      </c>
      <c r="CK253" s="2601"/>
      <c r="CL253" s="81">
        <v>0</v>
      </c>
      <c r="CM253" s="2601"/>
      <c r="CN253" s="797">
        <f>CF253-(CJ253+CL253+CO253+CP253+CR253+CU253+CV253+CX253)</f>
        <v>4951.25</v>
      </c>
      <c r="CO253" s="797">
        <v>0</v>
      </c>
      <c r="CP253" s="797">
        <v>0</v>
      </c>
      <c r="CQ253" s="2601"/>
      <c r="CR253" s="74">
        <v>0</v>
      </c>
      <c r="CS253" s="797">
        <v>0</v>
      </c>
      <c r="CT253" s="797">
        <v>0</v>
      </c>
      <c r="CU253" s="797">
        <v>0</v>
      </c>
      <c r="CV253" s="797">
        <v>0</v>
      </c>
      <c r="CW253" s="2601"/>
      <c r="CX253" s="74">
        <f>SUM(CY253:DC253)</f>
        <v>0</v>
      </c>
      <c r="CY253" s="797">
        <f>AX253</f>
        <v>0</v>
      </c>
      <c r="CZ253" s="797">
        <f>AY253</f>
        <v>0</v>
      </c>
      <c r="DA253" s="797">
        <f>AZ253</f>
        <v>0</v>
      </c>
      <c r="DB253" s="797">
        <f>BA253</f>
        <v>0</v>
      </c>
      <c r="DC253" s="797">
        <f>BB253</f>
        <v>0</v>
      </c>
      <c r="DD253" s="797"/>
      <c r="DE253" s="2601"/>
      <c r="DF253" s="797">
        <f>CC253+CF253</f>
        <v>49512.5</v>
      </c>
      <c r="DG253" s="2601"/>
      <c r="DH253" s="303">
        <f>CC253/'[1]Projected Development Sites'!DF$134</f>
        <v>44.561250000000001</v>
      </c>
      <c r="DI253" s="2724"/>
      <c r="DJ253" s="798">
        <f>'[1]Projected Development Sites'!DK$136*DH253</f>
        <v>44.561250000000001</v>
      </c>
      <c r="DK253" s="792">
        <f>2.87*DH253</f>
        <v>127.8907875</v>
      </c>
      <c r="DL253" s="917">
        <f>ROUND((CN253+CL253+CJ253)/1000*3,0)+ROUND((ROUND(CP253/400,0))/2.67,0)+ROUND(CV253/1000,0)+ROUND((CY253+CZ253+DA253+DC253)/1000*3,0)+ROUND(DH253/25,0)+ROUND(DX253/50,0)</f>
        <v>17</v>
      </c>
      <c r="DM253" s="799">
        <v>0</v>
      </c>
      <c r="DN253" s="799"/>
      <c r="DO253" s="799">
        <v>0</v>
      </c>
      <c r="DP253" s="799">
        <f>0.25*DJ253</f>
        <v>11.1403125</v>
      </c>
      <c r="DQ253" s="799">
        <f>SUM(CO253,CJ253,CN253,CR253,CU253)/1000</f>
        <v>4.9512499999999999</v>
      </c>
      <c r="DR253" s="799">
        <f>CL253/1000</f>
        <v>0</v>
      </c>
      <c r="DS253" s="799">
        <f>((CP253/400)/12)</f>
        <v>0</v>
      </c>
      <c r="DT253" s="799">
        <f>IF(CX253&gt;0,"Calculate",0)</f>
        <v>0</v>
      </c>
      <c r="DU253" s="799">
        <v>0</v>
      </c>
      <c r="DV253" s="799">
        <f>CX253/1000</f>
        <v>0</v>
      </c>
      <c r="DW253" s="2724"/>
      <c r="DX253" s="800">
        <f>SUM(DM253,DO253,DQ253:DV253)</f>
        <v>4.9512499999999999</v>
      </c>
      <c r="DY253" s="2727"/>
      <c r="DZ253" s="2730"/>
      <c r="EA253" s="2603"/>
      <c r="EB253" s="195">
        <f>CF253-W253</f>
        <v>2061.25</v>
      </c>
      <c r="EC253" s="2603"/>
      <c r="ED253" s="190">
        <v>2061.25</v>
      </c>
      <c r="EE253" s="195">
        <f>(SUM(CJ253:CO253))-(SUM(AA253:AE253,AL253))</f>
        <v>2061.25</v>
      </c>
      <c r="EF253" s="2603"/>
      <c r="EG253" s="190">
        <v>4951.25</v>
      </c>
      <c r="EH253" s="2603"/>
      <c r="EI253" s="195">
        <f>CL253-AC253</f>
        <v>0</v>
      </c>
      <c r="EJ253" s="2603"/>
      <c r="EK253" s="195">
        <f>CJ253-AA253</f>
        <v>0</v>
      </c>
      <c r="EL253" s="2603"/>
      <c r="EM253" s="190">
        <f>CO253-AE253</f>
        <v>-2890</v>
      </c>
      <c r="EN253" s="2603"/>
      <c r="EO253" s="190">
        <f>CP253-AH253</f>
        <v>0</v>
      </c>
      <c r="EP253" s="2603"/>
      <c r="EQ253" s="195">
        <f>CR253-AJ253</f>
        <v>0</v>
      </c>
      <c r="ER253" s="2603"/>
      <c r="ES253" s="195">
        <f>CS253-AO253</f>
        <v>0</v>
      </c>
      <c r="ET253" s="2603"/>
      <c r="EU253" s="190">
        <f t="shared" si="125"/>
        <v>0</v>
      </c>
      <c r="EV253" s="2603"/>
      <c r="EW253" s="195">
        <f>CU253-AS253</f>
        <v>0</v>
      </c>
      <c r="EX253" s="2603"/>
      <c r="EY253" s="190">
        <f>CV253-AU253</f>
        <v>0</v>
      </c>
      <c r="EZ253" s="2603"/>
      <c r="FA253" s="190">
        <f>CY253-AX253</f>
        <v>0</v>
      </c>
      <c r="FB253" s="2603"/>
      <c r="FC253" s="190">
        <f>CZ253-AY253</f>
        <v>0</v>
      </c>
      <c r="FD253" s="2603"/>
      <c r="FE253" s="190">
        <f>DA253-AZ253</f>
        <v>0</v>
      </c>
      <c r="FF253" s="2603"/>
      <c r="FG253" s="190">
        <f>DB253-BA253</f>
        <v>0</v>
      </c>
      <c r="FH253" s="2603"/>
      <c r="FI253" s="190">
        <f>DC253-BB253</f>
        <v>0</v>
      </c>
      <c r="FJ253" s="2603"/>
      <c r="FK253" s="190">
        <f>CX253-AW253</f>
        <v>0</v>
      </c>
      <c r="FL253" s="2603"/>
      <c r="FM253" s="195">
        <f>DF253-BE253</f>
        <v>46622.5</v>
      </c>
      <c r="FN253" s="2603"/>
      <c r="FO253" s="195">
        <f>DH253-BG253</f>
        <v>44.561250000000001</v>
      </c>
      <c r="FP253" s="2603"/>
      <c r="FQ253" s="195">
        <f t="shared" si="142"/>
        <v>44.561250000000001</v>
      </c>
      <c r="FR253" s="190">
        <f t="shared" si="142"/>
        <v>127.8907875</v>
      </c>
      <c r="FS253" s="190">
        <f t="shared" si="142"/>
        <v>5</v>
      </c>
      <c r="FT253" s="801">
        <f t="shared" si="142"/>
        <v>0</v>
      </c>
      <c r="FU253" s="801">
        <f>DR253-BO253</f>
        <v>0</v>
      </c>
      <c r="FV253" s="801">
        <f>DO253-BM253</f>
        <v>0</v>
      </c>
      <c r="FW253" s="801">
        <f>DQ253-BN253</f>
        <v>4.9512499999999999</v>
      </c>
      <c r="FX253" s="801">
        <f>DS253-BP253</f>
        <v>0</v>
      </c>
      <c r="FY253" s="801">
        <f t="shared" si="132"/>
        <v>0</v>
      </c>
      <c r="FZ253" s="801">
        <f>DU253-BR253</f>
        <v>0</v>
      </c>
      <c r="GA253" s="801">
        <f>DV253-BS253</f>
        <v>0</v>
      </c>
      <c r="GB253" s="2736"/>
      <c r="GC253" s="845">
        <f t="shared" si="126"/>
        <v>4.9512499999999999</v>
      </c>
      <c r="GU253" s="81"/>
      <c r="GV253" s="81"/>
    </row>
    <row r="254" spans="1:204" s="127" customFormat="1" ht="15" customHeight="1">
      <c r="A254" s="2263"/>
      <c r="B254" s="2263"/>
      <c r="C254" s="132"/>
      <c r="D254" s="132"/>
      <c r="E254" s="132"/>
      <c r="F254" s="132"/>
      <c r="G254" s="132"/>
      <c r="H254" s="135"/>
      <c r="I254" s="136"/>
      <c r="J254" s="132"/>
      <c r="K254" s="132"/>
      <c r="L254" s="132"/>
      <c r="M254" s="132"/>
      <c r="N254" s="134"/>
      <c r="O254" s="134"/>
      <c r="P254" s="134"/>
      <c r="Q254" s="134"/>
      <c r="R254" s="137"/>
      <c r="S254" s="778"/>
      <c r="T254" s="634"/>
      <c r="U254" s="102"/>
      <c r="V254" s="634"/>
      <c r="W254" s="102"/>
      <c r="X254" s="102"/>
      <c r="Y254" s="102"/>
      <c r="Z254" s="634"/>
      <c r="AA254" s="102"/>
      <c r="AB254" s="634"/>
      <c r="AC254" s="102"/>
      <c r="AD254" s="634"/>
      <c r="AE254" s="102"/>
      <c r="AF254" s="102"/>
      <c r="AG254" s="102"/>
      <c r="AH254" s="102"/>
      <c r="AI254" s="634"/>
      <c r="AJ254" s="102"/>
      <c r="AK254" s="634"/>
      <c r="AL254" s="102"/>
      <c r="AM254" s="779"/>
      <c r="AN254" s="634"/>
      <c r="AO254" s="102"/>
      <c r="AP254" s="634"/>
      <c r="AQ254" s="102"/>
      <c r="AR254" s="634"/>
      <c r="AS254" s="102"/>
      <c r="AT254" s="634"/>
      <c r="AU254" s="102"/>
      <c r="AV254" s="634"/>
      <c r="AW254" s="102"/>
      <c r="AX254" s="102"/>
      <c r="AY254" s="102"/>
      <c r="AZ254" s="102"/>
      <c r="BA254" s="102"/>
      <c r="BB254" s="102"/>
      <c r="BC254" s="102"/>
      <c r="BD254" s="634"/>
      <c r="BE254" s="102"/>
      <c r="BF254" s="634"/>
      <c r="BG254" s="102"/>
      <c r="BH254" s="634"/>
      <c r="BI254" s="102"/>
      <c r="BJ254" s="111"/>
      <c r="BK254" s="186"/>
      <c r="BL254" s="102"/>
      <c r="BM254" s="102"/>
      <c r="BN254" s="102"/>
      <c r="BO254" s="102"/>
      <c r="BP254" s="102"/>
      <c r="BQ254" s="102"/>
      <c r="BR254" s="102"/>
      <c r="BS254" s="102"/>
      <c r="BT254" s="634"/>
      <c r="BU254" s="102"/>
      <c r="BV254" s="139"/>
      <c r="BW254" s="780"/>
      <c r="BX254" s="139"/>
      <c r="BY254" s="139"/>
      <c r="BZ254" s="139"/>
      <c r="CA254" s="781"/>
      <c r="CB254" s="2258"/>
      <c r="CC254" s="782"/>
      <c r="CD254" s="782"/>
      <c r="CE254" s="634"/>
      <c r="CF254" s="783"/>
      <c r="CG254" s="634"/>
      <c r="CH254" s="783"/>
      <c r="CI254" s="634"/>
      <c r="CJ254" s="139"/>
      <c r="CK254" s="634"/>
      <c r="CL254" s="139"/>
      <c r="CM254" s="634"/>
      <c r="CN254" s="784"/>
      <c r="CO254" s="784"/>
      <c r="CP254" s="784"/>
      <c r="CQ254" s="634"/>
      <c r="CR254" s="102"/>
      <c r="CS254" s="784"/>
      <c r="CT254" s="784"/>
      <c r="CU254" s="784"/>
      <c r="CV254" s="784"/>
      <c r="CW254" s="634"/>
      <c r="CX254" s="102"/>
      <c r="CY254" s="784"/>
      <c r="CZ254" s="784"/>
      <c r="DA254" s="784"/>
      <c r="DB254" s="784"/>
      <c r="DC254" s="784"/>
      <c r="DD254" s="784"/>
      <c r="DE254" s="634"/>
      <c r="DF254" s="784"/>
      <c r="DG254" s="634"/>
      <c r="DH254" s="296"/>
      <c r="DI254" s="802"/>
      <c r="DJ254" s="785"/>
      <c r="DK254" s="899"/>
      <c r="DL254" s="786"/>
      <c r="DM254" s="787"/>
      <c r="DN254" s="787"/>
      <c r="DO254" s="787"/>
      <c r="DP254" s="787"/>
      <c r="DQ254" s="787"/>
      <c r="DR254" s="787"/>
      <c r="DS254" s="787"/>
      <c r="DT254" s="787"/>
      <c r="DU254" s="787"/>
      <c r="DV254" s="787"/>
      <c r="DW254" s="802"/>
      <c r="DX254" s="788"/>
      <c r="DY254" s="634"/>
      <c r="DZ254" s="2288"/>
      <c r="EA254" s="2231"/>
      <c r="EB254" s="187"/>
      <c r="EC254" s="2232"/>
      <c r="ED254" s="187"/>
      <c r="EE254" s="187"/>
      <c r="EF254" s="2232"/>
      <c r="EG254" s="187"/>
      <c r="EH254" s="2232"/>
      <c r="EI254" s="187"/>
      <c r="EJ254" s="2232"/>
      <c r="EK254" s="187"/>
      <c r="EL254" s="2232"/>
      <c r="EM254" s="195"/>
      <c r="EN254" s="2232"/>
      <c r="EO254" s="195"/>
      <c r="EP254" s="2232"/>
      <c r="EQ254" s="187"/>
      <c r="ER254" s="2232"/>
      <c r="ES254" s="187"/>
      <c r="ET254" s="2232"/>
      <c r="EU254" s="187">
        <f t="shared" si="125"/>
        <v>0</v>
      </c>
      <c r="EV254" s="2232"/>
      <c r="EW254" s="187"/>
      <c r="EX254" s="2232"/>
      <c r="EY254" s="195"/>
      <c r="EZ254" s="2232"/>
      <c r="FA254" s="195"/>
      <c r="FB254" s="2232"/>
      <c r="FC254" s="195"/>
      <c r="FD254" s="2232"/>
      <c r="FE254" s="195"/>
      <c r="FF254" s="2232"/>
      <c r="FG254" s="195"/>
      <c r="FH254" s="2232"/>
      <c r="FI254" s="195"/>
      <c r="FJ254" s="2232"/>
      <c r="FK254" s="195"/>
      <c r="FL254" s="2232"/>
      <c r="FM254" s="187"/>
      <c r="FN254" s="2232"/>
      <c r="FO254" s="187"/>
      <c r="FP254" s="2232"/>
      <c r="FQ254" s="187"/>
      <c r="FR254" s="195"/>
      <c r="FS254" s="195"/>
      <c r="FT254" s="789"/>
      <c r="FU254" s="789"/>
      <c r="FV254" s="789"/>
      <c r="FW254" s="789"/>
      <c r="FX254" s="789"/>
      <c r="FY254" s="801">
        <f t="shared" si="132"/>
        <v>0</v>
      </c>
      <c r="FZ254" s="789"/>
      <c r="GA254" s="789"/>
      <c r="GB254" s="2286"/>
      <c r="GC254" s="776"/>
      <c r="GD254" s="139"/>
      <c r="GE254" s="139"/>
      <c r="GF254" s="139"/>
      <c r="GG254" s="139"/>
      <c r="GH254" s="139"/>
      <c r="GI254" s="139"/>
      <c r="GJ254" s="139"/>
      <c r="GK254" s="139"/>
      <c r="GL254" s="139"/>
      <c r="GM254" s="139"/>
      <c r="GN254" s="139"/>
      <c r="GO254" s="139"/>
      <c r="GP254" s="139"/>
      <c r="GQ254" s="139"/>
      <c r="GR254" s="139"/>
      <c r="GS254" s="139"/>
      <c r="GT254" s="139"/>
      <c r="GU254" s="139"/>
      <c r="GV254" s="139"/>
    </row>
    <row r="255" spans="1:204" s="139" customFormat="1" ht="15" customHeight="1">
      <c r="A255" s="2588"/>
      <c r="B255" s="2588">
        <v>95</v>
      </c>
      <c r="C255" s="115" t="s">
        <v>703</v>
      </c>
      <c r="D255" s="115">
        <v>2489</v>
      </c>
      <c r="E255" s="115">
        <v>1</v>
      </c>
      <c r="F255" s="763">
        <v>2024890001</v>
      </c>
      <c r="G255" s="115">
        <v>9807</v>
      </c>
      <c r="H255" s="118" t="s">
        <v>733</v>
      </c>
      <c r="I255" s="119" t="s">
        <v>727</v>
      </c>
      <c r="J255" s="115">
        <v>2</v>
      </c>
      <c r="K255" s="115">
        <v>7.2</v>
      </c>
      <c r="L255" s="115">
        <v>0</v>
      </c>
      <c r="M255" s="115">
        <v>6.5</v>
      </c>
      <c r="N255" s="117">
        <v>19600</v>
      </c>
      <c r="O255" s="117">
        <v>0</v>
      </c>
      <c r="P255" s="117">
        <v>0</v>
      </c>
      <c r="Q255" s="117">
        <v>19600</v>
      </c>
      <c r="R255" s="120">
        <v>0</v>
      </c>
      <c r="S255" s="764" t="s">
        <v>637</v>
      </c>
      <c r="T255" s="2600">
        <f>SUM(U255:U258)</f>
        <v>0</v>
      </c>
      <c r="U255" s="122">
        <v>0</v>
      </c>
      <c r="V255" s="2600">
        <f>SUM(W255:W258)</f>
        <v>27360</v>
      </c>
      <c r="W255" s="122">
        <f>N255</f>
        <v>19600</v>
      </c>
      <c r="X255" s="122"/>
      <c r="Y255" s="122">
        <f>W255-AA255</f>
        <v>19600</v>
      </c>
      <c r="Z255" s="2600">
        <f>SUM(AA255:AA258)</f>
        <v>0</v>
      </c>
      <c r="AA255" s="122">
        <v>0</v>
      </c>
      <c r="AB255" s="2600">
        <f>SUM(AC255:AC258)</f>
        <v>0</v>
      </c>
      <c r="AC255" s="122">
        <v>0</v>
      </c>
      <c r="AD255" s="2600">
        <f>SUM(AE255:AE258)</f>
        <v>0</v>
      </c>
      <c r="AE255" s="122">
        <f>AG255+AF255</f>
        <v>0</v>
      </c>
      <c r="AF255" s="122">
        <v>0</v>
      </c>
      <c r="AG255" s="122">
        <v>0</v>
      </c>
      <c r="AH255" s="122">
        <v>0</v>
      </c>
      <c r="AI255" s="2600">
        <f>SUM(AJ255:AJ258)</f>
        <v>0</v>
      </c>
      <c r="AJ255" s="122">
        <v>0</v>
      </c>
      <c r="AK255" s="2600">
        <f>SUM(AL255:AL258)</f>
        <v>27360</v>
      </c>
      <c r="AL255" s="122">
        <f>W255-(AA255+AC255+AE255+AH255+AJ255+AM255+AW255+AO255+AQ255+AS255+AU255)</f>
        <v>19600</v>
      </c>
      <c r="AM255" s="765">
        <v>0</v>
      </c>
      <c r="AN255" s="2600">
        <f>SUM(AO255:AO258)</f>
        <v>0</v>
      </c>
      <c r="AO255" s="122">
        <v>0</v>
      </c>
      <c r="AP255" s="2600">
        <f>SUM(AQ255:AQ258)</f>
        <v>0</v>
      </c>
      <c r="AQ255" s="122">
        <v>0</v>
      </c>
      <c r="AR255" s="2600">
        <f>SUM(AS255:AS258)</f>
        <v>0</v>
      </c>
      <c r="AS255" s="122">
        <v>0</v>
      </c>
      <c r="AT255" s="2600">
        <f>SUM(AU255:AU258)</f>
        <v>0</v>
      </c>
      <c r="AU255" s="122">
        <v>0</v>
      </c>
      <c r="AV255" s="2600">
        <f>SUM(AW255:AW258)</f>
        <v>0</v>
      </c>
      <c r="AW255" s="122">
        <f>AX255+AY255+AZ255+BA255+BB255</f>
        <v>0</v>
      </c>
      <c r="AX255" s="122">
        <v>0</v>
      </c>
      <c r="AY255" s="122">
        <v>0</v>
      </c>
      <c r="AZ255" s="122">
        <v>0</v>
      </c>
      <c r="BA255" s="122">
        <v>0</v>
      </c>
      <c r="BB255" s="122">
        <v>0</v>
      </c>
      <c r="BC255" s="122">
        <v>0</v>
      </c>
      <c r="BD255" s="2600">
        <f>SUM(BE255:BE258)</f>
        <v>27360</v>
      </c>
      <c r="BE255" s="122">
        <f>U255+W255</f>
        <v>19600</v>
      </c>
      <c r="BF255" s="2600">
        <f>SUM(BG255:BG258)</f>
        <v>0</v>
      </c>
      <c r="BG255" s="122">
        <f>U255/1000</f>
        <v>0</v>
      </c>
      <c r="BH255" s="2600">
        <f>SUM(BI255:BI258)</f>
        <v>0</v>
      </c>
      <c r="BI255" s="122">
        <f>'[1]Projected Development Sites'!BG$135*BG255</f>
        <v>0</v>
      </c>
      <c r="BJ255" s="122">
        <f t="shared" si="127"/>
        <v>0</v>
      </c>
      <c r="BK255" s="129">
        <f>ROUND((Y255+AC255+AA255)/1000*3,0)+ROUND((AE255+AU255)/1000,0)+ROUND((ROUND(AH255/400,0))/2.67,0)+ROUND(AM255/250,0)+ROUND(AO255/15000,0)+ROUND((AX255+AY255+AZ255+BB255)/1000*3,0)+ROUND(BG255/25,0)+ROUND(BU315/50,0)</f>
        <v>59</v>
      </c>
      <c r="BL255" s="122">
        <v>0</v>
      </c>
      <c r="BM255" s="122">
        <v>0</v>
      </c>
      <c r="BN255" s="122">
        <v>0</v>
      </c>
      <c r="BO255" s="122">
        <f>AC255/1000</f>
        <v>0</v>
      </c>
      <c r="BP255" s="122">
        <f>AH255/1000</f>
        <v>0</v>
      </c>
      <c r="BQ255" s="122">
        <v>0</v>
      </c>
      <c r="BR255" s="122">
        <v>0</v>
      </c>
      <c r="BS255" s="122">
        <v>0</v>
      </c>
      <c r="BT255" s="2600">
        <f>SUM(BU255:BU258)</f>
        <v>0</v>
      </c>
      <c r="BU255" s="122">
        <f>SUM(BL255:BS255)</f>
        <v>0</v>
      </c>
      <c r="BV255" s="127">
        <v>25</v>
      </c>
      <c r="BW255" s="766" t="s">
        <v>758</v>
      </c>
      <c r="BX255" s="127">
        <v>8.5</v>
      </c>
      <c r="BY255" s="127">
        <v>2</v>
      </c>
      <c r="BZ255" s="127">
        <v>7.5</v>
      </c>
      <c r="CA255" s="767" t="s">
        <v>706</v>
      </c>
      <c r="CB255" s="2596" t="s">
        <v>716</v>
      </c>
      <c r="CC255" s="768">
        <f>(BX255*G255)-CF255</f>
        <v>75023.55</v>
      </c>
      <c r="CD255" s="2731">
        <f>SUM(CC255:CC258)</f>
        <v>136223.54999999999</v>
      </c>
      <c r="CE255" s="2600">
        <f>SUM(CF255:CF258)</f>
        <v>15135.95</v>
      </c>
      <c r="CF255" s="838">
        <f>1*(G255)-(0.15*1*(G255))</f>
        <v>8335.9500000000007</v>
      </c>
      <c r="CG255" s="2600">
        <f>SUM(CH255:CH258)</f>
        <v>15135.95</v>
      </c>
      <c r="CH255" s="838">
        <f>CF255-CJ255</f>
        <v>8335.9500000000007</v>
      </c>
      <c r="CI255" s="2600">
        <f>SUM(CJ255:CJ258)</f>
        <v>0</v>
      </c>
      <c r="CJ255" s="127">
        <v>0</v>
      </c>
      <c r="CK255" s="2600">
        <f>SUM(CL255:CL258)</f>
        <v>0</v>
      </c>
      <c r="CL255" s="127">
        <v>0</v>
      </c>
      <c r="CM255" s="2600">
        <f>SUM(CN255:CN258)</f>
        <v>15135.95</v>
      </c>
      <c r="CN255" s="122">
        <f>CF255-(CJ255+CL255+CO255+CP255+CR255+CU255+CV255+CX255)</f>
        <v>8335.9500000000007</v>
      </c>
      <c r="CO255" s="122">
        <v>0</v>
      </c>
      <c r="CP255" s="122">
        <v>0</v>
      </c>
      <c r="CQ255" s="2600">
        <f>SUM(CR255:CR258)</f>
        <v>0</v>
      </c>
      <c r="CR255" s="122">
        <v>0</v>
      </c>
      <c r="CS255" s="122">
        <v>0</v>
      </c>
      <c r="CT255" s="122">
        <v>0</v>
      </c>
      <c r="CU255" s="122">
        <v>0</v>
      </c>
      <c r="CV255" s="122">
        <v>0</v>
      </c>
      <c r="CW255" s="2600">
        <f>SUM(CX255:CX258)</f>
        <v>0</v>
      </c>
      <c r="CX255" s="122">
        <f>SUM(CY255:DC255)</f>
        <v>0</v>
      </c>
      <c r="CY255" s="122">
        <f t="shared" ref="CY255:DC257" si="143">AX255</f>
        <v>0</v>
      </c>
      <c r="CZ255" s="122">
        <f t="shared" si="143"/>
        <v>0</v>
      </c>
      <c r="DA255" s="122">
        <f t="shared" si="143"/>
        <v>0</v>
      </c>
      <c r="DB255" s="122">
        <f t="shared" si="143"/>
        <v>0</v>
      </c>
      <c r="DC255" s="122">
        <f t="shared" si="143"/>
        <v>0</v>
      </c>
      <c r="DD255" s="122"/>
      <c r="DE255" s="2600">
        <f>SUM(DF255:DF258)</f>
        <v>151359.5</v>
      </c>
      <c r="DF255" s="122">
        <f>CC255+CF255</f>
        <v>83359.5</v>
      </c>
      <c r="DG255" s="2600">
        <f>SUM(DH255:DH258)</f>
        <v>136.22354999999999</v>
      </c>
      <c r="DH255" s="293">
        <f>CC255/'[1]Projected Development Sites'!DF$134</f>
        <v>75.02355</v>
      </c>
      <c r="DI255" s="2722">
        <f>SUM(DJ255:DJ258)</f>
        <v>136.22354999999999</v>
      </c>
      <c r="DJ255" s="771">
        <f>'[1]Projected Development Sites'!DK$136*DH255</f>
        <v>75.02355</v>
      </c>
      <c r="DK255" s="765">
        <f>2.87*DH255</f>
        <v>215.3175885</v>
      </c>
      <c r="DL255" s="772">
        <f>ROUND((CN255+CL255+CJ255)/1000*3,0)+ROUND((ROUND(CP255/400,0))/2.67,0)+ROUND(CV255/1000,0)+ROUND((CY255+CZ255+DA255+DC255)/1000*3,0)+ROUND(DH255/25,0)+ROUND(DX255/50,0)</f>
        <v>28</v>
      </c>
      <c r="DM255" s="773">
        <v>0</v>
      </c>
      <c r="DN255" s="773"/>
      <c r="DO255" s="773">
        <v>0</v>
      </c>
      <c r="DP255" s="773">
        <f>0.25*DJ255</f>
        <v>18.7558875</v>
      </c>
      <c r="DQ255" s="773">
        <f>SUM(CO255,CJ255,CN255,CR255,CU255)/1000</f>
        <v>8.3359500000000004</v>
      </c>
      <c r="DR255" s="773">
        <f>CL255/1000</f>
        <v>0</v>
      </c>
      <c r="DS255" s="773">
        <f>((CP255/400)/12)</f>
        <v>0</v>
      </c>
      <c r="DT255" s="773">
        <f>IF(CX255&gt;0,"Calculate",0)</f>
        <v>0</v>
      </c>
      <c r="DU255" s="773">
        <v>0</v>
      </c>
      <c r="DV255" s="773">
        <f>CX255/1000</f>
        <v>0</v>
      </c>
      <c r="DW255" s="2722">
        <f>SUM(DX255:DX258)</f>
        <v>15.135950000000001</v>
      </c>
      <c r="DX255" s="774">
        <f>SUM(DM255,DO255,DQ255:DV255)</f>
        <v>8.3359500000000004</v>
      </c>
      <c r="DY255" s="2725">
        <v>225</v>
      </c>
      <c r="DZ255" s="2728">
        <f>CD255-T255</f>
        <v>136223.54999999999</v>
      </c>
      <c r="EA255" s="2602">
        <f>CE255-V255</f>
        <v>-12224.05</v>
      </c>
      <c r="EB255" s="187">
        <f>CF255-W255</f>
        <v>-11264.05</v>
      </c>
      <c r="EC255" s="2602">
        <f>SUM(ED255:ED258)</f>
        <v>-12224.05</v>
      </c>
      <c r="ED255" s="187">
        <v>-11264.05</v>
      </c>
      <c r="EE255" s="187">
        <f>(SUM(CJ255:CO255))-(SUM(AA255:AE255,AL255))</f>
        <v>3871.9000000000015</v>
      </c>
      <c r="EF255" s="2602">
        <f>SUM(EG255:EG258)</f>
        <v>-12224.05</v>
      </c>
      <c r="EG255" s="187">
        <v>-11264.05</v>
      </c>
      <c r="EH255" s="2602">
        <f>SUM(EI255:EI258)</f>
        <v>0</v>
      </c>
      <c r="EI255" s="187">
        <f>CL255-AC255</f>
        <v>0</v>
      </c>
      <c r="EJ255" s="2602">
        <f>SUM(EK255:EK258)</f>
        <v>0</v>
      </c>
      <c r="EK255" s="187">
        <f>CJ255-AA255</f>
        <v>0</v>
      </c>
      <c r="EL255" s="2602">
        <f>SUM(EM255:EM258)</f>
        <v>0</v>
      </c>
      <c r="EM255" s="187">
        <f>CO255-AE255</f>
        <v>0</v>
      </c>
      <c r="EN255" s="2602">
        <f>SUM(EO255:EO258)</f>
        <v>0</v>
      </c>
      <c r="EO255" s="187">
        <f>CP255-AH255</f>
        <v>0</v>
      </c>
      <c r="EP255" s="2602">
        <f>SUM(EQ255:EQ258)</f>
        <v>0</v>
      </c>
      <c r="EQ255" s="187">
        <f>CR255-AJ255</f>
        <v>0</v>
      </c>
      <c r="ER255" s="2602">
        <f>SUM(ES255:ES258)</f>
        <v>0</v>
      </c>
      <c r="ES255" s="187">
        <f>CS255-AO255</f>
        <v>0</v>
      </c>
      <c r="ET255" s="2602">
        <f>SUM(EU255:EU258)</f>
        <v>0</v>
      </c>
      <c r="EU255" s="187">
        <f t="shared" si="125"/>
        <v>0</v>
      </c>
      <c r="EV255" s="2602">
        <f>SUM(EW255:EW258)</f>
        <v>0</v>
      </c>
      <c r="EW255" s="187">
        <f>CU255-AS255</f>
        <v>0</v>
      </c>
      <c r="EX255" s="2602">
        <f>SUM(EY255:EY258)</f>
        <v>0</v>
      </c>
      <c r="EY255" s="187">
        <f>CV255-AU255</f>
        <v>0</v>
      </c>
      <c r="EZ255" s="2602">
        <f>SUM(FA255:FA258)</f>
        <v>0</v>
      </c>
      <c r="FA255" s="187">
        <f>CY255-AX255</f>
        <v>0</v>
      </c>
      <c r="FB255" s="2602">
        <f>SUM(FC255:FC258)</f>
        <v>0</v>
      </c>
      <c r="FC255" s="187">
        <f>CZ255-AY255</f>
        <v>0</v>
      </c>
      <c r="FD255" s="2602">
        <f>SUM(FE255:FE258)</f>
        <v>0</v>
      </c>
      <c r="FE255" s="187">
        <f>DA255-AZ255</f>
        <v>0</v>
      </c>
      <c r="FF255" s="2602">
        <f>SUM(FG255:FG258)</f>
        <v>0</v>
      </c>
      <c r="FG255" s="187">
        <f>DB255-BA255</f>
        <v>0</v>
      </c>
      <c r="FH255" s="2602">
        <f>SUM(FI255:FI258)</f>
        <v>0</v>
      </c>
      <c r="FI255" s="187">
        <f>DC255-BB255</f>
        <v>0</v>
      </c>
      <c r="FJ255" s="2602">
        <f>SUM(FK255:FK258)</f>
        <v>0</v>
      </c>
      <c r="FK255" s="187">
        <f>CX255-AW255</f>
        <v>0</v>
      </c>
      <c r="FL255" s="2602">
        <f>SUM(FM255:FM258)</f>
        <v>123999.5</v>
      </c>
      <c r="FM255" s="187">
        <f>DF255-BE255</f>
        <v>63759.5</v>
      </c>
      <c r="FN255" s="2602">
        <f>SUM(FO255:FO258)</f>
        <v>136.22354999999999</v>
      </c>
      <c r="FO255" s="187">
        <f>DH255-BG255</f>
        <v>75.02355</v>
      </c>
      <c r="FP255" s="2602">
        <f>SUM(FQ255:FQ258)</f>
        <v>136.22354999999999</v>
      </c>
      <c r="FQ255" s="187">
        <f t="shared" ref="FQ255:FT258" si="144">DJ255-BI255</f>
        <v>75.02355</v>
      </c>
      <c r="FR255" s="187">
        <f t="shared" si="144"/>
        <v>215.3175885</v>
      </c>
      <c r="FS255" s="187">
        <f t="shared" si="144"/>
        <v>-31</v>
      </c>
      <c r="FT255" s="775">
        <f t="shared" si="144"/>
        <v>0</v>
      </c>
      <c r="FU255" s="775">
        <f>DR255-BO255</f>
        <v>0</v>
      </c>
      <c r="FV255" s="775">
        <f>DO255-BM255</f>
        <v>0</v>
      </c>
      <c r="FW255" s="775">
        <f>DQ255-BN255</f>
        <v>8.3359500000000004</v>
      </c>
      <c r="FX255" s="775">
        <f>DS255-BP255</f>
        <v>0</v>
      </c>
      <c r="FY255" s="789">
        <f t="shared" ref="FY255:GA271" si="145">DT255-BQ255</f>
        <v>0</v>
      </c>
      <c r="FZ255" s="775">
        <f t="shared" si="145"/>
        <v>0</v>
      </c>
      <c r="GA255" s="775">
        <f t="shared" si="145"/>
        <v>0</v>
      </c>
      <c r="GB255" s="2734">
        <f>SUM(GC255:GC258)</f>
        <v>15.135950000000001</v>
      </c>
      <c r="GC255" s="776">
        <f t="shared" si="126"/>
        <v>8.3359500000000004</v>
      </c>
      <c r="GU255" s="127"/>
      <c r="GV255" s="127"/>
    </row>
    <row r="256" spans="1:204" s="139" customFormat="1" ht="15" customHeight="1">
      <c r="A256" s="2660"/>
      <c r="B256" s="2660"/>
      <c r="C256" s="132" t="s">
        <v>703</v>
      </c>
      <c r="D256" s="132">
        <v>2489</v>
      </c>
      <c r="E256" s="132">
        <v>29</v>
      </c>
      <c r="F256" s="777">
        <v>2024890029</v>
      </c>
      <c r="G256" s="132">
        <v>1500</v>
      </c>
      <c r="H256" s="135" t="s">
        <v>733</v>
      </c>
      <c r="I256" s="136" t="s">
        <v>727</v>
      </c>
      <c r="J256" s="132">
        <v>1</v>
      </c>
      <c r="K256" s="132">
        <v>7.2</v>
      </c>
      <c r="L256" s="132">
        <v>0</v>
      </c>
      <c r="M256" s="132">
        <v>6.5</v>
      </c>
      <c r="N256" s="134">
        <v>1500</v>
      </c>
      <c r="O256" s="134">
        <v>0</v>
      </c>
      <c r="P256" s="134">
        <v>0</v>
      </c>
      <c r="Q256" s="134">
        <v>1500</v>
      </c>
      <c r="R256" s="137">
        <v>0</v>
      </c>
      <c r="S256" s="778" t="s">
        <v>637</v>
      </c>
      <c r="T256" s="2643"/>
      <c r="U256" s="102">
        <v>0</v>
      </c>
      <c r="V256" s="2643"/>
      <c r="W256" s="102">
        <f>N256</f>
        <v>1500</v>
      </c>
      <c r="X256" s="102"/>
      <c r="Y256" s="102">
        <f>W256-AA256</f>
        <v>1500</v>
      </c>
      <c r="Z256" s="2643"/>
      <c r="AA256" s="102">
        <v>0</v>
      </c>
      <c r="AB256" s="2643"/>
      <c r="AC256" s="102">
        <v>0</v>
      </c>
      <c r="AD256" s="2643"/>
      <c r="AE256" s="102">
        <f>AG256+AF256</f>
        <v>0</v>
      </c>
      <c r="AF256" s="102">
        <v>0</v>
      </c>
      <c r="AG256" s="102">
        <v>0</v>
      </c>
      <c r="AH256" s="102">
        <v>0</v>
      </c>
      <c r="AI256" s="2643"/>
      <c r="AJ256" s="102">
        <v>0</v>
      </c>
      <c r="AK256" s="2643"/>
      <c r="AL256" s="102">
        <f>W256-(AA256+AC256+AE256+AH256+AJ256+AM256+AW256+AO256+AQ256+AS256+AU256)</f>
        <v>1500</v>
      </c>
      <c r="AM256" s="779">
        <v>0</v>
      </c>
      <c r="AN256" s="2643"/>
      <c r="AO256" s="102">
        <v>0</v>
      </c>
      <c r="AP256" s="2643"/>
      <c r="AQ256" s="102">
        <v>0</v>
      </c>
      <c r="AR256" s="2643"/>
      <c r="AS256" s="102">
        <v>0</v>
      </c>
      <c r="AT256" s="2643"/>
      <c r="AU256" s="102">
        <v>0</v>
      </c>
      <c r="AV256" s="2643"/>
      <c r="AW256" s="102">
        <f>AX256+AY256+AZ256+BA256+BB256</f>
        <v>0</v>
      </c>
      <c r="AX256" s="102">
        <v>0</v>
      </c>
      <c r="AY256" s="102">
        <v>0</v>
      </c>
      <c r="AZ256" s="102">
        <v>0</v>
      </c>
      <c r="BA256" s="102">
        <v>0</v>
      </c>
      <c r="BB256" s="102">
        <v>0</v>
      </c>
      <c r="BC256" s="102">
        <v>0</v>
      </c>
      <c r="BD256" s="2643"/>
      <c r="BE256" s="102">
        <f>U256+W256</f>
        <v>1500</v>
      </c>
      <c r="BF256" s="2643"/>
      <c r="BG256" s="102">
        <f>U256/1000</f>
        <v>0</v>
      </c>
      <c r="BH256" s="2643"/>
      <c r="BI256" s="102">
        <f>'[1]Projected Development Sites'!BG$135*BG256</f>
        <v>0</v>
      </c>
      <c r="BJ256" s="102">
        <f t="shared" si="127"/>
        <v>0</v>
      </c>
      <c r="BK256" s="186">
        <f>ROUND((Y256+AC256+AA256)/1000*3,0)+ROUND((AE256+AU256)/1000,0)+ROUND((ROUND(AH256/400,0))/2.67,0)+ROUND(AM256/250,0)+ROUND(AO256/15000,0)+ROUND((AX256+AY256+AZ256+BB256)/1000*3,0)+ROUND(BG256/25,0)+ROUND(BU316/50,0)</f>
        <v>5</v>
      </c>
      <c r="BL256" s="102">
        <v>0</v>
      </c>
      <c r="BM256" s="102">
        <v>0</v>
      </c>
      <c r="BN256" s="102">
        <v>0</v>
      </c>
      <c r="BO256" s="102">
        <f>AC256/1000</f>
        <v>0</v>
      </c>
      <c r="BP256" s="102">
        <f>AH256/1000</f>
        <v>0</v>
      </c>
      <c r="BQ256" s="102">
        <v>0</v>
      </c>
      <c r="BR256" s="102">
        <v>0</v>
      </c>
      <c r="BS256" s="102">
        <v>0</v>
      </c>
      <c r="BT256" s="2643"/>
      <c r="BU256" s="102">
        <f>SUM(BL256:BS256)</f>
        <v>0</v>
      </c>
      <c r="BV256" s="139">
        <v>15</v>
      </c>
      <c r="BW256" s="780" t="s">
        <v>758</v>
      </c>
      <c r="BX256" s="139">
        <v>8.5</v>
      </c>
      <c r="BY256" s="139">
        <v>2</v>
      </c>
      <c r="BZ256" s="139">
        <v>7.5</v>
      </c>
      <c r="CA256" s="781" t="s">
        <v>706</v>
      </c>
      <c r="CB256" s="2662"/>
      <c r="CC256" s="782">
        <f>(BX256*G256)-CF256</f>
        <v>11475</v>
      </c>
      <c r="CD256" s="2732"/>
      <c r="CE256" s="2643"/>
      <c r="CF256" s="840">
        <f>1*(G256)-(0.15*1*(G256))</f>
        <v>1275</v>
      </c>
      <c r="CG256" s="2643"/>
      <c r="CH256" s="840">
        <f>CF256-CJ256</f>
        <v>1275</v>
      </c>
      <c r="CI256" s="2643"/>
      <c r="CJ256" s="139">
        <v>0</v>
      </c>
      <c r="CK256" s="2643"/>
      <c r="CL256" s="139">
        <v>0</v>
      </c>
      <c r="CM256" s="2643"/>
      <c r="CN256" s="102">
        <f>CF256-(CJ256+CL256+CO256+CP256+CR256+CU256+CV256+CX256)</f>
        <v>1275</v>
      </c>
      <c r="CO256" s="102">
        <v>0</v>
      </c>
      <c r="CP256" s="102">
        <v>0</v>
      </c>
      <c r="CQ256" s="2643"/>
      <c r="CR256" s="102">
        <v>0</v>
      </c>
      <c r="CS256" s="102">
        <v>0</v>
      </c>
      <c r="CT256" s="102">
        <v>0</v>
      </c>
      <c r="CU256" s="102">
        <v>0</v>
      </c>
      <c r="CV256" s="102">
        <v>0</v>
      </c>
      <c r="CW256" s="2643"/>
      <c r="CX256" s="102">
        <f>SUM(CY256:DC256)</f>
        <v>0</v>
      </c>
      <c r="CY256" s="102">
        <f t="shared" si="143"/>
        <v>0</v>
      </c>
      <c r="CZ256" s="102">
        <f t="shared" si="143"/>
        <v>0</v>
      </c>
      <c r="DA256" s="102">
        <f t="shared" si="143"/>
        <v>0</v>
      </c>
      <c r="DB256" s="102">
        <f t="shared" si="143"/>
        <v>0</v>
      </c>
      <c r="DC256" s="102">
        <f t="shared" si="143"/>
        <v>0</v>
      </c>
      <c r="DD256" s="102"/>
      <c r="DE256" s="2643"/>
      <c r="DF256" s="102">
        <f>CC256+CF256</f>
        <v>12750</v>
      </c>
      <c r="DG256" s="2643"/>
      <c r="DH256" s="296">
        <f>CC256/'[1]Projected Development Sites'!DF$134</f>
        <v>11.475</v>
      </c>
      <c r="DI256" s="2723"/>
      <c r="DJ256" s="785">
        <f>'[1]Projected Development Sites'!DK$136*DH256</f>
        <v>11.475</v>
      </c>
      <c r="DK256" s="779">
        <f>2.87*DH256</f>
        <v>32.933250000000001</v>
      </c>
      <c r="DL256" s="786">
        <f>ROUND((CN256+CL256+CJ256)/1000*3,0)+ROUND((ROUND(CP256/400,0))/2.67,0)+ROUND(CV256/1000,0)+ROUND((CY256+CZ256+DA256+DC256)/1000*3,0)+ROUND(DH256/25,0)+ROUND(DX256/50,0)</f>
        <v>4</v>
      </c>
      <c r="DM256" s="787">
        <v>0</v>
      </c>
      <c r="DN256" s="787"/>
      <c r="DO256" s="787">
        <v>0</v>
      </c>
      <c r="DP256" s="787">
        <f>0.25*DJ256</f>
        <v>2.8687499999999999</v>
      </c>
      <c r="DQ256" s="787">
        <f>SUM(CO256,CJ256,CN256,CR256,CU256)/1000</f>
        <v>1.2749999999999999</v>
      </c>
      <c r="DR256" s="787">
        <f>CL256/1000</f>
        <v>0</v>
      </c>
      <c r="DS256" s="787">
        <f>((CP256/400)/12)</f>
        <v>0</v>
      </c>
      <c r="DT256" s="787">
        <f>IF(CX256&gt;0,"Calculate",0)</f>
        <v>0</v>
      </c>
      <c r="DU256" s="787">
        <v>0</v>
      </c>
      <c r="DV256" s="787">
        <f>CX256/1000</f>
        <v>0</v>
      </c>
      <c r="DW256" s="2723"/>
      <c r="DX256" s="788">
        <f>SUM(DM256,DO256,DQ256:DV256)</f>
        <v>1.2749999999999999</v>
      </c>
      <c r="DY256" s="2726"/>
      <c r="DZ256" s="2729"/>
      <c r="EA256" s="2665"/>
      <c r="EB256" s="195">
        <f>CF256-W256</f>
        <v>-225</v>
      </c>
      <c r="EC256" s="2665"/>
      <c r="ED256" s="195">
        <v>-225</v>
      </c>
      <c r="EE256" s="195">
        <f>(SUM(CJ256:CO256))-(SUM(AA256:AE256,AL256))</f>
        <v>-225</v>
      </c>
      <c r="EF256" s="2665"/>
      <c r="EG256" s="195">
        <v>-225</v>
      </c>
      <c r="EH256" s="2665"/>
      <c r="EI256" s="195">
        <f>CL256-AC256</f>
        <v>0</v>
      </c>
      <c r="EJ256" s="2665"/>
      <c r="EK256" s="195">
        <f>CJ256-AA256</f>
        <v>0</v>
      </c>
      <c r="EL256" s="2665"/>
      <c r="EM256" s="195">
        <f>CO256-AE256</f>
        <v>0</v>
      </c>
      <c r="EN256" s="2665"/>
      <c r="EO256" s="195">
        <f>CP256-AH256</f>
        <v>0</v>
      </c>
      <c r="EP256" s="2665"/>
      <c r="EQ256" s="195">
        <f>CR256-AJ256</f>
        <v>0</v>
      </c>
      <c r="ER256" s="2665"/>
      <c r="ES256" s="195">
        <f>CS256-AO256</f>
        <v>0</v>
      </c>
      <c r="ET256" s="2665"/>
      <c r="EU256" s="195">
        <f t="shared" si="125"/>
        <v>0</v>
      </c>
      <c r="EV256" s="2665"/>
      <c r="EW256" s="195">
        <f>CU256-AS256</f>
        <v>0</v>
      </c>
      <c r="EX256" s="2665"/>
      <c r="EY256" s="195">
        <f>CV256-AU256</f>
        <v>0</v>
      </c>
      <c r="EZ256" s="2665"/>
      <c r="FA256" s="195">
        <f>CY256-AX256</f>
        <v>0</v>
      </c>
      <c r="FB256" s="2665"/>
      <c r="FC256" s="195">
        <f>CZ256-AY256</f>
        <v>0</v>
      </c>
      <c r="FD256" s="2665"/>
      <c r="FE256" s="195">
        <f>DA256-AZ256</f>
        <v>0</v>
      </c>
      <c r="FF256" s="2665"/>
      <c r="FG256" s="195">
        <f>DB256-BA256</f>
        <v>0</v>
      </c>
      <c r="FH256" s="2665"/>
      <c r="FI256" s="195">
        <f>DC256-BB256</f>
        <v>0</v>
      </c>
      <c r="FJ256" s="2665"/>
      <c r="FK256" s="195">
        <f>CX256-AW256</f>
        <v>0</v>
      </c>
      <c r="FL256" s="2665"/>
      <c r="FM256" s="195">
        <f>DF256-BE256</f>
        <v>11250</v>
      </c>
      <c r="FN256" s="2665"/>
      <c r="FO256" s="195">
        <f>DH256-BG256</f>
        <v>11.475</v>
      </c>
      <c r="FP256" s="2665"/>
      <c r="FQ256" s="195">
        <f t="shared" si="144"/>
        <v>11.475</v>
      </c>
      <c r="FR256" s="195">
        <f t="shared" si="144"/>
        <v>32.933250000000001</v>
      </c>
      <c r="FS256" s="195">
        <f t="shared" si="144"/>
        <v>-1</v>
      </c>
      <c r="FT256" s="789">
        <f t="shared" si="144"/>
        <v>0</v>
      </c>
      <c r="FU256" s="789">
        <f>DR256-BO256</f>
        <v>0</v>
      </c>
      <c r="FV256" s="789">
        <f>DO256-BM256</f>
        <v>0</v>
      </c>
      <c r="FW256" s="789">
        <f>DQ256-BN256</f>
        <v>1.2749999999999999</v>
      </c>
      <c r="FX256" s="789">
        <f>DS256-BP256</f>
        <v>0</v>
      </c>
      <c r="FY256" s="789">
        <f t="shared" si="145"/>
        <v>0</v>
      </c>
      <c r="FZ256" s="789">
        <f t="shared" si="145"/>
        <v>0</v>
      </c>
      <c r="GA256" s="789">
        <f t="shared" si="145"/>
        <v>0</v>
      </c>
      <c r="GB256" s="2735"/>
      <c r="GC256" s="790">
        <f t="shared" si="126"/>
        <v>1.2749999999999999</v>
      </c>
    </row>
    <row r="257" spans="1:204" s="81" customFormat="1" ht="15" customHeight="1">
      <c r="A257" s="2660"/>
      <c r="B257" s="2660"/>
      <c r="C257" s="132" t="s">
        <v>710</v>
      </c>
      <c r="D257" s="132">
        <v>2489</v>
      </c>
      <c r="E257" s="132">
        <v>27</v>
      </c>
      <c r="F257" s="777">
        <v>2024890027</v>
      </c>
      <c r="G257" s="132">
        <v>3480</v>
      </c>
      <c r="H257" s="135" t="s">
        <v>733</v>
      </c>
      <c r="I257" s="136" t="s">
        <v>727</v>
      </c>
      <c r="J257" s="132">
        <v>0.93</v>
      </c>
      <c r="K257" s="132">
        <v>7.2</v>
      </c>
      <c r="L257" s="132">
        <v>0</v>
      </c>
      <c r="M257" s="132">
        <v>6.5</v>
      </c>
      <c r="N257" s="134">
        <v>3240</v>
      </c>
      <c r="O257" s="134">
        <v>0</v>
      </c>
      <c r="P257" s="134">
        <v>0</v>
      </c>
      <c r="Q257" s="134">
        <v>3240</v>
      </c>
      <c r="R257" s="137">
        <v>0</v>
      </c>
      <c r="S257" s="778" t="s">
        <v>637</v>
      </c>
      <c r="T257" s="2643"/>
      <c r="U257" s="102">
        <v>0</v>
      </c>
      <c r="V257" s="2643"/>
      <c r="W257" s="102">
        <f>N257</f>
        <v>3240</v>
      </c>
      <c r="X257" s="102"/>
      <c r="Y257" s="102">
        <f>W257-AA257</f>
        <v>3240</v>
      </c>
      <c r="Z257" s="2643"/>
      <c r="AA257" s="102">
        <v>0</v>
      </c>
      <c r="AB257" s="2643"/>
      <c r="AC257" s="102">
        <v>0</v>
      </c>
      <c r="AD257" s="2643"/>
      <c r="AE257" s="102">
        <f>AG257+AF257</f>
        <v>0</v>
      </c>
      <c r="AF257" s="102">
        <v>0</v>
      </c>
      <c r="AG257" s="102">
        <v>0</v>
      </c>
      <c r="AH257" s="102">
        <v>0</v>
      </c>
      <c r="AI257" s="2643"/>
      <c r="AJ257" s="102">
        <v>0</v>
      </c>
      <c r="AK257" s="2643"/>
      <c r="AL257" s="102">
        <f>W257-(AA257+AC257+AE257+AH257+AJ257+AM257+AW257+AO257+AQ257+AS257+AU257)</f>
        <v>3240</v>
      </c>
      <c r="AM257" s="779">
        <v>0</v>
      </c>
      <c r="AN257" s="2643"/>
      <c r="AO257" s="102">
        <v>0</v>
      </c>
      <c r="AP257" s="2643"/>
      <c r="AQ257" s="102">
        <v>0</v>
      </c>
      <c r="AR257" s="2643"/>
      <c r="AS257" s="102">
        <v>0</v>
      </c>
      <c r="AT257" s="2643"/>
      <c r="AU257" s="102">
        <v>0</v>
      </c>
      <c r="AV257" s="2643"/>
      <c r="AW257" s="102">
        <f>AX257+AY257+AZ257+BA257+BB257</f>
        <v>0</v>
      </c>
      <c r="AX257" s="102">
        <v>0</v>
      </c>
      <c r="AY257" s="102">
        <v>0</v>
      </c>
      <c r="AZ257" s="102">
        <v>0</v>
      </c>
      <c r="BA257" s="102">
        <v>0</v>
      </c>
      <c r="BB257" s="102">
        <v>0</v>
      </c>
      <c r="BC257" s="102">
        <v>0</v>
      </c>
      <c r="BD257" s="2643"/>
      <c r="BE257" s="102">
        <f>U257+W257</f>
        <v>3240</v>
      </c>
      <c r="BF257" s="2643"/>
      <c r="BG257" s="102">
        <f>U257/1000</f>
        <v>0</v>
      </c>
      <c r="BH257" s="2643"/>
      <c r="BI257" s="102">
        <f>'[1]Projected Development Sites'!BG$135*BG257</f>
        <v>0</v>
      </c>
      <c r="BJ257" s="102">
        <f t="shared" si="127"/>
        <v>0</v>
      </c>
      <c r="BK257" s="186">
        <f>ROUND((Y257+AC257+AA257)/1000*3,0)+ROUND((AE257+AU257)/1000,0)+ROUND((ROUND(AH257/400,0))/2.67,0)+ROUND(AM257/250,0)+ROUND(AO257/15000,0)+ROUND((AX257+AY257+AZ257+BB257)/1000*3,0)+ROUND(BG257/25,0)+ROUND(BU317/50,0)</f>
        <v>10</v>
      </c>
      <c r="BL257" s="102">
        <v>0</v>
      </c>
      <c r="BM257" s="102">
        <v>0</v>
      </c>
      <c r="BN257" s="102">
        <v>0</v>
      </c>
      <c r="BO257" s="102">
        <f>AC257/1000</f>
        <v>0</v>
      </c>
      <c r="BP257" s="102">
        <f>AH257/1000</f>
        <v>0</v>
      </c>
      <c r="BQ257" s="102">
        <v>0</v>
      </c>
      <c r="BR257" s="102">
        <v>0</v>
      </c>
      <c r="BS257" s="102">
        <v>0</v>
      </c>
      <c r="BT257" s="2643"/>
      <c r="BU257" s="102">
        <f>SUM(BL257:BS257)</f>
        <v>0</v>
      </c>
      <c r="BV257" s="139">
        <v>15</v>
      </c>
      <c r="BW257" s="780" t="s">
        <v>758</v>
      </c>
      <c r="BX257" s="139">
        <v>8.5</v>
      </c>
      <c r="BY257" s="139">
        <v>2</v>
      </c>
      <c r="BZ257" s="139">
        <v>7.5</v>
      </c>
      <c r="CA257" s="781" t="s">
        <v>706</v>
      </c>
      <c r="CB257" s="2662"/>
      <c r="CC257" s="782">
        <f>(BX257*G257)-CF257</f>
        <v>26622</v>
      </c>
      <c r="CD257" s="2732"/>
      <c r="CE257" s="2643"/>
      <c r="CF257" s="840">
        <f>1*(G257)-(0.15*1*(G257))</f>
        <v>2958</v>
      </c>
      <c r="CG257" s="2643"/>
      <c r="CH257" s="840">
        <f>CF257-CJ257</f>
        <v>2958</v>
      </c>
      <c r="CI257" s="2643"/>
      <c r="CJ257" s="139">
        <v>0</v>
      </c>
      <c r="CK257" s="2643"/>
      <c r="CL257" s="139">
        <v>0</v>
      </c>
      <c r="CM257" s="2643"/>
      <c r="CN257" s="102">
        <f>CF257-(CJ257+CL257+CO257+CP257+CR257+CU257+CV257+CX257)</f>
        <v>2958</v>
      </c>
      <c r="CO257" s="102">
        <v>0</v>
      </c>
      <c r="CP257" s="102">
        <v>0</v>
      </c>
      <c r="CQ257" s="2643"/>
      <c r="CR257" s="102">
        <v>0</v>
      </c>
      <c r="CS257" s="102">
        <v>0</v>
      </c>
      <c r="CT257" s="102">
        <v>0</v>
      </c>
      <c r="CU257" s="102">
        <v>0</v>
      </c>
      <c r="CV257" s="102">
        <v>0</v>
      </c>
      <c r="CW257" s="2643"/>
      <c r="CX257" s="102">
        <f>SUM(CY257:DC257)</f>
        <v>0</v>
      </c>
      <c r="CY257" s="102">
        <f t="shared" si="143"/>
        <v>0</v>
      </c>
      <c r="CZ257" s="102">
        <f t="shared" si="143"/>
        <v>0</v>
      </c>
      <c r="DA257" s="102">
        <f t="shared" si="143"/>
        <v>0</v>
      </c>
      <c r="DB257" s="102">
        <f t="shared" si="143"/>
        <v>0</v>
      </c>
      <c r="DC257" s="102">
        <f t="shared" si="143"/>
        <v>0</v>
      </c>
      <c r="DD257" s="102"/>
      <c r="DE257" s="2643"/>
      <c r="DF257" s="102">
        <f>CC257+CF257</f>
        <v>29580</v>
      </c>
      <c r="DG257" s="2643"/>
      <c r="DH257" s="296">
        <f>CC257/'[1]Projected Development Sites'!DF$134</f>
        <v>26.622</v>
      </c>
      <c r="DI257" s="2723"/>
      <c r="DJ257" s="785">
        <f>'[1]Projected Development Sites'!DK$136*DH257</f>
        <v>26.622</v>
      </c>
      <c r="DK257" s="779">
        <f>2.87*DH257</f>
        <v>76.405140000000003</v>
      </c>
      <c r="DL257" s="786">
        <f>ROUND((CN257+CL257+CJ257)/1000*3,0)+ROUND((ROUND(CP257/400,0))/2.67,0)+ROUND(CV257/1000,0)+ROUND((CY257+CZ257+DA257+DC257)/1000*3,0)+ROUND(DH257/25,0)+ROUND(DX257/50,0)</f>
        <v>10</v>
      </c>
      <c r="DM257" s="787">
        <v>0</v>
      </c>
      <c r="DN257" s="787"/>
      <c r="DO257" s="787">
        <v>0</v>
      </c>
      <c r="DP257" s="787">
        <f>0.25*DJ257</f>
        <v>6.6555</v>
      </c>
      <c r="DQ257" s="787">
        <f>SUM(CO257,CJ257,CN257,CR257,CU257)/1000</f>
        <v>2.9580000000000002</v>
      </c>
      <c r="DR257" s="787">
        <f>CL257/1000</f>
        <v>0</v>
      </c>
      <c r="DS257" s="787">
        <f>((CP257/400)/12)</f>
        <v>0</v>
      </c>
      <c r="DT257" s="787">
        <f>IF(CX257&gt;0,"Calculate",0)</f>
        <v>0</v>
      </c>
      <c r="DU257" s="787">
        <v>0</v>
      </c>
      <c r="DV257" s="787">
        <f>CX257/1000</f>
        <v>0</v>
      </c>
      <c r="DW257" s="2723"/>
      <c r="DX257" s="788">
        <f>SUM(DM257,DO257,DQ257:DV257)</f>
        <v>2.9580000000000002</v>
      </c>
      <c r="DY257" s="2726"/>
      <c r="DZ257" s="2729"/>
      <c r="EA257" s="2665"/>
      <c r="EB257" s="195">
        <f>CF257-W257</f>
        <v>-282</v>
      </c>
      <c r="EC257" s="2665"/>
      <c r="ED257" s="195">
        <v>-282</v>
      </c>
      <c r="EE257" s="195">
        <f>(SUM(CJ257:CO257))-(SUM(AA257:AE257,AL257))</f>
        <v>-282</v>
      </c>
      <c r="EF257" s="2665"/>
      <c r="EG257" s="195">
        <v>-282</v>
      </c>
      <c r="EH257" s="2665"/>
      <c r="EI257" s="195">
        <f>CL257-AC257</f>
        <v>0</v>
      </c>
      <c r="EJ257" s="2665"/>
      <c r="EK257" s="195">
        <f>CJ257-AA257</f>
        <v>0</v>
      </c>
      <c r="EL257" s="2665"/>
      <c r="EM257" s="195">
        <f>CO257-AE257</f>
        <v>0</v>
      </c>
      <c r="EN257" s="2665"/>
      <c r="EO257" s="195">
        <f>CP257-AH257</f>
        <v>0</v>
      </c>
      <c r="EP257" s="2665"/>
      <c r="EQ257" s="195">
        <f>CR257-AJ257</f>
        <v>0</v>
      </c>
      <c r="ER257" s="2665"/>
      <c r="ES257" s="195">
        <f>CS257-AO257</f>
        <v>0</v>
      </c>
      <c r="ET257" s="2665"/>
      <c r="EU257" s="195">
        <f t="shared" si="125"/>
        <v>0</v>
      </c>
      <c r="EV257" s="2665"/>
      <c r="EW257" s="195">
        <f>CU257-AS257</f>
        <v>0</v>
      </c>
      <c r="EX257" s="2665"/>
      <c r="EY257" s="195">
        <f>CV257-AU257</f>
        <v>0</v>
      </c>
      <c r="EZ257" s="2665"/>
      <c r="FA257" s="195">
        <f>CY257-AX257</f>
        <v>0</v>
      </c>
      <c r="FB257" s="2665"/>
      <c r="FC257" s="195">
        <f>CZ257-AY257</f>
        <v>0</v>
      </c>
      <c r="FD257" s="2665"/>
      <c r="FE257" s="195">
        <f>DA257-AZ257</f>
        <v>0</v>
      </c>
      <c r="FF257" s="2665"/>
      <c r="FG257" s="195">
        <f>DB257-BA257</f>
        <v>0</v>
      </c>
      <c r="FH257" s="2665"/>
      <c r="FI257" s="195">
        <f>DC257-BB257</f>
        <v>0</v>
      </c>
      <c r="FJ257" s="2665"/>
      <c r="FK257" s="195">
        <f>CX257-AW257</f>
        <v>0</v>
      </c>
      <c r="FL257" s="2665"/>
      <c r="FM257" s="195">
        <f>DF257-BE257</f>
        <v>26340</v>
      </c>
      <c r="FN257" s="2665"/>
      <c r="FO257" s="195">
        <f>DH257-BG257</f>
        <v>26.622</v>
      </c>
      <c r="FP257" s="2665"/>
      <c r="FQ257" s="195">
        <f t="shared" si="144"/>
        <v>26.622</v>
      </c>
      <c r="FR257" s="195">
        <f t="shared" si="144"/>
        <v>76.405140000000003</v>
      </c>
      <c r="FS257" s="195">
        <f t="shared" si="144"/>
        <v>0</v>
      </c>
      <c r="FT257" s="789">
        <f t="shared" si="144"/>
        <v>0</v>
      </c>
      <c r="FU257" s="789">
        <f>DR257-BO257</f>
        <v>0</v>
      </c>
      <c r="FV257" s="789">
        <f>DO257-BM257</f>
        <v>0</v>
      </c>
      <c r="FW257" s="789">
        <f>DQ257-BN257</f>
        <v>2.9580000000000002</v>
      </c>
      <c r="FX257" s="789">
        <f>DS257-BP257</f>
        <v>0</v>
      </c>
      <c r="FY257" s="789">
        <f t="shared" si="145"/>
        <v>0</v>
      </c>
      <c r="FZ257" s="789">
        <f t="shared" si="145"/>
        <v>0</v>
      </c>
      <c r="GA257" s="789">
        <f t="shared" si="145"/>
        <v>0</v>
      </c>
      <c r="GB257" s="2735"/>
      <c r="GC257" s="790">
        <f t="shared" si="126"/>
        <v>2.9580000000000002</v>
      </c>
      <c r="GD257" s="139"/>
      <c r="GE257" s="139"/>
      <c r="GF257" s="139"/>
      <c r="GG257" s="139"/>
      <c r="GH257" s="139"/>
      <c r="GI257" s="139"/>
      <c r="GJ257" s="139"/>
      <c r="GK257" s="139"/>
      <c r="GL257" s="139"/>
      <c r="GM257" s="139"/>
      <c r="GN257" s="139"/>
      <c r="GO257" s="139"/>
      <c r="GP257" s="139"/>
      <c r="GQ257" s="139"/>
      <c r="GR257" s="139"/>
      <c r="GS257" s="139"/>
      <c r="GT257" s="139"/>
      <c r="GU257" s="139"/>
      <c r="GV257" s="139"/>
    </row>
    <row r="258" spans="1:204" s="139" customFormat="1" ht="18.75" customHeight="1">
      <c r="A258" s="2589"/>
      <c r="B258" s="2589"/>
      <c r="C258" s="66" t="s">
        <v>710</v>
      </c>
      <c r="D258" s="66">
        <v>2489</v>
      </c>
      <c r="E258" s="66">
        <v>30</v>
      </c>
      <c r="F258" s="66">
        <v>2024890030</v>
      </c>
      <c r="G258" s="66">
        <v>3020</v>
      </c>
      <c r="H258" s="69" t="s">
        <v>733</v>
      </c>
      <c r="I258" s="70" t="s">
        <v>727</v>
      </c>
      <c r="J258" s="66">
        <v>1</v>
      </c>
      <c r="K258" s="66">
        <v>7.2</v>
      </c>
      <c r="L258" s="66">
        <v>0</v>
      </c>
      <c r="M258" s="66">
        <v>6.5</v>
      </c>
      <c r="N258" s="68">
        <v>3020</v>
      </c>
      <c r="O258" s="68">
        <v>0</v>
      </c>
      <c r="P258" s="68">
        <v>0</v>
      </c>
      <c r="Q258" s="68">
        <v>3020</v>
      </c>
      <c r="R258" s="71">
        <v>0</v>
      </c>
      <c r="S258" s="791" t="s">
        <v>637</v>
      </c>
      <c r="T258" s="2601"/>
      <c r="U258" s="74">
        <v>0</v>
      </c>
      <c r="V258" s="2601"/>
      <c r="W258" s="74">
        <f>N258</f>
        <v>3020</v>
      </c>
      <c r="X258" s="74"/>
      <c r="Y258" s="74">
        <f>W258-AA258</f>
        <v>3020</v>
      </c>
      <c r="Z258" s="2601"/>
      <c r="AA258" s="74">
        <v>0</v>
      </c>
      <c r="AB258" s="2601"/>
      <c r="AC258" s="74">
        <v>0</v>
      </c>
      <c r="AD258" s="2601"/>
      <c r="AE258" s="74">
        <f>AG258+AF258</f>
        <v>0</v>
      </c>
      <c r="AF258" s="74">
        <v>0</v>
      </c>
      <c r="AG258" s="74">
        <v>0</v>
      </c>
      <c r="AH258" s="74">
        <v>0</v>
      </c>
      <c r="AI258" s="2601"/>
      <c r="AJ258" s="74">
        <v>0</v>
      </c>
      <c r="AK258" s="2601"/>
      <c r="AL258" s="74">
        <f>W258-(AA258+AC258+AE258+AH258+AJ258+AM258+AW258+AO258+AQ258+AS258+AU258)</f>
        <v>3020</v>
      </c>
      <c r="AM258" s="792">
        <v>0</v>
      </c>
      <c r="AN258" s="2601"/>
      <c r="AO258" s="74">
        <v>0</v>
      </c>
      <c r="AP258" s="2601"/>
      <c r="AQ258" s="74">
        <v>0</v>
      </c>
      <c r="AR258" s="2601"/>
      <c r="AS258" s="74">
        <v>0</v>
      </c>
      <c r="AT258" s="2601"/>
      <c r="AU258" s="74">
        <v>0</v>
      </c>
      <c r="AV258" s="2601"/>
      <c r="AW258" s="74">
        <f>AX258+AY258+AZ258+BA258+BB258</f>
        <v>0</v>
      </c>
      <c r="AX258" s="74">
        <v>0</v>
      </c>
      <c r="AY258" s="74">
        <v>0</v>
      </c>
      <c r="AZ258" s="74">
        <v>0</v>
      </c>
      <c r="BA258" s="74">
        <v>0</v>
      </c>
      <c r="BB258" s="74">
        <v>0</v>
      </c>
      <c r="BC258" s="74">
        <v>0</v>
      </c>
      <c r="BD258" s="2601"/>
      <c r="BE258" s="74">
        <f>U258+W258</f>
        <v>3020</v>
      </c>
      <c r="BF258" s="2601"/>
      <c r="BG258" s="74">
        <f>R258</f>
        <v>0</v>
      </c>
      <c r="BH258" s="2601"/>
      <c r="BI258" s="74">
        <f>'[1]Projected Development Sites'!BG$135*BG258</f>
        <v>0</v>
      </c>
      <c r="BJ258" s="74">
        <f t="shared" si="127"/>
        <v>0</v>
      </c>
      <c r="BK258" s="88">
        <f>ROUND((Y258+AC258+AA258)/1000*3,0)+ROUND((AE258+AU258)/1000,0)+ROUND((ROUND(AH258/400,0))/2.67,0)+ROUND(AM258/250,0)+ROUND(AO258/15000,0)+ROUND((AX258+AY258+AZ258+BB258)/1000*3,0)+ROUND(BG258/25,0)+ROUND(BU320/50,0)</f>
        <v>9</v>
      </c>
      <c r="BL258" s="74">
        <v>0</v>
      </c>
      <c r="BM258" s="74">
        <v>0</v>
      </c>
      <c r="BN258" s="74">
        <v>0</v>
      </c>
      <c r="BO258" s="74">
        <f>AC258/1000</f>
        <v>0</v>
      </c>
      <c r="BP258" s="74">
        <f>AH258/1000</f>
        <v>0</v>
      </c>
      <c r="BQ258" s="74">
        <v>0</v>
      </c>
      <c r="BR258" s="74">
        <v>0</v>
      </c>
      <c r="BS258" s="74">
        <v>0</v>
      </c>
      <c r="BT258" s="2601"/>
      <c r="BU258" s="74">
        <v>0</v>
      </c>
      <c r="BV258" s="81">
        <v>15</v>
      </c>
      <c r="BW258" s="793" t="s">
        <v>758</v>
      </c>
      <c r="BX258" s="81">
        <v>8.5</v>
      </c>
      <c r="BY258" s="81">
        <v>2</v>
      </c>
      <c r="BZ258" s="81">
        <v>7.5</v>
      </c>
      <c r="CA258" s="794"/>
      <c r="CB258" s="2597"/>
      <c r="CC258" s="795">
        <f>(BX258*G258)-CF258</f>
        <v>23103</v>
      </c>
      <c r="CD258" s="2733"/>
      <c r="CE258" s="2601"/>
      <c r="CF258" s="843">
        <f>1*(G258)-(0.15*1*(G258))</f>
        <v>2567</v>
      </c>
      <c r="CG258" s="2601"/>
      <c r="CH258" s="843">
        <f>CF258-CJ258</f>
        <v>2567</v>
      </c>
      <c r="CI258" s="2601"/>
      <c r="CJ258" s="81">
        <v>0</v>
      </c>
      <c r="CK258" s="2601"/>
      <c r="CL258" s="81">
        <v>0</v>
      </c>
      <c r="CM258" s="2601"/>
      <c r="CN258" s="74">
        <v>2567</v>
      </c>
      <c r="CO258" s="74">
        <v>0</v>
      </c>
      <c r="CP258" s="74">
        <v>0</v>
      </c>
      <c r="CQ258" s="2601"/>
      <c r="CR258" s="74">
        <v>0</v>
      </c>
      <c r="CS258" s="74">
        <v>0</v>
      </c>
      <c r="CT258" s="74">
        <v>0</v>
      </c>
      <c r="CU258" s="74">
        <v>0</v>
      </c>
      <c r="CV258" s="74">
        <v>0</v>
      </c>
      <c r="CW258" s="2601"/>
      <c r="CX258" s="74">
        <v>0</v>
      </c>
      <c r="CY258" s="74">
        <v>0</v>
      </c>
      <c r="CZ258" s="74">
        <v>0</v>
      </c>
      <c r="DA258" s="74">
        <v>0</v>
      </c>
      <c r="DB258" s="74">
        <v>0</v>
      </c>
      <c r="DC258" s="74">
        <v>0</v>
      </c>
      <c r="DD258" s="74"/>
      <c r="DE258" s="2601"/>
      <c r="DF258" s="74">
        <f>CC258+CF258</f>
        <v>25670</v>
      </c>
      <c r="DG258" s="2601"/>
      <c r="DH258" s="303">
        <f>CC258/'[1]Projected Development Sites'!DF$134</f>
        <v>23.103000000000002</v>
      </c>
      <c r="DI258" s="2724"/>
      <c r="DJ258" s="798">
        <f>'[1]Projected Development Sites'!DK$136*DH258</f>
        <v>23.103000000000002</v>
      </c>
      <c r="DK258" s="792">
        <f>2.87*DH258</f>
        <v>66.305610000000001</v>
      </c>
      <c r="DL258" s="786">
        <f>ROUND((CN258+CL258+CJ258)/1000*3,0)+ROUND((ROUND(CP258/400,0))/2.67,0)+ROUND(CV258/1000,0)+ROUND((CY258+CZ258+DA258+DC258)/1000*3,0)+ROUND(DH258/25,0)+ROUND(DX258/50,0)</f>
        <v>9</v>
      </c>
      <c r="DM258" s="799">
        <v>0</v>
      </c>
      <c r="DN258" s="799"/>
      <c r="DO258" s="799">
        <v>0</v>
      </c>
      <c r="DP258" s="799">
        <f>0.25*DJ258</f>
        <v>5.7757500000000004</v>
      </c>
      <c r="DQ258" s="799">
        <f>SUM(CO258,CJ258,CN258,CR258,CU258)/1000</f>
        <v>2.5670000000000002</v>
      </c>
      <c r="DR258" s="799">
        <f>CL258/1000</f>
        <v>0</v>
      </c>
      <c r="DS258" s="799">
        <f>((CP258/400)/12)</f>
        <v>0</v>
      </c>
      <c r="DT258" s="799">
        <f>IF(CX258&gt;0,"Calculate",0)</f>
        <v>0</v>
      </c>
      <c r="DU258" s="799">
        <v>0</v>
      </c>
      <c r="DV258" s="799">
        <f>CX258/1000</f>
        <v>0</v>
      </c>
      <c r="DW258" s="2724"/>
      <c r="DX258" s="800">
        <f>SUM(DM258,DO258,DQ258:DV258)</f>
        <v>2.5670000000000002</v>
      </c>
      <c r="DY258" s="2727"/>
      <c r="DZ258" s="2730"/>
      <c r="EA258" s="2603"/>
      <c r="EB258" s="195">
        <f>CF258-W258</f>
        <v>-453</v>
      </c>
      <c r="EC258" s="2603"/>
      <c r="ED258" s="195">
        <v>-453</v>
      </c>
      <c r="EE258" s="195">
        <f>(SUM(CJ258:CO258))-(SUM(AA258:AE258,AL258))</f>
        <v>-453</v>
      </c>
      <c r="EF258" s="2603"/>
      <c r="EG258" s="190">
        <v>-453</v>
      </c>
      <c r="EH258" s="2603"/>
      <c r="EI258" s="195">
        <f>CL258-AC258</f>
        <v>0</v>
      </c>
      <c r="EJ258" s="2603"/>
      <c r="EK258" s="195">
        <f>CJ258-AA258</f>
        <v>0</v>
      </c>
      <c r="EL258" s="2603"/>
      <c r="EM258" s="190">
        <f>CO258-AE258</f>
        <v>0</v>
      </c>
      <c r="EN258" s="2603"/>
      <c r="EO258" s="190">
        <f>CP258-AH258</f>
        <v>0</v>
      </c>
      <c r="EP258" s="2603"/>
      <c r="EQ258" s="195">
        <f>CR258-AJ258</f>
        <v>0</v>
      </c>
      <c r="ER258" s="2603"/>
      <c r="ES258" s="195">
        <f>CS258-AO258</f>
        <v>0</v>
      </c>
      <c r="ET258" s="2603"/>
      <c r="EU258" s="190">
        <f t="shared" si="125"/>
        <v>0</v>
      </c>
      <c r="EV258" s="2603"/>
      <c r="EW258" s="195">
        <f>CU258-AS258</f>
        <v>0</v>
      </c>
      <c r="EX258" s="2603"/>
      <c r="EY258" s="190">
        <f>CV258-AU258</f>
        <v>0</v>
      </c>
      <c r="EZ258" s="2603"/>
      <c r="FA258" s="190">
        <f>CY258-AX258</f>
        <v>0</v>
      </c>
      <c r="FB258" s="2603"/>
      <c r="FC258" s="190">
        <f>CZ258-AY258</f>
        <v>0</v>
      </c>
      <c r="FD258" s="2603"/>
      <c r="FE258" s="190">
        <f>DA258-AZ258</f>
        <v>0</v>
      </c>
      <c r="FF258" s="2603"/>
      <c r="FG258" s="190">
        <f>DB258-BA258</f>
        <v>0</v>
      </c>
      <c r="FH258" s="2603"/>
      <c r="FI258" s="190">
        <f>DC258-BB258</f>
        <v>0</v>
      </c>
      <c r="FJ258" s="2603"/>
      <c r="FK258" s="190">
        <f>CX258-AW258</f>
        <v>0</v>
      </c>
      <c r="FL258" s="2603"/>
      <c r="FM258" s="195">
        <f>DF258-BE258</f>
        <v>22650</v>
      </c>
      <c r="FN258" s="2603"/>
      <c r="FO258" s="195">
        <f>DH258-BG258</f>
        <v>23.103000000000002</v>
      </c>
      <c r="FP258" s="2603"/>
      <c r="FQ258" s="195">
        <f t="shared" si="144"/>
        <v>23.103000000000002</v>
      </c>
      <c r="FR258" s="190">
        <f t="shared" si="144"/>
        <v>66.305610000000001</v>
      </c>
      <c r="FS258" s="190">
        <f t="shared" si="144"/>
        <v>0</v>
      </c>
      <c r="FT258" s="801">
        <f t="shared" si="144"/>
        <v>0</v>
      </c>
      <c r="FU258" s="801">
        <f>DR258-BO258</f>
        <v>0</v>
      </c>
      <c r="FV258" s="801">
        <f>DO258-BM258</f>
        <v>0</v>
      </c>
      <c r="FW258" s="801">
        <f>DQ258-BN258</f>
        <v>2.5670000000000002</v>
      </c>
      <c r="FX258" s="801">
        <f>DS258-BP258</f>
        <v>0</v>
      </c>
      <c r="FY258" s="801">
        <f t="shared" si="145"/>
        <v>0</v>
      </c>
      <c r="FZ258" s="801">
        <f t="shared" si="145"/>
        <v>0</v>
      </c>
      <c r="GA258" s="801">
        <f t="shared" si="145"/>
        <v>0</v>
      </c>
      <c r="GB258" s="2736"/>
      <c r="GC258" s="845">
        <f t="shared" si="126"/>
        <v>2.5670000000000002</v>
      </c>
      <c r="GU258" s="81"/>
      <c r="GV258" s="81"/>
    </row>
    <row r="259" spans="1:204" s="228" customFormat="1" ht="18.75">
      <c r="A259" s="2263"/>
      <c r="B259" s="2263"/>
      <c r="C259" s="132"/>
      <c r="D259" s="132"/>
      <c r="E259" s="132"/>
      <c r="F259" s="132"/>
      <c r="G259" s="132"/>
      <c r="H259" s="135"/>
      <c r="I259" s="136"/>
      <c r="J259" s="132"/>
      <c r="K259" s="132"/>
      <c r="L259" s="132"/>
      <c r="M259" s="132"/>
      <c r="N259" s="134"/>
      <c r="O259" s="134"/>
      <c r="P259" s="134"/>
      <c r="Q259" s="134"/>
      <c r="R259" s="137"/>
      <c r="S259" s="778"/>
      <c r="T259" s="634"/>
      <c r="U259" s="102"/>
      <c r="V259" s="634"/>
      <c r="W259" s="102"/>
      <c r="X259" s="102"/>
      <c r="Y259" s="102"/>
      <c r="Z259" s="634"/>
      <c r="AA259" s="102"/>
      <c r="AB259" s="634"/>
      <c r="AC259" s="102"/>
      <c r="AD259" s="634"/>
      <c r="AE259" s="102"/>
      <c r="AF259" s="102"/>
      <c r="AG259" s="102"/>
      <c r="AH259" s="102"/>
      <c r="AI259" s="634"/>
      <c r="AJ259" s="102"/>
      <c r="AK259" s="634"/>
      <c r="AL259" s="102"/>
      <c r="AM259" s="779"/>
      <c r="AN259" s="634"/>
      <c r="AO259" s="102"/>
      <c r="AP259" s="634"/>
      <c r="AQ259" s="102"/>
      <c r="AR259" s="634"/>
      <c r="AS259" s="102"/>
      <c r="AT259" s="634"/>
      <c r="AU259" s="102"/>
      <c r="AV259" s="634"/>
      <c r="AW259" s="102"/>
      <c r="AX259" s="102"/>
      <c r="AY259" s="102"/>
      <c r="AZ259" s="102"/>
      <c r="BA259" s="102"/>
      <c r="BB259" s="102"/>
      <c r="BC259" s="102"/>
      <c r="BD259" s="634"/>
      <c r="BE259" s="102"/>
      <c r="BF259" s="634"/>
      <c r="BG259" s="102"/>
      <c r="BH259" s="634"/>
      <c r="BI259" s="102"/>
      <c r="BJ259" s="111"/>
      <c r="BK259" s="186"/>
      <c r="BL259" s="102"/>
      <c r="BM259" s="102"/>
      <c r="BN259" s="102"/>
      <c r="BO259" s="102"/>
      <c r="BP259" s="102"/>
      <c r="BQ259" s="102"/>
      <c r="BR259" s="102"/>
      <c r="BS259" s="102"/>
      <c r="BT259" s="634"/>
      <c r="BU259" s="102"/>
      <c r="BV259" s="139"/>
      <c r="BW259" s="780"/>
      <c r="BX259" s="139"/>
      <c r="BY259" s="139"/>
      <c r="BZ259" s="139"/>
      <c r="CA259" s="781"/>
      <c r="CB259" s="2258"/>
      <c r="CC259" s="782"/>
      <c r="CD259" s="782"/>
      <c r="CE259" s="634"/>
      <c r="CF259" s="783"/>
      <c r="CG259" s="634"/>
      <c r="CH259" s="783"/>
      <c r="CI259" s="634"/>
      <c r="CJ259" s="139"/>
      <c r="CK259" s="634"/>
      <c r="CL259" s="139"/>
      <c r="CM259" s="634"/>
      <c r="CN259" s="784"/>
      <c r="CO259" s="784"/>
      <c r="CP259" s="784"/>
      <c r="CQ259" s="634"/>
      <c r="CR259" s="102"/>
      <c r="CS259" s="784"/>
      <c r="CT259" s="784"/>
      <c r="CU259" s="784"/>
      <c r="CV259" s="784"/>
      <c r="CW259" s="634"/>
      <c r="CX259" s="102"/>
      <c r="CY259" s="784"/>
      <c r="CZ259" s="784"/>
      <c r="DA259" s="784"/>
      <c r="DB259" s="784"/>
      <c r="DC259" s="784"/>
      <c r="DD259" s="784"/>
      <c r="DE259" s="634"/>
      <c r="DF259" s="784"/>
      <c r="DG259" s="634"/>
      <c r="DH259" s="296"/>
      <c r="DI259" s="802"/>
      <c r="DJ259" s="785"/>
      <c r="DK259" s="899"/>
      <c r="DL259" s="772"/>
      <c r="DM259" s="787"/>
      <c r="DN259" s="787"/>
      <c r="DO259" s="787"/>
      <c r="DP259" s="787"/>
      <c r="DQ259" s="787"/>
      <c r="DR259" s="787"/>
      <c r="DS259" s="787"/>
      <c r="DT259" s="787"/>
      <c r="DU259" s="787"/>
      <c r="DV259" s="787"/>
      <c r="DW259" s="802"/>
      <c r="DX259" s="788"/>
      <c r="DY259" s="634"/>
      <c r="DZ259" s="2288"/>
      <c r="EA259" s="2231"/>
      <c r="EB259" s="187"/>
      <c r="EC259" s="2232"/>
      <c r="ED259" s="187"/>
      <c r="EE259" s="187"/>
      <c r="EF259" s="2232"/>
      <c r="EG259" s="187"/>
      <c r="EH259" s="2232"/>
      <c r="EI259" s="187"/>
      <c r="EJ259" s="2232"/>
      <c r="EK259" s="187"/>
      <c r="EL259" s="2232"/>
      <c r="EM259" s="195"/>
      <c r="EN259" s="2232"/>
      <c r="EO259" s="195"/>
      <c r="EP259" s="2232"/>
      <c r="EQ259" s="187"/>
      <c r="ER259" s="2232"/>
      <c r="ES259" s="187"/>
      <c r="ET259" s="2232"/>
      <c r="EU259" s="187">
        <f t="shared" si="125"/>
        <v>0</v>
      </c>
      <c r="EV259" s="2232"/>
      <c r="EW259" s="187"/>
      <c r="EX259" s="2232"/>
      <c r="EY259" s="195"/>
      <c r="EZ259" s="2232"/>
      <c r="FA259" s="195"/>
      <c r="FB259" s="2232"/>
      <c r="FC259" s="195"/>
      <c r="FD259" s="2232"/>
      <c r="FE259" s="195"/>
      <c r="FF259" s="2232"/>
      <c r="FG259" s="195"/>
      <c r="FH259" s="2232"/>
      <c r="FI259" s="195"/>
      <c r="FJ259" s="2232"/>
      <c r="FK259" s="195"/>
      <c r="FL259" s="2232"/>
      <c r="FM259" s="187"/>
      <c r="FN259" s="2232"/>
      <c r="FO259" s="187"/>
      <c r="FP259" s="2232"/>
      <c r="FQ259" s="187"/>
      <c r="FR259" s="195"/>
      <c r="FS259" s="195"/>
      <c r="FT259" s="789"/>
      <c r="FU259" s="789"/>
      <c r="FV259" s="789"/>
      <c r="FW259" s="789"/>
      <c r="FX259" s="789"/>
      <c r="FY259" s="801">
        <f t="shared" si="145"/>
        <v>0</v>
      </c>
      <c r="FZ259" s="789"/>
      <c r="GA259" s="789"/>
      <c r="GB259" s="2289"/>
      <c r="GC259" s="776"/>
      <c r="GD259" s="139"/>
      <c r="GE259" s="139"/>
      <c r="GF259" s="139"/>
      <c r="GG259" s="139"/>
      <c r="GH259" s="139"/>
      <c r="GI259" s="139"/>
      <c r="GJ259" s="139"/>
      <c r="GK259" s="139"/>
      <c r="GL259" s="139"/>
      <c r="GM259" s="139"/>
      <c r="GN259" s="139"/>
      <c r="GO259" s="139"/>
      <c r="GP259" s="139"/>
      <c r="GQ259" s="139"/>
      <c r="GR259" s="139"/>
      <c r="GS259" s="139"/>
      <c r="GT259" s="139"/>
      <c r="GU259" s="139"/>
      <c r="GV259" s="139"/>
    </row>
    <row r="260" spans="1:204" s="210" customFormat="1" ht="18.75">
      <c r="A260" s="400"/>
      <c r="B260" s="400">
        <v>96</v>
      </c>
      <c r="C260" s="402" t="s">
        <v>703</v>
      </c>
      <c r="D260" s="402">
        <v>2489</v>
      </c>
      <c r="E260" s="402">
        <v>33</v>
      </c>
      <c r="F260" s="1017">
        <v>2024890033</v>
      </c>
      <c r="G260" s="402">
        <v>9409</v>
      </c>
      <c r="H260" s="405" t="s">
        <v>733</v>
      </c>
      <c r="I260" s="406" t="s">
        <v>727</v>
      </c>
      <c r="J260" s="402">
        <v>0.96</v>
      </c>
      <c r="K260" s="402">
        <v>7.2</v>
      </c>
      <c r="L260" s="402">
        <v>0</v>
      </c>
      <c r="M260" s="402">
        <v>6.5</v>
      </c>
      <c r="N260" s="404">
        <v>8989</v>
      </c>
      <c r="O260" s="404">
        <v>0</v>
      </c>
      <c r="P260" s="404">
        <v>0</v>
      </c>
      <c r="Q260" s="404">
        <v>8989</v>
      </c>
      <c r="R260" s="407">
        <v>0</v>
      </c>
      <c r="S260" s="1018" t="s">
        <v>637</v>
      </c>
      <c r="T260" s="424">
        <f>U260</f>
        <v>0</v>
      </c>
      <c r="U260" s="411">
        <v>0</v>
      </c>
      <c r="V260" s="424">
        <f>W260</f>
        <v>8989</v>
      </c>
      <c r="W260" s="411">
        <f>N260</f>
        <v>8989</v>
      </c>
      <c r="X260" s="411"/>
      <c r="Y260" s="411">
        <f>W260-AA260</f>
        <v>8989</v>
      </c>
      <c r="Z260" s="424">
        <f>AA260</f>
        <v>0</v>
      </c>
      <c r="AA260" s="411">
        <v>0</v>
      </c>
      <c r="AB260" s="424">
        <f>AC260</f>
        <v>0</v>
      </c>
      <c r="AC260" s="411">
        <v>0</v>
      </c>
      <c r="AD260" s="424">
        <f>AE260</f>
        <v>0</v>
      </c>
      <c r="AE260" s="411">
        <f>AG260+AF260</f>
        <v>0</v>
      </c>
      <c r="AF260" s="411">
        <v>0</v>
      </c>
      <c r="AG260" s="411">
        <v>0</v>
      </c>
      <c r="AH260" s="411">
        <v>0</v>
      </c>
      <c r="AI260" s="424">
        <f>AJ260</f>
        <v>0</v>
      </c>
      <c r="AJ260" s="411">
        <v>0</v>
      </c>
      <c r="AK260" s="424">
        <f>AL260</f>
        <v>8989</v>
      </c>
      <c r="AL260" s="411">
        <f>W260-(AA260+AC260+AE260+AH260+AJ260+AM260+AW260+AO260+AQ260+AS260+AU260)</f>
        <v>8989</v>
      </c>
      <c r="AM260" s="1019">
        <v>0</v>
      </c>
      <c r="AN260" s="424">
        <f>AO260</f>
        <v>0</v>
      </c>
      <c r="AO260" s="411">
        <v>0</v>
      </c>
      <c r="AP260" s="424">
        <f>AQ260</f>
        <v>0</v>
      </c>
      <c r="AQ260" s="411">
        <v>0</v>
      </c>
      <c r="AR260" s="424">
        <f>AS260</f>
        <v>0</v>
      </c>
      <c r="AS260" s="411">
        <v>0</v>
      </c>
      <c r="AT260" s="424">
        <f>AU260</f>
        <v>0</v>
      </c>
      <c r="AU260" s="411">
        <v>0</v>
      </c>
      <c r="AV260" s="424">
        <f>AW260</f>
        <v>0</v>
      </c>
      <c r="AW260" s="411">
        <f>AX260+AY260+AZ260+BA260+BB260</f>
        <v>0</v>
      </c>
      <c r="AX260" s="411">
        <v>0</v>
      </c>
      <c r="AY260" s="411">
        <v>0</v>
      </c>
      <c r="AZ260" s="411">
        <v>0</v>
      </c>
      <c r="BA260" s="411">
        <v>0</v>
      </c>
      <c r="BB260" s="411">
        <v>0</v>
      </c>
      <c r="BC260" s="411">
        <v>0</v>
      </c>
      <c r="BD260" s="424">
        <f>BE260</f>
        <v>8989</v>
      </c>
      <c r="BE260" s="411">
        <f>U260+W260</f>
        <v>8989</v>
      </c>
      <c r="BF260" s="424">
        <f>BG260</f>
        <v>0</v>
      </c>
      <c r="BG260" s="411">
        <f>U260/1000</f>
        <v>0</v>
      </c>
      <c r="BH260" s="424">
        <f>BI260</f>
        <v>0</v>
      </c>
      <c r="BI260" s="411">
        <v>0</v>
      </c>
      <c r="BJ260" s="411">
        <f t="shared" si="127"/>
        <v>0</v>
      </c>
      <c r="BK260" s="1020">
        <f>ROUND((Y260+AC260+AA260)/1000*3,0)+ROUND((AE260+AU260)/1000,0)+ROUND((ROUND(AH260/400,0))/2.67,0)+ROUND(AM260/250,0)+ROUND(AO260/15000,0)+ROUND((AX260+AY260+AZ260+BB260)/1000*3,0)+ROUND(BG260/25,0)+ROUND(BU308/50,0)</f>
        <v>27</v>
      </c>
      <c r="BL260" s="411">
        <v>0</v>
      </c>
      <c r="BM260" s="411">
        <v>0</v>
      </c>
      <c r="BN260" s="411">
        <v>0</v>
      </c>
      <c r="BO260" s="411">
        <f>AC260/1000</f>
        <v>0</v>
      </c>
      <c r="BP260" s="411">
        <f>AH260/1000</f>
        <v>0</v>
      </c>
      <c r="BQ260" s="411">
        <v>0</v>
      </c>
      <c r="BR260" s="411">
        <v>0</v>
      </c>
      <c r="BS260" s="411">
        <v>0</v>
      </c>
      <c r="BT260" s="424">
        <f>BU260</f>
        <v>0</v>
      </c>
      <c r="BU260" s="411">
        <f>SUM(BL260:BS260)</f>
        <v>0</v>
      </c>
      <c r="BV260" s="418">
        <v>15</v>
      </c>
      <c r="BW260" s="1021" t="s">
        <v>758</v>
      </c>
      <c r="BX260" s="418">
        <v>8.5</v>
      </c>
      <c r="BY260" s="418">
        <v>2</v>
      </c>
      <c r="BZ260" s="418">
        <v>7.5</v>
      </c>
      <c r="CA260" s="1022" t="s">
        <v>706</v>
      </c>
      <c r="CB260" s="420" t="s">
        <v>719</v>
      </c>
      <c r="CC260" s="1023">
        <f>(BX260*G260)-CF260</f>
        <v>62569.85</v>
      </c>
      <c r="CD260" s="1023">
        <f>CC260</f>
        <v>62569.85</v>
      </c>
      <c r="CE260" s="424">
        <f>CF260</f>
        <v>17406.650000000001</v>
      </c>
      <c r="CF260" s="1024">
        <f>2*(G260)-(0.15*1*(G260))</f>
        <v>17406.650000000001</v>
      </c>
      <c r="CG260" s="424">
        <f>CH260</f>
        <v>17406.650000000001</v>
      </c>
      <c r="CH260" s="1024">
        <f>CF260-CJ260</f>
        <v>17406.650000000001</v>
      </c>
      <c r="CI260" s="424">
        <f>CJ260</f>
        <v>0</v>
      </c>
      <c r="CJ260" s="418">
        <v>0</v>
      </c>
      <c r="CK260" s="424">
        <f>CL260</f>
        <v>0</v>
      </c>
      <c r="CL260" s="418">
        <v>0</v>
      </c>
      <c r="CM260" s="424">
        <f>CN260</f>
        <v>17406.650000000001</v>
      </c>
      <c r="CN260" s="1025">
        <f>CF260-(CJ260+CL260+CO260+CP260+CR260+CU260+CV260+CX260)</f>
        <v>17406.650000000001</v>
      </c>
      <c r="CO260" s="411">
        <v>0</v>
      </c>
      <c r="CP260" s="411">
        <v>0</v>
      </c>
      <c r="CQ260" s="424">
        <f>CR260</f>
        <v>0</v>
      </c>
      <c r="CR260" s="411">
        <v>0</v>
      </c>
      <c r="CS260" s="1025">
        <v>0</v>
      </c>
      <c r="CT260" s="1025">
        <v>0</v>
      </c>
      <c r="CU260" s="1025">
        <v>0</v>
      </c>
      <c r="CV260" s="1025">
        <v>0</v>
      </c>
      <c r="CW260" s="424">
        <f>CX260</f>
        <v>0</v>
      </c>
      <c r="CX260" s="411">
        <f>SUM(CY260:DC260)</f>
        <v>0</v>
      </c>
      <c r="CY260" s="1025">
        <f>AX260</f>
        <v>0</v>
      </c>
      <c r="CZ260" s="1025">
        <f>AY260</f>
        <v>0</v>
      </c>
      <c r="DA260" s="1025">
        <f>AZ260</f>
        <v>0</v>
      </c>
      <c r="DB260" s="1025">
        <f>BA260</f>
        <v>0</v>
      </c>
      <c r="DC260" s="1025">
        <f>BB260</f>
        <v>0</v>
      </c>
      <c r="DD260" s="1025"/>
      <c r="DE260" s="424">
        <f>DF260</f>
        <v>79976.5</v>
      </c>
      <c r="DF260" s="1025">
        <f>CC260+CF260</f>
        <v>79976.5</v>
      </c>
      <c r="DG260" s="424">
        <f>DH260</f>
        <v>62.569849999999995</v>
      </c>
      <c r="DH260" s="1026">
        <f>CC260/'[1]Projected Development Sites'!DF$134</f>
        <v>62.569849999999995</v>
      </c>
      <c r="DI260" s="1027">
        <f>DJ260</f>
        <v>62.569849999999995</v>
      </c>
      <c r="DJ260" s="1028">
        <f>'[1]Projected Development Sites'!DK$136*DH260</f>
        <v>62.569849999999995</v>
      </c>
      <c r="DK260" s="1019">
        <f>2.87*DH260</f>
        <v>179.5754695</v>
      </c>
      <c r="DL260" s="815">
        <f>ROUND((CN260+CL260+CJ260)/1000*3,0)+ROUND((ROUND(CP260/400,0))/2.67,0)+ROUND(CV260/1000,0)+ROUND((CY260+CZ260+DA260+DC260)/1000*3,0)+ROUND(DH260/25,0)+ROUND(DX260/50,0)</f>
        <v>55</v>
      </c>
      <c r="DM260" s="1029">
        <v>0</v>
      </c>
      <c r="DN260" s="1029"/>
      <c r="DO260" s="1029">
        <v>0</v>
      </c>
      <c r="DP260" s="1029">
        <f>0.25*DJ260</f>
        <v>15.642462499999999</v>
      </c>
      <c r="DQ260" s="1029">
        <f>SUM(CO260,CJ260,CN260,CR260,CU260)/1000</f>
        <v>17.406650000000003</v>
      </c>
      <c r="DR260" s="1029">
        <f>CL260/1000</f>
        <v>0</v>
      </c>
      <c r="DS260" s="1029">
        <f>((CP260/400)/12)</f>
        <v>0</v>
      </c>
      <c r="DT260" s="1029">
        <f>IF(CX260&gt;0,"Calculate",0)</f>
        <v>0</v>
      </c>
      <c r="DU260" s="1029">
        <v>0</v>
      </c>
      <c r="DV260" s="1029">
        <f>CX260/1000</f>
        <v>0</v>
      </c>
      <c r="DW260" s="1027">
        <f>DX260</f>
        <v>17.406650000000003</v>
      </c>
      <c r="DX260" s="1030">
        <f>SUM(DM260,DO260,DQ260:DV260)</f>
        <v>17.406650000000003</v>
      </c>
      <c r="DY260" s="1031">
        <v>195</v>
      </c>
      <c r="DZ260" s="2295">
        <f>CD260-T260</f>
        <v>62569.85</v>
      </c>
      <c r="EA260" s="2272">
        <f>CE260-V260</f>
        <v>8417.6500000000015</v>
      </c>
      <c r="EB260" s="281">
        <f>CF260-W260</f>
        <v>8417.6500000000015</v>
      </c>
      <c r="EC260" s="427">
        <f>ED260</f>
        <v>-991.35000000000036</v>
      </c>
      <c r="ED260" s="281">
        <v>-991.35000000000036</v>
      </c>
      <c r="EE260" s="281">
        <f>(SUM(CJ260:CO260))-(SUM(AA260:AE260,AL260))</f>
        <v>25824.300000000003</v>
      </c>
      <c r="EF260" s="427">
        <f>EG260</f>
        <v>-991.35000000000036</v>
      </c>
      <c r="EG260" s="281">
        <v>-991.35000000000036</v>
      </c>
      <c r="EH260" s="427">
        <f>EI260</f>
        <v>0</v>
      </c>
      <c r="EI260" s="281">
        <f>CL260-AC260</f>
        <v>0</v>
      </c>
      <c r="EJ260" s="427">
        <f>EK260</f>
        <v>0</v>
      </c>
      <c r="EK260" s="281">
        <f>CJ260-AA260</f>
        <v>0</v>
      </c>
      <c r="EL260" s="427">
        <f>EM260</f>
        <v>0</v>
      </c>
      <c r="EM260" s="1032">
        <f>CO260-AE260</f>
        <v>0</v>
      </c>
      <c r="EN260" s="427">
        <f>EO260</f>
        <v>0</v>
      </c>
      <c r="EO260" s="1032">
        <f>CP260-AH260</f>
        <v>0</v>
      </c>
      <c r="EP260" s="427">
        <f>EQ260</f>
        <v>0</v>
      </c>
      <c r="EQ260" s="281">
        <f>CR260-AJ260</f>
        <v>0</v>
      </c>
      <c r="ER260" s="427">
        <f>ES260</f>
        <v>0</v>
      </c>
      <c r="ES260" s="281">
        <f>CS260-AO260</f>
        <v>0</v>
      </c>
      <c r="ET260" s="427">
        <f>EU260</f>
        <v>0</v>
      </c>
      <c r="EU260" s="281">
        <f t="shared" si="125"/>
        <v>0</v>
      </c>
      <c r="EV260" s="427">
        <f>EW260</f>
        <v>0</v>
      </c>
      <c r="EW260" s="281">
        <f>CU260-AS260</f>
        <v>0</v>
      </c>
      <c r="EX260" s="427">
        <f>EY260</f>
        <v>0</v>
      </c>
      <c r="EY260" s="1032">
        <f>CV260-AU260</f>
        <v>0</v>
      </c>
      <c r="EZ260" s="427">
        <f>FA260</f>
        <v>0</v>
      </c>
      <c r="FA260" s="1032">
        <f>CY260-AX260</f>
        <v>0</v>
      </c>
      <c r="FB260" s="427">
        <f>FC260</f>
        <v>0</v>
      </c>
      <c r="FC260" s="1032">
        <f>CZ260-AY260</f>
        <v>0</v>
      </c>
      <c r="FD260" s="427">
        <f>FE260</f>
        <v>0</v>
      </c>
      <c r="FE260" s="1032">
        <f>DA260-AZ260</f>
        <v>0</v>
      </c>
      <c r="FF260" s="427">
        <f>FG260</f>
        <v>0</v>
      </c>
      <c r="FG260" s="1032">
        <f>DB260-BA260</f>
        <v>0</v>
      </c>
      <c r="FH260" s="427">
        <f>FI260</f>
        <v>0</v>
      </c>
      <c r="FI260" s="1032">
        <f>DC260-BB260</f>
        <v>0</v>
      </c>
      <c r="FJ260" s="427">
        <f>FK260</f>
        <v>0</v>
      </c>
      <c r="FK260" s="1032">
        <f>CX260-AW260</f>
        <v>0</v>
      </c>
      <c r="FL260" s="427">
        <f>FM260</f>
        <v>70987.5</v>
      </c>
      <c r="FM260" s="281">
        <f>DF260-BE260</f>
        <v>70987.5</v>
      </c>
      <c r="FN260" s="427">
        <f>FO260</f>
        <v>62.569849999999995</v>
      </c>
      <c r="FO260" s="281">
        <f>DH260-BG260</f>
        <v>62.569849999999995</v>
      </c>
      <c r="FP260" s="427">
        <f>FQ260</f>
        <v>62.569849999999995</v>
      </c>
      <c r="FQ260" s="281">
        <f>DJ260-BI260</f>
        <v>62.569849999999995</v>
      </c>
      <c r="FR260" s="1032">
        <f>DK260-BJ260</f>
        <v>179.5754695</v>
      </c>
      <c r="FS260" s="1032">
        <f>DL260-BK260</f>
        <v>28</v>
      </c>
      <c r="FT260" s="1033">
        <f>DM260-BL260</f>
        <v>0</v>
      </c>
      <c r="FU260" s="1033">
        <f>DR260-BO260</f>
        <v>0</v>
      </c>
      <c r="FV260" s="1033">
        <f>DO260-BM260</f>
        <v>0</v>
      </c>
      <c r="FW260" s="1033">
        <f>DQ260-BN260</f>
        <v>17.406650000000003</v>
      </c>
      <c r="FX260" s="1033">
        <f>DS260-BP260</f>
        <v>0</v>
      </c>
      <c r="FY260" s="834">
        <f t="shared" si="145"/>
        <v>0</v>
      </c>
      <c r="FZ260" s="1033">
        <f>DU260-BR260</f>
        <v>0</v>
      </c>
      <c r="GA260" s="1033">
        <f>DV260-BS260</f>
        <v>0</v>
      </c>
      <c r="GB260" s="1034">
        <f>GC260</f>
        <v>17.406650000000003</v>
      </c>
      <c r="GC260" s="819">
        <f t="shared" si="126"/>
        <v>17.406650000000003</v>
      </c>
      <c r="GU260" s="418"/>
      <c r="GV260" s="418"/>
    </row>
    <row r="261" spans="1:204" s="228" customFormat="1" ht="18.75">
      <c r="A261" s="2263"/>
      <c r="B261" s="2263"/>
      <c r="C261" s="132"/>
      <c r="D261" s="132"/>
      <c r="E261" s="132"/>
      <c r="F261" s="777"/>
      <c r="G261" s="132"/>
      <c r="H261" s="135"/>
      <c r="I261" s="136"/>
      <c r="J261" s="132"/>
      <c r="K261" s="132"/>
      <c r="L261" s="132"/>
      <c r="M261" s="132"/>
      <c r="N261" s="134"/>
      <c r="O261" s="134"/>
      <c r="P261" s="134"/>
      <c r="Q261" s="134"/>
      <c r="R261" s="137"/>
      <c r="S261" s="778"/>
      <c r="T261" s="634"/>
      <c r="U261" s="102"/>
      <c r="V261" s="634"/>
      <c r="W261" s="102"/>
      <c r="X261" s="102"/>
      <c r="Y261" s="102"/>
      <c r="Z261" s="634"/>
      <c r="AA261" s="102"/>
      <c r="AB261" s="634"/>
      <c r="AC261" s="102"/>
      <c r="AD261" s="634"/>
      <c r="AE261" s="102"/>
      <c r="AF261" s="102"/>
      <c r="AG261" s="102"/>
      <c r="AH261" s="102"/>
      <c r="AI261" s="634"/>
      <c r="AJ261" s="102"/>
      <c r="AK261" s="634"/>
      <c r="AL261" s="102"/>
      <c r="AM261" s="779"/>
      <c r="AN261" s="634"/>
      <c r="AO261" s="102"/>
      <c r="AP261" s="634"/>
      <c r="AQ261" s="102"/>
      <c r="AR261" s="634"/>
      <c r="AS261" s="102"/>
      <c r="AT261" s="634"/>
      <c r="AU261" s="102"/>
      <c r="AV261" s="634"/>
      <c r="AW261" s="102"/>
      <c r="AX261" s="102"/>
      <c r="AY261" s="102"/>
      <c r="AZ261" s="102"/>
      <c r="BA261" s="102"/>
      <c r="BB261" s="102"/>
      <c r="BC261" s="102"/>
      <c r="BD261" s="634"/>
      <c r="BE261" s="102"/>
      <c r="BF261" s="634"/>
      <c r="BG261" s="102"/>
      <c r="BH261" s="634"/>
      <c r="BI261" s="102"/>
      <c r="BJ261" s="111"/>
      <c r="BK261" s="186"/>
      <c r="BL261" s="102"/>
      <c r="BM261" s="102"/>
      <c r="BN261" s="102"/>
      <c r="BO261" s="102"/>
      <c r="BP261" s="102"/>
      <c r="BQ261" s="102"/>
      <c r="BR261" s="102"/>
      <c r="BS261" s="102"/>
      <c r="BT261" s="634"/>
      <c r="BU261" s="102"/>
      <c r="BV261" s="139"/>
      <c r="BW261" s="780"/>
      <c r="BX261" s="139"/>
      <c r="BY261" s="139"/>
      <c r="BZ261" s="139"/>
      <c r="CA261" s="781"/>
      <c r="CB261" s="2258"/>
      <c r="CC261" s="782"/>
      <c r="CD261" s="782"/>
      <c r="CE261" s="634"/>
      <c r="CF261" s="783"/>
      <c r="CG261" s="634"/>
      <c r="CH261" s="783"/>
      <c r="CI261" s="634"/>
      <c r="CJ261" s="139"/>
      <c r="CK261" s="634"/>
      <c r="CL261" s="139"/>
      <c r="CM261" s="634"/>
      <c r="CN261" s="784"/>
      <c r="CO261" s="784"/>
      <c r="CP261" s="784"/>
      <c r="CQ261" s="634"/>
      <c r="CR261" s="102"/>
      <c r="CS261" s="784"/>
      <c r="CT261" s="784"/>
      <c r="CU261" s="784"/>
      <c r="CV261" s="784"/>
      <c r="CW261" s="634"/>
      <c r="CX261" s="102"/>
      <c r="CY261" s="784"/>
      <c r="CZ261" s="784"/>
      <c r="DA261" s="784"/>
      <c r="DB261" s="784"/>
      <c r="DC261" s="784"/>
      <c r="DD261" s="784"/>
      <c r="DE261" s="634"/>
      <c r="DF261" s="784"/>
      <c r="DG261" s="634"/>
      <c r="DH261" s="296"/>
      <c r="DI261" s="802"/>
      <c r="DJ261" s="785"/>
      <c r="DK261" s="899"/>
      <c r="DL261" s="772"/>
      <c r="DM261" s="787"/>
      <c r="DN261" s="787"/>
      <c r="DO261" s="787"/>
      <c r="DP261" s="787"/>
      <c r="DQ261" s="787"/>
      <c r="DR261" s="787"/>
      <c r="DS261" s="787"/>
      <c r="DT261" s="787"/>
      <c r="DU261" s="787"/>
      <c r="DV261" s="787"/>
      <c r="DW261" s="802"/>
      <c r="DX261" s="788"/>
      <c r="DY261" s="634"/>
      <c r="DZ261" s="2288"/>
      <c r="EA261" s="2231"/>
      <c r="EB261" s="187"/>
      <c r="EC261" s="2232"/>
      <c r="ED261" s="187"/>
      <c r="EE261" s="187"/>
      <c r="EF261" s="2232"/>
      <c r="EG261" s="187"/>
      <c r="EH261" s="2232"/>
      <c r="EI261" s="187"/>
      <c r="EJ261" s="2232"/>
      <c r="EK261" s="187"/>
      <c r="EL261" s="2232"/>
      <c r="EM261" s="195"/>
      <c r="EN261" s="2232"/>
      <c r="EO261" s="195"/>
      <c r="EP261" s="2232"/>
      <c r="EQ261" s="187"/>
      <c r="ER261" s="2232"/>
      <c r="ES261" s="187"/>
      <c r="ET261" s="2232"/>
      <c r="EU261" s="187">
        <f t="shared" ref="EU261:EU271" si="146">CT261-AQ261</f>
        <v>0</v>
      </c>
      <c r="EV261" s="2232"/>
      <c r="EW261" s="187"/>
      <c r="EX261" s="2232"/>
      <c r="EY261" s="195"/>
      <c r="EZ261" s="2232"/>
      <c r="FA261" s="195"/>
      <c r="FB261" s="2232"/>
      <c r="FC261" s="195"/>
      <c r="FD261" s="2232"/>
      <c r="FE261" s="195"/>
      <c r="FF261" s="2232"/>
      <c r="FG261" s="195"/>
      <c r="FH261" s="2232"/>
      <c r="FI261" s="195"/>
      <c r="FJ261" s="2232"/>
      <c r="FK261" s="195"/>
      <c r="FL261" s="2232"/>
      <c r="FM261" s="187"/>
      <c r="FN261" s="2232"/>
      <c r="FO261" s="187"/>
      <c r="FP261" s="2232"/>
      <c r="FQ261" s="187"/>
      <c r="FR261" s="195"/>
      <c r="FS261" s="195"/>
      <c r="FT261" s="789"/>
      <c r="FU261" s="789"/>
      <c r="FV261" s="789"/>
      <c r="FW261" s="789"/>
      <c r="FX261" s="789"/>
      <c r="FY261" s="801">
        <f t="shared" si="145"/>
        <v>0</v>
      </c>
      <c r="FZ261" s="789"/>
      <c r="GA261" s="789"/>
      <c r="GB261" s="2289"/>
      <c r="GC261" s="776"/>
      <c r="GD261" s="139"/>
      <c r="GE261" s="139"/>
      <c r="GF261" s="139"/>
      <c r="GG261" s="139"/>
      <c r="GH261" s="139"/>
      <c r="GI261" s="139"/>
      <c r="GJ261" s="139"/>
      <c r="GK261" s="139"/>
      <c r="GL261" s="139"/>
      <c r="GM261" s="139"/>
      <c r="GN261" s="139"/>
      <c r="GO261" s="139"/>
      <c r="GP261" s="139"/>
      <c r="GQ261" s="139"/>
      <c r="GR261" s="139"/>
      <c r="GS261" s="139"/>
      <c r="GT261" s="139"/>
      <c r="GU261" s="139"/>
      <c r="GV261" s="139"/>
    </row>
    <row r="262" spans="1:204" s="139" customFormat="1" ht="18.75">
      <c r="A262" s="216"/>
      <c r="B262" s="216">
        <v>97</v>
      </c>
      <c r="C262" s="218" t="s">
        <v>703</v>
      </c>
      <c r="D262" s="218">
        <v>2496</v>
      </c>
      <c r="E262" s="218">
        <v>58</v>
      </c>
      <c r="F262" s="897">
        <v>2024960058</v>
      </c>
      <c r="G262" s="218">
        <v>11000</v>
      </c>
      <c r="H262" s="221" t="s">
        <v>733</v>
      </c>
      <c r="I262" s="222" t="s">
        <v>727</v>
      </c>
      <c r="J262" s="218">
        <v>0.9</v>
      </c>
      <c r="K262" s="218">
        <v>7.2</v>
      </c>
      <c r="L262" s="218">
        <v>0</v>
      </c>
      <c r="M262" s="218">
        <v>6.5</v>
      </c>
      <c r="N262" s="220">
        <v>9900</v>
      </c>
      <c r="O262" s="220">
        <v>0</v>
      </c>
      <c r="P262" s="220">
        <v>0</v>
      </c>
      <c r="Q262" s="220">
        <v>9900</v>
      </c>
      <c r="R262" s="223">
        <v>0</v>
      </c>
      <c r="S262" s="898" t="s">
        <v>745</v>
      </c>
      <c r="T262" s="234">
        <f>U262</f>
        <v>0</v>
      </c>
      <c r="U262" s="111">
        <v>0</v>
      </c>
      <c r="V262" s="234">
        <f>W262</f>
        <v>9900</v>
      </c>
      <c r="W262" s="111">
        <f>N262</f>
        <v>9900</v>
      </c>
      <c r="X262" s="111"/>
      <c r="Y262" s="111">
        <f>W262-AA262</f>
        <v>6633</v>
      </c>
      <c r="Z262" s="234">
        <f>AA262</f>
        <v>3267</v>
      </c>
      <c r="AA262" s="111">
        <f>0.33*W262</f>
        <v>3267</v>
      </c>
      <c r="AB262" s="234">
        <f>AC262</f>
        <v>0</v>
      </c>
      <c r="AC262" s="111">
        <v>0</v>
      </c>
      <c r="AD262" s="234">
        <f>AE262</f>
        <v>0</v>
      </c>
      <c r="AE262" s="111">
        <f>AG262+AF262</f>
        <v>0</v>
      </c>
      <c r="AF262" s="111">
        <v>0</v>
      </c>
      <c r="AG262" s="111">
        <v>0</v>
      </c>
      <c r="AH262" s="111">
        <v>0</v>
      </c>
      <c r="AI262" s="234">
        <f>AJ262</f>
        <v>0</v>
      </c>
      <c r="AJ262" s="111">
        <v>0</v>
      </c>
      <c r="AK262" s="234">
        <f>AL262</f>
        <v>6633</v>
      </c>
      <c r="AL262" s="111">
        <f>W262-(AA262+AC262+AE262+AH262+AJ262+AM262+AW262+AO262+AQ262+AS262+AU262)</f>
        <v>6633</v>
      </c>
      <c r="AM262" s="899">
        <v>0</v>
      </c>
      <c r="AN262" s="234">
        <f>AO262</f>
        <v>0</v>
      </c>
      <c r="AO262" s="111">
        <v>0</v>
      </c>
      <c r="AP262" s="234">
        <f>AQ262</f>
        <v>0</v>
      </c>
      <c r="AQ262" s="111">
        <v>0</v>
      </c>
      <c r="AR262" s="234">
        <f>AS262</f>
        <v>0</v>
      </c>
      <c r="AS262" s="111">
        <v>0</v>
      </c>
      <c r="AT262" s="234">
        <f>AU262</f>
        <v>0</v>
      </c>
      <c r="AU262" s="111">
        <v>0</v>
      </c>
      <c r="AV262" s="234">
        <f>AW262</f>
        <v>0</v>
      </c>
      <c r="AW262" s="111">
        <f>AX262+AY262+AZ262+BA262+BB262</f>
        <v>0</v>
      </c>
      <c r="AX262" s="111">
        <v>0</v>
      </c>
      <c r="AY262" s="111">
        <v>0</v>
      </c>
      <c r="AZ262" s="111">
        <v>0</v>
      </c>
      <c r="BA262" s="111">
        <v>0</v>
      </c>
      <c r="BB262" s="111">
        <v>0</v>
      </c>
      <c r="BC262" s="111">
        <v>0</v>
      </c>
      <c r="BD262" s="234">
        <f>BE262</f>
        <v>9900</v>
      </c>
      <c r="BE262" s="111">
        <f>U262+W262</f>
        <v>9900</v>
      </c>
      <c r="BF262" s="234">
        <f>BG262</f>
        <v>0</v>
      </c>
      <c r="BG262" s="111">
        <f>U262/1000</f>
        <v>0</v>
      </c>
      <c r="BH262" s="234">
        <f>BI262</f>
        <v>0</v>
      </c>
      <c r="BI262" s="111">
        <v>0</v>
      </c>
      <c r="BJ262" s="111">
        <f t="shared" si="127"/>
        <v>0</v>
      </c>
      <c r="BK262" s="306">
        <f>ROUND((Y262+AC262+AA262)/1000*3,0)+ROUND((AE262+AU262)/1000,0)+ROUND((ROUND(AH262/400,0))/2.67,0)+ROUND(AM262/250,0)+ROUND(AO262/15000,0)+ROUND((AX262+AY262+AZ262+BB262)/1000*3,0)+ROUND(BG262/25,0)+ROUND(BU77/50,0)</f>
        <v>30</v>
      </c>
      <c r="BL262" s="111">
        <v>0</v>
      </c>
      <c r="BM262" s="111">
        <v>0</v>
      </c>
      <c r="BN262" s="111">
        <v>0</v>
      </c>
      <c r="BO262" s="111">
        <f>AC262/1000</f>
        <v>0</v>
      </c>
      <c r="BP262" s="111">
        <f>AH262/1000</f>
        <v>0</v>
      </c>
      <c r="BQ262" s="111">
        <v>0</v>
      </c>
      <c r="BR262" s="111">
        <v>0</v>
      </c>
      <c r="BS262" s="111">
        <v>0</v>
      </c>
      <c r="BT262" s="234">
        <f>BU262</f>
        <v>0</v>
      </c>
      <c r="BU262" s="111">
        <f>SUM(BL262:BS262)</f>
        <v>0</v>
      </c>
      <c r="BV262" s="228">
        <v>15</v>
      </c>
      <c r="BW262" s="900" t="s">
        <v>758</v>
      </c>
      <c r="BX262" s="228">
        <v>8.5</v>
      </c>
      <c r="BY262" s="228">
        <v>2</v>
      </c>
      <c r="BZ262" s="228">
        <v>7.5</v>
      </c>
      <c r="CA262" s="901" t="s">
        <v>706</v>
      </c>
      <c r="CB262" s="230" t="s">
        <v>716</v>
      </c>
      <c r="CC262" s="399">
        <f>(BX262*G262)-CF262</f>
        <v>84150</v>
      </c>
      <c r="CD262" s="399">
        <v>84150</v>
      </c>
      <c r="CE262" s="234">
        <f>CF262</f>
        <v>9350</v>
      </c>
      <c r="CF262" s="902">
        <f>1*(G262)-(0.15*1*(G262))</f>
        <v>9350</v>
      </c>
      <c r="CG262" s="234">
        <f>CH262</f>
        <v>9350</v>
      </c>
      <c r="CH262" s="902">
        <f>CF262-CJ262</f>
        <v>9350</v>
      </c>
      <c r="CI262" s="234">
        <f>CJ262</f>
        <v>0</v>
      </c>
      <c r="CJ262" s="228">
        <v>0</v>
      </c>
      <c r="CK262" s="234">
        <f>CL262</f>
        <v>0</v>
      </c>
      <c r="CL262" s="228">
        <v>0</v>
      </c>
      <c r="CM262" s="234">
        <f>CN262</f>
        <v>9350</v>
      </c>
      <c r="CN262" s="111">
        <f>CF262-(CJ262+CL262+CO262+CP262+CR262+CU262+CV262+CX262)</f>
        <v>9350</v>
      </c>
      <c r="CO262" s="111">
        <v>0</v>
      </c>
      <c r="CP262" s="111">
        <v>0</v>
      </c>
      <c r="CQ262" s="234">
        <f>CR262</f>
        <v>0</v>
      </c>
      <c r="CR262" s="111">
        <v>0</v>
      </c>
      <c r="CS262" s="903">
        <v>0</v>
      </c>
      <c r="CT262" s="903">
        <v>0</v>
      </c>
      <c r="CU262" s="903">
        <v>0</v>
      </c>
      <c r="CV262" s="903">
        <v>0</v>
      </c>
      <c r="CW262" s="234">
        <f>CX262</f>
        <v>0</v>
      </c>
      <c r="CX262" s="111">
        <f>SUM(CY262:DC262)</f>
        <v>0</v>
      </c>
      <c r="CY262" s="903">
        <f>AX262</f>
        <v>0</v>
      </c>
      <c r="CZ262" s="903">
        <f>AY262</f>
        <v>0</v>
      </c>
      <c r="DA262" s="903">
        <f>AZ262</f>
        <v>0</v>
      </c>
      <c r="DB262" s="903">
        <f>BA262</f>
        <v>0</v>
      </c>
      <c r="DC262" s="903">
        <f>BB262</f>
        <v>0</v>
      </c>
      <c r="DD262" s="903"/>
      <c r="DE262" s="234">
        <f>DF262</f>
        <v>93500</v>
      </c>
      <c r="DF262" s="111">
        <f>CC262+CF262</f>
        <v>93500</v>
      </c>
      <c r="DG262" s="234">
        <f>DH262</f>
        <v>84.15</v>
      </c>
      <c r="DH262" s="904">
        <f>CC262/'[1]Projected Development Sites'!DF$134</f>
        <v>84.15</v>
      </c>
      <c r="DI262" s="886">
        <f>DJ262</f>
        <v>84.15</v>
      </c>
      <c r="DJ262" s="803">
        <f>'[1]Projected Development Sites'!DK$136*DH262</f>
        <v>84.15</v>
      </c>
      <c r="DK262" s="899">
        <f>2.87*DH262</f>
        <v>241.51050000000004</v>
      </c>
      <c r="DL262" s="772">
        <f>ROUND((CN262+CL262+CJ262)/1000*3,0)+ROUND((ROUND(CP262/400,0))/2.67,0)+ROUND(CV262/1000,0)+ROUND((CY262+CZ262+DA262+DC262)/1000*3,0)+ROUND(DH262/25,0)+ROUND(DX262/50,0)</f>
        <v>31</v>
      </c>
      <c r="DM262" s="905">
        <v>0</v>
      </c>
      <c r="DN262" s="905"/>
      <c r="DO262" s="905">
        <v>0</v>
      </c>
      <c r="DP262" s="905">
        <f>0.25*DJ262</f>
        <v>21.037500000000001</v>
      </c>
      <c r="DQ262" s="905">
        <f>SUM(CO262,CJ262,CN262,CR262,CU262)/1000</f>
        <v>9.35</v>
      </c>
      <c r="DR262" s="905">
        <f>CL262/1000</f>
        <v>0</v>
      </c>
      <c r="DS262" s="905">
        <f>((CP262/400)/12)</f>
        <v>0</v>
      </c>
      <c r="DT262" s="905">
        <f>IF(CX262&gt;0,"Calculate",0)</f>
        <v>0</v>
      </c>
      <c r="DU262" s="905">
        <v>0</v>
      </c>
      <c r="DV262" s="905">
        <f>CX262/1000</f>
        <v>0</v>
      </c>
      <c r="DW262" s="886">
        <f>DX262</f>
        <v>9.35</v>
      </c>
      <c r="DX262" s="906">
        <f>SUM(DM262,DO262,DQ262:DV262)</f>
        <v>9.35</v>
      </c>
      <c r="DY262" s="837">
        <v>195</v>
      </c>
      <c r="DZ262" s="2288">
        <f>CD262-T262</f>
        <v>84150</v>
      </c>
      <c r="EA262" s="2231">
        <f>CE262-V262</f>
        <v>-550</v>
      </c>
      <c r="EB262" s="187">
        <f>CF262-W262</f>
        <v>-550</v>
      </c>
      <c r="EC262" s="235">
        <f>ED262</f>
        <v>-550</v>
      </c>
      <c r="ED262" s="187">
        <v>-550</v>
      </c>
      <c r="EE262" s="187">
        <f>(SUM(CJ262:CO262))-(SUM(AA262:AE262,AL262))</f>
        <v>8800</v>
      </c>
      <c r="EF262" s="235">
        <f>EG262</f>
        <v>2717</v>
      </c>
      <c r="EG262" s="187">
        <v>2717</v>
      </c>
      <c r="EH262" s="235">
        <f>EI262</f>
        <v>0</v>
      </c>
      <c r="EI262" s="187">
        <f>CL262-AC262</f>
        <v>0</v>
      </c>
      <c r="EJ262" s="235">
        <f>EK262</f>
        <v>-3267</v>
      </c>
      <c r="EK262" s="187">
        <f>CJ262-AA262</f>
        <v>-3267</v>
      </c>
      <c r="EL262" s="235">
        <f>EM262</f>
        <v>0</v>
      </c>
      <c r="EM262" s="245">
        <f>CO262-AE262</f>
        <v>0</v>
      </c>
      <c r="EN262" s="235">
        <f>EO262</f>
        <v>0</v>
      </c>
      <c r="EO262" s="245">
        <f>CP262-AH262</f>
        <v>0</v>
      </c>
      <c r="EP262" s="235">
        <f>EQ262</f>
        <v>0</v>
      </c>
      <c r="EQ262" s="187">
        <f>CR262-AJ262</f>
        <v>0</v>
      </c>
      <c r="ER262" s="235">
        <f>ES262</f>
        <v>0</v>
      </c>
      <c r="ES262" s="187">
        <f>CS262-AO262</f>
        <v>0</v>
      </c>
      <c r="ET262" s="235">
        <f>EU262</f>
        <v>0</v>
      </c>
      <c r="EU262" s="187">
        <f t="shared" si="146"/>
        <v>0</v>
      </c>
      <c r="EV262" s="235">
        <f>EW262</f>
        <v>0</v>
      </c>
      <c r="EW262" s="187">
        <f>CU262-AS262</f>
        <v>0</v>
      </c>
      <c r="EX262" s="235">
        <f>EY262</f>
        <v>0</v>
      </c>
      <c r="EY262" s="245">
        <f>CV262-AU262</f>
        <v>0</v>
      </c>
      <c r="EZ262" s="235">
        <f>FA262</f>
        <v>0</v>
      </c>
      <c r="FA262" s="245">
        <f>CY262-AX262</f>
        <v>0</v>
      </c>
      <c r="FB262" s="235">
        <f>FC262</f>
        <v>0</v>
      </c>
      <c r="FC262" s="245">
        <f>CZ262-AY262</f>
        <v>0</v>
      </c>
      <c r="FD262" s="235">
        <f>FE262</f>
        <v>0</v>
      </c>
      <c r="FE262" s="245">
        <f>DA262-AZ262</f>
        <v>0</v>
      </c>
      <c r="FF262" s="235">
        <f>FG262</f>
        <v>0</v>
      </c>
      <c r="FG262" s="245">
        <f>DB262-BA262</f>
        <v>0</v>
      </c>
      <c r="FH262" s="235">
        <f>FI262</f>
        <v>0</v>
      </c>
      <c r="FI262" s="245">
        <f>DC262-BB262</f>
        <v>0</v>
      </c>
      <c r="FJ262" s="235">
        <f>FK262</f>
        <v>0</v>
      </c>
      <c r="FK262" s="245">
        <f>CX262-AW262</f>
        <v>0</v>
      </c>
      <c r="FL262" s="235">
        <f>FM262</f>
        <v>83600</v>
      </c>
      <c r="FM262" s="187">
        <f>DF262-BE262</f>
        <v>83600</v>
      </c>
      <c r="FN262" s="235">
        <f>FO262</f>
        <v>84.15</v>
      </c>
      <c r="FO262" s="187">
        <f>DH262-BG262</f>
        <v>84.15</v>
      </c>
      <c r="FP262" s="235">
        <f>FQ262</f>
        <v>84.15</v>
      </c>
      <c r="FQ262" s="187">
        <f>DJ262-BI262</f>
        <v>84.15</v>
      </c>
      <c r="FR262" s="245">
        <f>DK262-BJ262</f>
        <v>241.51050000000004</v>
      </c>
      <c r="FS262" s="245">
        <f>DL262-BK262</f>
        <v>1</v>
      </c>
      <c r="FT262" s="907">
        <f>DM262-BL262</f>
        <v>0</v>
      </c>
      <c r="FU262" s="907">
        <f>DR262-BO262</f>
        <v>0</v>
      </c>
      <c r="FV262" s="907">
        <f>DO262-BM262</f>
        <v>0</v>
      </c>
      <c r="FW262" s="907">
        <f>DQ262-BN262</f>
        <v>9.35</v>
      </c>
      <c r="FX262" s="907">
        <f>DS262-BP262</f>
        <v>0</v>
      </c>
      <c r="FY262" s="801">
        <f t="shared" si="145"/>
        <v>0</v>
      </c>
      <c r="FZ262" s="907">
        <f>DU262-BR262</f>
        <v>0</v>
      </c>
      <c r="GA262" s="907">
        <f>DV262-BS262</f>
        <v>0</v>
      </c>
      <c r="GB262" s="894">
        <f>GC262</f>
        <v>9.35</v>
      </c>
      <c r="GC262" s="776">
        <f t="shared" ref="GC262:GC271" si="147">SUM(FT262:GA262)</f>
        <v>9.35</v>
      </c>
      <c r="GU262" s="228"/>
      <c r="GV262" s="228"/>
    </row>
    <row r="263" spans="1:204" s="127" customFormat="1" ht="15" customHeight="1">
      <c r="A263" s="2263"/>
      <c r="B263" s="2263"/>
      <c r="C263" s="913"/>
      <c r="D263" s="132"/>
      <c r="E263" s="132"/>
      <c r="F263" s="777"/>
      <c r="G263" s="132"/>
      <c r="H263" s="135"/>
      <c r="I263" s="136"/>
      <c r="J263" s="132"/>
      <c r="K263" s="132"/>
      <c r="L263" s="132"/>
      <c r="M263" s="132"/>
      <c r="N263" s="134"/>
      <c r="O263" s="134"/>
      <c r="P263" s="134"/>
      <c r="Q263" s="134"/>
      <c r="R263" s="137"/>
      <c r="S263" s="778"/>
      <c r="T263" s="634"/>
      <c r="U263" s="102"/>
      <c r="V263" s="634"/>
      <c r="W263" s="102"/>
      <c r="X263" s="102"/>
      <c r="Y263" s="102"/>
      <c r="Z263" s="634"/>
      <c r="AA263" s="102"/>
      <c r="AB263" s="634"/>
      <c r="AC263" s="102"/>
      <c r="AD263" s="634"/>
      <c r="AE263" s="102"/>
      <c r="AF263" s="102"/>
      <c r="AG263" s="102"/>
      <c r="AH263" s="102"/>
      <c r="AI263" s="634"/>
      <c r="AJ263" s="102"/>
      <c r="AK263" s="634"/>
      <c r="AL263" s="102"/>
      <c r="AM263" s="779"/>
      <c r="AN263" s="634"/>
      <c r="AO263" s="102"/>
      <c r="AP263" s="634"/>
      <c r="AQ263" s="102"/>
      <c r="AR263" s="634"/>
      <c r="AS263" s="102"/>
      <c r="AT263" s="634"/>
      <c r="AU263" s="102"/>
      <c r="AV263" s="634"/>
      <c r="AW263" s="102"/>
      <c r="AX263" s="102"/>
      <c r="AY263" s="102"/>
      <c r="AZ263" s="102"/>
      <c r="BA263" s="102"/>
      <c r="BB263" s="102"/>
      <c r="BC263" s="102"/>
      <c r="BD263" s="634"/>
      <c r="BE263" s="102"/>
      <c r="BF263" s="634"/>
      <c r="BG263" s="102"/>
      <c r="BH263" s="634"/>
      <c r="BI263" s="102"/>
      <c r="BJ263" s="111"/>
      <c r="BK263" s="186"/>
      <c r="BL263" s="102"/>
      <c r="BM263" s="102"/>
      <c r="BN263" s="102"/>
      <c r="BO263" s="102"/>
      <c r="BP263" s="102"/>
      <c r="BQ263" s="102"/>
      <c r="BR263" s="102"/>
      <c r="BS263" s="102"/>
      <c r="BT263" s="634"/>
      <c r="BU263" s="102"/>
      <c r="BV263" s="139"/>
      <c r="BW263" s="780"/>
      <c r="BX263" s="139"/>
      <c r="BY263" s="139"/>
      <c r="BZ263" s="139"/>
      <c r="CA263" s="781"/>
      <c r="CB263" s="2258"/>
      <c r="CC263" s="782"/>
      <c r="CD263" s="782"/>
      <c r="CE263" s="634"/>
      <c r="CF263" s="840"/>
      <c r="CG263" s="634"/>
      <c r="CH263" s="840"/>
      <c r="CI263" s="634"/>
      <c r="CJ263" s="139"/>
      <c r="CK263" s="634"/>
      <c r="CL263" s="139"/>
      <c r="CM263" s="634"/>
      <c r="CN263" s="784"/>
      <c r="CO263" s="102"/>
      <c r="CP263" s="102"/>
      <c r="CQ263" s="634"/>
      <c r="CR263" s="102"/>
      <c r="CS263" s="784"/>
      <c r="CT263" s="784"/>
      <c r="CU263" s="784"/>
      <c r="CV263" s="784"/>
      <c r="CW263" s="634"/>
      <c r="CX263" s="102"/>
      <c r="CY263" s="784"/>
      <c r="CZ263" s="784"/>
      <c r="DA263" s="784"/>
      <c r="DB263" s="784"/>
      <c r="DC263" s="784"/>
      <c r="DD263" s="784"/>
      <c r="DE263" s="634"/>
      <c r="DF263" s="102"/>
      <c r="DG263" s="634"/>
      <c r="DH263" s="296"/>
      <c r="DI263" s="802"/>
      <c r="DJ263" s="803"/>
      <c r="DK263" s="899"/>
      <c r="DL263" s="772"/>
      <c r="DM263" s="787"/>
      <c r="DN263" s="787"/>
      <c r="DO263" s="787"/>
      <c r="DP263" s="787"/>
      <c r="DQ263" s="787"/>
      <c r="DR263" s="787"/>
      <c r="DS263" s="787"/>
      <c r="DT263" s="787"/>
      <c r="DU263" s="787"/>
      <c r="DV263" s="787"/>
      <c r="DW263" s="802"/>
      <c r="DX263" s="788"/>
      <c r="DY263" s="634"/>
      <c r="DZ263" s="2288"/>
      <c r="EA263" s="2231"/>
      <c r="EB263" s="187"/>
      <c r="EC263" s="2232"/>
      <c r="ED263" s="187"/>
      <c r="EE263" s="187"/>
      <c r="EF263" s="2232"/>
      <c r="EG263" s="187"/>
      <c r="EH263" s="2232"/>
      <c r="EI263" s="187"/>
      <c r="EJ263" s="2232"/>
      <c r="EK263" s="187"/>
      <c r="EL263" s="2232"/>
      <c r="EM263" s="195"/>
      <c r="EN263" s="2232"/>
      <c r="EO263" s="195"/>
      <c r="EP263" s="2232"/>
      <c r="EQ263" s="187"/>
      <c r="ER263" s="2232"/>
      <c r="ES263" s="187"/>
      <c r="ET263" s="2232"/>
      <c r="EU263" s="187">
        <f t="shared" si="146"/>
        <v>0</v>
      </c>
      <c r="EV263" s="2232"/>
      <c r="EW263" s="187"/>
      <c r="EX263" s="2232"/>
      <c r="EY263" s="195"/>
      <c r="EZ263" s="2232"/>
      <c r="FA263" s="195"/>
      <c r="FB263" s="2232"/>
      <c r="FC263" s="195"/>
      <c r="FD263" s="2232"/>
      <c r="FE263" s="195"/>
      <c r="FF263" s="2232"/>
      <c r="FG263" s="195"/>
      <c r="FH263" s="2232"/>
      <c r="FI263" s="195"/>
      <c r="FJ263" s="2232"/>
      <c r="FK263" s="195"/>
      <c r="FL263" s="2232"/>
      <c r="FM263" s="187"/>
      <c r="FN263" s="2232"/>
      <c r="FO263" s="187"/>
      <c r="FP263" s="2232"/>
      <c r="FQ263" s="187"/>
      <c r="FR263" s="195"/>
      <c r="FS263" s="195"/>
      <c r="FT263" s="789"/>
      <c r="FU263" s="789"/>
      <c r="FV263" s="789"/>
      <c r="FW263" s="789"/>
      <c r="FX263" s="789"/>
      <c r="FY263" s="801">
        <f t="shared" si="145"/>
        <v>0</v>
      </c>
      <c r="FZ263" s="789"/>
      <c r="GA263" s="789"/>
      <c r="GB263" s="2286"/>
      <c r="GC263" s="776"/>
      <c r="GD263" s="139"/>
      <c r="GE263" s="139"/>
      <c r="GF263" s="139"/>
      <c r="GG263" s="139"/>
      <c r="GH263" s="139"/>
      <c r="GI263" s="139"/>
      <c r="GJ263" s="139"/>
      <c r="GK263" s="139"/>
      <c r="GL263" s="139"/>
      <c r="GM263" s="139"/>
      <c r="GN263" s="139"/>
      <c r="GO263" s="139"/>
      <c r="GP263" s="139"/>
      <c r="GQ263" s="139"/>
      <c r="GR263" s="139"/>
      <c r="GS263" s="139"/>
      <c r="GT263" s="139"/>
      <c r="GU263" s="139"/>
      <c r="GV263" s="139"/>
    </row>
    <row r="264" spans="1:204" s="81" customFormat="1" ht="15" customHeight="1">
      <c r="A264" s="2588"/>
      <c r="B264" s="2588">
        <v>98</v>
      </c>
      <c r="C264" s="911" t="s">
        <v>703</v>
      </c>
      <c r="D264" s="115">
        <v>2488</v>
      </c>
      <c r="E264" s="115">
        <v>23</v>
      </c>
      <c r="F264" s="115">
        <v>2024880023</v>
      </c>
      <c r="G264" s="115">
        <v>2500</v>
      </c>
      <c r="H264" s="118" t="s">
        <v>733</v>
      </c>
      <c r="I264" s="119" t="s">
        <v>727</v>
      </c>
      <c r="J264" s="115">
        <v>1</v>
      </c>
      <c r="K264" s="115">
        <v>7.2</v>
      </c>
      <c r="L264" s="115">
        <v>0</v>
      </c>
      <c r="M264" s="115">
        <v>6.5</v>
      </c>
      <c r="N264" s="117">
        <v>2500</v>
      </c>
      <c r="O264" s="117">
        <v>0</v>
      </c>
      <c r="P264" s="117">
        <v>0</v>
      </c>
      <c r="Q264" s="117">
        <v>2500</v>
      </c>
      <c r="R264" s="120">
        <v>0</v>
      </c>
      <c r="S264" s="764" t="s">
        <v>637</v>
      </c>
      <c r="T264" s="2600">
        <f>SUM(U264:U265)</f>
        <v>0</v>
      </c>
      <c r="U264" s="122">
        <f>Q264-N264</f>
        <v>0</v>
      </c>
      <c r="V264" s="2600">
        <f>SUM(W264:W265)</f>
        <v>7050</v>
      </c>
      <c r="W264" s="122">
        <f>N264</f>
        <v>2500</v>
      </c>
      <c r="X264" s="122"/>
      <c r="Y264" s="122">
        <f>W264-AA264</f>
        <v>2500</v>
      </c>
      <c r="Z264" s="2600">
        <f>SUM(AA264:AA265)</f>
        <v>0</v>
      </c>
      <c r="AA264" s="122">
        <v>0</v>
      </c>
      <c r="AB264" s="2600">
        <f>SUM(AC264:AC265)</f>
        <v>1137.5</v>
      </c>
      <c r="AC264" s="122">
        <v>0</v>
      </c>
      <c r="AD264" s="2600">
        <f>SUM(AE264:AE265)</f>
        <v>0</v>
      </c>
      <c r="AE264" s="122">
        <f>AF264+AG264</f>
        <v>0</v>
      </c>
      <c r="AF264" s="122">
        <v>0</v>
      </c>
      <c r="AG264" s="122">
        <v>0</v>
      </c>
      <c r="AH264" s="122">
        <v>0</v>
      </c>
      <c r="AI264" s="2600">
        <f>SUM(AJ264:AJ265)</f>
        <v>0</v>
      </c>
      <c r="AJ264" s="122">
        <v>0</v>
      </c>
      <c r="AK264" s="2600">
        <f>SUM(AL264:AL265)</f>
        <v>5912.5</v>
      </c>
      <c r="AL264" s="122">
        <f>W264-(AA264+AC264+AE264+AH264+AJ264+AM264+AW264+AO264+AQ264+AS264+AU264)</f>
        <v>2500</v>
      </c>
      <c r="AM264" s="765">
        <v>0</v>
      </c>
      <c r="AN264" s="2600">
        <f>SUM(AO264:AO265)</f>
        <v>0</v>
      </c>
      <c r="AO264" s="122">
        <v>0</v>
      </c>
      <c r="AP264" s="2600">
        <f>SUM(AQ264:AQ265)</f>
        <v>0</v>
      </c>
      <c r="AQ264" s="122">
        <v>0</v>
      </c>
      <c r="AR264" s="2600">
        <f>SUM(AS264:AS265)</f>
        <v>0</v>
      </c>
      <c r="AS264" s="122">
        <v>0</v>
      </c>
      <c r="AT264" s="2600">
        <f>SUM(AU264:AU265)</f>
        <v>0</v>
      </c>
      <c r="AU264" s="122">
        <v>0</v>
      </c>
      <c r="AV264" s="2600">
        <f>SUM(AW264:AW265)</f>
        <v>0</v>
      </c>
      <c r="AW264" s="74">
        <f t="shared" ref="AW264:AW273" si="148">AX264+AY264+AZ264+BA264+BB264+BC264</f>
        <v>0</v>
      </c>
      <c r="AX264" s="122">
        <v>0</v>
      </c>
      <c r="AY264" s="122">
        <v>0</v>
      </c>
      <c r="AZ264" s="122">
        <v>0</v>
      </c>
      <c r="BA264" s="122">
        <v>0</v>
      </c>
      <c r="BB264" s="122">
        <v>0</v>
      </c>
      <c r="BC264" s="122">
        <v>0</v>
      </c>
      <c r="BD264" s="2600">
        <f>SUM(BE264:BE265)</f>
        <v>7050</v>
      </c>
      <c r="BE264" s="122">
        <f>U264+W264</f>
        <v>2500</v>
      </c>
      <c r="BF264" s="2600">
        <f>SUM(BG264:BG265)</f>
        <v>0</v>
      </c>
      <c r="BG264" s="122">
        <v>0</v>
      </c>
      <c r="BH264" s="2600">
        <f>SUM(BI264:BI265)</f>
        <v>0</v>
      </c>
      <c r="BI264" s="122">
        <f>'[1]Projected Development Sites'!BG$135*BG264</f>
        <v>0</v>
      </c>
      <c r="BJ264" s="122">
        <f t="shared" ref="BJ264:BJ283" si="149">ROUND(BG264*2.87,0)</f>
        <v>0</v>
      </c>
      <c r="BK264" s="129">
        <f>ROUND((AL264+AC264+AA264)/1000*3,0)+ROUND((AE264+AU264)/1000,0)+ROUND((ROUND(AH264/400,0))/2.67,0)+ROUND(AJ264/250,0)+ROUND(AO264/15000,0)+ROUND((AX264+AY264+AZ264+BB264)/1000*3,0)+ROUND(BG264/25,0)+ROUND(BU264/50,0)</f>
        <v>8</v>
      </c>
      <c r="BL264" s="122">
        <v>0</v>
      </c>
      <c r="BM264" s="122">
        <v>0</v>
      </c>
      <c r="BN264" s="122">
        <v>0</v>
      </c>
      <c r="BO264" s="122">
        <v>0</v>
      </c>
      <c r="BP264" s="122">
        <v>0</v>
      </c>
      <c r="BQ264" s="122">
        <v>0</v>
      </c>
      <c r="BR264" s="122">
        <v>0</v>
      </c>
      <c r="BS264" s="122">
        <v>0</v>
      </c>
      <c r="BT264" s="2600">
        <f>SUM(BU264:BU265)</f>
        <v>5.6875</v>
      </c>
      <c r="BU264" s="122">
        <v>0</v>
      </c>
      <c r="BV264" s="127">
        <v>15</v>
      </c>
      <c r="BW264" s="766" t="s">
        <v>758</v>
      </c>
      <c r="BX264" s="127">
        <v>8.5</v>
      </c>
      <c r="BY264" s="127">
        <v>2</v>
      </c>
      <c r="BZ264" s="127">
        <v>7.5</v>
      </c>
      <c r="CA264" s="767" t="s">
        <v>706</v>
      </c>
      <c r="CB264" s="2596" t="s">
        <v>869</v>
      </c>
      <c r="CC264" s="768">
        <f>(BX264*G264)-CF264</f>
        <v>19125</v>
      </c>
      <c r="CD264" s="2731">
        <f>SUM(CC264:CC265)</f>
        <v>58905</v>
      </c>
      <c r="CE264" s="2600">
        <f>SUM(CF264:CF265)</f>
        <v>6545</v>
      </c>
      <c r="CF264" s="838">
        <f>1*(G264)-(0.15*1*(G264))</f>
        <v>2125</v>
      </c>
      <c r="CG264" s="2600">
        <f>SUM(CH264:CH265)</f>
        <v>2125</v>
      </c>
      <c r="CH264" s="838">
        <f>CF264-CJ264</f>
        <v>2125</v>
      </c>
      <c r="CI264" s="2600">
        <f>SUM(CJ264:CJ265)</f>
        <v>4420</v>
      </c>
      <c r="CJ264" s="127">
        <v>0</v>
      </c>
      <c r="CK264" s="2600">
        <f>SUM(CL264:CL265)</f>
        <v>0</v>
      </c>
      <c r="CL264" s="127">
        <v>0</v>
      </c>
      <c r="CM264" s="2600">
        <f>SUM(CN264:CN265)</f>
        <v>0</v>
      </c>
      <c r="CN264" s="122">
        <v>0</v>
      </c>
      <c r="CO264" s="122">
        <v>0</v>
      </c>
      <c r="CP264" s="122">
        <v>0</v>
      </c>
      <c r="CQ264" s="2600">
        <f>SUM(CR264:CR265)</f>
        <v>0</v>
      </c>
      <c r="CR264" s="122">
        <v>0</v>
      </c>
      <c r="CS264" s="770">
        <v>0</v>
      </c>
      <c r="CT264" s="770">
        <v>0</v>
      </c>
      <c r="CU264" s="770">
        <v>0</v>
      </c>
      <c r="CV264" s="770">
        <v>0</v>
      </c>
      <c r="CW264" s="2600">
        <f>SUM(CX264:CX265)</f>
        <v>0</v>
      </c>
      <c r="CX264" s="122">
        <f>SUM(CY264:DC264)</f>
        <v>0</v>
      </c>
      <c r="CY264" s="770">
        <v>0</v>
      </c>
      <c r="CZ264" s="770">
        <v>0</v>
      </c>
      <c r="DA264" s="770">
        <v>0</v>
      </c>
      <c r="DB264" s="770">
        <v>0</v>
      </c>
      <c r="DC264" s="770">
        <v>0</v>
      </c>
      <c r="DD264" s="770"/>
      <c r="DE264" s="2600">
        <f>SUM(DF264:DF265)</f>
        <v>65450</v>
      </c>
      <c r="DF264" s="122">
        <f>CC264+CF264</f>
        <v>21250</v>
      </c>
      <c r="DG264" s="2600">
        <f>SUM(DH264:DH265)</f>
        <v>59</v>
      </c>
      <c r="DH264" s="127">
        <f>ROUND(CC264/'[1]Projected Development Sites'!DF$134,0)</f>
        <v>19</v>
      </c>
      <c r="DI264" s="2722">
        <f>SUM(DJ264:DJ265)</f>
        <v>59</v>
      </c>
      <c r="DJ264" s="771">
        <f>'[1]Projected Development Sites'!DK$136*DH264</f>
        <v>19</v>
      </c>
      <c r="DK264" s="765">
        <f>2.87*DH264</f>
        <v>54.53</v>
      </c>
      <c r="DL264" s="772">
        <f>ROUND((CN264+CL264+CJ264)/1000*3,0)+ROUND((ROUND(CP264/400,0))/2.67,0)+ROUND(CV264/1000,0)+ROUND((CY264+CZ264+DA264+DC264)/1000*3,0)+ROUND(DH264/25,0)+ROUND(DX264/50,0)</f>
        <v>1</v>
      </c>
      <c r="DM264" s="773">
        <v>0</v>
      </c>
      <c r="DN264" s="773"/>
      <c r="DO264" s="773">
        <v>0</v>
      </c>
      <c r="DP264" s="773">
        <f>0.25*DJ264</f>
        <v>4.75</v>
      </c>
      <c r="DQ264" s="773">
        <f>SUM(CO264,CJ264,CN264,CR264,CU264)/1000</f>
        <v>0</v>
      </c>
      <c r="DR264" s="773">
        <f>CL264/1000</f>
        <v>0</v>
      </c>
      <c r="DS264" s="773">
        <f>((CP264/400)/12)</f>
        <v>0</v>
      </c>
      <c r="DT264" s="773">
        <f>IF(CX264&gt;0,"Calculate",0)</f>
        <v>0</v>
      </c>
      <c r="DU264" s="773">
        <v>0</v>
      </c>
      <c r="DV264" s="773">
        <f>CX264/1000</f>
        <v>0</v>
      </c>
      <c r="DW264" s="2722">
        <f>SUM(DX264:DX265)</f>
        <v>4.42</v>
      </c>
      <c r="DX264" s="1016">
        <f>SUM(DM264,DO264,DQ264:DV264)</f>
        <v>0</v>
      </c>
      <c r="DY264" s="2725">
        <v>195</v>
      </c>
      <c r="DZ264" s="2728">
        <f>CD264-T264</f>
        <v>58905</v>
      </c>
      <c r="EA264" s="2602">
        <f>CE264-V264</f>
        <v>-505</v>
      </c>
      <c r="EB264" s="187">
        <f>CF264-W264</f>
        <v>-375</v>
      </c>
      <c r="EC264" s="2602">
        <f>SUM(ED264:ED265)</f>
        <v>-2630</v>
      </c>
      <c r="ED264" s="187">
        <v>-2500</v>
      </c>
      <c r="EE264" s="187">
        <f>(SUM(CJ264:CO264))-(SUM(AA264:AE264,AL264))</f>
        <v>-3637.5</v>
      </c>
      <c r="EF264" s="2602">
        <f>SUM(EG264:EG265)</f>
        <v>-5912.5</v>
      </c>
      <c r="EG264" s="187">
        <v>-2500</v>
      </c>
      <c r="EH264" s="2602">
        <f>SUM(EI264:EI265)</f>
        <v>-1137.5</v>
      </c>
      <c r="EI264" s="187">
        <f>CL264-AC264</f>
        <v>0</v>
      </c>
      <c r="EJ264" s="2602">
        <f>SUM(EK264:EK265)</f>
        <v>4420</v>
      </c>
      <c r="EK264" s="187">
        <f>CJ264-AA264</f>
        <v>0</v>
      </c>
      <c r="EL264" s="2602">
        <f>SUM(EM264:EM265)</f>
        <v>0</v>
      </c>
      <c r="EM264" s="187">
        <f>CO264-AE264</f>
        <v>0</v>
      </c>
      <c r="EN264" s="2602">
        <f>SUM(EO264:EO265)</f>
        <v>0</v>
      </c>
      <c r="EO264" s="187">
        <f>CP264-AH264</f>
        <v>0</v>
      </c>
      <c r="EP264" s="2602">
        <f>SUM(EQ264:EQ265)</f>
        <v>0</v>
      </c>
      <c r="EQ264" s="187">
        <f>CR264-AJ264</f>
        <v>0</v>
      </c>
      <c r="ER264" s="2602">
        <f>SUM(ES264:ES265)</f>
        <v>0</v>
      </c>
      <c r="ES264" s="187">
        <f>CS264-AO264</f>
        <v>0</v>
      </c>
      <c r="ET264" s="2602">
        <f>SUM(EU264:EU265)</f>
        <v>0</v>
      </c>
      <c r="EU264" s="187">
        <f t="shared" si="146"/>
        <v>0</v>
      </c>
      <c r="EV264" s="2602">
        <f>SUM(EW264:EW265)</f>
        <v>0</v>
      </c>
      <c r="EW264" s="187">
        <f>CU264-AS264</f>
        <v>0</v>
      </c>
      <c r="EX264" s="2602">
        <f>SUM(EY264:EY265)</f>
        <v>0</v>
      </c>
      <c r="EY264" s="187">
        <f>CV264-AU264</f>
        <v>0</v>
      </c>
      <c r="EZ264" s="2602">
        <f>SUM(FA264:FA265)</f>
        <v>0</v>
      </c>
      <c r="FA264" s="187">
        <f>CY264-AX264</f>
        <v>0</v>
      </c>
      <c r="FB264" s="2602">
        <f>SUM(FC264:FC265)</f>
        <v>0</v>
      </c>
      <c r="FC264" s="187">
        <f>CZ264-AY264</f>
        <v>0</v>
      </c>
      <c r="FD264" s="2602">
        <f>SUM(FE264:FE265)</f>
        <v>0</v>
      </c>
      <c r="FE264" s="187">
        <f>DA264-AZ264</f>
        <v>0</v>
      </c>
      <c r="FF264" s="2602">
        <f>SUM(FG264:FG265)</f>
        <v>0</v>
      </c>
      <c r="FG264" s="187">
        <f>DB264-BA264</f>
        <v>0</v>
      </c>
      <c r="FH264" s="2602">
        <f>SUM(FI264:FI265)</f>
        <v>0</v>
      </c>
      <c r="FI264" s="187">
        <f>DC264-BB264</f>
        <v>0</v>
      </c>
      <c r="FJ264" s="2602">
        <f>SUM(FK264:FK265)</f>
        <v>0</v>
      </c>
      <c r="FK264" s="187">
        <f>CX264-AW264</f>
        <v>0</v>
      </c>
      <c r="FL264" s="2602">
        <f>SUM(FM264:FM265)</f>
        <v>58400</v>
      </c>
      <c r="FM264" s="187">
        <f>DF264-BE264</f>
        <v>18750</v>
      </c>
      <c r="FN264" s="2602">
        <f>SUM(FO264:FO265)</f>
        <v>59</v>
      </c>
      <c r="FO264" s="187">
        <f>DH264-BG264</f>
        <v>19</v>
      </c>
      <c r="FP264" s="2602">
        <f>SUM(FQ264:FQ265)</f>
        <v>59</v>
      </c>
      <c r="FQ264" s="187">
        <f t="shared" ref="FQ264:FT265" si="150">DJ264-BI264</f>
        <v>19</v>
      </c>
      <c r="FR264" s="187">
        <f t="shared" si="150"/>
        <v>54.53</v>
      </c>
      <c r="FS264" s="187">
        <f t="shared" si="150"/>
        <v>-7</v>
      </c>
      <c r="FT264" s="775">
        <f t="shared" si="150"/>
        <v>0</v>
      </c>
      <c r="FU264" s="775">
        <f>DR264-BO264</f>
        <v>0</v>
      </c>
      <c r="FV264" s="775">
        <f>DO264-BM264</f>
        <v>0</v>
      </c>
      <c r="FW264" s="775">
        <f>DQ264-BN264</f>
        <v>0</v>
      </c>
      <c r="FX264" s="775">
        <f>DS264-BP264</f>
        <v>0</v>
      </c>
      <c r="FY264" s="789">
        <f t="shared" si="145"/>
        <v>0</v>
      </c>
      <c r="FZ264" s="775">
        <f>DU264-BR264</f>
        <v>0</v>
      </c>
      <c r="GA264" s="775">
        <f>DV264-BS264</f>
        <v>0</v>
      </c>
      <c r="GB264" s="2734">
        <f>SUM(GC264:GC265)</f>
        <v>-1.2674999999999998</v>
      </c>
      <c r="GC264" s="776">
        <f t="shared" si="147"/>
        <v>0</v>
      </c>
      <c r="GD264" s="139"/>
      <c r="GE264" s="139"/>
      <c r="GF264" s="139"/>
      <c r="GG264" s="139"/>
      <c r="GH264" s="139"/>
      <c r="GI264" s="139"/>
      <c r="GJ264" s="139"/>
      <c r="GK264" s="139"/>
      <c r="GL264" s="139"/>
      <c r="GM264" s="139"/>
      <c r="GN264" s="139"/>
      <c r="GO264" s="139"/>
      <c r="GP264" s="139"/>
      <c r="GQ264" s="139"/>
      <c r="GR264" s="139"/>
      <c r="GS264" s="139"/>
      <c r="GT264" s="139"/>
      <c r="GU264" s="127"/>
      <c r="GV264" s="127"/>
    </row>
    <row r="265" spans="1:204" s="139" customFormat="1" ht="17.25" customHeight="1">
      <c r="A265" s="2589"/>
      <c r="B265" s="2589"/>
      <c r="C265" s="66" t="s">
        <v>710</v>
      </c>
      <c r="D265" s="66">
        <v>2488</v>
      </c>
      <c r="E265" s="66">
        <v>20</v>
      </c>
      <c r="F265" s="841">
        <v>2024880020</v>
      </c>
      <c r="G265" s="66">
        <v>5200</v>
      </c>
      <c r="H265" s="69" t="s">
        <v>733</v>
      </c>
      <c r="I265" s="70" t="s">
        <v>727</v>
      </c>
      <c r="J265" s="66">
        <v>0.88</v>
      </c>
      <c r="K265" s="66">
        <v>7.2</v>
      </c>
      <c r="L265" s="66">
        <v>0</v>
      </c>
      <c r="M265" s="66">
        <v>6.5</v>
      </c>
      <c r="N265" s="68">
        <v>4550</v>
      </c>
      <c r="O265" s="68">
        <v>0</v>
      </c>
      <c r="P265" s="68">
        <v>0</v>
      </c>
      <c r="Q265" s="68">
        <v>4550</v>
      </c>
      <c r="R265" s="71">
        <v>0</v>
      </c>
      <c r="S265" s="791" t="s">
        <v>637</v>
      </c>
      <c r="T265" s="2601"/>
      <c r="U265" s="74">
        <f>Q265-N265</f>
        <v>0</v>
      </c>
      <c r="V265" s="2601"/>
      <c r="W265" s="74">
        <f>N265</f>
        <v>4550</v>
      </c>
      <c r="X265" s="74"/>
      <c r="Y265" s="74">
        <f>W265-AA265</f>
        <v>4550</v>
      </c>
      <c r="Z265" s="2601"/>
      <c r="AA265" s="74">
        <v>0</v>
      </c>
      <c r="AB265" s="2601"/>
      <c r="AC265" s="74">
        <f>0.25*N265</f>
        <v>1137.5</v>
      </c>
      <c r="AD265" s="2601"/>
      <c r="AE265" s="74">
        <f>AF265+AG265</f>
        <v>0</v>
      </c>
      <c r="AF265" s="74">
        <v>0</v>
      </c>
      <c r="AG265" s="74">
        <v>0</v>
      </c>
      <c r="AH265" s="74">
        <v>0</v>
      </c>
      <c r="AI265" s="2601"/>
      <c r="AJ265" s="74">
        <f>P265</f>
        <v>0</v>
      </c>
      <c r="AK265" s="2601"/>
      <c r="AL265" s="74">
        <f>W265-(AA265+AC265+AE265+AH265+AJ265+AM265+AW265+AO265+AQ265+AS265+AU265)</f>
        <v>3412.5</v>
      </c>
      <c r="AM265" s="792">
        <v>0</v>
      </c>
      <c r="AN265" s="2601"/>
      <c r="AO265" s="74">
        <v>0</v>
      </c>
      <c r="AP265" s="2601"/>
      <c r="AQ265" s="74">
        <v>0</v>
      </c>
      <c r="AR265" s="2601"/>
      <c r="AS265" s="74">
        <v>0</v>
      </c>
      <c r="AT265" s="2601"/>
      <c r="AU265" s="74">
        <v>0</v>
      </c>
      <c r="AV265" s="2601"/>
      <c r="AW265" s="74">
        <f t="shared" si="148"/>
        <v>0</v>
      </c>
      <c r="AX265" s="74">
        <v>0</v>
      </c>
      <c r="AY265" s="74">
        <v>0</v>
      </c>
      <c r="AZ265" s="74">
        <v>0</v>
      </c>
      <c r="BA265" s="74">
        <v>0</v>
      </c>
      <c r="BB265" s="74">
        <v>0</v>
      </c>
      <c r="BC265" s="74">
        <v>0</v>
      </c>
      <c r="BD265" s="2601"/>
      <c r="BE265" s="74">
        <f>U265+W265</f>
        <v>4550</v>
      </c>
      <c r="BF265" s="2601"/>
      <c r="BG265" s="74">
        <f>ROUND(U265/'[1]Projected Development Sites'!DF$134,0)</f>
        <v>0</v>
      </c>
      <c r="BH265" s="2601"/>
      <c r="BI265" s="74">
        <f>'[1]Projected Development Sites'!BG$135*BG265</f>
        <v>0</v>
      </c>
      <c r="BJ265" s="74">
        <f t="shared" si="149"/>
        <v>0</v>
      </c>
      <c r="BK265" s="88">
        <f>ROUND((AL265+AC265+AA265)/1000*3,0)+ROUND((AE265+AU265)/1000,0)+ROUND((ROUND(AH265/400,0))/2.67,0)+ROUND(AJ265/250,0)+ROUND(AO265/15000,0)+ROUND((AX265+AY265+AZ265+BB265)/1000*3,0)+ROUND(BG265/25,0)+ROUND(BU265/50,0)</f>
        <v>14</v>
      </c>
      <c r="BL265" s="74">
        <v>0</v>
      </c>
      <c r="BM265" s="74">
        <v>0</v>
      </c>
      <c r="BN265" s="74">
        <f>W265/1000</f>
        <v>4.55</v>
      </c>
      <c r="BO265" s="74">
        <f>AC265/1000</f>
        <v>1.1375</v>
      </c>
      <c r="BP265" s="74">
        <f>((AH265/400)/12)</f>
        <v>0</v>
      </c>
      <c r="BQ265" s="74">
        <f>IFERROR(VLOOKUP(F265,#REF!,3,FALSE),0)</f>
        <v>0</v>
      </c>
      <c r="BR265" s="74" t="b">
        <f>IF(H265="M1-2",G265/1000)</f>
        <v>0</v>
      </c>
      <c r="BS265" s="74">
        <f>IF(BB265&gt;0,"Calculate",0)</f>
        <v>0</v>
      </c>
      <c r="BT265" s="2601"/>
      <c r="BU265" s="74">
        <f>SUM(BL265:BS265)</f>
        <v>5.6875</v>
      </c>
      <c r="BV265" s="81">
        <v>10</v>
      </c>
      <c r="BW265" s="793" t="s">
        <v>758</v>
      </c>
      <c r="BX265" s="81">
        <v>8.5</v>
      </c>
      <c r="BY265" s="81">
        <v>2</v>
      </c>
      <c r="BZ265" s="81">
        <v>7.5</v>
      </c>
      <c r="CA265" s="794" t="s">
        <v>706</v>
      </c>
      <c r="CB265" s="2597"/>
      <c r="CC265" s="795">
        <f>(BX265*G265)-CF265</f>
        <v>39780</v>
      </c>
      <c r="CD265" s="2733"/>
      <c r="CE265" s="2601"/>
      <c r="CF265" s="843">
        <f>1*(G265)-(0.15*1*(G265))</f>
        <v>4420</v>
      </c>
      <c r="CG265" s="2601"/>
      <c r="CH265" s="843">
        <f>CF265-CJ265</f>
        <v>0</v>
      </c>
      <c r="CI265" s="2601"/>
      <c r="CJ265" s="795">
        <v>4420</v>
      </c>
      <c r="CK265" s="2601"/>
      <c r="CL265" s="81">
        <v>0</v>
      </c>
      <c r="CM265" s="2601"/>
      <c r="CN265" s="74">
        <v>0</v>
      </c>
      <c r="CO265" s="74">
        <v>0</v>
      </c>
      <c r="CP265" s="74">
        <v>0</v>
      </c>
      <c r="CQ265" s="2601"/>
      <c r="CR265" s="74">
        <v>0</v>
      </c>
      <c r="CS265" s="797">
        <v>0</v>
      </c>
      <c r="CT265" s="797">
        <v>0</v>
      </c>
      <c r="CU265" s="797">
        <v>0</v>
      </c>
      <c r="CV265" s="797">
        <v>0</v>
      </c>
      <c r="CW265" s="2601"/>
      <c r="CX265" s="74">
        <v>0</v>
      </c>
      <c r="CY265" s="797">
        <v>0</v>
      </c>
      <c r="CZ265" s="797">
        <v>0</v>
      </c>
      <c r="DA265" s="797">
        <v>0</v>
      </c>
      <c r="DB265" s="797">
        <v>0</v>
      </c>
      <c r="DC265" s="797">
        <v>0</v>
      </c>
      <c r="DD265" s="797"/>
      <c r="DE265" s="2601"/>
      <c r="DF265" s="74">
        <f>CC265+CF265</f>
        <v>44200</v>
      </c>
      <c r="DG265" s="2601"/>
      <c r="DH265" s="81">
        <f>ROUND(CC265/'[1]Projected Development Sites'!DF$134,0)</f>
        <v>40</v>
      </c>
      <c r="DI265" s="2724"/>
      <c r="DJ265" s="799">
        <f>'[1]Projected Development Sites'!DK$136*DH265</f>
        <v>40</v>
      </c>
      <c r="DK265" s="792">
        <f>2.87*DH265</f>
        <v>114.80000000000001</v>
      </c>
      <c r="DL265" s="917">
        <f>ROUND((CN265+CL265+CJ265)/1000*3,0)+ROUND((ROUND(CP265/400,0))/2.67,0)+ROUND(CV265/1000,0)+ROUND((CY265+CZ265+DA265+DC265)/1000*3,0)+ROUND(DH265/25,0)+ROUND(DX265/50,0)</f>
        <v>15</v>
      </c>
      <c r="DM265" s="799">
        <v>0</v>
      </c>
      <c r="DN265" s="799"/>
      <c r="DO265" s="799">
        <v>0</v>
      </c>
      <c r="DP265" s="799">
        <f>0.25*DJ265</f>
        <v>10</v>
      </c>
      <c r="DQ265" s="1035">
        <f>SUM(CO265,CJ265,CN265,CR265,CU265)/1000</f>
        <v>4.42</v>
      </c>
      <c r="DR265" s="799">
        <f>CL265/1000</f>
        <v>0</v>
      </c>
      <c r="DS265" s="799">
        <f>((CP265/400)/12)</f>
        <v>0</v>
      </c>
      <c r="DT265" s="799">
        <f>IF(CX265&gt;0,"Calculate",0)</f>
        <v>0</v>
      </c>
      <c r="DU265" s="799">
        <v>0</v>
      </c>
      <c r="DV265" s="799">
        <f>CX265/1000</f>
        <v>0</v>
      </c>
      <c r="DW265" s="2724"/>
      <c r="DX265" s="800">
        <f>SUM(DM265,DO265,DQ265:DV265)</f>
        <v>4.42</v>
      </c>
      <c r="DY265" s="2727"/>
      <c r="DZ265" s="2730"/>
      <c r="EA265" s="2603"/>
      <c r="EB265" s="195">
        <f>CF265-W265</f>
        <v>-130</v>
      </c>
      <c r="EC265" s="2603"/>
      <c r="ED265" s="190">
        <v>-130</v>
      </c>
      <c r="EE265" s="195">
        <f>(SUM(CJ265:CO265))-(SUM(AA265:AE265,AL265))</f>
        <v>-130</v>
      </c>
      <c r="EF265" s="2603"/>
      <c r="EG265" s="195">
        <v>-3412.5</v>
      </c>
      <c r="EH265" s="2603"/>
      <c r="EI265" s="195">
        <f>CL265-AC265</f>
        <v>-1137.5</v>
      </c>
      <c r="EJ265" s="2603"/>
      <c r="EK265" s="195">
        <f>CJ265-AA265</f>
        <v>4420</v>
      </c>
      <c r="EL265" s="2603"/>
      <c r="EM265" s="190">
        <f>CO265-AE265</f>
        <v>0</v>
      </c>
      <c r="EN265" s="2603"/>
      <c r="EO265" s="190">
        <f>CP265-AH265</f>
        <v>0</v>
      </c>
      <c r="EP265" s="2603"/>
      <c r="EQ265" s="195">
        <f>CR265-AJ265</f>
        <v>0</v>
      </c>
      <c r="ER265" s="2603"/>
      <c r="ES265" s="195">
        <f>CS265-AO265</f>
        <v>0</v>
      </c>
      <c r="ET265" s="2603"/>
      <c r="EU265" s="190">
        <f t="shared" si="146"/>
        <v>0</v>
      </c>
      <c r="EV265" s="2603"/>
      <c r="EW265" s="195">
        <f>CU265-AS265</f>
        <v>0</v>
      </c>
      <c r="EX265" s="2603"/>
      <c r="EY265" s="190">
        <f>CV265-AU265</f>
        <v>0</v>
      </c>
      <c r="EZ265" s="2603"/>
      <c r="FA265" s="190">
        <f>CY265-AX265</f>
        <v>0</v>
      </c>
      <c r="FB265" s="2603"/>
      <c r="FC265" s="190">
        <f>CZ265-AY265</f>
        <v>0</v>
      </c>
      <c r="FD265" s="2603"/>
      <c r="FE265" s="190">
        <f>DA265-AZ265</f>
        <v>0</v>
      </c>
      <c r="FF265" s="2603"/>
      <c r="FG265" s="190">
        <f>DB265-BA265</f>
        <v>0</v>
      </c>
      <c r="FH265" s="2603"/>
      <c r="FI265" s="190">
        <f>DC265-BB265</f>
        <v>0</v>
      </c>
      <c r="FJ265" s="2603"/>
      <c r="FK265" s="190">
        <f>CX265-AW265</f>
        <v>0</v>
      </c>
      <c r="FL265" s="2603"/>
      <c r="FM265" s="190">
        <f>DF265-BE265</f>
        <v>39650</v>
      </c>
      <c r="FN265" s="2603"/>
      <c r="FO265" s="190">
        <f>DH265-BG265</f>
        <v>40</v>
      </c>
      <c r="FP265" s="2603"/>
      <c r="FQ265" s="190">
        <f t="shared" si="150"/>
        <v>40</v>
      </c>
      <c r="FR265" s="190">
        <f t="shared" si="150"/>
        <v>114.80000000000001</v>
      </c>
      <c r="FS265" s="190">
        <f t="shared" si="150"/>
        <v>1</v>
      </c>
      <c r="FT265" s="801">
        <f t="shared" si="150"/>
        <v>0</v>
      </c>
      <c r="FU265" s="801">
        <f>DR265-BO265</f>
        <v>-1.1375</v>
      </c>
      <c r="FV265" s="801">
        <f>DO265-BM265</f>
        <v>0</v>
      </c>
      <c r="FW265" s="801">
        <f>DQ265-BN265</f>
        <v>-0.12999999999999989</v>
      </c>
      <c r="FX265" s="801">
        <f>DS265-BP265</f>
        <v>0</v>
      </c>
      <c r="FY265" s="801">
        <f t="shared" si="145"/>
        <v>0</v>
      </c>
      <c r="FZ265" s="801">
        <f>DU265-BR265</f>
        <v>0</v>
      </c>
      <c r="GA265" s="801">
        <f>DV265-BS265</f>
        <v>0</v>
      </c>
      <c r="GB265" s="2736"/>
      <c r="GC265" s="845">
        <f t="shared" si="147"/>
        <v>-1.2674999999999998</v>
      </c>
      <c r="GU265" s="81"/>
      <c r="GV265" s="81"/>
    </row>
    <row r="266" spans="1:204" s="228" customFormat="1" ht="18.75">
      <c r="A266" s="2263"/>
      <c r="B266" s="2263"/>
      <c r="C266" s="913"/>
      <c r="D266" s="132"/>
      <c r="E266" s="132"/>
      <c r="F266" s="777"/>
      <c r="G266" s="132"/>
      <c r="H266" s="135"/>
      <c r="I266" s="136"/>
      <c r="J266" s="132"/>
      <c r="K266" s="132"/>
      <c r="L266" s="132"/>
      <c r="M266" s="132"/>
      <c r="N266" s="134"/>
      <c r="O266" s="134"/>
      <c r="P266" s="134"/>
      <c r="Q266" s="134"/>
      <c r="R266" s="137"/>
      <c r="S266" s="778"/>
      <c r="T266" s="837"/>
      <c r="U266" s="102"/>
      <c r="V266" s="837"/>
      <c r="W266" s="102"/>
      <c r="X266" s="102"/>
      <c r="Y266" s="102"/>
      <c r="Z266" s="837"/>
      <c r="AA266" s="102"/>
      <c r="AB266" s="837"/>
      <c r="AC266" s="102"/>
      <c r="AD266" s="837"/>
      <c r="AE266" s="102"/>
      <c r="AF266" s="102"/>
      <c r="AG266" s="102"/>
      <c r="AH266" s="102"/>
      <c r="AI266" s="837"/>
      <c r="AJ266" s="102"/>
      <c r="AK266" s="837"/>
      <c r="AL266" s="102"/>
      <c r="AM266" s="779"/>
      <c r="AN266" s="837"/>
      <c r="AO266" s="102"/>
      <c r="AP266" s="837"/>
      <c r="AQ266" s="102"/>
      <c r="AR266" s="837"/>
      <c r="AS266" s="102"/>
      <c r="AT266" s="837"/>
      <c r="AU266" s="102"/>
      <c r="AV266" s="837"/>
      <c r="AW266" s="74"/>
      <c r="AX266" s="102"/>
      <c r="AY266" s="102"/>
      <c r="AZ266" s="102"/>
      <c r="BA266" s="102"/>
      <c r="BB266" s="102"/>
      <c r="BC266" s="102"/>
      <c r="BD266" s="837"/>
      <c r="BE266" s="102"/>
      <c r="BF266" s="837"/>
      <c r="BG266" s="102"/>
      <c r="BH266" s="837"/>
      <c r="BI266" s="102"/>
      <c r="BJ266" s="111"/>
      <c r="BK266" s="186"/>
      <c r="BL266" s="102"/>
      <c r="BM266" s="102"/>
      <c r="BN266" s="102"/>
      <c r="BO266" s="102"/>
      <c r="BP266" s="102"/>
      <c r="BQ266" s="102"/>
      <c r="BR266" s="102"/>
      <c r="BS266" s="102"/>
      <c r="BT266" s="837"/>
      <c r="BU266" s="102"/>
      <c r="BV266" s="139"/>
      <c r="BW266" s="780"/>
      <c r="BX266" s="139"/>
      <c r="BY266" s="139"/>
      <c r="BZ266" s="139"/>
      <c r="CA266" s="781"/>
      <c r="CB266" s="2258"/>
      <c r="CC266" s="782"/>
      <c r="CD266" s="782"/>
      <c r="CE266" s="837"/>
      <c r="CF266" s="783"/>
      <c r="CG266" s="837"/>
      <c r="CH266" s="783"/>
      <c r="CI266" s="837"/>
      <c r="CJ266" s="139"/>
      <c r="CK266" s="837"/>
      <c r="CL266" s="139"/>
      <c r="CM266" s="837"/>
      <c r="CN266" s="784"/>
      <c r="CO266" s="102"/>
      <c r="CP266" s="102"/>
      <c r="CQ266" s="837"/>
      <c r="CR266" s="102"/>
      <c r="CS266" s="784"/>
      <c r="CT266" s="784"/>
      <c r="CU266" s="784"/>
      <c r="CV266" s="784"/>
      <c r="CW266" s="837"/>
      <c r="CX266" s="102"/>
      <c r="CY266" s="784"/>
      <c r="CZ266" s="784"/>
      <c r="DA266" s="784"/>
      <c r="DB266" s="784"/>
      <c r="DC266" s="784"/>
      <c r="DD266" s="784"/>
      <c r="DE266" s="837"/>
      <c r="DF266" s="784"/>
      <c r="DG266" s="837"/>
      <c r="DH266" s="296"/>
      <c r="DI266" s="926"/>
      <c r="DJ266" s="785"/>
      <c r="DK266" s="899"/>
      <c r="DL266" s="786"/>
      <c r="DM266" s="787"/>
      <c r="DN266" s="787"/>
      <c r="DO266" s="787"/>
      <c r="DP266" s="787"/>
      <c r="DQ266" s="787"/>
      <c r="DR266" s="787"/>
      <c r="DS266" s="787"/>
      <c r="DT266" s="787"/>
      <c r="DU266" s="787"/>
      <c r="DV266" s="787"/>
      <c r="DW266" s="926"/>
      <c r="DX266" s="788"/>
      <c r="DY266" s="634"/>
      <c r="DZ266" s="2288"/>
      <c r="EA266" s="2231"/>
      <c r="EB266" s="187"/>
      <c r="EC266" s="235"/>
      <c r="ED266" s="187"/>
      <c r="EE266" s="187"/>
      <c r="EF266" s="235"/>
      <c r="EG266" s="187"/>
      <c r="EH266" s="235"/>
      <c r="EI266" s="187"/>
      <c r="EJ266" s="235"/>
      <c r="EK266" s="187"/>
      <c r="EL266" s="235"/>
      <c r="EM266" s="195"/>
      <c r="EN266" s="235"/>
      <c r="EO266" s="195"/>
      <c r="EP266" s="235"/>
      <c r="EQ266" s="187"/>
      <c r="ER266" s="235"/>
      <c r="ES266" s="187"/>
      <c r="ET266" s="235"/>
      <c r="EU266" s="187">
        <f t="shared" si="146"/>
        <v>0</v>
      </c>
      <c r="EV266" s="235"/>
      <c r="EW266" s="187"/>
      <c r="EX266" s="235"/>
      <c r="EY266" s="195"/>
      <c r="EZ266" s="235"/>
      <c r="FA266" s="195"/>
      <c r="FB266" s="235"/>
      <c r="FC266" s="195"/>
      <c r="FD266" s="235"/>
      <c r="FE266" s="195"/>
      <c r="FF266" s="235"/>
      <c r="FG266" s="195"/>
      <c r="FH266" s="235"/>
      <c r="FI266" s="195"/>
      <c r="FJ266" s="235"/>
      <c r="FK266" s="195"/>
      <c r="FL266" s="235"/>
      <c r="FM266" s="195"/>
      <c r="FN266" s="235"/>
      <c r="FO266" s="195"/>
      <c r="FP266" s="235"/>
      <c r="FQ266" s="195"/>
      <c r="FR266" s="195"/>
      <c r="FS266" s="195"/>
      <c r="FT266" s="789"/>
      <c r="FU266" s="789"/>
      <c r="FV266" s="789"/>
      <c r="FW266" s="789"/>
      <c r="FX266" s="789"/>
      <c r="FY266" s="801">
        <f t="shared" si="145"/>
        <v>0</v>
      </c>
      <c r="FZ266" s="789"/>
      <c r="GA266" s="789"/>
      <c r="GB266" s="894"/>
      <c r="GC266" s="776"/>
      <c r="GD266" s="139"/>
      <c r="GE266" s="139"/>
      <c r="GF266" s="139"/>
      <c r="GG266" s="139"/>
      <c r="GH266" s="139"/>
      <c r="GI266" s="139"/>
      <c r="GJ266" s="139"/>
      <c r="GK266" s="139"/>
      <c r="GL266" s="139"/>
      <c r="GM266" s="139"/>
      <c r="GN266" s="139"/>
      <c r="GO266" s="139"/>
      <c r="GP266" s="139"/>
      <c r="GQ266" s="139"/>
      <c r="GR266" s="139"/>
      <c r="GS266" s="139"/>
      <c r="GT266" s="139"/>
      <c r="GU266" s="139"/>
      <c r="GV266" s="139"/>
    </row>
    <row r="267" spans="1:204" ht="18.75">
      <c r="A267" s="216"/>
      <c r="B267" s="216">
        <v>99</v>
      </c>
      <c r="C267" s="218" t="s">
        <v>703</v>
      </c>
      <c r="D267" s="218">
        <v>2496</v>
      </c>
      <c r="E267" s="218">
        <v>73</v>
      </c>
      <c r="F267" s="897">
        <v>2024960073</v>
      </c>
      <c r="G267" s="218">
        <v>24165</v>
      </c>
      <c r="H267" s="221" t="s">
        <v>733</v>
      </c>
      <c r="I267" s="222" t="s">
        <v>706</v>
      </c>
      <c r="J267" s="218">
        <v>0.67</v>
      </c>
      <c r="K267" s="218">
        <v>6.02</v>
      </c>
      <c r="L267" s="218">
        <v>0</v>
      </c>
      <c r="M267" s="218">
        <v>6.5</v>
      </c>
      <c r="N267" s="220">
        <v>16200</v>
      </c>
      <c r="O267" s="220">
        <f>Q267</f>
        <v>16200</v>
      </c>
      <c r="P267" s="220">
        <v>0</v>
      </c>
      <c r="Q267" s="220">
        <v>16200</v>
      </c>
      <c r="R267" s="223">
        <v>0</v>
      </c>
      <c r="S267" s="898" t="s">
        <v>893</v>
      </c>
      <c r="T267" s="234">
        <f>U266</f>
        <v>0</v>
      </c>
      <c r="U267" s="111">
        <v>0</v>
      </c>
      <c r="V267" s="234">
        <f>W267</f>
        <v>16200</v>
      </c>
      <c r="W267" s="111">
        <f>N267</f>
        <v>16200</v>
      </c>
      <c r="X267" s="111"/>
      <c r="Y267" s="111">
        <f>W267-AA267</f>
        <v>16200</v>
      </c>
      <c r="Z267" s="234">
        <f>AA267</f>
        <v>0</v>
      </c>
      <c r="AA267" s="111">
        <v>0</v>
      </c>
      <c r="AB267" s="234">
        <f>AC267</f>
        <v>0</v>
      </c>
      <c r="AC267" s="111">
        <v>0</v>
      </c>
      <c r="AD267" s="234">
        <f>AE267</f>
        <v>16200</v>
      </c>
      <c r="AE267" s="111">
        <f>AG267+AF267</f>
        <v>16200</v>
      </c>
      <c r="AF267" s="111">
        <v>0</v>
      </c>
      <c r="AG267" s="111">
        <f>Q267</f>
        <v>16200</v>
      </c>
      <c r="AH267" s="111"/>
      <c r="AI267" s="234">
        <f>AJ267</f>
        <v>0</v>
      </c>
      <c r="AJ267" s="111">
        <v>0</v>
      </c>
      <c r="AK267" s="234">
        <f>AL267</f>
        <v>0</v>
      </c>
      <c r="AL267" s="111">
        <f>W267-(AA267+AC267+AE267+AH267+AJ267+AM267+AW267+AO267+AQ267+AS267+AU267)</f>
        <v>0</v>
      </c>
      <c r="AM267" s="899">
        <v>0</v>
      </c>
      <c r="AN267" s="234">
        <f>AO267</f>
        <v>0</v>
      </c>
      <c r="AO267" s="111">
        <v>0</v>
      </c>
      <c r="AP267" s="234">
        <f>AQ267</f>
        <v>0</v>
      </c>
      <c r="AQ267" s="111">
        <v>0</v>
      </c>
      <c r="AR267" s="234">
        <f>AS267</f>
        <v>0</v>
      </c>
      <c r="AS267" s="111">
        <v>0</v>
      </c>
      <c r="AT267" s="234">
        <f>AU267</f>
        <v>0</v>
      </c>
      <c r="AU267" s="111">
        <v>0</v>
      </c>
      <c r="AV267" s="234">
        <f>AW267</f>
        <v>0</v>
      </c>
      <c r="AW267" s="74">
        <f t="shared" si="148"/>
        <v>0</v>
      </c>
      <c r="AX267" s="111">
        <v>0</v>
      </c>
      <c r="AY267" s="111">
        <v>0</v>
      </c>
      <c r="AZ267" s="111">
        <v>0</v>
      </c>
      <c r="BA267" s="111">
        <v>0</v>
      </c>
      <c r="BB267" s="111">
        <v>0</v>
      </c>
      <c r="BC267" s="111">
        <v>0</v>
      </c>
      <c r="BD267" s="234">
        <f>BE267</f>
        <v>16200</v>
      </c>
      <c r="BE267" s="111">
        <f>U267+W267</f>
        <v>16200</v>
      </c>
      <c r="BF267" s="234">
        <f>BG267</f>
        <v>0</v>
      </c>
      <c r="BG267" s="111">
        <f>U267/1000</f>
        <v>0</v>
      </c>
      <c r="BH267" s="234">
        <f>BI267</f>
        <v>0</v>
      </c>
      <c r="BI267" s="111">
        <v>0</v>
      </c>
      <c r="BJ267" s="111">
        <f t="shared" si="149"/>
        <v>0</v>
      </c>
      <c r="BK267" s="306">
        <f>ROUND((Y267+AC267+AA267)/1000*3,0)+ROUND((AE267+AU267)/1000,0)+ROUND((ROUND(AH267/400,0))/2.67,0)+ROUND(AM267/250,0)+ROUND(AO267/15000,0)+ROUND((AX267+AY267+AZ267+BB267)/1000*3,0)+ROUND(BG267/25,0)+ROUND(BU304/50,0)</f>
        <v>65</v>
      </c>
      <c r="BL267" s="111">
        <v>0</v>
      </c>
      <c r="BM267" s="111">
        <v>0</v>
      </c>
      <c r="BN267" s="111">
        <v>0</v>
      </c>
      <c r="BO267" s="111">
        <f>AC267/1000</f>
        <v>0</v>
      </c>
      <c r="BP267" s="111">
        <f>AH267/1000</f>
        <v>0</v>
      </c>
      <c r="BQ267" s="111">
        <v>0</v>
      </c>
      <c r="BR267" s="111">
        <v>0</v>
      </c>
      <c r="BS267" s="111">
        <v>0</v>
      </c>
      <c r="BT267" s="234">
        <f>BU267</f>
        <v>0</v>
      </c>
      <c r="BU267" s="111">
        <f>SUM(BL267:BS267)</f>
        <v>0</v>
      </c>
      <c r="BV267" s="228">
        <v>15</v>
      </c>
      <c r="BW267" s="900" t="s">
        <v>758</v>
      </c>
      <c r="BX267" s="228">
        <v>8.5</v>
      </c>
      <c r="BY267" s="228">
        <v>2</v>
      </c>
      <c r="BZ267" s="228">
        <v>7.5</v>
      </c>
      <c r="CA267" s="901" t="s">
        <v>706</v>
      </c>
      <c r="CB267" s="230" t="s">
        <v>716</v>
      </c>
      <c r="CC267" s="399">
        <f>(BX267*G267)-CF267</f>
        <v>184862.25</v>
      </c>
      <c r="CD267" s="399">
        <v>184862.25</v>
      </c>
      <c r="CE267" s="234">
        <f>CF267</f>
        <v>20540.25</v>
      </c>
      <c r="CF267" s="836">
        <f>1*(G267)-(0.15*1*(G267))</f>
        <v>20540.25</v>
      </c>
      <c r="CG267" s="234">
        <f>CH267</f>
        <v>20540.25</v>
      </c>
      <c r="CH267" s="836">
        <f>CF267-CJ267</f>
        <v>20540.25</v>
      </c>
      <c r="CI267" s="234">
        <f>CJ267</f>
        <v>0</v>
      </c>
      <c r="CJ267" s="228">
        <v>0</v>
      </c>
      <c r="CK267" s="234">
        <f>CL267</f>
        <v>0</v>
      </c>
      <c r="CL267" s="228">
        <v>0</v>
      </c>
      <c r="CM267" s="234">
        <f>CN267</f>
        <v>20540.25</v>
      </c>
      <c r="CN267" s="903">
        <f>CF267-(CJ267+CL267+CO267+CP267+CR267+CU267+CV267+CX267)</f>
        <v>20540.25</v>
      </c>
      <c r="CO267" s="111">
        <v>0</v>
      </c>
      <c r="CP267" s="111">
        <v>0</v>
      </c>
      <c r="CQ267" s="234">
        <f>CR267</f>
        <v>0</v>
      </c>
      <c r="CR267" s="111">
        <v>0</v>
      </c>
      <c r="CS267" s="903">
        <v>0</v>
      </c>
      <c r="CT267" s="903">
        <v>0</v>
      </c>
      <c r="CU267" s="903">
        <v>0</v>
      </c>
      <c r="CV267" s="903">
        <v>0</v>
      </c>
      <c r="CW267" s="234">
        <f>CX267</f>
        <v>0</v>
      </c>
      <c r="CX267" s="111">
        <f>SUM(CY267:DD267)</f>
        <v>0</v>
      </c>
      <c r="CY267" s="903">
        <f>AX267</f>
        <v>0</v>
      </c>
      <c r="CZ267" s="903">
        <f>AY267</f>
        <v>0</v>
      </c>
      <c r="DA267" s="903">
        <f>AZ267</f>
        <v>0</v>
      </c>
      <c r="DB267" s="903">
        <f>BA267</f>
        <v>0</v>
      </c>
      <c r="DC267" s="903">
        <f>BB267</f>
        <v>0</v>
      </c>
      <c r="DD267" s="903"/>
      <c r="DE267" s="234">
        <f>DF267</f>
        <v>205402.5</v>
      </c>
      <c r="DF267" s="903">
        <f>CC267+CF267</f>
        <v>205402.5</v>
      </c>
      <c r="DG267" s="234">
        <f>DH267</f>
        <v>184.86224999999999</v>
      </c>
      <c r="DH267" s="904">
        <f>CC267/'[1]Projected Development Sites'!DF$134</f>
        <v>184.86224999999999</v>
      </c>
      <c r="DI267" s="886">
        <f>DJ267</f>
        <v>184.86224999999999</v>
      </c>
      <c r="DJ267" s="803">
        <f>'[1]Projected Development Sites'!DK$136*DH267</f>
        <v>184.86224999999999</v>
      </c>
      <c r="DK267" s="899">
        <f>2.87*DH267</f>
        <v>530.55465749999996</v>
      </c>
      <c r="DL267" s="864">
        <f>ROUND((CN267+CL267+CJ267)/1000*3,0)+ROUND((ROUND(CP267/400,0))/2.67,0)+ROUND(CV267/1000,0)+ROUND((CY267+CZ267+DA267+DC267)/1000*3,0)+ROUND(DH267/25,0)+ROUND(DX267/50,0)</f>
        <v>69</v>
      </c>
      <c r="DM267" s="905">
        <v>0</v>
      </c>
      <c r="DN267" s="905"/>
      <c r="DO267" s="905">
        <v>0</v>
      </c>
      <c r="DP267" s="919">
        <f>0.25*DJ267</f>
        <v>46.215562499999997</v>
      </c>
      <c r="DQ267" s="919">
        <f>SUM(CO267,CJ267,CN267,CR267,CU267)/1000</f>
        <v>20.54025</v>
      </c>
      <c r="DR267" s="905">
        <f>CL267/1000</f>
        <v>0</v>
      </c>
      <c r="DS267" s="905">
        <f>((CP267/400)/12)</f>
        <v>0</v>
      </c>
      <c r="DT267" s="905">
        <f>IF(CX267&gt;0,"Calculate",0)</f>
        <v>0</v>
      </c>
      <c r="DU267" s="905">
        <v>0</v>
      </c>
      <c r="DV267" s="905">
        <f>CX267/1000</f>
        <v>0</v>
      </c>
      <c r="DW267" s="886">
        <f>DX267</f>
        <v>20.54025</v>
      </c>
      <c r="DX267" s="774">
        <f>SUM(DM267,DO267,DQ267:DV267)</f>
        <v>20.54025</v>
      </c>
      <c r="DY267" s="837">
        <v>195</v>
      </c>
      <c r="DZ267" s="2288">
        <f>CD267-T267</f>
        <v>184862.25</v>
      </c>
      <c r="EA267" s="2231">
        <f>CE267-V267</f>
        <v>4340.25</v>
      </c>
      <c r="EB267" s="187">
        <f>CF267-W267</f>
        <v>4340.25</v>
      </c>
      <c r="EC267" s="235">
        <f>ED267</f>
        <v>4340.25</v>
      </c>
      <c r="ED267" s="187">
        <v>4340.25</v>
      </c>
      <c r="EE267" s="187">
        <f>(SUM(CJ267:CO267))-(SUM(AA267:AE267,AL267))</f>
        <v>8680.5</v>
      </c>
      <c r="EF267" s="235">
        <f>EG267</f>
        <v>20540.25</v>
      </c>
      <c r="EG267" s="187">
        <v>20540.25</v>
      </c>
      <c r="EH267" s="235">
        <f>EI267</f>
        <v>0</v>
      </c>
      <c r="EI267" s="187">
        <f>CL267-AC267</f>
        <v>0</v>
      </c>
      <c r="EJ267" s="235">
        <f>EK267</f>
        <v>0</v>
      </c>
      <c r="EK267" s="187">
        <f>CJ267-AA267</f>
        <v>0</v>
      </c>
      <c r="EL267" s="235">
        <f>EM267</f>
        <v>-16200</v>
      </c>
      <c r="EM267" s="245">
        <f>CO267-AE267</f>
        <v>-16200</v>
      </c>
      <c r="EN267" s="235">
        <f>EO267</f>
        <v>0</v>
      </c>
      <c r="EO267" s="245">
        <f>CP267-AH267</f>
        <v>0</v>
      </c>
      <c r="EP267" s="235">
        <f>EQ267</f>
        <v>0</v>
      </c>
      <c r="EQ267" s="187">
        <f>CR267-AJ267</f>
        <v>0</v>
      </c>
      <c r="ER267" s="235">
        <f>ES267</f>
        <v>0</v>
      </c>
      <c r="ES267" s="187">
        <f>CS267-AO267</f>
        <v>0</v>
      </c>
      <c r="ET267" s="235">
        <f>EU267</f>
        <v>0</v>
      </c>
      <c r="EU267" s="187">
        <f t="shared" si="146"/>
        <v>0</v>
      </c>
      <c r="EV267" s="235">
        <f>EW267</f>
        <v>0</v>
      </c>
      <c r="EW267" s="187">
        <f>CU267-AS267</f>
        <v>0</v>
      </c>
      <c r="EX267" s="235">
        <f>EY267</f>
        <v>0</v>
      </c>
      <c r="EY267" s="245">
        <f>CV267-AU267</f>
        <v>0</v>
      </c>
      <c r="EZ267" s="235">
        <f>FA267</f>
        <v>0</v>
      </c>
      <c r="FA267" s="245">
        <f>CY267-AX267</f>
        <v>0</v>
      </c>
      <c r="FB267" s="235">
        <f>FC267</f>
        <v>0</v>
      </c>
      <c r="FC267" s="245">
        <f>CZ267-AY267</f>
        <v>0</v>
      </c>
      <c r="FD267" s="235">
        <f>FE267</f>
        <v>0</v>
      </c>
      <c r="FE267" s="245">
        <f>DA267-AZ267</f>
        <v>0</v>
      </c>
      <c r="FF267" s="235">
        <f>FG267</f>
        <v>0</v>
      </c>
      <c r="FG267" s="245">
        <f>DB267-BA267</f>
        <v>0</v>
      </c>
      <c r="FH267" s="235">
        <f>FI267</f>
        <v>0</v>
      </c>
      <c r="FI267" s="245">
        <f>DC267-BB267</f>
        <v>0</v>
      </c>
      <c r="FJ267" s="235">
        <f>FK267</f>
        <v>0</v>
      </c>
      <c r="FK267" s="245">
        <f>CX267-AW267</f>
        <v>0</v>
      </c>
      <c r="FL267" s="235">
        <f>FM267</f>
        <v>189202.5</v>
      </c>
      <c r="FM267" s="187">
        <f>DF267-BE267</f>
        <v>189202.5</v>
      </c>
      <c r="FN267" s="235">
        <f>FO267</f>
        <v>184.86224999999999</v>
      </c>
      <c r="FO267" s="187">
        <f>DH267-BG267</f>
        <v>184.86224999999999</v>
      </c>
      <c r="FP267" s="235">
        <f>FQ267</f>
        <v>184.86224999999999</v>
      </c>
      <c r="FQ267" s="187">
        <f>DJ267-BI267</f>
        <v>184.86224999999999</v>
      </c>
      <c r="FR267" s="245">
        <f>DK267-BJ267</f>
        <v>530.55465749999996</v>
      </c>
      <c r="FS267" s="245">
        <f>DL267-BK267</f>
        <v>4</v>
      </c>
      <c r="FT267" s="907">
        <f>DM267-BL267</f>
        <v>0</v>
      </c>
      <c r="FU267" s="907">
        <f>DR267-BO267</f>
        <v>0</v>
      </c>
      <c r="FV267" s="907">
        <f>DO267-BM267</f>
        <v>0</v>
      </c>
      <c r="FW267" s="907">
        <f>DQ267-BN267</f>
        <v>20.54025</v>
      </c>
      <c r="FX267" s="907">
        <f>DS267-BP267</f>
        <v>0</v>
      </c>
      <c r="FY267" s="801">
        <f t="shared" si="145"/>
        <v>0</v>
      </c>
      <c r="FZ267" s="907">
        <f>DU267-BR267</f>
        <v>0</v>
      </c>
      <c r="GA267" s="907">
        <f>DV267-BS267</f>
        <v>0</v>
      </c>
      <c r="GB267" s="894">
        <f>GC267</f>
        <v>20.54025</v>
      </c>
      <c r="GC267" s="776">
        <f t="shared" si="147"/>
        <v>20.54025</v>
      </c>
      <c r="GD267" s="139"/>
      <c r="GE267" s="139"/>
      <c r="GF267" s="139"/>
      <c r="GG267" s="139"/>
      <c r="GH267" s="139"/>
      <c r="GI267" s="139"/>
      <c r="GJ267" s="139"/>
      <c r="GK267" s="139"/>
      <c r="GL267" s="139"/>
      <c r="GM267" s="139"/>
      <c r="GN267" s="139"/>
      <c r="GO267" s="139"/>
      <c r="GP267" s="139"/>
      <c r="GQ267" s="139"/>
      <c r="GR267" s="139"/>
      <c r="GS267" s="139"/>
      <c r="GT267" s="139"/>
      <c r="GU267" s="228"/>
      <c r="GV267" s="228"/>
    </row>
    <row r="268" spans="1:204" s="228" customFormat="1" ht="18.75">
      <c r="A268" s="1036"/>
      <c r="B268" s="317"/>
      <c r="C268" s="322"/>
      <c r="D268" s="322"/>
      <c r="E268" s="322"/>
      <c r="F268" s="921"/>
      <c r="G268" s="322"/>
      <c r="H268" s="975"/>
      <c r="I268" s="1037"/>
      <c r="J268" s="322"/>
      <c r="K268" s="322"/>
      <c r="L268" s="322"/>
      <c r="M268" s="322"/>
      <c r="N268" s="330"/>
      <c r="O268" s="330"/>
      <c r="P268" s="330"/>
      <c r="Q268" s="330"/>
      <c r="R268" s="932"/>
      <c r="S268" s="778"/>
      <c r="T268" s="634"/>
      <c r="U268" s="322"/>
      <c r="V268" s="634"/>
      <c r="W268" s="322"/>
      <c r="X268" s="322"/>
      <c r="Y268" s="322"/>
      <c r="Z268" s="634"/>
      <c r="AA268" s="322"/>
      <c r="AB268" s="634"/>
      <c r="AC268" s="322"/>
      <c r="AD268" s="634"/>
      <c r="AE268" s="111"/>
      <c r="AF268" s="322"/>
      <c r="AG268" s="322"/>
      <c r="AH268" s="322"/>
      <c r="AI268" s="634"/>
      <c r="AJ268" s="322"/>
      <c r="AK268" s="634"/>
      <c r="AL268" s="322"/>
      <c r="AM268" s="1038"/>
      <c r="AN268" s="634"/>
      <c r="AO268" s="322"/>
      <c r="AP268" s="634"/>
      <c r="AQ268" s="322"/>
      <c r="AR268" s="634"/>
      <c r="AS268" s="322"/>
      <c r="AT268" s="634"/>
      <c r="AU268" s="322"/>
      <c r="AV268" s="634"/>
      <c r="AW268" s="74"/>
      <c r="AX268" s="322"/>
      <c r="AY268" s="322"/>
      <c r="AZ268" s="322"/>
      <c r="BA268" s="322"/>
      <c r="BB268" s="322"/>
      <c r="BC268" s="322"/>
      <c r="BD268" s="634"/>
      <c r="BE268" s="322"/>
      <c r="BF268" s="634"/>
      <c r="BG268" s="322"/>
      <c r="BH268" s="634"/>
      <c r="BI268" s="322"/>
      <c r="BJ268" s="111"/>
      <c r="BK268" s="322"/>
      <c r="BL268" s="322"/>
      <c r="BM268" s="322"/>
      <c r="BN268" s="322"/>
      <c r="BO268" s="322"/>
      <c r="BP268" s="322"/>
      <c r="BQ268" s="322"/>
      <c r="BR268" s="322"/>
      <c r="BS268" s="322"/>
      <c r="BT268" s="634"/>
      <c r="BU268" s="322"/>
      <c r="BV268" s="322"/>
      <c r="BW268" s="780"/>
      <c r="BX268" s="322"/>
      <c r="BY268" s="322"/>
      <c r="BZ268" s="322"/>
      <c r="CA268" s="901"/>
      <c r="CB268" s="230"/>
      <c r="CC268" s="1039"/>
      <c r="CD268" s="1039"/>
      <c r="CE268" s="634"/>
      <c r="CF268" s="322"/>
      <c r="CG268" s="634"/>
      <c r="CH268" s="322"/>
      <c r="CI268" s="634"/>
      <c r="CJ268" s="322"/>
      <c r="CK268" s="634"/>
      <c r="CL268" s="322"/>
      <c r="CM268" s="634"/>
      <c r="CN268" s="1040"/>
      <c r="CO268" s="330"/>
      <c r="CP268" s="330"/>
      <c r="CQ268" s="634"/>
      <c r="CR268" s="330"/>
      <c r="CS268" s="1040"/>
      <c r="CT268" s="1040"/>
      <c r="CU268" s="1040"/>
      <c r="CV268" s="1040"/>
      <c r="CW268" s="634"/>
      <c r="CX268" s="111"/>
      <c r="CY268" s="1040"/>
      <c r="CZ268" s="1040"/>
      <c r="DA268" s="1040"/>
      <c r="DB268" s="1040"/>
      <c r="DC268" s="1040"/>
      <c r="DD268" s="1040"/>
      <c r="DE268" s="634"/>
      <c r="DF268" s="1040"/>
      <c r="DG268" s="634"/>
      <c r="DH268" s="322"/>
      <c r="DI268" s="802"/>
      <c r="DJ268" s="1038"/>
      <c r="DK268" s="899"/>
      <c r="DL268" s="1038"/>
      <c r="DM268" s="1038"/>
      <c r="DN268" s="1038"/>
      <c r="DO268" s="1038"/>
      <c r="DP268" s="1038"/>
      <c r="DQ268" s="1016"/>
      <c r="DR268" s="1038"/>
      <c r="DS268" s="1038"/>
      <c r="DT268" s="1038"/>
      <c r="DU268" s="1038"/>
      <c r="DV268" s="1038"/>
      <c r="DW268" s="802"/>
      <c r="DX268" s="906"/>
      <c r="DY268" s="981"/>
      <c r="DZ268" s="2288"/>
      <c r="EA268" s="2231"/>
      <c r="EB268" s="187"/>
      <c r="EC268" s="2232"/>
      <c r="ED268" s="187"/>
      <c r="EE268" s="187"/>
      <c r="EF268" s="2232"/>
      <c r="EG268" s="187"/>
      <c r="EH268" s="2232"/>
      <c r="EI268" s="187"/>
      <c r="EJ268" s="2232"/>
      <c r="EK268" s="187"/>
      <c r="EL268" s="2232"/>
      <c r="EM268" s="1041"/>
      <c r="EN268" s="2232"/>
      <c r="EO268" s="1041"/>
      <c r="EP268" s="2232"/>
      <c r="EQ268" s="187"/>
      <c r="ER268" s="2232"/>
      <c r="ES268" s="187"/>
      <c r="ET268" s="2232"/>
      <c r="EU268" s="187">
        <f t="shared" si="146"/>
        <v>0</v>
      </c>
      <c r="EV268" s="2232"/>
      <c r="EW268" s="187"/>
      <c r="EX268" s="2232"/>
      <c r="EY268" s="1041"/>
      <c r="EZ268" s="2232"/>
      <c r="FA268" s="1041"/>
      <c r="FB268" s="2232"/>
      <c r="FC268" s="1041"/>
      <c r="FD268" s="2232"/>
      <c r="FE268" s="1041"/>
      <c r="FF268" s="2232"/>
      <c r="FG268" s="1041"/>
      <c r="FH268" s="2232"/>
      <c r="FI268" s="1041"/>
      <c r="FJ268" s="2232"/>
      <c r="FK268" s="1041"/>
      <c r="FL268" s="2232"/>
      <c r="FM268" s="187"/>
      <c r="FN268" s="2232"/>
      <c r="FO268" s="187"/>
      <c r="FP268" s="2232"/>
      <c r="FQ268" s="187"/>
      <c r="FR268" s="245"/>
      <c r="FS268" s="1041"/>
      <c r="FT268" s="1042"/>
      <c r="FU268" s="1042"/>
      <c r="FV268" s="1042"/>
      <c r="FW268" s="1042"/>
      <c r="FX268" s="1042"/>
      <c r="FY268" s="801">
        <f t="shared" si="145"/>
        <v>0</v>
      </c>
      <c r="FZ268" s="907"/>
      <c r="GA268" s="907"/>
      <c r="GB268" s="2289"/>
      <c r="GC268" s="776"/>
      <c r="GD268" s="139"/>
      <c r="GE268" s="139"/>
      <c r="GF268" s="139"/>
      <c r="GG268" s="139"/>
      <c r="GH268" s="139"/>
      <c r="GI268" s="139"/>
      <c r="GJ268" s="139"/>
      <c r="GK268" s="139"/>
      <c r="GL268" s="139"/>
      <c r="GM268" s="139"/>
      <c r="GN268" s="139"/>
      <c r="GO268" s="139"/>
      <c r="GP268" s="139"/>
      <c r="GQ268" s="139"/>
      <c r="GR268" s="139"/>
      <c r="GS268" s="139"/>
      <c r="GT268" s="139"/>
      <c r="GU268" s="322"/>
      <c r="GV268" s="322"/>
    </row>
    <row r="269" spans="1:204" s="210" customFormat="1" ht="18.75">
      <c r="A269" s="400"/>
      <c r="B269" s="400">
        <v>100</v>
      </c>
      <c r="C269" s="402" t="s">
        <v>703</v>
      </c>
      <c r="D269" s="402">
        <v>2487</v>
      </c>
      <c r="E269" s="402">
        <v>20</v>
      </c>
      <c r="F269" s="402">
        <v>2024870020</v>
      </c>
      <c r="G269" s="1043">
        <v>51301</v>
      </c>
      <c r="H269" s="402" t="s">
        <v>733</v>
      </c>
      <c r="I269" s="406"/>
      <c r="J269" s="402">
        <v>1.89</v>
      </c>
      <c r="K269" s="402">
        <v>6.02</v>
      </c>
      <c r="L269" s="402">
        <v>0</v>
      </c>
      <c r="M269" s="402">
        <v>6.5</v>
      </c>
      <c r="N269" s="404">
        <v>0</v>
      </c>
      <c r="O269" s="404">
        <v>0</v>
      </c>
      <c r="P269" s="404">
        <v>0</v>
      </c>
      <c r="Q269" s="404">
        <v>96774</v>
      </c>
      <c r="R269" s="407">
        <v>126</v>
      </c>
      <c r="S269" s="1018" t="s">
        <v>744</v>
      </c>
      <c r="T269" s="424">
        <f>U269</f>
        <v>308831.11699999997</v>
      </c>
      <c r="U269" s="418">
        <f>G269*K269-(0.15*(K269))</f>
        <v>308831.11699999997</v>
      </c>
      <c r="V269" s="424">
        <f>W269</f>
        <v>0</v>
      </c>
      <c r="W269" s="418">
        <v>0</v>
      </c>
      <c r="X269" s="418"/>
      <c r="Y269" s="418">
        <f>W269-AA269</f>
        <v>0</v>
      </c>
      <c r="Z269" s="424">
        <f>AA269</f>
        <v>0</v>
      </c>
      <c r="AA269" s="418">
        <v>0</v>
      </c>
      <c r="AB269" s="424">
        <f>AC269</f>
        <v>0</v>
      </c>
      <c r="AC269" s="418">
        <v>0</v>
      </c>
      <c r="AD269" s="424">
        <f>AE269</f>
        <v>0</v>
      </c>
      <c r="AE269" s="411">
        <f t="shared" ref="AE269:AE271" si="151">AG269+AF269</f>
        <v>0</v>
      </c>
      <c r="AF269" s="418">
        <v>0</v>
      </c>
      <c r="AG269" s="418">
        <v>0</v>
      </c>
      <c r="AH269" s="418">
        <v>0</v>
      </c>
      <c r="AI269" s="424">
        <f>AJ269</f>
        <v>0</v>
      </c>
      <c r="AJ269" s="418">
        <v>0</v>
      </c>
      <c r="AK269" s="424">
        <f>AL269</f>
        <v>0</v>
      </c>
      <c r="AL269" s="418">
        <f>W269-(AA269+AC269+AE269+AH269+AJ269+AM269+AW269+AO269+AQ269+AS269+AU269)</f>
        <v>0</v>
      </c>
      <c r="AM269" s="1029">
        <v>0</v>
      </c>
      <c r="AN269" s="424">
        <f>AO269</f>
        <v>0</v>
      </c>
      <c r="AO269" s="418">
        <v>0</v>
      </c>
      <c r="AP269" s="424">
        <f>AQ269</f>
        <v>0</v>
      </c>
      <c r="AQ269" s="418">
        <v>0</v>
      </c>
      <c r="AR269" s="424">
        <f>AS269</f>
        <v>0</v>
      </c>
      <c r="AS269" s="418">
        <v>0</v>
      </c>
      <c r="AT269" s="424">
        <f>AU269</f>
        <v>0</v>
      </c>
      <c r="AU269" s="418">
        <v>0</v>
      </c>
      <c r="AV269" s="424">
        <f>AW269</f>
        <v>0</v>
      </c>
      <c r="AW269" s="170">
        <f t="shared" si="148"/>
        <v>0</v>
      </c>
      <c r="AX269" s="418">
        <v>0</v>
      </c>
      <c r="AY269" s="418">
        <v>0</v>
      </c>
      <c r="AZ269" s="418">
        <v>0</v>
      </c>
      <c r="BA269" s="418">
        <v>0</v>
      </c>
      <c r="BB269" s="418">
        <v>0</v>
      </c>
      <c r="BC269" s="418">
        <v>0</v>
      </c>
      <c r="BD269" s="424">
        <f>BE269</f>
        <v>308831</v>
      </c>
      <c r="BE269" s="418">
        <f>ROUND(U269+W269,0)</f>
        <v>308831</v>
      </c>
      <c r="BF269" s="424">
        <f>BG269</f>
        <v>309</v>
      </c>
      <c r="BG269" s="418">
        <f>ROUND(U269/'[1]Projected Development Sites'!DF$134,0)</f>
        <v>309</v>
      </c>
      <c r="BH269" s="424">
        <f>BI269</f>
        <v>0</v>
      </c>
      <c r="BI269" s="418">
        <v>0</v>
      </c>
      <c r="BJ269" s="411">
        <f t="shared" si="149"/>
        <v>887</v>
      </c>
      <c r="BK269" s="1044">
        <f>ROUND((AL269+AC269+AA269)/1000*3,0)+ROUND((AE269+AU269)/1000,0)+ROUND((ROUND(AH269/400,0))/2.67,0)+ROUND(AJ269/250,0)+ROUND(AO269/15000,0)+ROUND((AX269+AY269+AZ269+BB269)/1000*3,0)+ROUND(BG269/25,0)+ROUND(BU269/50,0)</f>
        <v>14</v>
      </c>
      <c r="BL269" s="418">
        <f>(BG269-BI269)*0.4</f>
        <v>123.60000000000001</v>
      </c>
      <c r="BM269" s="418">
        <v>0</v>
      </c>
      <c r="BN269" s="418">
        <f>W269/1000</f>
        <v>0</v>
      </c>
      <c r="BO269" s="418">
        <f>AC269/1000</f>
        <v>0</v>
      </c>
      <c r="BP269" s="418">
        <f>((AH269/400)/12)</f>
        <v>0</v>
      </c>
      <c r="BQ269" s="418">
        <f>IFERROR(VLOOKUP(F269,#REF!,3,FALSE),0)</f>
        <v>0</v>
      </c>
      <c r="BR269" s="418">
        <v>0</v>
      </c>
      <c r="BS269" s="418">
        <f>IF(BB269&gt;0,"Calculate",0)</f>
        <v>0</v>
      </c>
      <c r="BT269" s="424">
        <f>BU269</f>
        <v>123.60000000000001</v>
      </c>
      <c r="BU269" s="1045">
        <f>SUM(BL269:BS269)</f>
        <v>123.60000000000001</v>
      </c>
      <c r="BV269" s="1046">
        <v>125</v>
      </c>
      <c r="BW269" s="418" t="s">
        <v>733</v>
      </c>
      <c r="BX269" s="418">
        <v>6.02</v>
      </c>
      <c r="BY269" s="418">
        <v>2</v>
      </c>
      <c r="BZ269" s="418">
        <v>6.5</v>
      </c>
      <c r="CA269" s="1022" t="s">
        <v>706</v>
      </c>
      <c r="CB269" s="420" t="s">
        <v>719</v>
      </c>
      <c r="CC269" s="1023">
        <f>(BX269*G269)-CF269</f>
        <v>213925.16999999995</v>
      </c>
      <c r="CD269" s="1023">
        <f>CC269</f>
        <v>213925.16999999995</v>
      </c>
      <c r="CE269" s="424">
        <f>CF269</f>
        <v>94906.85</v>
      </c>
      <c r="CF269" s="411">
        <f>2*(G269)-((0.15*(G269)))</f>
        <v>94906.85</v>
      </c>
      <c r="CG269" s="424">
        <f>CH269</f>
        <v>94906.85</v>
      </c>
      <c r="CH269" s="411">
        <f>CF269-CJ269</f>
        <v>94906.85</v>
      </c>
      <c r="CI269" s="424">
        <f>CJ269</f>
        <v>0</v>
      </c>
      <c r="CJ269" s="411">
        <v>0</v>
      </c>
      <c r="CK269" s="424">
        <f>CL269</f>
        <v>0</v>
      </c>
      <c r="CL269" s="411">
        <v>0</v>
      </c>
      <c r="CM269" s="424">
        <f>CN269</f>
        <v>94906.85</v>
      </c>
      <c r="CN269" s="411">
        <f>CF269</f>
        <v>94906.85</v>
      </c>
      <c r="CO269" s="411">
        <v>0</v>
      </c>
      <c r="CP269" s="411">
        <v>0</v>
      </c>
      <c r="CQ269" s="424">
        <f>CR269</f>
        <v>0</v>
      </c>
      <c r="CR269" s="411">
        <v>0</v>
      </c>
      <c r="CS269" s="1025">
        <v>0</v>
      </c>
      <c r="CT269" s="1025">
        <v>0</v>
      </c>
      <c r="CU269" s="1025">
        <v>0</v>
      </c>
      <c r="CV269" s="1025">
        <v>0</v>
      </c>
      <c r="CW269" s="424">
        <f>CX269</f>
        <v>0</v>
      </c>
      <c r="CX269" s="411">
        <f t="shared" ref="CX269:CX283" si="152">SUM(CY269:DD269)</f>
        <v>0</v>
      </c>
      <c r="CY269" s="1025">
        <v>0</v>
      </c>
      <c r="CZ269" s="1025">
        <v>0</v>
      </c>
      <c r="DA269" s="1025">
        <v>0</v>
      </c>
      <c r="DB269" s="1025">
        <v>0</v>
      </c>
      <c r="DC269" s="1025">
        <v>0</v>
      </c>
      <c r="DD269" s="1025"/>
      <c r="DE269" s="424">
        <f>DF269</f>
        <v>308832.01999999996</v>
      </c>
      <c r="DF269" s="411">
        <f>CC269+CF269</f>
        <v>308832.01999999996</v>
      </c>
      <c r="DG269" s="424">
        <f>DH269</f>
        <v>213.92516999999995</v>
      </c>
      <c r="DH269" s="411">
        <f>CC269/1000</f>
        <v>213.92516999999995</v>
      </c>
      <c r="DI269" s="1027">
        <f>DJ269</f>
        <v>213.92516999999995</v>
      </c>
      <c r="DJ269" s="1019">
        <f>'[1]Projected Development Sites'!DK$136*DH269</f>
        <v>213.92516999999995</v>
      </c>
      <c r="DK269" s="1019">
        <f>2.87*DH269</f>
        <v>613.96523789999992</v>
      </c>
      <c r="DL269" s="1047"/>
      <c r="DM269" s="1019">
        <v>0</v>
      </c>
      <c r="DN269" s="1048">
        <v>0</v>
      </c>
      <c r="DO269" s="1019">
        <v>0</v>
      </c>
      <c r="DP269" s="1019">
        <f>DJ269*0.25</f>
        <v>53.481292499999988</v>
      </c>
      <c r="DQ269" s="1049">
        <f>SUM(CO269,CJ269,CN269,CR269,CU269)/1000</f>
        <v>94.906850000000006</v>
      </c>
      <c r="DR269" s="1019">
        <f>CL269/1000</f>
        <v>0</v>
      </c>
      <c r="DS269" s="1019">
        <f>((CP269/400)/12)</f>
        <v>0</v>
      </c>
      <c r="DT269" s="1019">
        <v>0</v>
      </c>
      <c r="DU269" s="1019">
        <v>0</v>
      </c>
      <c r="DV269" s="1019">
        <f>IF(CX269&gt;0,"Calculate",0)</f>
        <v>0</v>
      </c>
      <c r="DW269" s="1027">
        <f>DX269</f>
        <v>94.906850000000006</v>
      </c>
      <c r="DX269" s="910">
        <f>DN269+DO269+DQ269+DR269+DS269+DT269+DU269+DV269</f>
        <v>94.906850000000006</v>
      </c>
      <c r="DY269" s="424">
        <v>205</v>
      </c>
      <c r="DZ269" s="2295">
        <f>CD269-T269</f>
        <v>-94905.947000000015</v>
      </c>
      <c r="EA269" s="2272">
        <f>CE269-V269</f>
        <v>94906.85</v>
      </c>
      <c r="EB269" s="281">
        <f>CF269-W269</f>
        <v>94906.85</v>
      </c>
      <c r="EC269" s="427">
        <f>ED269</f>
        <v>25650.5</v>
      </c>
      <c r="ED269" s="281">
        <v>25650.5</v>
      </c>
      <c r="EE269" s="281">
        <f>(SUM(CJ269:CO269))-(SUM(AA269:AE269,AL269))</f>
        <v>189813.7</v>
      </c>
      <c r="EF269" s="427">
        <f>EG269</f>
        <v>25650.5</v>
      </c>
      <c r="EG269" s="281">
        <v>25650.5</v>
      </c>
      <c r="EH269" s="427">
        <f>EI269</f>
        <v>0</v>
      </c>
      <c r="EI269" s="281">
        <f>CL269-AC269</f>
        <v>0</v>
      </c>
      <c r="EJ269" s="427">
        <f>EK269</f>
        <v>0</v>
      </c>
      <c r="EK269" s="281">
        <f>CJ269-AA269</f>
        <v>0</v>
      </c>
      <c r="EL269" s="427">
        <f>EM269</f>
        <v>0</v>
      </c>
      <c r="EM269" s="1032">
        <f>CO269-AE269</f>
        <v>0</v>
      </c>
      <c r="EN269" s="427">
        <f>EO269</f>
        <v>0</v>
      </c>
      <c r="EO269" s="1032">
        <f>CP269-AH269</f>
        <v>0</v>
      </c>
      <c r="EP269" s="427">
        <f>EQ269</f>
        <v>0</v>
      </c>
      <c r="EQ269" s="281">
        <f>CR269-AJ269</f>
        <v>0</v>
      </c>
      <c r="ER269" s="427">
        <f>ES269</f>
        <v>0</v>
      </c>
      <c r="ES269" s="281">
        <f>CS269-AO269</f>
        <v>0</v>
      </c>
      <c r="ET269" s="427">
        <f>EU269</f>
        <v>0</v>
      </c>
      <c r="EU269" s="281">
        <f t="shared" si="146"/>
        <v>0</v>
      </c>
      <c r="EV269" s="427">
        <f>EW269</f>
        <v>0</v>
      </c>
      <c r="EW269" s="281">
        <f>CU269-AS269</f>
        <v>0</v>
      </c>
      <c r="EX269" s="427">
        <f>EY269</f>
        <v>0</v>
      </c>
      <c r="EY269" s="1032">
        <f>CV269-AU269</f>
        <v>0</v>
      </c>
      <c r="EZ269" s="427">
        <f>FA269</f>
        <v>0</v>
      </c>
      <c r="FA269" s="1032">
        <f>CY269-AX269</f>
        <v>0</v>
      </c>
      <c r="FB269" s="427">
        <f>FC269</f>
        <v>0</v>
      </c>
      <c r="FC269" s="1032">
        <f>CZ269-AY269</f>
        <v>0</v>
      </c>
      <c r="FD269" s="427">
        <f>FE269</f>
        <v>0</v>
      </c>
      <c r="FE269" s="1032">
        <f>DA269-AZ269</f>
        <v>0</v>
      </c>
      <c r="FF269" s="427">
        <f>FG269</f>
        <v>0</v>
      </c>
      <c r="FG269" s="1032">
        <f>DB269-BA269</f>
        <v>0</v>
      </c>
      <c r="FH269" s="427">
        <f>FI269</f>
        <v>0</v>
      </c>
      <c r="FI269" s="1032">
        <f>DC269-BB269</f>
        <v>0</v>
      </c>
      <c r="FJ269" s="427">
        <f>FK269</f>
        <v>0</v>
      </c>
      <c r="FK269" s="1032">
        <f>CX269-AW269</f>
        <v>0</v>
      </c>
      <c r="FL269" s="427">
        <f>FM269</f>
        <v>1.0199999999604188</v>
      </c>
      <c r="FM269" s="281">
        <f>DF269-BE269</f>
        <v>1.0199999999604188</v>
      </c>
      <c r="FN269" s="427">
        <f>FO269</f>
        <v>-95.074830000000048</v>
      </c>
      <c r="FO269" s="281">
        <f>DH269-BG269</f>
        <v>-95.074830000000048</v>
      </c>
      <c r="FP269" s="427">
        <f>FQ269</f>
        <v>213.92516999999995</v>
      </c>
      <c r="FQ269" s="281">
        <f>DJ269-BI269</f>
        <v>213.92516999999995</v>
      </c>
      <c r="FR269" s="1032">
        <f>DK269-BJ269</f>
        <v>-273.03476210000008</v>
      </c>
      <c r="FS269" s="1032">
        <f>DL269-BK269</f>
        <v>-14</v>
      </c>
      <c r="FT269" s="1033">
        <f>DM269-BL269</f>
        <v>-123.60000000000001</v>
      </c>
      <c r="FU269" s="1033">
        <f>DR269-BO269</f>
        <v>0</v>
      </c>
      <c r="FV269" s="1033"/>
      <c r="FW269" s="1033">
        <f>DQ269-BN269</f>
        <v>94.906850000000006</v>
      </c>
      <c r="FX269" s="1033">
        <f>DS269-BP269</f>
        <v>0</v>
      </c>
      <c r="FY269" s="834">
        <f t="shared" si="145"/>
        <v>0</v>
      </c>
      <c r="FZ269" s="834">
        <f>DU269-BR269</f>
        <v>0</v>
      </c>
      <c r="GA269" s="1050">
        <f>DV269-BS269</f>
        <v>0</v>
      </c>
      <c r="GB269" s="1034">
        <f>GC269</f>
        <v>-28.693150000000003</v>
      </c>
      <c r="GC269" s="819">
        <f t="shared" si="147"/>
        <v>-28.693150000000003</v>
      </c>
      <c r="GU269" s="418"/>
      <c r="GV269" s="418"/>
    </row>
    <row r="270" spans="1:204" s="228" customFormat="1" ht="18.75">
      <c r="A270" s="2263"/>
      <c r="B270" s="2263"/>
      <c r="C270" s="132"/>
      <c r="D270" s="132"/>
      <c r="E270" s="132"/>
      <c r="F270" s="132"/>
      <c r="G270" s="493"/>
      <c r="H270" s="132"/>
      <c r="I270" s="136"/>
      <c r="J270" s="132"/>
      <c r="K270" s="132"/>
      <c r="L270" s="132"/>
      <c r="M270" s="132"/>
      <c r="N270" s="134"/>
      <c r="O270" s="134"/>
      <c r="P270" s="134"/>
      <c r="Q270" s="134"/>
      <c r="R270" s="137"/>
      <c r="S270" s="778"/>
      <c r="T270" s="634"/>
      <c r="U270" s="139"/>
      <c r="V270" s="634"/>
      <c r="W270" s="139"/>
      <c r="X270" s="139"/>
      <c r="Y270" s="139"/>
      <c r="Z270" s="634"/>
      <c r="AA270" s="139"/>
      <c r="AB270" s="634"/>
      <c r="AC270" s="139"/>
      <c r="AD270" s="634"/>
      <c r="AE270" s="111"/>
      <c r="AF270" s="139"/>
      <c r="AG270" s="139"/>
      <c r="AH270" s="139"/>
      <c r="AI270" s="634"/>
      <c r="AJ270" s="139"/>
      <c r="AK270" s="634"/>
      <c r="AL270" s="139"/>
      <c r="AM270" s="787"/>
      <c r="AN270" s="634"/>
      <c r="AO270" s="139"/>
      <c r="AP270" s="634"/>
      <c r="AQ270" s="139"/>
      <c r="AR270" s="634"/>
      <c r="AS270" s="139"/>
      <c r="AT270" s="634"/>
      <c r="AU270" s="139"/>
      <c r="AV270" s="634"/>
      <c r="AW270" s="74"/>
      <c r="AX270" s="139"/>
      <c r="AY270" s="139"/>
      <c r="AZ270" s="139"/>
      <c r="BA270" s="139"/>
      <c r="BB270" s="139"/>
      <c r="BC270" s="139"/>
      <c r="BD270" s="634"/>
      <c r="BE270" s="139"/>
      <c r="BF270" s="634"/>
      <c r="BG270" s="139"/>
      <c r="BH270" s="634"/>
      <c r="BI270" s="139"/>
      <c r="BJ270" s="111"/>
      <c r="BK270" s="848"/>
      <c r="BL270" s="139"/>
      <c r="BM270" s="139"/>
      <c r="BN270" s="139"/>
      <c r="BO270" s="139"/>
      <c r="BP270" s="139"/>
      <c r="BQ270" s="139"/>
      <c r="BR270" s="139"/>
      <c r="BS270" s="139"/>
      <c r="BT270" s="634"/>
      <c r="BU270" s="1051"/>
      <c r="BV270" s="932"/>
      <c r="BW270" s="139"/>
      <c r="BX270" s="139"/>
      <c r="BY270" s="139"/>
      <c r="BZ270" s="139"/>
      <c r="CA270" s="781"/>
      <c r="CB270" s="2258"/>
      <c r="CC270" s="782"/>
      <c r="CD270" s="782"/>
      <c r="CE270" s="634"/>
      <c r="CF270" s="102"/>
      <c r="CG270" s="634"/>
      <c r="CH270" s="102"/>
      <c r="CI270" s="634"/>
      <c r="CJ270" s="102"/>
      <c r="CK270" s="634"/>
      <c r="CL270" s="102"/>
      <c r="CM270" s="634"/>
      <c r="CN270" s="784"/>
      <c r="CO270" s="102"/>
      <c r="CP270" s="102"/>
      <c r="CQ270" s="634"/>
      <c r="CR270" s="102"/>
      <c r="CS270" s="784"/>
      <c r="CT270" s="784"/>
      <c r="CU270" s="784"/>
      <c r="CV270" s="784"/>
      <c r="CW270" s="634"/>
      <c r="CX270" s="111"/>
      <c r="CY270" s="784"/>
      <c r="CZ270" s="784"/>
      <c r="DA270" s="784"/>
      <c r="DB270" s="784"/>
      <c r="DC270" s="784"/>
      <c r="DD270" s="784"/>
      <c r="DE270" s="634"/>
      <c r="DF270" s="102"/>
      <c r="DG270" s="634"/>
      <c r="DH270" s="102"/>
      <c r="DI270" s="886"/>
      <c r="DJ270" s="779"/>
      <c r="DK270" s="111"/>
      <c r="DL270" s="924"/>
      <c r="DM270" s="102"/>
      <c r="DN270" s="2248"/>
      <c r="DO270" s="102"/>
      <c r="DP270" s="102"/>
      <c r="DQ270" s="1051"/>
      <c r="DR270" s="102"/>
      <c r="DS270" s="102"/>
      <c r="DT270" s="102"/>
      <c r="DU270" s="102"/>
      <c r="DV270" s="102"/>
      <c r="DW270" s="886">
        <f t="shared" ref="DW270:DW283" si="153">DX270</f>
        <v>0</v>
      </c>
      <c r="DX270" s="788"/>
      <c r="DY270" s="2246"/>
      <c r="DZ270" s="2288"/>
      <c r="EA270" s="2231"/>
      <c r="EB270" s="187"/>
      <c r="EC270" s="2232"/>
      <c r="ED270" s="187"/>
      <c r="EE270" s="187"/>
      <c r="EF270" s="2232"/>
      <c r="EG270" s="187"/>
      <c r="EH270" s="2232"/>
      <c r="EI270" s="187"/>
      <c r="EJ270" s="2232"/>
      <c r="EK270" s="187"/>
      <c r="EL270" s="2232"/>
      <c r="EM270" s="195"/>
      <c r="EN270" s="2232"/>
      <c r="EO270" s="195"/>
      <c r="EP270" s="2232"/>
      <c r="EQ270" s="187"/>
      <c r="ER270" s="2232"/>
      <c r="ES270" s="187"/>
      <c r="ET270" s="2232"/>
      <c r="EU270" s="187">
        <f t="shared" si="146"/>
        <v>0</v>
      </c>
      <c r="EV270" s="2232"/>
      <c r="EW270" s="187"/>
      <c r="EX270" s="2232"/>
      <c r="EY270" s="195"/>
      <c r="EZ270" s="2232"/>
      <c r="FA270" s="195"/>
      <c r="FB270" s="2232"/>
      <c r="FC270" s="195"/>
      <c r="FD270" s="2232"/>
      <c r="FE270" s="195"/>
      <c r="FF270" s="2232"/>
      <c r="FG270" s="195"/>
      <c r="FH270" s="2232"/>
      <c r="FI270" s="195"/>
      <c r="FJ270" s="2232"/>
      <c r="FK270" s="195"/>
      <c r="FL270" s="2232"/>
      <c r="FM270" s="187"/>
      <c r="FN270" s="2232"/>
      <c r="FO270" s="187"/>
      <c r="FP270" s="2232"/>
      <c r="FQ270" s="187"/>
      <c r="FR270" s="245"/>
      <c r="FS270" s="195"/>
      <c r="FT270" s="789"/>
      <c r="FU270" s="789"/>
      <c r="FV270" s="789"/>
      <c r="FW270" s="789"/>
      <c r="FX270" s="789"/>
      <c r="FY270" s="801">
        <f t="shared" si="145"/>
        <v>0</v>
      </c>
      <c r="FZ270" s="789"/>
      <c r="GA270" s="1052"/>
      <c r="GB270" s="2289"/>
      <c r="GC270" s="776"/>
      <c r="GD270" s="139"/>
      <c r="GE270" s="139"/>
      <c r="GF270" s="139"/>
      <c r="GG270" s="139"/>
      <c r="GH270" s="139"/>
      <c r="GI270" s="139"/>
      <c r="GJ270" s="139"/>
      <c r="GK270" s="139"/>
      <c r="GL270" s="139"/>
      <c r="GM270" s="139"/>
      <c r="GN270" s="139"/>
      <c r="GO270" s="139"/>
      <c r="GP270" s="139"/>
      <c r="GQ270" s="139"/>
      <c r="GR270" s="139"/>
      <c r="GS270" s="139"/>
      <c r="GT270" s="139"/>
      <c r="GU270" s="139"/>
      <c r="GV270" s="139"/>
    </row>
    <row r="271" spans="1:204" s="139" customFormat="1" ht="18.75">
      <c r="A271" s="216"/>
      <c r="B271" s="216">
        <v>101</v>
      </c>
      <c r="C271" s="1053" t="s">
        <v>703</v>
      </c>
      <c r="D271" s="218">
        <v>2487</v>
      </c>
      <c r="E271" s="218">
        <v>10</v>
      </c>
      <c r="F271" s="218">
        <v>2024870010</v>
      </c>
      <c r="G271" s="313">
        <v>42550</v>
      </c>
      <c r="H271" s="218" t="s">
        <v>733</v>
      </c>
      <c r="I271" s="222"/>
      <c r="J271" s="218">
        <v>2.27</v>
      </c>
      <c r="K271" s="218">
        <v>6.02</v>
      </c>
      <c r="L271" s="218">
        <v>0</v>
      </c>
      <c r="M271" s="218">
        <v>6.5</v>
      </c>
      <c r="N271" s="220">
        <v>0</v>
      </c>
      <c r="O271" s="220">
        <v>0</v>
      </c>
      <c r="P271" s="220">
        <v>0</v>
      </c>
      <c r="Q271" s="220">
        <v>96774</v>
      </c>
      <c r="R271" s="223">
        <v>126</v>
      </c>
      <c r="S271" s="898" t="s">
        <v>744</v>
      </c>
      <c r="T271" s="234">
        <f>U271</f>
        <v>256150.09699999998</v>
      </c>
      <c r="U271" s="228">
        <f>G271*K271-(0.15*(K271))</f>
        <v>256150.09699999998</v>
      </c>
      <c r="V271" s="234">
        <f>W271</f>
        <v>0</v>
      </c>
      <c r="W271" s="228">
        <v>0</v>
      </c>
      <c r="X271" s="228"/>
      <c r="Y271" s="228">
        <f>W271-AA271</f>
        <v>0</v>
      </c>
      <c r="Z271" s="234">
        <f>AA271</f>
        <v>0</v>
      </c>
      <c r="AA271" s="228">
        <v>0</v>
      </c>
      <c r="AB271" s="234">
        <f>AC271</f>
        <v>0</v>
      </c>
      <c r="AC271" s="228">
        <v>0</v>
      </c>
      <c r="AD271" s="234">
        <f>AE271</f>
        <v>0</v>
      </c>
      <c r="AE271" s="111">
        <f t="shared" si="151"/>
        <v>0</v>
      </c>
      <c r="AF271" s="228">
        <v>0</v>
      </c>
      <c r="AG271" s="228">
        <v>0</v>
      </c>
      <c r="AH271" s="228">
        <v>0</v>
      </c>
      <c r="AI271" s="234">
        <f>AJ271</f>
        <v>0</v>
      </c>
      <c r="AJ271" s="228">
        <v>0</v>
      </c>
      <c r="AK271" s="234">
        <f>AL271</f>
        <v>0</v>
      </c>
      <c r="AL271" s="228">
        <f>W271-(AA271+AC271+AE271+AH271+AJ271+AM271+AW271+AO271+AQ271+AS271+AU271)</f>
        <v>0</v>
      </c>
      <c r="AM271" s="905">
        <v>0</v>
      </c>
      <c r="AN271" s="234">
        <f>AO271</f>
        <v>0</v>
      </c>
      <c r="AO271" s="228">
        <v>0</v>
      </c>
      <c r="AP271" s="234">
        <f>AQ271</f>
        <v>0</v>
      </c>
      <c r="AQ271" s="228">
        <v>0</v>
      </c>
      <c r="AR271" s="234">
        <f>AS271</f>
        <v>0</v>
      </c>
      <c r="AS271" s="228">
        <v>0</v>
      </c>
      <c r="AT271" s="234">
        <f>AU271</f>
        <v>0</v>
      </c>
      <c r="AU271" s="228">
        <v>0</v>
      </c>
      <c r="AV271" s="234">
        <f>AW271</f>
        <v>0</v>
      </c>
      <c r="AW271" s="74">
        <f t="shared" si="148"/>
        <v>0</v>
      </c>
      <c r="AX271" s="228">
        <v>0</v>
      </c>
      <c r="AY271" s="228">
        <v>0</v>
      </c>
      <c r="AZ271" s="228">
        <v>0</v>
      </c>
      <c r="BA271" s="228">
        <v>0</v>
      </c>
      <c r="BB271" s="228">
        <v>0</v>
      </c>
      <c r="BC271" s="228">
        <v>0</v>
      </c>
      <c r="BD271" s="234">
        <f>BE271</f>
        <v>256150</v>
      </c>
      <c r="BE271" s="228">
        <f>ROUND(U271+W271,0)</f>
        <v>256150</v>
      </c>
      <c r="BF271" s="234">
        <f>BG271</f>
        <v>256</v>
      </c>
      <c r="BG271" s="228">
        <f>ROUND(U271/'[1]Projected Development Sites'!DF$134,0)</f>
        <v>256</v>
      </c>
      <c r="BH271" s="234">
        <f>BI271</f>
        <v>0</v>
      </c>
      <c r="BI271" s="228">
        <v>0</v>
      </c>
      <c r="BJ271" s="111">
        <f t="shared" si="149"/>
        <v>735</v>
      </c>
      <c r="BK271" s="928">
        <f>ROUND((AL271+AC271+AA271)/1000*3,0)+ROUND((AE271+AU271)/1000,0)+ROUND((ROUND(AH271/400,0))/2.67,0)+ROUND(AJ271/250,0)+ROUND(AO271/15000,0)+ROUND((AX271+AY271+AZ271+BB271)/1000*3,0)+ROUND(BG271/25,0)+ROUND(BU271/50,0)</f>
        <v>12</v>
      </c>
      <c r="BL271" s="228">
        <f>(BG271-BI271)*0.4</f>
        <v>102.4</v>
      </c>
      <c r="BM271" s="228">
        <v>0</v>
      </c>
      <c r="BN271" s="228">
        <f>W271/1000</f>
        <v>0</v>
      </c>
      <c r="BO271" s="228">
        <f>AC271/1000</f>
        <v>0</v>
      </c>
      <c r="BP271" s="228">
        <f>((AH271/400)/12)</f>
        <v>0</v>
      </c>
      <c r="BQ271" s="228">
        <f>IFERROR(VLOOKUP(F271,#REF!,3,FALSE),0)</f>
        <v>0</v>
      </c>
      <c r="BR271" s="228">
        <v>0</v>
      </c>
      <c r="BS271" s="228">
        <f>IF(BB271&gt;0,"Calculate",0)</f>
        <v>0</v>
      </c>
      <c r="BT271" s="234">
        <f>BU271</f>
        <v>102.4</v>
      </c>
      <c r="BU271" s="279">
        <f>SUM(BL271:BS271)</f>
        <v>102.4</v>
      </c>
      <c r="BV271" s="929">
        <v>125</v>
      </c>
      <c r="BW271" s="228" t="s">
        <v>733</v>
      </c>
      <c r="BX271" s="228">
        <v>6.02</v>
      </c>
      <c r="BY271" s="228">
        <v>2</v>
      </c>
      <c r="BZ271" s="228">
        <v>6.5</v>
      </c>
      <c r="CA271" s="901" t="s">
        <v>706</v>
      </c>
      <c r="CB271" s="230" t="s">
        <v>716</v>
      </c>
      <c r="CC271" s="399">
        <f>(BX271*G271)-CF271</f>
        <v>234875.99999999997</v>
      </c>
      <c r="CD271" s="399">
        <v>234875.99999999997</v>
      </c>
      <c r="CE271" s="234">
        <f>CF271</f>
        <v>21275</v>
      </c>
      <c r="CF271" s="111">
        <f>1*(G271)-((0.5*(G271)))</f>
        <v>21275</v>
      </c>
      <c r="CG271" s="234">
        <f>CH271</f>
        <v>21275</v>
      </c>
      <c r="CH271" s="111">
        <f>CF271-CJ271</f>
        <v>21275</v>
      </c>
      <c r="CI271" s="234">
        <f>CJ271</f>
        <v>0</v>
      </c>
      <c r="CJ271" s="111">
        <v>0</v>
      </c>
      <c r="CK271" s="234">
        <f>CL271</f>
        <v>0</v>
      </c>
      <c r="CL271" s="111">
        <v>0</v>
      </c>
      <c r="CM271" s="234">
        <f>CN271</f>
        <v>21275</v>
      </c>
      <c r="CN271" s="111">
        <f>CF271</f>
        <v>21275</v>
      </c>
      <c r="CO271" s="111">
        <v>0</v>
      </c>
      <c r="CP271" s="111">
        <v>0</v>
      </c>
      <c r="CQ271" s="234">
        <f>CR271</f>
        <v>0</v>
      </c>
      <c r="CR271" s="111">
        <v>0</v>
      </c>
      <c r="CS271" s="903">
        <v>0</v>
      </c>
      <c r="CT271" s="903">
        <v>0</v>
      </c>
      <c r="CU271" s="903">
        <v>0</v>
      </c>
      <c r="CV271" s="903">
        <v>0</v>
      </c>
      <c r="CW271" s="234">
        <f>CX271</f>
        <v>0</v>
      </c>
      <c r="CX271" s="111">
        <f t="shared" si="152"/>
        <v>0</v>
      </c>
      <c r="CY271" s="903">
        <v>0</v>
      </c>
      <c r="CZ271" s="903">
        <v>0</v>
      </c>
      <c r="DA271" s="903">
        <v>0</v>
      </c>
      <c r="DB271" s="903">
        <v>0</v>
      </c>
      <c r="DC271" s="903">
        <v>0</v>
      </c>
      <c r="DD271" s="903">
        <v>0</v>
      </c>
      <c r="DE271" s="234">
        <f>DF271</f>
        <v>256150.99999999997</v>
      </c>
      <c r="DF271" s="111">
        <f>CC271+CF271</f>
        <v>256150.99999999997</v>
      </c>
      <c r="DG271" s="234">
        <f>DH271</f>
        <v>234.87599999999998</v>
      </c>
      <c r="DH271" s="111">
        <f>CC271/1000</f>
        <v>234.87599999999998</v>
      </c>
      <c r="DI271" s="886">
        <f t="shared" ref="DI271:DI283" si="154">DJ271</f>
        <v>235</v>
      </c>
      <c r="DJ271" s="899">
        <v>235</v>
      </c>
      <c r="DK271" s="899"/>
      <c r="DL271" s="924"/>
      <c r="DM271" s="899"/>
      <c r="DN271" s="925"/>
      <c r="DO271" s="899"/>
      <c r="DP271" s="899"/>
      <c r="DQ271" s="905"/>
      <c r="DR271" s="899"/>
      <c r="DS271" s="899"/>
      <c r="DT271" s="899"/>
      <c r="DU271" s="899"/>
      <c r="DV271" s="899"/>
      <c r="DW271" s="886">
        <f t="shared" si="153"/>
        <v>0</v>
      </c>
      <c r="DX271" s="906">
        <f>DN271+DO271+DQ271+DR271+DS271+DT271+DU271+DV271</f>
        <v>0</v>
      </c>
      <c r="DY271" s="234">
        <v>205</v>
      </c>
      <c r="DZ271" s="1054">
        <f>CD271-T271</f>
        <v>-21274.097000000009</v>
      </c>
      <c r="EA271" s="235">
        <f>CE271-V271</f>
        <v>21275</v>
      </c>
      <c r="EB271" s="245">
        <f>CF271-W271</f>
        <v>21275</v>
      </c>
      <c r="EC271" s="235">
        <f>ED271</f>
        <v>21275</v>
      </c>
      <c r="ED271" s="187">
        <v>21275</v>
      </c>
      <c r="EE271" s="245">
        <f>(SUM(CJ271:CO271))-(SUM(AA271:AE271,AL271))</f>
        <v>42550</v>
      </c>
      <c r="EF271" s="235">
        <f>EG271</f>
        <v>21275</v>
      </c>
      <c r="EG271" s="187">
        <v>21275</v>
      </c>
      <c r="EH271" s="235">
        <f>EI271</f>
        <v>0</v>
      </c>
      <c r="EI271" s="245">
        <f>CL271-AC271</f>
        <v>0</v>
      </c>
      <c r="EJ271" s="235">
        <f>EK271</f>
        <v>0</v>
      </c>
      <c r="EK271" s="245">
        <f>CJ271-AA271</f>
        <v>0</v>
      </c>
      <c r="EL271" s="235">
        <f>EM271</f>
        <v>0</v>
      </c>
      <c r="EM271" s="245">
        <f>CO271-AE271</f>
        <v>0</v>
      </c>
      <c r="EN271" s="235">
        <f>EO271</f>
        <v>0</v>
      </c>
      <c r="EO271" s="245">
        <f>CP271-AH271</f>
        <v>0</v>
      </c>
      <c r="EP271" s="235">
        <f>EQ271</f>
        <v>0</v>
      </c>
      <c r="EQ271" s="245">
        <f>CR271-AJ271</f>
        <v>0</v>
      </c>
      <c r="ER271" s="235">
        <f>ES271</f>
        <v>0</v>
      </c>
      <c r="ES271" s="245">
        <f>CS271-AO271</f>
        <v>0</v>
      </c>
      <c r="ET271" s="235">
        <f>EU271</f>
        <v>0</v>
      </c>
      <c r="EU271" s="187">
        <f t="shared" si="146"/>
        <v>0</v>
      </c>
      <c r="EV271" s="235">
        <f>EW271</f>
        <v>0</v>
      </c>
      <c r="EW271" s="245">
        <f>CU271-AS271</f>
        <v>0</v>
      </c>
      <c r="EX271" s="235">
        <f>EY271</f>
        <v>0</v>
      </c>
      <c r="EY271" s="245">
        <f>CV271-AU271</f>
        <v>0</v>
      </c>
      <c r="EZ271" s="235">
        <f>FA271</f>
        <v>0</v>
      </c>
      <c r="FA271" s="245">
        <f>CY271-AX271</f>
        <v>0</v>
      </c>
      <c r="FB271" s="235">
        <f>FC271</f>
        <v>0</v>
      </c>
      <c r="FC271" s="245">
        <f>CZ271-AY271</f>
        <v>0</v>
      </c>
      <c r="FD271" s="235">
        <f>FE271</f>
        <v>0</v>
      </c>
      <c r="FE271" s="245">
        <f>DA271-AZ271</f>
        <v>0</v>
      </c>
      <c r="FF271" s="235">
        <f>FG271</f>
        <v>0</v>
      </c>
      <c r="FG271" s="245">
        <f>DB271-BA271</f>
        <v>0</v>
      </c>
      <c r="FH271" s="235">
        <f>FI271</f>
        <v>0</v>
      </c>
      <c r="FI271" s="245">
        <f>DC271-BB271</f>
        <v>0</v>
      </c>
      <c r="FJ271" s="235">
        <f>FK271</f>
        <v>0</v>
      </c>
      <c r="FK271" s="245">
        <f>CX271-AW271</f>
        <v>0</v>
      </c>
      <c r="FL271" s="235">
        <f>FM271</f>
        <v>0.99999999997089617</v>
      </c>
      <c r="FM271" s="245">
        <f>DF271-BE271</f>
        <v>0.99999999997089617</v>
      </c>
      <c r="FN271" s="235">
        <f>FO271</f>
        <v>-21.124000000000024</v>
      </c>
      <c r="FO271" s="245">
        <f>DH271-BG271</f>
        <v>-21.124000000000024</v>
      </c>
      <c r="FP271" s="235">
        <f>FQ271</f>
        <v>235</v>
      </c>
      <c r="FQ271" s="245">
        <f>DJ271-BI271</f>
        <v>235</v>
      </c>
      <c r="FR271" s="245">
        <f>DK271-BJ271</f>
        <v>-735</v>
      </c>
      <c r="FS271" s="245">
        <f>DL271-BK271</f>
        <v>-12</v>
      </c>
      <c r="FT271" s="907">
        <f>DM271-BL271</f>
        <v>-102.4</v>
      </c>
      <c r="FU271" s="907">
        <f>DR271-BO271</f>
        <v>0</v>
      </c>
      <c r="FV271" s="907"/>
      <c r="FW271" s="907">
        <f>DQ271-BN271</f>
        <v>0</v>
      </c>
      <c r="FX271" s="907">
        <f>DS271-BP271</f>
        <v>0</v>
      </c>
      <c r="FY271" s="801">
        <f t="shared" si="145"/>
        <v>0</v>
      </c>
      <c r="FZ271" s="907">
        <f>DU271-BR271</f>
        <v>0</v>
      </c>
      <c r="GA271" s="930">
        <f>DV271-BS271</f>
        <v>0</v>
      </c>
      <c r="GB271" s="894">
        <f>GC271</f>
        <v>-102.4</v>
      </c>
      <c r="GC271" s="1055">
        <f t="shared" si="147"/>
        <v>-102.4</v>
      </c>
      <c r="GU271" s="228"/>
      <c r="GV271" s="228"/>
    </row>
    <row r="272" spans="1:204" ht="18.75">
      <c r="A272" s="1056"/>
      <c r="B272" s="2263"/>
      <c r="C272" s="1057"/>
      <c r="D272" s="132"/>
      <c r="E272" s="132"/>
      <c r="F272" s="132"/>
      <c r="G272" s="493"/>
      <c r="H272" s="132"/>
      <c r="I272" s="136"/>
      <c r="J272" s="132"/>
      <c r="K272" s="132"/>
      <c r="L272" s="218"/>
      <c r="M272" s="132"/>
      <c r="N272" s="134"/>
      <c r="O272" s="134"/>
      <c r="P272" s="134"/>
      <c r="Q272" s="134"/>
      <c r="R272" s="137"/>
      <c r="S272" s="139"/>
      <c r="U272" s="139"/>
      <c r="V272" s="139"/>
      <c r="W272" s="139"/>
      <c r="X272" s="139"/>
      <c r="Y272" s="139"/>
      <c r="Z272" s="139"/>
      <c r="AA272" s="139"/>
      <c r="AB272" s="139"/>
      <c r="AC272" s="139"/>
      <c r="AD272" s="234"/>
      <c r="AE272" s="111"/>
      <c r="AF272" s="139"/>
      <c r="AG272" s="139"/>
      <c r="AH272" s="139"/>
      <c r="AI272" s="234"/>
      <c r="AJ272" s="139"/>
      <c r="AK272" s="234"/>
      <c r="AL272" s="139"/>
      <c r="AM272" s="787"/>
      <c r="AN272" s="139"/>
      <c r="AO272" s="139"/>
      <c r="AP272" s="234"/>
      <c r="AQ272" s="228"/>
      <c r="AR272" s="234"/>
      <c r="AS272" s="228"/>
      <c r="AT272" s="234"/>
      <c r="AU272" s="228"/>
      <c r="AV272" s="234"/>
      <c r="AW272" s="74"/>
      <c r="AX272" s="139"/>
      <c r="AY272" s="139"/>
      <c r="AZ272" s="139"/>
      <c r="BA272" s="228"/>
      <c r="BB272" s="228"/>
      <c r="BC272" s="228"/>
      <c r="BD272" s="234"/>
      <c r="BE272" s="228"/>
      <c r="BF272" s="234"/>
      <c r="BG272" s="228"/>
      <c r="BH272" s="234"/>
      <c r="BI272" s="228"/>
      <c r="BJ272" s="111"/>
      <c r="BK272" s="928"/>
      <c r="BL272" s="228"/>
      <c r="BM272" s="228"/>
      <c r="BN272" s="228"/>
      <c r="BO272" s="228"/>
      <c r="BP272" s="228"/>
      <c r="BQ272" s="228"/>
      <c r="BR272" s="228"/>
      <c r="BS272" s="228"/>
      <c r="BT272" s="234"/>
      <c r="BU272" s="279"/>
      <c r="BV272" s="932"/>
      <c r="BW272" s="139"/>
      <c r="BX272" s="139"/>
      <c r="BY272" s="139"/>
      <c r="BZ272" s="139"/>
      <c r="CA272" s="781"/>
      <c r="CB272" s="2258"/>
      <c r="CC272" s="782"/>
      <c r="CD272" s="782"/>
      <c r="CE272" s="234"/>
      <c r="CF272" s="102"/>
      <c r="CG272" s="234"/>
      <c r="CH272" s="111"/>
      <c r="CI272" s="234"/>
      <c r="CJ272" s="111"/>
      <c r="CK272" s="234"/>
      <c r="CL272" s="102"/>
      <c r="CM272" s="234"/>
      <c r="CN272" s="111"/>
      <c r="CO272" s="111"/>
      <c r="CP272" s="111"/>
      <c r="CQ272" s="234"/>
      <c r="CR272" s="111"/>
      <c r="CS272" s="903"/>
      <c r="CT272" s="903"/>
      <c r="CU272" s="903"/>
      <c r="CV272" s="903"/>
      <c r="CW272" s="234"/>
      <c r="CX272" s="111"/>
      <c r="CY272" s="903"/>
      <c r="CZ272" s="903"/>
      <c r="DA272" s="784"/>
      <c r="DB272" s="903"/>
      <c r="DC272" s="903"/>
      <c r="DD272" s="903"/>
      <c r="DE272" s="234"/>
      <c r="DF272" s="111"/>
      <c r="DG272" s="234"/>
      <c r="DH272" s="111"/>
      <c r="DI272" s="886"/>
      <c r="DJ272" s="899"/>
      <c r="DK272" s="899"/>
      <c r="DL272" s="924"/>
      <c r="DM272" s="899"/>
      <c r="DN272" s="925"/>
      <c r="DO272" s="899"/>
      <c r="DP272" s="899"/>
      <c r="DQ272" s="905"/>
      <c r="DR272" s="899"/>
      <c r="DS272" s="899"/>
      <c r="DT272" s="899"/>
      <c r="DU272" s="899"/>
      <c r="DV272" s="899"/>
      <c r="DW272" s="886"/>
      <c r="DX272" s="906"/>
      <c r="DY272" s="2246"/>
      <c r="DZ272" s="1054"/>
      <c r="EA272" s="235"/>
      <c r="EB272" s="245"/>
      <c r="EC272" s="235"/>
      <c r="ED272" s="187"/>
      <c r="EE272" s="245"/>
      <c r="EF272" s="235"/>
      <c r="EG272" s="187"/>
      <c r="EH272" s="235"/>
      <c r="EI272" s="245"/>
      <c r="EJ272" s="235"/>
      <c r="EK272" s="245"/>
      <c r="EL272" s="235"/>
      <c r="EM272" s="245"/>
      <c r="EN272" s="235"/>
      <c r="EO272" s="245"/>
      <c r="EP272" s="235"/>
      <c r="EQ272" s="245"/>
      <c r="ER272" s="235"/>
      <c r="ES272" s="245"/>
      <c r="ET272" s="235"/>
      <c r="EU272" s="187"/>
      <c r="EV272" s="235"/>
      <c r="EW272" s="245"/>
      <c r="EX272" s="235"/>
      <c r="EY272" s="245"/>
      <c r="EZ272" s="235"/>
      <c r="FA272" s="245"/>
      <c r="FB272" s="235"/>
      <c r="FC272" s="245"/>
      <c r="FD272" s="235"/>
      <c r="FE272" s="245"/>
      <c r="FF272" s="235"/>
      <c r="FG272" s="245"/>
      <c r="FH272" s="235"/>
      <c r="FI272" s="245"/>
      <c r="FJ272" s="235"/>
      <c r="FK272" s="245"/>
      <c r="FL272" s="235"/>
      <c r="FM272" s="245"/>
      <c r="FN272" s="235"/>
      <c r="FO272" s="245"/>
      <c r="FP272" s="235"/>
      <c r="FQ272" s="245"/>
      <c r="FR272" s="245"/>
      <c r="FS272" s="245"/>
      <c r="FT272" s="907"/>
      <c r="FU272" s="907"/>
      <c r="FV272" s="907"/>
      <c r="FW272" s="907"/>
      <c r="FX272" s="907"/>
      <c r="FY272" s="801"/>
      <c r="FZ272" s="907"/>
      <c r="GA272" s="930"/>
      <c r="GB272" s="894"/>
      <c r="GC272" s="1055"/>
      <c r="GD272" s="139"/>
      <c r="GE272" s="139"/>
      <c r="GF272" s="139"/>
      <c r="GG272" s="139"/>
      <c r="GH272" s="139"/>
      <c r="GI272" s="139"/>
      <c r="GJ272" s="139"/>
      <c r="GK272" s="139"/>
      <c r="GL272" s="139"/>
      <c r="GM272" s="139"/>
      <c r="GN272" s="139"/>
      <c r="GO272" s="139"/>
      <c r="GP272" s="139"/>
      <c r="GQ272" s="139"/>
      <c r="GR272" s="139"/>
      <c r="GS272" s="139"/>
      <c r="GT272" s="139"/>
      <c r="GU272" s="139"/>
      <c r="GV272" s="139"/>
    </row>
    <row r="273" spans="1:202" ht="18.75">
      <c r="A273" s="1058">
        <v>105</v>
      </c>
      <c r="B273" s="1059">
        <v>105</v>
      </c>
      <c r="C273" s="440" t="s">
        <v>703</v>
      </c>
      <c r="D273" s="1060">
        <v>2861</v>
      </c>
      <c r="E273" s="1060">
        <v>129</v>
      </c>
      <c r="F273" s="1061">
        <v>2028610129</v>
      </c>
      <c r="G273" s="1062">
        <v>14475</v>
      </c>
      <c r="H273" s="440" t="s">
        <v>726</v>
      </c>
      <c r="I273" s="1063"/>
      <c r="J273" s="1064">
        <v>1.34</v>
      </c>
      <c r="K273" s="1064">
        <v>3.44</v>
      </c>
      <c r="L273" s="1064">
        <v>0</v>
      </c>
      <c r="M273" s="1064">
        <v>4.8</v>
      </c>
      <c r="N273" s="1065">
        <v>19366</v>
      </c>
      <c r="O273" s="1060">
        <v>0</v>
      </c>
      <c r="P273" s="1060">
        <v>0</v>
      </c>
      <c r="Q273" s="396">
        <v>19366</v>
      </c>
      <c r="R273" s="1066">
        <v>0</v>
      </c>
      <c r="S273" s="461" t="s">
        <v>911</v>
      </c>
      <c r="T273" s="462">
        <v>0</v>
      </c>
      <c r="U273" s="462">
        <v>0</v>
      </c>
      <c r="V273" s="91">
        <v>19366</v>
      </c>
      <c r="W273" s="91">
        <v>19366</v>
      </c>
      <c r="X273" s="1067">
        <f>Y273</f>
        <v>19366</v>
      </c>
      <c r="Y273" s="462">
        <f>V273-Z273</f>
        <v>19366</v>
      </c>
      <c r="Z273" s="462">
        <v>0</v>
      </c>
      <c r="AA273" s="462">
        <v>0</v>
      </c>
      <c r="AB273" s="462">
        <v>0</v>
      </c>
      <c r="AC273" s="462">
        <v>0</v>
      </c>
      <c r="AD273" s="234">
        <f>AE273</f>
        <v>0</v>
      </c>
      <c r="AE273" s="111">
        <f>AG273+AF273</f>
        <v>0</v>
      </c>
      <c r="AF273" s="228">
        <v>0</v>
      </c>
      <c r="AG273" s="228">
        <v>0</v>
      </c>
      <c r="AH273" s="228">
        <v>0</v>
      </c>
      <c r="AI273" s="234">
        <f>AJ273</f>
        <v>0</v>
      </c>
      <c r="AJ273" s="228">
        <v>0</v>
      </c>
      <c r="AK273" s="234">
        <f>AL273</f>
        <v>0</v>
      </c>
      <c r="AL273" s="228">
        <v>0</v>
      </c>
      <c r="AM273" s="905">
        <v>0</v>
      </c>
      <c r="AN273" s="228">
        <v>0</v>
      </c>
      <c r="AO273" s="228">
        <v>0</v>
      </c>
      <c r="AP273" s="234">
        <f t="shared" ref="AP273:AP283" si="155">AQ273</f>
        <v>0</v>
      </c>
      <c r="AQ273" s="228">
        <v>0</v>
      </c>
      <c r="AR273" s="234">
        <f t="shared" ref="AR273:AR283" si="156">AS273</f>
        <v>0</v>
      </c>
      <c r="AS273" s="228">
        <v>0</v>
      </c>
      <c r="AT273" s="234">
        <f t="shared" ref="AT273:AT283" si="157">AU273</f>
        <v>0</v>
      </c>
      <c r="AU273" s="228">
        <v>0</v>
      </c>
      <c r="AV273" s="234">
        <f t="shared" ref="AV273" si="158">AW273</f>
        <v>19366</v>
      </c>
      <c r="AW273" s="74">
        <f t="shared" si="148"/>
        <v>19366</v>
      </c>
      <c r="AX273" s="111">
        <v>0</v>
      </c>
      <c r="AY273" s="111">
        <v>0</v>
      </c>
      <c r="AZ273" s="399">
        <v>19366</v>
      </c>
      <c r="BA273" s="111">
        <v>0</v>
      </c>
      <c r="BB273" s="228">
        <v>0</v>
      </c>
      <c r="BC273" s="228">
        <v>0</v>
      </c>
      <c r="BD273" s="2247">
        <f t="shared" ref="BD273:BD283" si="159">BE273</f>
        <v>19366</v>
      </c>
      <c r="BE273" s="228">
        <f t="shared" ref="BE273:BE283" si="160">ROUND(U273+W273,0)</f>
        <v>19366</v>
      </c>
      <c r="BF273" s="234">
        <f t="shared" ref="BF273:BF283" si="161">BG273</f>
        <v>0</v>
      </c>
      <c r="BG273" s="111">
        <f>U273/1000</f>
        <v>0</v>
      </c>
      <c r="BH273" s="234">
        <f t="shared" ref="BH273:BH283" si="162">BI273</f>
        <v>0</v>
      </c>
      <c r="BI273" s="228">
        <v>0</v>
      </c>
      <c r="BJ273" s="111">
        <v>0</v>
      </c>
      <c r="BK273" s="928">
        <f t="shared" ref="BK273:BK275" si="163">ROUND((AL273+AC273+AA273)/1000*3,0)+ROUND((AE273+AU273)/1000,0)+ROUND((ROUND(AH273/400,0))/2.67,0)+ROUND(AJ273/250,0)+ROUND(AO273/15000,0)+ROUND((AX273+AY273+AZ273+BB273)/1000*3,0)+ROUND(BG273/25,0)+ROUND(BU273/50,0)</f>
        <v>58</v>
      </c>
      <c r="BL273" s="228">
        <f t="shared" ref="BL273:BL283" si="164">(BG273-BI273)*0.4</f>
        <v>0</v>
      </c>
      <c r="BM273" s="228">
        <v>0</v>
      </c>
      <c r="BN273" s="228">
        <v>0</v>
      </c>
      <c r="BO273" s="228">
        <f t="shared" ref="BO273:BO283" si="165">AC273/1000</f>
        <v>0</v>
      </c>
      <c r="BP273" s="228">
        <f t="shared" ref="BP273:BP283" si="166">((AH273/400)/12)</f>
        <v>0</v>
      </c>
      <c r="BQ273" s="228">
        <f>IFERROR(VLOOKUP(F273,#REF!,3,FALSE),0)</f>
        <v>0</v>
      </c>
      <c r="BR273" s="228">
        <v>0</v>
      </c>
      <c r="BS273" s="228">
        <f t="shared" ref="BS273:BS283" si="167">IF(BB273&gt;0,"Calculate",0)</f>
        <v>0</v>
      </c>
      <c r="BT273" s="234">
        <f t="shared" ref="BT273:BT283" si="168">BU273</f>
        <v>0</v>
      </c>
      <c r="BU273" s="279">
        <f t="shared" ref="BU273:BU283" si="169">SUM(BL273:BS273)</f>
        <v>0</v>
      </c>
      <c r="BV273" s="935">
        <v>35</v>
      </c>
      <c r="BW273" s="91" t="s">
        <v>774</v>
      </c>
      <c r="BX273" s="485">
        <v>5.6</v>
      </c>
      <c r="BY273" s="485">
        <v>2</v>
      </c>
      <c r="BZ273" s="485">
        <v>4.2</v>
      </c>
      <c r="CA273" s="91"/>
      <c r="CB273" s="486" t="s">
        <v>912</v>
      </c>
      <c r="CC273" s="1067">
        <f>CD273</f>
        <v>61694</v>
      </c>
      <c r="CD273" s="471">
        <f>(BX273*G273)-CF273</f>
        <v>61694</v>
      </c>
      <c r="CE273" s="234">
        <f t="shared" ref="CE273:CE283" si="170">CF273</f>
        <v>19366</v>
      </c>
      <c r="CF273" s="399">
        <v>19366</v>
      </c>
      <c r="CG273" s="234">
        <f t="shared" ref="CG273:CG283" si="171">CH273</f>
        <v>19366</v>
      </c>
      <c r="CH273" s="111">
        <f t="shared" ref="CH273:CH283" si="172">CF273-CJ273</f>
        <v>19366</v>
      </c>
      <c r="CI273" s="234">
        <f t="shared" ref="CI273:CI283" si="173">CJ273</f>
        <v>0</v>
      </c>
      <c r="CJ273" s="111">
        <v>0</v>
      </c>
      <c r="CK273" s="234">
        <f t="shared" ref="CK273:CK283" si="174">CL273</f>
        <v>0</v>
      </c>
      <c r="CL273" s="228">
        <v>0</v>
      </c>
      <c r="CM273" s="234">
        <f t="shared" ref="CM273:CM283" si="175">CN273</f>
        <v>0</v>
      </c>
      <c r="CN273" s="111">
        <v>0</v>
      </c>
      <c r="CO273" s="111">
        <v>0</v>
      </c>
      <c r="CP273" s="111">
        <v>0</v>
      </c>
      <c r="CQ273" s="234">
        <f t="shared" ref="CQ273:CQ283" si="176">CR273</f>
        <v>0</v>
      </c>
      <c r="CR273" s="111">
        <v>0</v>
      </c>
      <c r="CS273" s="903">
        <v>0</v>
      </c>
      <c r="CT273" s="903">
        <v>0</v>
      </c>
      <c r="CU273" s="903">
        <v>0</v>
      </c>
      <c r="CV273" s="903">
        <v>0</v>
      </c>
      <c r="CW273" s="234">
        <f t="shared" ref="CW273:CW283" si="177">CX273</f>
        <v>19366</v>
      </c>
      <c r="CX273" s="111">
        <f t="shared" si="152"/>
        <v>19366</v>
      </c>
      <c r="CY273" s="903">
        <v>0</v>
      </c>
      <c r="CZ273" s="903">
        <v>0</v>
      </c>
      <c r="DA273" s="1040">
        <f>AZ273</f>
        <v>19366</v>
      </c>
      <c r="DB273" s="903">
        <v>0</v>
      </c>
      <c r="DC273" s="903">
        <v>0</v>
      </c>
      <c r="DD273" s="903">
        <v>0</v>
      </c>
      <c r="DE273" s="234">
        <f t="shared" ref="DE273:DE283" si="178">DF273</f>
        <v>81060</v>
      </c>
      <c r="DF273" s="111">
        <f t="shared" ref="DF273:DF283" si="179">CC273+CF273</f>
        <v>81060</v>
      </c>
      <c r="DG273" s="234">
        <f t="shared" ref="DG273:DG283" si="180">DH273</f>
        <v>61.694000000000003</v>
      </c>
      <c r="DH273" s="111">
        <f t="shared" ref="DH273:DH283" si="181">CC273/1000</f>
        <v>61.694000000000003</v>
      </c>
      <c r="DI273" s="886">
        <f t="shared" si="154"/>
        <v>62</v>
      </c>
      <c r="DJ273" s="899">
        <v>62</v>
      </c>
      <c r="DK273" s="899"/>
      <c r="DL273" s="924"/>
      <c r="DM273" s="899"/>
      <c r="DN273" s="925"/>
      <c r="DO273" s="899"/>
      <c r="DP273" s="899"/>
      <c r="DQ273" s="905"/>
      <c r="DR273" s="899"/>
      <c r="DS273" s="899"/>
      <c r="DT273" s="899"/>
      <c r="DU273" s="899"/>
      <c r="DV273" s="899"/>
      <c r="DW273" s="886">
        <f t="shared" si="153"/>
        <v>23</v>
      </c>
      <c r="DX273" s="886">
        <v>23</v>
      </c>
      <c r="DY273" s="2287">
        <v>125</v>
      </c>
      <c r="DZ273" s="1054">
        <f t="shared" ref="DZ273:DZ283" si="182">CD273-T273</f>
        <v>61694</v>
      </c>
      <c r="EA273" s="235">
        <f t="shared" ref="EA273:EB283" si="183">CE273-V273</f>
        <v>0</v>
      </c>
      <c r="EB273" s="245">
        <f t="shared" si="183"/>
        <v>0</v>
      </c>
      <c r="EC273" s="235">
        <f t="shared" ref="EC273:EC283" si="184">ED273</f>
        <v>21277</v>
      </c>
      <c r="ED273" s="187">
        <v>21277</v>
      </c>
      <c r="EE273" s="245">
        <f t="shared" ref="EE273:EE283" si="185">(SUM(CJ273:CO273))-(SUM(AA273:AE273,AL273))</f>
        <v>0</v>
      </c>
      <c r="EF273" s="235">
        <f t="shared" ref="EF273:EF283" si="186">EG273</f>
        <v>21277</v>
      </c>
      <c r="EG273" s="187">
        <v>21277</v>
      </c>
      <c r="EH273" s="235">
        <f t="shared" ref="EH273:EH283" si="187">EI273</f>
        <v>0</v>
      </c>
      <c r="EI273" s="245">
        <f t="shared" ref="EI273:EI283" si="188">CL273-AC273</f>
        <v>0</v>
      </c>
      <c r="EJ273" s="235">
        <f t="shared" ref="EJ273:EJ283" si="189">EK273</f>
        <v>0</v>
      </c>
      <c r="EK273" s="245">
        <f t="shared" ref="EK273:EK283" si="190">CJ273-AA273</f>
        <v>0</v>
      </c>
      <c r="EL273" s="235">
        <f t="shared" ref="EL273:EL283" si="191">EM273</f>
        <v>0</v>
      </c>
      <c r="EM273" s="245">
        <f t="shared" ref="EM273:EM283" si="192">CO273-AE273</f>
        <v>0</v>
      </c>
      <c r="EN273" s="235">
        <f t="shared" ref="EN273:EN283" si="193">EO273</f>
        <v>0</v>
      </c>
      <c r="EO273" s="245">
        <f t="shared" ref="EO273:EO283" si="194">CP273-AH273</f>
        <v>0</v>
      </c>
      <c r="EP273" s="235">
        <f t="shared" ref="EP273:EP283" si="195">EQ273</f>
        <v>0</v>
      </c>
      <c r="EQ273" s="245">
        <f t="shared" ref="EQ273:EQ283" si="196">CR273-AJ273</f>
        <v>0</v>
      </c>
      <c r="ER273" s="235">
        <f t="shared" ref="ER273:ER283" si="197">ES273</f>
        <v>0</v>
      </c>
      <c r="ES273" s="245">
        <f t="shared" ref="ES273:ES283" si="198">CS273-AO273</f>
        <v>0</v>
      </c>
      <c r="ET273" s="235">
        <f t="shared" ref="ET273:ET283" si="199">EU273</f>
        <v>0</v>
      </c>
      <c r="EU273" s="187">
        <f t="shared" ref="EU273:EU283" si="200">CT273-AQ273</f>
        <v>0</v>
      </c>
      <c r="EV273" s="235">
        <f t="shared" ref="EV273:EV283" si="201">EW273</f>
        <v>0</v>
      </c>
      <c r="EW273" s="245">
        <f t="shared" ref="EW273:EW283" si="202">CU273-AS273</f>
        <v>0</v>
      </c>
      <c r="EX273" s="235">
        <f t="shared" ref="EX273:EX283" si="203">EY273</f>
        <v>0</v>
      </c>
      <c r="EY273" s="245">
        <f t="shared" ref="EY273:EY283" si="204">CV273-AU273</f>
        <v>0</v>
      </c>
      <c r="EZ273" s="235">
        <f t="shared" ref="EZ273:EZ283" si="205">FA273</f>
        <v>0</v>
      </c>
      <c r="FA273" s="245">
        <f t="shared" ref="FA273:FA283" si="206">CY273-AX273</f>
        <v>0</v>
      </c>
      <c r="FB273" s="235">
        <f t="shared" ref="FB273:FB283" si="207">FC273</f>
        <v>0</v>
      </c>
      <c r="FC273" s="245">
        <f t="shared" ref="FC273:FC283" si="208">CZ273-AY273</f>
        <v>0</v>
      </c>
      <c r="FD273" s="235">
        <f t="shared" ref="FD273:FD283" si="209">FE273</f>
        <v>0</v>
      </c>
      <c r="FE273" s="245">
        <f t="shared" ref="FE273:FE283" si="210">DA273-AZ273</f>
        <v>0</v>
      </c>
      <c r="FF273" s="235">
        <f t="shared" ref="FF273:FF283" si="211">FG273</f>
        <v>0</v>
      </c>
      <c r="FG273" s="245">
        <f t="shared" ref="FG273:FG283" si="212">DB273-BA273</f>
        <v>0</v>
      </c>
      <c r="FH273" s="235">
        <f t="shared" ref="FH273:FH283" si="213">FI273</f>
        <v>0</v>
      </c>
      <c r="FI273" s="245">
        <f t="shared" ref="FI273:FI283" si="214">DC273-BB273</f>
        <v>0</v>
      </c>
      <c r="FJ273" s="235">
        <f t="shared" ref="FJ273:FJ283" si="215">FK273</f>
        <v>0</v>
      </c>
      <c r="FK273" s="245">
        <f t="shared" ref="FK273:FK283" si="216">CX273-AW273</f>
        <v>0</v>
      </c>
      <c r="FL273" s="235">
        <f t="shared" ref="FL273:FL283" si="217">FM273</f>
        <v>61694</v>
      </c>
      <c r="FM273" s="245">
        <f t="shared" ref="FM273:FM283" si="218">DF273-BE273</f>
        <v>61694</v>
      </c>
      <c r="FN273" s="235">
        <f t="shared" ref="FN273:FN283" si="219">FO273</f>
        <v>61.694000000000003</v>
      </c>
      <c r="FO273" s="245">
        <f t="shared" ref="FO273:FO283" si="220">DH273-BG273</f>
        <v>61.694000000000003</v>
      </c>
      <c r="FP273" s="235">
        <f t="shared" ref="FP273:FP283" si="221">FQ273</f>
        <v>62</v>
      </c>
      <c r="FQ273" s="245">
        <f t="shared" ref="FQ273:FT283" si="222">DJ273-BI273</f>
        <v>62</v>
      </c>
      <c r="FR273" s="245">
        <f t="shared" si="222"/>
        <v>0</v>
      </c>
      <c r="FS273" s="245">
        <f t="shared" si="222"/>
        <v>-58</v>
      </c>
      <c r="FT273" s="907">
        <f t="shared" si="222"/>
        <v>0</v>
      </c>
      <c r="FU273" s="907">
        <f t="shared" ref="FU273:FU283" si="223">DR273-BO273</f>
        <v>0</v>
      </c>
      <c r="FV273" s="907"/>
      <c r="FW273" s="907">
        <f t="shared" ref="FW273:FW283" si="224">DQ273-BN273</f>
        <v>0</v>
      </c>
      <c r="FX273" s="907">
        <f t="shared" ref="FX273:GA283" si="225">DS273-BP273</f>
        <v>0</v>
      </c>
      <c r="FY273" s="801">
        <f t="shared" si="225"/>
        <v>0</v>
      </c>
      <c r="FZ273" s="907">
        <f t="shared" si="225"/>
        <v>0</v>
      </c>
      <c r="GA273" s="930">
        <f t="shared" si="225"/>
        <v>0</v>
      </c>
      <c r="GB273" s="894">
        <f t="shared" ref="GB273:GB283" si="226">GC273</f>
        <v>0</v>
      </c>
      <c r="GC273" s="1055">
        <f t="shared" ref="GC273:GC283" si="227">SUM(FT273:GA273)</f>
        <v>0</v>
      </c>
      <c r="GD273" s="139"/>
      <c r="GE273" s="139"/>
      <c r="GF273" s="139"/>
      <c r="GG273" s="139"/>
      <c r="GH273" s="139"/>
      <c r="GI273" s="139"/>
      <c r="GJ273" s="139"/>
      <c r="GK273" s="139"/>
      <c r="GL273" s="139"/>
      <c r="GM273" s="139"/>
      <c r="GN273" s="139"/>
      <c r="GO273" s="139"/>
      <c r="GP273" s="139"/>
      <c r="GQ273" s="139"/>
      <c r="GR273" s="139"/>
      <c r="GS273" s="139"/>
      <c r="GT273" s="139"/>
    </row>
    <row r="274" spans="1:202">
      <c r="B274" s="1068"/>
      <c r="C274" s="1069"/>
      <c r="D274" s="228"/>
      <c r="E274" s="228"/>
      <c r="F274" s="1070"/>
      <c r="G274" s="1071"/>
      <c r="H274" s="228"/>
      <c r="I274" s="923"/>
      <c r="J274" s="228"/>
      <c r="K274" s="228"/>
      <c r="L274" s="139"/>
      <c r="M274" s="139"/>
      <c r="N274" s="139"/>
      <c r="O274" s="139"/>
      <c r="P274" s="139"/>
      <c r="Q274" s="139"/>
      <c r="R274" s="932"/>
      <c r="S274" s="228"/>
      <c r="U274" s="139"/>
      <c r="V274" s="139"/>
      <c r="W274" s="139"/>
      <c r="X274" s="139"/>
      <c r="Y274" s="139"/>
      <c r="Z274" s="139"/>
      <c r="AA274" s="139"/>
      <c r="AB274" s="139"/>
      <c r="AC274" s="139"/>
      <c r="AD274" s="234"/>
      <c r="AE274" s="111"/>
      <c r="AF274" s="81"/>
      <c r="AG274" s="81"/>
      <c r="AH274" s="81"/>
      <c r="AI274" s="234"/>
      <c r="AJ274" s="81"/>
      <c r="AK274" s="234"/>
      <c r="AL274" s="81"/>
      <c r="AM274" s="799"/>
      <c r="AN274" s="81"/>
      <c r="AO274" s="81"/>
      <c r="AP274" s="234"/>
      <c r="AQ274" s="228"/>
      <c r="AR274" s="234"/>
      <c r="AS274" s="228"/>
      <c r="AT274" s="234"/>
      <c r="AU274" s="228"/>
      <c r="AV274" s="234"/>
      <c r="AW274" s="74"/>
      <c r="AX274" s="322"/>
      <c r="AY274" s="322"/>
      <c r="AZ274" s="322"/>
      <c r="BA274" s="228"/>
      <c r="BB274" s="228"/>
      <c r="BC274" s="228"/>
      <c r="BD274" s="234"/>
      <c r="BE274" s="228"/>
      <c r="BF274" s="234"/>
      <c r="BG274" s="111"/>
      <c r="BH274" s="234"/>
      <c r="BI274" s="228"/>
      <c r="BJ274" s="111"/>
      <c r="BK274" s="928"/>
      <c r="BL274" s="228"/>
      <c r="BM274" s="228"/>
      <c r="BN274" s="228"/>
      <c r="BO274" s="228"/>
      <c r="BP274" s="228"/>
      <c r="BQ274" s="228"/>
      <c r="BR274" s="228"/>
      <c r="BS274" s="228"/>
      <c r="BT274" s="234"/>
      <c r="BU274" s="279"/>
      <c r="BV274" s="929"/>
      <c r="BW274" s="139"/>
      <c r="BX274" s="139"/>
      <c r="BY274" s="139"/>
      <c r="BZ274" s="139"/>
      <c r="CA274" s="781"/>
      <c r="CB274" s="2258"/>
      <c r="CC274" s="1067"/>
      <c r="CD274" s="471"/>
      <c r="CE274" s="234"/>
      <c r="CF274" s="139"/>
      <c r="CG274" s="234"/>
      <c r="CH274" s="111"/>
      <c r="CI274" s="234"/>
      <c r="CJ274" s="111"/>
      <c r="CK274" s="234"/>
      <c r="CL274" s="81"/>
      <c r="CM274" s="234"/>
      <c r="CN274" s="111"/>
      <c r="CO274" s="111"/>
      <c r="CP274" s="111"/>
      <c r="CQ274" s="234"/>
      <c r="CR274" s="111"/>
      <c r="CS274" s="903"/>
      <c r="CT274" s="903"/>
      <c r="CU274" s="903"/>
      <c r="CV274" s="903"/>
      <c r="CW274" s="234"/>
      <c r="CX274" s="111"/>
      <c r="CY274" s="903"/>
      <c r="CZ274" s="903"/>
      <c r="DA274" s="1040"/>
      <c r="DB274" s="903"/>
      <c r="DC274" s="903"/>
      <c r="DD274" s="903"/>
      <c r="DE274" s="234"/>
      <c r="DF274" s="111"/>
      <c r="DG274" s="234"/>
      <c r="DH274" s="111"/>
      <c r="DI274" s="886"/>
      <c r="DJ274" s="899"/>
      <c r="DK274" s="899"/>
      <c r="DL274" s="924"/>
      <c r="DM274" s="899"/>
      <c r="DN274" s="925"/>
      <c r="DO274" s="899"/>
      <c r="DP274" s="899"/>
      <c r="DQ274" s="905"/>
      <c r="DR274" s="899"/>
      <c r="DS274" s="899"/>
      <c r="DT274" s="899"/>
      <c r="DU274" s="899"/>
      <c r="DV274" s="899"/>
      <c r="DW274" s="886"/>
      <c r="DX274" s="886"/>
      <c r="DY274" s="2287"/>
      <c r="DZ274" s="1054"/>
      <c r="EA274" s="235"/>
      <c r="EB274" s="245"/>
      <c r="EC274" s="235"/>
      <c r="ED274" s="187"/>
      <c r="EE274" s="245"/>
      <c r="EF274" s="235"/>
      <c r="EG274" s="187"/>
      <c r="EH274" s="235"/>
      <c r="EI274" s="245"/>
      <c r="EJ274" s="235"/>
      <c r="EK274" s="245"/>
      <c r="EL274" s="235"/>
      <c r="EM274" s="245"/>
      <c r="EN274" s="235"/>
      <c r="EO274" s="245"/>
      <c r="EP274" s="235"/>
      <c r="EQ274" s="245"/>
      <c r="ER274" s="235"/>
      <c r="ES274" s="245"/>
      <c r="ET274" s="235"/>
      <c r="EU274" s="187"/>
      <c r="EV274" s="235"/>
      <c r="EW274" s="245"/>
      <c r="EX274" s="235"/>
      <c r="EY274" s="245"/>
      <c r="EZ274" s="235"/>
      <c r="FA274" s="245"/>
      <c r="FB274" s="235"/>
      <c r="FC274" s="245"/>
      <c r="FD274" s="235"/>
      <c r="FE274" s="245"/>
      <c r="FF274" s="235"/>
      <c r="FG274" s="245"/>
      <c r="FH274" s="235"/>
      <c r="FI274" s="245"/>
      <c r="FJ274" s="235"/>
      <c r="FK274" s="245"/>
      <c r="FL274" s="235"/>
      <c r="FM274" s="245"/>
      <c r="FN274" s="235"/>
      <c r="FO274" s="245"/>
      <c r="FP274" s="235"/>
      <c r="FQ274" s="245"/>
      <c r="FR274" s="245"/>
      <c r="FS274" s="245"/>
      <c r="FT274" s="907"/>
      <c r="FU274" s="907"/>
      <c r="FV274" s="907"/>
      <c r="FW274" s="907"/>
      <c r="FX274" s="907"/>
      <c r="FY274" s="801"/>
      <c r="FZ274" s="907"/>
      <c r="GA274" s="930"/>
      <c r="GB274" s="894"/>
      <c r="GC274" s="1055"/>
      <c r="GD274" s="139"/>
      <c r="GE274" s="139"/>
      <c r="GF274" s="139"/>
      <c r="GG274" s="139"/>
      <c r="GH274" s="139"/>
      <c r="GI274" s="139"/>
      <c r="GJ274" s="139"/>
      <c r="GK274" s="139"/>
      <c r="GL274" s="139"/>
      <c r="GM274" s="139"/>
      <c r="GN274" s="139"/>
      <c r="GO274" s="139"/>
      <c r="GP274" s="139"/>
      <c r="GQ274" s="139"/>
      <c r="GR274" s="139"/>
      <c r="GS274" s="139"/>
      <c r="GT274" s="139"/>
    </row>
    <row r="275" spans="1:202" ht="18.75">
      <c r="A275" s="1072">
        <v>111</v>
      </c>
      <c r="B275" s="1073">
        <v>111</v>
      </c>
      <c r="C275" s="440" t="s">
        <v>703</v>
      </c>
      <c r="D275" s="538">
        <v>2865</v>
      </c>
      <c r="E275" s="538">
        <v>122</v>
      </c>
      <c r="F275" s="538">
        <v>2028650122</v>
      </c>
      <c r="G275" s="1074">
        <v>10000</v>
      </c>
      <c r="H275" s="538" t="s">
        <v>726</v>
      </c>
      <c r="I275" s="538"/>
      <c r="J275" s="541">
        <v>0</v>
      </c>
      <c r="K275" s="541">
        <v>3.44</v>
      </c>
      <c r="L275" s="1064">
        <v>0</v>
      </c>
      <c r="M275" s="1064">
        <v>4.8</v>
      </c>
      <c r="N275" s="442">
        <v>0</v>
      </c>
      <c r="O275" s="442">
        <v>0</v>
      </c>
      <c r="P275" s="442">
        <v>0</v>
      </c>
      <c r="Q275" s="442">
        <v>0</v>
      </c>
      <c r="R275" s="1075">
        <v>0</v>
      </c>
      <c r="S275" s="1076" t="s">
        <v>744</v>
      </c>
      <c r="T275" s="316">
        <f>U275</f>
        <v>34916</v>
      </c>
      <c r="U275" s="1077">
        <v>34916</v>
      </c>
      <c r="V275" s="482">
        <v>0</v>
      </c>
      <c r="W275" s="482">
        <v>0</v>
      </c>
      <c r="X275" s="482">
        <v>0</v>
      </c>
      <c r="Y275" s="482">
        <v>0</v>
      </c>
      <c r="Z275" s="482">
        <v>0</v>
      </c>
      <c r="AA275" s="482">
        <v>0</v>
      </c>
      <c r="AB275" s="482">
        <v>0</v>
      </c>
      <c r="AC275" s="482">
        <v>0</v>
      </c>
      <c r="AD275" s="234">
        <f>AE275</f>
        <v>0</v>
      </c>
      <c r="AE275" s="111">
        <f>AG275+AF275</f>
        <v>0</v>
      </c>
      <c r="AF275" s="81">
        <v>0</v>
      </c>
      <c r="AG275" s="81">
        <v>0</v>
      </c>
      <c r="AH275" s="81">
        <v>0</v>
      </c>
      <c r="AI275" s="234">
        <f>AJ275</f>
        <v>0</v>
      </c>
      <c r="AJ275" s="81">
        <v>0</v>
      </c>
      <c r="AK275" s="234">
        <f>AL275</f>
        <v>0</v>
      </c>
      <c r="AL275" s="81">
        <v>0</v>
      </c>
      <c r="AM275" s="799">
        <v>0</v>
      </c>
      <c r="AN275" s="81">
        <v>0</v>
      </c>
      <c r="AO275" s="81">
        <v>0</v>
      </c>
      <c r="AP275" s="234">
        <f t="shared" si="155"/>
        <v>0</v>
      </c>
      <c r="AQ275" s="1078">
        <v>0</v>
      </c>
      <c r="AR275" s="234">
        <f t="shared" si="156"/>
        <v>0</v>
      </c>
      <c r="AS275" s="228">
        <v>0</v>
      </c>
      <c r="AT275" s="234">
        <f t="shared" si="157"/>
        <v>0</v>
      </c>
      <c r="AU275" s="228">
        <v>0</v>
      </c>
      <c r="AV275" s="234">
        <f t="shared" ref="AV275:AV283" si="228">AW275</f>
        <v>0</v>
      </c>
      <c r="AW275" s="74">
        <v>0</v>
      </c>
      <c r="AX275" s="228">
        <v>0</v>
      </c>
      <c r="AY275" s="228">
        <v>0</v>
      </c>
      <c r="AZ275" s="228">
        <v>0</v>
      </c>
      <c r="BA275" s="228">
        <v>0</v>
      </c>
      <c r="BB275" s="228">
        <v>0</v>
      </c>
      <c r="BC275" s="228">
        <v>0</v>
      </c>
      <c r="BD275" s="234">
        <f t="shared" si="159"/>
        <v>34916</v>
      </c>
      <c r="BE275" s="228">
        <f t="shared" si="160"/>
        <v>34916</v>
      </c>
      <c r="BF275" s="234">
        <f t="shared" si="161"/>
        <v>59</v>
      </c>
      <c r="BG275" s="111">
        <v>59</v>
      </c>
      <c r="BH275" s="234">
        <f t="shared" si="162"/>
        <v>0</v>
      </c>
      <c r="BI275" s="228">
        <v>0</v>
      </c>
      <c r="BJ275" s="111">
        <f>ROUND(BG275*3.06,0)</f>
        <v>181</v>
      </c>
      <c r="BK275" s="928">
        <f t="shared" si="163"/>
        <v>2</v>
      </c>
      <c r="BL275" s="228">
        <v>0</v>
      </c>
      <c r="BM275" s="228">
        <v>0</v>
      </c>
      <c r="BN275" s="228">
        <v>0</v>
      </c>
      <c r="BO275" s="228">
        <f t="shared" si="165"/>
        <v>0</v>
      </c>
      <c r="BP275" s="228">
        <f t="shared" si="166"/>
        <v>0</v>
      </c>
      <c r="BQ275" s="228">
        <f>IFERROR(VLOOKUP(F275,#REF!,3,FALSE),0)</f>
        <v>0</v>
      </c>
      <c r="BR275" s="228">
        <v>0</v>
      </c>
      <c r="BS275" s="228">
        <f t="shared" si="167"/>
        <v>0</v>
      </c>
      <c r="BT275" s="234">
        <f t="shared" si="168"/>
        <v>0</v>
      </c>
      <c r="BU275" s="279">
        <f t="shared" si="169"/>
        <v>0</v>
      </c>
      <c r="BV275" s="932"/>
      <c r="BW275" s="476" t="s">
        <v>741</v>
      </c>
      <c r="BX275" s="459">
        <v>7.2</v>
      </c>
      <c r="BY275" s="459">
        <v>0</v>
      </c>
      <c r="BZ275" s="459">
        <v>6.5</v>
      </c>
      <c r="CA275" s="248"/>
      <c r="CB275" s="461" t="s">
        <v>744</v>
      </c>
      <c r="CC275" s="1067">
        <f t="shared" ref="CC275:CC283" si="229">CD275</f>
        <v>62000</v>
      </c>
      <c r="CD275" s="471">
        <f>(BX275*G275)-G275</f>
        <v>62000</v>
      </c>
      <c r="CE275" s="234">
        <f t="shared" si="170"/>
        <v>0</v>
      </c>
      <c r="CF275" s="228">
        <v>0</v>
      </c>
      <c r="CG275" s="234">
        <f t="shared" si="171"/>
        <v>0</v>
      </c>
      <c r="CH275" s="111">
        <f t="shared" si="172"/>
        <v>0</v>
      </c>
      <c r="CI275" s="234">
        <f t="shared" si="173"/>
        <v>0</v>
      </c>
      <c r="CJ275" s="111">
        <v>0</v>
      </c>
      <c r="CK275" s="234">
        <f t="shared" si="174"/>
        <v>0</v>
      </c>
      <c r="CL275" s="81">
        <v>0</v>
      </c>
      <c r="CM275" s="234">
        <f t="shared" si="175"/>
        <v>0</v>
      </c>
      <c r="CN275" s="111">
        <f t="shared" ref="CN275:CN281" si="230">CF275</f>
        <v>0</v>
      </c>
      <c r="CO275" s="111">
        <v>0</v>
      </c>
      <c r="CP275" s="111">
        <v>0</v>
      </c>
      <c r="CQ275" s="234">
        <f t="shared" si="176"/>
        <v>0</v>
      </c>
      <c r="CR275" s="111">
        <v>0</v>
      </c>
      <c r="CS275" s="903">
        <v>0</v>
      </c>
      <c r="CT275" s="903">
        <v>0</v>
      </c>
      <c r="CU275" s="903">
        <v>0</v>
      </c>
      <c r="CV275" s="903">
        <v>0</v>
      </c>
      <c r="CW275" s="234">
        <f t="shared" si="177"/>
        <v>0</v>
      </c>
      <c r="CX275" s="111">
        <f t="shared" si="152"/>
        <v>0</v>
      </c>
      <c r="CY275" s="903">
        <v>0</v>
      </c>
      <c r="CZ275" s="903">
        <v>0</v>
      </c>
      <c r="DA275" s="1040">
        <f t="shared" ref="DA275:DA283" si="231">AZ275</f>
        <v>0</v>
      </c>
      <c r="DB275" s="903">
        <v>0</v>
      </c>
      <c r="DC275" s="903">
        <v>0</v>
      </c>
      <c r="DD275" s="903">
        <v>0</v>
      </c>
      <c r="DE275" s="234">
        <f t="shared" si="178"/>
        <v>62000</v>
      </c>
      <c r="DF275" s="111">
        <f t="shared" si="179"/>
        <v>62000</v>
      </c>
      <c r="DG275" s="234">
        <f t="shared" si="180"/>
        <v>62</v>
      </c>
      <c r="DH275" s="111">
        <f t="shared" si="181"/>
        <v>62</v>
      </c>
      <c r="DI275" s="886">
        <f t="shared" si="154"/>
        <v>12.4</v>
      </c>
      <c r="DJ275" s="899">
        <f>0.2*DH275</f>
        <v>12.4</v>
      </c>
      <c r="DK275" s="899"/>
      <c r="DL275" s="924"/>
      <c r="DM275" s="899"/>
      <c r="DN275" s="925"/>
      <c r="DO275" s="899"/>
      <c r="DP275" s="899"/>
      <c r="DQ275" s="905"/>
      <c r="DR275" s="899"/>
      <c r="DS275" s="899"/>
      <c r="DT275" s="899"/>
      <c r="DU275" s="899"/>
      <c r="DV275" s="899"/>
      <c r="DW275" s="886">
        <f t="shared" si="153"/>
        <v>22</v>
      </c>
      <c r="DX275" s="886">
        <v>22</v>
      </c>
      <c r="DY275" s="981">
        <v>95</v>
      </c>
      <c r="DZ275" s="1054">
        <f t="shared" si="182"/>
        <v>27084</v>
      </c>
      <c r="EA275" s="235">
        <f t="shared" si="183"/>
        <v>0</v>
      </c>
      <c r="EB275" s="245">
        <f t="shared" si="183"/>
        <v>0</v>
      </c>
      <c r="EC275" s="235">
        <f t="shared" si="184"/>
        <v>21279</v>
      </c>
      <c r="ED275" s="187">
        <v>21279</v>
      </c>
      <c r="EE275" s="245">
        <f t="shared" si="185"/>
        <v>0</v>
      </c>
      <c r="EF275" s="235">
        <f t="shared" si="186"/>
        <v>21279</v>
      </c>
      <c r="EG275" s="187">
        <v>21279</v>
      </c>
      <c r="EH275" s="235">
        <f t="shared" si="187"/>
        <v>0</v>
      </c>
      <c r="EI275" s="245">
        <f t="shared" si="188"/>
        <v>0</v>
      </c>
      <c r="EJ275" s="235">
        <f t="shared" si="189"/>
        <v>0</v>
      </c>
      <c r="EK275" s="245">
        <f t="shared" si="190"/>
        <v>0</v>
      </c>
      <c r="EL275" s="235">
        <f t="shared" si="191"/>
        <v>0</v>
      </c>
      <c r="EM275" s="245">
        <f t="shared" si="192"/>
        <v>0</v>
      </c>
      <c r="EN275" s="235">
        <f t="shared" si="193"/>
        <v>0</v>
      </c>
      <c r="EO275" s="245">
        <f t="shared" si="194"/>
        <v>0</v>
      </c>
      <c r="EP275" s="235">
        <f t="shared" si="195"/>
        <v>0</v>
      </c>
      <c r="EQ275" s="245">
        <f t="shared" si="196"/>
        <v>0</v>
      </c>
      <c r="ER275" s="235">
        <f t="shared" si="197"/>
        <v>0</v>
      </c>
      <c r="ES275" s="245">
        <f t="shared" si="198"/>
        <v>0</v>
      </c>
      <c r="ET275" s="235">
        <f t="shared" si="199"/>
        <v>0</v>
      </c>
      <c r="EU275" s="187">
        <f t="shared" si="200"/>
        <v>0</v>
      </c>
      <c r="EV275" s="235">
        <f t="shared" si="201"/>
        <v>0</v>
      </c>
      <c r="EW275" s="245">
        <f t="shared" si="202"/>
        <v>0</v>
      </c>
      <c r="EX275" s="235">
        <f t="shared" si="203"/>
        <v>0</v>
      </c>
      <c r="EY275" s="245">
        <f t="shared" si="204"/>
        <v>0</v>
      </c>
      <c r="EZ275" s="235">
        <f t="shared" si="205"/>
        <v>0</v>
      </c>
      <c r="FA275" s="245">
        <f t="shared" si="206"/>
        <v>0</v>
      </c>
      <c r="FB275" s="235">
        <f t="shared" si="207"/>
        <v>0</v>
      </c>
      <c r="FC275" s="245">
        <f t="shared" si="208"/>
        <v>0</v>
      </c>
      <c r="FD275" s="235">
        <f t="shared" si="209"/>
        <v>0</v>
      </c>
      <c r="FE275" s="245">
        <f t="shared" si="210"/>
        <v>0</v>
      </c>
      <c r="FF275" s="235">
        <f t="shared" si="211"/>
        <v>0</v>
      </c>
      <c r="FG275" s="245">
        <f t="shared" si="212"/>
        <v>0</v>
      </c>
      <c r="FH275" s="235">
        <f t="shared" si="213"/>
        <v>0</v>
      </c>
      <c r="FI275" s="245">
        <f t="shared" si="214"/>
        <v>0</v>
      </c>
      <c r="FJ275" s="235">
        <f t="shared" si="215"/>
        <v>0</v>
      </c>
      <c r="FK275" s="245">
        <f t="shared" si="216"/>
        <v>0</v>
      </c>
      <c r="FL275" s="235">
        <f t="shared" si="217"/>
        <v>27084</v>
      </c>
      <c r="FM275" s="245">
        <f t="shared" si="218"/>
        <v>27084</v>
      </c>
      <c r="FN275" s="235">
        <f t="shared" si="219"/>
        <v>3</v>
      </c>
      <c r="FO275" s="245">
        <f t="shared" si="220"/>
        <v>3</v>
      </c>
      <c r="FP275" s="235">
        <f t="shared" si="221"/>
        <v>12.4</v>
      </c>
      <c r="FQ275" s="245">
        <f t="shared" si="222"/>
        <v>12.4</v>
      </c>
      <c r="FR275" s="245">
        <f t="shared" si="222"/>
        <v>-181</v>
      </c>
      <c r="FS275" s="245">
        <f t="shared" si="222"/>
        <v>-2</v>
      </c>
      <c r="FT275" s="907">
        <f t="shared" si="222"/>
        <v>0</v>
      </c>
      <c r="FU275" s="907">
        <f t="shared" si="223"/>
        <v>0</v>
      </c>
      <c r="FV275" s="907"/>
      <c r="FW275" s="907">
        <f t="shared" si="224"/>
        <v>0</v>
      </c>
      <c r="FX275" s="907">
        <f t="shared" si="225"/>
        <v>0</v>
      </c>
      <c r="FY275" s="801">
        <f t="shared" si="225"/>
        <v>0</v>
      </c>
      <c r="FZ275" s="907">
        <f t="shared" si="225"/>
        <v>0</v>
      </c>
      <c r="GA275" s="930">
        <f t="shared" si="225"/>
        <v>0</v>
      </c>
      <c r="GB275" s="894">
        <f t="shared" si="226"/>
        <v>0</v>
      </c>
      <c r="GC275" s="1055">
        <f t="shared" si="227"/>
        <v>0</v>
      </c>
      <c r="GD275" s="139"/>
      <c r="GE275" s="139"/>
      <c r="GF275" s="139"/>
      <c r="GG275" s="139"/>
      <c r="GH275" s="139"/>
      <c r="GI275" s="139"/>
      <c r="GJ275" s="139"/>
      <c r="GK275" s="139"/>
      <c r="GL275" s="139"/>
      <c r="GM275" s="139"/>
      <c r="GN275" s="139"/>
      <c r="GO275" s="139"/>
      <c r="GP275" s="139"/>
      <c r="GQ275" s="139"/>
      <c r="GR275" s="139"/>
      <c r="GS275" s="139"/>
      <c r="GT275" s="139"/>
    </row>
    <row r="276" spans="1:202">
      <c r="B276" s="1068"/>
      <c r="C276" s="1069"/>
      <c r="F276" s="921"/>
      <c r="G276" s="1079"/>
      <c r="H276" s="139"/>
      <c r="I276" s="627"/>
      <c r="J276" s="139"/>
      <c r="K276" s="139"/>
      <c r="L276" s="139"/>
      <c r="M276" s="139"/>
      <c r="N276" s="139"/>
      <c r="O276" s="139"/>
      <c r="P276" s="139"/>
      <c r="Q276" s="139"/>
      <c r="R276" s="932"/>
      <c r="S276" s="228"/>
      <c r="U276" s="228"/>
      <c r="V276" s="139"/>
      <c r="W276" s="139"/>
      <c r="X276" s="139"/>
      <c r="Y276" s="139"/>
      <c r="Z276" s="139"/>
      <c r="AA276" s="139"/>
      <c r="AB276" s="139"/>
      <c r="AC276" s="139"/>
      <c r="AD276" s="234"/>
      <c r="AE276" s="111"/>
      <c r="AF276" s="228"/>
      <c r="AG276" s="228"/>
      <c r="AH276" s="228"/>
      <c r="AI276" s="234"/>
      <c r="AJ276" s="228"/>
      <c r="AK276" s="234"/>
      <c r="AL276" s="228"/>
      <c r="AM276" s="905"/>
      <c r="AN276" s="228"/>
      <c r="AO276" s="139"/>
      <c r="AP276" s="234"/>
      <c r="AQ276" s="81"/>
      <c r="AR276" s="234"/>
      <c r="AS276" s="228"/>
      <c r="AT276" s="234"/>
      <c r="AU276" s="228"/>
      <c r="AV276" s="234"/>
      <c r="AW276" s="74"/>
      <c r="AX276" s="139"/>
      <c r="AY276" s="139"/>
      <c r="AZ276" s="139"/>
      <c r="BA276" s="228"/>
      <c r="BB276" s="228"/>
      <c r="BC276" s="228"/>
      <c r="BD276" s="234"/>
      <c r="BE276" s="228"/>
      <c r="BF276" s="234"/>
      <c r="BG276" s="111"/>
      <c r="BH276" s="234"/>
      <c r="BI276" s="228"/>
      <c r="BJ276" s="111"/>
      <c r="BK276" s="928"/>
      <c r="BL276" s="228"/>
      <c r="BM276" s="228"/>
      <c r="BN276" s="228"/>
      <c r="BO276" s="228"/>
      <c r="BP276" s="228"/>
      <c r="BQ276" s="228"/>
      <c r="BR276" s="228"/>
      <c r="BS276" s="228"/>
      <c r="BT276" s="234"/>
      <c r="BU276" s="279"/>
      <c r="BV276" s="929"/>
      <c r="BW276" s="139"/>
      <c r="BX276" s="139"/>
      <c r="BY276" s="139"/>
      <c r="BZ276" s="139"/>
      <c r="CA276" s="781"/>
      <c r="CB276" s="2258"/>
      <c r="CC276" s="1067"/>
      <c r="CD276" s="471"/>
      <c r="CE276" s="234"/>
      <c r="CF276" s="228"/>
      <c r="CG276" s="234"/>
      <c r="CH276" s="111"/>
      <c r="CI276" s="234"/>
      <c r="CJ276" s="111"/>
      <c r="CK276" s="234"/>
      <c r="CL276" s="139"/>
      <c r="CM276" s="234"/>
      <c r="CN276" s="111"/>
      <c r="CO276" s="111"/>
      <c r="CP276" s="111"/>
      <c r="CQ276" s="234"/>
      <c r="CR276" s="111"/>
      <c r="CS276" s="903"/>
      <c r="CT276" s="903"/>
      <c r="CU276" s="903"/>
      <c r="CV276" s="903"/>
      <c r="CW276" s="234"/>
      <c r="CX276" s="111"/>
      <c r="CY276" s="903"/>
      <c r="CZ276" s="903"/>
      <c r="DA276" s="1040"/>
      <c r="DB276" s="903"/>
      <c r="DC276" s="903"/>
      <c r="DD276" s="903"/>
      <c r="DE276" s="234"/>
      <c r="DF276" s="111"/>
      <c r="DG276" s="234"/>
      <c r="DH276" s="111"/>
      <c r="DI276" s="886"/>
      <c r="DJ276" s="899"/>
      <c r="DK276" s="899"/>
      <c r="DL276" s="924"/>
      <c r="DM276" s="899"/>
      <c r="DN276" s="925"/>
      <c r="DO276" s="899"/>
      <c r="DP276" s="899"/>
      <c r="DQ276" s="905"/>
      <c r="DR276" s="899"/>
      <c r="DS276" s="899"/>
      <c r="DT276" s="899"/>
      <c r="DU276" s="899"/>
      <c r="DV276" s="899"/>
      <c r="DW276" s="886"/>
      <c r="DX276" s="886"/>
      <c r="DY276" s="634"/>
      <c r="DZ276" s="1054"/>
      <c r="EA276" s="235"/>
      <c r="EB276" s="245"/>
      <c r="EC276" s="235"/>
      <c r="ED276" s="187"/>
      <c r="EE276" s="245"/>
      <c r="EF276" s="235"/>
      <c r="EG276" s="187"/>
      <c r="EH276" s="235"/>
      <c r="EI276" s="245"/>
      <c r="EJ276" s="235"/>
      <c r="EK276" s="245"/>
      <c r="EL276" s="235"/>
      <c r="EM276" s="245"/>
      <c r="EN276" s="235"/>
      <c r="EO276" s="245"/>
      <c r="EP276" s="235"/>
      <c r="EQ276" s="245"/>
      <c r="ER276" s="235"/>
      <c r="ES276" s="245"/>
      <c r="ET276" s="235"/>
      <c r="EU276" s="187"/>
      <c r="EV276" s="235"/>
      <c r="EW276" s="245"/>
      <c r="EX276" s="235"/>
      <c r="EY276" s="245"/>
      <c r="EZ276" s="235"/>
      <c r="FA276" s="245"/>
      <c r="FB276" s="235"/>
      <c r="FC276" s="245"/>
      <c r="FD276" s="235"/>
      <c r="FE276" s="245"/>
      <c r="FF276" s="235"/>
      <c r="FG276" s="245"/>
      <c r="FH276" s="235"/>
      <c r="FI276" s="245"/>
      <c r="FJ276" s="235"/>
      <c r="FK276" s="245"/>
      <c r="FL276" s="235"/>
      <c r="FM276" s="245"/>
      <c r="FN276" s="235"/>
      <c r="FO276" s="245"/>
      <c r="FP276" s="235"/>
      <c r="FQ276" s="245"/>
      <c r="FR276" s="245"/>
      <c r="FS276" s="245"/>
      <c r="FT276" s="907"/>
      <c r="FU276" s="907"/>
      <c r="FV276" s="907"/>
      <c r="FW276" s="907"/>
      <c r="FX276" s="907"/>
      <c r="FY276" s="801"/>
      <c r="FZ276" s="907"/>
      <c r="GA276" s="930"/>
      <c r="GB276" s="894"/>
      <c r="GC276" s="1055"/>
      <c r="GD276" s="139"/>
      <c r="GE276" s="139"/>
      <c r="GF276" s="139"/>
      <c r="GG276" s="139"/>
      <c r="GH276" s="139"/>
      <c r="GI276" s="139"/>
      <c r="GJ276" s="139"/>
      <c r="GK276" s="139"/>
      <c r="GL276" s="139"/>
      <c r="GM276" s="139"/>
      <c r="GN276" s="139"/>
      <c r="GO276" s="139"/>
      <c r="GP276" s="139"/>
      <c r="GQ276" s="139"/>
      <c r="GR276" s="139"/>
      <c r="GS276" s="139"/>
      <c r="GT276" s="139"/>
    </row>
    <row r="277" spans="1:202" ht="18.75">
      <c r="A277" s="1080">
        <v>118</v>
      </c>
      <c r="B277" s="1081">
        <v>118</v>
      </c>
      <c r="C277" s="440" t="s">
        <v>703</v>
      </c>
      <c r="D277" s="1060">
        <v>2864</v>
      </c>
      <c r="E277" s="1060">
        <v>25</v>
      </c>
      <c r="F277" s="1060">
        <v>2028640025</v>
      </c>
      <c r="G277" s="1062">
        <v>22818</v>
      </c>
      <c r="H277" s="440" t="s">
        <v>756</v>
      </c>
      <c r="I277" s="1063"/>
      <c r="J277" s="1064">
        <v>1.71</v>
      </c>
      <c r="K277" s="1064">
        <v>0</v>
      </c>
      <c r="L277" s="1064">
        <v>2</v>
      </c>
      <c r="M277" s="1064">
        <v>4.8</v>
      </c>
      <c r="N277" s="1082">
        <v>39118</v>
      </c>
      <c r="O277" s="1082">
        <v>0</v>
      </c>
      <c r="P277" s="1082">
        <v>0</v>
      </c>
      <c r="Q277" s="1082">
        <v>39118</v>
      </c>
      <c r="R277" s="1083">
        <v>0</v>
      </c>
      <c r="S277" s="461" t="s">
        <v>913</v>
      </c>
      <c r="T277" s="1067">
        <f>U277</f>
        <v>0</v>
      </c>
      <c r="U277" s="316">
        <v>0</v>
      </c>
      <c r="V277" s="1067">
        <f>W277</f>
        <v>39118</v>
      </c>
      <c r="W277" s="316">
        <f>N277</f>
        <v>39118</v>
      </c>
      <c r="X277" s="1067">
        <f>Y277</f>
        <v>39118</v>
      </c>
      <c r="Y277" s="316">
        <f>W277-AA277</f>
        <v>39118</v>
      </c>
      <c r="Z277" s="1067">
        <f>AA277</f>
        <v>0</v>
      </c>
      <c r="AA277" s="316">
        <v>0</v>
      </c>
      <c r="AB277" s="1067">
        <f>AC277</f>
        <v>0</v>
      </c>
      <c r="AC277" s="316">
        <v>0</v>
      </c>
      <c r="AD277" s="234">
        <f>AE277</f>
        <v>0</v>
      </c>
      <c r="AE277" s="111">
        <f>AG277+AF277</f>
        <v>0</v>
      </c>
      <c r="AF277" s="228">
        <v>0</v>
      </c>
      <c r="AG277" s="228">
        <v>0</v>
      </c>
      <c r="AH277" s="228">
        <v>0</v>
      </c>
      <c r="AI277" s="234">
        <f>AJ277</f>
        <v>0</v>
      </c>
      <c r="AJ277" s="228">
        <v>0</v>
      </c>
      <c r="AK277" s="234">
        <f>AL277</f>
        <v>39118</v>
      </c>
      <c r="AL277" s="316">
        <f>W277-(AN277+AE277+AC277+AA277+AS277+AQ277+AU277)</f>
        <v>39118</v>
      </c>
      <c r="AM277" s="799">
        <v>0</v>
      </c>
      <c r="AN277" s="81">
        <v>0</v>
      </c>
      <c r="AO277" s="228">
        <v>0</v>
      </c>
      <c r="AP277" s="234">
        <f t="shared" si="155"/>
        <v>0</v>
      </c>
      <c r="AQ277" s="81">
        <v>0</v>
      </c>
      <c r="AR277" s="234">
        <f t="shared" si="156"/>
        <v>0</v>
      </c>
      <c r="AS277" s="228">
        <v>0</v>
      </c>
      <c r="AT277" s="234">
        <f t="shared" si="157"/>
        <v>0</v>
      </c>
      <c r="AU277" s="228">
        <v>0</v>
      </c>
      <c r="AV277" s="234">
        <f t="shared" si="228"/>
        <v>39118</v>
      </c>
      <c r="AW277" s="74">
        <f>AX279+AY279+AZ279+BA279+BB279+BC277</f>
        <v>39118</v>
      </c>
      <c r="AX277" s="228">
        <v>0</v>
      </c>
      <c r="AY277" s="228">
        <v>0</v>
      </c>
      <c r="AZ277" s="228">
        <v>0</v>
      </c>
      <c r="BA277" s="228">
        <v>0</v>
      </c>
      <c r="BB277" s="228">
        <v>0</v>
      </c>
      <c r="BC277" s="316">
        <v>39118</v>
      </c>
      <c r="BD277" s="2247">
        <f t="shared" si="159"/>
        <v>39118</v>
      </c>
      <c r="BE277" s="228">
        <f t="shared" si="160"/>
        <v>39118</v>
      </c>
      <c r="BF277" s="234">
        <f t="shared" si="161"/>
        <v>0</v>
      </c>
      <c r="BG277" s="111">
        <f t="shared" ref="BG277:BG283" si="232">U277/1000</f>
        <v>0</v>
      </c>
      <c r="BH277" s="234">
        <f t="shared" si="162"/>
        <v>0</v>
      </c>
      <c r="BI277" s="228">
        <v>0</v>
      </c>
      <c r="BJ277" s="111">
        <f t="shared" si="149"/>
        <v>0</v>
      </c>
      <c r="BK277" s="928">
        <f>ROUND((AL277+AC277+AA277)/1000*3,0)+ROUND((AE277+AU277)/1000,0)+ROUND((ROUND(AH277/400,0))/2.67,0)+ROUND(AJ277/250,0)+ROUND(AO277/15000,0)+ROUND((AX277+AY277+AZ277+BB277+BC277)/1000*3,0)+ROUND(BG277/25,0)+ROUND(BU277/50,0)</f>
        <v>234</v>
      </c>
      <c r="BL277" s="228">
        <f t="shared" si="164"/>
        <v>0</v>
      </c>
      <c r="BM277" s="228">
        <v>0</v>
      </c>
      <c r="BN277" s="228">
        <v>0</v>
      </c>
      <c r="BO277" s="228">
        <f t="shared" si="165"/>
        <v>0</v>
      </c>
      <c r="BP277" s="228">
        <f t="shared" si="166"/>
        <v>0</v>
      </c>
      <c r="BQ277" s="228">
        <f>IFERROR(VLOOKUP(F277,#REF!,3,FALSE),0)</f>
        <v>0</v>
      </c>
      <c r="BR277" s="228">
        <v>0</v>
      </c>
      <c r="BS277" s="228">
        <f t="shared" si="167"/>
        <v>0</v>
      </c>
      <c r="BT277" s="234">
        <f t="shared" si="168"/>
        <v>0</v>
      </c>
      <c r="BU277" s="279">
        <f t="shared" si="169"/>
        <v>0</v>
      </c>
      <c r="BV277" s="932">
        <v>25</v>
      </c>
      <c r="BW277" s="476" t="s">
        <v>741</v>
      </c>
      <c r="BX277" s="459">
        <v>7.2</v>
      </c>
      <c r="BY277" s="1084">
        <v>0</v>
      </c>
      <c r="BZ277" s="459">
        <v>6.5</v>
      </c>
      <c r="CA277" s="1085"/>
      <c r="CB277" s="486" t="s">
        <v>914</v>
      </c>
      <c r="CC277" s="1067">
        <f t="shared" si="229"/>
        <v>164289.60000000001</v>
      </c>
      <c r="CD277" s="471">
        <f t="shared" ref="CD277:CD283" si="233">(BX277*G277)-CF277</f>
        <v>164289.60000000001</v>
      </c>
      <c r="CE277" s="234">
        <f t="shared" si="170"/>
        <v>0</v>
      </c>
      <c r="CF277" s="228">
        <v>0</v>
      </c>
      <c r="CG277" s="234">
        <f t="shared" si="171"/>
        <v>0</v>
      </c>
      <c r="CH277" s="111">
        <f t="shared" si="172"/>
        <v>0</v>
      </c>
      <c r="CI277" s="234">
        <f t="shared" si="173"/>
        <v>0</v>
      </c>
      <c r="CJ277" s="111">
        <v>0</v>
      </c>
      <c r="CK277" s="234">
        <f t="shared" si="174"/>
        <v>0</v>
      </c>
      <c r="CL277" s="228">
        <v>0</v>
      </c>
      <c r="CM277" s="234">
        <f t="shared" si="175"/>
        <v>0</v>
      </c>
      <c r="CN277" s="111">
        <f t="shared" si="230"/>
        <v>0</v>
      </c>
      <c r="CO277" s="111">
        <v>0</v>
      </c>
      <c r="CP277" s="111">
        <v>0</v>
      </c>
      <c r="CQ277" s="234">
        <f t="shared" si="176"/>
        <v>0</v>
      </c>
      <c r="CR277" s="111">
        <v>0</v>
      </c>
      <c r="CS277" s="903">
        <v>0</v>
      </c>
      <c r="CT277" s="903">
        <v>0</v>
      </c>
      <c r="CU277" s="903">
        <v>0</v>
      </c>
      <c r="CV277" s="903">
        <v>0</v>
      </c>
      <c r="CW277" s="234">
        <f t="shared" si="177"/>
        <v>39118</v>
      </c>
      <c r="CX277" s="111">
        <f t="shared" si="152"/>
        <v>39118</v>
      </c>
      <c r="CY277" s="903">
        <v>0</v>
      </c>
      <c r="CZ277" s="903">
        <v>0</v>
      </c>
      <c r="DA277" s="1040">
        <f t="shared" si="231"/>
        <v>0</v>
      </c>
      <c r="DB277" s="903">
        <v>0</v>
      </c>
      <c r="DC277" s="903">
        <v>0</v>
      </c>
      <c r="DD277" s="1040">
        <v>39118</v>
      </c>
      <c r="DE277" s="234">
        <f t="shared" si="178"/>
        <v>164289.60000000001</v>
      </c>
      <c r="DF277" s="111">
        <f t="shared" si="179"/>
        <v>164289.60000000001</v>
      </c>
      <c r="DG277" s="234">
        <f t="shared" si="180"/>
        <v>164.28960000000001</v>
      </c>
      <c r="DH277" s="111">
        <f t="shared" si="181"/>
        <v>164.28960000000001</v>
      </c>
      <c r="DI277" s="886">
        <f t="shared" si="154"/>
        <v>32.85792</v>
      </c>
      <c r="DJ277" s="899">
        <f t="shared" ref="DJ277" si="234">0.2*DH277</f>
        <v>32.85792</v>
      </c>
      <c r="DK277" s="899"/>
      <c r="DL277" s="924"/>
      <c r="DM277" s="899"/>
      <c r="DN277" s="925"/>
      <c r="DO277" s="899"/>
      <c r="DP277" s="899"/>
      <c r="DQ277" s="905"/>
      <c r="DR277" s="899"/>
      <c r="DS277" s="899"/>
      <c r="DT277" s="899"/>
      <c r="DU277" s="899"/>
      <c r="DV277" s="899"/>
      <c r="DW277" s="886">
        <f t="shared" si="153"/>
        <v>92</v>
      </c>
      <c r="DX277" s="886">
        <v>92</v>
      </c>
      <c r="DY277" s="2287">
        <v>95</v>
      </c>
      <c r="DZ277" s="1054">
        <f t="shared" si="182"/>
        <v>164289.60000000001</v>
      </c>
      <c r="EA277" s="235">
        <f t="shared" si="183"/>
        <v>-39118</v>
      </c>
      <c r="EB277" s="245">
        <f t="shared" si="183"/>
        <v>-39118</v>
      </c>
      <c r="EC277" s="235">
        <f t="shared" si="184"/>
        <v>21281</v>
      </c>
      <c r="ED277" s="187">
        <v>21281</v>
      </c>
      <c r="EE277" s="245">
        <f t="shared" si="185"/>
        <v>-39118</v>
      </c>
      <c r="EF277" s="235">
        <f t="shared" si="186"/>
        <v>21281</v>
      </c>
      <c r="EG277" s="187">
        <v>21281</v>
      </c>
      <c r="EH277" s="235">
        <f t="shared" si="187"/>
        <v>0</v>
      </c>
      <c r="EI277" s="245">
        <f t="shared" si="188"/>
        <v>0</v>
      </c>
      <c r="EJ277" s="235">
        <f t="shared" si="189"/>
        <v>0</v>
      </c>
      <c r="EK277" s="245">
        <f t="shared" si="190"/>
        <v>0</v>
      </c>
      <c r="EL277" s="235">
        <f t="shared" si="191"/>
        <v>0</v>
      </c>
      <c r="EM277" s="245">
        <f t="shared" si="192"/>
        <v>0</v>
      </c>
      <c r="EN277" s="235">
        <f t="shared" si="193"/>
        <v>0</v>
      </c>
      <c r="EO277" s="245">
        <f t="shared" si="194"/>
        <v>0</v>
      </c>
      <c r="EP277" s="235">
        <f t="shared" si="195"/>
        <v>0</v>
      </c>
      <c r="EQ277" s="245">
        <f t="shared" si="196"/>
        <v>0</v>
      </c>
      <c r="ER277" s="235">
        <f t="shared" si="197"/>
        <v>0</v>
      </c>
      <c r="ES277" s="245">
        <f t="shared" si="198"/>
        <v>0</v>
      </c>
      <c r="ET277" s="235">
        <f t="shared" si="199"/>
        <v>0</v>
      </c>
      <c r="EU277" s="187">
        <f t="shared" si="200"/>
        <v>0</v>
      </c>
      <c r="EV277" s="235">
        <f t="shared" si="201"/>
        <v>0</v>
      </c>
      <c r="EW277" s="245">
        <f t="shared" si="202"/>
        <v>0</v>
      </c>
      <c r="EX277" s="235">
        <f t="shared" si="203"/>
        <v>0</v>
      </c>
      <c r="EY277" s="245">
        <f t="shared" si="204"/>
        <v>0</v>
      </c>
      <c r="EZ277" s="235">
        <f t="shared" si="205"/>
        <v>0</v>
      </c>
      <c r="FA277" s="245">
        <f t="shared" si="206"/>
        <v>0</v>
      </c>
      <c r="FB277" s="235">
        <f t="shared" si="207"/>
        <v>0</v>
      </c>
      <c r="FC277" s="245">
        <f t="shared" si="208"/>
        <v>0</v>
      </c>
      <c r="FD277" s="235">
        <f t="shared" si="209"/>
        <v>0</v>
      </c>
      <c r="FE277" s="245">
        <f t="shared" si="210"/>
        <v>0</v>
      </c>
      <c r="FF277" s="235">
        <f t="shared" si="211"/>
        <v>0</v>
      </c>
      <c r="FG277" s="245">
        <f t="shared" si="212"/>
        <v>0</v>
      </c>
      <c r="FH277" s="235">
        <f t="shared" si="213"/>
        <v>0</v>
      </c>
      <c r="FI277" s="245">
        <f t="shared" si="214"/>
        <v>0</v>
      </c>
      <c r="FJ277" s="235">
        <f t="shared" si="215"/>
        <v>0</v>
      </c>
      <c r="FK277" s="245">
        <f t="shared" si="216"/>
        <v>0</v>
      </c>
      <c r="FL277" s="235">
        <f t="shared" si="217"/>
        <v>125171.6</v>
      </c>
      <c r="FM277" s="245">
        <f t="shared" si="218"/>
        <v>125171.6</v>
      </c>
      <c r="FN277" s="235">
        <f t="shared" si="219"/>
        <v>164.28960000000001</v>
      </c>
      <c r="FO277" s="245">
        <f t="shared" si="220"/>
        <v>164.28960000000001</v>
      </c>
      <c r="FP277" s="235">
        <f t="shared" si="221"/>
        <v>32.85792</v>
      </c>
      <c r="FQ277" s="245">
        <f t="shared" si="222"/>
        <v>32.85792</v>
      </c>
      <c r="FR277" s="245">
        <f t="shared" si="222"/>
        <v>0</v>
      </c>
      <c r="FS277" s="245">
        <f t="shared" si="222"/>
        <v>-234</v>
      </c>
      <c r="FT277" s="907">
        <f t="shared" si="222"/>
        <v>0</v>
      </c>
      <c r="FU277" s="907">
        <f t="shared" si="223"/>
        <v>0</v>
      </c>
      <c r="FV277" s="907"/>
      <c r="FW277" s="907">
        <f t="shared" si="224"/>
        <v>0</v>
      </c>
      <c r="FX277" s="907">
        <f t="shared" si="225"/>
        <v>0</v>
      </c>
      <c r="FY277" s="801">
        <f t="shared" si="225"/>
        <v>0</v>
      </c>
      <c r="FZ277" s="907">
        <f t="shared" si="225"/>
        <v>0</v>
      </c>
      <c r="GA277" s="930">
        <f t="shared" si="225"/>
        <v>0</v>
      </c>
      <c r="GB277" s="894">
        <f t="shared" si="226"/>
        <v>0</v>
      </c>
      <c r="GC277" s="1055">
        <f t="shared" si="227"/>
        <v>0</v>
      </c>
      <c r="GD277" s="139"/>
      <c r="GE277" s="139"/>
      <c r="GF277" s="139"/>
      <c r="GG277" s="139"/>
      <c r="GH277" s="139"/>
      <c r="GI277" s="139"/>
      <c r="GJ277" s="139"/>
      <c r="GK277" s="139"/>
      <c r="GL277" s="139"/>
      <c r="GM277" s="139"/>
      <c r="GN277" s="139"/>
      <c r="GO277" s="139"/>
      <c r="GP277" s="139"/>
      <c r="GQ277" s="139"/>
      <c r="GR277" s="139"/>
      <c r="GS277" s="139"/>
      <c r="GT277" s="139"/>
    </row>
    <row r="278" spans="1:202">
      <c r="B278" s="1068"/>
      <c r="C278" s="1069"/>
      <c r="F278" s="921"/>
      <c r="G278" s="1079"/>
      <c r="H278" s="139"/>
      <c r="I278" s="627"/>
      <c r="J278" s="139"/>
      <c r="K278" s="139"/>
      <c r="L278" s="139"/>
      <c r="M278" s="139"/>
      <c r="N278" s="139"/>
      <c r="O278" s="139"/>
      <c r="P278" s="139"/>
      <c r="Q278" s="139"/>
      <c r="R278" s="932"/>
      <c r="S278" s="228"/>
      <c r="U278" s="139"/>
      <c r="V278" s="139"/>
      <c r="W278" s="139"/>
      <c r="X278" s="139"/>
      <c r="Y278" s="139"/>
      <c r="Z278" s="1067"/>
      <c r="AA278" s="316"/>
      <c r="AB278" s="1067"/>
      <c r="AC278" s="316"/>
      <c r="AD278" s="234"/>
      <c r="AE278" s="111"/>
      <c r="AF278" s="228"/>
      <c r="AG278" s="228"/>
      <c r="AH278" s="228"/>
      <c r="AI278" s="234"/>
      <c r="AJ278" s="228"/>
      <c r="AK278" s="234"/>
      <c r="AL278" s="316"/>
      <c r="AM278" s="905"/>
      <c r="AN278" s="228"/>
      <c r="AO278" s="228"/>
      <c r="AP278" s="234"/>
      <c r="AQ278" s="81"/>
      <c r="AR278" s="234"/>
      <c r="AS278" s="228"/>
      <c r="AT278" s="234"/>
      <c r="AU278" s="228"/>
      <c r="AV278" s="234"/>
      <c r="AW278" s="74"/>
      <c r="AX278" s="139"/>
      <c r="AY278" s="139"/>
      <c r="AZ278" s="139"/>
      <c r="BA278" s="139"/>
      <c r="BB278" s="139"/>
      <c r="BC278" s="139"/>
      <c r="BD278" s="234"/>
      <c r="BE278" s="228"/>
      <c r="BF278" s="234"/>
      <c r="BG278" s="111"/>
      <c r="BH278" s="234"/>
      <c r="BI278" s="228"/>
      <c r="BJ278" s="111"/>
      <c r="BK278" s="928"/>
      <c r="BL278" s="228"/>
      <c r="BM278" s="228"/>
      <c r="BN278" s="228"/>
      <c r="BO278" s="228"/>
      <c r="BP278" s="228"/>
      <c r="BQ278" s="228"/>
      <c r="BR278" s="228"/>
      <c r="BS278" s="228"/>
      <c r="BT278" s="234"/>
      <c r="BU278" s="279"/>
      <c r="BV278" s="935"/>
      <c r="BW278" s="139"/>
      <c r="BX278" s="139"/>
      <c r="BY278" s="139"/>
      <c r="BZ278" s="139"/>
      <c r="CA278" s="781"/>
      <c r="CB278" s="2258"/>
      <c r="CC278" s="1067"/>
      <c r="CD278" s="471"/>
      <c r="CE278" s="234"/>
      <c r="CF278" s="228"/>
      <c r="CG278" s="234"/>
      <c r="CH278" s="111"/>
      <c r="CI278" s="234"/>
      <c r="CJ278" s="111"/>
      <c r="CK278" s="234"/>
      <c r="CL278" s="81"/>
      <c r="CM278" s="234"/>
      <c r="CN278" s="111"/>
      <c r="CO278" s="111"/>
      <c r="CP278" s="111"/>
      <c r="CQ278" s="234"/>
      <c r="CR278" s="111"/>
      <c r="CS278" s="903"/>
      <c r="CT278" s="903"/>
      <c r="CU278" s="903"/>
      <c r="CV278" s="903"/>
      <c r="CW278" s="234"/>
      <c r="CX278" s="111"/>
      <c r="CY278" s="903"/>
      <c r="CZ278" s="903"/>
      <c r="DA278" s="1040"/>
      <c r="DB278" s="903"/>
      <c r="DC278" s="903"/>
      <c r="DD278" s="1040"/>
      <c r="DE278" s="234"/>
      <c r="DF278" s="111"/>
      <c r="DG278" s="234"/>
      <c r="DH278" s="111"/>
      <c r="DI278" s="886"/>
      <c r="DJ278" s="899"/>
      <c r="DK278" s="899"/>
      <c r="DL278" s="924"/>
      <c r="DM278" s="899"/>
      <c r="DN278" s="925"/>
      <c r="DO278" s="899"/>
      <c r="DP278" s="899"/>
      <c r="DQ278" s="905"/>
      <c r="DR278" s="899"/>
      <c r="DS278" s="899"/>
      <c r="DT278" s="899"/>
      <c r="DU278" s="899"/>
      <c r="DV278" s="899"/>
      <c r="DW278" s="886"/>
      <c r="DX278" s="886"/>
      <c r="DY278" s="2287"/>
      <c r="DZ278" s="1054"/>
      <c r="EA278" s="235"/>
      <c r="EB278" s="245"/>
      <c r="EC278" s="235"/>
      <c r="ED278" s="187"/>
      <c r="EE278" s="245"/>
      <c r="EF278" s="235"/>
      <c r="EG278" s="187"/>
      <c r="EH278" s="235"/>
      <c r="EI278" s="245"/>
      <c r="EJ278" s="235"/>
      <c r="EK278" s="245"/>
      <c r="EL278" s="235"/>
      <c r="EM278" s="245"/>
      <c r="EN278" s="235"/>
      <c r="EO278" s="245"/>
      <c r="EP278" s="235"/>
      <c r="EQ278" s="245"/>
      <c r="ER278" s="235"/>
      <c r="ES278" s="245"/>
      <c r="ET278" s="235"/>
      <c r="EU278" s="187"/>
      <c r="EV278" s="235"/>
      <c r="EW278" s="245"/>
      <c r="EX278" s="235"/>
      <c r="EY278" s="245"/>
      <c r="EZ278" s="235"/>
      <c r="FA278" s="245"/>
      <c r="FB278" s="235"/>
      <c r="FC278" s="245"/>
      <c r="FD278" s="235"/>
      <c r="FE278" s="245"/>
      <c r="FF278" s="235"/>
      <c r="FG278" s="245"/>
      <c r="FH278" s="235"/>
      <c r="FI278" s="245"/>
      <c r="FJ278" s="235"/>
      <c r="FK278" s="245"/>
      <c r="FL278" s="235"/>
      <c r="FM278" s="245"/>
      <c r="FN278" s="235"/>
      <c r="FO278" s="245"/>
      <c r="FP278" s="235"/>
      <c r="FQ278" s="245"/>
      <c r="FR278" s="245"/>
      <c r="FS278" s="245"/>
      <c r="FT278" s="907"/>
      <c r="FU278" s="907"/>
      <c r="FV278" s="907"/>
      <c r="FW278" s="907"/>
      <c r="FX278" s="907"/>
      <c r="FY278" s="801"/>
      <c r="FZ278" s="907"/>
      <c r="GA278" s="930"/>
      <c r="GB278" s="894"/>
      <c r="GC278" s="1055"/>
      <c r="GD278" s="139"/>
      <c r="GE278" s="139"/>
      <c r="GF278" s="139"/>
      <c r="GG278" s="139"/>
      <c r="GH278" s="139"/>
      <c r="GI278" s="139"/>
      <c r="GJ278" s="139"/>
      <c r="GK278" s="139"/>
      <c r="GL278" s="139"/>
      <c r="GM278" s="139"/>
      <c r="GN278" s="139"/>
      <c r="GO278" s="139"/>
      <c r="GP278" s="139"/>
      <c r="GQ278" s="139"/>
      <c r="GR278" s="139"/>
      <c r="GS278" s="139"/>
      <c r="GT278" s="139"/>
    </row>
    <row r="279" spans="1:202" ht="18.75">
      <c r="A279" s="1058">
        <v>119</v>
      </c>
      <c r="B279" s="1073">
        <v>119</v>
      </c>
      <c r="C279" s="440" t="s">
        <v>703</v>
      </c>
      <c r="D279" s="1063">
        <v>2864</v>
      </c>
      <c r="E279" s="1063">
        <v>21</v>
      </c>
      <c r="F279" s="1063">
        <v>2028640021</v>
      </c>
      <c r="G279" s="1086">
        <v>12696</v>
      </c>
      <c r="H279" s="1087" t="s">
        <v>756</v>
      </c>
      <c r="I279" s="1063"/>
      <c r="J279" s="1064">
        <v>0</v>
      </c>
      <c r="K279" s="1088">
        <v>0</v>
      </c>
      <c r="L279" s="1089">
        <v>2</v>
      </c>
      <c r="M279" s="1089">
        <v>4.8</v>
      </c>
      <c r="N279" s="1082">
        <v>0</v>
      </c>
      <c r="O279" s="1082">
        <v>0</v>
      </c>
      <c r="P279" s="1082">
        <v>0</v>
      </c>
      <c r="Q279" s="1082">
        <v>0</v>
      </c>
      <c r="R279" s="1075">
        <v>0</v>
      </c>
      <c r="S279" s="1076" t="s">
        <v>915</v>
      </c>
      <c r="T279" s="316">
        <f>U279</f>
        <v>0</v>
      </c>
      <c r="U279" s="316">
        <v>0</v>
      </c>
      <c r="V279" s="316">
        <f>W279</f>
        <v>0</v>
      </c>
      <c r="W279" s="316">
        <f>N279</f>
        <v>0</v>
      </c>
      <c r="X279" s="316">
        <f>Y279</f>
        <v>0</v>
      </c>
      <c r="Y279" s="316">
        <f>W279-AA279</f>
        <v>0</v>
      </c>
      <c r="Z279" s="316">
        <f>AA279</f>
        <v>0</v>
      </c>
      <c r="AA279" s="316">
        <v>0</v>
      </c>
      <c r="AB279" s="316">
        <f>AC279</f>
        <v>0</v>
      </c>
      <c r="AC279" s="316">
        <v>0</v>
      </c>
      <c r="AD279" s="234">
        <f>AE279</f>
        <v>0</v>
      </c>
      <c r="AE279" s="111">
        <f>AG279+AF279</f>
        <v>0</v>
      </c>
      <c r="AF279" s="228">
        <v>0</v>
      </c>
      <c r="AG279" s="228">
        <v>0</v>
      </c>
      <c r="AH279" s="228">
        <v>0</v>
      </c>
      <c r="AI279" s="234">
        <f>AJ279</f>
        <v>0</v>
      </c>
      <c r="AJ279" s="228">
        <v>0</v>
      </c>
      <c r="AK279" s="234">
        <f>AL279</f>
        <v>0</v>
      </c>
      <c r="AL279" s="316">
        <f t="shared" ref="AL279:AL281" si="235">W279-(AN279+AE279+AC279+AA279+AS279+AQ279+AU279)</f>
        <v>0</v>
      </c>
      <c r="AM279" s="905">
        <v>0</v>
      </c>
      <c r="AN279" s="228">
        <v>0</v>
      </c>
      <c r="AO279" s="228">
        <v>0</v>
      </c>
      <c r="AP279" s="234">
        <f t="shared" si="155"/>
        <v>0</v>
      </c>
      <c r="AQ279" s="81">
        <v>0</v>
      </c>
      <c r="AR279" s="234">
        <f t="shared" si="156"/>
        <v>0</v>
      </c>
      <c r="AS279" s="228">
        <v>0</v>
      </c>
      <c r="AT279" s="234">
        <f t="shared" si="157"/>
        <v>0</v>
      </c>
      <c r="AU279" s="228">
        <v>0</v>
      </c>
      <c r="AV279" s="234">
        <f t="shared" si="228"/>
        <v>0</v>
      </c>
      <c r="AW279" s="322">
        <v>0</v>
      </c>
      <c r="AX279" s="228">
        <v>0</v>
      </c>
      <c r="AY279" s="228">
        <v>0</v>
      </c>
      <c r="AZ279" s="228">
        <v>0</v>
      </c>
      <c r="BA279" s="228">
        <v>0</v>
      </c>
      <c r="BB279" s="228">
        <v>0</v>
      </c>
      <c r="BC279" s="228">
        <v>0</v>
      </c>
      <c r="BD279" s="234">
        <f t="shared" si="159"/>
        <v>0</v>
      </c>
      <c r="BE279" s="228">
        <f t="shared" si="160"/>
        <v>0</v>
      </c>
      <c r="BF279" s="234">
        <f t="shared" si="161"/>
        <v>0</v>
      </c>
      <c r="BG279" s="111">
        <f t="shared" si="232"/>
        <v>0</v>
      </c>
      <c r="BH279" s="234">
        <f t="shared" si="162"/>
        <v>0</v>
      </c>
      <c r="BI279" s="228">
        <v>0</v>
      </c>
      <c r="BJ279" s="111">
        <f>ROUND(BG279*2.97,0)</f>
        <v>0</v>
      </c>
      <c r="BK279" s="928">
        <f>ROUND((AL279+AC279+AA279)/1000*3,0)+ROUND((AE279+AU279)/1000,0)+ROUND((ROUND(AH279/400,0))/2.67,0)+ROUND(AJ279/250,0)+ROUND(AO279/15000,0)+ROUND((AX279+AY279+AZ279+BB279)/1000*3,0)+ROUND(BG279/25,0)+ROUND(BU279/50,0)</f>
        <v>0</v>
      </c>
      <c r="BL279" s="228">
        <f t="shared" si="164"/>
        <v>0</v>
      </c>
      <c r="BM279" s="228">
        <v>0</v>
      </c>
      <c r="BN279" s="279">
        <f>(47*67)/300</f>
        <v>10.496666666666666</v>
      </c>
      <c r="BO279" s="228">
        <f t="shared" si="165"/>
        <v>0</v>
      </c>
      <c r="BP279" s="228">
        <f t="shared" si="166"/>
        <v>0</v>
      </c>
      <c r="BQ279" s="228">
        <f>IFERROR(VLOOKUP(F279,#REF!,3,FALSE),0)</f>
        <v>0</v>
      </c>
      <c r="BR279" s="228">
        <v>0</v>
      </c>
      <c r="BS279" s="228">
        <f t="shared" si="167"/>
        <v>0</v>
      </c>
      <c r="BT279" s="234">
        <f t="shared" si="168"/>
        <v>10.496666666666666</v>
      </c>
      <c r="BU279" s="279">
        <f t="shared" si="169"/>
        <v>10.496666666666666</v>
      </c>
      <c r="BV279" s="935">
        <v>25</v>
      </c>
      <c r="BW279" s="476" t="s">
        <v>741</v>
      </c>
      <c r="BX279" s="459">
        <v>7.2</v>
      </c>
      <c r="BY279" s="459">
        <v>0</v>
      </c>
      <c r="BZ279" s="459">
        <v>6.5</v>
      </c>
      <c r="CA279" s="248"/>
      <c r="CB279" s="461" t="s">
        <v>744</v>
      </c>
      <c r="CC279" s="1067">
        <f t="shared" si="229"/>
        <v>78715.199999999997</v>
      </c>
      <c r="CD279" s="471">
        <f>(BX279*G279)-G279</f>
        <v>78715.199999999997</v>
      </c>
      <c r="CE279" s="234">
        <f t="shared" si="170"/>
        <v>0</v>
      </c>
      <c r="CF279" s="228">
        <v>0</v>
      </c>
      <c r="CG279" s="234">
        <f t="shared" si="171"/>
        <v>0</v>
      </c>
      <c r="CH279" s="111">
        <f t="shared" si="172"/>
        <v>0</v>
      </c>
      <c r="CI279" s="234">
        <f t="shared" si="173"/>
        <v>0</v>
      </c>
      <c r="CJ279" s="111">
        <v>0</v>
      </c>
      <c r="CK279" s="234">
        <f t="shared" si="174"/>
        <v>0</v>
      </c>
      <c r="CL279" s="81">
        <v>0</v>
      </c>
      <c r="CM279" s="234">
        <f t="shared" si="175"/>
        <v>0</v>
      </c>
      <c r="CN279" s="111">
        <f t="shared" si="230"/>
        <v>0</v>
      </c>
      <c r="CO279" s="111">
        <v>0</v>
      </c>
      <c r="CP279" s="111">
        <v>0</v>
      </c>
      <c r="CQ279" s="234">
        <f t="shared" si="176"/>
        <v>0</v>
      </c>
      <c r="CR279" s="111">
        <v>0</v>
      </c>
      <c r="CS279" s="903">
        <v>0</v>
      </c>
      <c r="CT279" s="903">
        <v>0</v>
      </c>
      <c r="CU279" s="903">
        <v>0</v>
      </c>
      <c r="CV279" s="903">
        <v>0</v>
      </c>
      <c r="CW279" s="234">
        <f t="shared" si="177"/>
        <v>0</v>
      </c>
      <c r="CX279" s="111">
        <f t="shared" si="152"/>
        <v>0</v>
      </c>
      <c r="CY279" s="903">
        <v>0</v>
      </c>
      <c r="CZ279" s="903">
        <v>0</v>
      </c>
      <c r="DA279" s="1040">
        <f t="shared" si="231"/>
        <v>0</v>
      </c>
      <c r="DB279" s="903">
        <v>0</v>
      </c>
      <c r="DC279" s="903">
        <v>0</v>
      </c>
      <c r="DD279" s="1040">
        <v>0</v>
      </c>
      <c r="DE279" s="234">
        <f t="shared" si="178"/>
        <v>78715.199999999997</v>
      </c>
      <c r="DF279" s="111">
        <f t="shared" si="179"/>
        <v>78715.199999999997</v>
      </c>
      <c r="DG279" s="234">
        <f t="shared" si="180"/>
        <v>78.715199999999996</v>
      </c>
      <c r="DH279" s="111">
        <f t="shared" si="181"/>
        <v>78.715199999999996</v>
      </c>
      <c r="DI279" s="886">
        <f t="shared" si="154"/>
        <v>91</v>
      </c>
      <c r="DJ279" s="899">
        <v>91</v>
      </c>
      <c r="DK279" s="899"/>
      <c r="DL279" s="924"/>
      <c r="DM279" s="899"/>
      <c r="DN279" s="925"/>
      <c r="DO279" s="899"/>
      <c r="DP279" s="899"/>
      <c r="DQ279" s="905"/>
      <c r="DR279" s="899"/>
      <c r="DS279" s="899"/>
      <c r="DT279" s="899"/>
      <c r="DU279" s="899"/>
      <c r="DV279" s="899"/>
      <c r="DW279" s="886">
        <f t="shared" si="153"/>
        <v>0</v>
      </c>
      <c r="DX279" s="886">
        <v>0</v>
      </c>
      <c r="DY279" s="2287">
        <v>95</v>
      </c>
      <c r="DZ279" s="1054">
        <f t="shared" si="182"/>
        <v>78715.199999999997</v>
      </c>
      <c r="EA279" s="235">
        <f t="shared" si="183"/>
        <v>0</v>
      </c>
      <c r="EB279" s="245">
        <f t="shared" si="183"/>
        <v>0</v>
      </c>
      <c r="EC279" s="235">
        <f t="shared" si="184"/>
        <v>21283</v>
      </c>
      <c r="ED279" s="187">
        <v>21283</v>
      </c>
      <c r="EE279" s="245">
        <f t="shared" si="185"/>
        <v>0</v>
      </c>
      <c r="EF279" s="235">
        <f t="shared" si="186"/>
        <v>21283</v>
      </c>
      <c r="EG279" s="187">
        <v>21283</v>
      </c>
      <c r="EH279" s="235">
        <f t="shared" si="187"/>
        <v>0</v>
      </c>
      <c r="EI279" s="245">
        <f t="shared" si="188"/>
        <v>0</v>
      </c>
      <c r="EJ279" s="235">
        <f t="shared" si="189"/>
        <v>0</v>
      </c>
      <c r="EK279" s="245">
        <f t="shared" si="190"/>
        <v>0</v>
      </c>
      <c r="EL279" s="235">
        <f t="shared" si="191"/>
        <v>0</v>
      </c>
      <c r="EM279" s="245">
        <f t="shared" si="192"/>
        <v>0</v>
      </c>
      <c r="EN279" s="235">
        <f t="shared" si="193"/>
        <v>0</v>
      </c>
      <c r="EO279" s="245">
        <f t="shared" si="194"/>
        <v>0</v>
      </c>
      <c r="EP279" s="235">
        <f t="shared" si="195"/>
        <v>0</v>
      </c>
      <c r="EQ279" s="245">
        <f t="shared" si="196"/>
        <v>0</v>
      </c>
      <c r="ER279" s="235">
        <f t="shared" si="197"/>
        <v>0</v>
      </c>
      <c r="ES279" s="245">
        <f t="shared" si="198"/>
        <v>0</v>
      </c>
      <c r="ET279" s="235">
        <f t="shared" si="199"/>
        <v>0</v>
      </c>
      <c r="EU279" s="187">
        <f t="shared" si="200"/>
        <v>0</v>
      </c>
      <c r="EV279" s="235">
        <f t="shared" si="201"/>
        <v>0</v>
      </c>
      <c r="EW279" s="245">
        <f t="shared" si="202"/>
        <v>0</v>
      </c>
      <c r="EX279" s="235">
        <f t="shared" si="203"/>
        <v>0</v>
      </c>
      <c r="EY279" s="245">
        <f t="shared" si="204"/>
        <v>0</v>
      </c>
      <c r="EZ279" s="235">
        <f t="shared" si="205"/>
        <v>0</v>
      </c>
      <c r="FA279" s="245">
        <f t="shared" si="206"/>
        <v>0</v>
      </c>
      <c r="FB279" s="235">
        <f t="shared" si="207"/>
        <v>0</v>
      </c>
      <c r="FC279" s="245">
        <f t="shared" si="208"/>
        <v>0</v>
      </c>
      <c r="FD279" s="235">
        <f t="shared" si="209"/>
        <v>0</v>
      </c>
      <c r="FE279" s="245">
        <f t="shared" si="210"/>
        <v>0</v>
      </c>
      <c r="FF279" s="235">
        <f t="shared" si="211"/>
        <v>0</v>
      </c>
      <c r="FG279" s="245">
        <f t="shared" si="212"/>
        <v>0</v>
      </c>
      <c r="FH279" s="235">
        <f t="shared" si="213"/>
        <v>0</v>
      </c>
      <c r="FI279" s="245">
        <f t="shared" si="214"/>
        <v>0</v>
      </c>
      <c r="FJ279" s="235">
        <f t="shared" si="215"/>
        <v>0</v>
      </c>
      <c r="FK279" s="245">
        <f t="shared" si="216"/>
        <v>0</v>
      </c>
      <c r="FL279" s="235">
        <f t="shared" si="217"/>
        <v>78715.199999999997</v>
      </c>
      <c r="FM279" s="245">
        <f t="shared" si="218"/>
        <v>78715.199999999997</v>
      </c>
      <c r="FN279" s="235">
        <f t="shared" si="219"/>
        <v>78.715199999999996</v>
      </c>
      <c r="FO279" s="245">
        <f t="shared" si="220"/>
        <v>78.715199999999996</v>
      </c>
      <c r="FP279" s="235">
        <f t="shared" si="221"/>
        <v>91</v>
      </c>
      <c r="FQ279" s="245">
        <f t="shared" si="222"/>
        <v>91</v>
      </c>
      <c r="FR279" s="245">
        <f t="shared" si="222"/>
        <v>0</v>
      </c>
      <c r="FS279" s="245">
        <f t="shared" si="222"/>
        <v>0</v>
      </c>
      <c r="FT279" s="907">
        <f t="shared" si="222"/>
        <v>0</v>
      </c>
      <c r="FU279" s="907">
        <f t="shared" si="223"/>
        <v>0</v>
      </c>
      <c r="FV279" s="907"/>
      <c r="FW279" s="907">
        <f t="shared" si="224"/>
        <v>-10.496666666666666</v>
      </c>
      <c r="FX279" s="907">
        <f t="shared" si="225"/>
        <v>0</v>
      </c>
      <c r="FY279" s="801">
        <f t="shared" si="225"/>
        <v>0</v>
      </c>
      <c r="FZ279" s="907">
        <f t="shared" si="225"/>
        <v>0</v>
      </c>
      <c r="GA279" s="930">
        <f t="shared" si="225"/>
        <v>0</v>
      </c>
      <c r="GB279" s="894">
        <f t="shared" si="226"/>
        <v>-10.496666666666666</v>
      </c>
      <c r="GC279" s="1055">
        <f t="shared" si="227"/>
        <v>-10.496666666666666</v>
      </c>
      <c r="GD279" s="139"/>
      <c r="GE279" s="139"/>
      <c r="GF279" s="139"/>
      <c r="GG279" s="139"/>
      <c r="GH279" s="139"/>
      <c r="GI279" s="139"/>
      <c r="GJ279" s="139"/>
      <c r="GK279" s="139"/>
    </row>
    <row r="280" spans="1:202">
      <c r="B280" s="1068"/>
      <c r="C280" s="1069"/>
      <c r="F280" s="921"/>
      <c r="G280" s="1079"/>
      <c r="H280" s="139"/>
      <c r="I280" s="627"/>
      <c r="J280" s="139"/>
      <c r="R280" s="932"/>
      <c r="S280" s="228"/>
      <c r="U280" s="322"/>
      <c r="W280" s="322"/>
      <c r="X280" s="322"/>
      <c r="Y280" s="322"/>
      <c r="AA280" s="322"/>
      <c r="AC280" s="322"/>
      <c r="AD280" s="234"/>
      <c r="AE280" s="111"/>
      <c r="AF280" s="81"/>
      <c r="AG280" s="81"/>
      <c r="AH280" s="81"/>
      <c r="AI280" s="234"/>
      <c r="AJ280" s="81"/>
      <c r="AK280" s="234"/>
      <c r="AL280" s="316"/>
      <c r="AM280" s="799"/>
      <c r="AN280" s="228"/>
      <c r="AO280" s="228"/>
      <c r="AP280" s="2247"/>
      <c r="AQ280" s="81"/>
      <c r="AR280" s="234"/>
      <c r="AS280" s="228"/>
      <c r="AT280" s="234"/>
      <c r="AU280" s="228"/>
      <c r="AV280" s="234"/>
      <c r="AW280" s="111"/>
      <c r="AX280" s="322"/>
      <c r="AY280" s="322"/>
      <c r="AZ280" s="322"/>
      <c r="BA280" s="322"/>
      <c r="BB280" s="322"/>
      <c r="BC280" s="322"/>
      <c r="BD280" s="234"/>
      <c r="BE280" s="228"/>
      <c r="BF280" s="234"/>
      <c r="BG280" s="111"/>
      <c r="BH280" s="234"/>
      <c r="BI280" s="228"/>
      <c r="BJ280" s="111"/>
      <c r="BK280" s="928"/>
      <c r="BL280" s="228"/>
      <c r="BM280" s="228"/>
      <c r="BN280" s="228"/>
      <c r="BO280" s="228"/>
      <c r="BP280" s="228"/>
      <c r="BQ280" s="228"/>
      <c r="BR280" s="228"/>
      <c r="BS280" s="228"/>
      <c r="BT280" s="234"/>
      <c r="BU280" s="279"/>
      <c r="BV280" s="935"/>
      <c r="BW280" s="139"/>
      <c r="CA280" s="781"/>
      <c r="CC280" s="1067"/>
      <c r="CD280" s="471"/>
      <c r="CE280" s="234"/>
      <c r="CF280" s="322"/>
      <c r="CG280" s="234"/>
      <c r="CH280" s="111"/>
      <c r="CI280" s="234"/>
      <c r="CJ280" s="111"/>
      <c r="CK280" s="234"/>
      <c r="CL280" s="322"/>
      <c r="CM280" s="234"/>
      <c r="CN280" s="111"/>
      <c r="CO280" s="111"/>
      <c r="CP280" s="111"/>
      <c r="CQ280" s="234"/>
      <c r="CR280" s="111"/>
      <c r="CS280" s="903"/>
      <c r="CT280" s="903"/>
      <c r="CU280" s="903"/>
      <c r="CV280" s="903"/>
      <c r="CW280" s="234"/>
      <c r="CX280" s="111"/>
      <c r="CY280" s="903"/>
      <c r="CZ280" s="903"/>
      <c r="DA280" s="1040"/>
      <c r="DB280" s="903"/>
      <c r="DC280" s="903"/>
      <c r="DD280" s="1040"/>
      <c r="DE280" s="234"/>
      <c r="DF280" s="111"/>
      <c r="DG280" s="234"/>
      <c r="DH280" s="111"/>
      <c r="DI280" s="886"/>
      <c r="DJ280" s="899"/>
      <c r="DK280" s="899"/>
      <c r="DL280" s="924"/>
      <c r="DM280" s="899"/>
      <c r="DN280" s="925"/>
      <c r="DO280" s="899"/>
      <c r="DP280" s="899"/>
      <c r="DQ280" s="905"/>
      <c r="DR280" s="899"/>
      <c r="DS280" s="899"/>
      <c r="DT280" s="899"/>
      <c r="DU280" s="899"/>
      <c r="DV280" s="899"/>
      <c r="DW280" s="886"/>
      <c r="DX280" s="886"/>
      <c r="DY280" s="2287"/>
      <c r="DZ280" s="1054"/>
      <c r="EA280" s="235"/>
      <c r="EB280" s="245"/>
      <c r="EC280" s="235"/>
      <c r="ED280" s="187"/>
      <c r="EE280" s="245"/>
      <c r="EF280" s="235"/>
      <c r="EG280" s="187"/>
      <c r="EH280" s="235"/>
      <c r="EI280" s="245"/>
      <c r="EJ280" s="235"/>
      <c r="EK280" s="245"/>
      <c r="EL280" s="235"/>
      <c r="EM280" s="245"/>
      <c r="EN280" s="235"/>
      <c r="EO280" s="245"/>
      <c r="EP280" s="235"/>
      <c r="EQ280" s="245"/>
      <c r="ER280" s="235"/>
      <c r="ES280" s="245"/>
      <c r="ET280" s="235"/>
      <c r="EU280" s="187"/>
      <c r="EV280" s="235"/>
      <c r="EW280" s="245"/>
      <c r="EX280" s="235"/>
      <c r="EY280" s="245"/>
      <c r="EZ280" s="235"/>
      <c r="FA280" s="245"/>
      <c r="FB280" s="235"/>
      <c r="FC280" s="245"/>
      <c r="FD280" s="235"/>
      <c r="FE280" s="245"/>
      <c r="FF280" s="235"/>
      <c r="FG280" s="245"/>
      <c r="FH280" s="235"/>
      <c r="FI280" s="245"/>
      <c r="FJ280" s="235"/>
      <c r="FK280" s="245"/>
      <c r="FL280" s="235"/>
      <c r="FM280" s="245"/>
      <c r="FN280" s="235"/>
      <c r="FO280" s="245"/>
      <c r="FP280" s="235"/>
      <c r="FQ280" s="245"/>
      <c r="FR280" s="245"/>
      <c r="FS280" s="245"/>
      <c r="FT280" s="907"/>
      <c r="FU280" s="907"/>
      <c r="FV280" s="907"/>
      <c r="FW280" s="907"/>
      <c r="FX280" s="907"/>
      <c r="FY280" s="801"/>
      <c r="FZ280" s="907"/>
      <c r="GA280" s="930"/>
      <c r="GB280" s="894"/>
      <c r="GC280" s="1055"/>
      <c r="GD280" s="139"/>
      <c r="GE280" s="139"/>
      <c r="GF280" s="139"/>
      <c r="GG280" s="139"/>
      <c r="GH280" s="139"/>
      <c r="GI280" s="139"/>
      <c r="GJ280" s="139"/>
      <c r="GK280" s="139"/>
    </row>
    <row r="281" spans="1:202" ht="18.75">
      <c r="A281" s="1072">
        <v>124</v>
      </c>
      <c r="B281" s="1073">
        <v>124</v>
      </c>
      <c r="C281" s="440" t="s">
        <v>703</v>
      </c>
      <c r="D281" s="1060">
        <v>2855</v>
      </c>
      <c r="E281" s="1060">
        <v>42</v>
      </c>
      <c r="F281" s="1060">
        <v>2028550042</v>
      </c>
      <c r="G281" s="1062">
        <v>7500</v>
      </c>
      <c r="H281" s="440" t="s">
        <v>756</v>
      </c>
      <c r="I281" s="1063"/>
      <c r="J281" s="1064">
        <v>1</v>
      </c>
      <c r="K281" s="1064">
        <v>0</v>
      </c>
      <c r="L281" s="1064">
        <v>2</v>
      </c>
      <c r="M281" s="1064">
        <v>4.8</v>
      </c>
      <c r="N281" s="1082">
        <v>7500</v>
      </c>
      <c r="O281" s="1082">
        <f>Q281</f>
        <v>7500</v>
      </c>
      <c r="P281" s="1082">
        <v>0</v>
      </c>
      <c r="Q281" s="1082">
        <v>7500</v>
      </c>
      <c r="R281" s="1083">
        <v>0</v>
      </c>
      <c r="S281" s="461" t="s">
        <v>641</v>
      </c>
      <c r="T281" s="1067">
        <f>U281</f>
        <v>0</v>
      </c>
      <c r="U281" s="316">
        <v>0</v>
      </c>
      <c r="V281" s="1067">
        <f>W281</f>
        <v>7500</v>
      </c>
      <c r="W281" s="316">
        <f>O281</f>
        <v>7500</v>
      </c>
      <c r="X281" s="1067">
        <f>Y281</f>
        <v>7500</v>
      </c>
      <c r="Y281" s="316">
        <f>W281-AB281</f>
        <v>7500</v>
      </c>
      <c r="Z281" s="1067">
        <f>AA281</f>
        <v>0</v>
      </c>
      <c r="AA281" s="316">
        <v>0</v>
      </c>
      <c r="AB281" s="1067">
        <f>AC281</f>
        <v>0</v>
      </c>
      <c r="AC281" s="316">
        <v>0</v>
      </c>
      <c r="AD281" s="234">
        <f>AE281</f>
        <v>7500</v>
      </c>
      <c r="AE281" s="111">
        <f>AG281+AF281</f>
        <v>7500</v>
      </c>
      <c r="AF281" s="228">
        <v>0</v>
      </c>
      <c r="AG281" s="471">
        <f>O281</f>
        <v>7500</v>
      </c>
      <c r="AH281" s="228">
        <v>0</v>
      </c>
      <c r="AI281" s="234">
        <f>AJ281</f>
        <v>0</v>
      </c>
      <c r="AJ281" s="228">
        <v>0</v>
      </c>
      <c r="AK281" s="234">
        <f>AL281</f>
        <v>0</v>
      </c>
      <c r="AL281" s="316">
        <f t="shared" si="235"/>
        <v>0</v>
      </c>
      <c r="AM281" s="799">
        <v>0</v>
      </c>
      <c r="AN281" s="81">
        <v>0</v>
      </c>
      <c r="AO281" s="81">
        <v>0</v>
      </c>
      <c r="AP281" s="234">
        <f t="shared" si="155"/>
        <v>0</v>
      </c>
      <c r="AQ281" s="81">
        <v>0</v>
      </c>
      <c r="AR281" s="234">
        <f t="shared" si="156"/>
        <v>0</v>
      </c>
      <c r="AS281" s="228">
        <v>0</v>
      </c>
      <c r="AT281" s="234">
        <f t="shared" si="157"/>
        <v>0</v>
      </c>
      <c r="AU281" s="228">
        <v>0</v>
      </c>
      <c r="AV281" s="234">
        <f t="shared" si="228"/>
        <v>0</v>
      </c>
      <c r="AW281" s="74">
        <f t="shared" ref="AW281:AW283" si="236">AX281+AY281+AZ281+BA281+BB281+BC281</f>
        <v>0</v>
      </c>
      <c r="AX281" s="228">
        <v>0</v>
      </c>
      <c r="AY281" s="228">
        <v>0</v>
      </c>
      <c r="AZ281" s="228">
        <v>0</v>
      </c>
      <c r="BA281" s="228">
        <v>0</v>
      </c>
      <c r="BB281" s="228">
        <v>0</v>
      </c>
      <c r="BC281" s="228">
        <v>0</v>
      </c>
      <c r="BD281" s="234">
        <f t="shared" si="159"/>
        <v>7500</v>
      </c>
      <c r="BE281" s="228">
        <f t="shared" si="160"/>
        <v>7500</v>
      </c>
      <c r="BF281" s="234">
        <f t="shared" si="161"/>
        <v>0</v>
      </c>
      <c r="BG281" s="111">
        <f t="shared" si="232"/>
        <v>0</v>
      </c>
      <c r="BH281" s="234">
        <f t="shared" si="162"/>
        <v>0</v>
      </c>
      <c r="BI281" s="228">
        <v>0</v>
      </c>
      <c r="BJ281" s="111">
        <f t="shared" si="149"/>
        <v>0</v>
      </c>
      <c r="BK281" s="928">
        <f t="shared" ref="BK281" si="237">ROUND((AL281+AC281+AA281)/1000*3,0)+ROUND((AE281+AU281)/1000,0)+ROUND((ROUND(AH281/400,0))/2.67,0)+ROUND(AJ281/250,0)+ROUND(AO281/15000,0)+ROUND((AX281+AY281+AZ281+BB281+BC281)/1000*3,0)+ROUND(BG281/25,0)+ROUND(BU281/50,0)</f>
        <v>8</v>
      </c>
      <c r="BL281" s="228">
        <f t="shared" si="164"/>
        <v>0</v>
      </c>
      <c r="BM281" s="228">
        <v>0</v>
      </c>
      <c r="BN281" s="228">
        <v>0</v>
      </c>
      <c r="BO281" s="228">
        <f t="shared" si="165"/>
        <v>0</v>
      </c>
      <c r="BP281" s="228">
        <f t="shared" si="166"/>
        <v>0</v>
      </c>
      <c r="BQ281" s="228">
        <f>IFERROR(VLOOKUP(F281,#REF!,3,FALSE),0)</f>
        <v>0</v>
      </c>
      <c r="BR281" s="228">
        <v>0</v>
      </c>
      <c r="BS281" s="228">
        <f t="shared" si="167"/>
        <v>0</v>
      </c>
      <c r="BT281" s="234">
        <f t="shared" si="168"/>
        <v>0</v>
      </c>
      <c r="BU281" s="279">
        <f t="shared" si="169"/>
        <v>0</v>
      </c>
      <c r="BV281" s="935">
        <v>15</v>
      </c>
      <c r="BW281" s="476" t="s">
        <v>741</v>
      </c>
      <c r="BX281" s="459">
        <v>7.2</v>
      </c>
      <c r="BY281" s="1084">
        <v>0</v>
      </c>
      <c r="BZ281" s="459">
        <v>6.5</v>
      </c>
      <c r="CA281" s="1091"/>
      <c r="CB281" s="486" t="s">
        <v>744</v>
      </c>
      <c r="CC281" s="1067">
        <f t="shared" si="229"/>
        <v>54000</v>
      </c>
      <c r="CD281" s="471">
        <f t="shared" si="233"/>
        <v>54000</v>
      </c>
      <c r="CE281" s="234">
        <f t="shared" si="170"/>
        <v>0</v>
      </c>
      <c r="CF281" s="127">
        <v>0</v>
      </c>
      <c r="CG281" s="234">
        <f t="shared" si="171"/>
        <v>0</v>
      </c>
      <c r="CH281" s="111">
        <f t="shared" si="172"/>
        <v>0</v>
      </c>
      <c r="CI281" s="234">
        <f t="shared" si="173"/>
        <v>0</v>
      </c>
      <c r="CJ281" s="111">
        <v>0</v>
      </c>
      <c r="CK281" s="234">
        <f t="shared" si="174"/>
        <v>0</v>
      </c>
      <c r="CL281" s="228"/>
      <c r="CM281" s="234">
        <f t="shared" si="175"/>
        <v>0</v>
      </c>
      <c r="CN281" s="111">
        <f t="shared" si="230"/>
        <v>0</v>
      </c>
      <c r="CO281" s="111">
        <v>0</v>
      </c>
      <c r="CP281" s="111">
        <v>0</v>
      </c>
      <c r="CQ281" s="234">
        <f t="shared" si="176"/>
        <v>0</v>
      </c>
      <c r="CR281" s="111">
        <v>0</v>
      </c>
      <c r="CS281" s="903">
        <v>0</v>
      </c>
      <c r="CT281" s="903">
        <v>0</v>
      </c>
      <c r="CU281" s="903">
        <v>0</v>
      </c>
      <c r="CV281" s="903">
        <v>0</v>
      </c>
      <c r="CW281" s="234">
        <f t="shared" si="177"/>
        <v>0</v>
      </c>
      <c r="CX281" s="111">
        <f t="shared" si="152"/>
        <v>0</v>
      </c>
      <c r="CY281" s="903">
        <v>0</v>
      </c>
      <c r="CZ281" s="903">
        <v>0</v>
      </c>
      <c r="DA281" s="1040">
        <f t="shared" si="231"/>
        <v>0</v>
      </c>
      <c r="DB281" s="903">
        <v>0</v>
      </c>
      <c r="DC281" s="903">
        <v>0</v>
      </c>
      <c r="DD281" s="1040">
        <v>0</v>
      </c>
      <c r="DE281" s="234">
        <f t="shared" si="178"/>
        <v>54000</v>
      </c>
      <c r="DF281" s="111">
        <f t="shared" si="179"/>
        <v>54000</v>
      </c>
      <c r="DG281" s="234">
        <f t="shared" si="180"/>
        <v>54</v>
      </c>
      <c r="DH281" s="111">
        <f t="shared" si="181"/>
        <v>54</v>
      </c>
      <c r="DI281" s="886">
        <f t="shared" si="154"/>
        <v>54</v>
      </c>
      <c r="DJ281" s="899">
        <v>54</v>
      </c>
      <c r="DK281" s="899"/>
      <c r="DL281" s="924"/>
      <c r="DM281" s="899"/>
      <c r="DN281" s="925"/>
      <c r="DO281" s="899"/>
      <c r="DP281" s="899"/>
      <c r="DQ281" s="905"/>
      <c r="DR281" s="899"/>
      <c r="DS281" s="899"/>
      <c r="DT281" s="899"/>
      <c r="DU281" s="899"/>
      <c r="DV281" s="899"/>
      <c r="DW281" s="886">
        <f t="shared" si="153"/>
        <v>0</v>
      </c>
      <c r="DX281" s="886">
        <v>0</v>
      </c>
      <c r="DY281" s="2287">
        <v>95</v>
      </c>
      <c r="DZ281" s="1054">
        <f t="shared" si="182"/>
        <v>54000</v>
      </c>
      <c r="EA281" s="235">
        <f t="shared" si="183"/>
        <v>-7500</v>
      </c>
      <c r="EB281" s="245">
        <f t="shared" si="183"/>
        <v>-7500</v>
      </c>
      <c r="EC281" s="235">
        <f t="shared" si="184"/>
        <v>21285</v>
      </c>
      <c r="ED281" s="187">
        <v>21285</v>
      </c>
      <c r="EE281" s="245">
        <f t="shared" si="185"/>
        <v>-15000</v>
      </c>
      <c r="EF281" s="235">
        <f t="shared" si="186"/>
        <v>21285</v>
      </c>
      <c r="EG281" s="187">
        <v>21285</v>
      </c>
      <c r="EH281" s="235">
        <f t="shared" si="187"/>
        <v>0</v>
      </c>
      <c r="EI281" s="245">
        <f t="shared" si="188"/>
        <v>0</v>
      </c>
      <c r="EJ281" s="235">
        <f t="shared" si="189"/>
        <v>0</v>
      </c>
      <c r="EK281" s="245">
        <f t="shared" si="190"/>
        <v>0</v>
      </c>
      <c r="EL281" s="235">
        <f t="shared" si="191"/>
        <v>-7500</v>
      </c>
      <c r="EM281" s="245">
        <f t="shared" si="192"/>
        <v>-7500</v>
      </c>
      <c r="EN281" s="235">
        <f t="shared" si="193"/>
        <v>0</v>
      </c>
      <c r="EO281" s="245">
        <f t="shared" si="194"/>
        <v>0</v>
      </c>
      <c r="EP281" s="235">
        <f t="shared" si="195"/>
        <v>0</v>
      </c>
      <c r="EQ281" s="245">
        <f t="shared" si="196"/>
        <v>0</v>
      </c>
      <c r="ER281" s="235">
        <f t="shared" si="197"/>
        <v>0</v>
      </c>
      <c r="ES281" s="245">
        <f t="shared" si="198"/>
        <v>0</v>
      </c>
      <c r="ET281" s="235">
        <f t="shared" si="199"/>
        <v>0</v>
      </c>
      <c r="EU281" s="187">
        <f t="shared" si="200"/>
        <v>0</v>
      </c>
      <c r="EV281" s="235">
        <f t="shared" si="201"/>
        <v>0</v>
      </c>
      <c r="EW281" s="245">
        <f t="shared" si="202"/>
        <v>0</v>
      </c>
      <c r="EX281" s="235">
        <f t="shared" si="203"/>
        <v>0</v>
      </c>
      <c r="EY281" s="245">
        <f t="shared" si="204"/>
        <v>0</v>
      </c>
      <c r="EZ281" s="235">
        <f t="shared" si="205"/>
        <v>0</v>
      </c>
      <c r="FA281" s="245">
        <f t="shared" si="206"/>
        <v>0</v>
      </c>
      <c r="FB281" s="235">
        <f t="shared" si="207"/>
        <v>0</v>
      </c>
      <c r="FC281" s="245">
        <f t="shared" si="208"/>
        <v>0</v>
      </c>
      <c r="FD281" s="235">
        <f t="shared" si="209"/>
        <v>0</v>
      </c>
      <c r="FE281" s="245">
        <f t="shared" si="210"/>
        <v>0</v>
      </c>
      <c r="FF281" s="235">
        <f t="shared" si="211"/>
        <v>0</v>
      </c>
      <c r="FG281" s="245">
        <f t="shared" si="212"/>
        <v>0</v>
      </c>
      <c r="FH281" s="235">
        <f t="shared" si="213"/>
        <v>0</v>
      </c>
      <c r="FI281" s="245">
        <f t="shared" si="214"/>
        <v>0</v>
      </c>
      <c r="FJ281" s="235">
        <f t="shared" si="215"/>
        <v>0</v>
      </c>
      <c r="FK281" s="245">
        <f t="shared" si="216"/>
        <v>0</v>
      </c>
      <c r="FL281" s="235">
        <f t="shared" si="217"/>
        <v>46500</v>
      </c>
      <c r="FM281" s="245">
        <f t="shared" si="218"/>
        <v>46500</v>
      </c>
      <c r="FN281" s="235">
        <f t="shared" si="219"/>
        <v>54</v>
      </c>
      <c r="FO281" s="245">
        <f t="shared" si="220"/>
        <v>54</v>
      </c>
      <c r="FP281" s="235">
        <f t="shared" si="221"/>
        <v>54</v>
      </c>
      <c r="FQ281" s="245">
        <f t="shared" si="222"/>
        <v>54</v>
      </c>
      <c r="FR281" s="245">
        <f t="shared" si="222"/>
        <v>0</v>
      </c>
      <c r="FS281" s="245">
        <f t="shared" si="222"/>
        <v>-8</v>
      </c>
      <c r="FT281" s="907">
        <f t="shared" si="222"/>
        <v>0</v>
      </c>
      <c r="FU281" s="907">
        <f t="shared" si="223"/>
        <v>0</v>
      </c>
      <c r="FV281" s="907"/>
      <c r="FW281" s="907">
        <f t="shared" si="224"/>
        <v>0</v>
      </c>
      <c r="FX281" s="907">
        <f t="shared" si="225"/>
        <v>0</v>
      </c>
      <c r="FY281" s="801">
        <f t="shared" si="225"/>
        <v>0</v>
      </c>
      <c r="FZ281" s="907">
        <f t="shared" si="225"/>
        <v>0</v>
      </c>
      <c r="GA281" s="930">
        <f t="shared" si="225"/>
        <v>0</v>
      </c>
      <c r="GB281" s="894">
        <f t="shared" si="226"/>
        <v>0</v>
      </c>
      <c r="GC281" s="1055">
        <f t="shared" si="227"/>
        <v>0</v>
      </c>
      <c r="GD281" s="139"/>
      <c r="GE281" s="139"/>
      <c r="GF281" s="139"/>
      <c r="GG281" s="139"/>
      <c r="GH281" s="139"/>
      <c r="GI281" s="139"/>
      <c r="GJ281" s="139"/>
      <c r="GK281" s="139"/>
    </row>
    <row r="282" spans="1:202" ht="18.75">
      <c r="A282" s="3693"/>
      <c r="B282" s="1073"/>
      <c r="C282" s="519"/>
      <c r="D282" s="520"/>
      <c r="E282" s="520"/>
      <c r="F282" s="520"/>
      <c r="G282" s="521"/>
      <c r="H282" s="519"/>
      <c r="I282" s="522"/>
      <c r="J282" s="523"/>
      <c r="K282" s="523"/>
      <c r="L282" s="523"/>
      <c r="M282" s="523"/>
      <c r="N282" s="524"/>
      <c r="O282" s="524"/>
      <c r="P282" s="524"/>
      <c r="Q282" s="524"/>
      <c r="R282" s="1092"/>
      <c r="S282" s="1093"/>
      <c r="T282" s="1094"/>
      <c r="U282" s="2227"/>
      <c r="V282" s="1094"/>
      <c r="W282" s="2227"/>
      <c r="X282" s="1094"/>
      <c r="Y282" s="2227"/>
      <c r="Z282" s="1094"/>
      <c r="AA282" s="2227"/>
      <c r="AB282" s="1094"/>
      <c r="AC282" s="2227"/>
      <c r="AD282" s="234"/>
      <c r="AE282" s="111"/>
      <c r="AF282" s="228"/>
      <c r="AG282" s="471"/>
      <c r="AH282" s="228"/>
      <c r="AI282" s="234"/>
      <c r="AJ282" s="228"/>
      <c r="AK282" s="234"/>
      <c r="AL282" s="316"/>
      <c r="AM282" s="905"/>
      <c r="AN282" s="228"/>
      <c r="AO282" s="228"/>
      <c r="AP282" s="234"/>
      <c r="AQ282" s="81"/>
      <c r="AR282" s="234"/>
      <c r="AS282" s="228"/>
      <c r="AT282" s="234"/>
      <c r="AU282" s="228"/>
      <c r="AV282" s="234"/>
      <c r="AW282" s="74"/>
      <c r="AX282" s="139"/>
      <c r="AY282" s="139"/>
      <c r="AZ282" s="139"/>
      <c r="BA282" s="139"/>
      <c r="BB282" s="139"/>
      <c r="BC282" s="228"/>
      <c r="BD282" s="234"/>
      <c r="BE282" s="228"/>
      <c r="BF282" s="234"/>
      <c r="BG282" s="111"/>
      <c r="BH282" s="234"/>
      <c r="BI282" s="228"/>
      <c r="BJ282" s="111"/>
      <c r="BK282" s="928"/>
      <c r="BL282" s="228"/>
      <c r="BM282" s="228"/>
      <c r="BN282" s="228"/>
      <c r="BO282" s="228"/>
      <c r="BP282" s="228"/>
      <c r="BQ282" s="228"/>
      <c r="BR282" s="228"/>
      <c r="BS282" s="228"/>
      <c r="BT282" s="234"/>
      <c r="BU282" s="279"/>
      <c r="BV282" s="935"/>
      <c r="BW282" s="527"/>
      <c r="BX282" s="530"/>
      <c r="BY282" s="531"/>
      <c r="BZ282" s="530"/>
      <c r="CA282" s="1095"/>
      <c r="CB282" s="1096"/>
      <c r="CC282" s="1067"/>
      <c r="CD282" s="471"/>
      <c r="CE282" s="234"/>
      <c r="CF282" s="228"/>
      <c r="CG282" s="234"/>
      <c r="CH282" s="111"/>
      <c r="CI282" s="234"/>
      <c r="CJ282" s="111"/>
      <c r="CK282" s="234"/>
      <c r="CL282" s="228"/>
      <c r="CM282" s="234"/>
      <c r="CN282" s="111"/>
      <c r="CO282" s="111"/>
      <c r="CP282" s="111"/>
      <c r="CQ282" s="234"/>
      <c r="CR282" s="111"/>
      <c r="CS282" s="903"/>
      <c r="CT282" s="903"/>
      <c r="CU282" s="903"/>
      <c r="CV282" s="903"/>
      <c r="CW282" s="234"/>
      <c r="CX282" s="111"/>
      <c r="CY282" s="903"/>
      <c r="CZ282" s="903"/>
      <c r="DA282" s="1040"/>
      <c r="DB282" s="903"/>
      <c r="DC282" s="903"/>
      <c r="DD282" s="1040"/>
      <c r="DE282" s="234"/>
      <c r="DF282" s="111"/>
      <c r="DG282" s="234"/>
      <c r="DH282" s="111"/>
      <c r="DI282" s="886"/>
      <c r="DJ282" s="899"/>
      <c r="DK282" s="899"/>
      <c r="DL282" s="924"/>
      <c r="DM282" s="899"/>
      <c r="DN282" s="925"/>
      <c r="DO282" s="899"/>
      <c r="DP282" s="899"/>
      <c r="DQ282" s="905"/>
      <c r="DR282" s="899"/>
      <c r="DS282" s="899"/>
      <c r="DT282" s="899"/>
      <c r="DU282" s="899"/>
      <c r="DV282" s="899"/>
      <c r="DW282" s="886"/>
      <c r="DX282" s="886"/>
      <c r="DY282" s="2287"/>
      <c r="DZ282" s="1054"/>
      <c r="EA282" s="235"/>
      <c r="EB282" s="245"/>
      <c r="EC282" s="235"/>
      <c r="ED282" s="187"/>
      <c r="EE282" s="245"/>
      <c r="EF282" s="235"/>
      <c r="EG282" s="187"/>
      <c r="EH282" s="235"/>
      <c r="EI282" s="245"/>
      <c r="EJ282" s="235"/>
      <c r="EK282" s="245"/>
      <c r="EL282" s="235"/>
      <c r="EM282" s="245"/>
      <c r="EN282" s="235"/>
      <c r="EO282" s="245"/>
      <c r="EP282" s="235"/>
      <c r="EQ282" s="245"/>
      <c r="ER282" s="235"/>
      <c r="ES282" s="245"/>
      <c r="ET282" s="235"/>
      <c r="EU282" s="187"/>
      <c r="EV282" s="235"/>
      <c r="EW282" s="245"/>
      <c r="EX282" s="235"/>
      <c r="EY282" s="245"/>
      <c r="EZ282" s="235"/>
      <c r="FA282" s="245"/>
      <c r="FB282" s="235"/>
      <c r="FC282" s="245"/>
      <c r="FD282" s="235"/>
      <c r="FE282" s="245"/>
      <c r="FF282" s="235"/>
      <c r="FG282" s="245"/>
      <c r="FH282" s="235"/>
      <c r="FI282" s="245"/>
      <c r="FJ282" s="235"/>
      <c r="FK282" s="245"/>
      <c r="FL282" s="235"/>
      <c r="FM282" s="245"/>
      <c r="FN282" s="235"/>
      <c r="FO282" s="245"/>
      <c r="FP282" s="235"/>
      <c r="FQ282" s="245"/>
      <c r="FR282" s="245"/>
      <c r="FS282" s="245"/>
      <c r="FT282" s="907"/>
      <c r="FU282" s="907"/>
      <c r="FV282" s="907"/>
      <c r="FW282" s="907"/>
      <c r="FX282" s="907"/>
      <c r="FY282" s="801"/>
      <c r="FZ282" s="907"/>
      <c r="GA282" s="930"/>
      <c r="GB282" s="894"/>
      <c r="GC282" s="1055"/>
      <c r="GD282" s="139"/>
      <c r="GE282" s="139"/>
      <c r="GF282" s="139"/>
      <c r="GG282" s="139"/>
      <c r="GH282" s="139"/>
      <c r="GI282" s="139"/>
      <c r="GJ282" s="139"/>
      <c r="GK282" s="139"/>
    </row>
    <row r="283" spans="1:202" ht="18.75">
      <c r="A283" s="1072">
        <v>125</v>
      </c>
      <c r="B283" s="1073">
        <v>125</v>
      </c>
      <c r="C283" s="440" t="s">
        <v>703</v>
      </c>
      <c r="D283" s="1060">
        <v>2855</v>
      </c>
      <c r="E283" s="1060">
        <v>65</v>
      </c>
      <c r="F283" s="1061">
        <v>2028550065</v>
      </c>
      <c r="G283" s="1062">
        <v>7500</v>
      </c>
      <c r="H283" s="440" t="s">
        <v>756</v>
      </c>
      <c r="I283" s="1063"/>
      <c r="J283" s="1064">
        <v>1</v>
      </c>
      <c r="K283" s="1064">
        <v>0</v>
      </c>
      <c r="L283" s="1064">
        <v>2</v>
      </c>
      <c r="M283" s="1064">
        <v>4.8</v>
      </c>
      <c r="N283" s="1082">
        <v>7500</v>
      </c>
      <c r="O283" s="1082">
        <f>Q283</f>
        <v>7500</v>
      </c>
      <c r="P283" s="1082">
        <v>0</v>
      </c>
      <c r="Q283" s="1082">
        <v>7500</v>
      </c>
      <c r="R283" s="1083">
        <v>0</v>
      </c>
      <c r="S283" s="461" t="s">
        <v>779</v>
      </c>
      <c r="T283" s="1067">
        <f>U283</f>
        <v>0</v>
      </c>
      <c r="U283" s="316">
        <v>0</v>
      </c>
      <c r="V283" s="1067">
        <f>W283</f>
        <v>7500</v>
      </c>
      <c r="W283" s="316">
        <f>O283</f>
        <v>7500</v>
      </c>
      <c r="X283" s="1067">
        <f>Y283</f>
        <v>7500</v>
      </c>
      <c r="Y283" s="316">
        <f>W283-AB283</f>
        <v>7500</v>
      </c>
      <c r="Z283" s="1067">
        <f>AA283</f>
        <v>0</v>
      </c>
      <c r="AA283" s="316">
        <v>0</v>
      </c>
      <c r="AB283" s="1067">
        <f>AC283</f>
        <v>0</v>
      </c>
      <c r="AC283" s="316">
        <v>0</v>
      </c>
      <c r="AD283" s="234">
        <f>AE283</f>
        <v>7500</v>
      </c>
      <c r="AE283" s="111">
        <f>AG283+AF283</f>
        <v>7500</v>
      </c>
      <c r="AF283" s="228">
        <v>0</v>
      </c>
      <c r="AG283" s="471">
        <f t="shared" ref="AG283" si="238">O283</f>
        <v>7500</v>
      </c>
      <c r="AH283" s="228">
        <v>0</v>
      </c>
      <c r="AI283" s="234">
        <f>AJ283</f>
        <v>0</v>
      </c>
      <c r="AJ283" s="228">
        <v>0</v>
      </c>
      <c r="AK283" s="234">
        <f>AL283</f>
        <v>0</v>
      </c>
      <c r="AL283" s="316">
        <f>W283-(AN283+AE283+AC283+AA283+AS283+AU283)</f>
        <v>0</v>
      </c>
      <c r="AM283" s="905">
        <v>0</v>
      </c>
      <c r="AN283" s="228">
        <v>0</v>
      </c>
      <c r="AO283" s="228">
        <v>0</v>
      </c>
      <c r="AP283" s="2247">
        <f t="shared" si="155"/>
        <v>7500</v>
      </c>
      <c r="AQ283" s="228">
        <v>7500</v>
      </c>
      <c r="AR283" s="234">
        <f t="shared" si="156"/>
        <v>0</v>
      </c>
      <c r="AS283" s="228">
        <v>0</v>
      </c>
      <c r="AT283" s="234">
        <f t="shared" si="157"/>
        <v>0</v>
      </c>
      <c r="AU283" s="228">
        <v>0</v>
      </c>
      <c r="AV283" s="234">
        <f t="shared" si="228"/>
        <v>0</v>
      </c>
      <c r="AW283" s="74">
        <f t="shared" si="236"/>
        <v>0</v>
      </c>
      <c r="AX283" s="228">
        <v>0</v>
      </c>
      <c r="AY283" s="228">
        <v>0</v>
      </c>
      <c r="AZ283" s="228">
        <v>0</v>
      </c>
      <c r="BA283" s="228">
        <v>0</v>
      </c>
      <c r="BB283" s="228">
        <v>0</v>
      </c>
      <c r="BC283" s="228">
        <v>0</v>
      </c>
      <c r="BD283" s="234">
        <f t="shared" si="159"/>
        <v>7500</v>
      </c>
      <c r="BE283" s="228">
        <f t="shared" si="160"/>
        <v>7500</v>
      </c>
      <c r="BF283" s="234">
        <f t="shared" si="161"/>
        <v>0</v>
      </c>
      <c r="BG283" s="111">
        <f t="shared" si="232"/>
        <v>0</v>
      </c>
      <c r="BH283" s="234">
        <f t="shared" si="162"/>
        <v>0</v>
      </c>
      <c r="BI283" s="228">
        <v>0</v>
      </c>
      <c r="BJ283" s="111">
        <f t="shared" si="149"/>
        <v>0</v>
      </c>
      <c r="BK283" s="928">
        <v>10</v>
      </c>
      <c r="BL283" s="228">
        <f t="shared" si="164"/>
        <v>0</v>
      </c>
      <c r="BM283" s="228">
        <v>0</v>
      </c>
      <c r="BN283" s="228">
        <v>0</v>
      </c>
      <c r="BO283" s="228">
        <f t="shared" si="165"/>
        <v>0</v>
      </c>
      <c r="BP283" s="228">
        <f t="shared" si="166"/>
        <v>0</v>
      </c>
      <c r="BQ283" s="228">
        <v>96</v>
      </c>
      <c r="BR283" s="228">
        <v>0</v>
      </c>
      <c r="BS283" s="228">
        <f t="shared" si="167"/>
        <v>0</v>
      </c>
      <c r="BT283" s="234">
        <f t="shared" si="168"/>
        <v>96</v>
      </c>
      <c r="BU283" s="228">
        <f t="shared" si="169"/>
        <v>96</v>
      </c>
      <c r="BV283" s="935">
        <v>12</v>
      </c>
      <c r="BW283" s="458" t="s">
        <v>741</v>
      </c>
      <c r="BX283" s="459">
        <v>7.2</v>
      </c>
      <c r="BY283" s="1097">
        <v>2</v>
      </c>
      <c r="BZ283" s="459">
        <v>6.5</v>
      </c>
      <c r="CA283" s="1091" t="s">
        <v>706</v>
      </c>
      <c r="CB283" s="486" t="s">
        <v>916</v>
      </c>
      <c r="CC283" s="1067">
        <f t="shared" si="229"/>
        <v>47625</v>
      </c>
      <c r="CD283" s="471">
        <f t="shared" si="233"/>
        <v>47625</v>
      </c>
      <c r="CE283" s="234">
        <f t="shared" si="170"/>
        <v>6375</v>
      </c>
      <c r="CF283" s="111">
        <f>1*(G283)-((0.15*1*(G283)))</f>
        <v>6375</v>
      </c>
      <c r="CG283" s="234">
        <f t="shared" si="171"/>
        <v>6375</v>
      </c>
      <c r="CH283" s="111">
        <f t="shared" si="172"/>
        <v>6375</v>
      </c>
      <c r="CI283" s="234">
        <f t="shared" si="173"/>
        <v>0</v>
      </c>
      <c r="CJ283" s="322">
        <v>0</v>
      </c>
      <c r="CK283" s="234">
        <f t="shared" si="174"/>
        <v>0</v>
      </c>
      <c r="CL283" s="228">
        <v>0</v>
      </c>
      <c r="CM283" s="234">
        <f t="shared" si="175"/>
        <v>6375</v>
      </c>
      <c r="CN283" s="111">
        <f>CF283-(CJ283+CL283+CO283+CP283+CR283+CU283+CV283+CX283)</f>
        <v>6375</v>
      </c>
      <c r="CO283" s="111">
        <v>0</v>
      </c>
      <c r="CP283" s="111">
        <v>0</v>
      </c>
      <c r="CQ283" s="234">
        <f t="shared" si="176"/>
        <v>0</v>
      </c>
      <c r="CR283" s="111">
        <v>0</v>
      </c>
      <c r="CS283" s="903">
        <v>0</v>
      </c>
      <c r="CT283" s="903">
        <v>0</v>
      </c>
      <c r="CU283" s="903">
        <v>0</v>
      </c>
      <c r="CV283" s="903">
        <v>0</v>
      </c>
      <c r="CW283" s="234">
        <f t="shared" si="177"/>
        <v>0</v>
      </c>
      <c r="CX283" s="111">
        <f t="shared" si="152"/>
        <v>0</v>
      </c>
      <c r="CY283" s="903">
        <v>0</v>
      </c>
      <c r="CZ283" s="903">
        <v>0</v>
      </c>
      <c r="DA283" s="1040">
        <f t="shared" si="231"/>
        <v>0</v>
      </c>
      <c r="DB283" s="903">
        <v>0</v>
      </c>
      <c r="DC283" s="903">
        <v>0</v>
      </c>
      <c r="DD283" s="1040">
        <v>0</v>
      </c>
      <c r="DE283" s="234">
        <f t="shared" si="178"/>
        <v>54000</v>
      </c>
      <c r="DF283" s="111">
        <f t="shared" si="179"/>
        <v>54000</v>
      </c>
      <c r="DG283" s="234">
        <f t="shared" si="180"/>
        <v>47.625</v>
      </c>
      <c r="DH283" s="111">
        <f t="shared" si="181"/>
        <v>47.625</v>
      </c>
      <c r="DI283" s="886">
        <f t="shared" si="154"/>
        <v>9.5250000000000004</v>
      </c>
      <c r="DJ283" s="899">
        <f>0.2*DH283</f>
        <v>9.5250000000000004</v>
      </c>
      <c r="DK283" s="899"/>
      <c r="DL283" s="924"/>
      <c r="DM283" s="899"/>
      <c r="DN283" s="925"/>
      <c r="DO283" s="899"/>
      <c r="DP283" s="899"/>
      <c r="DQ283" s="905"/>
      <c r="DR283" s="899"/>
      <c r="DS283" s="899"/>
      <c r="DT283" s="899"/>
      <c r="DU283" s="899"/>
      <c r="DV283" s="899"/>
      <c r="DW283" s="886">
        <f t="shared" si="153"/>
        <v>6</v>
      </c>
      <c r="DX283" s="886">
        <v>6</v>
      </c>
      <c r="DY283" s="981">
        <v>115</v>
      </c>
      <c r="DZ283" s="1054">
        <f t="shared" si="182"/>
        <v>47625</v>
      </c>
      <c r="EA283" s="235">
        <f t="shared" si="183"/>
        <v>-1125</v>
      </c>
      <c r="EB283" s="245">
        <f t="shared" si="183"/>
        <v>-1125</v>
      </c>
      <c r="EC283" s="235">
        <f t="shared" si="184"/>
        <v>21287</v>
      </c>
      <c r="ED283" s="245">
        <v>21287</v>
      </c>
      <c r="EE283" s="245">
        <f t="shared" si="185"/>
        <v>-2250</v>
      </c>
      <c r="EF283" s="235">
        <f t="shared" si="186"/>
        <v>21287</v>
      </c>
      <c r="EG283" s="245">
        <v>21287</v>
      </c>
      <c r="EH283" s="235">
        <f t="shared" si="187"/>
        <v>0</v>
      </c>
      <c r="EI283" s="245">
        <f t="shared" si="188"/>
        <v>0</v>
      </c>
      <c r="EJ283" s="235">
        <f t="shared" si="189"/>
        <v>0</v>
      </c>
      <c r="EK283" s="245">
        <f t="shared" si="190"/>
        <v>0</v>
      </c>
      <c r="EL283" s="235">
        <f t="shared" si="191"/>
        <v>-7500</v>
      </c>
      <c r="EM283" s="245">
        <f t="shared" si="192"/>
        <v>-7500</v>
      </c>
      <c r="EN283" s="235">
        <f t="shared" si="193"/>
        <v>0</v>
      </c>
      <c r="EO283" s="245">
        <f t="shared" si="194"/>
        <v>0</v>
      </c>
      <c r="EP283" s="235">
        <f t="shared" si="195"/>
        <v>0</v>
      </c>
      <c r="EQ283" s="245">
        <f t="shared" si="196"/>
        <v>0</v>
      </c>
      <c r="ER283" s="235">
        <f t="shared" si="197"/>
        <v>0</v>
      </c>
      <c r="ES283" s="245">
        <f t="shared" si="198"/>
        <v>0</v>
      </c>
      <c r="ET283" s="235">
        <f t="shared" si="199"/>
        <v>-7500</v>
      </c>
      <c r="EU283" s="245">
        <f t="shared" si="200"/>
        <v>-7500</v>
      </c>
      <c r="EV283" s="235">
        <f t="shared" si="201"/>
        <v>0</v>
      </c>
      <c r="EW283" s="245">
        <f t="shared" si="202"/>
        <v>0</v>
      </c>
      <c r="EX283" s="235">
        <f t="shared" si="203"/>
        <v>0</v>
      </c>
      <c r="EY283" s="245">
        <f t="shared" si="204"/>
        <v>0</v>
      </c>
      <c r="EZ283" s="235">
        <f t="shared" si="205"/>
        <v>0</v>
      </c>
      <c r="FA283" s="245">
        <f t="shared" si="206"/>
        <v>0</v>
      </c>
      <c r="FB283" s="235">
        <f t="shared" si="207"/>
        <v>0</v>
      </c>
      <c r="FC283" s="245">
        <f t="shared" si="208"/>
        <v>0</v>
      </c>
      <c r="FD283" s="235">
        <f t="shared" si="209"/>
        <v>0</v>
      </c>
      <c r="FE283" s="245">
        <f t="shared" si="210"/>
        <v>0</v>
      </c>
      <c r="FF283" s="235">
        <f t="shared" si="211"/>
        <v>0</v>
      </c>
      <c r="FG283" s="245">
        <f t="shared" si="212"/>
        <v>0</v>
      </c>
      <c r="FH283" s="235">
        <f t="shared" si="213"/>
        <v>0</v>
      </c>
      <c r="FI283" s="245">
        <f t="shared" si="214"/>
        <v>0</v>
      </c>
      <c r="FJ283" s="235">
        <f t="shared" si="215"/>
        <v>0</v>
      </c>
      <c r="FK283" s="245">
        <f t="shared" si="216"/>
        <v>0</v>
      </c>
      <c r="FL283" s="235">
        <f t="shared" si="217"/>
        <v>46500</v>
      </c>
      <c r="FM283" s="245">
        <f t="shared" si="218"/>
        <v>46500</v>
      </c>
      <c r="FN283" s="235">
        <f t="shared" si="219"/>
        <v>47.625</v>
      </c>
      <c r="FO283" s="245">
        <f t="shared" si="220"/>
        <v>47.625</v>
      </c>
      <c r="FP283" s="235">
        <f t="shared" si="221"/>
        <v>9.5250000000000004</v>
      </c>
      <c r="FQ283" s="245">
        <f t="shared" si="222"/>
        <v>9.5250000000000004</v>
      </c>
      <c r="FR283" s="245">
        <f t="shared" si="222"/>
        <v>0</v>
      </c>
      <c r="FS283" s="245">
        <f t="shared" si="222"/>
        <v>-10</v>
      </c>
      <c r="FT283" s="907">
        <f t="shared" si="222"/>
        <v>0</v>
      </c>
      <c r="FU283" s="907">
        <f t="shared" si="223"/>
        <v>0</v>
      </c>
      <c r="FV283" s="907"/>
      <c r="FW283" s="907">
        <f t="shared" si="224"/>
        <v>0</v>
      </c>
      <c r="FX283" s="907">
        <f t="shared" si="225"/>
        <v>0</v>
      </c>
      <c r="FY283" s="801">
        <f t="shared" si="225"/>
        <v>-96</v>
      </c>
      <c r="FZ283" s="907">
        <f t="shared" si="225"/>
        <v>0</v>
      </c>
      <c r="GA283" s="930">
        <f t="shared" si="225"/>
        <v>0</v>
      </c>
      <c r="GB283" s="894">
        <f t="shared" si="226"/>
        <v>-96</v>
      </c>
      <c r="GC283" s="1055">
        <f t="shared" si="227"/>
        <v>-96</v>
      </c>
      <c r="GD283" s="139"/>
      <c r="GE283" s="139"/>
      <c r="GF283" s="139"/>
      <c r="GG283" s="139"/>
      <c r="GH283" s="139"/>
      <c r="GI283" s="139"/>
      <c r="GJ283" s="139"/>
      <c r="GK283" s="139"/>
    </row>
    <row r="284" spans="1:202">
      <c r="F284" s="1070"/>
      <c r="G284" s="1071"/>
      <c r="R284" s="932"/>
      <c r="S284" s="139"/>
      <c r="U284" s="322"/>
      <c r="W284" s="322"/>
      <c r="X284" s="322"/>
      <c r="Y284" s="322"/>
      <c r="AA284" s="322"/>
      <c r="AC284" s="322"/>
      <c r="AE284" s="322"/>
      <c r="AF284" s="322"/>
      <c r="AG284" s="322"/>
      <c r="AH284" s="322"/>
      <c r="AJ284" s="322"/>
      <c r="AK284" s="322"/>
      <c r="AL284" s="322"/>
      <c r="AM284" s="1038"/>
      <c r="AO284" s="322"/>
      <c r="AQ284" s="322"/>
      <c r="AR284" s="322"/>
      <c r="AS284" s="322"/>
      <c r="AU284" s="322"/>
      <c r="AW284" s="322"/>
      <c r="AX284" s="322"/>
      <c r="AY284" s="322"/>
      <c r="AZ284" s="322"/>
      <c r="BA284" s="322"/>
      <c r="BB284" s="322"/>
      <c r="BC284" s="322"/>
      <c r="BE284" s="322"/>
      <c r="BG284" s="322"/>
      <c r="BH284" s="322"/>
      <c r="BI284" s="322"/>
      <c r="BJ284" s="322"/>
      <c r="BK284" s="322"/>
      <c r="BL284" s="228"/>
      <c r="BM284" s="322"/>
      <c r="BN284" s="322"/>
      <c r="BO284" s="322"/>
      <c r="BP284" s="228"/>
      <c r="BQ284" s="228"/>
      <c r="BR284" s="322"/>
      <c r="BS284" s="322"/>
      <c r="BU284" s="322"/>
      <c r="BV284" s="929"/>
      <c r="CA284" s="901"/>
      <c r="CB284" s="230"/>
      <c r="CC284" s="1039"/>
      <c r="CF284" s="322"/>
      <c r="CG284" s="322"/>
      <c r="CH284" s="322"/>
      <c r="CJ284" s="228"/>
      <c r="CL284" s="322"/>
      <c r="CN284" s="1040"/>
      <c r="CO284" s="1040"/>
      <c r="CP284" s="1040"/>
      <c r="CR284" s="1040"/>
      <c r="CS284" s="1040"/>
      <c r="CT284" s="1040"/>
      <c r="CU284" s="1040"/>
      <c r="CV284" s="1040"/>
      <c r="CX284" s="1040"/>
      <c r="CY284" s="1040"/>
      <c r="CZ284" s="1040"/>
      <c r="DA284" s="1040"/>
      <c r="DB284" s="1040"/>
      <c r="DC284" s="1040"/>
      <c r="DD284" s="1040"/>
      <c r="DF284" s="1040"/>
      <c r="DH284" s="322"/>
      <c r="DX284" s="139"/>
      <c r="DY284" s="981"/>
      <c r="FP284" s="322"/>
      <c r="FQ284" s="322"/>
      <c r="FR284" s="322"/>
      <c r="FS284" s="322"/>
      <c r="FT284" s="322"/>
      <c r="FU284" s="322"/>
      <c r="FV284" s="322"/>
      <c r="FW284" s="322"/>
      <c r="FX284" s="322"/>
      <c r="FY284" s="322"/>
      <c r="FZ284" s="139"/>
      <c r="GA284" s="228"/>
      <c r="GC284" s="1071"/>
    </row>
    <row r="285" spans="1:202" s="1100" customFormat="1" ht="12.75">
      <c r="A285" s="1098"/>
      <c r="B285" s="1099" t="s">
        <v>917</v>
      </c>
      <c r="F285" s="1101"/>
      <c r="G285" s="1102"/>
      <c r="I285" s="1103"/>
      <c r="R285" s="1104"/>
      <c r="T285" s="1105">
        <f t="shared" ref="T285:AY285" si="239">SUM(T5:T283)</f>
        <v>653118.46399999992</v>
      </c>
      <c r="U285" s="1105">
        <f t="shared" si="239"/>
        <v>653118.46399999992</v>
      </c>
      <c r="V285" s="1105">
        <f t="shared" si="239"/>
        <v>1955766.75</v>
      </c>
      <c r="W285" s="1105">
        <f t="shared" si="239"/>
        <v>1955766.75</v>
      </c>
      <c r="X285" s="1105">
        <f t="shared" si="239"/>
        <v>94984</v>
      </c>
      <c r="Y285" s="1105">
        <f t="shared" si="239"/>
        <v>1908492.94</v>
      </c>
      <c r="Z285" s="1105">
        <f t="shared" si="239"/>
        <v>47273.81</v>
      </c>
      <c r="AA285" s="1105">
        <f t="shared" si="239"/>
        <v>47273.81</v>
      </c>
      <c r="AB285" s="1105">
        <f t="shared" si="239"/>
        <v>82512.3</v>
      </c>
      <c r="AC285" s="1105">
        <f t="shared" si="239"/>
        <v>82512.3</v>
      </c>
      <c r="AD285" s="1105">
        <f t="shared" si="239"/>
        <v>382399.57999999996</v>
      </c>
      <c r="AE285" s="1105">
        <f t="shared" si="239"/>
        <v>382399.57999999996</v>
      </c>
      <c r="AF285" s="1105">
        <f t="shared" si="239"/>
        <v>31766</v>
      </c>
      <c r="AG285" s="1105">
        <f t="shared" si="239"/>
        <v>350633.57999999996</v>
      </c>
      <c r="AH285" s="1105">
        <f t="shared" si="239"/>
        <v>0</v>
      </c>
      <c r="AI285" s="1105">
        <f t="shared" si="239"/>
        <v>81570</v>
      </c>
      <c r="AJ285" s="1105">
        <f t="shared" si="239"/>
        <v>81570</v>
      </c>
      <c r="AK285" s="1105">
        <f t="shared" si="239"/>
        <v>530378.56000000006</v>
      </c>
      <c r="AL285" s="1105">
        <f t="shared" si="239"/>
        <v>530378.56000000006</v>
      </c>
      <c r="AM285" s="1105">
        <f t="shared" si="239"/>
        <v>0</v>
      </c>
      <c r="AN285" s="1105">
        <f t="shared" si="239"/>
        <v>267898</v>
      </c>
      <c r="AO285" s="1105">
        <f t="shared" si="239"/>
        <v>267898</v>
      </c>
      <c r="AP285" s="1105">
        <f t="shared" si="239"/>
        <v>197860.5</v>
      </c>
      <c r="AQ285" s="1105">
        <f t="shared" si="239"/>
        <v>197860.5</v>
      </c>
      <c r="AR285" s="1105">
        <f t="shared" si="239"/>
        <v>82591</v>
      </c>
      <c r="AS285" s="1105">
        <f t="shared" si="239"/>
        <v>82591</v>
      </c>
      <c r="AT285" s="1105">
        <f t="shared" si="239"/>
        <v>26760</v>
      </c>
      <c r="AU285" s="1105">
        <f t="shared" si="239"/>
        <v>26760</v>
      </c>
      <c r="AV285" s="1105">
        <f t="shared" si="239"/>
        <v>303141</v>
      </c>
      <c r="AW285" s="1105">
        <f t="shared" si="239"/>
        <v>303141</v>
      </c>
      <c r="AX285" s="1105">
        <f t="shared" si="239"/>
        <v>63681</v>
      </c>
      <c r="AY285" s="1105">
        <f t="shared" si="239"/>
        <v>81951</v>
      </c>
      <c r="AZ285" s="1105">
        <f t="shared" ref="AZ285:BU285" si="240">SUM(AZ5:AZ283)</f>
        <v>25371</v>
      </c>
      <c r="BA285" s="1105">
        <f t="shared" si="240"/>
        <v>0</v>
      </c>
      <c r="BB285" s="1105">
        <f t="shared" si="240"/>
        <v>93020</v>
      </c>
      <c r="BC285" s="1105">
        <f t="shared" si="240"/>
        <v>39118</v>
      </c>
      <c r="BD285" s="1105">
        <f t="shared" si="240"/>
        <v>2608885</v>
      </c>
      <c r="BE285" s="1105">
        <f t="shared" si="240"/>
        <v>2608885</v>
      </c>
      <c r="BF285" s="1105">
        <f t="shared" si="240"/>
        <v>671</v>
      </c>
      <c r="BG285" s="1105">
        <f t="shared" si="240"/>
        <v>671</v>
      </c>
      <c r="BH285" s="1105">
        <f t="shared" si="240"/>
        <v>25.9</v>
      </c>
      <c r="BI285" s="1105">
        <f t="shared" si="240"/>
        <v>25.9</v>
      </c>
      <c r="BJ285" s="1105">
        <f t="shared" si="240"/>
        <v>1939</v>
      </c>
      <c r="BK285" s="1105">
        <f t="shared" si="240"/>
        <v>5682</v>
      </c>
      <c r="BL285" s="1105">
        <f t="shared" si="240"/>
        <v>246.00000000000003</v>
      </c>
      <c r="BM285" s="1105">
        <f t="shared" si="240"/>
        <v>0</v>
      </c>
      <c r="BN285" s="1105">
        <f t="shared" si="240"/>
        <v>259.78941666666663</v>
      </c>
      <c r="BO285" s="1105">
        <f t="shared" si="240"/>
        <v>48.703000000000003</v>
      </c>
      <c r="BP285" s="1105">
        <f t="shared" si="240"/>
        <v>0</v>
      </c>
      <c r="BQ285" s="1105">
        <f t="shared" si="240"/>
        <v>1156.8091666666667</v>
      </c>
      <c r="BR285" s="1105">
        <f t="shared" si="240"/>
        <v>7.4340000000000002</v>
      </c>
      <c r="BS285" s="1105">
        <f t="shared" si="240"/>
        <v>0</v>
      </c>
      <c r="BT285" s="1105">
        <f t="shared" si="240"/>
        <v>1718.7355833333334</v>
      </c>
      <c r="BU285" s="1105">
        <f t="shared" si="240"/>
        <v>1718.7355833333334</v>
      </c>
      <c r="BW285" s="1106"/>
      <c r="CA285" s="1107"/>
      <c r="CB285" s="1108"/>
      <c r="CC285" s="1109">
        <f t="shared" ref="CC285:DX285" si="241">SUM(CC5:CC283)</f>
        <v>9565216.4699999969</v>
      </c>
      <c r="CD285" s="1109">
        <f t="shared" si="241"/>
        <v>9565216.4699999988</v>
      </c>
      <c r="CE285" s="1109">
        <f t="shared" si="241"/>
        <v>1693957.5999999999</v>
      </c>
      <c r="CF285" s="1109">
        <f t="shared" si="241"/>
        <v>1693957.5999999996</v>
      </c>
      <c r="CG285" s="1109">
        <f t="shared" si="241"/>
        <v>1626515.6999999997</v>
      </c>
      <c r="CH285" s="1109">
        <f t="shared" si="241"/>
        <v>1626515.6999999997</v>
      </c>
      <c r="CI285" s="1109">
        <f t="shared" si="241"/>
        <v>67441.899999999994</v>
      </c>
      <c r="CJ285" s="1109">
        <f t="shared" si="241"/>
        <v>67441.899999999994</v>
      </c>
      <c r="CK285" s="1109">
        <f t="shared" si="241"/>
        <v>112788</v>
      </c>
      <c r="CL285" s="1109">
        <f t="shared" si="241"/>
        <v>112788</v>
      </c>
      <c r="CM285" s="1109">
        <f t="shared" si="241"/>
        <v>1122020.8500000001</v>
      </c>
      <c r="CN285" s="1109">
        <f t="shared" si="241"/>
        <v>1122020.8500000003</v>
      </c>
      <c r="CO285" s="1109">
        <f t="shared" si="241"/>
        <v>0</v>
      </c>
      <c r="CP285" s="1109">
        <f t="shared" si="241"/>
        <v>0</v>
      </c>
      <c r="CQ285" s="1109">
        <f t="shared" si="241"/>
        <v>54750</v>
      </c>
      <c r="CR285" s="1109">
        <f t="shared" si="241"/>
        <v>54750</v>
      </c>
      <c r="CS285" s="1109">
        <f t="shared" si="241"/>
        <v>0</v>
      </c>
      <c r="CT285" s="1109">
        <f t="shared" si="241"/>
        <v>0</v>
      </c>
      <c r="CU285" s="1109">
        <f t="shared" si="241"/>
        <v>0</v>
      </c>
      <c r="CV285" s="1109">
        <f t="shared" si="241"/>
        <v>0</v>
      </c>
      <c r="CW285" s="1109">
        <f t="shared" si="241"/>
        <v>306643</v>
      </c>
      <c r="CX285" s="1109">
        <f t="shared" si="241"/>
        <v>306643</v>
      </c>
      <c r="CY285" s="1109">
        <f t="shared" si="241"/>
        <v>63681</v>
      </c>
      <c r="CZ285" s="1109">
        <f t="shared" si="241"/>
        <v>85453</v>
      </c>
      <c r="DA285" s="1109">
        <f t="shared" si="241"/>
        <v>25371</v>
      </c>
      <c r="DB285" s="1109">
        <f t="shared" si="241"/>
        <v>0</v>
      </c>
      <c r="DC285" s="1109">
        <f t="shared" si="241"/>
        <v>93020</v>
      </c>
      <c r="DD285" s="1109">
        <f t="shared" si="241"/>
        <v>39118</v>
      </c>
      <c r="DE285" s="1109">
        <f t="shared" si="241"/>
        <v>11259174.269999996</v>
      </c>
      <c r="DF285" s="1109">
        <f t="shared" si="241"/>
        <v>11259174.269999996</v>
      </c>
      <c r="DG285" s="1109">
        <f t="shared" si="241"/>
        <v>9567.7485699999997</v>
      </c>
      <c r="DH285" s="1109">
        <f t="shared" si="241"/>
        <v>9567.7485699999961</v>
      </c>
      <c r="DI285" s="1109">
        <f t="shared" si="241"/>
        <v>9301.1316899999983</v>
      </c>
      <c r="DJ285" s="1109">
        <f t="shared" si="241"/>
        <v>9301.1316899999965</v>
      </c>
      <c r="DK285" s="1109">
        <f t="shared" si="241"/>
        <v>25764.470489899999</v>
      </c>
      <c r="DL285" s="1109">
        <f t="shared" si="241"/>
        <v>4639</v>
      </c>
      <c r="DM285" s="1109">
        <f t="shared" si="241"/>
        <v>24.08</v>
      </c>
      <c r="DN285" s="1109">
        <f t="shared" si="241"/>
        <v>24</v>
      </c>
      <c r="DO285" s="1109">
        <f t="shared" si="241"/>
        <v>0</v>
      </c>
      <c r="DP285" s="1109">
        <f t="shared" si="241"/>
        <v>2167.5871924999997</v>
      </c>
      <c r="DQ285" s="1109">
        <f t="shared" si="241"/>
        <v>1216.3689499999998</v>
      </c>
      <c r="DR285" s="1109">
        <f t="shared" si="241"/>
        <v>10.148</v>
      </c>
      <c r="DS285" s="1109">
        <f t="shared" si="241"/>
        <v>0</v>
      </c>
      <c r="DT285" s="1109">
        <f t="shared" si="241"/>
        <v>0</v>
      </c>
      <c r="DU285" s="1109">
        <f t="shared" si="241"/>
        <v>0</v>
      </c>
      <c r="DV285" s="1109">
        <f t="shared" si="241"/>
        <v>248.15899999999999</v>
      </c>
      <c r="DW285" s="1109">
        <f t="shared" si="241"/>
        <v>1641.6759499999998</v>
      </c>
      <c r="DX285" s="1109">
        <f t="shared" si="241"/>
        <v>1641.6759500000003</v>
      </c>
      <c r="DY285" s="1109"/>
      <c r="DZ285" s="1109">
        <f t="shared" ref="DZ285:GC285" si="242">SUM(DZ5:DZ283)</f>
        <v>8759704.3559999987</v>
      </c>
      <c r="EA285" s="1109">
        <f t="shared" si="242"/>
        <v>-261809.14999999994</v>
      </c>
      <c r="EB285" s="1109">
        <f t="shared" si="242"/>
        <v>-261809.14999999994</v>
      </c>
      <c r="EC285" s="1109">
        <f t="shared" si="242"/>
        <v>246828.14999999997</v>
      </c>
      <c r="ED285" s="1109">
        <f t="shared" si="242"/>
        <v>246828.14999999997</v>
      </c>
      <c r="EE285" s="1109">
        <f t="shared" si="242"/>
        <v>1022101.77</v>
      </c>
      <c r="EF285" s="1109">
        <f t="shared" si="242"/>
        <v>563783.94000000006</v>
      </c>
      <c r="EG285" s="1109">
        <f t="shared" si="242"/>
        <v>563783.94000000018</v>
      </c>
      <c r="EH285" s="1109">
        <f t="shared" si="242"/>
        <v>30275.700000000004</v>
      </c>
      <c r="EI285" s="1109">
        <f t="shared" si="242"/>
        <v>30275.700000000004</v>
      </c>
      <c r="EJ285" s="1109">
        <f t="shared" si="242"/>
        <v>20168.089999999997</v>
      </c>
      <c r="EK285" s="1109">
        <f t="shared" si="242"/>
        <v>20168.089999999997</v>
      </c>
      <c r="EL285" s="1109">
        <f t="shared" si="242"/>
        <v>-381166.57999999996</v>
      </c>
      <c r="EM285" s="1109">
        <f t="shared" si="242"/>
        <v>-381166.57999999996</v>
      </c>
      <c r="EN285" s="1109">
        <f t="shared" si="242"/>
        <v>0</v>
      </c>
      <c r="EO285" s="1109">
        <f t="shared" si="242"/>
        <v>0</v>
      </c>
      <c r="EP285" s="1109">
        <f t="shared" si="242"/>
        <v>-26820</v>
      </c>
      <c r="EQ285" s="1109">
        <f t="shared" si="242"/>
        <v>-26820</v>
      </c>
      <c r="ER285" s="1109">
        <f t="shared" si="242"/>
        <v>-267898</v>
      </c>
      <c r="ES285" s="1109">
        <f t="shared" si="242"/>
        <v>-267898</v>
      </c>
      <c r="ET285" s="1109">
        <f t="shared" si="242"/>
        <v>-197860.5</v>
      </c>
      <c r="EU285" s="1109">
        <f t="shared" si="242"/>
        <v>-197860.5</v>
      </c>
      <c r="EV285" s="1109">
        <f t="shared" si="242"/>
        <v>-82591</v>
      </c>
      <c r="EW285" s="1109">
        <f t="shared" si="242"/>
        <v>-82591</v>
      </c>
      <c r="EX285" s="1109">
        <f t="shared" si="242"/>
        <v>-26760</v>
      </c>
      <c r="EY285" s="1109">
        <f t="shared" si="242"/>
        <v>-26760</v>
      </c>
      <c r="EZ285" s="1109">
        <f t="shared" si="242"/>
        <v>0</v>
      </c>
      <c r="FA285" s="1109">
        <f t="shared" si="242"/>
        <v>0</v>
      </c>
      <c r="FB285" s="1109">
        <f t="shared" si="242"/>
        <v>3502</v>
      </c>
      <c r="FC285" s="1109">
        <f t="shared" si="242"/>
        <v>3502</v>
      </c>
      <c r="FD285" s="1109">
        <f t="shared" si="242"/>
        <v>0</v>
      </c>
      <c r="FE285" s="1109">
        <f t="shared" si="242"/>
        <v>0</v>
      </c>
      <c r="FF285" s="1109">
        <f t="shared" si="242"/>
        <v>0</v>
      </c>
      <c r="FG285" s="1109">
        <f t="shared" si="242"/>
        <v>0</v>
      </c>
      <c r="FH285" s="1109">
        <f t="shared" si="242"/>
        <v>0</v>
      </c>
      <c r="FI285" s="1109">
        <f t="shared" si="242"/>
        <v>0</v>
      </c>
      <c r="FJ285" s="1109">
        <f t="shared" si="242"/>
        <v>3502</v>
      </c>
      <c r="FK285" s="1109">
        <f t="shared" si="242"/>
        <v>3502</v>
      </c>
      <c r="FL285" s="1109">
        <f t="shared" si="242"/>
        <v>8650289.2699999958</v>
      </c>
      <c r="FM285" s="1109">
        <f t="shared" si="242"/>
        <v>8650289.2699999958</v>
      </c>
      <c r="FN285" s="1109">
        <f t="shared" si="242"/>
        <v>8896.7485699999997</v>
      </c>
      <c r="FO285" s="1109">
        <f t="shared" si="242"/>
        <v>8896.7485699999961</v>
      </c>
      <c r="FP285" s="1109">
        <f t="shared" si="242"/>
        <v>9275.2316899999987</v>
      </c>
      <c r="FQ285" s="1109">
        <f t="shared" si="242"/>
        <v>9275.2316899999987</v>
      </c>
      <c r="FR285" s="1109">
        <f t="shared" si="242"/>
        <v>23723.146148399999</v>
      </c>
      <c r="FS285" s="1109">
        <f t="shared" si="242"/>
        <v>-987.40625</v>
      </c>
      <c r="FT285" s="1109">
        <f t="shared" si="242"/>
        <v>-163.78000000000003</v>
      </c>
      <c r="FU285" s="1109">
        <f t="shared" si="242"/>
        <v>-24.554999999999996</v>
      </c>
      <c r="FV285" s="1109">
        <f t="shared" si="242"/>
        <v>0</v>
      </c>
      <c r="FW285" s="1109">
        <f t="shared" si="242"/>
        <v>949.32223333333309</v>
      </c>
      <c r="FX285" s="1109">
        <f t="shared" si="242"/>
        <v>0</v>
      </c>
      <c r="FY285" s="1109">
        <f t="shared" si="242"/>
        <v>-1152.4988166666667</v>
      </c>
      <c r="FZ285" s="1109">
        <f t="shared" si="242"/>
        <v>-7.4340000000000002</v>
      </c>
      <c r="GA285" s="1109">
        <f t="shared" si="242"/>
        <v>248.15899999999999</v>
      </c>
      <c r="GB285" s="1109">
        <f t="shared" si="242"/>
        <v>-150.78658333333334</v>
      </c>
      <c r="GC285" s="1109">
        <f t="shared" si="242"/>
        <v>-150.78658333333345</v>
      </c>
      <c r="GD285" s="1110"/>
      <c r="GE285" s="1111"/>
      <c r="GF285" s="1111"/>
      <c r="GG285" s="1111"/>
      <c r="GH285" s="1111"/>
    </row>
    <row r="286" spans="1:202">
      <c r="E286" s="127"/>
      <c r="F286" s="1112"/>
      <c r="G286" s="127"/>
      <c r="H286" s="139"/>
      <c r="R286" s="127"/>
      <c r="S286" s="139"/>
      <c r="U286" s="322"/>
      <c r="W286" s="322"/>
      <c r="X286" s="322"/>
      <c r="Y286" s="322"/>
      <c r="AA286" s="322"/>
      <c r="AC286" s="322"/>
      <c r="AE286" s="322"/>
      <c r="AF286" s="322"/>
      <c r="AG286" s="322"/>
      <c r="AH286" s="322"/>
      <c r="AJ286" s="322"/>
      <c r="AK286" s="322"/>
      <c r="AL286" s="322"/>
      <c r="AM286" s="1038"/>
      <c r="AO286" s="322"/>
      <c r="AQ286" s="322"/>
      <c r="AR286" s="322"/>
      <c r="AS286" s="322"/>
      <c r="AU286" s="322"/>
      <c r="AW286" s="322"/>
      <c r="AX286" s="322"/>
      <c r="AY286" s="322"/>
      <c r="AZ286" s="322"/>
      <c r="BA286" s="322"/>
      <c r="BB286" s="322"/>
      <c r="BC286" s="322"/>
      <c r="BE286" s="322"/>
      <c r="BG286" s="322"/>
      <c r="BH286" s="322"/>
      <c r="BI286" s="322"/>
      <c r="BJ286" s="322"/>
      <c r="BK286" s="322"/>
      <c r="BL286" s="322"/>
      <c r="BM286" s="322"/>
      <c r="BN286" s="322"/>
      <c r="BO286" s="322"/>
      <c r="BP286" s="322"/>
      <c r="BQ286" s="322"/>
      <c r="BR286" s="322"/>
      <c r="BS286" s="322"/>
      <c r="BU286" s="322"/>
      <c r="BV286" s="127"/>
      <c r="BW286" s="139"/>
      <c r="CA286" s="767"/>
      <c r="CC286" s="1039"/>
      <c r="CF286" s="322"/>
      <c r="CG286" s="322"/>
      <c r="CH286" s="322"/>
      <c r="CJ286" s="322"/>
      <c r="CL286" s="322"/>
      <c r="CN286" s="1040"/>
      <c r="CO286" s="1040"/>
      <c r="CP286" s="1040"/>
      <c r="CR286" s="1040"/>
      <c r="CS286" s="1040"/>
      <c r="CT286" s="1040"/>
      <c r="CU286" s="1040"/>
      <c r="CV286" s="1040"/>
      <c r="CX286" s="1040"/>
      <c r="CY286" s="1040"/>
      <c r="CZ286" s="1040"/>
      <c r="DA286" s="1040"/>
      <c r="DB286" s="1040"/>
      <c r="DC286" s="1040"/>
      <c r="DD286" s="1040"/>
      <c r="DF286" s="1040"/>
      <c r="DH286" s="322"/>
      <c r="DX286" s="127"/>
      <c r="DY286" s="634"/>
      <c r="FP286" s="322"/>
      <c r="FQ286" s="322"/>
      <c r="FR286" s="322"/>
      <c r="FS286" s="322"/>
      <c r="FT286" s="322"/>
      <c r="FU286" s="322"/>
      <c r="FV286" s="322"/>
      <c r="FW286" s="322"/>
      <c r="FX286" s="322"/>
      <c r="FY286" s="322"/>
      <c r="FZ286" s="127"/>
      <c r="GA286" s="322"/>
    </row>
    <row r="287" spans="1:202">
      <c r="E287" s="139"/>
      <c r="F287" s="921"/>
      <c r="G287" s="139"/>
      <c r="H287" s="139"/>
      <c r="R287" s="139"/>
      <c r="S287" s="139"/>
      <c r="U287" s="322"/>
      <c r="W287" s="322"/>
      <c r="X287" s="322"/>
      <c r="Y287" s="322"/>
      <c r="AA287" s="322"/>
      <c r="AC287" s="322"/>
      <c r="AE287" s="322"/>
      <c r="AF287" s="322"/>
      <c r="AG287" s="322"/>
      <c r="AH287" s="322"/>
      <c r="AJ287" s="322"/>
      <c r="AK287" s="322"/>
      <c r="AL287" s="322"/>
      <c r="AM287" s="1038"/>
      <c r="AO287" s="322"/>
      <c r="AQ287" s="322"/>
      <c r="AR287" s="322"/>
      <c r="AS287" s="322"/>
      <c r="AU287" s="322"/>
      <c r="AW287" s="322"/>
      <c r="AX287" s="322"/>
      <c r="AY287" s="322"/>
      <c r="AZ287" s="322"/>
      <c r="BA287" s="322"/>
      <c r="BB287" s="322"/>
      <c r="BC287" s="322"/>
      <c r="BE287" s="322"/>
      <c r="BG287" s="322"/>
      <c r="BH287" s="322"/>
      <c r="BI287" s="322"/>
      <c r="BJ287" s="322"/>
      <c r="BK287" s="322"/>
      <c r="BL287" s="322"/>
      <c r="BM287" s="322"/>
      <c r="BN287" s="322"/>
      <c r="BO287" s="322"/>
      <c r="BP287" s="322"/>
      <c r="BQ287" s="322"/>
      <c r="BR287" s="322"/>
      <c r="BS287" s="322"/>
      <c r="BU287" s="322"/>
      <c r="BV287" s="139"/>
      <c r="BW287" s="139"/>
      <c r="CA287" s="781"/>
      <c r="CB287" s="2258"/>
      <c r="CC287" s="1039"/>
      <c r="CF287" s="322"/>
      <c r="CG287" s="322"/>
      <c r="CH287" s="322"/>
      <c r="CJ287" s="322"/>
      <c r="CL287" s="322"/>
      <c r="CN287" s="1040"/>
      <c r="CO287" s="1040"/>
      <c r="CP287" s="1040"/>
      <c r="CR287" s="1040"/>
      <c r="CS287" s="1040"/>
      <c r="CT287" s="1040"/>
      <c r="CU287" s="1040"/>
      <c r="CV287" s="1040"/>
      <c r="CX287" s="1040"/>
      <c r="CY287" s="1040"/>
      <c r="CZ287" s="1040"/>
      <c r="DA287" s="1040"/>
      <c r="DB287" s="1040"/>
      <c r="DC287" s="1040"/>
      <c r="DD287" s="1040"/>
      <c r="DF287" s="1040"/>
      <c r="DH287" s="322"/>
      <c r="DX287" s="139"/>
      <c r="DY287" s="634"/>
      <c r="FP287" s="322"/>
      <c r="FQ287" s="322"/>
      <c r="FR287" s="322"/>
      <c r="FS287" s="322"/>
      <c r="FT287" s="322"/>
      <c r="FU287" s="322"/>
      <c r="FV287" s="322"/>
      <c r="FW287" s="322"/>
      <c r="FX287" s="322"/>
      <c r="FY287" s="322"/>
      <c r="FZ287" s="139"/>
      <c r="GA287" s="322"/>
    </row>
    <row r="288" spans="1:202">
      <c r="E288" s="139"/>
      <c r="F288" s="921"/>
      <c r="G288" s="139"/>
      <c r="H288" s="139"/>
      <c r="R288" s="139"/>
      <c r="S288" s="139"/>
      <c r="U288" s="322"/>
      <c r="W288" s="322"/>
      <c r="X288" s="322"/>
      <c r="Y288" s="322"/>
      <c r="AA288" s="322"/>
      <c r="AC288" s="322"/>
      <c r="AE288" s="322"/>
      <c r="AF288" s="322"/>
      <c r="AG288" s="322"/>
      <c r="AH288" s="322"/>
      <c r="AJ288" s="322"/>
      <c r="AK288" s="322"/>
      <c r="AL288" s="322"/>
      <c r="AM288" s="1038"/>
      <c r="AO288" s="322"/>
      <c r="AQ288" s="322"/>
      <c r="AR288" s="322"/>
      <c r="AS288" s="322"/>
      <c r="AU288" s="322"/>
      <c r="AW288" s="322"/>
      <c r="AX288" s="322"/>
      <c r="AY288" s="322"/>
      <c r="AZ288" s="322"/>
      <c r="BA288" s="322"/>
      <c r="BB288" s="322"/>
      <c r="BC288" s="322"/>
      <c r="BE288" s="322"/>
      <c r="BG288" s="322"/>
      <c r="BH288" s="322"/>
      <c r="BI288" s="322"/>
      <c r="BJ288" s="322"/>
      <c r="BK288" s="322"/>
      <c r="BL288" s="322"/>
      <c r="BM288" s="322"/>
      <c r="BN288" s="322"/>
      <c r="BO288" s="322"/>
      <c r="BP288" s="322"/>
      <c r="BQ288" s="322"/>
      <c r="BR288" s="322"/>
      <c r="BS288" s="322"/>
      <c r="BU288" s="322"/>
      <c r="BV288" s="139"/>
      <c r="BW288" s="139"/>
      <c r="CA288" s="781"/>
      <c r="CB288" s="2258"/>
      <c r="CC288" s="1039"/>
      <c r="CF288" s="322"/>
      <c r="CG288" s="322"/>
      <c r="CH288" s="322"/>
      <c r="CJ288" s="322"/>
      <c r="CL288" s="322"/>
      <c r="CN288" s="1040"/>
      <c r="CO288" s="1040"/>
      <c r="CP288" s="1040"/>
      <c r="CR288" s="1040"/>
      <c r="CS288" s="1040"/>
      <c r="CT288" s="1040"/>
      <c r="CU288" s="1040"/>
      <c r="CV288" s="1040"/>
      <c r="CX288" s="1040"/>
      <c r="CY288" s="1040"/>
      <c r="CZ288" s="1040"/>
      <c r="DA288" s="1040"/>
      <c r="DB288" s="1040"/>
      <c r="DC288" s="1040"/>
      <c r="DD288" s="1040"/>
      <c r="DF288" s="1040"/>
      <c r="DH288" s="322"/>
      <c r="DX288" s="139"/>
      <c r="DY288" s="634"/>
      <c r="FP288" s="322"/>
      <c r="FQ288" s="322"/>
      <c r="FR288" s="322"/>
      <c r="FS288" s="322"/>
      <c r="FT288" s="322"/>
      <c r="FU288" s="322"/>
      <c r="FV288" s="322"/>
      <c r="FW288" s="322"/>
      <c r="FX288" s="322"/>
      <c r="FY288" s="322"/>
      <c r="FZ288" s="139"/>
      <c r="GA288" s="322"/>
    </row>
    <row r="289" spans="5:193">
      <c r="E289" s="139"/>
      <c r="F289" s="921"/>
      <c r="G289" s="139"/>
      <c r="H289" s="139"/>
      <c r="R289" s="139"/>
      <c r="S289" s="139"/>
      <c r="U289" s="322"/>
      <c r="W289" s="322"/>
      <c r="X289" s="322"/>
      <c r="Y289" s="322"/>
      <c r="AA289" s="322"/>
      <c r="AC289" s="322"/>
      <c r="AE289" s="322"/>
      <c r="AF289" s="322"/>
      <c r="AG289" s="322"/>
      <c r="AH289" s="322"/>
      <c r="AJ289" s="322"/>
      <c r="AK289" s="322"/>
      <c r="AL289" s="322"/>
      <c r="AM289" s="1038"/>
      <c r="AO289" s="322"/>
      <c r="AQ289" s="322"/>
      <c r="AR289" s="322"/>
      <c r="AS289" s="322"/>
      <c r="AU289" s="322"/>
      <c r="AW289" s="322"/>
      <c r="AX289" s="322"/>
      <c r="AY289" s="322"/>
      <c r="AZ289" s="322"/>
      <c r="BA289" s="322"/>
      <c r="BB289" s="322"/>
      <c r="BC289" s="322"/>
      <c r="BE289" s="322"/>
      <c r="BG289" s="322"/>
      <c r="BH289" s="322"/>
      <c r="BI289" s="322"/>
      <c r="BJ289" s="322"/>
      <c r="BK289" s="322"/>
      <c r="BL289" s="322"/>
      <c r="BM289" s="322"/>
      <c r="BN289" s="322"/>
      <c r="BO289" s="322"/>
      <c r="BP289" s="322"/>
      <c r="BQ289" s="322"/>
      <c r="BR289" s="322"/>
      <c r="BS289" s="322"/>
      <c r="BU289" s="322"/>
      <c r="BV289" s="139"/>
      <c r="BW289" s="139"/>
      <c r="CA289" s="781"/>
      <c r="CB289" s="2258"/>
      <c r="CC289" s="1039"/>
      <c r="CF289" s="322"/>
      <c r="CG289" s="322"/>
      <c r="CH289" s="322"/>
      <c r="CJ289" s="322"/>
      <c r="CL289" s="322"/>
      <c r="CN289" s="1040"/>
      <c r="CO289" s="1040"/>
      <c r="CP289" s="1040"/>
      <c r="CR289" s="1040"/>
      <c r="CS289" s="1040"/>
      <c r="CT289" s="1040"/>
      <c r="CU289" s="1040"/>
      <c r="CV289" s="1040"/>
      <c r="CX289" s="1040"/>
      <c r="CY289" s="1040"/>
      <c r="CZ289" s="1040"/>
      <c r="DA289" s="1040"/>
      <c r="DB289" s="1040"/>
      <c r="DC289" s="1040"/>
      <c r="DD289" s="1040"/>
      <c r="DF289" s="1040"/>
      <c r="DH289" s="322"/>
      <c r="DX289" s="139"/>
      <c r="DY289" s="634"/>
      <c r="FP289" s="322"/>
      <c r="FQ289" s="322"/>
      <c r="FR289" s="322"/>
      <c r="FS289" s="322"/>
      <c r="FT289" s="322"/>
      <c r="FU289" s="322"/>
      <c r="FV289" s="322"/>
      <c r="FW289" s="322"/>
      <c r="FX289" s="322"/>
      <c r="FY289" s="322"/>
      <c r="FZ289" s="139"/>
      <c r="GA289" s="322"/>
    </row>
    <row r="290" spans="5:193">
      <c r="E290" s="139"/>
      <c r="F290" s="921"/>
      <c r="G290" s="139"/>
      <c r="H290" s="139"/>
      <c r="R290" s="139"/>
      <c r="S290" s="139"/>
      <c r="U290" s="322"/>
      <c r="W290" s="322"/>
      <c r="X290" s="322"/>
      <c r="Y290" s="322"/>
      <c r="AA290" s="322"/>
      <c r="AC290" s="322"/>
      <c r="AE290" s="322"/>
      <c r="AF290" s="322"/>
      <c r="AG290" s="322"/>
      <c r="AH290" s="322"/>
      <c r="AJ290" s="322"/>
      <c r="AK290" s="322"/>
      <c r="AL290" s="322"/>
      <c r="AM290" s="1038"/>
      <c r="AO290" s="322"/>
      <c r="AQ290" s="322"/>
      <c r="AR290" s="322"/>
      <c r="AS290" s="322"/>
      <c r="AU290" s="322"/>
      <c r="AW290" s="322"/>
      <c r="AX290" s="322"/>
      <c r="AY290" s="322"/>
      <c r="AZ290" s="322"/>
      <c r="BA290" s="322"/>
      <c r="BB290" s="322"/>
      <c r="BC290" s="322"/>
      <c r="BE290" s="322"/>
      <c r="BG290" s="322"/>
      <c r="BH290" s="322"/>
      <c r="BI290" s="322"/>
      <c r="BJ290" s="322"/>
      <c r="BK290" s="322"/>
      <c r="BL290" s="322"/>
      <c r="BM290" s="322"/>
      <c r="BN290" s="322"/>
      <c r="BO290" s="322"/>
      <c r="BP290" s="322"/>
      <c r="BQ290" s="322"/>
      <c r="BR290" s="322"/>
      <c r="BS290" s="322"/>
      <c r="BU290" s="322"/>
      <c r="BV290" s="139"/>
      <c r="BW290" s="139"/>
      <c r="CA290" s="781"/>
      <c r="CB290" s="2258"/>
      <c r="CC290" s="1039"/>
      <c r="CF290" s="322"/>
      <c r="CG290" s="322"/>
      <c r="CH290" s="322"/>
      <c r="CJ290" s="322"/>
      <c r="CL290" s="322"/>
      <c r="CN290" s="1040"/>
      <c r="CO290" s="1040"/>
      <c r="CP290" s="1040"/>
      <c r="CR290" s="1040"/>
      <c r="CS290" s="1040"/>
      <c r="CT290" s="1040"/>
      <c r="CU290" s="1040"/>
      <c r="CV290" s="1040"/>
      <c r="CX290" s="1040"/>
      <c r="CY290" s="1040"/>
      <c r="CZ290" s="1040"/>
      <c r="DA290" s="1040"/>
      <c r="DB290" s="1040"/>
      <c r="DC290" s="1040"/>
      <c r="DD290" s="1040"/>
      <c r="DF290" s="1040"/>
      <c r="DH290" s="322"/>
      <c r="DX290" s="139"/>
      <c r="DY290" s="634"/>
      <c r="FP290" s="322"/>
      <c r="FQ290" s="322"/>
      <c r="FR290" s="322"/>
      <c r="FS290" s="322"/>
      <c r="FT290" s="322"/>
      <c r="FU290" s="322"/>
      <c r="FV290" s="322"/>
      <c r="FW290" s="322"/>
      <c r="FX290" s="322"/>
      <c r="FY290" s="322"/>
      <c r="FZ290" s="139"/>
      <c r="GA290" s="322"/>
    </row>
    <row r="291" spans="5:193">
      <c r="E291" s="139"/>
      <c r="F291" s="921"/>
      <c r="G291" s="139"/>
      <c r="H291" s="139"/>
      <c r="R291" s="139"/>
      <c r="S291" s="139"/>
      <c r="U291" s="322"/>
      <c r="W291" s="322"/>
      <c r="X291" s="322"/>
      <c r="Y291" s="322"/>
      <c r="AA291" s="322"/>
      <c r="AC291" s="322"/>
      <c r="AE291" s="322"/>
      <c r="AF291" s="322"/>
      <c r="AG291" s="322"/>
      <c r="AH291" s="322"/>
      <c r="AJ291" s="322"/>
      <c r="AK291" s="322"/>
      <c r="AL291" s="322"/>
      <c r="AM291" s="1038"/>
      <c r="AO291" s="322"/>
      <c r="AQ291" s="322"/>
      <c r="AR291" s="322"/>
      <c r="AS291" s="322"/>
      <c r="AU291" s="322"/>
      <c r="AW291" s="322"/>
      <c r="AX291" s="322"/>
      <c r="AY291" s="322"/>
      <c r="AZ291" s="322"/>
      <c r="BA291" s="322"/>
      <c r="BB291" s="322"/>
      <c r="BC291" s="322"/>
      <c r="BE291" s="322"/>
      <c r="BG291" s="322"/>
      <c r="BH291" s="322"/>
      <c r="BI291" s="322"/>
      <c r="BJ291" s="322"/>
      <c r="BK291" s="322"/>
      <c r="BL291" s="322"/>
      <c r="BM291" s="322"/>
      <c r="BN291" s="322"/>
      <c r="BO291" s="322"/>
      <c r="BP291" s="322"/>
      <c r="BQ291" s="322"/>
      <c r="BR291" s="322"/>
      <c r="BS291" s="322"/>
      <c r="BU291" s="322"/>
      <c r="BV291" s="139"/>
      <c r="BW291" s="139"/>
      <c r="CA291" s="781"/>
      <c r="CB291" s="2258"/>
      <c r="CC291" s="1039"/>
      <c r="CF291" s="322"/>
      <c r="CG291" s="322"/>
      <c r="CH291" s="322"/>
      <c r="CJ291" s="322"/>
      <c r="CL291" s="322"/>
      <c r="CN291" s="1040"/>
      <c r="CO291" s="1040"/>
      <c r="CP291" s="1040"/>
      <c r="CR291" s="1040"/>
      <c r="CS291" s="1040"/>
      <c r="CT291" s="1040"/>
      <c r="CU291" s="1040"/>
      <c r="CV291" s="1040"/>
      <c r="CX291" s="1040"/>
      <c r="CY291" s="1040"/>
      <c r="CZ291" s="1040"/>
      <c r="DA291" s="1040"/>
      <c r="DB291" s="1040"/>
      <c r="DC291" s="1040"/>
      <c r="DD291" s="1040"/>
      <c r="DF291" s="1040"/>
      <c r="DH291" s="322"/>
      <c r="DX291" s="139"/>
      <c r="DY291" s="634"/>
      <c r="FP291" s="322"/>
      <c r="FQ291" s="322"/>
      <c r="FR291" s="322"/>
      <c r="FS291" s="322"/>
      <c r="FT291" s="322"/>
      <c r="FU291" s="322"/>
      <c r="FV291" s="322"/>
      <c r="FW291" s="322"/>
      <c r="FX291" s="322"/>
      <c r="FY291" s="322"/>
      <c r="FZ291" s="139"/>
      <c r="GA291" s="322"/>
    </row>
    <row r="292" spans="5:193">
      <c r="E292" s="139"/>
      <c r="F292" s="921"/>
      <c r="G292" s="139"/>
      <c r="H292" s="139"/>
      <c r="I292" s="627"/>
      <c r="J292" s="139"/>
      <c r="R292" s="139"/>
      <c r="S292" s="139"/>
      <c r="U292" s="322"/>
      <c r="W292" s="322"/>
      <c r="X292" s="322"/>
      <c r="Y292" s="322"/>
      <c r="AA292" s="322"/>
      <c r="AC292" s="322"/>
      <c r="AE292" s="322"/>
      <c r="AF292" s="322"/>
      <c r="AG292" s="322"/>
      <c r="AH292" s="322"/>
      <c r="AJ292" s="322"/>
      <c r="AK292" s="322"/>
      <c r="AL292" s="322"/>
      <c r="AM292" s="1038"/>
      <c r="AO292" s="322"/>
      <c r="AQ292" s="322"/>
      <c r="AR292" s="322"/>
      <c r="AS292" s="322"/>
      <c r="AU292" s="322"/>
      <c r="AW292" s="322"/>
      <c r="AX292" s="322"/>
      <c r="AY292" s="322"/>
      <c r="AZ292" s="322"/>
      <c r="BA292" s="322"/>
      <c r="BB292" s="322"/>
      <c r="BC292" s="322"/>
      <c r="BE292" s="322"/>
      <c r="BG292" s="322"/>
      <c r="BH292" s="322"/>
      <c r="BI292" s="322"/>
      <c r="BJ292" s="322"/>
      <c r="BK292" s="322"/>
      <c r="BL292" s="322"/>
      <c r="BM292" s="322"/>
      <c r="BN292" s="322"/>
      <c r="BO292" s="322"/>
      <c r="BP292" s="322"/>
      <c r="BQ292" s="322"/>
      <c r="BR292" s="322"/>
      <c r="BS292" s="322"/>
      <c r="BU292" s="322"/>
      <c r="BV292" s="139"/>
      <c r="BW292" s="139"/>
      <c r="CA292" s="781"/>
      <c r="CC292" s="1039"/>
      <c r="CF292" s="322"/>
      <c r="CG292" s="322"/>
      <c r="CH292" s="322"/>
      <c r="CJ292" s="322"/>
      <c r="CL292" s="322"/>
      <c r="CN292" s="1040"/>
      <c r="CO292" s="1040"/>
      <c r="CP292" s="1040"/>
      <c r="CR292" s="1040"/>
      <c r="CS292" s="1040"/>
      <c r="CT292" s="1040"/>
      <c r="CU292" s="1040"/>
      <c r="CV292" s="1040"/>
      <c r="CX292" s="1040"/>
      <c r="CY292" s="1040"/>
      <c r="CZ292" s="1040"/>
      <c r="DA292" s="1040"/>
      <c r="DB292" s="1040"/>
      <c r="DC292" s="1040"/>
      <c r="DD292" s="1040"/>
      <c r="DF292" s="1040"/>
      <c r="DH292" s="322"/>
      <c r="DX292" s="139"/>
      <c r="DY292" s="634"/>
      <c r="FP292" s="322"/>
      <c r="FQ292" s="322"/>
      <c r="FR292" s="322"/>
      <c r="FS292" s="322"/>
      <c r="FT292" s="322"/>
      <c r="FU292" s="322"/>
      <c r="FV292" s="322"/>
      <c r="FW292" s="322"/>
      <c r="FX292" s="322"/>
      <c r="FY292" s="322"/>
      <c r="FZ292" s="139"/>
      <c r="GA292" s="139"/>
      <c r="GC292" s="139"/>
      <c r="GD292" s="139"/>
      <c r="GE292" s="139"/>
      <c r="GF292" s="139"/>
      <c r="GG292" s="139"/>
      <c r="GH292" s="139"/>
      <c r="GI292" s="139"/>
      <c r="GJ292" s="139"/>
      <c r="GK292" s="139"/>
    </row>
    <row r="293" spans="5:193">
      <c r="E293" s="139"/>
      <c r="F293" s="921"/>
      <c r="G293" s="139"/>
      <c r="H293" s="139"/>
      <c r="R293" s="139"/>
      <c r="S293" s="139"/>
      <c r="U293" s="322"/>
      <c r="W293" s="322"/>
      <c r="X293" s="322"/>
      <c r="Y293" s="322"/>
      <c r="AA293" s="322"/>
      <c r="AC293" s="322"/>
      <c r="AE293" s="322"/>
      <c r="AF293" s="322"/>
      <c r="AG293" s="322"/>
      <c r="AH293" s="322"/>
      <c r="AJ293" s="322"/>
      <c r="AK293" s="322"/>
      <c r="AL293" s="322"/>
      <c r="AM293" s="1038"/>
      <c r="AO293" s="322"/>
      <c r="AQ293" s="322"/>
      <c r="AR293" s="322"/>
      <c r="AS293" s="322"/>
      <c r="AU293" s="322"/>
      <c r="AW293" s="322"/>
      <c r="AX293" s="322"/>
      <c r="AY293" s="322"/>
      <c r="AZ293" s="322"/>
      <c r="BA293" s="322"/>
      <c r="BB293" s="322"/>
      <c r="BC293" s="322"/>
      <c r="BE293" s="322"/>
      <c r="BG293" s="322"/>
      <c r="BH293" s="322"/>
      <c r="BI293" s="322"/>
      <c r="BJ293" s="322"/>
      <c r="BK293" s="322"/>
      <c r="BL293" s="322"/>
      <c r="BM293" s="322"/>
      <c r="BN293" s="322"/>
      <c r="BO293" s="322"/>
      <c r="BP293" s="322"/>
      <c r="BQ293" s="322"/>
      <c r="BR293" s="322"/>
      <c r="BS293" s="322"/>
      <c r="BU293" s="322"/>
      <c r="BV293" s="139"/>
      <c r="BW293" s="139"/>
      <c r="CA293" s="781"/>
      <c r="CC293" s="1039"/>
      <c r="CF293" s="322"/>
      <c r="CG293" s="322"/>
      <c r="CH293" s="322"/>
      <c r="CJ293" s="322"/>
      <c r="CL293" s="322"/>
      <c r="CN293" s="1040"/>
      <c r="CO293" s="1040"/>
      <c r="CP293" s="1040"/>
      <c r="CR293" s="1040"/>
      <c r="CS293" s="1040"/>
      <c r="CT293" s="1040"/>
      <c r="CU293" s="1040"/>
      <c r="CV293" s="1040"/>
      <c r="CX293" s="1040"/>
      <c r="CY293" s="1040"/>
      <c r="CZ293" s="1040"/>
      <c r="DA293" s="1040"/>
      <c r="DB293" s="1040"/>
      <c r="DC293" s="1040"/>
      <c r="DD293" s="1040"/>
      <c r="DF293" s="1040"/>
      <c r="DH293" s="322"/>
      <c r="DX293" s="139"/>
      <c r="DY293" s="634"/>
      <c r="FP293" s="322"/>
      <c r="FQ293" s="322"/>
      <c r="FR293" s="322"/>
      <c r="FS293" s="322"/>
      <c r="FT293" s="322"/>
      <c r="FU293" s="322"/>
      <c r="FV293" s="322"/>
      <c r="FW293" s="322"/>
      <c r="FX293" s="322"/>
      <c r="FY293" s="322"/>
      <c r="FZ293" s="139"/>
      <c r="GA293" s="322"/>
    </row>
    <row r="294" spans="5:193">
      <c r="F294" s="921"/>
      <c r="G294" s="139"/>
      <c r="H294" s="139"/>
      <c r="I294" s="627"/>
      <c r="J294" s="139"/>
      <c r="R294" s="139"/>
      <c r="S294" s="139"/>
      <c r="U294" s="322"/>
      <c r="W294" s="322"/>
      <c r="X294" s="322"/>
      <c r="Y294" s="322"/>
      <c r="AA294" s="322"/>
      <c r="AC294" s="322"/>
      <c r="AE294" s="322"/>
      <c r="AF294" s="322"/>
      <c r="AG294" s="322"/>
      <c r="AH294" s="322"/>
      <c r="AJ294" s="322"/>
      <c r="AK294" s="322"/>
      <c r="AL294" s="322"/>
      <c r="AM294" s="1038"/>
      <c r="AO294" s="322"/>
      <c r="AQ294" s="322"/>
      <c r="AR294" s="322"/>
      <c r="AS294" s="322"/>
      <c r="AU294" s="322"/>
      <c r="AW294" s="322"/>
      <c r="AX294" s="322"/>
      <c r="AY294" s="322"/>
      <c r="AZ294" s="322"/>
      <c r="BA294" s="322"/>
      <c r="BB294" s="322"/>
      <c r="BC294" s="322"/>
      <c r="BE294" s="322"/>
      <c r="BG294" s="322"/>
      <c r="BH294" s="322"/>
      <c r="BI294" s="322"/>
      <c r="BJ294" s="322"/>
      <c r="BK294" s="322"/>
      <c r="BL294" s="322"/>
      <c r="BM294" s="322"/>
      <c r="BN294" s="322"/>
      <c r="BO294" s="322"/>
      <c r="BP294" s="322"/>
      <c r="BQ294" s="322"/>
      <c r="BR294" s="322"/>
      <c r="BS294" s="322"/>
      <c r="BU294" s="322"/>
      <c r="BV294" s="139"/>
      <c r="BW294" s="139"/>
      <c r="CA294" s="781"/>
      <c r="CC294" s="1039"/>
      <c r="CF294" s="322"/>
      <c r="CG294" s="322"/>
      <c r="CH294" s="322"/>
      <c r="CJ294" s="322"/>
      <c r="CL294" s="322"/>
      <c r="CN294" s="1040"/>
      <c r="CO294" s="1040"/>
      <c r="CP294" s="1040"/>
      <c r="CR294" s="1040"/>
      <c r="CS294" s="1040"/>
      <c r="CT294" s="1040"/>
      <c r="CU294" s="1040"/>
      <c r="CV294" s="1040"/>
      <c r="CX294" s="1040"/>
      <c r="CY294" s="1040"/>
      <c r="CZ294" s="1040"/>
      <c r="DA294" s="1040"/>
      <c r="DB294" s="1040"/>
      <c r="DC294" s="1040"/>
      <c r="DD294" s="1040"/>
      <c r="DF294" s="1040"/>
      <c r="DH294" s="322"/>
      <c r="DX294" s="139"/>
      <c r="DY294" s="634"/>
      <c r="FP294" s="322"/>
      <c r="FQ294" s="322"/>
      <c r="FR294" s="322"/>
      <c r="FS294" s="322"/>
      <c r="FT294" s="322"/>
      <c r="FU294" s="322"/>
      <c r="FV294" s="322"/>
      <c r="FW294" s="322"/>
      <c r="FX294" s="322"/>
      <c r="FY294" s="322"/>
      <c r="FZ294" s="139"/>
      <c r="GA294" s="139"/>
      <c r="GC294" s="139"/>
      <c r="GD294" s="139"/>
      <c r="GE294" s="139"/>
      <c r="GF294" s="139"/>
      <c r="GG294" s="139"/>
      <c r="GH294" s="139"/>
      <c r="GI294" s="139"/>
      <c r="GJ294" s="139"/>
      <c r="GK294" s="139"/>
    </row>
    <row r="295" spans="5:193">
      <c r="F295" s="921"/>
      <c r="G295" s="139"/>
      <c r="H295" s="139"/>
      <c r="I295" s="627"/>
      <c r="J295" s="139"/>
      <c r="R295" s="139"/>
      <c r="S295" s="139"/>
      <c r="U295" s="322"/>
      <c r="W295" s="322"/>
      <c r="X295" s="322"/>
      <c r="Y295" s="322"/>
      <c r="AA295" s="322"/>
      <c r="AC295" s="322"/>
      <c r="AE295" s="322"/>
      <c r="AF295" s="322"/>
      <c r="AG295" s="322"/>
      <c r="AH295" s="322"/>
      <c r="AJ295" s="322"/>
      <c r="AK295" s="322"/>
      <c r="AL295" s="322"/>
      <c r="AM295" s="1038"/>
      <c r="AO295" s="322"/>
      <c r="AQ295" s="322"/>
      <c r="AR295" s="322"/>
      <c r="AS295" s="322"/>
      <c r="AU295" s="322"/>
      <c r="AW295" s="322"/>
      <c r="AX295" s="322"/>
      <c r="AY295" s="322"/>
      <c r="AZ295" s="322"/>
      <c r="BA295" s="322"/>
      <c r="BB295" s="322"/>
      <c r="BC295" s="322"/>
      <c r="BE295" s="322"/>
      <c r="BG295" s="322"/>
      <c r="BH295" s="322"/>
      <c r="BI295" s="322"/>
      <c r="BJ295" s="322"/>
      <c r="BK295" s="322"/>
      <c r="BL295" s="322"/>
      <c r="BM295" s="322"/>
      <c r="BN295" s="322"/>
      <c r="BO295" s="322"/>
      <c r="BP295" s="322"/>
      <c r="BQ295" s="322"/>
      <c r="BR295" s="322"/>
      <c r="BS295" s="322"/>
      <c r="BU295" s="322"/>
      <c r="BV295" s="139"/>
      <c r="BW295" s="139"/>
      <c r="CA295" s="781"/>
      <c r="CC295" s="1039"/>
      <c r="CF295" s="322"/>
      <c r="CG295" s="322"/>
      <c r="CH295" s="322"/>
      <c r="CJ295" s="322"/>
      <c r="CL295" s="322"/>
      <c r="CN295" s="1040"/>
      <c r="CO295" s="1040"/>
      <c r="CP295" s="1040"/>
      <c r="CR295" s="1040"/>
      <c r="CS295" s="1040"/>
      <c r="CT295" s="1040"/>
      <c r="CU295" s="1040"/>
      <c r="CV295" s="1040"/>
      <c r="CX295" s="1040"/>
      <c r="CY295" s="1040"/>
      <c r="CZ295" s="1040"/>
      <c r="DA295" s="1040"/>
      <c r="DB295" s="1040"/>
      <c r="DC295" s="1040"/>
      <c r="DD295" s="1040"/>
      <c r="DF295" s="1040"/>
      <c r="DH295" s="322"/>
      <c r="DX295" s="139"/>
      <c r="DY295" s="634"/>
      <c r="FP295" s="322"/>
      <c r="FQ295" s="322"/>
      <c r="FR295" s="322"/>
      <c r="FS295" s="322"/>
      <c r="FT295" s="322"/>
      <c r="FU295" s="322"/>
      <c r="FV295" s="322"/>
      <c r="FW295" s="322"/>
      <c r="FX295" s="322"/>
      <c r="FY295" s="322"/>
      <c r="FZ295" s="139"/>
      <c r="GA295" s="139"/>
      <c r="GC295" s="139"/>
      <c r="GD295" s="139"/>
      <c r="GE295" s="139"/>
      <c r="GF295" s="139"/>
      <c r="GG295" s="139"/>
      <c r="GH295" s="139"/>
      <c r="GI295" s="139"/>
      <c r="GJ295" s="139"/>
      <c r="GK295" s="139"/>
    </row>
    <row r="296" spans="5:193">
      <c r="F296" s="921"/>
      <c r="G296" s="139"/>
      <c r="H296" s="139"/>
      <c r="I296" s="627"/>
      <c r="J296" s="139"/>
      <c r="R296" s="139"/>
      <c r="S296" s="139"/>
      <c r="U296" s="322"/>
      <c r="W296" s="322"/>
      <c r="X296" s="322"/>
      <c r="Y296" s="322"/>
      <c r="AA296" s="322"/>
      <c r="AC296" s="322"/>
      <c r="AE296" s="322"/>
      <c r="AF296" s="322"/>
      <c r="AG296" s="322"/>
      <c r="AH296" s="322"/>
      <c r="AJ296" s="322"/>
      <c r="AK296" s="322"/>
      <c r="AL296" s="322"/>
      <c r="AM296" s="1038"/>
      <c r="AO296" s="322"/>
      <c r="AQ296" s="322"/>
      <c r="AR296" s="322"/>
      <c r="AS296" s="322"/>
      <c r="AU296" s="322"/>
      <c r="AW296" s="322"/>
      <c r="AX296" s="322"/>
      <c r="AY296" s="322"/>
      <c r="AZ296" s="322"/>
      <c r="BA296" s="322"/>
      <c r="BB296" s="322"/>
      <c r="BC296" s="322"/>
      <c r="BE296" s="322"/>
      <c r="BG296" s="322"/>
      <c r="BH296" s="322"/>
      <c r="BI296" s="322"/>
      <c r="BJ296" s="322"/>
      <c r="BK296" s="322"/>
      <c r="BL296" s="322"/>
      <c r="BM296" s="322"/>
      <c r="BN296" s="322"/>
      <c r="BO296" s="322"/>
      <c r="BP296" s="322"/>
      <c r="BQ296" s="322"/>
      <c r="BR296" s="322"/>
      <c r="BS296" s="322"/>
      <c r="BU296" s="322"/>
      <c r="BV296" s="139"/>
      <c r="BW296" s="139" t="s">
        <v>918</v>
      </c>
      <c r="CA296" s="781"/>
      <c r="CC296" s="1039"/>
      <c r="CF296" s="322"/>
      <c r="CG296" s="322"/>
      <c r="CH296" s="322"/>
      <c r="CJ296" s="322"/>
      <c r="CL296" s="322"/>
      <c r="CN296" s="1040"/>
      <c r="CO296" s="1040"/>
      <c r="CP296" s="1040"/>
      <c r="CR296" s="1040"/>
      <c r="CS296" s="1040"/>
      <c r="CT296" s="1040"/>
      <c r="CU296" s="1040"/>
      <c r="CV296" s="1040"/>
      <c r="CX296" s="1040"/>
      <c r="CY296" s="1040"/>
      <c r="CZ296" s="1040"/>
      <c r="DA296" s="1040"/>
      <c r="DB296" s="1040"/>
      <c r="DC296" s="1040"/>
      <c r="DD296" s="1040"/>
      <c r="DF296" s="1040"/>
      <c r="DH296" s="322"/>
      <c r="DX296" s="139"/>
      <c r="DY296" s="634"/>
      <c r="FP296" s="322"/>
      <c r="FQ296" s="322"/>
      <c r="FR296" s="322"/>
      <c r="FS296" s="322"/>
      <c r="FT296" s="322"/>
      <c r="FU296" s="322"/>
      <c r="FV296" s="322"/>
      <c r="FW296" s="322"/>
      <c r="FX296" s="322"/>
      <c r="FY296" s="322"/>
      <c r="FZ296" s="139"/>
      <c r="GA296" s="139"/>
      <c r="GC296" s="139"/>
      <c r="GD296" s="139"/>
      <c r="GE296" s="139"/>
      <c r="GF296" s="139"/>
      <c r="GG296" s="139"/>
      <c r="GH296" s="139"/>
      <c r="GI296" s="139"/>
      <c r="GJ296" s="139"/>
      <c r="GK296" s="139"/>
    </row>
    <row r="297" spans="5:193">
      <c r="F297" s="921"/>
      <c r="G297" s="139"/>
      <c r="H297" s="139"/>
      <c r="I297" s="627"/>
      <c r="J297" s="139"/>
      <c r="R297" s="139"/>
      <c r="S297" s="139"/>
      <c r="U297" s="322"/>
      <c r="W297" s="322"/>
      <c r="X297" s="322"/>
      <c r="Y297" s="322"/>
      <c r="AA297" s="322"/>
      <c r="AC297" s="322"/>
      <c r="AE297" s="322"/>
      <c r="AF297" s="322"/>
      <c r="AG297" s="322"/>
      <c r="AH297" s="322"/>
      <c r="AJ297" s="322"/>
      <c r="AK297" s="322"/>
      <c r="AL297" s="322"/>
      <c r="AM297" s="1038"/>
      <c r="AO297" s="322"/>
      <c r="AQ297" s="322"/>
      <c r="AR297" s="322"/>
      <c r="AS297" s="322"/>
      <c r="AU297" s="322"/>
      <c r="AW297" s="322"/>
      <c r="AX297" s="322"/>
      <c r="AY297" s="322"/>
      <c r="AZ297" s="322"/>
      <c r="BA297" s="322"/>
      <c r="BB297" s="322"/>
      <c r="BC297" s="322"/>
      <c r="BE297" s="322"/>
      <c r="BG297" s="322"/>
      <c r="BH297" s="322"/>
      <c r="BI297" s="322"/>
      <c r="BJ297" s="322"/>
      <c r="BK297" s="322"/>
      <c r="BL297" s="322"/>
      <c r="BM297" s="322"/>
      <c r="BN297" s="322"/>
      <c r="BO297" s="322"/>
      <c r="BP297" s="322"/>
      <c r="BQ297" s="322"/>
      <c r="BR297" s="322"/>
      <c r="BS297" s="322"/>
      <c r="BU297" s="322"/>
      <c r="BV297" s="139"/>
      <c r="BW297" s="139"/>
      <c r="CA297" s="781"/>
      <c r="CC297" s="1039"/>
      <c r="CF297" s="322"/>
      <c r="CG297" s="322"/>
      <c r="CH297" s="322"/>
      <c r="CJ297" s="322"/>
      <c r="CL297" s="322"/>
      <c r="CN297" s="1040"/>
      <c r="CO297" s="1040"/>
      <c r="CP297" s="1040"/>
      <c r="CR297" s="1040"/>
      <c r="CS297" s="1040"/>
      <c r="CT297" s="1040"/>
      <c r="CU297" s="1040"/>
      <c r="CV297" s="1040"/>
      <c r="CX297" s="1040"/>
      <c r="CY297" s="1040"/>
      <c r="CZ297" s="1040"/>
      <c r="DA297" s="1040"/>
      <c r="DB297" s="1040"/>
      <c r="DC297" s="1040"/>
      <c r="DD297" s="1040"/>
      <c r="DF297" s="1040"/>
      <c r="DH297" s="322"/>
      <c r="DX297" s="139"/>
      <c r="DY297" s="634"/>
      <c r="FP297" s="322"/>
      <c r="FQ297" s="322"/>
      <c r="FR297" s="322"/>
      <c r="FS297" s="322"/>
      <c r="FT297" s="322"/>
      <c r="FU297" s="322"/>
      <c r="FV297" s="322"/>
      <c r="FW297" s="322"/>
      <c r="FX297" s="322"/>
      <c r="FY297" s="322"/>
      <c r="FZ297" s="139"/>
      <c r="GA297" s="139"/>
      <c r="GC297" s="139"/>
      <c r="GD297" s="139"/>
      <c r="GE297" s="139"/>
      <c r="GF297" s="139"/>
      <c r="GG297" s="139"/>
      <c r="GH297" s="139"/>
      <c r="GI297" s="139"/>
      <c r="GJ297" s="139"/>
      <c r="GK297" s="139"/>
    </row>
    <row r="298" spans="5:193">
      <c r="F298" s="921"/>
      <c r="G298" s="139"/>
      <c r="H298" s="139"/>
      <c r="I298" s="627"/>
      <c r="J298" s="139"/>
      <c r="R298" s="139"/>
      <c r="S298" s="139"/>
      <c r="U298" s="322"/>
      <c r="W298" s="322"/>
      <c r="X298" s="322"/>
      <c r="Y298" s="322"/>
      <c r="AA298" s="322"/>
      <c r="AC298" s="322"/>
      <c r="AE298" s="322"/>
      <c r="AF298" s="322"/>
      <c r="AG298" s="322"/>
      <c r="AH298" s="322"/>
      <c r="AJ298" s="322"/>
      <c r="AK298" s="322"/>
      <c r="AL298" s="322"/>
      <c r="AM298" s="1038"/>
      <c r="AO298" s="322"/>
      <c r="AQ298" s="322"/>
      <c r="AR298" s="322"/>
      <c r="AS298" s="322"/>
      <c r="AU298" s="322"/>
      <c r="AW298" s="322"/>
      <c r="AX298" s="322"/>
      <c r="AY298" s="322"/>
      <c r="AZ298" s="322"/>
      <c r="BA298" s="322"/>
      <c r="BB298" s="322"/>
      <c r="BC298" s="322"/>
      <c r="BE298" s="322"/>
      <c r="BG298" s="322"/>
      <c r="BH298" s="322"/>
      <c r="BI298" s="322"/>
      <c r="BJ298" s="322"/>
      <c r="BK298" s="322"/>
      <c r="BL298" s="322"/>
      <c r="BM298" s="322"/>
      <c r="BN298" s="322"/>
      <c r="BO298" s="322"/>
      <c r="BP298" s="322"/>
      <c r="BQ298" s="322"/>
      <c r="BR298" s="322"/>
      <c r="BS298" s="322"/>
      <c r="BU298" s="322"/>
      <c r="BV298" s="139"/>
      <c r="BW298" s="139"/>
      <c r="CA298" s="781"/>
      <c r="CC298" s="1039"/>
      <c r="CF298" s="322"/>
      <c r="CG298" s="322"/>
      <c r="CH298" s="322"/>
      <c r="CJ298" s="322"/>
      <c r="CL298" s="322"/>
      <c r="CN298" s="1040"/>
      <c r="CO298" s="1040"/>
      <c r="CP298" s="1040"/>
      <c r="CR298" s="1040"/>
      <c r="CS298" s="1040"/>
      <c r="CT298" s="1040"/>
      <c r="CU298" s="1040"/>
      <c r="CV298" s="1040"/>
      <c r="CX298" s="1040"/>
      <c r="CY298" s="1040"/>
      <c r="CZ298" s="1040"/>
      <c r="DA298" s="1040"/>
      <c r="DB298" s="1040"/>
      <c r="DC298" s="1040"/>
      <c r="DD298" s="1040"/>
      <c r="DF298" s="1040"/>
      <c r="DH298" s="322"/>
      <c r="DX298" s="139"/>
      <c r="DY298" s="634"/>
      <c r="FP298" s="322"/>
      <c r="FQ298" s="322"/>
      <c r="FR298" s="322"/>
      <c r="FS298" s="322"/>
      <c r="FT298" s="322"/>
      <c r="FU298" s="322"/>
      <c r="FV298" s="322"/>
      <c r="FW298" s="322"/>
      <c r="FX298" s="322"/>
      <c r="FY298" s="322"/>
      <c r="FZ298" s="139"/>
      <c r="GA298" s="139"/>
      <c r="GC298" s="139"/>
      <c r="GD298" s="139"/>
      <c r="GE298" s="139"/>
      <c r="GF298" s="139"/>
      <c r="GG298" s="139"/>
      <c r="GH298" s="139"/>
      <c r="GI298" s="139"/>
      <c r="GJ298" s="139"/>
      <c r="GK298" s="139"/>
    </row>
    <row r="299" spans="5:193">
      <c r="F299" s="921"/>
      <c r="G299" s="139"/>
      <c r="H299" s="139"/>
      <c r="I299" s="627"/>
      <c r="J299" s="139"/>
      <c r="R299" s="139"/>
      <c r="S299" s="139"/>
      <c r="U299" s="322"/>
      <c r="W299" s="322"/>
      <c r="X299" s="322"/>
      <c r="Y299" s="322"/>
      <c r="AA299" s="322"/>
      <c r="AC299" s="322"/>
      <c r="AE299" s="322"/>
      <c r="AF299" s="322"/>
      <c r="AG299" s="322"/>
      <c r="AH299" s="322"/>
      <c r="AJ299" s="322"/>
      <c r="AK299" s="322"/>
      <c r="AL299" s="322"/>
      <c r="AM299" s="1038"/>
      <c r="AO299" s="322"/>
      <c r="AQ299" s="322"/>
      <c r="AR299" s="322"/>
      <c r="AS299" s="322"/>
      <c r="AU299" s="322"/>
      <c r="AW299" s="322"/>
      <c r="AX299" s="322"/>
      <c r="AY299" s="322"/>
      <c r="AZ299" s="322"/>
      <c r="BA299" s="322"/>
      <c r="BB299" s="322"/>
      <c r="BC299" s="322"/>
      <c r="BE299" s="322"/>
      <c r="BG299" s="322"/>
      <c r="BH299" s="322"/>
      <c r="BI299" s="322"/>
      <c r="BJ299" s="322"/>
      <c r="BK299" s="322"/>
      <c r="BL299" s="322"/>
      <c r="BM299" s="322"/>
      <c r="BN299" s="322"/>
      <c r="BO299" s="322"/>
      <c r="BP299" s="322"/>
      <c r="BQ299" s="322"/>
      <c r="BR299" s="322"/>
      <c r="BS299" s="322"/>
      <c r="BU299" s="322"/>
      <c r="BV299" s="139"/>
      <c r="BW299" s="139"/>
      <c r="CA299" s="781"/>
      <c r="CC299" s="1039"/>
      <c r="CF299" s="322"/>
      <c r="CG299" s="322"/>
      <c r="CH299" s="322"/>
      <c r="CJ299" s="322"/>
      <c r="CL299" s="322"/>
      <c r="CN299" s="1040"/>
      <c r="CO299" s="1040"/>
      <c r="CP299" s="1040"/>
      <c r="CR299" s="1040"/>
      <c r="CS299" s="1040"/>
      <c r="CT299" s="1040"/>
      <c r="CU299" s="1040"/>
      <c r="CV299" s="1040"/>
      <c r="CX299" s="1040"/>
      <c r="CY299" s="1040"/>
      <c r="CZ299" s="1040"/>
      <c r="DA299" s="1040"/>
      <c r="DB299" s="1040"/>
      <c r="DC299" s="1040"/>
      <c r="DD299" s="1040"/>
      <c r="DF299" s="1040"/>
      <c r="DH299" s="322"/>
      <c r="DX299" s="139"/>
      <c r="DY299" s="634"/>
      <c r="FP299" s="322"/>
      <c r="FQ299" s="322"/>
      <c r="FR299" s="322"/>
      <c r="FS299" s="322"/>
      <c r="FT299" s="322"/>
      <c r="FU299" s="322"/>
      <c r="FV299" s="322"/>
      <c r="FW299" s="322"/>
      <c r="FX299" s="322"/>
      <c r="FY299" s="322"/>
      <c r="FZ299" s="139"/>
      <c r="GA299" s="139"/>
      <c r="GC299" s="139"/>
      <c r="GD299" s="139"/>
      <c r="GE299" s="139"/>
      <c r="GF299" s="139"/>
      <c r="GG299" s="139"/>
      <c r="GH299" s="139"/>
      <c r="GI299" s="139"/>
      <c r="GJ299" s="139"/>
      <c r="GK299" s="139"/>
    </row>
    <row r="300" spans="5:193">
      <c r="F300" s="921"/>
      <c r="G300" s="139"/>
      <c r="H300" s="139"/>
      <c r="I300" s="627"/>
      <c r="J300" s="139"/>
      <c r="R300" s="139"/>
      <c r="S300" s="139"/>
      <c r="U300" s="322"/>
      <c r="W300" s="322"/>
      <c r="X300" s="322"/>
      <c r="Y300" s="322"/>
      <c r="AA300" s="322"/>
      <c r="AC300" s="322"/>
      <c r="AE300" s="322"/>
      <c r="AF300" s="322"/>
      <c r="AG300" s="322"/>
      <c r="AH300" s="322"/>
      <c r="AJ300" s="322"/>
      <c r="AK300" s="322"/>
      <c r="AL300" s="322"/>
      <c r="AM300" s="1038"/>
      <c r="AO300" s="322"/>
      <c r="AQ300" s="322"/>
      <c r="AR300" s="322"/>
      <c r="AS300" s="322"/>
      <c r="AU300" s="322"/>
      <c r="AW300" s="322"/>
      <c r="AX300" s="322"/>
      <c r="AY300" s="322"/>
      <c r="AZ300" s="322"/>
      <c r="BA300" s="322"/>
      <c r="BB300" s="322"/>
      <c r="BC300" s="322"/>
      <c r="BE300" s="322"/>
      <c r="BG300" s="322"/>
      <c r="BH300" s="322"/>
      <c r="BI300" s="322"/>
      <c r="BJ300" s="322"/>
      <c r="BK300" s="322"/>
      <c r="BL300" s="322"/>
      <c r="BM300" s="322"/>
      <c r="BN300" s="322"/>
      <c r="BO300" s="322"/>
      <c r="BP300" s="322"/>
      <c r="BQ300" s="322"/>
      <c r="BR300" s="322"/>
      <c r="BS300" s="322"/>
      <c r="BU300" s="322"/>
      <c r="BV300" s="139"/>
      <c r="BW300" s="139"/>
      <c r="CA300" s="781"/>
      <c r="CC300" s="1039"/>
      <c r="CF300" s="322"/>
      <c r="CG300" s="322"/>
      <c r="CH300" s="322"/>
      <c r="CJ300" s="322"/>
      <c r="CL300" s="322"/>
      <c r="CN300" s="1040"/>
      <c r="CO300" s="1040"/>
      <c r="CP300" s="1040"/>
      <c r="CR300" s="1040"/>
      <c r="CS300" s="1040"/>
      <c r="CT300" s="1040"/>
      <c r="CU300" s="1040"/>
      <c r="CV300" s="1040"/>
      <c r="CX300" s="1040"/>
      <c r="CY300" s="1040"/>
      <c r="CZ300" s="1040"/>
      <c r="DA300" s="1040"/>
      <c r="DB300" s="1040"/>
      <c r="DC300" s="1040"/>
      <c r="DD300" s="1040"/>
      <c r="DF300" s="1040"/>
      <c r="DH300" s="322"/>
      <c r="DX300" s="139"/>
      <c r="DY300" s="634"/>
      <c r="FP300" s="322"/>
      <c r="FQ300" s="322"/>
      <c r="FR300" s="322"/>
      <c r="FS300" s="322"/>
      <c r="FT300" s="322"/>
      <c r="FU300" s="322"/>
      <c r="FV300" s="322"/>
      <c r="FW300" s="322"/>
      <c r="FX300" s="322"/>
      <c r="FY300" s="322"/>
      <c r="FZ300" s="139"/>
      <c r="GA300" s="139"/>
      <c r="GC300" s="139"/>
      <c r="GD300" s="139"/>
      <c r="GE300" s="139"/>
      <c r="GF300" s="139"/>
      <c r="GG300" s="139"/>
      <c r="GH300" s="139"/>
      <c r="GI300" s="139"/>
      <c r="GJ300" s="139"/>
      <c r="GK300" s="139"/>
    </row>
    <row r="301" spans="5:193">
      <c r="F301" s="921"/>
      <c r="G301" s="139"/>
      <c r="H301" s="139"/>
      <c r="I301" s="627"/>
      <c r="J301" s="139"/>
      <c r="R301" s="139"/>
      <c r="S301" s="139"/>
      <c r="U301" s="322"/>
      <c r="W301" s="322"/>
      <c r="X301" s="322"/>
      <c r="Y301" s="322"/>
      <c r="AA301" s="322"/>
      <c r="AC301" s="322"/>
      <c r="AE301" s="322"/>
      <c r="AF301" s="322"/>
      <c r="AG301" s="322"/>
      <c r="AH301" s="322"/>
      <c r="AJ301" s="322"/>
      <c r="AK301" s="322"/>
      <c r="AL301" s="322"/>
      <c r="AM301" s="1038"/>
      <c r="AO301" s="322"/>
      <c r="AQ301" s="322"/>
      <c r="AR301" s="322"/>
      <c r="AS301" s="322"/>
      <c r="AU301" s="322"/>
      <c r="AW301" s="322"/>
      <c r="AX301" s="322"/>
      <c r="AY301" s="322"/>
      <c r="AZ301" s="322"/>
      <c r="BA301" s="322"/>
      <c r="BB301" s="322"/>
      <c r="BC301" s="322"/>
      <c r="BE301" s="322"/>
      <c r="BG301" s="322"/>
      <c r="BH301" s="322"/>
      <c r="BI301" s="322"/>
      <c r="BJ301" s="322"/>
      <c r="BK301" s="322"/>
      <c r="BL301" s="322"/>
      <c r="BM301" s="322"/>
      <c r="BN301" s="322"/>
      <c r="BO301" s="322"/>
      <c r="BP301" s="322"/>
      <c r="BQ301" s="322"/>
      <c r="BR301" s="322"/>
      <c r="BS301" s="322"/>
      <c r="BU301" s="322"/>
      <c r="BV301" s="139"/>
      <c r="BW301" s="139"/>
      <c r="CA301" s="781"/>
      <c r="CC301" s="1039"/>
      <c r="CF301" s="322"/>
      <c r="CG301" s="322"/>
      <c r="CH301" s="322"/>
      <c r="CJ301" s="322"/>
      <c r="CL301" s="322"/>
      <c r="CN301" s="1040"/>
      <c r="CO301" s="1040"/>
      <c r="CP301" s="1040"/>
      <c r="CR301" s="1040"/>
      <c r="CS301" s="1040"/>
      <c r="CT301" s="1040"/>
      <c r="CU301" s="1040"/>
      <c r="CV301" s="1040"/>
      <c r="CX301" s="1040"/>
      <c r="CY301" s="1040"/>
      <c r="CZ301" s="1040"/>
      <c r="DA301" s="1040"/>
      <c r="DB301" s="1040"/>
      <c r="DC301" s="1040"/>
      <c r="DD301" s="1040"/>
      <c r="DF301" s="1040"/>
      <c r="DH301" s="322"/>
      <c r="DX301" s="139"/>
      <c r="DY301" s="634"/>
      <c r="FP301" s="322"/>
      <c r="FQ301" s="322"/>
      <c r="FR301" s="322"/>
      <c r="FS301" s="322"/>
      <c r="FT301" s="322"/>
      <c r="FU301" s="322"/>
      <c r="FV301" s="322"/>
      <c r="FW301" s="322"/>
      <c r="FX301" s="322"/>
      <c r="FY301" s="322"/>
      <c r="FZ301" s="139"/>
      <c r="GA301" s="139"/>
      <c r="GC301" s="139"/>
      <c r="GD301" s="139"/>
      <c r="GE301" s="139"/>
      <c r="GF301" s="139"/>
      <c r="GG301" s="139"/>
      <c r="GH301" s="139"/>
      <c r="GI301" s="139"/>
      <c r="GJ301" s="139"/>
      <c r="GK301" s="139"/>
    </row>
    <row r="302" spans="5:193">
      <c r="F302" s="921"/>
      <c r="G302" s="139"/>
      <c r="H302" s="139"/>
      <c r="I302" s="627"/>
      <c r="J302" s="139"/>
      <c r="R302" s="139"/>
      <c r="S302" s="139"/>
      <c r="U302" s="322"/>
      <c r="W302" s="322"/>
      <c r="X302" s="322"/>
      <c r="Y302" s="322"/>
      <c r="AA302" s="322"/>
      <c r="AC302" s="322"/>
      <c r="AE302" s="322"/>
      <c r="AF302" s="322"/>
      <c r="AG302" s="322"/>
      <c r="AH302" s="322"/>
      <c r="AJ302" s="322"/>
      <c r="AK302" s="322"/>
      <c r="AL302" s="322"/>
      <c r="AM302" s="1038"/>
      <c r="AO302" s="322"/>
      <c r="AQ302" s="322"/>
      <c r="AR302" s="322"/>
      <c r="AS302" s="322"/>
      <c r="AU302" s="322"/>
      <c r="AW302" s="322"/>
      <c r="AX302" s="322"/>
      <c r="AY302" s="322"/>
      <c r="AZ302" s="322"/>
      <c r="BA302" s="322"/>
      <c r="BB302" s="322"/>
      <c r="BC302" s="322"/>
      <c r="BE302" s="322"/>
      <c r="BG302" s="322"/>
      <c r="BH302" s="322"/>
      <c r="BI302" s="322"/>
      <c r="BJ302" s="322"/>
      <c r="BK302" s="322"/>
      <c r="BL302" s="322"/>
      <c r="BM302" s="322"/>
      <c r="BN302" s="322"/>
      <c r="BO302" s="322"/>
      <c r="BP302" s="322"/>
      <c r="BQ302" s="322"/>
      <c r="BR302" s="322"/>
      <c r="BS302" s="322"/>
      <c r="BU302" s="322"/>
      <c r="BV302" s="139"/>
      <c r="BW302" s="139"/>
      <c r="CA302" s="781"/>
      <c r="CC302" s="1039"/>
      <c r="CF302" s="322"/>
      <c r="CG302" s="322"/>
      <c r="CH302" s="322"/>
      <c r="CJ302" s="322"/>
      <c r="CL302" s="322"/>
      <c r="CN302" s="1040"/>
      <c r="CO302" s="1040"/>
      <c r="CP302" s="1040"/>
      <c r="CR302" s="1040"/>
      <c r="CS302" s="1040"/>
      <c r="CT302" s="1040"/>
      <c r="CU302" s="1040"/>
      <c r="CV302" s="1040"/>
      <c r="CX302" s="1040"/>
      <c r="CY302" s="1040"/>
      <c r="CZ302" s="1040"/>
      <c r="DA302" s="1040"/>
      <c r="DB302" s="1040"/>
      <c r="DC302" s="1040"/>
      <c r="DD302" s="1040"/>
      <c r="DF302" s="1040"/>
      <c r="DH302" s="322"/>
      <c r="DX302" s="139"/>
      <c r="DY302" s="634"/>
      <c r="FP302" s="322"/>
      <c r="FQ302" s="322"/>
      <c r="FR302" s="322"/>
      <c r="FS302" s="322"/>
      <c r="FT302" s="322"/>
      <c r="FU302" s="322"/>
      <c r="FV302" s="322"/>
      <c r="FW302" s="322"/>
      <c r="FX302" s="322"/>
      <c r="FY302" s="322"/>
      <c r="FZ302" s="139"/>
      <c r="GA302" s="139"/>
      <c r="GC302" s="139"/>
      <c r="GD302" s="139"/>
      <c r="GE302" s="139"/>
      <c r="GF302" s="139"/>
      <c r="GG302" s="139"/>
      <c r="GH302" s="139"/>
      <c r="GI302" s="139"/>
      <c r="GJ302" s="139"/>
      <c r="GK302" s="139"/>
    </row>
    <row r="303" spans="5:193">
      <c r="F303" s="1113"/>
      <c r="G303" s="139"/>
      <c r="H303" s="139"/>
      <c r="I303" s="627"/>
      <c r="J303" s="139"/>
      <c r="R303" s="139"/>
      <c r="S303" s="139"/>
      <c r="BV303" s="139"/>
      <c r="BW303" s="139"/>
      <c r="CA303" s="781"/>
      <c r="DY303" s="634"/>
      <c r="FP303" s="322"/>
      <c r="FQ303" s="322"/>
      <c r="FR303" s="322"/>
      <c r="FS303" s="322"/>
      <c r="FT303" s="322"/>
      <c r="FU303" s="322"/>
      <c r="FV303" s="322"/>
      <c r="FW303" s="322"/>
      <c r="FX303" s="322"/>
      <c r="FY303" s="322"/>
      <c r="FZ303" s="139"/>
      <c r="GA303" s="139"/>
      <c r="GC303" s="139"/>
      <c r="GD303" s="139"/>
      <c r="GE303" s="139"/>
      <c r="GF303" s="139"/>
      <c r="GG303" s="139"/>
      <c r="GH303" s="139"/>
      <c r="GI303" s="139"/>
      <c r="GJ303" s="139"/>
      <c r="GK303" s="139"/>
    </row>
    <row r="304" spans="5:193">
      <c r="F304" s="1113"/>
      <c r="G304" s="139"/>
      <c r="H304" s="139"/>
      <c r="I304" s="627"/>
      <c r="J304" s="139"/>
      <c r="R304" s="139"/>
      <c r="S304" s="139"/>
      <c r="BV304" s="139"/>
      <c r="BW304" s="139"/>
      <c r="CA304" s="781"/>
      <c r="DY304" s="634"/>
      <c r="FP304" s="322"/>
      <c r="FQ304" s="322"/>
      <c r="FR304" s="322"/>
      <c r="FS304" s="322"/>
      <c r="FT304" s="322"/>
      <c r="FU304" s="322"/>
      <c r="FV304" s="322"/>
      <c r="FW304" s="322"/>
      <c r="FX304" s="322"/>
      <c r="FY304" s="322"/>
      <c r="FZ304" s="139"/>
      <c r="GA304" s="139"/>
      <c r="GC304" s="139"/>
      <c r="GD304" s="139"/>
      <c r="GE304" s="139"/>
      <c r="GF304" s="139"/>
      <c r="GG304" s="139"/>
      <c r="GH304" s="139"/>
      <c r="GI304" s="139"/>
      <c r="GJ304" s="139"/>
      <c r="GK304" s="139"/>
    </row>
    <row r="305" spans="6:193">
      <c r="F305" s="1113"/>
      <c r="G305" s="139"/>
      <c r="H305" s="139"/>
      <c r="I305" s="627"/>
      <c r="J305" s="139"/>
      <c r="R305" s="139"/>
      <c r="S305" s="139"/>
      <c r="BV305" s="139"/>
      <c r="BW305" s="139"/>
      <c r="CA305" s="781"/>
      <c r="DY305" s="634"/>
      <c r="FP305" s="322"/>
      <c r="FQ305" s="322"/>
      <c r="FR305" s="322"/>
      <c r="FS305" s="322"/>
      <c r="FT305" s="322"/>
      <c r="FU305" s="322"/>
      <c r="FV305" s="322"/>
      <c r="FW305" s="322"/>
      <c r="FX305" s="322"/>
      <c r="FY305" s="322"/>
      <c r="FZ305" s="139"/>
      <c r="GA305" s="139"/>
      <c r="GC305" s="139"/>
      <c r="GD305" s="139"/>
      <c r="GE305" s="139"/>
      <c r="GF305" s="139"/>
      <c r="GG305" s="139"/>
      <c r="GH305" s="139"/>
      <c r="GI305" s="139"/>
      <c r="GJ305" s="139"/>
      <c r="GK305" s="139"/>
    </row>
    <row r="306" spans="6:193">
      <c r="F306" s="1113"/>
      <c r="G306" s="139"/>
      <c r="H306" s="139"/>
      <c r="I306" s="627"/>
      <c r="J306" s="139"/>
      <c r="R306" s="139"/>
      <c r="S306" s="139"/>
      <c r="BV306" s="139"/>
      <c r="BW306" s="139"/>
      <c r="CA306" s="781"/>
      <c r="DY306" s="634"/>
      <c r="FP306" s="322"/>
      <c r="FQ306" s="322"/>
      <c r="FR306" s="322"/>
      <c r="FS306" s="322"/>
      <c r="FT306" s="322"/>
      <c r="FU306" s="322"/>
      <c r="FV306" s="322"/>
      <c r="FW306" s="322"/>
      <c r="FX306" s="322"/>
      <c r="FY306" s="322"/>
      <c r="FZ306" s="139"/>
      <c r="GA306" s="139"/>
      <c r="GC306" s="139"/>
      <c r="GD306" s="139"/>
      <c r="GE306" s="139"/>
      <c r="GF306" s="139"/>
      <c r="GG306" s="139"/>
      <c r="GH306" s="139"/>
      <c r="GI306" s="139"/>
      <c r="GJ306" s="139"/>
      <c r="GK306" s="139"/>
    </row>
    <row r="307" spans="6:193">
      <c r="F307" s="1113"/>
      <c r="G307" s="139"/>
      <c r="H307" s="139"/>
      <c r="I307" s="627"/>
      <c r="J307" s="139"/>
      <c r="R307" s="139"/>
      <c r="S307" s="139"/>
      <c r="BV307" s="139"/>
      <c r="BW307" s="139"/>
      <c r="CA307" s="781"/>
      <c r="DY307" s="634"/>
      <c r="FP307" s="322"/>
      <c r="FQ307" s="322"/>
      <c r="FR307" s="322"/>
      <c r="FS307" s="322"/>
      <c r="FT307" s="322"/>
      <c r="FU307" s="322"/>
      <c r="FV307" s="322"/>
      <c r="FW307" s="322"/>
      <c r="FX307" s="322"/>
      <c r="FY307" s="322"/>
      <c r="FZ307" s="139"/>
      <c r="GA307" s="139"/>
      <c r="GC307" s="139"/>
      <c r="GD307" s="139"/>
      <c r="GE307" s="139"/>
      <c r="GF307" s="139"/>
      <c r="GG307" s="139"/>
      <c r="GH307" s="139"/>
      <c r="GI307" s="139"/>
      <c r="GJ307" s="139"/>
      <c r="GK307" s="139"/>
    </row>
    <row r="308" spans="6:193">
      <c r="F308" s="1113"/>
      <c r="G308" s="139"/>
      <c r="H308" s="139"/>
      <c r="I308" s="627"/>
      <c r="J308" s="139"/>
      <c r="R308" s="139"/>
      <c r="S308" s="139"/>
      <c r="BV308" s="139"/>
      <c r="BW308" s="139"/>
      <c r="CA308" s="781"/>
      <c r="DY308" s="634"/>
      <c r="FP308" s="322"/>
      <c r="FQ308" s="322"/>
      <c r="FR308" s="322"/>
      <c r="FS308" s="322"/>
      <c r="FT308" s="322"/>
      <c r="FU308" s="322"/>
      <c r="FV308" s="322"/>
      <c r="FW308" s="322"/>
      <c r="FX308" s="322"/>
      <c r="FY308" s="322"/>
      <c r="FZ308" s="139"/>
      <c r="GA308" s="139"/>
      <c r="GC308" s="139"/>
      <c r="GD308" s="139"/>
      <c r="GE308" s="139"/>
      <c r="GF308" s="139"/>
      <c r="GG308" s="139"/>
      <c r="GH308" s="139"/>
      <c r="GI308" s="139"/>
      <c r="GJ308" s="139"/>
      <c r="GK308" s="139"/>
    </row>
    <row r="309" spans="6:193">
      <c r="F309" s="1113"/>
      <c r="G309" s="139"/>
      <c r="H309" s="139"/>
      <c r="I309" s="627"/>
      <c r="J309" s="139"/>
      <c r="R309" s="139"/>
      <c r="S309" s="139"/>
      <c r="BV309" s="139"/>
      <c r="BW309" s="139"/>
      <c r="CA309" s="781"/>
      <c r="DY309" s="634"/>
      <c r="FP309" s="322"/>
      <c r="FQ309" s="322"/>
      <c r="FR309" s="322"/>
      <c r="FS309" s="322"/>
      <c r="FT309" s="322"/>
      <c r="FU309" s="322"/>
      <c r="FV309" s="322"/>
      <c r="FW309" s="322"/>
      <c r="FX309" s="322"/>
      <c r="FY309" s="322"/>
      <c r="FZ309" s="139"/>
      <c r="GA309" s="139"/>
      <c r="GC309" s="139"/>
      <c r="GD309" s="139"/>
      <c r="GE309" s="139"/>
      <c r="GF309" s="139"/>
      <c r="GG309" s="139"/>
      <c r="GH309" s="139"/>
      <c r="GI309" s="139"/>
      <c r="GJ309" s="139"/>
      <c r="GK309" s="139"/>
    </row>
    <row r="310" spans="6:193">
      <c r="F310" s="1113"/>
      <c r="G310" s="139"/>
      <c r="H310" s="139"/>
      <c r="I310" s="627"/>
      <c r="J310" s="139"/>
      <c r="R310" s="139"/>
      <c r="S310" s="139"/>
      <c r="BV310" s="139"/>
      <c r="BW310" s="139"/>
      <c r="CA310" s="781"/>
      <c r="DY310" s="634"/>
      <c r="FP310" s="322"/>
      <c r="FQ310" s="322"/>
      <c r="FR310" s="322"/>
      <c r="FS310" s="322"/>
      <c r="FT310" s="322"/>
      <c r="FU310" s="322"/>
      <c r="FV310" s="322"/>
      <c r="FW310" s="322"/>
      <c r="FX310" s="322"/>
      <c r="FY310" s="322"/>
      <c r="FZ310" s="139"/>
      <c r="GA310" s="139"/>
      <c r="GC310" s="139"/>
      <c r="GD310" s="139"/>
      <c r="GE310" s="139"/>
      <c r="GF310" s="139"/>
      <c r="GG310" s="139"/>
      <c r="GH310" s="139"/>
      <c r="GI310" s="139"/>
      <c r="GJ310" s="139"/>
      <c r="GK310" s="139"/>
    </row>
    <row r="311" spans="6:193">
      <c r="F311" s="1113"/>
      <c r="G311" s="139"/>
      <c r="H311" s="139"/>
      <c r="I311" s="627"/>
      <c r="J311" s="139"/>
      <c r="R311" s="139"/>
      <c r="S311" s="139"/>
      <c r="BV311" s="139"/>
      <c r="BW311" s="139"/>
      <c r="CA311" s="781"/>
      <c r="DY311" s="634"/>
      <c r="FP311" s="322"/>
      <c r="FQ311" s="322"/>
      <c r="FR311" s="322"/>
      <c r="FS311" s="322"/>
      <c r="FT311" s="322"/>
      <c r="FU311" s="322"/>
      <c r="FV311" s="322"/>
      <c r="FW311" s="322"/>
      <c r="FX311" s="322"/>
      <c r="FY311" s="322"/>
      <c r="FZ311" s="139"/>
      <c r="GA311" s="139"/>
      <c r="GC311" s="139"/>
      <c r="GD311" s="139"/>
      <c r="GE311" s="139"/>
      <c r="GF311" s="139"/>
      <c r="GG311" s="139"/>
      <c r="GH311" s="139"/>
      <c r="GI311" s="139"/>
      <c r="GJ311" s="139"/>
      <c r="GK311" s="139"/>
    </row>
    <row r="312" spans="6:193">
      <c r="F312" s="1113"/>
      <c r="G312" s="139"/>
      <c r="H312" s="139"/>
      <c r="I312" s="627"/>
      <c r="J312" s="139"/>
      <c r="R312" s="139"/>
      <c r="S312" s="139"/>
      <c r="BW312" s="139"/>
      <c r="CA312" s="781"/>
      <c r="DY312" s="634"/>
      <c r="FP312" s="322"/>
      <c r="FQ312" s="322"/>
      <c r="FR312" s="322"/>
      <c r="FS312" s="322"/>
      <c r="FT312" s="322"/>
      <c r="FU312" s="322"/>
      <c r="FV312" s="322"/>
      <c r="FW312" s="322"/>
      <c r="FX312" s="322"/>
      <c r="FY312" s="322"/>
      <c r="FZ312" s="139"/>
      <c r="GA312" s="139"/>
      <c r="GC312" s="139"/>
      <c r="GD312" s="139"/>
      <c r="GE312" s="139"/>
      <c r="GF312" s="139"/>
      <c r="GG312" s="139"/>
      <c r="GH312" s="139"/>
      <c r="GI312" s="139"/>
      <c r="GJ312" s="139"/>
      <c r="GK312" s="139"/>
    </row>
    <row r="313" spans="6:193">
      <c r="F313" s="1113"/>
      <c r="G313" s="139"/>
      <c r="H313" s="139"/>
      <c r="I313" s="627"/>
      <c r="J313" s="139"/>
      <c r="R313" s="139"/>
      <c r="S313" s="139"/>
      <c r="BV313" s="139"/>
      <c r="BW313" s="139"/>
      <c r="CA313" s="781"/>
      <c r="DY313" s="634"/>
      <c r="FP313" s="322"/>
      <c r="FQ313" s="322"/>
      <c r="FR313" s="322"/>
      <c r="FS313" s="322"/>
      <c r="FT313" s="322"/>
      <c r="FU313" s="322"/>
      <c r="FV313" s="322"/>
      <c r="FW313" s="322"/>
      <c r="FX313" s="322"/>
      <c r="FY313" s="322"/>
      <c r="FZ313" s="139"/>
      <c r="GA313" s="139"/>
      <c r="GC313" s="139"/>
      <c r="GD313" s="139"/>
      <c r="GE313" s="139"/>
      <c r="GF313" s="139"/>
      <c r="GG313" s="139"/>
      <c r="GH313" s="139"/>
      <c r="GI313" s="139"/>
      <c r="GJ313" s="139"/>
      <c r="GK313" s="139"/>
    </row>
    <row r="314" spans="6:193">
      <c r="F314" s="1113"/>
      <c r="G314" s="139"/>
      <c r="H314" s="139"/>
      <c r="I314" s="627"/>
      <c r="J314" s="139"/>
      <c r="R314" s="139"/>
      <c r="S314" s="139"/>
      <c r="BV314" s="139"/>
      <c r="BW314" s="139"/>
      <c r="CA314" s="781"/>
      <c r="DY314" s="634"/>
      <c r="FP314" s="322"/>
      <c r="FQ314" s="322"/>
      <c r="FR314" s="322"/>
      <c r="FS314" s="322"/>
      <c r="FT314" s="322"/>
      <c r="FU314" s="322"/>
      <c r="FV314" s="322"/>
      <c r="FW314" s="322"/>
      <c r="FX314" s="322"/>
      <c r="FY314" s="322"/>
      <c r="FZ314" s="139"/>
      <c r="GA314" s="139"/>
      <c r="GC314" s="139"/>
      <c r="GD314" s="139"/>
      <c r="GE314" s="139"/>
      <c r="GF314" s="139"/>
      <c r="GG314" s="139"/>
      <c r="GH314" s="139"/>
      <c r="GI314" s="139"/>
      <c r="GJ314" s="139"/>
      <c r="GK314" s="139"/>
    </row>
    <row r="315" spans="6:193">
      <c r="F315" s="1113"/>
      <c r="G315" s="139"/>
      <c r="H315" s="139"/>
      <c r="I315" s="627"/>
      <c r="J315" s="139"/>
      <c r="R315" s="139"/>
      <c r="S315" s="139"/>
      <c r="BV315" s="139"/>
      <c r="BW315" s="139"/>
      <c r="CA315" s="781"/>
      <c r="DY315" s="634"/>
      <c r="FP315" s="322"/>
      <c r="FQ315" s="322"/>
      <c r="FR315" s="322"/>
      <c r="FS315" s="322"/>
      <c r="FT315" s="322"/>
      <c r="FU315" s="322"/>
      <c r="FV315" s="322"/>
      <c r="FW315" s="322"/>
      <c r="FX315" s="322"/>
      <c r="FY315" s="322"/>
      <c r="FZ315" s="139"/>
      <c r="GA315" s="139"/>
      <c r="GC315" s="139"/>
      <c r="GD315" s="139"/>
      <c r="GE315" s="139"/>
      <c r="GF315" s="139"/>
      <c r="GG315" s="139"/>
      <c r="GH315" s="139"/>
      <c r="GI315" s="139"/>
      <c r="GJ315" s="139"/>
      <c r="GK315" s="139"/>
    </row>
    <row r="316" spans="6:193">
      <c r="F316" s="1113"/>
      <c r="G316" s="139"/>
      <c r="H316" s="139"/>
      <c r="I316" s="627"/>
      <c r="J316" s="139"/>
      <c r="R316" s="139"/>
      <c r="S316" s="139"/>
      <c r="BV316" s="139"/>
      <c r="BW316" s="139"/>
      <c r="CA316" s="781"/>
      <c r="DY316" s="634"/>
      <c r="FP316" s="322"/>
      <c r="FQ316" s="322"/>
      <c r="FR316" s="322"/>
      <c r="FS316" s="322"/>
      <c r="FT316" s="322"/>
      <c r="FU316" s="322"/>
      <c r="FV316" s="322"/>
      <c r="FW316" s="322"/>
      <c r="FX316" s="322"/>
      <c r="FY316" s="322"/>
      <c r="FZ316" s="139"/>
      <c r="GA316" s="139"/>
      <c r="GC316" s="139"/>
      <c r="GD316" s="139"/>
      <c r="GE316" s="139"/>
      <c r="GF316" s="139"/>
      <c r="GG316" s="139"/>
      <c r="GH316" s="139"/>
      <c r="GI316" s="139"/>
      <c r="GJ316" s="139"/>
      <c r="GK316" s="139"/>
    </row>
    <row r="317" spans="6:193">
      <c r="F317" s="1113"/>
      <c r="G317" s="139"/>
      <c r="H317" s="139"/>
      <c r="I317" s="627"/>
      <c r="J317" s="139"/>
      <c r="R317" s="139"/>
      <c r="S317" s="139"/>
      <c r="BV317" s="139"/>
      <c r="BW317" s="139"/>
      <c r="CA317" s="781"/>
      <c r="DY317" s="634"/>
      <c r="FP317" s="322"/>
      <c r="FQ317" s="322"/>
      <c r="FR317" s="322"/>
      <c r="FS317" s="322"/>
      <c r="FT317" s="322"/>
      <c r="FU317" s="322"/>
      <c r="FV317" s="322"/>
      <c r="FW317" s="322"/>
      <c r="FX317" s="322"/>
      <c r="FY317" s="322"/>
      <c r="FZ317" s="139"/>
      <c r="GA317" s="139"/>
      <c r="GC317" s="139"/>
      <c r="GD317" s="139"/>
      <c r="GE317" s="139"/>
      <c r="GF317" s="139"/>
      <c r="GG317" s="139"/>
      <c r="GH317" s="139"/>
      <c r="GI317" s="139"/>
      <c r="GJ317" s="139"/>
      <c r="GK317" s="139"/>
    </row>
    <row r="318" spans="6:193">
      <c r="F318" s="1113"/>
      <c r="G318" s="139"/>
      <c r="H318" s="139"/>
      <c r="I318" s="627"/>
      <c r="J318" s="139"/>
      <c r="R318" s="139"/>
      <c r="S318" s="139"/>
      <c r="BV318" s="139"/>
      <c r="BW318" s="139"/>
      <c r="CA318" s="781"/>
      <c r="DY318" s="634"/>
      <c r="FZ318" s="647"/>
      <c r="GA318" s="647"/>
      <c r="GC318" s="139"/>
      <c r="GD318" s="139"/>
      <c r="GE318" s="139"/>
      <c r="GF318" s="139"/>
      <c r="GG318" s="139"/>
      <c r="GH318" s="139"/>
      <c r="GI318" s="139"/>
      <c r="GJ318" s="139"/>
      <c r="GK318" s="139"/>
    </row>
    <row r="319" spans="6:193">
      <c r="F319" s="1113"/>
      <c r="G319" s="139"/>
      <c r="H319" s="139"/>
      <c r="I319" s="627"/>
      <c r="J319" s="139"/>
      <c r="R319" s="139"/>
      <c r="S319" s="139"/>
      <c r="BV319" s="139"/>
      <c r="BW319" s="139"/>
      <c r="CA319" s="781"/>
      <c r="DY319" s="634"/>
      <c r="FZ319" s="647"/>
      <c r="GA319" s="647"/>
      <c r="GC319" s="139"/>
      <c r="GD319" s="139"/>
      <c r="GE319" s="139"/>
      <c r="GF319" s="139"/>
      <c r="GG319" s="139"/>
      <c r="GH319" s="139"/>
      <c r="GI319" s="139"/>
      <c r="GJ319" s="139"/>
      <c r="GK319" s="139"/>
    </row>
    <row r="320" spans="6:193">
      <c r="F320" s="1113"/>
      <c r="G320" s="139"/>
      <c r="H320" s="139"/>
      <c r="I320" s="627"/>
      <c r="J320" s="139"/>
      <c r="R320" s="139"/>
      <c r="S320" s="139"/>
      <c r="BV320" s="139"/>
      <c r="BW320" s="139"/>
      <c r="CA320" s="781"/>
      <c r="DY320" s="634"/>
      <c r="FZ320" s="647"/>
      <c r="GA320" s="647"/>
      <c r="GC320" s="139"/>
      <c r="GD320" s="139"/>
      <c r="GE320" s="139"/>
      <c r="GF320" s="139"/>
      <c r="GG320" s="139"/>
      <c r="GH320" s="139"/>
      <c r="GI320" s="139"/>
      <c r="GJ320" s="139"/>
      <c r="GK320" s="139"/>
    </row>
    <row r="321" spans="1:204" s="139" customFormat="1">
      <c r="A321" s="738"/>
      <c r="B321" s="317"/>
      <c r="C321" s="322"/>
      <c r="D321" s="322"/>
      <c r="E321" s="322"/>
      <c r="F321" s="1113"/>
      <c r="I321" s="627"/>
      <c r="K321" s="322"/>
      <c r="L321" s="322"/>
      <c r="M321" s="322"/>
      <c r="N321" s="322"/>
      <c r="O321" s="322"/>
      <c r="P321" s="322"/>
      <c r="Q321" s="322"/>
      <c r="T321" s="634"/>
      <c r="U321" s="649"/>
      <c r="V321" s="322"/>
      <c r="W321" s="649"/>
      <c r="X321" s="649"/>
      <c r="Y321" s="649"/>
      <c r="Z321" s="322"/>
      <c r="AA321" s="649"/>
      <c r="AB321" s="322"/>
      <c r="AC321" s="649"/>
      <c r="AD321" s="322"/>
      <c r="AE321" s="649"/>
      <c r="AF321" s="649"/>
      <c r="AG321" s="649"/>
      <c r="AH321" s="649"/>
      <c r="AI321" s="322"/>
      <c r="AJ321" s="649"/>
      <c r="AK321" s="649"/>
      <c r="AL321" s="649"/>
      <c r="AM321" s="1114"/>
      <c r="AN321" s="322"/>
      <c r="AO321" s="649"/>
      <c r="AP321" s="322"/>
      <c r="AQ321" s="649"/>
      <c r="AR321" s="649"/>
      <c r="AS321" s="649"/>
      <c r="AT321" s="322"/>
      <c r="AU321" s="649"/>
      <c r="AV321" s="322"/>
      <c r="AW321" s="649"/>
      <c r="AX321" s="649"/>
      <c r="AY321" s="649"/>
      <c r="AZ321" s="649"/>
      <c r="BA321" s="649"/>
      <c r="BB321" s="649"/>
      <c r="BC321" s="649"/>
      <c r="BD321" s="322"/>
      <c r="BE321" s="649"/>
      <c r="BF321" s="322"/>
      <c r="BG321" s="649"/>
      <c r="BH321" s="649"/>
      <c r="BI321" s="649"/>
      <c r="BJ321" s="649"/>
      <c r="BK321" s="649"/>
      <c r="BL321" s="649"/>
      <c r="BM321" s="649"/>
      <c r="BN321" s="649"/>
      <c r="BO321" s="649"/>
      <c r="BP321" s="649"/>
      <c r="BQ321" s="649"/>
      <c r="BR321" s="649"/>
      <c r="BS321" s="649"/>
      <c r="BT321" s="322"/>
      <c r="BU321" s="649"/>
      <c r="BX321" s="322"/>
      <c r="BY321" s="322"/>
      <c r="BZ321" s="322"/>
      <c r="CA321" s="781"/>
      <c r="CB321" s="1090"/>
      <c r="CC321" s="1115"/>
      <c r="CD321" s="1039"/>
      <c r="CE321" s="322"/>
      <c r="CF321" s="649"/>
      <c r="CG321" s="649"/>
      <c r="CH321" s="649"/>
      <c r="CI321" s="322"/>
      <c r="CJ321" s="649"/>
      <c r="CK321" s="322"/>
      <c r="CL321" s="649"/>
      <c r="CM321" s="322"/>
      <c r="CN321" s="1116"/>
      <c r="CO321" s="1116"/>
      <c r="CP321" s="1116"/>
      <c r="CQ321" s="322"/>
      <c r="CR321" s="1116"/>
      <c r="CS321" s="1116"/>
      <c r="CT321" s="1116"/>
      <c r="CU321" s="1116"/>
      <c r="CV321" s="1116"/>
      <c r="CW321" s="322"/>
      <c r="CX321" s="1116"/>
      <c r="CY321" s="1116"/>
      <c r="CZ321" s="1116"/>
      <c r="DA321" s="1116"/>
      <c r="DB321" s="1116"/>
      <c r="DC321" s="1116"/>
      <c r="DD321" s="1116"/>
      <c r="DE321" s="322"/>
      <c r="DF321" s="1116"/>
      <c r="DG321" s="322"/>
      <c r="DH321" s="649"/>
      <c r="DI321" s="322"/>
      <c r="DJ321" s="322"/>
      <c r="DK321" s="322"/>
      <c r="DL321" s="322"/>
      <c r="DM321" s="322"/>
      <c r="DN321" s="322"/>
      <c r="DO321" s="322"/>
      <c r="DP321" s="322"/>
      <c r="DQ321" s="322"/>
      <c r="DR321" s="322"/>
      <c r="DS321" s="322"/>
      <c r="DT321" s="322"/>
      <c r="DU321" s="322"/>
      <c r="DV321" s="322"/>
      <c r="DW321" s="322"/>
      <c r="DX321" s="647"/>
      <c r="DY321" s="634"/>
      <c r="DZ321" s="329"/>
      <c r="EA321" s="329"/>
      <c r="EB321" s="322"/>
      <c r="EC321" s="322"/>
      <c r="ED321" s="322"/>
      <c r="EE321" s="322"/>
      <c r="EF321" s="322"/>
      <c r="EG321" s="322"/>
      <c r="EH321" s="322"/>
      <c r="EI321" s="322"/>
      <c r="EJ321" s="322"/>
      <c r="EK321" s="322"/>
      <c r="EL321" s="322"/>
      <c r="EM321" s="322"/>
      <c r="EN321" s="322"/>
      <c r="EO321" s="322"/>
      <c r="EP321" s="322"/>
      <c r="EQ321" s="322"/>
      <c r="ER321" s="322"/>
      <c r="ES321" s="322"/>
      <c r="ET321" s="322"/>
      <c r="EU321" s="322"/>
      <c r="EV321" s="322"/>
      <c r="EW321" s="322"/>
      <c r="EX321" s="322"/>
      <c r="EY321" s="322"/>
      <c r="EZ321" s="322"/>
      <c r="FA321" s="322"/>
      <c r="FB321" s="322"/>
      <c r="FC321" s="322"/>
      <c r="FD321" s="322"/>
      <c r="FE321" s="322"/>
      <c r="FF321" s="322"/>
      <c r="FG321" s="322"/>
      <c r="FH321" s="322"/>
      <c r="FI321" s="322"/>
      <c r="FJ321" s="322"/>
      <c r="FK321" s="322"/>
      <c r="FL321" s="322"/>
      <c r="FM321" s="322"/>
      <c r="FN321" s="322"/>
      <c r="FO321" s="322"/>
      <c r="FP321" s="649"/>
      <c r="FQ321" s="649"/>
      <c r="FR321" s="649"/>
      <c r="FS321" s="649"/>
      <c r="FT321" s="649"/>
      <c r="FU321" s="649"/>
      <c r="FV321" s="649"/>
      <c r="FW321" s="649"/>
      <c r="FX321" s="649"/>
      <c r="FY321" s="649"/>
      <c r="FZ321" s="647"/>
      <c r="GA321" s="647"/>
      <c r="GB321" s="322"/>
      <c r="GL321" s="322"/>
      <c r="GM321" s="322"/>
      <c r="GN321" s="322"/>
      <c r="GO321" s="322"/>
      <c r="GP321" s="322"/>
      <c r="GQ321" s="322"/>
      <c r="GR321" s="322"/>
      <c r="GS321" s="322"/>
      <c r="GT321" s="322"/>
      <c r="GU321" s="322"/>
      <c r="GV321" s="322"/>
    </row>
    <row r="322" spans="1:204" s="139" customFormat="1">
      <c r="A322" s="1056"/>
      <c r="B322" s="638"/>
      <c r="D322" s="1117"/>
      <c r="E322" s="1117"/>
      <c r="F322" s="647"/>
      <c r="G322" s="1118"/>
      <c r="H322" s="1118"/>
      <c r="I322" s="1119"/>
      <c r="J322" s="1118"/>
      <c r="K322" s="1117"/>
      <c r="L322" s="1117"/>
      <c r="M322" s="1117"/>
      <c r="N322" s="1117"/>
      <c r="O322" s="1117"/>
      <c r="P322" s="1117"/>
      <c r="Q322" s="1117"/>
      <c r="R322" s="1118"/>
      <c r="S322" s="1118"/>
      <c r="T322" s="1120"/>
      <c r="U322" s="649"/>
      <c r="V322" s="1117"/>
      <c r="W322" s="649"/>
      <c r="X322" s="649"/>
      <c r="Y322" s="649"/>
      <c r="Z322" s="1117"/>
      <c r="AA322" s="649"/>
      <c r="AB322" s="1117"/>
      <c r="AC322" s="649"/>
      <c r="AD322" s="1117"/>
      <c r="AE322" s="649"/>
      <c r="AF322" s="649"/>
      <c r="AG322" s="649"/>
      <c r="AH322" s="649"/>
      <c r="AI322" s="1117"/>
      <c r="AJ322" s="649"/>
      <c r="AK322" s="649"/>
      <c r="AL322" s="649"/>
      <c r="AM322" s="1114"/>
      <c r="AN322" s="1117"/>
      <c r="AO322" s="649"/>
      <c r="AP322" s="1117"/>
      <c r="AQ322" s="649"/>
      <c r="AR322" s="649"/>
      <c r="AS322" s="649"/>
      <c r="AT322" s="1117"/>
      <c r="AU322" s="649"/>
      <c r="AV322" s="1117"/>
      <c r="AW322" s="649"/>
      <c r="AX322" s="649"/>
      <c r="AY322" s="649"/>
      <c r="AZ322" s="649"/>
      <c r="BA322" s="649"/>
      <c r="BB322" s="649"/>
      <c r="BC322" s="649"/>
      <c r="BD322" s="1117"/>
      <c r="BE322" s="649"/>
      <c r="BF322" s="1117"/>
      <c r="BG322" s="649"/>
      <c r="BH322" s="649"/>
      <c r="BI322" s="649"/>
      <c r="BJ322" s="649"/>
      <c r="BK322" s="649"/>
      <c r="BL322" s="649"/>
      <c r="BM322" s="649"/>
      <c r="BN322" s="649"/>
      <c r="BO322" s="649"/>
      <c r="BP322" s="649"/>
      <c r="BQ322" s="649"/>
      <c r="BR322" s="649"/>
      <c r="BS322" s="649"/>
      <c r="BT322" s="1117"/>
      <c r="BU322" s="649"/>
      <c r="BV322" s="1118"/>
      <c r="BW322" s="1118"/>
      <c r="BX322" s="1117"/>
      <c r="CA322" s="627"/>
      <c r="CB322" s="2258"/>
      <c r="CC322" s="1121"/>
      <c r="CD322" s="782"/>
      <c r="CE322" s="1117"/>
      <c r="CF322" s="1113"/>
      <c r="CG322" s="649"/>
      <c r="CH322" s="647"/>
      <c r="CI322" s="1117"/>
      <c r="CJ322" s="647"/>
      <c r="CK322" s="1117"/>
      <c r="CL322" s="647"/>
      <c r="CM322" s="1117"/>
      <c r="CN322" s="1122"/>
      <c r="CO322" s="1122"/>
      <c r="CP322" s="1122"/>
      <c r="CQ322" s="1117"/>
      <c r="CR322" s="1122"/>
      <c r="CS322" s="1122"/>
      <c r="CT322" s="1122"/>
      <c r="CU322" s="1122"/>
      <c r="CV322" s="1122"/>
      <c r="CW322" s="1117"/>
      <c r="CX322" s="1122"/>
      <c r="CY322" s="1122"/>
      <c r="CZ322" s="1122"/>
      <c r="DA322" s="1122"/>
      <c r="DB322" s="1122"/>
      <c r="DC322" s="1122"/>
      <c r="DD322" s="1122"/>
      <c r="DE322" s="1117"/>
      <c r="DF322" s="1122"/>
      <c r="DG322" s="1117"/>
      <c r="DH322" s="647"/>
      <c r="DI322" s="1117"/>
      <c r="DW322" s="1117"/>
      <c r="DX322" s="647"/>
      <c r="DY322" s="2246"/>
      <c r="DZ322" s="630"/>
      <c r="EA322" s="630"/>
      <c r="EB322" s="266"/>
      <c r="EC322" s="1117"/>
      <c r="ED322" s="266"/>
      <c r="EE322" s="266"/>
      <c r="EF322" s="1117"/>
      <c r="EG322" s="266"/>
      <c r="EH322" s="1117"/>
      <c r="EI322" s="266"/>
      <c r="EJ322" s="1117"/>
      <c r="EL322" s="1117"/>
      <c r="EM322" s="266"/>
      <c r="EN322" s="1117"/>
      <c r="EO322" s="266"/>
      <c r="EP322" s="1117"/>
      <c r="EQ322" s="266"/>
      <c r="ER322" s="1117"/>
      <c r="ES322" s="266"/>
      <c r="ET322" s="1117"/>
      <c r="EU322" s="266"/>
      <c r="EV322" s="1117"/>
      <c r="EW322" s="266"/>
      <c r="EX322" s="1117"/>
      <c r="EY322" s="266"/>
      <c r="EZ322" s="1117"/>
      <c r="FA322" s="266"/>
      <c r="FB322" s="1117"/>
      <c r="FC322" s="266"/>
      <c r="FD322" s="1117"/>
      <c r="FE322" s="266"/>
      <c r="FF322" s="1117"/>
      <c r="FG322" s="266"/>
      <c r="FH322" s="1117"/>
      <c r="FI322" s="266"/>
      <c r="FJ322" s="1117"/>
      <c r="FK322" s="266"/>
      <c r="FL322" s="1117"/>
      <c r="FM322" s="266"/>
      <c r="FN322" s="1117"/>
      <c r="FO322" s="266"/>
      <c r="FP322" s="649"/>
      <c r="FQ322" s="1123"/>
      <c r="FR322" s="1123"/>
      <c r="FS322" s="1123"/>
      <c r="FT322" s="1123"/>
      <c r="FU322" s="1123"/>
      <c r="FV322" s="1123"/>
      <c r="FW322" s="1123"/>
      <c r="FX322" s="1123"/>
      <c r="FY322" s="1123"/>
      <c r="FZ322" s="1123"/>
      <c r="GA322" s="647"/>
      <c r="GB322" s="1117"/>
    </row>
    <row r="323" spans="1:204" s="139" customFormat="1">
      <c r="A323" s="1056"/>
      <c r="B323" s="638"/>
      <c r="D323" s="1117"/>
      <c r="E323" s="1117"/>
      <c r="F323" s="647"/>
      <c r="G323" s="1118"/>
      <c r="H323" s="1118"/>
      <c r="I323" s="1119"/>
      <c r="J323" s="1118"/>
      <c r="K323" s="1117"/>
      <c r="L323" s="1117"/>
      <c r="M323" s="1117"/>
      <c r="N323" s="1117"/>
      <c r="O323" s="1117"/>
      <c r="P323" s="1117"/>
      <c r="Q323" s="1117"/>
      <c r="R323" s="1118"/>
      <c r="S323" s="1118"/>
      <c r="T323" s="1120"/>
      <c r="U323" s="649"/>
      <c r="V323" s="1117"/>
      <c r="W323" s="649"/>
      <c r="X323" s="649"/>
      <c r="Y323" s="649"/>
      <c r="Z323" s="1117"/>
      <c r="AA323" s="649"/>
      <c r="AB323" s="1117"/>
      <c r="AC323" s="649"/>
      <c r="AD323" s="1117"/>
      <c r="AE323" s="649"/>
      <c r="AF323" s="649"/>
      <c r="AG323" s="649"/>
      <c r="AH323" s="649"/>
      <c r="AI323" s="1117"/>
      <c r="AJ323" s="649"/>
      <c r="AK323" s="649"/>
      <c r="AL323" s="649"/>
      <c r="AM323" s="1114"/>
      <c r="AN323" s="1117"/>
      <c r="AO323" s="649"/>
      <c r="AP323" s="1117"/>
      <c r="AQ323" s="649"/>
      <c r="AR323" s="649"/>
      <c r="AS323" s="649"/>
      <c r="AT323" s="1117"/>
      <c r="AU323" s="649"/>
      <c r="AV323" s="1117"/>
      <c r="AW323" s="649"/>
      <c r="AX323" s="649"/>
      <c r="AY323" s="649"/>
      <c r="AZ323" s="649"/>
      <c r="BA323" s="649"/>
      <c r="BB323" s="649"/>
      <c r="BC323" s="649"/>
      <c r="BD323" s="1117"/>
      <c r="BE323" s="649"/>
      <c r="BF323" s="1117"/>
      <c r="BG323" s="649"/>
      <c r="BH323" s="649"/>
      <c r="BI323" s="649"/>
      <c r="BJ323" s="649"/>
      <c r="BK323" s="649"/>
      <c r="BL323" s="649"/>
      <c r="BM323" s="649"/>
      <c r="BN323" s="649"/>
      <c r="BO323" s="649"/>
      <c r="BP323" s="649"/>
      <c r="BQ323" s="649"/>
      <c r="BR323" s="649"/>
      <c r="BS323" s="649"/>
      <c r="BT323" s="1117"/>
      <c r="BU323" s="649"/>
      <c r="BV323" s="1118"/>
      <c r="BW323" s="1118"/>
      <c r="BX323" s="1117"/>
      <c r="CA323" s="627"/>
      <c r="CB323" s="2258"/>
      <c r="CC323" s="1121"/>
      <c r="CD323" s="782"/>
      <c r="CE323" s="1117"/>
      <c r="CF323" s="1113"/>
      <c r="CG323" s="649"/>
      <c r="CH323" s="647"/>
      <c r="CI323" s="1117"/>
      <c r="CJ323" s="647"/>
      <c r="CK323" s="1117"/>
      <c r="CL323" s="647"/>
      <c r="CM323" s="1117"/>
      <c r="CN323" s="1122"/>
      <c r="CO323" s="1122"/>
      <c r="CP323" s="1122"/>
      <c r="CQ323" s="1117"/>
      <c r="CR323" s="1122"/>
      <c r="CS323" s="1122"/>
      <c r="CT323" s="1122"/>
      <c r="CU323" s="1122"/>
      <c r="CV323" s="1122"/>
      <c r="CW323" s="1117"/>
      <c r="CX323" s="1122"/>
      <c r="CY323" s="1122"/>
      <c r="CZ323" s="1122"/>
      <c r="DA323" s="1122"/>
      <c r="DB323" s="1122"/>
      <c r="DC323" s="1122"/>
      <c r="DD323" s="1122"/>
      <c r="DE323" s="1117"/>
      <c r="DF323" s="1122"/>
      <c r="DG323" s="1117"/>
      <c r="DH323" s="647"/>
      <c r="DI323" s="1117"/>
      <c r="DW323" s="1117"/>
      <c r="DX323" s="647"/>
      <c r="DY323" s="2246"/>
      <c r="DZ323" s="630"/>
      <c r="EA323" s="630"/>
      <c r="EB323" s="266"/>
      <c r="EC323" s="1117"/>
      <c r="ED323" s="266"/>
      <c r="EE323" s="266"/>
      <c r="EF323" s="1117"/>
      <c r="EG323" s="266"/>
      <c r="EH323" s="1117"/>
      <c r="EI323" s="266"/>
      <c r="EJ323" s="1117"/>
      <c r="EL323" s="1117"/>
      <c r="EM323" s="266"/>
      <c r="EN323" s="1117"/>
      <c r="EO323" s="266"/>
      <c r="EP323" s="1117"/>
      <c r="EQ323" s="266"/>
      <c r="ER323" s="1117"/>
      <c r="ES323" s="266"/>
      <c r="ET323" s="1117"/>
      <c r="EU323" s="266"/>
      <c r="EV323" s="1117"/>
      <c r="EW323" s="266"/>
      <c r="EX323" s="1117"/>
      <c r="EY323" s="266"/>
      <c r="EZ323" s="1117"/>
      <c r="FA323" s="266"/>
      <c r="FB323" s="1117"/>
      <c r="FC323" s="266"/>
      <c r="FD323" s="1117"/>
      <c r="FE323" s="266"/>
      <c r="FF323" s="1117"/>
      <c r="FG323" s="266"/>
      <c r="FH323" s="1117"/>
      <c r="FI323" s="266"/>
      <c r="FJ323" s="1117"/>
      <c r="FK323" s="266"/>
      <c r="FL323" s="1117"/>
      <c r="FM323" s="266"/>
      <c r="FN323" s="1117"/>
      <c r="FO323" s="266"/>
      <c r="FP323" s="649"/>
      <c r="FQ323" s="1123"/>
      <c r="FR323" s="1123"/>
      <c r="FS323" s="1123"/>
      <c r="FT323" s="1123"/>
      <c r="FU323" s="1123"/>
      <c r="FV323" s="1123"/>
      <c r="FW323" s="1123"/>
      <c r="FX323" s="1123"/>
      <c r="FY323" s="1123"/>
      <c r="FZ323" s="1123"/>
      <c r="GA323" s="647"/>
      <c r="GB323" s="1117"/>
    </row>
    <row r="324" spans="1:204" s="139" customFormat="1">
      <c r="A324" s="1056"/>
      <c r="B324" s="638"/>
      <c r="D324" s="1117"/>
      <c r="E324" s="1117"/>
      <c r="F324" s="647"/>
      <c r="G324" s="1118"/>
      <c r="H324" s="1118"/>
      <c r="I324" s="1119"/>
      <c r="J324" s="1118"/>
      <c r="K324" s="1117"/>
      <c r="L324" s="1117"/>
      <c r="M324" s="1117"/>
      <c r="N324" s="1117"/>
      <c r="O324" s="1117"/>
      <c r="P324" s="1117"/>
      <c r="Q324" s="1117"/>
      <c r="R324" s="1118"/>
      <c r="S324" s="1118"/>
      <c r="T324" s="1120"/>
      <c r="U324" s="649"/>
      <c r="V324" s="1117"/>
      <c r="W324" s="649"/>
      <c r="X324" s="649"/>
      <c r="Y324" s="649"/>
      <c r="Z324" s="1117"/>
      <c r="AA324" s="649"/>
      <c r="AB324" s="1117"/>
      <c r="AC324" s="649"/>
      <c r="AD324" s="1117"/>
      <c r="AE324" s="649"/>
      <c r="AF324" s="649"/>
      <c r="AG324" s="649"/>
      <c r="AH324" s="649"/>
      <c r="AI324" s="1117"/>
      <c r="AJ324" s="649"/>
      <c r="AK324" s="649"/>
      <c r="AL324" s="649"/>
      <c r="AM324" s="1114"/>
      <c r="AN324" s="1117"/>
      <c r="AO324" s="649"/>
      <c r="AP324" s="1117"/>
      <c r="AQ324" s="649"/>
      <c r="AR324" s="649"/>
      <c r="AS324" s="649"/>
      <c r="AT324" s="1117"/>
      <c r="AU324" s="649"/>
      <c r="AV324" s="1117"/>
      <c r="AW324" s="649"/>
      <c r="AX324" s="649"/>
      <c r="AY324" s="649"/>
      <c r="AZ324" s="649"/>
      <c r="BA324" s="649"/>
      <c r="BB324" s="649"/>
      <c r="BC324" s="649"/>
      <c r="BD324" s="1117"/>
      <c r="BE324" s="649"/>
      <c r="BF324" s="1117"/>
      <c r="BG324" s="649"/>
      <c r="BH324" s="649"/>
      <c r="BI324" s="649"/>
      <c r="BJ324" s="649"/>
      <c r="BK324" s="649"/>
      <c r="BL324" s="649"/>
      <c r="BM324" s="649"/>
      <c r="BN324" s="649"/>
      <c r="BO324" s="649"/>
      <c r="BP324" s="649"/>
      <c r="BQ324" s="649"/>
      <c r="BR324" s="649"/>
      <c r="BS324" s="649"/>
      <c r="BT324" s="1117"/>
      <c r="BU324" s="649"/>
      <c r="BV324" s="1118"/>
      <c r="BW324" s="1118"/>
      <c r="BX324" s="1117"/>
      <c r="CA324" s="627"/>
      <c r="CB324" s="2258"/>
      <c r="CC324" s="1121"/>
      <c r="CD324" s="782"/>
      <c r="CE324" s="1117"/>
      <c r="CF324" s="1113"/>
      <c r="CG324" s="649"/>
      <c r="CH324" s="647"/>
      <c r="CI324" s="1117"/>
      <c r="CJ324" s="647"/>
      <c r="CK324" s="1117"/>
      <c r="CL324" s="647"/>
      <c r="CM324" s="1117"/>
      <c r="CN324" s="1122"/>
      <c r="CO324" s="1122"/>
      <c r="CP324" s="1122"/>
      <c r="CQ324" s="1117"/>
      <c r="CR324" s="1122"/>
      <c r="CS324" s="1122"/>
      <c r="CT324" s="1122"/>
      <c r="CU324" s="1122"/>
      <c r="CV324" s="1122"/>
      <c r="CW324" s="1117"/>
      <c r="CX324" s="1122"/>
      <c r="CY324" s="1122"/>
      <c r="CZ324" s="1122"/>
      <c r="DA324" s="1122"/>
      <c r="DB324" s="1122"/>
      <c r="DC324" s="1122"/>
      <c r="DD324" s="1122"/>
      <c r="DE324" s="1117"/>
      <c r="DF324" s="1122"/>
      <c r="DG324" s="1117"/>
      <c r="DH324" s="647"/>
      <c r="DI324" s="1117"/>
      <c r="DW324" s="1117"/>
      <c r="DX324" s="647"/>
      <c r="DY324" s="2246"/>
      <c r="DZ324" s="630"/>
      <c r="EA324" s="630"/>
      <c r="EB324" s="266"/>
      <c r="EC324" s="1117"/>
      <c r="ED324" s="266"/>
      <c r="EE324" s="266"/>
      <c r="EF324" s="1117"/>
      <c r="EG324" s="266"/>
      <c r="EH324" s="1117"/>
      <c r="EI324" s="266"/>
      <c r="EJ324" s="1117"/>
      <c r="EL324" s="1117"/>
      <c r="EM324" s="266"/>
      <c r="EN324" s="1117"/>
      <c r="EO324" s="266"/>
      <c r="EP324" s="1117"/>
      <c r="EQ324" s="266"/>
      <c r="ER324" s="1117"/>
      <c r="ES324" s="266"/>
      <c r="ET324" s="1117"/>
      <c r="EU324" s="266"/>
      <c r="EV324" s="1117"/>
      <c r="EW324" s="266"/>
      <c r="EX324" s="1117"/>
      <c r="EY324" s="266"/>
      <c r="EZ324" s="1117"/>
      <c r="FA324" s="266"/>
      <c r="FB324" s="1117"/>
      <c r="FC324" s="266"/>
      <c r="FD324" s="1117"/>
      <c r="FE324" s="266"/>
      <c r="FF324" s="1117"/>
      <c r="FG324" s="266"/>
      <c r="FH324" s="1117"/>
      <c r="FI324" s="266"/>
      <c r="FJ324" s="1117"/>
      <c r="FK324" s="266"/>
      <c r="FL324" s="1117"/>
      <c r="FM324" s="266"/>
      <c r="FN324" s="1117"/>
      <c r="FO324" s="266"/>
      <c r="FP324" s="649"/>
      <c r="FQ324" s="1123"/>
      <c r="FR324" s="1123"/>
      <c r="FS324" s="1123"/>
      <c r="FT324" s="1123"/>
      <c r="FU324" s="1123"/>
      <c r="FV324" s="1123"/>
      <c r="FW324" s="1123"/>
      <c r="FX324" s="1123"/>
      <c r="FY324" s="1123"/>
      <c r="FZ324" s="1123"/>
      <c r="GA324" s="647"/>
      <c r="GB324" s="1117"/>
    </row>
    <row r="325" spans="1:204" s="139" customFormat="1">
      <c r="A325" s="1056"/>
      <c r="B325" s="638"/>
      <c r="D325" s="1117"/>
      <c r="E325" s="1117"/>
      <c r="F325" s="647"/>
      <c r="G325" s="1118"/>
      <c r="H325" s="1118"/>
      <c r="I325" s="1119"/>
      <c r="J325" s="1118"/>
      <c r="K325" s="1117"/>
      <c r="L325" s="1117"/>
      <c r="M325" s="1117"/>
      <c r="N325" s="1117"/>
      <c r="O325" s="1117"/>
      <c r="P325" s="1117"/>
      <c r="Q325" s="1117"/>
      <c r="R325" s="1118"/>
      <c r="S325" s="1118"/>
      <c r="T325" s="1120"/>
      <c r="U325" s="649"/>
      <c r="V325" s="1117"/>
      <c r="W325" s="649"/>
      <c r="X325" s="649"/>
      <c r="Y325" s="649"/>
      <c r="Z325" s="1117"/>
      <c r="AA325" s="649"/>
      <c r="AB325" s="1117"/>
      <c r="AC325" s="649"/>
      <c r="AD325" s="1117"/>
      <c r="AE325" s="649"/>
      <c r="AF325" s="649"/>
      <c r="AG325" s="649"/>
      <c r="AH325" s="649"/>
      <c r="AI325" s="1117"/>
      <c r="AJ325" s="649"/>
      <c r="AK325" s="649"/>
      <c r="AL325" s="649"/>
      <c r="AM325" s="1114"/>
      <c r="AN325" s="1117"/>
      <c r="AO325" s="649"/>
      <c r="AP325" s="1117"/>
      <c r="AQ325" s="649"/>
      <c r="AR325" s="649"/>
      <c r="AS325" s="649"/>
      <c r="AT325" s="1117"/>
      <c r="AU325" s="649"/>
      <c r="AV325" s="1117"/>
      <c r="AW325" s="649"/>
      <c r="AX325" s="649"/>
      <c r="AY325" s="649"/>
      <c r="AZ325" s="649"/>
      <c r="BA325" s="649"/>
      <c r="BB325" s="649"/>
      <c r="BC325" s="649"/>
      <c r="BD325" s="1117"/>
      <c r="BE325" s="649"/>
      <c r="BF325" s="1117"/>
      <c r="BG325" s="649"/>
      <c r="BH325" s="649"/>
      <c r="BI325" s="649"/>
      <c r="BJ325" s="649"/>
      <c r="BK325" s="649"/>
      <c r="BL325" s="649"/>
      <c r="BM325" s="649"/>
      <c r="BN325" s="649"/>
      <c r="BO325" s="649"/>
      <c r="BP325" s="649"/>
      <c r="BQ325" s="649"/>
      <c r="BR325" s="649"/>
      <c r="BS325" s="649"/>
      <c r="BT325" s="1117"/>
      <c r="BU325" s="649"/>
      <c r="BV325" s="1118"/>
      <c r="BW325" s="1118"/>
      <c r="BX325" s="1117"/>
      <c r="CA325" s="627"/>
      <c r="CB325" s="2258"/>
      <c r="CC325" s="1121"/>
      <c r="CD325" s="782"/>
      <c r="CE325" s="1117"/>
      <c r="CF325" s="1113"/>
      <c r="CG325" s="649"/>
      <c r="CH325" s="647"/>
      <c r="CI325" s="1117"/>
      <c r="CJ325" s="647"/>
      <c r="CK325" s="1117"/>
      <c r="CL325" s="647"/>
      <c r="CM325" s="1117"/>
      <c r="CN325" s="1122"/>
      <c r="CO325" s="1122"/>
      <c r="CP325" s="1122"/>
      <c r="CQ325" s="1117"/>
      <c r="CR325" s="1122"/>
      <c r="CS325" s="1122"/>
      <c r="CT325" s="1122"/>
      <c r="CU325" s="1122"/>
      <c r="CV325" s="1122"/>
      <c r="CW325" s="1117"/>
      <c r="CX325" s="1122"/>
      <c r="CY325" s="1122"/>
      <c r="CZ325" s="1122"/>
      <c r="DA325" s="1122"/>
      <c r="DB325" s="1122"/>
      <c r="DC325" s="1122"/>
      <c r="DD325" s="1122"/>
      <c r="DE325" s="1117"/>
      <c r="DF325" s="1122"/>
      <c r="DG325" s="1117"/>
      <c r="DH325" s="647"/>
      <c r="DI325" s="1117"/>
      <c r="DW325" s="1117"/>
      <c r="DX325" s="647"/>
      <c r="DY325" s="2246"/>
      <c r="DZ325" s="630"/>
      <c r="EA325" s="630"/>
      <c r="EB325" s="266"/>
      <c r="EC325" s="1117"/>
      <c r="ED325" s="266"/>
      <c r="EE325" s="266"/>
      <c r="EF325" s="1117"/>
      <c r="EG325" s="266"/>
      <c r="EH325" s="1117"/>
      <c r="EI325" s="266"/>
      <c r="EJ325" s="1117"/>
      <c r="EL325" s="1117"/>
      <c r="EM325" s="266"/>
      <c r="EN325" s="1117"/>
      <c r="EO325" s="266"/>
      <c r="EP325" s="1117"/>
      <c r="EQ325" s="266"/>
      <c r="ER325" s="1117"/>
      <c r="ES325" s="266"/>
      <c r="ET325" s="1117"/>
      <c r="EU325" s="266"/>
      <c r="EV325" s="1117"/>
      <c r="EW325" s="266"/>
      <c r="EX325" s="1117"/>
      <c r="EY325" s="266"/>
      <c r="EZ325" s="1117"/>
      <c r="FA325" s="266"/>
      <c r="FB325" s="1117"/>
      <c r="FC325" s="266"/>
      <c r="FD325" s="1117"/>
      <c r="FE325" s="266"/>
      <c r="FF325" s="1117"/>
      <c r="FG325" s="266"/>
      <c r="FH325" s="1117"/>
      <c r="FI325" s="266"/>
      <c r="FJ325" s="1117"/>
      <c r="FK325" s="266"/>
      <c r="FL325" s="1117"/>
      <c r="FM325" s="266"/>
      <c r="FN325" s="1117"/>
      <c r="FO325" s="266"/>
      <c r="FP325" s="649"/>
      <c r="FQ325" s="1123"/>
      <c r="FR325" s="1123"/>
      <c r="FS325" s="1123"/>
      <c r="FT325" s="1123"/>
      <c r="FU325" s="1123"/>
      <c r="FV325" s="1123"/>
      <c r="FW325" s="1123"/>
      <c r="FX325" s="1123"/>
      <c r="FY325" s="1123"/>
      <c r="FZ325" s="1123"/>
      <c r="GA325" s="647"/>
      <c r="GB325" s="1117"/>
    </row>
    <row r="326" spans="1:204" s="139" customFormat="1">
      <c r="A326" s="1056"/>
      <c r="B326" s="638"/>
      <c r="D326" s="1117"/>
      <c r="E326" s="1117"/>
      <c r="F326" s="647"/>
      <c r="G326" s="1118"/>
      <c r="H326" s="1118"/>
      <c r="I326" s="1119"/>
      <c r="J326" s="1118"/>
      <c r="K326" s="1117"/>
      <c r="L326" s="1117"/>
      <c r="M326" s="1117"/>
      <c r="N326" s="1117"/>
      <c r="O326" s="1117"/>
      <c r="P326" s="1117"/>
      <c r="Q326" s="1117"/>
      <c r="R326" s="1118"/>
      <c r="S326" s="1118"/>
      <c r="T326" s="1120"/>
      <c r="U326" s="649"/>
      <c r="V326" s="1117"/>
      <c r="W326" s="649"/>
      <c r="X326" s="649"/>
      <c r="Y326" s="649"/>
      <c r="Z326" s="1117"/>
      <c r="AA326" s="649"/>
      <c r="AB326" s="1117"/>
      <c r="AC326" s="649"/>
      <c r="AD326" s="1117"/>
      <c r="AE326" s="649"/>
      <c r="AF326" s="649"/>
      <c r="AG326" s="649"/>
      <c r="AH326" s="649"/>
      <c r="AI326" s="1117"/>
      <c r="AJ326" s="649"/>
      <c r="AK326" s="649"/>
      <c r="AL326" s="649"/>
      <c r="AM326" s="1114"/>
      <c r="AN326" s="1117"/>
      <c r="AO326" s="649"/>
      <c r="AP326" s="1117"/>
      <c r="AQ326" s="649"/>
      <c r="AR326" s="649"/>
      <c r="AS326" s="649"/>
      <c r="AT326" s="1117"/>
      <c r="AU326" s="649"/>
      <c r="AV326" s="1117"/>
      <c r="AW326" s="649"/>
      <c r="AX326" s="649"/>
      <c r="AY326" s="649"/>
      <c r="AZ326" s="649"/>
      <c r="BA326" s="649"/>
      <c r="BB326" s="649"/>
      <c r="BC326" s="649"/>
      <c r="BD326" s="1117"/>
      <c r="BE326" s="649"/>
      <c r="BF326" s="1117"/>
      <c r="BG326" s="649"/>
      <c r="BH326" s="649"/>
      <c r="BI326" s="649"/>
      <c r="BJ326" s="649"/>
      <c r="BK326" s="649"/>
      <c r="BL326" s="649"/>
      <c r="BM326" s="649"/>
      <c r="BN326" s="649"/>
      <c r="BO326" s="649"/>
      <c r="BP326" s="649"/>
      <c r="BQ326" s="649"/>
      <c r="BR326" s="649"/>
      <c r="BS326" s="649"/>
      <c r="BT326" s="1117"/>
      <c r="BU326" s="649"/>
      <c r="BV326" s="1118"/>
      <c r="BW326" s="1118"/>
      <c r="BX326" s="1117"/>
      <c r="CA326" s="627"/>
      <c r="CB326" s="2258"/>
      <c r="CC326" s="1121"/>
      <c r="CD326" s="782"/>
      <c r="CE326" s="1117"/>
      <c r="CF326" s="1113"/>
      <c r="CG326" s="649"/>
      <c r="CH326" s="647"/>
      <c r="CI326" s="1117"/>
      <c r="CJ326" s="647"/>
      <c r="CK326" s="1117"/>
      <c r="CL326" s="647"/>
      <c r="CM326" s="1117"/>
      <c r="CN326" s="1122"/>
      <c r="CO326" s="1122"/>
      <c r="CP326" s="1122"/>
      <c r="CQ326" s="1117"/>
      <c r="CR326" s="1122"/>
      <c r="CS326" s="1122"/>
      <c r="CT326" s="1122"/>
      <c r="CU326" s="1122"/>
      <c r="CV326" s="1122"/>
      <c r="CW326" s="1117"/>
      <c r="CX326" s="1122"/>
      <c r="CY326" s="1122"/>
      <c r="CZ326" s="1122"/>
      <c r="DA326" s="1122"/>
      <c r="DB326" s="1122"/>
      <c r="DC326" s="1122"/>
      <c r="DD326" s="1122"/>
      <c r="DE326" s="1117"/>
      <c r="DF326" s="1122"/>
      <c r="DG326" s="1117"/>
      <c r="DH326" s="647"/>
      <c r="DI326" s="1117"/>
      <c r="DW326" s="1117"/>
      <c r="DX326" s="647"/>
      <c r="DY326" s="2246"/>
      <c r="DZ326" s="630"/>
      <c r="EA326" s="630"/>
      <c r="EB326" s="266"/>
      <c r="EC326" s="1117"/>
      <c r="ED326" s="266"/>
      <c r="EE326" s="266"/>
      <c r="EF326" s="1117"/>
      <c r="EG326" s="266"/>
      <c r="EH326" s="1117"/>
      <c r="EI326" s="266"/>
      <c r="EJ326" s="1117"/>
      <c r="EL326" s="1117"/>
      <c r="EM326" s="266"/>
      <c r="EN326" s="1117"/>
      <c r="EO326" s="266"/>
      <c r="EP326" s="1117"/>
      <c r="EQ326" s="266"/>
      <c r="ER326" s="1117"/>
      <c r="ES326" s="266"/>
      <c r="ET326" s="1117"/>
      <c r="EU326" s="266"/>
      <c r="EV326" s="1117"/>
      <c r="EW326" s="266"/>
      <c r="EX326" s="1117"/>
      <c r="EY326" s="266"/>
      <c r="EZ326" s="1117"/>
      <c r="FA326" s="266"/>
      <c r="FB326" s="1117"/>
      <c r="FC326" s="266"/>
      <c r="FD326" s="1117"/>
      <c r="FE326" s="266"/>
      <c r="FF326" s="1117"/>
      <c r="FG326" s="266"/>
      <c r="FH326" s="1117"/>
      <c r="FI326" s="266"/>
      <c r="FJ326" s="1117"/>
      <c r="FK326" s="266"/>
      <c r="FL326" s="1117"/>
      <c r="FM326" s="266"/>
      <c r="FN326" s="1117"/>
      <c r="FO326" s="266"/>
      <c r="FP326" s="649"/>
      <c r="FQ326" s="1123"/>
      <c r="FR326" s="1123"/>
      <c r="FS326" s="1123"/>
      <c r="FT326" s="1123"/>
      <c r="FU326" s="1123"/>
      <c r="FV326" s="1123"/>
      <c r="FW326" s="1123"/>
      <c r="FX326" s="1123"/>
      <c r="FY326" s="1123"/>
      <c r="FZ326" s="1123"/>
      <c r="GA326" s="647"/>
      <c r="GB326" s="1117"/>
    </row>
    <row r="327" spans="1:204" s="139" customFormat="1">
      <c r="A327" s="1056"/>
      <c r="B327" s="638"/>
      <c r="F327" s="1113"/>
      <c r="I327" s="627"/>
      <c r="T327" s="634"/>
      <c r="U327" s="647"/>
      <c r="W327" s="647"/>
      <c r="X327" s="647"/>
      <c r="Y327" s="647"/>
      <c r="AA327" s="647"/>
      <c r="AC327" s="647"/>
      <c r="AE327" s="647"/>
      <c r="AF327" s="647"/>
      <c r="AG327" s="647"/>
      <c r="AH327" s="647"/>
      <c r="AJ327" s="647"/>
      <c r="AK327" s="647"/>
      <c r="AL327" s="647"/>
      <c r="AM327" s="1124"/>
      <c r="AO327" s="647"/>
      <c r="AQ327" s="647"/>
      <c r="AR327" s="647"/>
      <c r="AS327" s="647"/>
      <c r="AU327" s="647"/>
      <c r="AW327" s="647"/>
      <c r="AX327" s="647"/>
      <c r="AY327" s="647"/>
      <c r="AZ327" s="647"/>
      <c r="BA327" s="647"/>
      <c r="BB327" s="647"/>
      <c r="BC327" s="647"/>
      <c r="BE327" s="647"/>
      <c r="BG327" s="647"/>
      <c r="BH327" s="647"/>
      <c r="BI327" s="647"/>
      <c r="BJ327" s="647"/>
      <c r="BK327" s="647"/>
      <c r="BL327" s="647"/>
      <c r="BM327" s="647"/>
      <c r="BN327" s="647"/>
      <c r="BO327" s="647"/>
      <c r="BP327" s="647"/>
      <c r="BQ327" s="647"/>
      <c r="BR327" s="647"/>
      <c r="BS327" s="647"/>
      <c r="BU327" s="647"/>
      <c r="CA327" s="781"/>
      <c r="CB327" s="2258"/>
      <c r="CC327" s="1121"/>
      <c r="CD327" s="782"/>
      <c r="CF327" s="647"/>
      <c r="CG327" s="647"/>
      <c r="CH327" s="647"/>
      <c r="CJ327" s="647"/>
      <c r="CL327" s="647"/>
      <c r="CN327" s="1122"/>
      <c r="CO327" s="1122"/>
      <c r="CP327" s="1122" t="s">
        <v>795</v>
      </c>
      <c r="CR327" s="1122"/>
      <c r="CS327" s="1122"/>
      <c r="CT327" s="1122"/>
      <c r="CU327" s="1122"/>
      <c r="CV327" s="1122"/>
      <c r="CX327" s="1122"/>
      <c r="CY327" s="1122"/>
      <c r="CZ327" s="1122"/>
      <c r="DA327" s="1122"/>
      <c r="DB327" s="1122"/>
      <c r="DC327" s="1122"/>
      <c r="DD327" s="1122"/>
      <c r="DF327" s="1122"/>
      <c r="DH327" s="647"/>
      <c r="DX327" s="647"/>
      <c r="DY327" s="634"/>
      <c r="DZ327" s="634"/>
      <c r="EA327" s="634"/>
      <c r="FP327" s="647"/>
      <c r="FQ327" s="647"/>
      <c r="FR327" s="647"/>
      <c r="FS327" s="647"/>
      <c r="FT327" s="647"/>
      <c r="FU327" s="647"/>
      <c r="FV327" s="647"/>
      <c r="FW327" s="647"/>
      <c r="FX327" s="647"/>
      <c r="FY327" s="647"/>
      <c r="FZ327" s="647"/>
      <c r="GA327" s="647"/>
    </row>
    <row r="328" spans="1:204" s="139" customFormat="1">
      <c r="A328" s="1056"/>
      <c r="B328" s="638"/>
      <c r="F328" s="1113"/>
      <c r="I328" s="627"/>
      <c r="T328" s="634"/>
      <c r="U328" s="647"/>
      <c r="W328" s="647"/>
      <c r="X328" s="647"/>
      <c r="Y328" s="647"/>
      <c r="AA328" s="647"/>
      <c r="AC328" s="647"/>
      <c r="AE328" s="647"/>
      <c r="AF328" s="647"/>
      <c r="AG328" s="647"/>
      <c r="AH328" s="647"/>
      <c r="AJ328" s="647" t="s">
        <v>919</v>
      </c>
      <c r="AK328" s="647"/>
      <c r="AL328" s="647"/>
      <c r="AM328" s="1124"/>
      <c r="AO328" s="647" t="s">
        <v>919</v>
      </c>
      <c r="AQ328" s="647" t="s">
        <v>919</v>
      </c>
      <c r="AR328" s="647"/>
      <c r="AS328" s="647" t="s">
        <v>920</v>
      </c>
      <c r="AU328" s="647" t="s">
        <v>921</v>
      </c>
      <c r="AW328" s="647"/>
      <c r="AX328" s="647"/>
      <c r="AY328" s="647"/>
      <c r="AZ328" s="647"/>
      <c r="BA328" s="647"/>
      <c r="BB328" s="647"/>
      <c r="BC328" s="647"/>
      <c r="BE328" s="647"/>
      <c r="BG328" s="647"/>
      <c r="BH328" s="647"/>
      <c r="BI328" s="647"/>
      <c r="BJ328" s="647"/>
      <c r="BK328" s="647"/>
      <c r="BL328" s="647"/>
      <c r="BM328" s="647"/>
      <c r="BN328" s="647"/>
      <c r="BO328" s="647"/>
      <c r="BP328" s="647"/>
      <c r="BQ328" s="647"/>
      <c r="BR328" s="647"/>
      <c r="BS328" s="647"/>
      <c r="BU328" s="647"/>
      <c r="CA328" s="781"/>
      <c r="CB328" s="2258"/>
      <c r="CC328" s="1121"/>
      <c r="CD328" s="782"/>
      <c r="CF328" s="647"/>
      <c r="CG328" s="647"/>
      <c r="CH328" s="647"/>
      <c r="CJ328" s="647"/>
      <c r="CL328" s="647"/>
      <c r="CN328" s="1122"/>
      <c r="CO328" s="1122"/>
      <c r="CP328" s="1122"/>
      <c r="CR328" s="1122"/>
      <c r="CS328" s="1122"/>
      <c r="CT328" s="1122"/>
      <c r="CU328" s="1122"/>
      <c r="CV328" s="1122"/>
      <c r="CX328" s="1122"/>
      <c r="CY328" s="1122"/>
      <c r="CZ328" s="1122"/>
      <c r="DA328" s="1122"/>
      <c r="DB328" s="1122"/>
      <c r="DC328" s="1122"/>
      <c r="DD328" s="1122"/>
      <c r="DF328" s="1122"/>
      <c r="DH328" s="647"/>
      <c r="DX328" s="647"/>
      <c r="DY328" s="634"/>
      <c r="DZ328" s="634"/>
      <c r="EA328" s="634"/>
      <c r="FP328" s="647"/>
      <c r="FQ328" s="647"/>
      <c r="FR328" s="647"/>
      <c r="FS328" s="647"/>
      <c r="FT328" s="647"/>
      <c r="FU328" s="647"/>
      <c r="FV328" s="647"/>
      <c r="FW328" s="647"/>
      <c r="FX328" s="647"/>
      <c r="FY328" s="647"/>
      <c r="FZ328" s="647"/>
      <c r="GA328" s="647"/>
    </row>
    <row r="329" spans="1:204">
      <c r="A329" s="1056"/>
      <c r="B329" s="638"/>
      <c r="C329" s="139"/>
      <c r="D329" s="139"/>
      <c r="E329" s="139"/>
      <c r="F329" s="1113"/>
      <c r="G329" s="139"/>
      <c r="H329" s="139"/>
      <c r="I329" s="627"/>
      <c r="J329" s="139"/>
      <c r="K329" s="139"/>
      <c r="L329" s="139"/>
      <c r="M329" s="139"/>
      <c r="N329" s="139"/>
      <c r="O329" s="139"/>
      <c r="P329" s="139"/>
      <c r="Q329" s="139"/>
      <c r="R329" s="139"/>
      <c r="S329" s="139"/>
      <c r="U329" s="647"/>
      <c r="V329" s="139"/>
      <c r="W329" s="647"/>
      <c r="X329" s="647"/>
      <c r="Y329" s="647"/>
      <c r="Z329" s="139"/>
      <c r="AA329" s="647"/>
      <c r="AB329" s="139"/>
      <c r="AC329" s="647"/>
      <c r="AD329" s="139"/>
      <c r="AE329" s="647"/>
      <c r="AF329" s="647"/>
      <c r="AG329" s="647"/>
      <c r="AH329" s="647"/>
      <c r="AI329" s="139"/>
      <c r="AJ329" s="647"/>
      <c r="AK329" s="647"/>
      <c r="AL329" s="647"/>
      <c r="AM329" s="1124"/>
      <c r="AN329" s="139"/>
      <c r="AO329" s="647"/>
      <c r="AP329" s="139"/>
      <c r="AQ329" s="647"/>
      <c r="AR329" s="647"/>
      <c r="AS329" s="647"/>
      <c r="AT329" s="139"/>
      <c r="AU329" s="647"/>
      <c r="AV329" s="139"/>
      <c r="AW329" s="647"/>
      <c r="AX329" s="647"/>
      <c r="AY329" s="647"/>
      <c r="AZ329" s="647"/>
      <c r="BA329" s="647"/>
      <c r="BB329" s="647"/>
      <c r="BC329" s="647"/>
      <c r="BD329" s="139"/>
      <c r="BE329" s="647"/>
      <c r="BF329" s="139"/>
      <c r="BG329" s="647"/>
      <c r="BH329" s="647"/>
      <c r="BI329" s="647"/>
      <c r="BJ329" s="647"/>
      <c r="BK329" s="647"/>
      <c r="BL329" s="647"/>
      <c r="BM329" s="647"/>
      <c r="BN329" s="647"/>
      <c r="BO329" s="647"/>
      <c r="BP329" s="647"/>
      <c r="BQ329" s="647"/>
      <c r="BR329" s="647"/>
      <c r="BS329" s="647"/>
      <c r="BT329" s="139"/>
      <c r="BU329" s="647"/>
      <c r="BV329" s="139"/>
      <c r="BW329" s="139"/>
      <c r="BX329" s="139"/>
      <c r="BY329" s="139"/>
      <c r="BZ329" s="139"/>
      <c r="CA329" s="781"/>
      <c r="CB329" s="2258"/>
      <c r="CC329" s="1121"/>
      <c r="CD329" s="782"/>
      <c r="CE329" s="139"/>
      <c r="CF329" s="647"/>
      <c r="CG329" s="647"/>
      <c r="CH329" s="647"/>
      <c r="CI329" s="139"/>
      <c r="CJ329" s="647"/>
      <c r="CK329" s="139"/>
      <c r="CL329" s="647"/>
      <c r="CM329" s="139"/>
      <c r="CN329" s="1122"/>
      <c r="CO329" s="1122"/>
      <c r="CP329" s="1122"/>
      <c r="CQ329" s="139"/>
      <c r="CR329" s="1122"/>
      <c r="CS329" s="1122"/>
      <c r="CT329" s="1122"/>
      <c r="CU329" s="1122"/>
      <c r="CV329" s="1122"/>
      <c r="CW329" s="139"/>
      <c r="CX329" s="1122"/>
      <c r="CY329" s="1122"/>
      <c r="CZ329" s="1122"/>
      <c r="DA329" s="1122"/>
      <c r="DB329" s="1122"/>
      <c r="DC329" s="1122"/>
      <c r="DD329" s="1122"/>
      <c r="DE329" s="139"/>
      <c r="DF329" s="1122"/>
      <c r="DG329" s="139"/>
      <c r="DH329" s="647"/>
      <c r="DI329" s="139"/>
      <c r="DJ329" s="139"/>
      <c r="DK329" s="139"/>
      <c r="DL329" s="139"/>
      <c r="DM329" s="139"/>
      <c r="DN329" s="139"/>
      <c r="DO329" s="139"/>
      <c r="DP329" s="139"/>
      <c r="DQ329" s="139"/>
      <c r="DR329" s="139"/>
      <c r="DS329" s="139"/>
      <c r="DT329" s="139"/>
      <c r="DU329" s="139"/>
      <c r="DV329" s="139"/>
      <c r="DW329" s="139"/>
      <c r="DY329" s="634"/>
      <c r="DZ329" s="634"/>
      <c r="EA329" s="634"/>
      <c r="EB329" s="139"/>
      <c r="EC329" s="139"/>
      <c r="ED329" s="139"/>
      <c r="EE329" s="139"/>
      <c r="EF329" s="139"/>
      <c r="EG329" s="139"/>
      <c r="EH329" s="139"/>
      <c r="EI329" s="139"/>
      <c r="EJ329" s="139"/>
      <c r="EK329" s="139"/>
      <c r="EL329" s="139"/>
      <c r="EM329" s="139"/>
      <c r="EN329" s="139"/>
      <c r="EO329" s="139"/>
      <c r="EP329" s="139"/>
      <c r="EQ329" s="139"/>
      <c r="ER329" s="139"/>
      <c r="ES329" s="139"/>
      <c r="ET329" s="139"/>
      <c r="EU329" s="139"/>
      <c r="EV329" s="139"/>
      <c r="EW329" s="139"/>
      <c r="EX329" s="139"/>
      <c r="EY329" s="139"/>
      <c r="EZ329" s="139"/>
      <c r="FA329" s="139"/>
      <c r="FB329" s="139"/>
      <c r="FC329" s="139"/>
      <c r="FD329" s="139"/>
      <c r="FE329" s="139"/>
      <c r="FF329" s="139"/>
      <c r="FG329" s="139"/>
      <c r="FH329" s="139"/>
      <c r="FI329" s="139"/>
      <c r="FJ329" s="139"/>
      <c r="FK329" s="139"/>
      <c r="FL329" s="139"/>
      <c r="FM329" s="139"/>
      <c r="FN329" s="139"/>
      <c r="FO329" s="139"/>
      <c r="FP329" s="647"/>
      <c r="FQ329" s="647"/>
      <c r="FR329" s="647"/>
      <c r="FS329" s="647"/>
      <c r="FT329" s="647"/>
      <c r="FU329" s="647"/>
      <c r="FV329" s="647"/>
      <c r="FW329" s="647"/>
      <c r="FX329" s="647"/>
      <c r="FY329" s="647"/>
      <c r="FZ329" s="647"/>
      <c r="GA329" s="647"/>
      <c r="GB329" s="139"/>
      <c r="GC329" s="139"/>
      <c r="GD329" s="139"/>
      <c r="GE329" s="139"/>
      <c r="GF329" s="139"/>
      <c r="GG329" s="139"/>
      <c r="GH329" s="139"/>
      <c r="GI329" s="139"/>
      <c r="GJ329" s="139"/>
      <c r="GK329" s="139"/>
      <c r="GL329" s="139"/>
      <c r="GM329" s="139"/>
      <c r="GN329" s="139"/>
      <c r="GO329" s="139"/>
      <c r="GP329" s="139"/>
      <c r="GQ329" s="139"/>
      <c r="GR329" s="139"/>
      <c r="GS329" s="139"/>
      <c r="GT329" s="139"/>
      <c r="GU329" s="139"/>
      <c r="GV329" s="139"/>
    </row>
    <row r="330" spans="1:204">
      <c r="F330" s="1113"/>
      <c r="G330" s="139"/>
      <c r="H330" s="139"/>
      <c r="I330" s="627"/>
      <c r="J330" s="139"/>
      <c r="R330" s="139"/>
      <c r="S330" s="139"/>
      <c r="BR330" s="647"/>
      <c r="BS330" s="647"/>
      <c r="BU330" s="647"/>
      <c r="BV330" s="139"/>
      <c r="BW330" s="139"/>
      <c r="BX330" s="139"/>
      <c r="BY330" s="139"/>
      <c r="BZ330" s="139"/>
      <c r="CA330" s="781"/>
      <c r="DY330" s="634"/>
      <c r="FZ330" s="647"/>
      <c r="GA330" s="647"/>
      <c r="GC330" s="139"/>
      <c r="GD330" s="139"/>
      <c r="GE330" s="139"/>
      <c r="GF330" s="139"/>
      <c r="GG330" s="139"/>
      <c r="GH330" s="139"/>
      <c r="GI330" s="139"/>
      <c r="GJ330" s="139"/>
      <c r="GK330" s="139"/>
    </row>
    <row r="331" spans="1:204">
      <c r="F331" s="1113"/>
      <c r="G331" s="139"/>
      <c r="H331" s="139"/>
      <c r="I331" s="627"/>
      <c r="J331" s="139"/>
      <c r="R331" s="139"/>
      <c r="S331" s="139"/>
      <c r="BR331" s="647"/>
      <c r="BS331" s="647"/>
      <c r="BU331" s="647"/>
      <c r="BV331" s="139"/>
      <c r="BW331" s="139"/>
      <c r="BX331" s="139"/>
      <c r="BY331" s="139"/>
      <c r="BZ331" s="139"/>
      <c r="CA331" s="781"/>
      <c r="DY331" s="634"/>
      <c r="FZ331" s="647"/>
      <c r="GA331" s="647"/>
      <c r="GC331" s="139"/>
      <c r="GD331" s="139"/>
      <c r="GE331" s="139"/>
      <c r="GF331" s="139"/>
      <c r="GG331" s="139"/>
      <c r="GH331" s="139"/>
      <c r="GI331" s="139"/>
      <c r="GJ331" s="139"/>
      <c r="GK331" s="139"/>
    </row>
    <row r="332" spans="1:204">
      <c r="F332" s="1113"/>
      <c r="G332" s="139"/>
      <c r="H332" s="139"/>
      <c r="I332" s="627"/>
      <c r="J332" s="139"/>
      <c r="R332" s="139"/>
      <c r="S332" s="139"/>
      <c r="BR332" s="647"/>
      <c r="BS332" s="647"/>
      <c r="BU332" s="647"/>
      <c r="BV332" s="139"/>
      <c r="BW332" s="139"/>
      <c r="BX332" s="139"/>
      <c r="BY332" s="139"/>
      <c r="BZ332" s="139"/>
      <c r="CA332" s="781"/>
      <c r="DY332" s="634"/>
      <c r="FZ332" s="647"/>
      <c r="GA332" s="647"/>
      <c r="GC332" s="139"/>
      <c r="GD332" s="139"/>
      <c r="GE332" s="139"/>
      <c r="GF332" s="139"/>
      <c r="GG332" s="139"/>
      <c r="GH332" s="139"/>
      <c r="GI332" s="139"/>
      <c r="GJ332" s="139"/>
      <c r="GK332" s="139"/>
    </row>
    <row r="333" spans="1:204">
      <c r="F333" s="1113"/>
      <c r="G333" s="139"/>
      <c r="H333" s="139"/>
      <c r="I333" s="627"/>
      <c r="J333" s="139"/>
      <c r="R333" s="139"/>
      <c r="S333" s="139"/>
      <c r="BR333" s="647"/>
      <c r="BS333" s="647"/>
      <c r="BU333" s="647"/>
      <c r="BV333" s="139"/>
      <c r="BW333" s="139"/>
      <c r="BX333" s="139"/>
      <c r="BY333" s="139"/>
      <c r="BZ333" s="139"/>
      <c r="CA333" s="781"/>
      <c r="DY333" s="634"/>
      <c r="FZ333" s="647"/>
      <c r="GA333" s="647"/>
      <c r="GC333" s="139"/>
      <c r="GD333" s="139"/>
      <c r="GE333" s="139"/>
      <c r="GF333" s="139"/>
      <c r="GG333" s="139"/>
      <c r="GH333" s="139"/>
      <c r="GI333" s="139"/>
      <c r="GJ333" s="139"/>
      <c r="GK333" s="139"/>
    </row>
    <row r="334" spans="1:204">
      <c r="F334" s="1113"/>
      <c r="G334" s="139"/>
      <c r="H334" s="139"/>
      <c r="I334" s="627"/>
      <c r="J334" s="139"/>
      <c r="R334" s="139"/>
      <c r="S334" s="139"/>
      <c r="BR334" s="647"/>
      <c r="BS334" s="647"/>
      <c r="BU334" s="647"/>
      <c r="BV334" s="139"/>
      <c r="BW334" s="139"/>
      <c r="BX334" s="139"/>
      <c r="BY334" s="139"/>
      <c r="BZ334" s="139"/>
      <c r="CA334" s="781"/>
      <c r="DY334" s="634"/>
      <c r="FZ334" s="647"/>
      <c r="GA334" s="647"/>
      <c r="GC334" s="139"/>
      <c r="GD334" s="139"/>
      <c r="GE334" s="139"/>
      <c r="GF334" s="139"/>
      <c r="GG334" s="139"/>
      <c r="GH334" s="139"/>
      <c r="GI334" s="139"/>
      <c r="GJ334" s="139"/>
      <c r="GK334" s="139"/>
    </row>
    <row r="335" spans="1:204">
      <c r="F335" s="1113"/>
      <c r="G335" s="139"/>
      <c r="H335" s="139"/>
      <c r="I335" s="627"/>
      <c r="J335" s="139"/>
      <c r="R335" s="139"/>
      <c r="S335" s="139"/>
      <c r="BR335" s="647"/>
      <c r="BS335" s="647"/>
      <c r="BU335" s="647"/>
      <c r="BV335" s="139"/>
      <c r="BW335" s="139"/>
      <c r="BX335" s="139"/>
      <c r="BY335" s="139"/>
      <c r="BZ335" s="139"/>
      <c r="CA335" s="781"/>
      <c r="DY335" s="634"/>
      <c r="FZ335" s="647"/>
      <c r="GA335" s="647"/>
      <c r="GC335" s="139"/>
      <c r="GD335" s="139"/>
      <c r="GE335" s="139"/>
      <c r="GF335" s="139"/>
      <c r="GG335" s="139"/>
      <c r="GH335" s="139"/>
      <c r="GI335" s="139"/>
      <c r="GJ335" s="139"/>
      <c r="GK335" s="139"/>
    </row>
    <row r="336" spans="1:204">
      <c r="F336" s="1113"/>
      <c r="G336" s="139"/>
      <c r="H336" s="139"/>
      <c r="I336" s="627"/>
      <c r="J336" s="139"/>
      <c r="R336" s="139"/>
      <c r="S336" s="139"/>
      <c r="BR336" s="647"/>
      <c r="BS336" s="647"/>
      <c r="BU336" s="647"/>
      <c r="BV336" s="139"/>
      <c r="BW336" s="139"/>
      <c r="BX336" s="139"/>
      <c r="BY336" s="139"/>
      <c r="BZ336" s="139"/>
      <c r="CA336" s="781"/>
      <c r="DY336" s="634"/>
      <c r="FZ336" s="647"/>
      <c r="GA336" s="647"/>
      <c r="GC336" s="139"/>
      <c r="GD336" s="139"/>
      <c r="GE336" s="139"/>
      <c r="GF336" s="139"/>
      <c r="GG336" s="139"/>
      <c r="GH336" s="139"/>
      <c r="GI336" s="139"/>
      <c r="GJ336" s="139"/>
      <c r="GK336" s="139"/>
    </row>
    <row r="337" spans="6:193">
      <c r="F337" s="1113"/>
      <c r="G337" s="139"/>
      <c r="H337" s="139"/>
      <c r="I337" s="627"/>
      <c r="J337" s="139"/>
      <c r="R337" s="139"/>
      <c r="S337" s="139"/>
      <c r="BR337" s="647"/>
      <c r="BS337" s="647"/>
      <c r="BU337" s="647"/>
      <c r="BV337" s="139"/>
      <c r="BW337" s="139"/>
      <c r="BX337" s="139"/>
      <c r="BY337" s="139"/>
      <c r="BZ337" s="139"/>
      <c r="CA337" s="781"/>
      <c r="DY337" s="634"/>
      <c r="FZ337" s="647"/>
      <c r="GA337" s="647"/>
      <c r="GC337" s="139"/>
      <c r="GD337" s="139"/>
      <c r="GE337" s="139"/>
      <c r="GF337" s="139"/>
      <c r="GG337" s="139"/>
      <c r="GH337" s="139"/>
      <c r="GI337" s="139"/>
      <c r="GJ337" s="139"/>
      <c r="GK337" s="139"/>
    </row>
    <row r="338" spans="6:193">
      <c r="F338" s="1113"/>
      <c r="G338" s="139"/>
      <c r="H338" s="139"/>
      <c r="I338" s="627"/>
      <c r="J338" s="139"/>
      <c r="R338" s="139"/>
      <c r="S338" s="139"/>
      <c r="BR338" s="647"/>
      <c r="BS338" s="647"/>
      <c r="BU338" s="647"/>
      <c r="BV338" s="139"/>
      <c r="BW338" s="139"/>
      <c r="BX338" s="139"/>
      <c r="BY338" s="139"/>
      <c r="BZ338" s="139"/>
      <c r="CA338" s="781"/>
      <c r="DY338" s="634"/>
      <c r="FZ338" s="647"/>
      <c r="GA338" s="647"/>
      <c r="GC338" s="139"/>
      <c r="GD338" s="139"/>
      <c r="GE338" s="139"/>
      <c r="GF338" s="139"/>
      <c r="GG338" s="139"/>
      <c r="GH338" s="139"/>
      <c r="GI338" s="139"/>
      <c r="GJ338" s="139"/>
      <c r="GK338" s="139"/>
    </row>
    <row r="339" spans="6:193">
      <c r="F339" s="1113"/>
      <c r="G339" s="139"/>
      <c r="H339" s="139"/>
      <c r="I339" s="627"/>
      <c r="J339" s="139"/>
      <c r="R339" s="139"/>
      <c r="S339" s="139"/>
      <c r="BR339" s="647"/>
      <c r="BS339" s="647"/>
      <c r="BU339" s="647"/>
      <c r="BV339" s="139"/>
      <c r="BW339" s="139"/>
      <c r="BX339" s="139"/>
      <c r="BY339" s="139"/>
      <c r="BZ339" s="139"/>
      <c r="CA339" s="781"/>
      <c r="DY339" s="634"/>
      <c r="FZ339" s="647"/>
      <c r="GA339" s="647"/>
      <c r="GC339" s="139"/>
      <c r="GD339" s="139"/>
      <c r="GE339" s="139"/>
      <c r="GF339" s="139"/>
      <c r="GG339" s="139"/>
      <c r="GH339" s="139"/>
      <c r="GI339" s="139"/>
      <c r="GJ339" s="139"/>
      <c r="GK339" s="139"/>
    </row>
    <row r="340" spans="6:193">
      <c r="F340" s="1113"/>
      <c r="G340" s="139"/>
      <c r="H340" s="139"/>
      <c r="I340" s="627"/>
      <c r="J340" s="139"/>
      <c r="R340" s="139"/>
      <c r="S340" s="139"/>
      <c r="BR340" s="647"/>
      <c r="BS340" s="647"/>
      <c r="BU340" s="647"/>
      <c r="BV340" s="139"/>
      <c r="BW340" s="139"/>
      <c r="BX340" s="139"/>
      <c r="BY340" s="139"/>
      <c r="BZ340" s="139"/>
      <c r="CA340" s="781"/>
      <c r="DY340" s="634"/>
      <c r="FZ340" s="647"/>
      <c r="GA340" s="647"/>
      <c r="GC340" s="139"/>
      <c r="GD340" s="139"/>
      <c r="GE340" s="139"/>
      <c r="GF340" s="139"/>
      <c r="GG340" s="139"/>
      <c r="GH340" s="139"/>
      <c r="GI340" s="139"/>
      <c r="GJ340" s="139"/>
      <c r="GK340" s="139"/>
    </row>
    <row r="341" spans="6:193">
      <c r="F341" s="1113"/>
      <c r="G341" s="139"/>
      <c r="H341" s="139"/>
      <c r="I341" s="627"/>
      <c r="J341" s="139"/>
      <c r="R341" s="139"/>
      <c r="S341" s="139"/>
      <c r="BR341" s="647"/>
      <c r="BS341" s="647"/>
      <c r="BU341" s="647"/>
      <c r="BV341" s="139"/>
      <c r="BW341" s="139"/>
      <c r="BX341" s="139"/>
      <c r="BY341" s="139"/>
      <c r="BZ341" s="139"/>
      <c r="CA341" s="781"/>
      <c r="DY341" s="634"/>
      <c r="FZ341" s="647"/>
      <c r="GA341" s="647"/>
      <c r="GC341" s="139"/>
      <c r="GD341" s="139"/>
      <c r="GE341" s="139"/>
      <c r="GF341" s="139"/>
      <c r="GG341" s="139"/>
      <c r="GH341" s="139"/>
      <c r="GI341" s="139"/>
      <c r="GJ341" s="139"/>
      <c r="GK341" s="139"/>
    </row>
    <row r="342" spans="6:193">
      <c r="F342" s="1113"/>
      <c r="G342" s="139"/>
      <c r="H342" s="139"/>
      <c r="I342" s="627"/>
      <c r="J342" s="139"/>
      <c r="R342" s="139"/>
      <c r="S342" s="139"/>
      <c r="BR342" s="647"/>
      <c r="BS342" s="647"/>
      <c r="BU342" s="647"/>
      <c r="BV342" s="139"/>
      <c r="BW342" s="139"/>
      <c r="BX342" s="139"/>
      <c r="BY342" s="139"/>
      <c r="BZ342" s="139"/>
      <c r="CA342" s="781"/>
      <c r="DY342" s="634"/>
      <c r="FZ342" s="647"/>
      <c r="GA342" s="647"/>
      <c r="GC342" s="139"/>
      <c r="GD342" s="139"/>
      <c r="GE342" s="139"/>
      <c r="GF342" s="139"/>
      <c r="GG342" s="139"/>
      <c r="GH342" s="139"/>
      <c r="GI342" s="139"/>
      <c r="GJ342" s="139"/>
      <c r="GK342" s="139"/>
    </row>
    <row r="343" spans="6:193">
      <c r="F343" s="1113"/>
      <c r="G343" s="139"/>
      <c r="H343" s="139"/>
      <c r="I343" s="627"/>
      <c r="J343" s="139"/>
      <c r="R343" s="139"/>
      <c r="S343" s="139"/>
      <c r="BR343" s="647"/>
      <c r="BS343" s="647"/>
      <c r="BU343" s="647"/>
      <c r="BV343" s="139"/>
      <c r="BW343" s="139"/>
      <c r="BX343" s="139"/>
      <c r="BY343" s="139"/>
      <c r="BZ343" s="139"/>
      <c r="CA343" s="781"/>
      <c r="DY343" s="634"/>
      <c r="FZ343" s="647"/>
      <c r="GA343" s="647"/>
      <c r="GC343" s="139"/>
      <c r="GD343" s="139"/>
      <c r="GE343" s="139"/>
      <c r="GF343" s="139"/>
      <c r="GG343" s="139"/>
      <c r="GH343" s="139"/>
      <c r="GI343" s="139"/>
      <c r="GJ343" s="139"/>
      <c r="GK343" s="139"/>
    </row>
    <row r="344" spans="6:193">
      <c r="F344" s="1113"/>
      <c r="G344" s="139"/>
      <c r="H344" s="139"/>
      <c r="I344" s="627"/>
      <c r="J344" s="139"/>
      <c r="R344" s="139"/>
      <c r="S344" s="139"/>
      <c r="BR344" s="647"/>
      <c r="BS344" s="647"/>
      <c r="BU344" s="647"/>
      <c r="BV344" s="139"/>
      <c r="BW344" s="139"/>
      <c r="BX344" s="139"/>
      <c r="BY344" s="139"/>
      <c r="BZ344" s="139"/>
      <c r="CA344" s="781"/>
      <c r="DY344" s="634"/>
      <c r="FZ344" s="647"/>
      <c r="GA344" s="647"/>
      <c r="GC344" s="139"/>
      <c r="GD344" s="139"/>
      <c r="GE344" s="139"/>
      <c r="GF344" s="139"/>
      <c r="GG344" s="139"/>
      <c r="GH344" s="139"/>
      <c r="GI344" s="139"/>
      <c r="GJ344" s="139"/>
      <c r="GK344" s="139"/>
    </row>
    <row r="345" spans="6:193">
      <c r="F345" s="1113"/>
      <c r="G345" s="139"/>
      <c r="H345" s="139"/>
      <c r="I345" s="627"/>
      <c r="J345" s="139"/>
      <c r="R345" s="139"/>
      <c r="S345" s="139"/>
      <c r="BR345" s="647"/>
      <c r="BS345" s="647"/>
      <c r="BU345" s="647"/>
      <c r="BV345" s="139"/>
      <c r="BW345" s="139"/>
      <c r="BX345" s="139"/>
      <c r="BY345" s="139"/>
      <c r="BZ345" s="139"/>
      <c r="CA345" s="781"/>
      <c r="DY345" s="634"/>
      <c r="FZ345" s="647"/>
      <c r="GA345" s="647"/>
      <c r="GC345" s="139"/>
      <c r="GD345" s="139"/>
      <c r="GE345" s="139"/>
      <c r="GF345" s="139"/>
      <c r="GG345" s="139"/>
      <c r="GH345" s="139"/>
      <c r="GI345" s="139"/>
      <c r="GJ345" s="139"/>
      <c r="GK345" s="139"/>
    </row>
    <row r="346" spans="6:193">
      <c r="F346" s="1113"/>
      <c r="G346" s="139"/>
      <c r="H346" s="139"/>
      <c r="I346" s="627"/>
      <c r="J346" s="139"/>
      <c r="R346" s="139"/>
      <c r="S346" s="139"/>
      <c r="BR346" s="647"/>
      <c r="BS346" s="647"/>
      <c r="BU346" s="647"/>
      <c r="BV346" s="139"/>
      <c r="BW346" s="139"/>
      <c r="BX346" s="139"/>
      <c r="BY346" s="139"/>
      <c r="BZ346" s="139"/>
      <c r="CA346" s="781"/>
      <c r="DY346" s="634"/>
      <c r="FZ346" s="647"/>
      <c r="GA346" s="647"/>
      <c r="GC346" s="139"/>
      <c r="GD346" s="139"/>
      <c r="GE346" s="139"/>
      <c r="GF346" s="139"/>
      <c r="GG346" s="139"/>
      <c r="GH346" s="139"/>
      <c r="GI346" s="139"/>
      <c r="GJ346" s="139"/>
      <c r="GK346" s="139"/>
    </row>
    <row r="347" spans="6:193">
      <c r="F347" s="1113"/>
      <c r="G347" s="139"/>
      <c r="H347" s="139"/>
      <c r="I347" s="627"/>
      <c r="J347" s="139"/>
      <c r="R347" s="139"/>
      <c r="S347" s="139"/>
      <c r="BR347" s="647"/>
      <c r="BS347" s="647"/>
      <c r="BU347" s="647"/>
      <c r="BV347" s="139"/>
      <c r="BW347" s="139"/>
      <c r="BX347" s="139"/>
      <c r="BY347" s="139"/>
      <c r="BZ347" s="139"/>
      <c r="CA347" s="781"/>
      <c r="DY347" s="634"/>
      <c r="FZ347" s="647"/>
      <c r="GA347" s="647"/>
      <c r="GC347" s="139"/>
      <c r="GD347" s="139"/>
      <c r="GE347" s="139"/>
      <c r="GF347" s="139"/>
      <c r="GG347" s="139"/>
      <c r="GH347" s="139"/>
      <c r="GI347" s="139"/>
      <c r="GJ347" s="139"/>
      <c r="GK347" s="139"/>
    </row>
    <row r="348" spans="6:193">
      <c r="F348" s="1113"/>
      <c r="G348" s="139"/>
      <c r="H348" s="139"/>
      <c r="I348" s="627"/>
      <c r="J348" s="139"/>
      <c r="R348" s="139"/>
      <c r="S348" s="139"/>
      <c r="BR348" s="647"/>
      <c r="BS348" s="647"/>
      <c r="BU348" s="647"/>
      <c r="BV348" s="139"/>
      <c r="BW348" s="139"/>
      <c r="BX348" s="139"/>
      <c r="BY348" s="139"/>
      <c r="BZ348" s="139"/>
      <c r="CA348" s="781"/>
      <c r="DY348" s="634"/>
      <c r="FZ348" s="647"/>
      <c r="GA348" s="647"/>
      <c r="GC348" s="139"/>
      <c r="GD348" s="139"/>
      <c r="GE348" s="139"/>
      <c r="GF348" s="139"/>
      <c r="GG348" s="139"/>
      <c r="GH348" s="139"/>
      <c r="GI348" s="139"/>
      <c r="GJ348" s="139"/>
      <c r="GK348" s="139"/>
    </row>
    <row r="349" spans="6:193">
      <c r="F349" s="1113"/>
      <c r="G349" s="139"/>
      <c r="H349" s="139"/>
      <c r="I349" s="627"/>
      <c r="J349" s="139"/>
      <c r="R349" s="139"/>
      <c r="S349" s="139"/>
      <c r="BR349" s="647"/>
      <c r="BS349" s="647"/>
      <c r="BU349" s="647"/>
      <c r="BV349" s="139"/>
      <c r="BW349" s="139"/>
      <c r="BX349" s="139"/>
      <c r="BY349" s="139"/>
      <c r="BZ349" s="139"/>
      <c r="CA349" s="781"/>
      <c r="DY349" s="634"/>
      <c r="FZ349" s="647"/>
      <c r="GA349" s="647"/>
      <c r="GC349" s="139"/>
      <c r="GD349" s="139"/>
      <c r="GE349" s="139"/>
      <c r="GF349" s="139"/>
      <c r="GG349" s="139"/>
      <c r="GH349" s="139"/>
      <c r="GI349" s="139"/>
      <c r="GJ349" s="139"/>
      <c r="GK349" s="139"/>
    </row>
    <row r="350" spans="6:193">
      <c r="F350" s="1113"/>
      <c r="G350" s="139"/>
      <c r="H350" s="139"/>
      <c r="I350" s="627"/>
      <c r="J350" s="139"/>
      <c r="R350" s="139"/>
      <c r="S350" s="139"/>
      <c r="BR350" s="647"/>
      <c r="BS350" s="647"/>
      <c r="BU350" s="647"/>
      <c r="BV350" s="139"/>
      <c r="BW350" s="139"/>
      <c r="BX350" s="139"/>
      <c r="BY350" s="139"/>
      <c r="BZ350" s="139"/>
      <c r="CA350" s="781"/>
      <c r="DY350" s="634"/>
      <c r="FZ350" s="647"/>
      <c r="GA350" s="647"/>
      <c r="GC350" s="139"/>
      <c r="GD350" s="139"/>
      <c r="GE350" s="139"/>
      <c r="GF350" s="139"/>
      <c r="GG350" s="139"/>
      <c r="GH350" s="139"/>
      <c r="GI350" s="139"/>
      <c r="GJ350" s="139"/>
      <c r="GK350" s="139"/>
    </row>
    <row r="351" spans="6:193">
      <c r="F351" s="1113"/>
      <c r="G351" s="139"/>
      <c r="H351" s="139"/>
      <c r="I351" s="627"/>
      <c r="J351" s="139"/>
      <c r="R351" s="139"/>
      <c r="S351" s="139"/>
      <c r="BR351" s="647"/>
      <c r="BS351" s="647"/>
      <c r="BU351" s="647"/>
      <c r="BV351" s="139"/>
      <c r="BW351" s="139"/>
      <c r="BX351" s="139"/>
      <c r="BY351" s="139"/>
      <c r="BZ351" s="139"/>
      <c r="CA351" s="781"/>
      <c r="DY351" s="634"/>
      <c r="FZ351" s="647"/>
      <c r="GA351" s="647"/>
      <c r="GC351" s="139"/>
      <c r="GD351" s="139"/>
      <c r="GE351" s="139"/>
      <c r="GF351" s="139"/>
      <c r="GG351" s="139"/>
      <c r="GH351" s="139"/>
      <c r="GI351" s="139"/>
      <c r="GJ351" s="139"/>
      <c r="GK351" s="139"/>
    </row>
    <row r="352" spans="6:193">
      <c r="F352" s="1113"/>
      <c r="G352" s="139"/>
      <c r="H352" s="139"/>
      <c r="I352" s="627"/>
      <c r="J352" s="139"/>
      <c r="R352" s="139"/>
      <c r="S352" s="139"/>
      <c r="BR352" s="647"/>
      <c r="BS352" s="647"/>
      <c r="BU352" s="647"/>
      <c r="BV352" s="139"/>
      <c r="BW352" s="139"/>
      <c r="BX352" s="139"/>
      <c r="BY352" s="139"/>
      <c r="BZ352" s="139"/>
      <c r="CA352" s="781"/>
      <c r="DY352" s="634"/>
      <c r="FZ352" s="647"/>
      <c r="GA352" s="647"/>
      <c r="GC352" s="139"/>
      <c r="GD352" s="139"/>
      <c r="GE352" s="139"/>
      <c r="GF352" s="139"/>
      <c r="GG352" s="139"/>
      <c r="GH352" s="139"/>
      <c r="GI352" s="139"/>
      <c r="GJ352" s="139"/>
      <c r="GK352" s="139"/>
    </row>
    <row r="353" spans="6:193">
      <c r="F353" s="1113"/>
      <c r="G353" s="139"/>
      <c r="H353" s="139"/>
      <c r="I353" s="627"/>
      <c r="J353" s="139"/>
      <c r="R353" s="139"/>
      <c r="S353" s="139"/>
      <c r="BR353" s="647"/>
      <c r="BS353" s="647"/>
      <c r="BU353" s="647"/>
      <c r="BV353" s="139"/>
      <c r="BW353" s="139"/>
      <c r="BX353" s="139"/>
      <c r="BY353" s="139"/>
      <c r="BZ353" s="139"/>
      <c r="CA353" s="781"/>
      <c r="DY353" s="634"/>
      <c r="FZ353" s="647"/>
      <c r="GA353" s="647"/>
      <c r="GC353" s="139"/>
      <c r="GD353" s="139"/>
      <c r="GE353" s="139"/>
      <c r="GF353" s="139"/>
      <c r="GG353" s="139"/>
      <c r="GH353" s="139"/>
      <c r="GI353" s="139"/>
      <c r="GJ353" s="139"/>
      <c r="GK353" s="139"/>
    </row>
    <row r="354" spans="6:193">
      <c r="F354" s="1113"/>
      <c r="G354" s="139"/>
      <c r="H354" s="139"/>
      <c r="I354" s="627"/>
      <c r="J354" s="139"/>
      <c r="R354" s="139"/>
      <c r="S354" s="139"/>
      <c r="BR354" s="647"/>
      <c r="BS354" s="647"/>
      <c r="BU354" s="647"/>
      <c r="BV354" s="139"/>
      <c r="BW354" s="139"/>
      <c r="BX354" s="139"/>
      <c r="BY354" s="139"/>
      <c r="BZ354" s="139"/>
      <c r="CA354" s="781"/>
      <c r="DY354" s="634"/>
      <c r="FZ354" s="647"/>
      <c r="GA354" s="647"/>
      <c r="GC354" s="139"/>
      <c r="GD354" s="139"/>
      <c r="GE354" s="139"/>
      <c r="GF354" s="139"/>
      <c r="GG354" s="139"/>
      <c r="GH354" s="139"/>
      <c r="GI354" s="139"/>
      <c r="GJ354" s="139"/>
      <c r="GK354" s="139"/>
    </row>
    <row r="355" spans="6:193">
      <c r="F355" s="1113"/>
      <c r="G355" s="139"/>
      <c r="H355" s="139"/>
      <c r="I355" s="627"/>
      <c r="J355" s="139"/>
      <c r="R355" s="139"/>
      <c r="S355" s="139"/>
      <c r="BR355" s="647"/>
      <c r="BS355" s="647"/>
      <c r="BU355" s="647"/>
      <c r="BV355" s="139"/>
      <c r="BW355" s="139"/>
      <c r="BX355" s="139"/>
      <c r="BY355" s="139"/>
      <c r="BZ355" s="139"/>
      <c r="CA355" s="781"/>
      <c r="DY355" s="634"/>
      <c r="FZ355" s="647"/>
      <c r="GA355" s="647"/>
      <c r="GC355" s="139"/>
      <c r="GD355" s="139"/>
      <c r="GE355" s="139"/>
      <c r="GF355" s="139"/>
      <c r="GG355" s="139"/>
      <c r="GH355" s="139"/>
      <c r="GI355" s="139"/>
      <c r="GJ355" s="139"/>
      <c r="GK355" s="139"/>
    </row>
    <row r="356" spans="6:193">
      <c r="F356" s="1113"/>
      <c r="G356" s="139"/>
      <c r="H356" s="139"/>
      <c r="I356" s="627"/>
      <c r="J356" s="139"/>
      <c r="R356" s="139"/>
      <c r="S356" s="139"/>
      <c r="BR356" s="647"/>
      <c r="BS356" s="647"/>
      <c r="BU356" s="647"/>
      <c r="BV356" s="139"/>
      <c r="BW356" s="139"/>
      <c r="BX356" s="139"/>
      <c r="BY356" s="139"/>
      <c r="BZ356" s="139"/>
      <c r="CA356" s="781"/>
      <c r="DY356" s="634"/>
      <c r="FZ356" s="647"/>
      <c r="GA356" s="647"/>
      <c r="GC356" s="139"/>
      <c r="GD356" s="139"/>
      <c r="GE356" s="139"/>
      <c r="GF356" s="139"/>
      <c r="GG356" s="139"/>
      <c r="GH356" s="139"/>
      <c r="GI356" s="139"/>
      <c r="GJ356" s="139"/>
      <c r="GK356" s="139"/>
    </row>
    <row r="357" spans="6:193">
      <c r="F357" s="1113"/>
      <c r="G357" s="139"/>
      <c r="H357" s="139"/>
      <c r="I357" s="627"/>
      <c r="J357" s="139"/>
      <c r="R357" s="139"/>
      <c r="S357" s="139"/>
      <c r="BR357" s="647"/>
      <c r="BS357" s="647"/>
      <c r="BU357" s="647"/>
      <c r="BV357" s="139"/>
      <c r="BW357" s="139"/>
      <c r="BX357" s="139"/>
      <c r="BY357" s="139"/>
      <c r="BZ357" s="139"/>
      <c r="CA357" s="781"/>
      <c r="DY357" s="634"/>
      <c r="FZ357" s="647"/>
      <c r="GA357" s="647"/>
      <c r="GC357" s="139"/>
      <c r="GD357" s="139"/>
      <c r="GE357" s="139"/>
      <c r="GF357" s="139"/>
      <c r="GG357" s="139"/>
      <c r="GH357" s="139"/>
      <c r="GI357" s="139"/>
      <c r="GJ357" s="139"/>
      <c r="GK357" s="139"/>
    </row>
    <row r="358" spans="6:193">
      <c r="F358" s="1113"/>
      <c r="G358" s="139"/>
      <c r="H358" s="139"/>
      <c r="I358" s="627"/>
      <c r="J358" s="139"/>
      <c r="R358" s="139"/>
      <c r="S358" s="139"/>
      <c r="BR358" s="647"/>
      <c r="BS358" s="647"/>
      <c r="BU358" s="647"/>
      <c r="BV358" s="139"/>
      <c r="BW358" s="139"/>
      <c r="BX358" s="139"/>
      <c r="BY358" s="139"/>
      <c r="BZ358" s="139"/>
      <c r="CA358" s="781"/>
      <c r="DY358" s="634"/>
      <c r="FZ358" s="647"/>
      <c r="GA358" s="647"/>
      <c r="GC358" s="139"/>
      <c r="GD358" s="139"/>
      <c r="GE358" s="139"/>
      <c r="GF358" s="139"/>
      <c r="GG358" s="139"/>
      <c r="GH358" s="139"/>
      <c r="GI358" s="139"/>
      <c r="GJ358" s="139"/>
      <c r="GK358" s="139"/>
    </row>
    <row r="359" spans="6:193">
      <c r="F359" s="1113"/>
      <c r="G359" s="139"/>
      <c r="H359" s="139"/>
      <c r="I359" s="627"/>
      <c r="J359" s="139"/>
      <c r="R359" s="139"/>
      <c r="S359" s="139"/>
      <c r="BR359" s="647"/>
      <c r="BS359" s="647"/>
      <c r="BU359" s="647"/>
      <c r="BV359" s="139"/>
      <c r="BW359" s="139"/>
      <c r="BX359" s="139"/>
      <c r="BY359" s="139"/>
      <c r="BZ359" s="139"/>
      <c r="CA359" s="781"/>
      <c r="DY359" s="634"/>
      <c r="FZ359" s="647"/>
      <c r="GA359" s="647"/>
      <c r="GC359" s="139"/>
      <c r="GD359" s="139"/>
      <c r="GE359" s="139"/>
      <c r="GF359" s="139"/>
      <c r="GG359" s="139"/>
      <c r="GH359" s="139"/>
      <c r="GI359" s="139"/>
      <c r="GJ359" s="139"/>
      <c r="GK359" s="139"/>
    </row>
    <row r="360" spans="6:193">
      <c r="F360" s="1113"/>
      <c r="G360" s="139"/>
      <c r="H360" s="139"/>
      <c r="I360" s="627"/>
      <c r="J360" s="139"/>
      <c r="R360" s="139"/>
      <c r="S360" s="139"/>
      <c r="BR360" s="647"/>
      <c r="BS360" s="647"/>
      <c r="BU360" s="647"/>
      <c r="BV360" s="139"/>
      <c r="BW360" s="139"/>
      <c r="BX360" s="139"/>
      <c r="BY360" s="139"/>
      <c r="BZ360" s="139"/>
      <c r="CA360" s="781"/>
      <c r="DY360" s="634"/>
      <c r="FZ360" s="647"/>
      <c r="GA360" s="647"/>
      <c r="GC360" s="139"/>
      <c r="GD360" s="139"/>
      <c r="GE360" s="139"/>
      <c r="GF360" s="139"/>
      <c r="GG360" s="139"/>
      <c r="GH360" s="139"/>
      <c r="GI360" s="139"/>
      <c r="GJ360" s="139"/>
      <c r="GK360" s="139"/>
    </row>
    <row r="361" spans="6:193">
      <c r="F361" s="1113"/>
      <c r="G361" s="139"/>
      <c r="H361" s="139"/>
      <c r="I361" s="627"/>
      <c r="J361" s="139"/>
      <c r="R361" s="139"/>
      <c r="S361" s="139"/>
      <c r="BR361" s="647"/>
      <c r="BS361" s="647"/>
      <c r="BU361" s="647"/>
      <c r="BV361" s="139"/>
      <c r="BW361" s="139"/>
      <c r="BX361" s="139"/>
      <c r="BY361" s="139"/>
      <c r="BZ361" s="139"/>
      <c r="CA361" s="781"/>
      <c r="DY361" s="634"/>
      <c r="FZ361" s="647"/>
      <c r="GA361" s="647"/>
      <c r="GC361" s="139"/>
      <c r="GD361" s="139"/>
      <c r="GE361" s="139"/>
      <c r="GF361" s="139"/>
      <c r="GG361" s="139"/>
      <c r="GH361" s="139"/>
      <c r="GI361" s="139"/>
      <c r="GJ361" s="139"/>
      <c r="GK361" s="139"/>
    </row>
    <row r="362" spans="6:193">
      <c r="F362" s="1113"/>
      <c r="G362" s="139"/>
      <c r="H362" s="139"/>
      <c r="I362" s="627"/>
      <c r="J362" s="139"/>
      <c r="R362" s="139"/>
      <c r="S362" s="139"/>
      <c r="BR362" s="647"/>
      <c r="BS362" s="647"/>
      <c r="BU362" s="647"/>
      <c r="BV362" s="139"/>
      <c r="BW362" s="139"/>
      <c r="BX362" s="139"/>
      <c r="BY362" s="139"/>
      <c r="BZ362" s="139"/>
      <c r="CA362" s="781"/>
      <c r="DY362" s="634"/>
      <c r="FZ362" s="647"/>
      <c r="GA362" s="647"/>
      <c r="GC362" s="139"/>
      <c r="GD362" s="139"/>
      <c r="GE362" s="139"/>
      <c r="GF362" s="139"/>
      <c r="GG362" s="139"/>
      <c r="GH362" s="139"/>
      <c r="GI362" s="139"/>
      <c r="GJ362" s="139"/>
      <c r="GK362" s="139"/>
    </row>
    <row r="363" spans="6:193">
      <c r="F363" s="1113"/>
      <c r="G363" s="139"/>
      <c r="H363" s="139"/>
      <c r="I363" s="627"/>
      <c r="J363" s="139"/>
      <c r="R363" s="139"/>
      <c r="S363" s="139"/>
      <c r="BR363" s="647"/>
      <c r="BS363" s="647"/>
      <c r="BU363" s="647"/>
      <c r="BV363" s="139"/>
      <c r="BW363" s="139"/>
      <c r="BX363" s="139"/>
      <c r="BY363" s="139"/>
      <c r="BZ363" s="139"/>
      <c r="CA363" s="781"/>
      <c r="DY363" s="634"/>
      <c r="FZ363" s="647"/>
      <c r="GA363" s="647"/>
      <c r="GC363" s="139"/>
      <c r="GD363" s="139"/>
      <c r="GE363" s="139"/>
      <c r="GF363" s="139"/>
      <c r="GG363" s="139"/>
      <c r="GH363" s="139"/>
      <c r="GI363" s="139"/>
      <c r="GJ363" s="139"/>
      <c r="GK363" s="139"/>
    </row>
    <row r="364" spans="6:193">
      <c r="F364" s="1113"/>
      <c r="G364" s="139"/>
      <c r="H364" s="139"/>
      <c r="I364" s="627"/>
      <c r="J364" s="139"/>
      <c r="R364" s="139"/>
      <c r="S364" s="139"/>
      <c r="BR364" s="647"/>
      <c r="BS364" s="647"/>
      <c r="BU364" s="647"/>
      <c r="BV364" s="139"/>
      <c r="BW364" s="139"/>
      <c r="BX364" s="139"/>
      <c r="BY364" s="139"/>
      <c r="BZ364" s="139"/>
      <c r="CA364" s="781"/>
      <c r="DY364" s="634"/>
      <c r="FZ364" s="647"/>
      <c r="GA364" s="647"/>
      <c r="GC364" s="139"/>
      <c r="GD364" s="139"/>
      <c r="GE364" s="139"/>
      <c r="GF364" s="139"/>
      <c r="GG364" s="139"/>
      <c r="GH364" s="139"/>
      <c r="GI364" s="139"/>
      <c r="GJ364" s="139"/>
      <c r="GK364" s="139"/>
    </row>
    <row r="365" spans="6:193">
      <c r="F365" s="1113"/>
      <c r="G365" s="139"/>
      <c r="H365" s="139"/>
      <c r="I365" s="627"/>
      <c r="J365" s="139"/>
      <c r="R365" s="139"/>
      <c r="S365" s="139"/>
      <c r="BR365" s="647"/>
      <c r="BS365" s="647"/>
      <c r="BU365" s="647"/>
      <c r="BV365" s="139"/>
      <c r="BW365" s="139"/>
      <c r="BX365" s="139"/>
      <c r="BY365" s="139"/>
      <c r="BZ365" s="139"/>
      <c r="CA365" s="781"/>
      <c r="DY365" s="634"/>
      <c r="FZ365" s="647"/>
      <c r="GA365" s="647"/>
      <c r="GC365" s="139"/>
      <c r="GD365" s="139"/>
      <c r="GE365" s="139"/>
      <c r="GF365" s="139"/>
      <c r="GG365" s="139"/>
      <c r="GH365" s="139"/>
      <c r="GI365" s="139"/>
      <c r="GJ365" s="139"/>
      <c r="GK365" s="139"/>
    </row>
    <row r="366" spans="6:193">
      <c r="F366" s="1113"/>
      <c r="G366" s="139"/>
      <c r="H366" s="139"/>
      <c r="I366" s="627"/>
      <c r="J366" s="139"/>
      <c r="R366" s="139"/>
      <c r="S366" s="139"/>
      <c r="BR366" s="647"/>
      <c r="BS366" s="647"/>
      <c r="BU366" s="647"/>
      <c r="BV366" s="139"/>
      <c r="BW366" s="139"/>
      <c r="BX366" s="139"/>
      <c r="BY366" s="139"/>
      <c r="BZ366" s="139"/>
      <c r="CA366" s="781"/>
      <c r="DY366" s="634"/>
      <c r="FZ366" s="647"/>
      <c r="GA366" s="647"/>
      <c r="GC366" s="139"/>
      <c r="GD366" s="139"/>
      <c r="GE366" s="139"/>
      <c r="GF366" s="139"/>
      <c r="GG366" s="139"/>
      <c r="GH366" s="139"/>
      <c r="GI366" s="139"/>
      <c r="GJ366" s="139"/>
      <c r="GK366" s="139"/>
    </row>
    <row r="367" spans="6:193">
      <c r="F367" s="1113"/>
      <c r="G367" s="139"/>
      <c r="H367" s="139"/>
      <c r="I367" s="627"/>
      <c r="J367" s="139"/>
      <c r="R367" s="139"/>
      <c r="S367" s="139"/>
      <c r="BR367" s="647"/>
      <c r="BS367" s="647"/>
      <c r="BU367" s="647"/>
      <c r="BV367" s="139"/>
      <c r="BW367" s="139"/>
      <c r="BX367" s="139"/>
      <c r="BY367" s="139"/>
      <c r="BZ367" s="139"/>
      <c r="CA367" s="781"/>
      <c r="DY367" s="634"/>
      <c r="FZ367" s="647"/>
      <c r="GA367" s="647"/>
      <c r="GC367" s="139"/>
      <c r="GD367" s="139"/>
      <c r="GE367" s="139"/>
      <c r="GF367" s="139"/>
      <c r="GG367" s="139"/>
      <c r="GH367" s="139"/>
      <c r="GI367" s="139"/>
      <c r="GJ367" s="139"/>
      <c r="GK367" s="139"/>
    </row>
    <row r="368" spans="6:193">
      <c r="F368" s="1113"/>
      <c r="G368" s="139"/>
      <c r="H368" s="139"/>
      <c r="I368" s="627"/>
      <c r="J368" s="139"/>
      <c r="R368" s="139"/>
      <c r="S368" s="139"/>
      <c r="BR368" s="647"/>
      <c r="BS368" s="647"/>
      <c r="BU368" s="647"/>
      <c r="BV368" s="139"/>
      <c r="BW368" s="139"/>
      <c r="BX368" s="139"/>
      <c r="BY368" s="139"/>
      <c r="BZ368" s="139"/>
      <c r="CA368" s="781"/>
      <c r="DY368" s="634"/>
      <c r="FZ368" s="647"/>
      <c r="GA368" s="647"/>
    </row>
    <row r="369" spans="6:183">
      <c r="F369" s="1113"/>
      <c r="G369" s="139"/>
      <c r="H369" s="139"/>
      <c r="I369" s="627"/>
      <c r="J369" s="139"/>
      <c r="R369" s="139"/>
      <c r="S369" s="139"/>
      <c r="BR369" s="647"/>
      <c r="BS369" s="647"/>
      <c r="BU369" s="647"/>
      <c r="BV369" s="139"/>
      <c r="BW369" s="139"/>
      <c r="BX369" s="139"/>
      <c r="BY369" s="139"/>
      <c r="BZ369" s="139"/>
      <c r="CA369" s="781"/>
      <c r="DY369" s="634"/>
      <c r="FZ369" s="647"/>
      <c r="GA369" s="647"/>
    </row>
    <row r="370" spans="6:183">
      <c r="F370" s="1113"/>
      <c r="G370" s="139"/>
      <c r="H370" s="139"/>
      <c r="I370" s="627"/>
      <c r="J370" s="139"/>
      <c r="R370" s="139"/>
      <c r="S370" s="139"/>
      <c r="BR370" s="647"/>
      <c r="BS370" s="647"/>
      <c r="BU370" s="647"/>
      <c r="BV370" s="139"/>
      <c r="BW370" s="139"/>
      <c r="BX370" s="139"/>
      <c r="BY370" s="139"/>
      <c r="BZ370" s="139"/>
      <c r="CA370" s="781"/>
      <c r="DY370" s="634"/>
      <c r="FZ370" s="647"/>
      <c r="GA370" s="647"/>
    </row>
    <row r="371" spans="6:183">
      <c r="F371" s="1113"/>
      <c r="G371" s="139"/>
      <c r="H371" s="139"/>
      <c r="I371" s="627"/>
      <c r="J371" s="139"/>
      <c r="R371" s="139"/>
      <c r="S371" s="139"/>
      <c r="BR371" s="647"/>
      <c r="BS371" s="647"/>
      <c r="BU371" s="647"/>
      <c r="BV371" s="139"/>
      <c r="BW371" s="139"/>
      <c r="BX371" s="139"/>
      <c r="BY371" s="139"/>
      <c r="BZ371" s="139"/>
      <c r="CA371" s="781"/>
      <c r="DY371" s="634"/>
      <c r="FZ371" s="647"/>
      <c r="GA371" s="647"/>
    </row>
    <row r="372" spans="6:183">
      <c r="F372" s="1113"/>
      <c r="G372" s="139"/>
      <c r="H372" s="139"/>
      <c r="I372" s="627"/>
      <c r="J372" s="139"/>
      <c r="R372" s="139"/>
      <c r="S372" s="139"/>
      <c r="BR372" s="647"/>
      <c r="BS372" s="647"/>
      <c r="BU372" s="647"/>
      <c r="BV372" s="139"/>
      <c r="BW372" s="139"/>
      <c r="BX372" s="139"/>
      <c r="BY372" s="139"/>
      <c r="BZ372" s="139"/>
      <c r="CA372" s="781"/>
      <c r="DY372" s="634"/>
      <c r="FZ372" s="647"/>
      <c r="GA372" s="647"/>
    </row>
    <row r="373" spans="6:183">
      <c r="F373" s="1113"/>
      <c r="G373" s="139"/>
      <c r="H373" s="139"/>
      <c r="I373" s="627"/>
      <c r="J373" s="139"/>
      <c r="R373" s="139"/>
      <c r="S373" s="139"/>
      <c r="BR373" s="647"/>
      <c r="BS373" s="647"/>
      <c r="BU373" s="647"/>
      <c r="BV373" s="139"/>
      <c r="BW373" s="139"/>
      <c r="BX373" s="139"/>
      <c r="BY373" s="139"/>
      <c r="BZ373" s="139"/>
      <c r="CA373" s="781"/>
      <c r="DY373" s="634"/>
      <c r="FZ373" s="647"/>
      <c r="GA373" s="647"/>
    </row>
    <row r="374" spans="6:183">
      <c r="F374" s="1113"/>
      <c r="G374" s="139"/>
      <c r="H374" s="139"/>
      <c r="I374" s="627"/>
      <c r="J374" s="139"/>
      <c r="R374" s="139"/>
      <c r="S374" s="139"/>
      <c r="BR374" s="647"/>
      <c r="BS374" s="647"/>
      <c r="BU374" s="647"/>
      <c r="BV374" s="139"/>
      <c r="BW374" s="139"/>
      <c r="BX374" s="139"/>
      <c r="BY374" s="139"/>
      <c r="BZ374" s="139"/>
      <c r="CA374" s="781"/>
      <c r="DY374" s="634"/>
      <c r="FZ374" s="647"/>
      <c r="GA374" s="647"/>
    </row>
    <row r="375" spans="6:183">
      <c r="F375" s="1113"/>
      <c r="G375" s="139"/>
      <c r="H375" s="139"/>
      <c r="I375" s="627"/>
      <c r="J375" s="139"/>
      <c r="R375" s="139"/>
      <c r="S375" s="139"/>
      <c r="BR375" s="647"/>
      <c r="BS375" s="647"/>
      <c r="BU375" s="647"/>
      <c r="BV375" s="139"/>
      <c r="BW375" s="139"/>
      <c r="BX375" s="139"/>
      <c r="BY375" s="139"/>
      <c r="BZ375" s="139"/>
      <c r="CA375" s="781"/>
      <c r="DY375" s="634"/>
      <c r="FZ375" s="647"/>
      <c r="GA375" s="647"/>
    </row>
    <row r="376" spans="6:183">
      <c r="F376" s="1113"/>
      <c r="G376" s="139"/>
      <c r="H376" s="139"/>
      <c r="I376" s="627"/>
      <c r="J376" s="139"/>
      <c r="R376" s="139"/>
      <c r="S376" s="139"/>
      <c r="BR376" s="647"/>
      <c r="BS376" s="647"/>
      <c r="BU376" s="647"/>
      <c r="BV376" s="139"/>
      <c r="BW376" s="139"/>
      <c r="BX376" s="139"/>
      <c r="BY376" s="139"/>
      <c r="BZ376" s="139"/>
      <c r="CA376" s="781"/>
      <c r="DY376" s="634"/>
      <c r="FZ376" s="647"/>
      <c r="GA376" s="647"/>
    </row>
    <row r="377" spans="6:183">
      <c r="F377" s="1113"/>
      <c r="G377" s="139"/>
      <c r="H377" s="139"/>
      <c r="I377" s="627"/>
      <c r="J377" s="139"/>
      <c r="R377" s="139"/>
      <c r="S377" s="139"/>
      <c r="BR377" s="647"/>
      <c r="BS377" s="647"/>
      <c r="BU377" s="647"/>
      <c r="BV377" s="139"/>
      <c r="BW377" s="139"/>
      <c r="BX377" s="139"/>
      <c r="BY377" s="139"/>
      <c r="BZ377" s="139"/>
      <c r="CA377" s="781"/>
      <c r="DY377" s="634"/>
      <c r="FZ377" s="647"/>
      <c r="GA377" s="647"/>
    </row>
    <row r="378" spans="6:183">
      <c r="F378" s="1113"/>
      <c r="G378" s="139"/>
      <c r="H378" s="139"/>
      <c r="I378" s="627"/>
      <c r="J378" s="139"/>
      <c r="R378" s="139"/>
      <c r="S378" s="139"/>
      <c r="BR378" s="647"/>
      <c r="BS378" s="647"/>
      <c r="BU378" s="647"/>
      <c r="BV378" s="139"/>
      <c r="BW378" s="139"/>
      <c r="BX378" s="139"/>
      <c r="BY378" s="139"/>
      <c r="BZ378" s="139"/>
      <c r="CA378" s="781"/>
      <c r="DY378" s="634"/>
      <c r="FZ378" s="647"/>
      <c r="GA378" s="647"/>
    </row>
    <row r="379" spans="6:183">
      <c r="F379" s="1113"/>
      <c r="G379" s="139"/>
      <c r="H379" s="139"/>
      <c r="I379" s="627"/>
      <c r="J379" s="139"/>
      <c r="R379" s="139"/>
      <c r="S379" s="139"/>
      <c r="BR379" s="647"/>
      <c r="BS379" s="647"/>
      <c r="BU379" s="647"/>
      <c r="BV379" s="139"/>
      <c r="BW379" s="139"/>
      <c r="BX379" s="139"/>
      <c r="BY379" s="139"/>
      <c r="BZ379" s="139"/>
      <c r="CA379" s="781"/>
      <c r="DY379" s="634"/>
      <c r="FZ379" s="647"/>
      <c r="GA379" s="647"/>
    </row>
    <row r="380" spans="6:183">
      <c r="F380" s="1113"/>
      <c r="G380" s="139"/>
      <c r="H380" s="139"/>
      <c r="I380" s="627"/>
      <c r="J380" s="139"/>
      <c r="R380" s="139"/>
      <c r="S380" s="139"/>
      <c r="BR380" s="647"/>
      <c r="BS380" s="647"/>
      <c r="BU380" s="647"/>
      <c r="BV380" s="139"/>
      <c r="BW380" s="139"/>
      <c r="BX380" s="139"/>
      <c r="BY380" s="139"/>
      <c r="BZ380" s="139"/>
      <c r="CA380" s="781"/>
      <c r="DY380" s="634"/>
      <c r="FZ380" s="647"/>
      <c r="GA380" s="647"/>
    </row>
    <row r="381" spans="6:183">
      <c r="F381" s="1113"/>
      <c r="G381" s="139"/>
      <c r="H381" s="139"/>
      <c r="I381" s="627"/>
      <c r="J381" s="139"/>
      <c r="R381" s="139"/>
      <c r="S381" s="139"/>
      <c r="BR381" s="647"/>
      <c r="BS381" s="647"/>
      <c r="BU381" s="647"/>
      <c r="BV381" s="139"/>
      <c r="BW381" s="139"/>
      <c r="BX381" s="139"/>
      <c r="BY381" s="139"/>
      <c r="BZ381" s="139"/>
      <c r="CA381" s="781"/>
      <c r="DY381" s="634"/>
      <c r="FZ381" s="647"/>
      <c r="GA381" s="647"/>
    </row>
    <row r="382" spans="6:183">
      <c r="F382" s="1113"/>
      <c r="G382" s="139"/>
      <c r="H382" s="139"/>
      <c r="I382" s="627"/>
      <c r="J382" s="139"/>
      <c r="R382" s="139"/>
      <c r="S382" s="139"/>
      <c r="BR382" s="647"/>
      <c r="BS382" s="647"/>
      <c r="BU382" s="647"/>
      <c r="BV382" s="139"/>
      <c r="BW382" s="139"/>
      <c r="BX382" s="139"/>
      <c r="BY382" s="139"/>
      <c r="BZ382" s="139"/>
      <c r="CA382" s="781"/>
      <c r="DY382" s="634"/>
      <c r="FZ382" s="647"/>
      <c r="GA382" s="647"/>
    </row>
    <row r="383" spans="6:183">
      <c r="F383" s="1113"/>
      <c r="G383" s="139"/>
      <c r="H383" s="139"/>
      <c r="I383" s="627"/>
      <c r="J383" s="139"/>
      <c r="R383" s="139"/>
      <c r="S383" s="139"/>
      <c r="BR383" s="647"/>
      <c r="BS383" s="647"/>
      <c r="BU383" s="647"/>
      <c r="BV383" s="139"/>
      <c r="BW383" s="139"/>
      <c r="BX383" s="139"/>
      <c r="BY383" s="139"/>
      <c r="BZ383" s="139"/>
      <c r="CA383" s="781"/>
      <c r="DY383" s="634"/>
      <c r="FZ383" s="647"/>
      <c r="GA383" s="647"/>
    </row>
    <row r="384" spans="6:183">
      <c r="F384" s="1113"/>
      <c r="G384" s="139"/>
      <c r="H384" s="139"/>
      <c r="I384" s="627"/>
      <c r="J384" s="139"/>
      <c r="R384" s="139"/>
      <c r="S384" s="139"/>
      <c r="BR384" s="647"/>
      <c r="BS384" s="647"/>
      <c r="BU384" s="647"/>
      <c r="BV384" s="139"/>
      <c r="BW384" s="139"/>
      <c r="BX384" s="139"/>
      <c r="BY384" s="139"/>
      <c r="BZ384" s="139"/>
      <c r="CA384" s="781"/>
      <c r="DY384" s="634"/>
      <c r="FZ384" s="647"/>
      <c r="GA384" s="647"/>
    </row>
    <row r="385" spans="6:183">
      <c r="F385" s="1113"/>
      <c r="G385" s="139"/>
      <c r="H385" s="139"/>
      <c r="I385" s="627"/>
      <c r="J385" s="139"/>
      <c r="R385" s="139"/>
      <c r="S385" s="139"/>
      <c r="BR385" s="647"/>
      <c r="BS385" s="647"/>
      <c r="BU385" s="647"/>
      <c r="BV385" s="139"/>
      <c r="BW385" s="139"/>
      <c r="BX385" s="139"/>
      <c r="BY385" s="139"/>
      <c r="BZ385" s="139"/>
      <c r="CA385" s="781"/>
      <c r="DY385" s="634"/>
      <c r="FZ385" s="647"/>
      <c r="GA385" s="647"/>
    </row>
    <row r="386" spans="6:183">
      <c r="F386" s="1113"/>
      <c r="G386" s="139"/>
      <c r="H386" s="139"/>
      <c r="I386" s="627"/>
      <c r="J386" s="139"/>
      <c r="R386" s="139"/>
      <c r="S386" s="139"/>
      <c r="BR386" s="647"/>
      <c r="BS386" s="647"/>
      <c r="BU386" s="647"/>
      <c r="BV386" s="139"/>
      <c r="BW386" s="139"/>
      <c r="BX386" s="139"/>
      <c r="BY386" s="139"/>
      <c r="BZ386" s="139"/>
      <c r="CA386" s="781"/>
      <c r="DY386" s="634"/>
      <c r="FZ386" s="647"/>
      <c r="GA386" s="647"/>
    </row>
    <row r="387" spans="6:183">
      <c r="F387" s="1113"/>
      <c r="G387" s="139"/>
      <c r="H387" s="139"/>
      <c r="I387" s="627"/>
      <c r="J387" s="139"/>
      <c r="R387" s="139"/>
      <c r="S387" s="139"/>
      <c r="BR387" s="647"/>
      <c r="BS387" s="647"/>
      <c r="BU387" s="647"/>
      <c r="BV387" s="139"/>
      <c r="BW387" s="139"/>
      <c r="BX387" s="139"/>
      <c r="BY387" s="139"/>
      <c r="BZ387" s="139"/>
      <c r="CA387" s="781"/>
      <c r="DY387" s="634"/>
      <c r="FZ387" s="647"/>
      <c r="GA387" s="647"/>
    </row>
    <row r="388" spans="6:183">
      <c r="F388" s="1113"/>
      <c r="G388" s="139"/>
      <c r="H388" s="139"/>
      <c r="I388" s="627"/>
      <c r="J388" s="139"/>
      <c r="R388" s="139"/>
      <c r="S388" s="139"/>
      <c r="BR388" s="647"/>
      <c r="BS388" s="647"/>
      <c r="BU388" s="647"/>
      <c r="BV388" s="139"/>
      <c r="BW388" s="139"/>
      <c r="BX388" s="139"/>
      <c r="BY388" s="139"/>
      <c r="BZ388" s="139"/>
      <c r="CA388" s="781"/>
      <c r="DY388" s="634"/>
      <c r="FZ388" s="647"/>
      <c r="GA388" s="647"/>
    </row>
    <row r="389" spans="6:183">
      <c r="F389" s="1113"/>
      <c r="G389" s="139"/>
      <c r="H389" s="139"/>
      <c r="I389" s="627"/>
      <c r="J389" s="139"/>
      <c r="R389" s="139"/>
      <c r="S389" s="139"/>
      <c r="BR389" s="647"/>
      <c r="BS389" s="647"/>
      <c r="BU389" s="647"/>
      <c r="BV389" s="139"/>
      <c r="BW389" s="139"/>
      <c r="BX389" s="139"/>
      <c r="BY389" s="139"/>
      <c r="BZ389" s="139"/>
      <c r="CA389" s="781"/>
      <c r="DY389" s="634"/>
      <c r="FZ389" s="647"/>
      <c r="GA389" s="647"/>
    </row>
    <row r="390" spans="6:183">
      <c r="F390" s="1113"/>
      <c r="G390" s="139"/>
      <c r="H390" s="139"/>
      <c r="I390" s="627"/>
      <c r="J390" s="139"/>
      <c r="R390" s="139"/>
      <c r="S390" s="139"/>
      <c r="BR390" s="647"/>
      <c r="BS390" s="647"/>
      <c r="BU390" s="647"/>
      <c r="BV390" s="139"/>
      <c r="BW390" s="139"/>
      <c r="BX390" s="139"/>
      <c r="BY390" s="139"/>
      <c r="BZ390" s="139"/>
      <c r="CA390" s="781"/>
      <c r="DY390" s="634"/>
      <c r="FZ390" s="647"/>
      <c r="GA390" s="647"/>
    </row>
    <row r="391" spans="6:183">
      <c r="F391" s="1113"/>
      <c r="G391" s="139"/>
      <c r="H391" s="139"/>
      <c r="I391" s="627"/>
      <c r="J391" s="139"/>
      <c r="R391" s="139"/>
      <c r="S391" s="139"/>
      <c r="BR391" s="647"/>
      <c r="BS391" s="647"/>
      <c r="BU391" s="647"/>
      <c r="BV391" s="139"/>
      <c r="BW391" s="139"/>
      <c r="BX391" s="139"/>
      <c r="BY391" s="139"/>
      <c r="BZ391" s="139"/>
      <c r="CA391" s="781"/>
      <c r="DY391" s="634"/>
      <c r="FZ391" s="647"/>
      <c r="GA391" s="647"/>
    </row>
    <row r="392" spans="6:183">
      <c r="F392" s="1113"/>
      <c r="G392" s="139"/>
      <c r="H392" s="139"/>
      <c r="I392" s="627"/>
      <c r="J392" s="139"/>
      <c r="R392" s="139"/>
      <c r="S392" s="139"/>
      <c r="BR392" s="647"/>
      <c r="BS392" s="647"/>
      <c r="BU392" s="647"/>
      <c r="BV392" s="139"/>
      <c r="BW392" s="139"/>
      <c r="BX392" s="139"/>
      <c r="BY392" s="139"/>
      <c r="BZ392" s="139"/>
      <c r="CA392" s="781"/>
      <c r="DY392" s="634"/>
      <c r="FZ392" s="647"/>
      <c r="GA392" s="647"/>
    </row>
    <row r="393" spans="6:183">
      <c r="F393" s="1113"/>
      <c r="G393" s="139"/>
      <c r="H393" s="139"/>
      <c r="I393" s="627"/>
      <c r="J393" s="139"/>
      <c r="R393" s="139"/>
      <c r="S393" s="139"/>
      <c r="BR393" s="647"/>
      <c r="BS393" s="647"/>
      <c r="BU393" s="647"/>
      <c r="BV393" s="139"/>
      <c r="BW393" s="139"/>
      <c r="BX393" s="139"/>
      <c r="BY393" s="139"/>
      <c r="BZ393" s="139"/>
      <c r="CA393" s="781"/>
      <c r="DY393" s="634"/>
      <c r="FZ393" s="647"/>
      <c r="GA393" s="647"/>
    </row>
    <row r="394" spans="6:183">
      <c r="F394" s="1113"/>
      <c r="G394" s="139"/>
      <c r="H394" s="139"/>
      <c r="I394" s="627"/>
      <c r="J394" s="139"/>
      <c r="R394" s="139"/>
      <c r="S394" s="139"/>
      <c r="BR394" s="647"/>
      <c r="BS394" s="647"/>
      <c r="BU394" s="647"/>
      <c r="BV394" s="139"/>
      <c r="BW394" s="139"/>
      <c r="BX394" s="139"/>
      <c r="BY394" s="139"/>
      <c r="BZ394" s="139"/>
      <c r="CA394" s="781"/>
      <c r="DY394" s="634"/>
      <c r="FZ394" s="647"/>
      <c r="GA394" s="647"/>
    </row>
    <row r="395" spans="6:183">
      <c r="F395" s="1113"/>
      <c r="G395" s="139"/>
      <c r="H395" s="139"/>
      <c r="I395" s="627"/>
      <c r="J395" s="139"/>
      <c r="R395" s="139"/>
      <c r="S395" s="139"/>
      <c r="BR395" s="647"/>
      <c r="BS395" s="647"/>
      <c r="BU395" s="647"/>
      <c r="BV395" s="139"/>
      <c r="BW395" s="139"/>
      <c r="BX395" s="139"/>
      <c r="BY395" s="139"/>
      <c r="BZ395" s="139"/>
      <c r="CA395" s="781"/>
      <c r="DY395" s="634"/>
      <c r="FZ395" s="647"/>
      <c r="GA395" s="647"/>
    </row>
    <row r="396" spans="6:183">
      <c r="F396" s="1113"/>
      <c r="G396" s="139"/>
      <c r="H396" s="139"/>
      <c r="I396" s="627"/>
      <c r="J396" s="139"/>
      <c r="R396" s="139"/>
      <c r="S396" s="139"/>
      <c r="BR396" s="647"/>
      <c r="BS396" s="647"/>
      <c r="BU396" s="647"/>
      <c r="BV396" s="139"/>
      <c r="BW396" s="139"/>
      <c r="BX396" s="139"/>
      <c r="BY396" s="139"/>
      <c r="BZ396" s="139"/>
      <c r="CA396" s="781"/>
      <c r="DY396" s="634"/>
      <c r="FZ396" s="647"/>
      <c r="GA396" s="647"/>
    </row>
    <row r="397" spans="6:183">
      <c r="F397" s="1113"/>
      <c r="G397" s="139"/>
      <c r="H397" s="139"/>
      <c r="I397" s="627"/>
      <c r="J397" s="139"/>
      <c r="R397" s="139"/>
      <c r="S397" s="139"/>
      <c r="BR397" s="647"/>
      <c r="BS397" s="647"/>
      <c r="BU397" s="647"/>
      <c r="BV397" s="139"/>
      <c r="BW397" s="139"/>
      <c r="BX397" s="139"/>
      <c r="BY397" s="139"/>
      <c r="BZ397" s="139"/>
      <c r="CA397" s="781"/>
      <c r="DY397" s="634"/>
      <c r="FZ397" s="647"/>
      <c r="GA397" s="647"/>
    </row>
    <row r="398" spans="6:183">
      <c r="F398" s="1113"/>
      <c r="G398" s="139"/>
      <c r="H398" s="139"/>
      <c r="I398" s="627"/>
      <c r="J398" s="139"/>
      <c r="R398" s="139"/>
      <c r="S398" s="139"/>
      <c r="BR398" s="647"/>
      <c r="BS398" s="647"/>
      <c r="BU398" s="647"/>
      <c r="BV398" s="139"/>
      <c r="BW398" s="139"/>
      <c r="BX398" s="139"/>
      <c r="BY398" s="139"/>
      <c r="BZ398" s="139"/>
      <c r="CA398" s="781"/>
      <c r="DY398" s="634"/>
      <c r="FZ398" s="647"/>
      <c r="GA398" s="647"/>
    </row>
    <row r="399" spans="6:183">
      <c r="F399" s="1113"/>
      <c r="G399" s="139"/>
      <c r="H399" s="139"/>
      <c r="I399" s="627"/>
      <c r="J399" s="139"/>
      <c r="R399" s="139"/>
      <c r="S399" s="139"/>
      <c r="BR399" s="647"/>
      <c r="BS399" s="647"/>
      <c r="BU399" s="647"/>
      <c r="BV399" s="139"/>
      <c r="BW399" s="139"/>
      <c r="BX399" s="139"/>
      <c r="BY399" s="139"/>
      <c r="BZ399" s="139"/>
      <c r="CA399" s="781"/>
      <c r="DY399" s="634"/>
      <c r="FZ399" s="647"/>
      <c r="GA399" s="647"/>
    </row>
    <row r="400" spans="6:183">
      <c r="F400" s="1113"/>
      <c r="G400" s="139"/>
      <c r="H400" s="139"/>
      <c r="I400" s="627"/>
      <c r="J400" s="139"/>
      <c r="R400" s="139"/>
      <c r="S400" s="139"/>
      <c r="BR400" s="647"/>
      <c r="BS400" s="647"/>
      <c r="BU400" s="647"/>
      <c r="BV400" s="139"/>
      <c r="BW400" s="139"/>
      <c r="BX400" s="139"/>
      <c r="BY400" s="139"/>
      <c r="BZ400" s="139"/>
      <c r="CA400" s="781"/>
      <c r="DY400" s="634"/>
      <c r="FZ400" s="647"/>
      <c r="GA400" s="647"/>
    </row>
    <row r="401" spans="6:183">
      <c r="F401" s="1113"/>
      <c r="G401" s="139"/>
      <c r="H401" s="139"/>
      <c r="I401" s="627"/>
      <c r="J401" s="139"/>
      <c r="R401" s="139"/>
      <c r="S401" s="139"/>
      <c r="BR401" s="647"/>
      <c r="BS401" s="647"/>
      <c r="BU401" s="647"/>
      <c r="BV401" s="139"/>
      <c r="BW401" s="139"/>
      <c r="BX401" s="139"/>
      <c r="BY401" s="139"/>
      <c r="BZ401" s="139"/>
      <c r="CA401" s="781"/>
      <c r="DY401" s="634"/>
      <c r="FZ401" s="647"/>
      <c r="GA401" s="647"/>
    </row>
    <row r="402" spans="6:183">
      <c r="F402" s="1113"/>
      <c r="G402" s="139"/>
      <c r="H402" s="139"/>
      <c r="I402" s="627"/>
      <c r="J402" s="139"/>
      <c r="R402" s="139"/>
      <c r="S402" s="139"/>
      <c r="BR402" s="647"/>
      <c r="BS402" s="647"/>
      <c r="BU402" s="647"/>
      <c r="BV402" s="139"/>
      <c r="BW402" s="139"/>
      <c r="BX402" s="139"/>
      <c r="BY402" s="139"/>
      <c r="BZ402" s="139"/>
      <c r="CA402" s="781"/>
      <c r="DY402" s="634"/>
      <c r="FZ402" s="647"/>
      <c r="GA402" s="647"/>
    </row>
    <row r="403" spans="6:183">
      <c r="F403" s="1113"/>
      <c r="G403" s="139"/>
      <c r="H403" s="139"/>
      <c r="I403" s="627"/>
      <c r="J403" s="139"/>
      <c r="R403" s="139"/>
      <c r="S403" s="139"/>
      <c r="BR403" s="647"/>
      <c r="BS403" s="647"/>
      <c r="BU403" s="647"/>
      <c r="BV403" s="139"/>
      <c r="BW403" s="139"/>
      <c r="BX403" s="139"/>
      <c r="BY403" s="139"/>
      <c r="BZ403" s="139"/>
      <c r="CA403" s="781"/>
      <c r="DY403" s="634"/>
      <c r="FZ403" s="647"/>
      <c r="GA403" s="647"/>
    </row>
    <row r="404" spans="6:183">
      <c r="F404" s="1113"/>
      <c r="G404" s="139"/>
      <c r="H404" s="139"/>
      <c r="I404" s="627"/>
      <c r="J404" s="139"/>
      <c r="R404" s="139"/>
      <c r="S404" s="139"/>
      <c r="BR404" s="647"/>
      <c r="BS404" s="647"/>
      <c r="BU404" s="647"/>
      <c r="BV404" s="139"/>
      <c r="BW404" s="139"/>
      <c r="BX404" s="139"/>
      <c r="BY404" s="139"/>
      <c r="BZ404" s="139"/>
      <c r="CA404" s="781"/>
      <c r="DY404" s="634"/>
      <c r="FZ404" s="647"/>
      <c r="GA404" s="647"/>
    </row>
    <row r="405" spans="6:183">
      <c r="F405" s="1113"/>
      <c r="G405" s="139"/>
      <c r="H405" s="139"/>
      <c r="I405" s="627"/>
      <c r="J405" s="139"/>
      <c r="R405" s="139"/>
      <c r="S405" s="139"/>
      <c r="BR405" s="647"/>
      <c r="BS405" s="647"/>
      <c r="BU405" s="647"/>
      <c r="BV405" s="139"/>
      <c r="BW405" s="139"/>
      <c r="BX405" s="139"/>
      <c r="BY405" s="139"/>
      <c r="BZ405" s="139"/>
      <c r="CA405" s="781"/>
      <c r="DY405" s="634"/>
      <c r="FZ405" s="647"/>
      <c r="GA405" s="647"/>
    </row>
    <row r="406" spans="6:183">
      <c r="F406" s="1113"/>
      <c r="G406" s="139"/>
      <c r="H406" s="139"/>
      <c r="I406" s="627"/>
      <c r="J406" s="139"/>
      <c r="R406" s="139"/>
      <c r="S406" s="139"/>
      <c r="BR406" s="647"/>
      <c r="BS406" s="647"/>
      <c r="BU406" s="647"/>
      <c r="BV406" s="139"/>
      <c r="BW406" s="139"/>
      <c r="BX406" s="139"/>
      <c r="BY406" s="139"/>
      <c r="BZ406" s="139"/>
      <c r="CA406" s="781"/>
      <c r="DY406" s="634"/>
      <c r="FZ406" s="647"/>
      <c r="GA406" s="647"/>
    </row>
    <row r="407" spans="6:183">
      <c r="F407" s="1113"/>
      <c r="G407" s="139"/>
      <c r="H407" s="139"/>
      <c r="I407" s="627"/>
      <c r="J407" s="139"/>
      <c r="K407" s="139"/>
      <c r="L407" s="139"/>
      <c r="M407" s="139"/>
      <c r="N407" s="139"/>
      <c r="O407" s="139"/>
      <c r="P407" s="139"/>
      <c r="Q407" s="139"/>
      <c r="R407" s="139"/>
      <c r="S407" s="139"/>
      <c r="BR407" s="647"/>
      <c r="BS407" s="647"/>
      <c r="BU407" s="647"/>
      <c r="BV407" s="139"/>
      <c r="BW407" s="139"/>
      <c r="BX407" s="139"/>
      <c r="BY407" s="139"/>
      <c r="BZ407" s="139"/>
      <c r="CA407" s="781"/>
      <c r="DY407" s="634"/>
      <c r="FZ407" s="647"/>
      <c r="GA407" s="647"/>
    </row>
    <row r="408" spans="6:183">
      <c r="F408" s="1113"/>
      <c r="G408" s="139"/>
      <c r="H408" s="139"/>
      <c r="I408" s="627"/>
      <c r="J408" s="139"/>
      <c r="K408" s="139"/>
      <c r="L408" s="139"/>
      <c r="M408" s="139"/>
      <c r="N408" s="139"/>
      <c r="O408" s="139"/>
      <c r="P408" s="139"/>
      <c r="Q408" s="139"/>
      <c r="R408" s="139"/>
      <c r="S408" s="139"/>
      <c r="BR408" s="647"/>
      <c r="BS408" s="647"/>
      <c r="BU408" s="647"/>
      <c r="BV408" s="139"/>
      <c r="BW408" s="139"/>
      <c r="BX408" s="139"/>
      <c r="BY408" s="139"/>
      <c r="BZ408" s="139"/>
      <c r="CA408" s="781"/>
      <c r="DY408" s="634"/>
      <c r="FZ408" s="647"/>
      <c r="GA408" s="647"/>
    </row>
    <row r="409" spans="6:183">
      <c r="F409" s="1113"/>
      <c r="G409" s="139"/>
      <c r="H409" s="139"/>
      <c r="I409" s="627"/>
      <c r="J409" s="139"/>
      <c r="K409" s="139"/>
      <c r="L409" s="139"/>
      <c r="M409" s="139"/>
      <c r="N409" s="139"/>
      <c r="O409" s="139"/>
      <c r="P409" s="139"/>
      <c r="Q409" s="139"/>
      <c r="R409" s="139"/>
      <c r="S409" s="139"/>
      <c r="BR409" s="647"/>
      <c r="BS409" s="647"/>
      <c r="BU409" s="647"/>
      <c r="BV409" s="139"/>
      <c r="BW409" s="139"/>
      <c r="BX409" s="139"/>
      <c r="BY409" s="139"/>
      <c r="BZ409" s="139"/>
      <c r="CA409" s="781"/>
      <c r="DY409" s="634"/>
      <c r="FZ409" s="647"/>
      <c r="GA409" s="647"/>
    </row>
    <row r="410" spans="6:183">
      <c r="F410" s="1113"/>
      <c r="G410" s="139"/>
      <c r="H410" s="139"/>
      <c r="I410" s="627"/>
      <c r="J410" s="139"/>
      <c r="K410" s="139"/>
      <c r="L410" s="139"/>
      <c r="M410" s="139"/>
      <c r="N410" s="139"/>
      <c r="O410" s="139"/>
      <c r="P410" s="139"/>
      <c r="Q410" s="139"/>
      <c r="R410" s="139"/>
      <c r="S410" s="139"/>
      <c r="BR410" s="647"/>
      <c r="BS410" s="647"/>
      <c r="BU410" s="647"/>
      <c r="BV410" s="139"/>
      <c r="BW410" s="139"/>
      <c r="BX410" s="139"/>
      <c r="BY410" s="139"/>
      <c r="BZ410" s="139"/>
      <c r="CA410" s="781"/>
      <c r="DY410" s="634"/>
      <c r="FZ410" s="647"/>
      <c r="GA410" s="647"/>
    </row>
    <row r="411" spans="6:183">
      <c r="F411" s="1113"/>
      <c r="G411" s="139"/>
      <c r="H411" s="139"/>
      <c r="I411" s="627"/>
      <c r="J411" s="139"/>
      <c r="K411" s="139"/>
      <c r="L411" s="139"/>
      <c r="M411" s="139"/>
      <c r="N411" s="139"/>
      <c r="O411" s="139"/>
      <c r="P411" s="139"/>
      <c r="Q411" s="139"/>
      <c r="R411" s="139"/>
      <c r="S411" s="139"/>
      <c r="BR411" s="647"/>
      <c r="BS411" s="647"/>
      <c r="BU411" s="647"/>
      <c r="BV411" s="139"/>
      <c r="BW411" s="139"/>
      <c r="BX411" s="139"/>
      <c r="BY411" s="139"/>
      <c r="BZ411" s="139"/>
      <c r="CA411" s="781"/>
      <c r="DY411" s="634"/>
      <c r="FZ411" s="647"/>
      <c r="GA411" s="647"/>
    </row>
    <row r="412" spans="6:183">
      <c r="F412" s="1113"/>
      <c r="G412" s="139"/>
      <c r="H412" s="139"/>
      <c r="I412" s="627"/>
      <c r="J412" s="139"/>
      <c r="K412" s="139"/>
      <c r="L412" s="139"/>
      <c r="M412" s="139"/>
      <c r="N412" s="139"/>
      <c r="O412" s="139"/>
      <c r="P412" s="139"/>
      <c r="Q412" s="139"/>
      <c r="R412" s="139"/>
      <c r="S412" s="139"/>
      <c r="BR412" s="647"/>
      <c r="BS412" s="647"/>
      <c r="BU412" s="647"/>
      <c r="BV412" s="139"/>
      <c r="BW412" s="139"/>
      <c r="BX412" s="139"/>
      <c r="BY412" s="139"/>
      <c r="BZ412" s="139"/>
      <c r="CA412" s="781"/>
      <c r="DY412" s="634"/>
      <c r="FZ412" s="647"/>
      <c r="GA412" s="647"/>
    </row>
    <row r="413" spans="6:183">
      <c r="F413" s="1113"/>
      <c r="G413" s="139"/>
      <c r="H413" s="139"/>
      <c r="I413" s="627"/>
      <c r="J413" s="139"/>
      <c r="K413" s="139"/>
      <c r="L413" s="139"/>
      <c r="M413" s="139"/>
      <c r="N413" s="139"/>
      <c r="O413" s="139"/>
      <c r="P413" s="139"/>
      <c r="Q413" s="139"/>
      <c r="R413" s="139"/>
      <c r="S413" s="139"/>
      <c r="BR413" s="647"/>
      <c r="BS413" s="647"/>
      <c r="BU413" s="647"/>
      <c r="BV413" s="139"/>
      <c r="BW413" s="139"/>
      <c r="BX413" s="139"/>
      <c r="BY413" s="139"/>
      <c r="BZ413" s="139"/>
      <c r="CA413" s="781"/>
      <c r="DY413" s="634"/>
      <c r="FZ413" s="647"/>
      <c r="GA413" s="647"/>
    </row>
    <row r="414" spans="6:183">
      <c r="F414" s="1113"/>
      <c r="G414" s="139"/>
      <c r="H414" s="139"/>
      <c r="I414" s="627"/>
      <c r="J414" s="139"/>
      <c r="K414" s="139"/>
      <c r="L414" s="139"/>
      <c r="M414" s="139"/>
      <c r="N414" s="139"/>
      <c r="O414" s="139"/>
      <c r="P414" s="139"/>
      <c r="Q414" s="139"/>
      <c r="R414" s="139"/>
      <c r="S414" s="139"/>
      <c r="BR414" s="647"/>
      <c r="BS414" s="647"/>
      <c r="BU414" s="647"/>
      <c r="BV414" s="139"/>
      <c r="BW414" s="139"/>
      <c r="BX414" s="139"/>
      <c r="BY414" s="139"/>
      <c r="BZ414" s="139"/>
      <c r="CA414" s="781"/>
      <c r="DY414" s="634"/>
      <c r="FZ414" s="647"/>
      <c r="GA414" s="647"/>
    </row>
    <row r="415" spans="6:183">
      <c r="F415" s="1113"/>
      <c r="G415" s="139"/>
      <c r="H415" s="139"/>
      <c r="I415" s="627"/>
      <c r="J415" s="139"/>
      <c r="K415" s="139"/>
      <c r="L415" s="139"/>
      <c r="M415" s="139"/>
      <c r="N415" s="139"/>
      <c r="O415" s="139"/>
      <c r="P415" s="139"/>
      <c r="Q415" s="139"/>
      <c r="R415" s="139"/>
      <c r="S415" s="139"/>
      <c r="BR415" s="647"/>
      <c r="BS415" s="647"/>
      <c r="BU415" s="647"/>
      <c r="BV415" s="139"/>
      <c r="BW415" s="139"/>
      <c r="BX415" s="139"/>
      <c r="BY415" s="139"/>
      <c r="BZ415" s="139"/>
      <c r="CA415" s="781"/>
      <c r="DY415" s="634"/>
      <c r="FZ415" s="647"/>
      <c r="GA415" s="647"/>
    </row>
    <row r="416" spans="6:183">
      <c r="F416" s="1113"/>
      <c r="G416" s="139"/>
      <c r="H416" s="139"/>
      <c r="I416" s="627"/>
      <c r="J416" s="139"/>
      <c r="K416" s="139"/>
      <c r="L416" s="139"/>
      <c r="M416" s="139"/>
      <c r="N416" s="139"/>
      <c r="O416" s="139"/>
      <c r="P416" s="139"/>
      <c r="Q416" s="139"/>
      <c r="R416" s="139"/>
      <c r="S416" s="139"/>
      <c r="BR416" s="647"/>
      <c r="BS416" s="647"/>
      <c r="BU416" s="647"/>
      <c r="BV416" s="139"/>
      <c r="BW416" s="139"/>
      <c r="BX416" s="139"/>
      <c r="BY416" s="139"/>
      <c r="BZ416" s="139"/>
      <c r="CA416" s="781"/>
      <c r="DY416" s="634"/>
      <c r="FZ416" s="647"/>
      <c r="GA416" s="647"/>
    </row>
    <row r="417" spans="6:183">
      <c r="F417" s="1113"/>
      <c r="G417" s="139"/>
      <c r="H417" s="139"/>
      <c r="I417" s="627"/>
      <c r="J417" s="139"/>
      <c r="K417" s="139"/>
      <c r="L417" s="139"/>
      <c r="M417" s="139"/>
      <c r="N417" s="139"/>
      <c r="O417" s="139"/>
      <c r="P417" s="139"/>
      <c r="Q417" s="139"/>
      <c r="R417" s="139"/>
      <c r="S417" s="139"/>
      <c r="BR417" s="647"/>
      <c r="BS417" s="647"/>
      <c r="BU417" s="647"/>
      <c r="BV417" s="139"/>
      <c r="BW417" s="139"/>
      <c r="BX417" s="139"/>
      <c r="BY417" s="139"/>
      <c r="BZ417" s="139"/>
      <c r="CA417" s="781"/>
      <c r="DY417" s="634"/>
      <c r="FZ417" s="647"/>
      <c r="GA417" s="647"/>
    </row>
    <row r="418" spans="6:183">
      <c r="F418" s="1113"/>
      <c r="G418" s="139"/>
      <c r="H418" s="139"/>
      <c r="I418" s="627"/>
      <c r="J418" s="139"/>
      <c r="K418" s="139"/>
      <c r="L418" s="139"/>
      <c r="M418" s="139"/>
      <c r="N418" s="139"/>
      <c r="O418" s="139"/>
      <c r="P418" s="139"/>
      <c r="Q418" s="139"/>
      <c r="R418" s="139"/>
      <c r="S418" s="139"/>
      <c r="BR418" s="647"/>
      <c r="BS418" s="647"/>
      <c r="BU418" s="647"/>
      <c r="BV418" s="139"/>
      <c r="BW418" s="139"/>
      <c r="BX418" s="139"/>
      <c r="BY418" s="139"/>
      <c r="BZ418" s="139"/>
      <c r="CA418" s="781"/>
      <c r="DY418" s="634"/>
      <c r="FZ418" s="647"/>
      <c r="GA418" s="647"/>
    </row>
    <row r="419" spans="6:183">
      <c r="F419" s="1113"/>
      <c r="G419" s="139"/>
      <c r="H419" s="139"/>
      <c r="I419" s="627"/>
      <c r="J419" s="139"/>
      <c r="K419" s="139"/>
      <c r="L419" s="139"/>
      <c r="M419" s="139"/>
      <c r="N419" s="139"/>
      <c r="O419" s="139"/>
      <c r="P419" s="139"/>
      <c r="Q419" s="139"/>
      <c r="R419" s="139"/>
      <c r="S419" s="139"/>
      <c r="BR419" s="647"/>
      <c r="BS419" s="647"/>
      <c r="BU419" s="647"/>
      <c r="BV419" s="139"/>
      <c r="BW419" s="139"/>
      <c r="BX419" s="139"/>
      <c r="BY419" s="139"/>
      <c r="BZ419" s="139"/>
      <c r="CA419" s="781"/>
      <c r="DY419" s="634"/>
      <c r="FZ419" s="647"/>
      <c r="GA419" s="647"/>
    </row>
    <row r="420" spans="6:183">
      <c r="F420" s="1113"/>
      <c r="G420" s="139"/>
      <c r="H420" s="139"/>
      <c r="I420" s="627"/>
      <c r="J420" s="139"/>
      <c r="K420" s="139"/>
      <c r="L420" s="139"/>
      <c r="M420" s="139"/>
      <c r="N420" s="139"/>
      <c r="O420" s="139"/>
      <c r="P420" s="139"/>
      <c r="Q420" s="139"/>
      <c r="R420" s="139"/>
      <c r="S420" s="139"/>
      <c r="BR420" s="647"/>
      <c r="BS420" s="647"/>
      <c r="BU420" s="647"/>
      <c r="BV420" s="139"/>
      <c r="BW420" s="139"/>
      <c r="BX420" s="139"/>
      <c r="BY420" s="139"/>
      <c r="BZ420" s="139"/>
      <c r="CA420" s="781"/>
      <c r="DY420" s="634"/>
      <c r="FZ420" s="647"/>
      <c r="GA420" s="647"/>
    </row>
    <row r="421" spans="6:183">
      <c r="F421" s="1113"/>
      <c r="G421" s="139"/>
      <c r="H421" s="139"/>
      <c r="I421" s="627"/>
      <c r="J421" s="139"/>
      <c r="K421" s="139"/>
      <c r="L421" s="139"/>
      <c r="M421" s="139"/>
      <c r="N421" s="139"/>
      <c r="O421" s="139"/>
      <c r="P421" s="139"/>
      <c r="Q421" s="139"/>
      <c r="R421" s="139"/>
      <c r="S421" s="139"/>
      <c r="BR421" s="647"/>
      <c r="BS421" s="647"/>
      <c r="BU421" s="647"/>
      <c r="BV421" s="139"/>
      <c r="BW421" s="139"/>
      <c r="BX421" s="139"/>
      <c r="BY421" s="139"/>
      <c r="BZ421" s="139"/>
      <c r="CA421" s="781"/>
      <c r="DY421" s="634"/>
      <c r="FZ421" s="647"/>
      <c r="GA421" s="647"/>
    </row>
    <row r="422" spans="6:183">
      <c r="F422" s="1113"/>
      <c r="G422" s="139"/>
      <c r="H422" s="139"/>
      <c r="I422" s="627"/>
      <c r="J422" s="139"/>
      <c r="K422" s="139"/>
      <c r="L422" s="139"/>
      <c r="M422" s="139"/>
      <c r="N422" s="139"/>
      <c r="O422" s="139"/>
      <c r="P422" s="139"/>
      <c r="Q422" s="139"/>
      <c r="R422" s="139"/>
      <c r="S422" s="139"/>
      <c r="BR422" s="647"/>
      <c r="BS422" s="647"/>
      <c r="BU422" s="647"/>
      <c r="BV422" s="139"/>
      <c r="BW422" s="139"/>
      <c r="BX422" s="139"/>
      <c r="BY422" s="139"/>
      <c r="BZ422" s="139"/>
      <c r="CA422" s="781"/>
      <c r="DY422" s="634"/>
      <c r="FZ422" s="647"/>
      <c r="GA422" s="647"/>
    </row>
    <row r="423" spans="6:183">
      <c r="F423" s="1113"/>
      <c r="G423" s="139"/>
      <c r="H423" s="139"/>
      <c r="I423" s="627"/>
      <c r="J423" s="139"/>
      <c r="K423" s="139"/>
      <c r="L423" s="139"/>
      <c r="M423" s="139"/>
      <c r="N423" s="139"/>
      <c r="O423" s="139"/>
      <c r="P423" s="139"/>
      <c r="Q423" s="139"/>
      <c r="R423" s="139"/>
      <c r="S423" s="139"/>
      <c r="BR423" s="647"/>
      <c r="BS423" s="647"/>
      <c r="BU423" s="647"/>
      <c r="BV423" s="139"/>
      <c r="BW423" s="139"/>
      <c r="BX423" s="139"/>
      <c r="BY423" s="139"/>
      <c r="BZ423" s="139"/>
      <c r="CA423" s="781"/>
      <c r="DY423" s="634"/>
      <c r="FZ423" s="647"/>
      <c r="GA423" s="647"/>
    </row>
    <row r="424" spans="6:183">
      <c r="F424" s="1113"/>
      <c r="G424" s="139"/>
      <c r="H424" s="139"/>
      <c r="I424" s="627"/>
      <c r="J424" s="139"/>
      <c r="K424" s="139"/>
      <c r="L424" s="139"/>
      <c r="M424" s="139"/>
      <c r="N424" s="139"/>
      <c r="O424" s="139"/>
      <c r="P424" s="139"/>
      <c r="Q424" s="139"/>
      <c r="R424" s="139"/>
      <c r="S424" s="139"/>
      <c r="BR424" s="647"/>
      <c r="BS424" s="647"/>
      <c r="BU424" s="647"/>
      <c r="BV424" s="139"/>
      <c r="BW424" s="139"/>
      <c r="BX424" s="139"/>
      <c r="BY424" s="139"/>
      <c r="BZ424" s="139"/>
      <c r="CA424" s="781"/>
      <c r="DY424" s="634"/>
      <c r="FZ424" s="647"/>
      <c r="GA424" s="647"/>
    </row>
    <row r="425" spans="6:183">
      <c r="F425" s="1113"/>
      <c r="G425" s="139"/>
      <c r="H425" s="139"/>
      <c r="I425" s="627"/>
      <c r="J425" s="139"/>
      <c r="K425" s="139"/>
      <c r="L425" s="139"/>
      <c r="M425" s="139"/>
      <c r="N425" s="139"/>
      <c r="O425" s="139"/>
      <c r="P425" s="139"/>
      <c r="Q425" s="139"/>
      <c r="R425" s="139"/>
      <c r="S425" s="139"/>
      <c r="BR425" s="647"/>
      <c r="BS425" s="647"/>
      <c r="BU425" s="647"/>
      <c r="BV425" s="139"/>
      <c r="BW425" s="139"/>
      <c r="BX425" s="139"/>
      <c r="BY425" s="139"/>
      <c r="BZ425" s="139"/>
      <c r="CA425" s="781"/>
      <c r="DY425" s="634"/>
      <c r="FZ425" s="647"/>
      <c r="GA425" s="647"/>
    </row>
    <row r="426" spans="6:183">
      <c r="F426" s="1113"/>
      <c r="G426" s="139"/>
      <c r="H426" s="139"/>
      <c r="I426" s="627"/>
      <c r="J426" s="139"/>
      <c r="K426" s="139"/>
      <c r="L426" s="139"/>
      <c r="M426" s="139"/>
      <c r="N426" s="139"/>
      <c r="O426" s="139"/>
      <c r="P426" s="139"/>
      <c r="Q426" s="139"/>
      <c r="R426" s="139"/>
      <c r="S426" s="139"/>
      <c r="BR426" s="647"/>
      <c r="BS426" s="647"/>
      <c r="BU426" s="647"/>
      <c r="BV426" s="139"/>
      <c r="BW426" s="139"/>
      <c r="BX426" s="139"/>
      <c r="BY426" s="139"/>
      <c r="BZ426" s="139"/>
      <c r="CA426" s="781"/>
      <c r="DY426" s="634"/>
      <c r="FZ426" s="647"/>
      <c r="GA426" s="647"/>
    </row>
    <row r="427" spans="6:183">
      <c r="F427" s="1113"/>
      <c r="G427" s="139"/>
      <c r="H427" s="139"/>
      <c r="I427" s="627"/>
      <c r="J427" s="139"/>
      <c r="K427" s="139"/>
      <c r="L427" s="139"/>
      <c r="M427" s="139"/>
      <c r="N427" s="139"/>
      <c r="O427" s="139"/>
      <c r="P427" s="139"/>
      <c r="Q427" s="139"/>
      <c r="R427" s="139"/>
      <c r="S427" s="139"/>
      <c r="BR427" s="647"/>
      <c r="BS427" s="647"/>
      <c r="BU427" s="647"/>
      <c r="BV427" s="139"/>
      <c r="BW427" s="139"/>
      <c r="BX427" s="139"/>
      <c r="BY427" s="139"/>
      <c r="BZ427" s="139"/>
      <c r="CA427" s="781"/>
      <c r="DY427" s="634"/>
      <c r="FZ427" s="647"/>
      <c r="GA427" s="647"/>
    </row>
    <row r="428" spans="6:183">
      <c r="F428" s="1113"/>
      <c r="G428" s="139"/>
      <c r="H428" s="139"/>
      <c r="I428" s="627"/>
      <c r="J428" s="139"/>
      <c r="K428" s="139"/>
      <c r="L428" s="139"/>
      <c r="M428" s="139"/>
      <c r="N428" s="139"/>
      <c r="O428" s="139"/>
      <c r="P428" s="139"/>
      <c r="Q428" s="139"/>
      <c r="R428" s="139"/>
      <c r="S428" s="139"/>
      <c r="BR428" s="647"/>
      <c r="BS428" s="647"/>
      <c r="BU428" s="647"/>
      <c r="BV428" s="139"/>
      <c r="BW428" s="139"/>
      <c r="BX428" s="139"/>
      <c r="BY428" s="139"/>
      <c r="BZ428" s="139"/>
      <c r="CA428" s="781"/>
      <c r="DY428" s="634"/>
      <c r="FZ428" s="647"/>
      <c r="GA428" s="647"/>
    </row>
    <row r="429" spans="6:183">
      <c r="F429" s="1113"/>
      <c r="G429" s="139"/>
      <c r="H429" s="139"/>
      <c r="I429" s="627"/>
      <c r="J429" s="139"/>
      <c r="K429" s="139"/>
      <c r="L429" s="139"/>
      <c r="M429" s="139"/>
      <c r="N429" s="139"/>
      <c r="O429" s="139"/>
      <c r="P429" s="139"/>
      <c r="Q429" s="139"/>
      <c r="R429" s="139"/>
      <c r="S429" s="139"/>
      <c r="BR429" s="647"/>
      <c r="BS429" s="647"/>
      <c r="BU429" s="647"/>
      <c r="BV429" s="139"/>
      <c r="BW429" s="139"/>
      <c r="BX429" s="139"/>
      <c r="BY429" s="139"/>
      <c r="BZ429" s="139"/>
      <c r="CA429" s="781"/>
      <c r="DY429" s="634"/>
      <c r="FZ429" s="647"/>
      <c r="GA429" s="647"/>
    </row>
    <row r="430" spans="6:183">
      <c r="F430" s="1113"/>
      <c r="G430" s="139"/>
      <c r="H430" s="139"/>
      <c r="I430" s="627"/>
      <c r="R430" s="139"/>
      <c r="S430" s="139"/>
      <c r="BR430" s="647"/>
      <c r="BS430" s="647"/>
      <c r="BU430" s="647"/>
      <c r="BV430" s="139"/>
      <c r="BW430" s="139"/>
      <c r="BX430" s="139"/>
      <c r="BY430" s="139"/>
      <c r="BZ430" s="139"/>
      <c r="CA430" s="781"/>
      <c r="DY430" s="634"/>
      <c r="FZ430" s="647"/>
      <c r="GA430" s="647"/>
    </row>
    <row r="431" spans="6:183">
      <c r="F431" s="1113"/>
      <c r="G431" s="139"/>
      <c r="H431" s="139"/>
      <c r="I431" s="627"/>
      <c r="R431" s="139"/>
      <c r="S431" s="139"/>
      <c r="BR431" s="647"/>
      <c r="BS431" s="647"/>
      <c r="BU431" s="647"/>
      <c r="BV431" s="139"/>
      <c r="BW431" s="139"/>
      <c r="BX431" s="139"/>
      <c r="BY431" s="139"/>
      <c r="BZ431" s="139"/>
      <c r="CA431" s="781"/>
      <c r="DY431" s="634"/>
      <c r="FZ431" s="647"/>
      <c r="GA431" s="647"/>
    </row>
    <row r="432" spans="6:183">
      <c r="F432" s="1113"/>
      <c r="G432" s="139"/>
      <c r="H432" s="139"/>
      <c r="I432" s="627"/>
      <c r="R432" s="139"/>
      <c r="S432" s="139"/>
      <c r="BR432" s="647"/>
      <c r="BS432" s="647"/>
      <c r="BU432" s="647"/>
      <c r="BV432" s="139"/>
      <c r="BW432" s="139"/>
      <c r="BX432" s="139"/>
      <c r="BY432" s="139"/>
      <c r="BZ432" s="139"/>
      <c r="CA432" s="781"/>
      <c r="DY432" s="634"/>
      <c r="FZ432" s="647"/>
      <c r="GA432" s="647"/>
    </row>
    <row r="433" spans="6:183">
      <c r="F433" s="1113"/>
      <c r="G433" s="139"/>
      <c r="H433" s="139"/>
      <c r="I433" s="627"/>
      <c r="R433" s="139"/>
      <c r="S433" s="139"/>
      <c r="BR433" s="647"/>
      <c r="BS433" s="647"/>
      <c r="BU433" s="647"/>
      <c r="BV433" s="139"/>
      <c r="BW433" s="139"/>
      <c r="BX433" s="139"/>
      <c r="BY433" s="139"/>
      <c r="BZ433" s="139"/>
      <c r="CA433" s="781"/>
      <c r="DY433" s="634"/>
      <c r="FZ433" s="647"/>
      <c r="GA433" s="647"/>
    </row>
    <row r="434" spans="6:183">
      <c r="F434" s="1113"/>
      <c r="G434" s="139"/>
      <c r="H434" s="139"/>
      <c r="I434" s="627"/>
      <c r="R434" s="139"/>
      <c r="S434" s="139"/>
      <c r="BR434" s="647"/>
      <c r="BS434" s="647"/>
      <c r="BU434" s="647"/>
      <c r="BV434" s="139"/>
      <c r="BW434" s="139"/>
      <c r="BX434" s="139"/>
      <c r="BY434" s="139"/>
      <c r="BZ434" s="139"/>
      <c r="CA434" s="781"/>
      <c r="DY434" s="634"/>
      <c r="FZ434" s="647"/>
      <c r="GA434" s="647"/>
    </row>
    <row r="435" spans="6:183">
      <c r="F435" s="1113"/>
      <c r="G435" s="139"/>
      <c r="H435" s="139"/>
      <c r="I435" s="627"/>
      <c r="R435" s="139"/>
      <c r="S435" s="139"/>
      <c r="BR435" s="647"/>
      <c r="BS435" s="647"/>
      <c r="BU435" s="647"/>
      <c r="BV435" s="139"/>
      <c r="BW435" s="139"/>
      <c r="BX435" s="139"/>
      <c r="BY435" s="139"/>
      <c r="BZ435" s="139"/>
      <c r="CA435" s="781"/>
      <c r="DY435" s="634"/>
      <c r="FZ435" s="647"/>
      <c r="GA435" s="647"/>
    </row>
    <row r="436" spans="6:183">
      <c r="F436" s="1113"/>
      <c r="G436" s="139"/>
      <c r="H436" s="139"/>
      <c r="I436" s="627"/>
      <c r="R436" s="139"/>
      <c r="S436" s="139"/>
      <c r="BR436" s="647"/>
      <c r="BS436" s="647"/>
      <c r="BU436" s="647"/>
      <c r="BV436" s="139"/>
      <c r="BW436" s="139"/>
      <c r="BX436" s="139"/>
      <c r="BY436" s="139"/>
      <c r="BZ436" s="139"/>
      <c r="CA436" s="781"/>
      <c r="DY436" s="634"/>
      <c r="FZ436" s="647"/>
      <c r="GA436" s="647"/>
    </row>
    <row r="437" spans="6:183">
      <c r="F437" s="1113"/>
      <c r="G437" s="139"/>
      <c r="H437" s="139"/>
      <c r="I437" s="627"/>
      <c r="R437" s="139"/>
      <c r="S437" s="139"/>
      <c r="BR437" s="647"/>
      <c r="BS437" s="647"/>
      <c r="BU437" s="647"/>
      <c r="BV437" s="139"/>
      <c r="BW437" s="139"/>
      <c r="BX437" s="139"/>
      <c r="BY437" s="139"/>
      <c r="BZ437" s="139"/>
      <c r="CA437" s="781"/>
      <c r="DY437" s="634"/>
      <c r="FZ437" s="647"/>
      <c r="GA437" s="647"/>
    </row>
    <row r="438" spans="6:183">
      <c r="F438" s="1113"/>
      <c r="G438" s="139"/>
      <c r="H438" s="139"/>
      <c r="I438" s="627"/>
      <c r="R438" s="139"/>
      <c r="S438" s="139"/>
      <c r="BR438" s="647"/>
      <c r="BS438" s="647"/>
      <c r="BU438" s="647"/>
      <c r="BV438" s="139"/>
      <c r="BW438" s="139"/>
      <c r="BX438" s="139"/>
      <c r="BY438" s="139"/>
      <c r="BZ438" s="139"/>
      <c r="CA438" s="781"/>
      <c r="DY438" s="634"/>
      <c r="FZ438" s="647"/>
      <c r="GA438" s="647"/>
    </row>
    <row r="439" spans="6:183">
      <c r="F439" s="1113"/>
      <c r="G439" s="139"/>
      <c r="H439" s="139"/>
      <c r="I439" s="627"/>
      <c r="R439" s="139"/>
      <c r="S439" s="139"/>
      <c r="BR439" s="647"/>
      <c r="BS439" s="647"/>
      <c r="BU439" s="647"/>
      <c r="BV439" s="139"/>
      <c r="BW439" s="139"/>
      <c r="BX439" s="139"/>
      <c r="BY439" s="139"/>
      <c r="BZ439" s="139"/>
      <c r="CA439" s="781"/>
      <c r="DY439" s="634"/>
      <c r="FZ439" s="647"/>
      <c r="GA439" s="647"/>
    </row>
    <row r="440" spans="6:183">
      <c r="F440" s="1113"/>
      <c r="G440" s="139"/>
      <c r="H440" s="139"/>
      <c r="I440" s="627"/>
      <c r="R440" s="139"/>
      <c r="S440" s="139"/>
      <c r="BR440" s="647"/>
      <c r="BS440" s="647"/>
      <c r="BU440" s="647"/>
      <c r="BV440" s="139"/>
      <c r="BW440" s="139"/>
      <c r="BX440" s="139"/>
      <c r="BY440" s="139"/>
      <c r="BZ440" s="139"/>
      <c r="CA440" s="781"/>
      <c r="DY440" s="634"/>
      <c r="FZ440" s="647"/>
      <c r="GA440" s="647"/>
    </row>
    <row r="441" spans="6:183">
      <c r="F441" s="1113"/>
      <c r="G441" s="139"/>
      <c r="H441" s="139"/>
      <c r="I441" s="627"/>
      <c r="R441" s="139"/>
      <c r="S441" s="139"/>
      <c r="BR441" s="647"/>
      <c r="BS441" s="647"/>
      <c r="BU441" s="647"/>
      <c r="BV441" s="139"/>
      <c r="BW441" s="139"/>
      <c r="BX441" s="139"/>
      <c r="BY441" s="139"/>
      <c r="BZ441" s="139"/>
      <c r="CA441" s="781"/>
      <c r="DY441" s="634"/>
      <c r="FZ441" s="647"/>
      <c r="GA441" s="647"/>
    </row>
    <row r="442" spans="6:183">
      <c r="F442" s="1113"/>
      <c r="G442" s="139"/>
      <c r="H442" s="139"/>
      <c r="I442" s="627"/>
      <c r="R442" s="139"/>
      <c r="S442" s="139"/>
      <c r="BR442" s="647"/>
      <c r="BS442" s="647"/>
      <c r="BU442" s="647"/>
      <c r="BV442" s="139"/>
      <c r="BW442" s="139"/>
      <c r="BX442" s="139"/>
      <c r="BY442" s="139"/>
      <c r="BZ442" s="139"/>
      <c r="CA442" s="781"/>
      <c r="DY442" s="634"/>
      <c r="FZ442" s="647"/>
      <c r="GA442" s="647"/>
    </row>
    <row r="443" spans="6:183">
      <c r="F443" s="1113"/>
      <c r="G443" s="139"/>
      <c r="H443" s="139"/>
      <c r="I443" s="627"/>
      <c r="R443" s="139"/>
      <c r="S443" s="139"/>
      <c r="BR443" s="647"/>
      <c r="BS443" s="647"/>
      <c r="BU443" s="647"/>
      <c r="BV443" s="139"/>
      <c r="BW443" s="139"/>
      <c r="BX443" s="139"/>
      <c r="BY443" s="139"/>
      <c r="BZ443" s="139"/>
      <c r="CA443" s="781"/>
      <c r="DY443" s="634"/>
      <c r="FZ443" s="647"/>
      <c r="GA443" s="647"/>
    </row>
    <row r="444" spans="6:183">
      <c r="F444" s="1113"/>
      <c r="G444" s="139"/>
      <c r="H444" s="139"/>
      <c r="I444" s="627"/>
      <c r="R444" s="139"/>
      <c r="S444" s="139"/>
      <c r="BR444" s="647"/>
      <c r="BS444" s="647"/>
      <c r="BU444" s="647"/>
      <c r="BV444" s="139"/>
      <c r="BW444" s="139"/>
      <c r="BX444" s="139"/>
      <c r="BY444" s="139"/>
      <c r="BZ444" s="139"/>
      <c r="CA444" s="781"/>
      <c r="DY444" s="634"/>
      <c r="FZ444" s="647"/>
      <c r="GA444" s="647"/>
    </row>
    <row r="445" spans="6:183">
      <c r="F445" s="1113"/>
      <c r="G445" s="139"/>
      <c r="H445" s="139"/>
      <c r="I445" s="627"/>
      <c r="R445" s="139"/>
      <c r="S445" s="139"/>
      <c r="BR445" s="647"/>
      <c r="BS445" s="647"/>
      <c r="BU445" s="647"/>
      <c r="BV445" s="139"/>
      <c r="BW445" s="139"/>
      <c r="BX445" s="139"/>
      <c r="BY445" s="139"/>
      <c r="BZ445" s="139"/>
      <c r="CA445" s="781"/>
      <c r="DY445" s="634"/>
      <c r="FZ445" s="647"/>
      <c r="GA445" s="647"/>
    </row>
    <row r="446" spans="6:183">
      <c r="F446" s="1113"/>
      <c r="G446" s="139"/>
      <c r="H446" s="139"/>
      <c r="I446" s="627"/>
      <c r="R446" s="139"/>
      <c r="S446" s="139"/>
      <c r="BR446" s="647"/>
      <c r="BS446" s="647"/>
      <c r="BU446" s="647"/>
      <c r="BV446" s="139"/>
      <c r="BW446" s="139"/>
      <c r="BX446" s="139"/>
      <c r="BY446" s="139"/>
      <c r="BZ446" s="139"/>
      <c r="CA446" s="781"/>
      <c r="DY446" s="634"/>
      <c r="FZ446" s="647"/>
      <c r="GA446" s="647"/>
    </row>
    <row r="447" spans="6:183">
      <c r="F447" s="1113"/>
      <c r="G447" s="139"/>
      <c r="H447" s="139"/>
      <c r="I447" s="627"/>
      <c r="R447" s="139"/>
      <c r="S447" s="139"/>
      <c r="BR447" s="647"/>
      <c r="BS447" s="647"/>
      <c r="BU447" s="647"/>
      <c r="BV447" s="139"/>
      <c r="BW447" s="139"/>
      <c r="BX447" s="139"/>
      <c r="BY447" s="139"/>
      <c r="BZ447" s="139"/>
      <c r="CA447" s="781"/>
      <c r="DY447" s="634"/>
      <c r="FZ447" s="647"/>
      <c r="GA447" s="647"/>
    </row>
    <row r="448" spans="6:183">
      <c r="F448" s="1113"/>
      <c r="G448" s="139"/>
      <c r="H448" s="139"/>
      <c r="I448" s="627"/>
      <c r="R448" s="139"/>
      <c r="S448" s="139"/>
      <c r="BR448" s="647"/>
      <c r="BS448" s="647"/>
      <c r="BU448" s="647"/>
      <c r="BV448" s="139"/>
      <c r="BW448" s="139"/>
      <c r="BX448" s="139"/>
      <c r="BY448" s="139"/>
      <c r="BZ448" s="139"/>
      <c r="CA448" s="781"/>
      <c r="DY448" s="634"/>
      <c r="FZ448" s="647"/>
      <c r="GA448" s="647"/>
    </row>
    <row r="449" spans="6:183">
      <c r="F449" s="1113"/>
      <c r="G449" s="139"/>
      <c r="H449" s="139"/>
      <c r="I449" s="627"/>
      <c r="R449" s="139"/>
      <c r="S449" s="139"/>
      <c r="BR449" s="647"/>
      <c r="BS449" s="647"/>
      <c r="BU449" s="647"/>
      <c r="BV449" s="139"/>
      <c r="BW449" s="139"/>
      <c r="BX449" s="139"/>
      <c r="BY449" s="139"/>
      <c r="BZ449" s="139"/>
      <c r="CA449" s="781"/>
      <c r="DY449" s="634"/>
      <c r="FZ449" s="647"/>
      <c r="GA449" s="647"/>
    </row>
    <row r="450" spans="6:183">
      <c r="F450" s="1113"/>
      <c r="G450" s="139"/>
      <c r="H450" s="139"/>
      <c r="I450" s="627"/>
      <c r="R450" s="139"/>
      <c r="S450" s="139"/>
      <c r="BR450" s="647"/>
      <c r="BS450" s="647"/>
      <c r="BU450" s="647"/>
      <c r="BV450" s="139"/>
      <c r="BW450" s="139"/>
      <c r="BX450" s="139"/>
      <c r="BY450" s="139"/>
      <c r="BZ450" s="139"/>
      <c r="CA450" s="781"/>
      <c r="DY450" s="634"/>
      <c r="FZ450" s="647"/>
      <c r="GA450" s="647"/>
    </row>
    <row r="451" spans="6:183">
      <c r="F451" s="1113"/>
      <c r="G451" s="139"/>
      <c r="H451" s="139"/>
      <c r="I451" s="627"/>
      <c r="R451" s="139"/>
      <c r="S451" s="139"/>
      <c r="BR451" s="647"/>
      <c r="BS451" s="647"/>
      <c r="BU451" s="647"/>
      <c r="BV451" s="139"/>
      <c r="BW451" s="139"/>
      <c r="BX451" s="139"/>
      <c r="BY451" s="139"/>
      <c r="BZ451" s="139"/>
      <c r="CA451" s="781"/>
      <c r="DY451" s="634"/>
      <c r="FZ451" s="647"/>
      <c r="GA451" s="647"/>
    </row>
    <row r="452" spans="6:183">
      <c r="F452" s="1113"/>
      <c r="G452" s="139"/>
      <c r="H452" s="139"/>
      <c r="I452" s="627"/>
      <c r="R452" s="139"/>
      <c r="S452" s="139"/>
      <c r="BR452" s="647"/>
      <c r="BS452" s="647"/>
      <c r="BU452" s="647"/>
      <c r="BV452" s="139"/>
      <c r="BW452" s="139"/>
      <c r="BX452" s="139"/>
      <c r="BY452" s="139"/>
      <c r="BZ452" s="139"/>
      <c r="CA452" s="781"/>
      <c r="DY452" s="634"/>
      <c r="FZ452" s="647"/>
      <c r="GA452" s="647"/>
    </row>
    <row r="453" spans="6:183">
      <c r="F453" s="1113"/>
      <c r="G453" s="139"/>
      <c r="H453" s="139"/>
      <c r="I453" s="627"/>
      <c r="R453" s="139"/>
      <c r="S453" s="139"/>
      <c r="BR453" s="647"/>
      <c r="BS453" s="647"/>
      <c r="BU453" s="647"/>
      <c r="BV453" s="139"/>
      <c r="BW453" s="139"/>
      <c r="BX453" s="139"/>
      <c r="BY453" s="139"/>
      <c r="BZ453" s="139"/>
      <c r="CA453" s="781"/>
      <c r="DY453" s="634"/>
      <c r="FZ453" s="647"/>
      <c r="GA453" s="647"/>
    </row>
    <row r="454" spans="6:183">
      <c r="F454" s="1113"/>
      <c r="G454" s="139"/>
      <c r="H454" s="139"/>
      <c r="I454" s="627"/>
      <c r="R454" s="139"/>
      <c r="S454" s="139"/>
      <c r="BR454" s="647"/>
      <c r="BS454" s="647"/>
      <c r="BU454" s="647"/>
      <c r="BV454" s="139"/>
      <c r="BW454" s="139"/>
      <c r="BX454" s="139"/>
      <c r="BY454" s="139"/>
      <c r="BZ454" s="139"/>
      <c r="CA454" s="781"/>
      <c r="DY454" s="634"/>
      <c r="FZ454" s="647"/>
      <c r="GA454" s="647"/>
    </row>
    <row r="455" spans="6:183">
      <c r="F455" s="1113"/>
      <c r="G455" s="139"/>
      <c r="H455" s="139"/>
      <c r="I455" s="627"/>
      <c r="R455" s="139"/>
      <c r="S455" s="139"/>
      <c r="BR455" s="647"/>
      <c r="BS455" s="647"/>
      <c r="BU455" s="647"/>
      <c r="BV455" s="139"/>
      <c r="BW455" s="139"/>
      <c r="BX455" s="139"/>
      <c r="BY455" s="139"/>
      <c r="BZ455" s="139"/>
      <c r="CA455" s="781"/>
      <c r="DY455" s="634"/>
      <c r="FZ455" s="647"/>
      <c r="GA455" s="647"/>
    </row>
    <row r="456" spans="6:183">
      <c r="F456" s="1113"/>
      <c r="G456" s="139"/>
      <c r="H456" s="139"/>
      <c r="I456" s="627"/>
      <c r="R456" s="139"/>
      <c r="S456" s="139"/>
      <c r="BR456" s="647"/>
      <c r="BS456" s="647"/>
      <c r="BU456" s="647"/>
      <c r="BV456" s="139"/>
      <c r="BW456" s="139"/>
      <c r="BX456" s="139"/>
      <c r="BY456" s="139"/>
      <c r="BZ456" s="139"/>
      <c r="CA456" s="781"/>
      <c r="DY456" s="634"/>
      <c r="FZ456" s="647"/>
      <c r="GA456" s="647"/>
    </row>
    <row r="457" spans="6:183">
      <c r="F457" s="1113"/>
      <c r="G457" s="139"/>
      <c r="H457" s="139"/>
      <c r="I457" s="627"/>
      <c r="R457" s="139"/>
      <c r="S457" s="139"/>
      <c r="BR457" s="647"/>
      <c r="BS457" s="647"/>
      <c r="BU457" s="647"/>
      <c r="BV457" s="139"/>
      <c r="BW457" s="139"/>
      <c r="BX457" s="139"/>
      <c r="BY457" s="139"/>
      <c r="BZ457" s="139"/>
      <c r="CA457" s="781"/>
      <c r="DY457" s="634"/>
      <c r="FZ457" s="647"/>
      <c r="GA457" s="647"/>
    </row>
    <row r="458" spans="6:183">
      <c r="F458" s="1113"/>
      <c r="G458" s="139"/>
      <c r="H458" s="139"/>
      <c r="I458" s="627"/>
      <c r="R458" s="139"/>
      <c r="S458" s="139"/>
      <c r="BR458" s="647"/>
      <c r="BS458" s="647"/>
      <c r="BU458" s="647"/>
      <c r="BV458" s="139"/>
      <c r="BW458" s="139"/>
      <c r="BX458" s="139"/>
      <c r="BY458" s="139"/>
      <c r="BZ458" s="139"/>
      <c r="CA458" s="781"/>
      <c r="DY458" s="634"/>
      <c r="FZ458" s="647"/>
      <c r="GA458" s="647"/>
    </row>
    <row r="459" spans="6:183">
      <c r="F459" s="1113"/>
      <c r="G459" s="139"/>
      <c r="H459" s="139"/>
      <c r="I459" s="627"/>
      <c r="R459" s="139"/>
      <c r="S459" s="139"/>
      <c r="BR459" s="647"/>
      <c r="BS459" s="647"/>
      <c r="BU459" s="647"/>
      <c r="BV459" s="139"/>
      <c r="BW459" s="139"/>
      <c r="BX459" s="139"/>
      <c r="BY459" s="139"/>
      <c r="BZ459" s="139"/>
      <c r="CA459" s="781"/>
      <c r="DY459" s="634"/>
      <c r="FZ459" s="647"/>
      <c r="GA459" s="647"/>
    </row>
    <row r="460" spans="6:183">
      <c r="F460" s="1113"/>
      <c r="G460" s="139"/>
      <c r="H460" s="139"/>
      <c r="I460" s="627"/>
      <c r="R460" s="139"/>
      <c r="S460" s="139"/>
      <c r="BR460" s="647"/>
      <c r="BS460" s="647"/>
      <c r="BU460" s="647"/>
      <c r="BV460" s="139"/>
      <c r="BW460" s="139"/>
      <c r="BX460" s="139"/>
      <c r="BY460" s="139"/>
      <c r="BZ460" s="139"/>
      <c r="CA460" s="781"/>
      <c r="DY460" s="634"/>
      <c r="FZ460" s="647"/>
      <c r="GA460" s="647"/>
    </row>
    <row r="461" spans="6:183">
      <c r="F461" s="1113"/>
      <c r="G461" s="139"/>
      <c r="H461" s="139"/>
      <c r="I461" s="627"/>
      <c r="R461" s="139"/>
      <c r="S461" s="139"/>
      <c r="BR461" s="647"/>
      <c r="BS461" s="647"/>
      <c r="BU461" s="647"/>
      <c r="BV461" s="139"/>
      <c r="BW461" s="139"/>
      <c r="BX461" s="139"/>
      <c r="BY461" s="139"/>
      <c r="BZ461" s="139"/>
      <c r="CA461" s="781"/>
      <c r="DY461" s="634"/>
      <c r="FZ461" s="647"/>
      <c r="GA461" s="647"/>
    </row>
    <row r="462" spans="6:183">
      <c r="F462" s="1113"/>
      <c r="G462" s="139"/>
      <c r="H462" s="139"/>
      <c r="I462" s="627"/>
      <c r="R462" s="139"/>
      <c r="S462" s="139"/>
      <c r="BR462" s="647"/>
      <c r="BS462" s="647"/>
      <c r="BU462" s="647"/>
      <c r="BV462" s="139"/>
      <c r="BW462" s="139"/>
      <c r="BX462" s="139"/>
      <c r="BY462" s="139"/>
      <c r="BZ462" s="139"/>
      <c r="CA462" s="781"/>
      <c r="DY462" s="634"/>
      <c r="FZ462" s="647"/>
      <c r="GA462" s="647"/>
    </row>
    <row r="463" spans="6:183">
      <c r="F463" s="1113"/>
      <c r="G463" s="139"/>
      <c r="H463" s="139"/>
      <c r="I463" s="627"/>
      <c r="R463" s="139"/>
      <c r="S463" s="139"/>
      <c r="BR463" s="647"/>
      <c r="BS463" s="647"/>
      <c r="BU463" s="647"/>
      <c r="BV463" s="139"/>
      <c r="BW463" s="139"/>
      <c r="BX463" s="139"/>
      <c r="BY463" s="139"/>
      <c r="BZ463" s="139"/>
      <c r="CA463" s="781"/>
      <c r="DY463" s="634"/>
      <c r="FZ463" s="647"/>
      <c r="GA463" s="647"/>
    </row>
    <row r="464" spans="6:183">
      <c r="F464" s="1113"/>
      <c r="G464" s="139"/>
      <c r="H464" s="139"/>
      <c r="I464" s="627"/>
      <c r="R464" s="139"/>
      <c r="S464" s="139"/>
      <c r="BR464" s="647"/>
      <c r="BS464" s="647"/>
      <c r="BU464" s="647"/>
      <c r="BV464" s="139"/>
      <c r="BW464" s="139"/>
      <c r="BX464" s="139"/>
      <c r="BY464" s="139"/>
      <c r="BZ464" s="139"/>
      <c r="CA464" s="781"/>
      <c r="DY464" s="634"/>
      <c r="FZ464" s="647"/>
      <c r="GA464" s="647"/>
    </row>
    <row r="465" spans="6:183">
      <c r="F465" s="1113"/>
      <c r="G465" s="139"/>
      <c r="H465" s="139"/>
      <c r="I465" s="627"/>
      <c r="R465" s="139"/>
      <c r="S465" s="139"/>
      <c r="BR465" s="647"/>
      <c r="BS465" s="647"/>
      <c r="BU465" s="647"/>
      <c r="BV465" s="139"/>
      <c r="BW465" s="139"/>
      <c r="BX465" s="139"/>
      <c r="BY465" s="139"/>
      <c r="BZ465" s="139"/>
      <c r="CA465" s="781"/>
      <c r="DY465" s="634"/>
      <c r="FZ465" s="647"/>
      <c r="GA465" s="647"/>
    </row>
    <row r="466" spans="6:183">
      <c r="F466" s="1113"/>
      <c r="G466" s="139"/>
      <c r="H466" s="139"/>
      <c r="I466" s="627"/>
      <c r="R466" s="139"/>
      <c r="S466" s="139"/>
      <c r="BR466" s="647"/>
      <c r="BS466" s="647"/>
      <c r="BU466" s="647"/>
      <c r="BV466" s="139"/>
      <c r="BX466" s="139"/>
      <c r="BY466" s="139"/>
      <c r="BZ466" s="139"/>
      <c r="CA466" s="781"/>
      <c r="DY466" s="634"/>
      <c r="FZ466" s="647"/>
      <c r="GA466" s="647"/>
    </row>
    <row r="467" spans="6:183">
      <c r="F467" s="1113"/>
      <c r="G467" s="139"/>
      <c r="H467" s="139"/>
      <c r="I467" s="627"/>
      <c r="R467" s="139"/>
      <c r="S467" s="139"/>
      <c r="BR467" s="647"/>
      <c r="BS467" s="647"/>
      <c r="BU467" s="647"/>
      <c r="BV467" s="139"/>
      <c r="BX467" s="139"/>
      <c r="BY467" s="139"/>
      <c r="BZ467" s="139"/>
      <c r="CA467" s="781"/>
      <c r="DY467" s="634"/>
      <c r="FZ467" s="647"/>
      <c r="GA467" s="647"/>
    </row>
    <row r="468" spans="6:183">
      <c r="F468" s="1113"/>
      <c r="G468" s="139"/>
      <c r="H468" s="139"/>
      <c r="I468" s="627"/>
      <c r="R468" s="139"/>
      <c r="S468" s="139"/>
      <c r="BR468" s="647"/>
      <c r="BS468" s="647"/>
      <c r="BU468" s="647"/>
      <c r="BV468" s="139"/>
      <c r="BX468" s="139"/>
      <c r="BY468" s="139"/>
      <c r="BZ468" s="139"/>
      <c r="CA468" s="781"/>
      <c r="DY468" s="634"/>
      <c r="FZ468" s="647"/>
      <c r="GA468" s="647"/>
    </row>
    <row r="469" spans="6:183">
      <c r="F469" s="1113"/>
      <c r="G469" s="139"/>
      <c r="H469" s="139"/>
      <c r="I469" s="627"/>
      <c r="R469" s="139"/>
      <c r="S469" s="139"/>
      <c r="BR469" s="647"/>
      <c r="BS469" s="647"/>
      <c r="BU469" s="647"/>
      <c r="BV469" s="139"/>
      <c r="BX469" s="139"/>
      <c r="BY469" s="139"/>
      <c r="BZ469" s="139"/>
      <c r="CA469" s="781"/>
      <c r="DY469" s="634"/>
      <c r="FZ469" s="647"/>
      <c r="GA469" s="647"/>
    </row>
    <row r="470" spans="6:183">
      <c r="F470" s="1113"/>
      <c r="G470" s="139"/>
      <c r="H470" s="139"/>
      <c r="I470" s="627"/>
      <c r="R470" s="139"/>
      <c r="S470" s="139"/>
      <c r="BR470" s="647"/>
      <c r="BS470" s="647"/>
      <c r="BU470" s="647"/>
      <c r="BV470" s="139"/>
      <c r="BX470" s="139"/>
      <c r="BY470" s="139"/>
      <c r="BZ470" s="139"/>
      <c r="CA470" s="781"/>
      <c r="DY470" s="634"/>
      <c r="FZ470" s="647"/>
      <c r="GA470" s="647"/>
    </row>
    <row r="471" spans="6:183">
      <c r="F471" s="1113"/>
      <c r="G471" s="139"/>
      <c r="H471" s="139"/>
      <c r="I471" s="627"/>
      <c r="R471" s="139"/>
      <c r="S471" s="139"/>
      <c r="BR471" s="647"/>
      <c r="BS471" s="647"/>
      <c r="BU471" s="647"/>
      <c r="BV471" s="139"/>
      <c r="BX471" s="139"/>
      <c r="BY471" s="139"/>
      <c r="BZ471" s="139"/>
      <c r="CA471" s="781"/>
      <c r="DY471" s="634"/>
      <c r="FZ471" s="647"/>
      <c r="GA471" s="647"/>
    </row>
    <row r="472" spans="6:183">
      <c r="F472" s="1113"/>
      <c r="G472" s="139"/>
      <c r="H472" s="139"/>
      <c r="I472" s="627"/>
      <c r="R472" s="139"/>
      <c r="S472" s="139"/>
      <c r="BR472" s="647"/>
      <c r="BS472" s="647"/>
      <c r="BU472" s="647"/>
      <c r="BV472" s="139"/>
      <c r="BX472" s="139"/>
      <c r="BY472" s="139"/>
      <c r="BZ472" s="139"/>
      <c r="CA472" s="781"/>
      <c r="DY472" s="634"/>
      <c r="FZ472" s="647"/>
      <c r="GA472" s="647"/>
    </row>
    <row r="473" spans="6:183">
      <c r="F473" s="1113"/>
      <c r="G473" s="139"/>
      <c r="H473" s="139"/>
      <c r="I473" s="627"/>
      <c r="R473" s="139"/>
      <c r="S473" s="139"/>
      <c r="BR473" s="647"/>
      <c r="BS473" s="647"/>
      <c r="BU473" s="647"/>
      <c r="BV473" s="139"/>
      <c r="BX473" s="139"/>
      <c r="BY473" s="139"/>
      <c r="BZ473" s="139"/>
      <c r="CA473" s="781"/>
      <c r="DY473" s="634"/>
      <c r="FZ473" s="647"/>
      <c r="GA473" s="647"/>
    </row>
    <row r="474" spans="6:183">
      <c r="F474" s="1113"/>
      <c r="G474" s="139"/>
      <c r="H474" s="139"/>
      <c r="I474" s="627"/>
      <c r="R474" s="139"/>
      <c r="S474" s="139"/>
      <c r="BR474" s="647"/>
      <c r="BS474" s="647"/>
      <c r="BU474" s="647"/>
      <c r="BV474" s="139"/>
      <c r="BX474" s="139"/>
      <c r="BY474" s="139"/>
      <c r="BZ474" s="139"/>
      <c r="CA474" s="781"/>
      <c r="DY474" s="634"/>
      <c r="FZ474" s="647"/>
      <c r="GA474" s="647"/>
    </row>
    <row r="475" spans="6:183">
      <c r="F475" s="1113"/>
      <c r="G475" s="139"/>
      <c r="H475" s="139"/>
      <c r="I475" s="627"/>
      <c r="R475" s="139"/>
      <c r="S475" s="139"/>
      <c r="BR475" s="647"/>
      <c r="BS475" s="647"/>
      <c r="BU475" s="647"/>
      <c r="BV475" s="139"/>
      <c r="BX475" s="139"/>
      <c r="BY475" s="139"/>
      <c r="BZ475" s="139"/>
      <c r="CA475" s="781"/>
      <c r="DY475" s="634"/>
      <c r="FZ475" s="647"/>
      <c r="GA475" s="647"/>
    </row>
    <row r="476" spans="6:183">
      <c r="F476" s="1113"/>
      <c r="G476" s="139"/>
      <c r="H476" s="139"/>
      <c r="I476" s="627"/>
      <c r="R476" s="139"/>
      <c r="S476" s="139"/>
      <c r="BR476" s="647"/>
      <c r="BS476" s="647"/>
      <c r="BU476" s="647"/>
      <c r="BV476" s="139"/>
      <c r="BX476" s="139"/>
      <c r="BY476" s="139"/>
      <c r="BZ476" s="139"/>
      <c r="CA476" s="781"/>
      <c r="DY476" s="634"/>
      <c r="FZ476" s="647"/>
      <c r="GA476" s="647"/>
    </row>
    <row r="477" spans="6:183">
      <c r="F477" s="1113"/>
      <c r="G477" s="139"/>
      <c r="H477" s="139"/>
      <c r="I477" s="627"/>
      <c r="R477" s="139"/>
      <c r="S477" s="139"/>
      <c r="BR477" s="647"/>
      <c r="BS477" s="647"/>
      <c r="BU477" s="647"/>
      <c r="BV477" s="139"/>
      <c r="BX477" s="139"/>
      <c r="BY477" s="139"/>
      <c r="BZ477" s="139"/>
      <c r="CA477" s="781"/>
      <c r="DY477" s="634"/>
      <c r="FZ477" s="647"/>
      <c r="GA477" s="647"/>
    </row>
    <row r="478" spans="6:183">
      <c r="F478" s="1113"/>
      <c r="G478" s="139"/>
      <c r="H478" s="139"/>
      <c r="I478" s="627"/>
      <c r="R478" s="139"/>
      <c r="S478" s="139"/>
      <c r="BR478" s="647"/>
      <c r="BS478" s="647"/>
      <c r="BU478" s="647"/>
      <c r="BV478" s="139"/>
      <c r="BX478" s="139"/>
      <c r="BY478" s="139"/>
      <c r="BZ478" s="139"/>
      <c r="CA478" s="781"/>
      <c r="DY478" s="634"/>
      <c r="FZ478" s="647"/>
      <c r="GA478" s="647"/>
    </row>
    <row r="479" spans="6:183">
      <c r="F479" s="1113"/>
      <c r="G479" s="139"/>
      <c r="H479" s="139"/>
      <c r="I479" s="627"/>
      <c r="R479" s="139"/>
      <c r="S479" s="139"/>
      <c r="BR479" s="647"/>
      <c r="BS479" s="647"/>
      <c r="BU479" s="647"/>
      <c r="BV479" s="139"/>
      <c r="BX479" s="139"/>
      <c r="BY479" s="139"/>
      <c r="BZ479" s="139"/>
      <c r="CA479" s="781"/>
      <c r="DY479" s="634"/>
      <c r="FZ479" s="647"/>
      <c r="GA479" s="647"/>
    </row>
    <row r="480" spans="6:183">
      <c r="F480" s="1113"/>
      <c r="G480" s="139"/>
      <c r="H480" s="139"/>
      <c r="I480" s="627"/>
      <c r="R480" s="139"/>
      <c r="S480" s="139"/>
      <c r="BR480" s="647"/>
      <c r="BS480" s="647"/>
      <c r="BU480" s="647"/>
      <c r="BV480" s="139"/>
      <c r="BX480" s="139"/>
      <c r="BY480" s="139"/>
      <c r="BZ480" s="139"/>
      <c r="CA480" s="781"/>
      <c r="DY480" s="634"/>
      <c r="FZ480" s="647"/>
      <c r="GA480" s="647"/>
    </row>
    <row r="481" spans="6:183">
      <c r="F481" s="1113"/>
      <c r="G481" s="139"/>
      <c r="H481" s="139"/>
      <c r="I481" s="627"/>
      <c r="R481" s="139"/>
      <c r="S481" s="139"/>
      <c r="BR481" s="647"/>
      <c r="BS481" s="647"/>
      <c r="BU481" s="647"/>
      <c r="BV481" s="139"/>
      <c r="BX481" s="139"/>
      <c r="BY481" s="139"/>
      <c r="BZ481" s="139"/>
      <c r="CA481" s="781"/>
      <c r="DY481" s="634"/>
      <c r="FZ481" s="647"/>
      <c r="GA481" s="647"/>
    </row>
    <row r="482" spans="6:183">
      <c r="F482" s="1113"/>
      <c r="G482" s="139"/>
      <c r="H482" s="139"/>
      <c r="I482" s="627"/>
      <c r="R482" s="139"/>
      <c r="S482" s="139"/>
      <c r="BR482" s="647"/>
      <c r="BS482" s="647"/>
      <c r="BU482" s="647"/>
      <c r="BV482" s="139"/>
      <c r="BX482" s="139"/>
      <c r="BY482" s="139"/>
      <c r="BZ482" s="139"/>
      <c r="CA482" s="781"/>
      <c r="DY482" s="634"/>
      <c r="FZ482" s="647"/>
      <c r="GA482" s="647"/>
    </row>
    <row r="483" spans="6:183">
      <c r="F483" s="1113"/>
      <c r="G483" s="139"/>
      <c r="H483" s="139"/>
      <c r="I483" s="627"/>
      <c r="R483" s="139"/>
      <c r="S483" s="139"/>
      <c r="BR483" s="647"/>
      <c r="BS483" s="647"/>
      <c r="BU483" s="647"/>
      <c r="BV483" s="139"/>
      <c r="BX483" s="139"/>
      <c r="BY483" s="139"/>
      <c r="BZ483" s="139"/>
      <c r="CA483" s="781"/>
      <c r="DY483" s="634"/>
      <c r="FZ483" s="647"/>
      <c r="GA483" s="647"/>
    </row>
    <row r="484" spans="6:183">
      <c r="F484" s="1113"/>
      <c r="G484" s="139"/>
      <c r="H484" s="139"/>
      <c r="I484" s="627"/>
      <c r="R484" s="139"/>
      <c r="S484" s="139"/>
      <c r="BR484" s="647"/>
      <c r="BS484" s="647"/>
      <c r="BU484" s="647"/>
      <c r="BV484" s="139"/>
      <c r="BX484" s="139"/>
      <c r="BY484" s="139"/>
      <c r="BZ484" s="139"/>
      <c r="CA484" s="781"/>
      <c r="DY484" s="634"/>
      <c r="FZ484" s="647"/>
      <c r="GA484" s="647"/>
    </row>
    <row r="485" spans="6:183">
      <c r="F485" s="1113"/>
      <c r="G485" s="139"/>
      <c r="H485" s="139"/>
      <c r="I485" s="627"/>
      <c r="R485" s="139"/>
      <c r="S485" s="139"/>
      <c r="BR485" s="647"/>
      <c r="BS485" s="647"/>
      <c r="BU485" s="647"/>
      <c r="BV485" s="139"/>
      <c r="BX485" s="139"/>
      <c r="BY485" s="139"/>
      <c r="BZ485" s="139"/>
      <c r="CA485" s="781"/>
      <c r="DY485" s="634"/>
      <c r="FZ485" s="647"/>
      <c r="GA485" s="647"/>
    </row>
    <row r="486" spans="6:183">
      <c r="F486" s="1113"/>
      <c r="G486" s="139"/>
      <c r="H486" s="139"/>
      <c r="I486" s="627"/>
      <c r="R486" s="139"/>
      <c r="S486" s="139"/>
      <c r="BR486" s="647"/>
      <c r="BS486" s="647"/>
      <c r="BU486" s="647"/>
      <c r="BV486" s="139"/>
      <c r="BX486" s="139"/>
      <c r="BY486" s="139"/>
      <c r="BZ486" s="139"/>
      <c r="CA486" s="781"/>
      <c r="DY486" s="634"/>
      <c r="FZ486" s="647"/>
      <c r="GA486" s="647"/>
    </row>
    <row r="487" spans="6:183">
      <c r="F487" s="1113"/>
      <c r="G487" s="139"/>
      <c r="H487" s="139"/>
      <c r="I487" s="627"/>
      <c r="R487" s="139"/>
      <c r="S487" s="139"/>
      <c r="BR487" s="647"/>
      <c r="BS487" s="647"/>
      <c r="BU487" s="647"/>
      <c r="BV487" s="139"/>
      <c r="BX487" s="139"/>
      <c r="BY487" s="139"/>
      <c r="BZ487" s="139"/>
      <c r="CA487" s="781"/>
      <c r="DY487" s="634"/>
      <c r="FZ487" s="647"/>
      <c r="GA487" s="647"/>
    </row>
    <row r="488" spans="6:183">
      <c r="F488" s="1113"/>
      <c r="G488" s="139"/>
      <c r="H488" s="139"/>
      <c r="I488" s="627"/>
      <c r="R488" s="139"/>
      <c r="S488" s="139"/>
      <c r="BR488" s="647"/>
      <c r="BS488" s="647"/>
      <c r="BU488" s="647"/>
      <c r="BV488" s="139"/>
      <c r="BX488" s="139"/>
      <c r="BY488" s="139"/>
      <c r="BZ488" s="139"/>
      <c r="CA488" s="781"/>
      <c r="DY488" s="634"/>
      <c r="FZ488" s="647"/>
      <c r="GA488" s="647"/>
    </row>
    <row r="489" spans="6:183">
      <c r="F489" s="1113"/>
      <c r="G489" s="139"/>
      <c r="H489" s="139"/>
      <c r="I489" s="627"/>
      <c r="R489" s="139"/>
      <c r="S489" s="139"/>
      <c r="BR489" s="647"/>
      <c r="BS489" s="647"/>
      <c r="BU489" s="647"/>
      <c r="BV489" s="139"/>
      <c r="BX489" s="139"/>
      <c r="BY489" s="139"/>
      <c r="BZ489" s="139"/>
      <c r="CA489" s="781"/>
      <c r="DY489" s="634"/>
      <c r="FZ489" s="647"/>
      <c r="GA489" s="647"/>
    </row>
    <row r="490" spans="6:183">
      <c r="F490" s="1113"/>
      <c r="G490" s="139"/>
      <c r="H490" s="139"/>
      <c r="I490" s="627"/>
      <c r="R490" s="139"/>
      <c r="S490" s="139"/>
      <c r="BR490" s="647"/>
      <c r="BS490" s="647"/>
      <c r="BU490" s="647"/>
      <c r="BV490" s="139"/>
      <c r="BX490" s="139"/>
      <c r="BY490" s="139"/>
      <c r="BZ490" s="139"/>
      <c r="CA490" s="781"/>
      <c r="DY490" s="634"/>
      <c r="FZ490" s="647"/>
      <c r="GA490" s="647"/>
    </row>
    <row r="491" spans="6:183">
      <c r="F491" s="1113"/>
      <c r="G491" s="139"/>
      <c r="H491" s="139"/>
      <c r="I491" s="627"/>
      <c r="R491" s="139"/>
      <c r="S491" s="139"/>
      <c r="BR491" s="647"/>
      <c r="BS491" s="647"/>
      <c r="BU491" s="647"/>
      <c r="BV491" s="139"/>
      <c r="BX491" s="139"/>
      <c r="BY491" s="139"/>
      <c r="BZ491" s="139"/>
      <c r="CA491" s="781"/>
      <c r="DY491" s="634"/>
      <c r="FZ491" s="647"/>
      <c r="GA491" s="647"/>
    </row>
    <row r="492" spans="6:183">
      <c r="F492" s="1113"/>
      <c r="G492" s="139"/>
      <c r="H492" s="139"/>
      <c r="I492" s="627"/>
      <c r="R492" s="139"/>
      <c r="S492" s="139"/>
      <c r="BR492" s="647"/>
      <c r="BS492" s="647"/>
      <c r="BU492" s="647"/>
      <c r="BV492" s="139"/>
      <c r="BX492" s="139"/>
      <c r="BY492" s="139"/>
      <c r="BZ492" s="139"/>
      <c r="CA492" s="781"/>
      <c r="DY492" s="634"/>
      <c r="FZ492" s="647"/>
      <c r="GA492" s="647"/>
    </row>
    <row r="493" spans="6:183">
      <c r="F493" s="1113"/>
      <c r="G493" s="139"/>
      <c r="H493" s="139"/>
      <c r="I493" s="627"/>
      <c r="R493" s="139"/>
      <c r="S493" s="139"/>
      <c r="BR493" s="647"/>
      <c r="BS493" s="647"/>
      <c r="BU493" s="647"/>
      <c r="BV493" s="139"/>
      <c r="BX493" s="139"/>
      <c r="BY493" s="139"/>
      <c r="BZ493" s="139"/>
      <c r="CA493" s="781"/>
      <c r="DY493" s="634"/>
      <c r="FZ493" s="647"/>
      <c r="GA493" s="647"/>
    </row>
    <row r="494" spans="6:183">
      <c r="F494" s="1113"/>
      <c r="G494" s="139"/>
      <c r="H494" s="139"/>
      <c r="I494" s="627"/>
      <c r="R494" s="139"/>
      <c r="S494" s="139"/>
      <c r="BR494" s="647"/>
      <c r="BS494" s="647"/>
      <c r="BU494" s="647"/>
      <c r="BV494" s="139"/>
      <c r="BX494" s="139"/>
      <c r="BY494" s="139"/>
      <c r="BZ494" s="139"/>
      <c r="CA494" s="781"/>
      <c r="DY494" s="634"/>
      <c r="FZ494" s="647"/>
      <c r="GA494" s="647"/>
    </row>
    <row r="495" spans="6:183">
      <c r="F495" s="1113"/>
      <c r="G495" s="139"/>
      <c r="H495" s="139"/>
      <c r="I495" s="627"/>
      <c r="R495" s="139"/>
      <c r="S495" s="139"/>
      <c r="BR495" s="647"/>
      <c r="BS495" s="647"/>
      <c r="BU495" s="647"/>
      <c r="BV495" s="139"/>
      <c r="BX495" s="139"/>
      <c r="BY495" s="139"/>
      <c r="BZ495" s="139"/>
      <c r="CA495" s="781"/>
      <c r="DY495" s="634"/>
      <c r="FZ495" s="647"/>
      <c r="GA495" s="647"/>
    </row>
    <row r="496" spans="6:183">
      <c r="F496" s="1113"/>
      <c r="G496" s="139"/>
      <c r="H496" s="139"/>
      <c r="I496" s="627"/>
      <c r="R496" s="139"/>
      <c r="S496" s="139"/>
      <c r="BR496" s="647"/>
      <c r="BS496" s="647"/>
      <c r="BU496" s="647"/>
      <c r="BV496" s="139"/>
      <c r="BX496" s="139"/>
      <c r="BY496" s="139"/>
      <c r="BZ496" s="139"/>
      <c r="CA496" s="781"/>
      <c r="DY496" s="634"/>
      <c r="FZ496" s="647"/>
      <c r="GA496" s="647"/>
    </row>
    <row r="497" spans="6:183">
      <c r="F497" s="1113"/>
      <c r="G497" s="139"/>
      <c r="H497" s="139"/>
      <c r="I497" s="627"/>
      <c r="R497" s="139"/>
      <c r="S497" s="139"/>
      <c r="BR497" s="647"/>
      <c r="BS497" s="647"/>
      <c r="BU497" s="647"/>
      <c r="BV497" s="139"/>
      <c r="BX497" s="139"/>
      <c r="BY497" s="139"/>
      <c r="BZ497" s="139"/>
      <c r="CA497" s="781"/>
      <c r="DY497" s="634"/>
      <c r="FZ497" s="647"/>
      <c r="GA497" s="647"/>
    </row>
    <row r="498" spans="6:183">
      <c r="F498" s="1113"/>
      <c r="G498" s="139"/>
      <c r="H498" s="139"/>
      <c r="I498" s="627"/>
      <c r="R498" s="139"/>
      <c r="S498" s="139"/>
      <c r="BR498" s="647"/>
      <c r="BS498" s="647"/>
      <c r="BU498" s="647"/>
      <c r="BV498" s="139"/>
      <c r="BX498" s="139"/>
      <c r="BY498" s="139"/>
      <c r="BZ498" s="139"/>
      <c r="CA498" s="781"/>
      <c r="DY498" s="634"/>
      <c r="FZ498" s="647"/>
      <c r="GA498" s="647"/>
    </row>
    <row r="499" spans="6:183">
      <c r="F499" s="1113"/>
      <c r="G499" s="139"/>
      <c r="H499" s="139"/>
      <c r="I499" s="627"/>
      <c r="R499" s="139"/>
      <c r="S499" s="139"/>
      <c r="BR499" s="647"/>
      <c r="BS499" s="647"/>
      <c r="BU499" s="647"/>
      <c r="BV499" s="139"/>
      <c r="BX499" s="139"/>
      <c r="BY499" s="139"/>
      <c r="BZ499" s="139"/>
      <c r="CA499" s="781"/>
      <c r="DY499" s="634"/>
      <c r="FZ499" s="647"/>
      <c r="GA499" s="647"/>
    </row>
    <row r="500" spans="6:183">
      <c r="F500" s="1113"/>
      <c r="G500" s="139"/>
      <c r="H500" s="139"/>
      <c r="I500" s="627"/>
      <c r="R500" s="139"/>
      <c r="S500" s="139"/>
      <c r="BR500" s="647"/>
      <c r="BS500" s="647"/>
      <c r="BU500" s="647"/>
      <c r="BV500" s="139"/>
      <c r="BX500" s="139"/>
      <c r="BY500" s="139"/>
      <c r="BZ500" s="139"/>
      <c r="CA500" s="781"/>
      <c r="DY500" s="634"/>
      <c r="FZ500" s="647"/>
      <c r="GA500" s="647"/>
    </row>
    <row r="501" spans="6:183">
      <c r="F501" s="1113"/>
      <c r="G501" s="139"/>
      <c r="H501" s="139"/>
      <c r="I501" s="627"/>
      <c r="R501" s="139"/>
      <c r="S501" s="139"/>
      <c r="BR501" s="647"/>
      <c r="BS501" s="647"/>
      <c r="BU501" s="647"/>
      <c r="BV501" s="139"/>
      <c r="BX501" s="139"/>
      <c r="BY501" s="139"/>
      <c r="BZ501" s="139"/>
      <c r="CA501" s="781"/>
      <c r="DY501" s="634"/>
      <c r="FZ501" s="647"/>
      <c r="GA501" s="647"/>
    </row>
    <row r="502" spans="6:183">
      <c r="F502" s="1113"/>
      <c r="G502" s="139"/>
      <c r="H502" s="139"/>
      <c r="I502" s="627"/>
      <c r="R502" s="139"/>
      <c r="S502" s="139"/>
      <c r="BR502" s="647"/>
      <c r="BS502" s="647"/>
      <c r="BU502" s="647"/>
      <c r="BV502" s="139"/>
      <c r="BX502" s="139"/>
      <c r="BY502" s="139"/>
      <c r="BZ502" s="139"/>
      <c r="CA502" s="781"/>
      <c r="DY502" s="634"/>
      <c r="FZ502" s="647"/>
      <c r="GA502" s="647"/>
    </row>
    <row r="503" spans="6:183">
      <c r="F503" s="1113"/>
      <c r="G503" s="139"/>
      <c r="H503" s="139"/>
      <c r="I503" s="627"/>
      <c r="R503" s="139"/>
      <c r="S503" s="139"/>
      <c r="BR503" s="647"/>
      <c r="BS503" s="647"/>
      <c r="BU503" s="647"/>
      <c r="BV503" s="139"/>
      <c r="BX503" s="139"/>
      <c r="BY503" s="139"/>
      <c r="BZ503" s="139"/>
      <c r="CA503" s="781"/>
      <c r="DY503" s="634"/>
      <c r="FZ503" s="647"/>
      <c r="GA503" s="647"/>
    </row>
    <row r="504" spans="6:183">
      <c r="F504" s="1113"/>
      <c r="G504" s="139"/>
      <c r="H504" s="139"/>
      <c r="I504" s="627"/>
      <c r="R504" s="139"/>
      <c r="S504" s="139"/>
      <c r="BR504" s="647"/>
      <c r="BS504" s="647"/>
      <c r="BU504" s="647"/>
      <c r="BV504" s="139"/>
      <c r="BX504" s="139"/>
      <c r="BY504" s="139"/>
      <c r="BZ504" s="139"/>
      <c r="CA504" s="781"/>
      <c r="DY504" s="634"/>
      <c r="FZ504" s="647"/>
      <c r="GA504" s="647"/>
    </row>
    <row r="505" spans="6:183">
      <c r="F505" s="1113"/>
      <c r="G505" s="139"/>
      <c r="H505" s="139"/>
      <c r="I505" s="627"/>
      <c r="R505" s="139"/>
      <c r="S505" s="139"/>
      <c r="BR505" s="647"/>
      <c r="BS505" s="647"/>
      <c r="BU505" s="647"/>
      <c r="BV505" s="139"/>
      <c r="BX505" s="139"/>
      <c r="BY505" s="139"/>
      <c r="BZ505" s="139"/>
      <c r="CA505" s="781"/>
      <c r="DY505" s="634"/>
      <c r="FZ505" s="647"/>
      <c r="GA505" s="647"/>
    </row>
    <row r="506" spans="6:183">
      <c r="F506" s="1113"/>
      <c r="G506" s="139"/>
      <c r="H506" s="139"/>
      <c r="I506" s="627"/>
      <c r="R506" s="139"/>
      <c r="S506" s="139"/>
      <c r="BR506" s="647"/>
      <c r="BS506" s="647"/>
      <c r="BU506" s="647"/>
      <c r="BV506" s="139"/>
      <c r="BX506" s="139"/>
      <c r="BY506" s="139"/>
      <c r="BZ506" s="139"/>
      <c r="CA506" s="781"/>
      <c r="DY506" s="634"/>
      <c r="FZ506" s="647"/>
      <c r="GA506" s="647"/>
    </row>
    <row r="507" spans="6:183">
      <c r="F507" s="1113"/>
      <c r="G507" s="139"/>
      <c r="H507" s="139"/>
      <c r="I507" s="627"/>
      <c r="R507" s="139"/>
      <c r="S507" s="139"/>
      <c r="BR507" s="647"/>
      <c r="BS507" s="647"/>
      <c r="BU507" s="647"/>
      <c r="BV507" s="139"/>
      <c r="BX507" s="139"/>
      <c r="BY507" s="139"/>
      <c r="BZ507" s="139"/>
      <c r="CA507" s="781"/>
      <c r="DY507" s="634"/>
      <c r="FZ507" s="647"/>
      <c r="GA507" s="647"/>
    </row>
    <row r="508" spans="6:183">
      <c r="F508" s="1113"/>
      <c r="G508" s="139"/>
      <c r="H508" s="139"/>
      <c r="I508" s="627"/>
      <c r="R508" s="139"/>
      <c r="S508" s="139"/>
      <c r="BR508" s="647"/>
      <c r="BS508" s="647"/>
      <c r="BU508" s="647"/>
      <c r="BV508" s="139"/>
      <c r="BX508" s="139"/>
      <c r="BY508" s="139"/>
      <c r="BZ508" s="139"/>
      <c r="CA508" s="781"/>
      <c r="DY508" s="634"/>
      <c r="FZ508" s="647"/>
      <c r="GA508" s="647"/>
    </row>
    <row r="509" spans="6:183">
      <c r="F509" s="1113"/>
      <c r="G509" s="139"/>
      <c r="H509" s="139"/>
      <c r="I509" s="627"/>
      <c r="R509" s="139"/>
      <c r="S509" s="139"/>
      <c r="BR509" s="647"/>
      <c r="BS509" s="647"/>
      <c r="BU509" s="647"/>
      <c r="BV509" s="139"/>
      <c r="BX509" s="139"/>
      <c r="BY509" s="139"/>
      <c r="BZ509" s="139"/>
      <c r="CA509" s="781"/>
      <c r="DY509" s="634"/>
      <c r="FZ509" s="647"/>
      <c r="GA509" s="647"/>
    </row>
    <row r="510" spans="6:183">
      <c r="F510" s="1113"/>
      <c r="G510" s="139"/>
      <c r="H510" s="139"/>
      <c r="I510" s="627"/>
      <c r="R510" s="139"/>
      <c r="S510" s="139"/>
      <c r="BR510" s="647"/>
      <c r="BS510" s="647"/>
      <c r="BU510" s="647"/>
      <c r="BV510" s="139"/>
      <c r="BX510" s="139"/>
      <c r="BY510" s="139"/>
      <c r="BZ510" s="139"/>
      <c r="CA510" s="781"/>
      <c r="DY510" s="634"/>
      <c r="FZ510" s="647"/>
      <c r="GA510" s="647"/>
    </row>
    <row r="511" spans="6:183">
      <c r="F511" s="1113"/>
      <c r="G511" s="139"/>
      <c r="H511" s="139"/>
      <c r="I511" s="627"/>
      <c r="R511" s="139"/>
      <c r="S511" s="139"/>
      <c r="BR511" s="647"/>
      <c r="BS511" s="647"/>
      <c r="BU511" s="647"/>
      <c r="BV511" s="139"/>
      <c r="BX511" s="139"/>
      <c r="BY511" s="139"/>
      <c r="BZ511" s="139"/>
      <c r="CA511" s="781"/>
      <c r="DY511" s="634"/>
      <c r="FZ511" s="647"/>
      <c r="GA511" s="647"/>
    </row>
    <row r="512" spans="6:183">
      <c r="F512" s="1113"/>
      <c r="G512" s="139"/>
      <c r="H512" s="139"/>
      <c r="I512" s="627"/>
      <c r="R512" s="139"/>
      <c r="S512" s="139"/>
      <c r="BR512" s="647"/>
      <c r="BS512" s="647"/>
      <c r="BU512" s="647"/>
      <c r="BV512" s="139"/>
      <c r="BX512" s="139"/>
      <c r="BY512" s="139"/>
      <c r="BZ512" s="139"/>
      <c r="CA512" s="781"/>
      <c r="DY512" s="634"/>
      <c r="FZ512" s="647"/>
      <c r="GA512" s="647"/>
    </row>
    <row r="513" spans="6:183">
      <c r="F513" s="1113"/>
      <c r="G513" s="139"/>
      <c r="H513" s="139"/>
      <c r="I513" s="627"/>
      <c r="R513" s="139"/>
      <c r="S513" s="139"/>
      <c r="BR513" s="647"/>
      <c r="BS513" s="647"/>
      <c r="BU513" s="647"/>
      <c r="BV513" s="139"/>
      <c r="BX513" s="139"/>
      <c r="BY513" s="139"/>
      <c r="BZ513" s="139"/>
      <c r="CA513" s="781"/>
      <c r="DY513" s="634"/>
      <c r="FZ513" s="647"/>
      <c r="GA513" s="647"/>
    </row>
    <row r="514" spans="6:183">
      <c r="F514" s="1113"/>
      <c r="G514" s="139"/>
      <c r="H514" s="139"/>
      <c r="I514" s="627"/>
      <c r="R514" s="139"/>
      <c r="S514" s="139"/>
      <c r="BR514" s="647"/>
      <c r="BS514" s="647"/>
      <c r="BU514" s="647"/>
      <c r="BV514" s="139"/>
      <c r="BX514" s="139"/>
      <c r="BY514" s="139"/>
      <c r="BZ514" s="139"/>
      <c r="CA514" s="781"/>
      <c r="DY514" s="634"/>
      <c r="FZ514" s="647"/>
      <c r="GA514" s="647"/>
    </row>
    <row r="515" spans="6:183">
      <c r="F515" s="1113"/>
      <c r="G515" s="139"/>
      <c r="H515" s="139"/>
      <c r="I515" s="627"/>
      <c r="R515" s="139"/>
      <c r="S515" s="139"/>
      <c r="BR515" s="647"/>
      <c r="BS515" s="647"/>
      <c r="BU515" s="647"/>
      <c r="BV515" s="139"/>
      <c r="BX515" s="139"/>
      <c r="BY515" s="139"/>
      <c r="BZ515" s="139"/>
      <c r="CA515" s="781"/>
      <c r="DY515" s="634"/>
      <c r="FZ515" s="647"/>
      <c r="GA515" s="647"/>
    </row>
    <row r="516" spans="6:183">
      <c r="F516" s="1113"/>
      <c r="G516" s="139"/>
      <c r="H516" s="139"/>
      <c r="I516" s="627"/>
      <c r="R516" s="139"/>
      <c r="S516" s="139"/>
      <c r="BR516" s="647"/>
      <c r="BS516" s="647"/>
      <c r="BU516" s="647"/>
      <c r="BV516" s="139"/>
      <c r="BX516" s="139"/>
      <c r="BY516" s="139"/>
      <c r="BZ516" s="139"/>
      <c r="CA516" s="781"/>
      <c r="DY516" s="634"/>
      <c r="FZ516" s="647"/>
      <c r="GA516" s="647"/>
    </row>
    <row r="517" spans="6:183">
      <c r="F517" s="1113"/>
      <c r="G517" s="139"/>
      <c r="H517" s="139"/>
      <c r="I517" s="627"/>
      <c r="R517" s="139"/>
      <c r="S517" s="139"/>
      <c r="BR517" s="647"/>
      <c r="BS517" s="647"/>
      <c r="BU517" s="647"/>
      <c r="BV517" s="139"/>
      <c r="BX517" s="139"/>
      <c r="BY517" s="139"/>
      <c r="BZ517" s="139"/>
      <c r="CA517" s="781"/>
      <c r="DY517" s="634"/>
      <c r="FZ517" s="647"/>
      <c r="GA517" s="647"/>
    </row>
    <row r="518" spans="6:183">
      <c r="F518" s="1113"/>
      <c r="G518" s="139"/>
      <c r="H518" s="139"/>
      <c r="I518" s="627"/>
      <c r="R518" s="139"/>
      <c r="S518" s="139"/>
      <c r="CA518" s="1125"/>
      <c r="DY518" s="634"/>
      <c r="FZ518" s="647"/>
      <c r="GA518" s="647"/>
    </row>
    <row r="519" spans="6:183">
      <c r="F519" s="1113"/>
      <c r="G519" s="139"/>
      <c r="H519" s="139"/>
      <c r="I519" s="627"/>
      <c r="R519" s="139"/>
      <c r="S519" s="139"/>
      <c r="DY519" s="634"/>
      <c r="FZ519" s="647"/>
      <c r="GA519" s="647"/>
    </row>
    <row r="520" spans="6:183">
      <c r="F520" s="1113"/>
      <c r="G520" s="139"/>
      <c r="H520" s="139"/>
      <c r="I520" s="627"/>
      <c r="R520" s="139"/>
      <c r="S520" s="139"/>
      <c r="DY520" s="634"/>
      <c r="FZ520" s="647"/>
      <c r="GA520" s="647"/>
    </row>
    <row r="521" spans="6:183">
      <c r="F521" s="1113"/>
      <c r="G521" s="139"/>
      <c r="H521" s="139"/>
      <c r="I521" s="627"/>
      <c r="R521" s="139"/>
      <c r="S521" s="139"/>
      <c r="DY521" s="634"/>
      <c r="FZ521" s="647"/>
      <c r="GA521" s="647"/>
    </row>
    <row r="522" spans="6:183">
      <c r="F522" s="1113"/>
      <c r="G522" s="139"/>
      <c r="H522" s="139"/>
      <c r="I522" s="627"/>
      <c r="R522" s="139"/>
      <c r="S522" s="139"/>
      <c r="DY522" s="634"/>
      <c r="FZ522" s="647"/>
      <c r="GA522" s="647"/>
    </row>
    <row r="523" spans="6:183">
      <c r="F523" s="1113"/>
      <c r="G523" s="139"/>
      <c r="H523" s="139"/>
      <c r="I523" s="627"/>
      <c r="R523" s="139"/>
      <c r="S523" s="139"/>
      <c r="DY523" s="634"/>
      <c r="FZ523" s="647"/>
      <c r="GA523" s="647"/>
    </row>
    <row r="524" spans="6:183">
      <c r="F524" s="1113"/>
      <c r="G524" s="139"/>
      <c r="H524" s="139"/>
      <c r="I524" s="627"/>
      <c r="R524" s="139"/>
      <c r="S524" s="139"/>
      <c r="DY524" s="634"/>
      <c r="FZ524" s="647"/>
      <c r="GA524" s="647"/>
    </row>
    <row r="525" spans="6:183">
      <c r="F525" s="1113"/>
      <c r="G525" s="139"/>
      <c r="H525" s="139"/>
      <c r="I525" s="627"/>
      <c r="R525" s="139"/>
      <c r="S525" s="139"/>
      <c r="DY525" s="634"/>
      <c r="FZ525" s="647"/>
      <c r="GA525" s="647"/>
    </row>
    <row r="526" spans="6:183">
      <c r="F526" s="1113"/>
      <c r="G526" s="139"/>
      <c r="H526" s="139"/>
      <c r="I526" s="627"/>
      <c r="R526" s="139"/>
      <c r="S526" s="139"/>
      <c r="DY526" s="634"/>
      <c r="FZ526" s="647"/>
      <c r="GA526" s="647"/>
    </row>
    <row r="527" spans="6:183">
      <c r="F527" s="1113"/>
      <c r="G527" s="139"/>
      <c r="H527" s="139"/>
      <c r="I527" s="627"/>
      <c r="R527" s="139"/>
      <c r="S527" s="139"/>
      <c r="DY527" s="634"/>
      <c r="FZ527" s="647"/>
      <c r="GA527" s="647"/>
    </row>
    <row r="528" spans="6:183">
      <c r="F528" s="1113"/>
      <c r="G528" s="139"/>
      <c r="H528" s="139"/>
      <c r="I528" s="627"/>
      <c r="R528" s="139"/>
      <c r="S528" s="139"/>
      <c r="DY528" s="634"/>
      <c r="FZ528" s="647"/>
      <c r="GA528" s="647"/>
    </row>
    <row r="529" spans="6:183">
      <c r="F529" s="1113"/>
      <c r="G529" s="139"/>
      <c r="H529" s="139"/>
      <c r="I529" s="627"/>
      <c r="R529" s="139"/>
      <c r="S529" s="139"/>
      <c r="DY529" s="634"/>
      <c r="FZ529" s="647"/>
      <c r="GA529" s="647"/>
    </row>
    <row r="530" spans="6:183">
      <c r="F530" s="1113"/>
      <c r="G530" s="139"/>
      <c r="H530" s="139"/>
      <c r="I530" s="627"/>
      <c r="R530" s="139"/>
      <c r="S530" s="139"/>
      <c r="DY530" s="634"/>
      <c r="FZ530" s="647"/>
      <c r="GA530" s="647"/>
    </row>
    <row r="531" spans="6:183">
      <c r="F531" s="1113"/>
      <c r="G531" s="139"/>
      <c r="H531" s="139"/>
      <c r="I531" s="627"/>
      <c r="R531" s="139"/>
      <c r="S531" s="139"/>
      <c r="DY531" s="634"/>
      <c r="FZ531" s="647"/>
      <c r="GA531" s="647"/>
    </row>
    <row r="532" spans="6:183">
      <c r="F532" s="1113"/>
      <c r="G532" s="139"/>
      <c r="H532" s="139"/>
      <c r="I532" s="627"/>
      <c r="R532" s="139"/>
      <c r="S532" s="139"/>
      <c r="DY532" s="634"/>
      <c r="FZ532" s="647"/>
      <c r="GA532" s="647"/>
    </row>
    <row r="533" spans="6:183">
      <c r="F533" s="1113"/>
      <c r="G533" s="139"/>
      <c r="H533" s="139"/>
      <c r="I533" s="627"/>
      <c r="R533" s="139"/>
      <c r="S533" s="139"/>
      <c r="DY533" s="634"/>
      <c r="FZ533" s="647"/>
      <c r="GA533" s="647"/>
    </row>
    <row r="534" spans="6:183">
      <c r="F534" s="1113"/>
      <c r="G534" s="139"/>
      <c r="H534" s="139"/>
      <c r="I534" s="627"/>
      <c r="R534" s="139"/>
      <c r="S534" s="139"/>
      <c r="DY534" s="634"/>
      <c r="FZ534" s="647"/>
      <c r="GA534" s="647"/>
    </row>
    <row r="535" spans="6:183">
      <c r="F535" s="1113"/>
      <c r="G535" s="139"/>
      <c r="H535" s="139"/>
      <c r="I535" s="627"/>
      <c r="R535" s="139"/>
      <c r="S535" s="139"/>
      <c r="DY535" s="634"/>
      <c r="FZ535" s="647"/>
      <c r="GA535" s="647"/>
    </row>
    <row r="536" spans="6:183">
      <c r="F536" s="1113"/>
      <c r="G536" s="139"/>
      <c r="H536" s="139"/>
      <c r="I536" s="627"/>
      <c r="R536" s="139"/>
      <c r="S536" s="139"/>
      <c r="DY536" s="634"/>
      <c r="FZ536" s="647"/>
      <c r="GA536" s="647"/>
    </row>
    <row r="537" spans="6:183">
      <c r="F537" s="1113"/>
      <c r="G537" s="139"/>
      <c r="H537" s="139"/>
      <c r="I537" s="627"/>
      <c r="R537" s="139"/>
      <c r="S537" s="139"/>
      <c r="DY537" s="634"/>
      <c r="FZ537" s="647"/>
      <c r="GA537" s="647"/>
    </row>
    <row r="538" spans="6:183">
      <c r="F538" s="1113"/>
      <c r="G538" s="139"/>
      <c r="H538" s="139"/>
      <c r="I538" s="627"/>
      <c r="R538" s="139"/>
      <c r="S538" s="139"/>
      <c r="DY538" s="634"/>
      <c r="FZ538" s="647"/>
      <c r="GA538" s="647"/>
    </row>
    <row r="539" spans="6:183">
      <c r="F539" s="1113"/>
      <c r="G539" s="139"/>
      <c r="H539" s="139"/>
      <c r="I539" s="627"/>
      <c r="R539" s="139"/>
      <c r="S539" s="139"/>
      <c r="DY539" s="634"/>
      <c r="FZ539" s="647"/>
      <c r="GA539" s="647"/>
    </row>
    <row r="540" spans="6:183">
      <c r="F540" s="1113"/>
      <c r="G540" s="139"/>
      <c r="H540" s="139"/>
      <c r="I540" s="627"/>
      <c r="R540" s="139"/>
      <c r="S540" s="139"/>
      <c r="DY540" s="634"/>
      <c r="FZ540" s="647"/>
      <c r="GA540" s="647"/>
    </row>
    <row r="541" spans="6:183">
      <c r="F541" s="1113"/>
      <c r="G541" s="139"/>
      <c r="H541" s="139"/>
      <c r="I541" s="627"/>
      <c r="R541" s="139"/>
      <c r="S541" s="139"/>
      <c r="DY541" s="634"/>
      <c r="FZ541" s="647"/>
      <c r="GA541" s="647"/>
    </row>
    <row r="542" spans="6:183">
      <c r="F542" s="1113"/>
      <c r="G542" s="139"/>
      <c r="H542" s="139"/>
      <c r="I542" s="627"/>
      <c r="R542" s="139"/>
      <c r="S542" s="139"/>
      <c r="DY542" s="634"/>
      <c r="FZ542" s="647"/>
      <c r="GA542" s="647"/>
    </row>
    <row r="543" spans="6:183">
      <c r="F543" s="1113"/>
      <c r="G543" s="139"/>
      <c r="H543" s="139"/>
      <c r="I543" s="627"/>
      <c r="R543" s="139"/>
      <c r="S543" s="139"/>
      <c r="DY543" s="634"/>
      <c r="FZ543" s="647"/>
      <c r="GA543" s="647"/>
    </row>
    <row r="544" spans="6:183">
      <c r="F544" s="1113"/>
      <c r="G544" s="139"/>
      <c r="H544" s="139"/>
      <c r="I544" s="627"/>
      <c r="R544" s="139"/>
      <c r="S544" s="139"/>
      <c r="DY544" s="634"/>
      <c r="FZ544" s="647"/>
      <c r="GA544" s="647"/>
    </row>
    <row r="545" spans="6:183">
      <c r="F545" s="1113"/>
      <c r="G545" s="139"/>
      <c r="H545" s="139"/>
      <c r="I545" s="627"/>
      <c r="R545" s="139"/>
      <c r="S545" s="139"/>
      <c r="DY545" s="634"/>
      <c r="FZ545" s="647"/>
      <c r="GA545" s="647"/>
    </row>
    <row r="546" spans="6:183">
      <c r="F546" s="1113"/>
      <c r="G546" s="139"/>
      <c r="H546" s="139"/>
      <c r="I546" s="627"/>
      <c r="R546" s="139"/>
      <c r="S546" s="139"/>
      <c r="DY546" s="634"/>
      <c r="FZ546" s="647"/>
      <c r="GA546" s="647"/>
    </row>
    <row r="547" spans="6:183">
      <c r="F547" s="1113"/>
      <c r="G547" s="139"/>
      <c r="H547" s="139"/>
      <c r="I547" s="627"/>
      <c r="R547" s="139"/>
      <c r="S547" s="139"/>
      <c r="DY547" s="634"/>
      <c r="FZ547" s="647"/>
      <c r="GA547" s="647"/>
    </row>
    <row r="548" spans="6:183">
      <c r="F548" s="1113"/>
      <c r="G548" s="139"/>
      <c r="H548" s="139"/>
      <c r="I548" s="627"/>
      <c r="R548" s="139"/>
      <c r="S548" s="139"/>
      <c r="DY548" s="634"/>
      <c r="FZ548" s="647"/>
      <c r="GA548" s="647"/>
    </row>
    <row r="549" spans="6:183">
      <c r="F549" s="1113"/>
      <c r="G549" s="139"/>
      <c r="H549" s="139"/>
      <c r="I549" s="627"/>
      <c r="R549" s="139"/>
      <c r="S549" s="139"/>
      <c r="DY549" s="634"/>
      <c r="FZ549" s="647"/>
      <c r="GA549" s="647"/>
    </row>
    <row r="550" spans="6:183">
      <c r="F550" s="1113"/>
      <c r="G550" s="139"/>
      <c r="H550" s="139"/>
      <c r="I550" s="627"/>
      <c r="R550" s="139"/>
      <c r="S550" s="139"/>
      <c r="DY550" s="634"/>
      <c r="FZ550" s="647"/>
      <c r="GA550" s="647"/>
    </row>
    <row r="551" spans="6:183">
      <c r="F551" s="1113"/>
      <c r="G551" s="139"/>
      <c r="H551" s="139"/>
      <c r="I551" s="627"/>
      <c r="R551" s="139"/>
      <c r="S551" s="139"/>
      <c r="DY551" s="634"/>
      <c r="FZ551" s="647"/>
      <c r="GA551" s="647"/>
    </row>
    <row r="552" spans="6:183">
      <c r="F552" s="1113"/>
      <c r="G552" s="139"/>
      <c r="H552" s="139"/>
      <c r="I552" s="627"/>
      <c r="R552" s="139"/>
      <c r="S552" s="139"/>
      <c r="DY552" s="634"/>
      <c r="FZ552" s="647"/>
      <c r="GA552" s="647"/>
    </row>
    <row r="553" spans="6:183">
      <c r="F553" s="1113"/>
      <c r="G553" s="139"/>
      <c r="H553" s="139"/>
      <c r="I553" s="627"/>
      <c r="R553" s="139"/>
      <c r="S553" s="139"/>
      <c r="DY553" s="634"/>
      <c r="FZ553" s="647"/>
      <c r="GA553" s="647"/>
    </row>
    <row r="554" spans="6:183">
      <c r="F554" s="1113"/>
      <c r="G554" s="139"/>
      <c r="H554" s="139"/>
      <c r="I554" s="627"/>
      <c r="R554" s="139"/>
      <c r="S554" s="139"/>
      <c r="DY554" s="634"/>
      <c r="FZ554" s="647"/>
      <c r="GA554" s="647"/>
    </row>
    <row r="555" spans="6:183">
      <c r="F555" s="1113"/>
      <c r="G555" s="139"/>
      <c r="H555" s="139"/>
      <c r="I555" s="627"/>
      <c r="R555" s="139"/>
      <c r="S555" s="139"/>
      <c r="DY555" s="634"/>
      <c r="FZ555" s="647"/>
      <c r="GA555" s="647"/>
    </row>
    <row r="556" spans="6:183">
      <c r="F556" s="1113"/>
      <c r="G556" s="139"/>
      <c r="H556" s="139"/>
      <c r="I556" s="627"/>
      <c r="R556" s="139"/>
      <c r="S556" s="139"/>
      <c r="DY556" s="634"/>
      <c r="FZ556" s="647"/>
      <c r="GA556" s="647"/>
    </row>
    <row r="557" spans="6:183">
      <c r="F557" s="1113"/>
      <c r="G557" s="139"/>
      <c r="H557" s="139"/>
      <c r="I557" s="627"/>
      <c r="R557" s="139"/>
      <c r="S557" s="139"/>
      <c r="DY557" s="634"/>
      <c r="FZ557" s="647"/>
      <c r="GA557" s="647"/>
    </row>
    <row r="558" spans="6:183">
      <c r="F558" s="1113"/>
      <c r="G558" s="139"/>
      <c r="H558" s="139"/>
      <c r="I558" s="627"/>
      <c r="R558" s="139"/>
      <c r="S558" s="139"/>
      <c r="DY558" s="634"/>
      <c r="FZ558" s="647"/>
      <c r="GA558" s="647"/>
    </row>
    <row r="559" spans="6:183">
      <c r="F559" s="1113"/>
      <c r="G559" s="139"/>
      <c r="H559" s="139"/>
      <c r="I559" s="627"/>
      <c r="R559" s="139"/>
      <c r="S559" s="139"/>
      <c r="DY559" s="634"/>
      <c r="FZ559" s="647"/>
      <c r="GA559" s="647"/>
    </row>
    <row r="560" spans="6:183">
      <c r="F560" s="1113"/>
      <c r="G560" s="139"/>
      <c r="H560" s="139"/>
      <c r="I560" s="627"/>
      <c r="R560" s="139"/>
      <c r="S560" s="139"/>
      <c r="DY560" s="634"/>
      <c r="FZ560" s="647"/>
      <c r="GA560" s="647"/>
    </row>
    <row r="561" spans="6:183">
      <c r="F561" s="1113"/>
      <c r="G561" s="139"/>
      <c r="H561" s="139"/>
      <c r="I561" s="627"/>
      <c r="R561" s="139"/>
      <c r="S561" s="139"/>
      <c r="DY561" s="634"/>
      <c r="FZ561" s="647"/>
      <c r="GA561" s="647"/>
    </row>
    <row r="562" spans="6:183">
      <c r="F562" s="1113"/>
      <c r="G562" s="139"/>
      <c r="H562" s="139"/>
      <c r="I562" s="627"/>
      <c r="R562" s="139"/>
      <c r="S562" s="139"/>
      <c r="DY562" s="634"/>
      <c r="FZ562" s="647"/>
      <c r="GA562" s="647"/>
    </row>
    <row r="563" spans="6:183">
      <c r="F563" s="1113"/>
      <c r="G563" s="139"/>
      <c r="H563" s="139"/>
      <c r="I563" s="627"/>
      <c r="R563" s="139"/>
      <c r="S563" s="139"/>
      <c r="DY563" s="634"/>
      <c r="FZ563" s="647"/>
      <c r="GA563" s="647"/>
    </row>
    <row r="564" spans="6:183">
      <c r="F564" s="1113"/>
      <c r="G564" s="139"/>
      <c r="H564" s="139"/>
      <c r="I564" s="627"/>
      <c r="R564" s="139"/>
      <c r="S564" s="139"/>
      <c r="DY564" s="634"/>
      <c r="FZ564" s="647"/>
      <c r="GA564" s="647"/>
    </row>
    <row r="565" spans="6:183">
      <c r="F565" s="1113"/>
      <c r="G565" s="139"/>
      <c r="H565" s="139"/>
      <c r="I565" s="627"/>
      <c r="R565" s="139"/>
      <c r="S565" s="139"/>
      <c r="DY565" s="634"/>
      <c r="FZ565" s="647"/>
      <c r="GA565" s="647"/>
    </row>
    <row r="566" spans="6:183">
      <c r="F566" s="1113"/>
      <c r="G566" s="139"/>
      <c r="H566" s="139"/>
      <c r="I566" s="627"/>
      <c r="R566" s="139"/>
      <c r="S566" s="139"/>
      <c r="DY566" s="634"/>
      <c r="FZ566" s="647"/>
      <c r="GA566" s="647"/>
    </row>
    <row r="567" spans="6:183">
      <c r="F567" s="1113"/>
      <c r="G567" s="139"/>
      <c r="H567" s="139"/>
      <c r="I567" s="627"/>
      <c r="R567" s="139"/>
      <c r="S567" s="139"/>
      <c r="DY567" s="634"/>
      <c r="FZ567" s="647"/>
      <c r="GA567" s="647"/>
    </row>
    <row r="568" spans="6:183">
      <c r="F568" s="1113"/>
      <c r="G568" s="139"/>
      <c r="H568" s="139"/>
      <c r="I568" s="627"/>
      <c r="R568" s="139"/>
      <c r="S568" s="139"/>
      <c r="DY568" s="634"/>
      <c r="FZ568" s="647"/>
      <c r="GA568" s="647"/>
    </row>
    <row r="569" spans="6:183">
      <c r="F569" s="1113"/>
      <c r="G569" s="139"/>
      <c r="H569" s="139"/>
      <c r="I569" s="627"/>
      <c r="R569" s="139"/>
      <c r="S569" s="139"/>
      <c r="DY569" s="634"/>
      <c r="FZ569" s="647"/>
      <c r="GA569" s="647"/>
    </row>
    <row r="570" spans="6:183">
      <c r="F570" s="1113"/>
      <c r="G570" s="139"/>
      <c r="H570" s="139"/>
      <c r="I570" s="627"/>
      <c r="R570" s="139"/>
      <c r="S570" s="139"/>
      <c r="DY570" s="634"/>
      <c r="FZ570" s="647"/>
      <c r="GA570" s="647"/>
    </row>
    <row r="571" spans="6:183">
      <c r="F571" s="1113"/>
      <c r="G571" s="139"/>
      <c r="H571" s="139"/>
      <c r="I571" s="627"/>
      <c r="R571" s="139"/>
      <c r="S571" s="139"/>
      <c r="DY571" s="634"/>
      <c r="FZ571" s="647"/>
      <c r="GA571" s="647"/>
    </row>
    <row r="572" spans="6:183">
      <c r="F572" s="1113"/>
      <c r="G572" s="139"/>
      <c r="H572" s="139"/>
      <c r="I572" s="627"/>
      <c r="R572" s="139"/>
      <c r="S572" s="139"/>
      <c r="DY572" s="634"/>
      <c r="FZ572" s="647"/>
      <c r="GA572" s="647"/>
    </row>
    <row r="573" spans="6:183">
      <c r="F573" s="1113"/>
      <c r="G573" s="139"/>
      <c r="H573" s="139"/>
      <c r="I573" s="627"/>
      <c r="R573" s="139"/>
      <c r="S573" s="139"/>
      <c r="DY573" s="634"/>
      <c r="FZ573" s="647"/>
      <c r="GA573" s="647"/>
    </row>
    <row r="574" spans="6:183">
      <c r="F574" s="1113"/>
      <c r="G574" s="139"/>
      <c r="H574" s="139"/>
      <c r="I574" s="627"/>
      <c r="R574" s="139"/>
      <c r="S574" s="139"/>
      <c r="DY574" s="634"/>
      <c r="FZ574" s="647"/>
      <c r="GA574" s="647"/>
    </row>
    <row r="575" spans="6:183">
      <c r="F575" s="1113"/>
      <c r="G575" s="139"/>
      <c r="H575" s="139"/>
      <c r="I575" s="627"/>
      <c r="R575" s="139"/>
      <c r="S575" s="139"/>
      <c r="DY575" s="634"/>
      <c r="FZ575" s="647"/>
      <c r="GA575" s="647"/>
    </row>
    <row r="576" spans="6:183">
      <c r="F576" s="1113"/>
      <c r="G576" s="139"/>
      <c r="H576" s="139"/>
      <c r="I576" s="627"/>
      <c r="R576" s="139"/>
      <c r="S576" s="139"/>
      <c r="DY576" s="634"/>
      <c r="FZ576" s="647"/>
      <c r="GA576" s="647"/>
    </row>
    <row r="577" spans="6:183">
      <c r="F577" s="1113"/>
      <c r="G577" s="139"/>
      <c r="H577" s="139"/>
      <c r="I577" s="627"/>
      <c r="R577" s="139"/>
      <c r="S577" s="139"/>
      <c r="DY577" s="634"/>
      <c r="FZ577" s="647"/>
      <c r="GA577" s="647"/>
    </row>
    <row r="578" spans="6:183">
      <c r="F578" s="1113"/>
      <c r="G578" s="139"/>
      <c r="H578" s="139"/>
      <c r="I578" s="627"/>
      <c r="R578" s="139"/>
      <c r="S578" s="139"/>
      <c r="DY578" s="634"/>
      <c r="FZ578" s="647"/>
      <c r="GA578" s="647"/>
    </row>
    <row r="579" spans="6:183">
      <c r="F579" s="1113"/>
      <c r="G579" s="139"/>
      <c r="H579" s="139"/>
      <c r="I579" s="627"/>
      <c r="R579" s="139"/>
      <c r="S579" s="139"/>
      <c r="DY579" s="634"/>
      <c r="FZ579" s="647"/>
      <c r="GA579" s="647"/>
    </row>
    <row r="580" spans="6:183">
      <c r="F580" s="1113"/>
      <c r="G580" s="139"/>
      <c r="H580" s="139"/>
      <c r="I580" s="627"/>
      <c r="R580" s="139"/>
      <c r="S580" s="139"/>
      <c r="DY580" s="634"/>
      <c r="FZ580" s="647"/>
      <c r="GA580" s="647"/>
    </row>
    <row r="581" spans="6:183">
      <c r="F581" s="1113"/>
      <c r="G581" s="139"/>
      <c r="H581" s="139"/>
      <c r="I581" s="627"/>
      <c r="R581" s="139"/>
      <c r="S581" s="139"/>
      <c r="DY581" s="634"/>
      <c r="FZ581" s="647"/>
      <c r="GA581" s="647"/>
    </row>
    <row r="582" spans="6:183">
      <c r="F582" s="1113"/>
      <c r="G582" s="139"/>
      <c r="H582" s="139"/>
      <c r="I582" s="627"/>
      <c r="R582" s="139"/>
      <c r="S582" s="139"/>
      <c r="DY582" s="634"/>
      <c r="FZ582" s="647"/>
      <c r="GA582" s="647"/>
    </row>
    <row r="583" spans="6:183">
      <c r="F583" s="1113"/>
      <c r="G583" s="139"/>
      <c r="H583" s="139"/>
      <c r="I583" s="627"/>
      <c r="R583" s="139"/>
      <c r="S583" s="139"/>
      <c r="DY583" s="634"/>
      <c r="FZ583" s="647"/>
      <c r="GA583" s="647"/>
    </row>
    <row r="584" spans="6:183">
      <c r="F584" s="1113"/>
      <c r="G584" s="139"/>
      <c r="H584" s="139"/>
      <c r="I584" s="627"/>
      <c r="R584" s="139"/>
      <c r="S584" s="139"/>
      <c r="DY584" s="634"/>
      <c r="FZ584" s="647"/>
      <c r="GA584" s="647"/>
    </row>
    <row r="585" spans="6:183">
      <c r="F585" s="1113"/>
      <c r="G585" s="139"/>
      <c r="H585" s="139"/>
      <c r="I585" s="627"/>
      <c r="R585" s="139"/>
      <c r="S585" s="139"/>
      <c r="DY585" s="634"/>
      <c r="FZ585" s="647"/>
      <c r="GA585" s="647"/>
    </row>
    <row r="586" spans="6:183">
      <c r="F586" s="1113"/>
      <c r="G586" s="139"/>
      <c r="H586" s="139"/>
      <c r="I586" s="627"/>
      <c r="R586" s="139"/>
      <c r="S586" s="139"/>
      <c r="DY586" s="634"/>
      <c r="FZ586" s="647"/>
      <c r="GA586" s="647"/>
    </row>
    <row r="587" spans="6:183">
      <c r="F587" s="1113"/>
      <c r="G587" s="139"/>
      <c r="H587" s="139"/>
      <c r="I587" s="627"/>
      <c r="R587" s="139"/>
      <c r="S587" s="139"/>
      <c r="DY587" s="634"/>
      <c r="FZ587" s="647"/>
      <c r="GA587" s="647"/>
    </row>
    <row r="588" spans="6:183">
      <c r="F588" s="1113"/>
      <c r="G588" s="139"/>
      <c r="H588" s="139"/>
      <c r="I588" s="627"/>
      <c r="R588" s="139"/>
      <c r="S588" s="139"/>
      <c r="DY588" s="634"/>
      <c r="FZ588" s="647"/>
      <c r="GA588" s="647"/>
    </row>
    <row r="589" spans="6:183">
      <c r="F589" s="1113"/>
      <c r="G589" s="139"/>
      <c r="H589" s="139"/>
      <c r="I589" s="627"/>
      <c r="R589" s="139"/>
      <c r="S589" s="139"/>
      <c r="DY589" s="634"/>
      <c r="FZ589" s="647"/>
      <c r="GA589" s="647"/>
    </row>
    <row r="590" spans="6:183">
      <c r="F590" s="1113"/>
      <c r="G590" s="139"/>
      <c r="H590" s="139"/>
      <c r="I590" s="627"/>
      <c r="R590" s="139"/>
      <c r="S590" s="139"/>
      <c r="DY590" s="634"/>
      <c r="FZ590" s="647"/>
      <c r="GA590" s="647"/>
    </row>
    <row r="591" spans="6:183">
      <c r="F591" s="1113"/>
      <c r="G591" s="139"/>
      <c r="H591" s="139"/>
      <c r="I591" s="627"/>
      <c r="R591" s="139"/>
      <c r="S591" s="139"/>
      <c r="DY591" s="634"/>
      <c r="FZ591" s="647"/>
      <c r="GA591" s="647"/>
    </row>
    <row r="592" spans="6:183">
      <c r="F592" s="1113"/>
      <c r="G592" s="139"/>
      <c r="H592" s="139"/>
      <c r="I592" s="627"/>
      <c r="R592" s="139"/>
      <c r="S592" s="139"/>
      <c r="DY592" s="634"/>
      <c r="FZ592" s="647"/>
      <c r="GA592" s="647"/>
    </row>
    <row r="593" spans="6:183">
      <c r="F593" s="1113"/>
      <c r="G593" s="139"/>
      <c r="H593" s="139"/>
      <c r="I593" s="627"/>
      <c r="R593" s="139"/>
      <c r="S593" s="139"/>
      <c r="DY593" s="634"/>
      <c r="FZ593" s="647"/>
      <c r="GA593" s="647"/>
    </row>
    <row r="594" spans="6:183">
      <c r="F594" s="1113"/>
      <c r="G594" s="139"/>
      <c r="H594" s="139"/>
      <c r="I594" s="627"/>
      <c r="R594" s="139"/>
      <c r="S594" s="139"/>
      <c r="DY594" s="634"/>
      <c r="FZ594" s="647"/>
      <c r="GA594" s="647"/>
    </row>
    <row r="595" spans="6:183">
      <c r="F595" s="1113"/>
      <c r="G595" s="139"/>
      <c r="H595" s="139"/>
      <c r="I595" s="627"/>
      <c r="R595" s="139"/>
      <c r="S595" s="139"/>
      <c r="DY595" s="634"/>
      <c r="FZ595" s="647"/>
      <c r="GA595" s="647"/>
    </row>
    <row r="596" spans="6:183">
      <c r="F596" s="1113"/>
      <c r="G596" s="139"/>
      <c r="H596" s="139"/>
      <c r="I596" s="627"/>
      <c r="R596" s="139"/>
      <c r="S596" s="139"/>
      <c r="DY596" s="634"/>
      <c r="FZ596" s="647"/>
      <c r="GA596" s="647"/>
    </row>
    <row r="597" spans="6:183">
      <c r="F597" s="1113"/>
      <c r="G597" s="139"/>
      <c r="H597" s="139"/>
      <c r="I597" s="627"/>
      <c r="R597" s="139"/>
      <c r="S597" s="139"/>
      <c r="DY597" s="634"/>
      <c r="FZ597" s="647"/>
      <c r="GA597" s="647"/>
    </row>
    <row r="598" spans="6:183">
      <c r="F598" s="1113"/>
      <c r="G598" s="139"/>
      <c r="H598" s="139"/>
      <c r="I598" s="627"/>
      <c r="R598" s="139"/>
      <c r="S598" s="139"/>
      <c r="DY598" s="634"/>
      <c r="FZ598" s="647"/>
      <c r="GA598" s="647"/>
    </row>
    <row r="599" spans="6:183">
      <c r="F599" s="1113"/>
      <c r="G599" s="139"/>
      <c r="H599" s="139"/>
      <c r="I599" s="627"/>
      <c r="R599" s="139"/>
      <c r="S599" s="139"/>
      <c r="DY599" s="634"/>
      <c r="FZ599" s="647"/>
      <c r="GA599" s="647"/>
    </row>
    <row r="600" spans="6:183">
      <c r="F600" s="1113"/>
      <c r="G600" s="139"/>
      <c r="H600" s="139"/>
      <c r="I600" s="627"/>
      <c r="R600" s="139"/>
      <c r="S600" s="139"/>
      <c r="DY600" s="634"/>
      <c r="FZ600" s="647"/>
      <c r="GA600" s="647"/>
    </row>
    <row r="601" spans="6:183">
      <c r="F601" s="1113"/>
      <c r="G601" s="139"/>
      <c r="H601" s="139"/>
      <c r="I601" s="627"/>
      <c r="R601" s="139"/>
      <c r="S601" s="139"/>
      <c r="DY601" s="634"/>
      <c r="FZ601" s="647"/>
      <c r="GA601" s="647"/>
    </row>
    <row r="602" spans="6:183">
      <c r="F602" s="1113"/>
      <c r="G602" s="139"/>
      <c r="H602" s="139"/>
      <c r="I602" s="627"/>
      <c r="R602" s="139"/>
      <c r="S602" s="139"/>
      <c r="DY602" s="634"/>
      <c r="FZ602" s="647"/>
      <c r="GA602" s="647"/>
    </row>
    <row r="603" spans="6:183">
      <c r="F603" s="1113"/>
      <c r="G603" s="139"/>
      <c r="H603" s="139"/>
      <c r="I603" s="627"/>
      <c r="R603" s="139"/>
      <c r="S603" s="139"/>
      <c r="DY603" s="634"/>
      <c r="FZ603" s="647"/>
      <c r="GA603" s="647"/>
    </row>
    <row r="604" spans="6:183">
      <c r="F604" s="1113"/>
      <c r="G604" s="139"/>
      <c r="H604" s="139"/>
      <c r="I604" s="627"/>
      <c r="R604" s="139"/>
      <c r="S604" s="139"/>
      <c r="DY604" s="634"/>
      <c r="FZ604" s="647"/>
      <c r="GA604" s="647"/>
    </row>
    <row r="605" spans="6:183">
      <c r="F605" s="1113"/>
      <c r="G605" s="139"/>
      <c r="H605" s="139"/>
      <c r="I605" s="627"/>
      <c r="R605" s="139"/>
      <c r="S605" s="139"/>
      <c r="DY605" s="634"/>
      <c r="FZ605" s="647"/>
      <c r="GA605" s="647"/>
    </row>
    <row r="606" spans="6:183">
      <c r="F606" s="1113"/>
      <c r="G606" s="139"/>
      <c r="H606" s="139"/>
      <c r="I606" s="627"/>
      <c r="R606" s="139"/>
      <c r="S606" s="139"/>
      <c r="DY606" s="634"/>
      <c r="FZ606" s="647"/>
      <c r="GA606" s="647"/>
    </row>
    <row r="607" spans="6:183">
      <c r="F607" s="1113"/>
      <c r="G607" s="139"/>
      <c r="H607" s="139"/>
      <c r="I607" s="627"/>
      <c r="R607" s="139"/>
      <c r="S607" s="139"/>
      <c r="DY607" s="634"/>
      <c r="FZ607" s="647"/>
      <c r="GA607" s="647"/>
    </row>
    <row r="608" spans="6:183">
      <c r="F608" s="1113"/>
      <c r="G608" s="139"/>
      <c r="H608" s="139"/>
      <c r="I608" s="627"/>
      <c r="R608" s="139"/>
      <c r="S608" s="139"/>
      <c r="DY608" s="634"/>
      <c r="FZ608" s="647"/>
      <c r="GA608" s="647"/>
    </row>
    <row r="609" spans="6:183">
      <c r="F609" s="1113"/>
      <c r="G609" s="139"/>
      <c r="H609" s="139"/>
      <c r="I609" s="627"/>
      <c r="R609" s="139"/>
      <c r="S609" s="139"/>
      <c r="DY609" s="634"/>
      <c r="FZ609" s="647"/>
      <c r="GA609" s="647"/>
    </row>
    <row r="610" spans="6:183">
      <c r="F610" s="1113"/>
      <c r="G610" s="139"/>
      <c r="H610" s="139"/>
      <c r="I610" s="627"/>
      <c r="R610" s="139"/>
      <c r="S610" s="139"/>
      <c r="DY610" s="634"/>
      <c r="FZ610" s="647"/>
      <c r="GA610" s="647"/>
    </row>
    <row r="611" spans="6:183">
      <c r="F611" s="1113"/>
      <c r="G611" s="139"/>
      <c r="H611" s="139"/>
      <c r="I611" s="627"/>
      <c r="R611" s="139"/>
      <c r="S611" s="139"/>
      <c r="DY611" s="634"/>
      <c r="FZ611" s="647"/>
      <c r="GA611" s="647"/>
    </row>
    <row r="612" spans="6:183">
      <c r="F612" s="1113"/>
      <c r="G612" s="139"/>
      <c r="H612" s="139"/>
      <c r="I612" s="627"/>
      <c r="R612" s="139"/>
      <c r="S612" s="139"/>
      <c r="DY612" s="634"/>
      <c r="FZ612" s="647"/>
      <c r="GA612" s="647"/>
    </row>
    <row r="613" spans="6:183">
      <c r="F613" s="1113"/>
      <c r="G613" s="139"/>
      <c r="H613" s="139"/>
      <c r="I613" s="627"/>
      <c r="R613" s="139"/>
      <c r="S613" s="139"/>
      <c r="DY613" s="634"/>
      <c r="FZ613" s="647"/>
      <c r="GA613" s="647"/>
    </row>
    <row r="614" spans="6:183">
      <c r="F614" s="1113"/>
      <c r="G614" s="139"/>
      <c r="H614" s="139"/>
      <c r="I614" s="627"/>
      <c r="R614" s="139"/>
      <c r="S614" s="139"/>
      <c r="DY614" s="634"/>
      <c r="FZ614" s="647"/>
      <c r="GA614" s="647"/>
    </row>
    <row r="615" spans="6:183">
      <c r="F615" s="1113"/>
      <c r="G615" s="139"/>
      <c r="H615" s="139"/>
      <c r="I615" s="627"/>
      <c r="R615" s="139"/>
      <c r="S615" s="139"/>
      <c r="DY615" s="634"/>
      <c r="FZ615" s="647"/>
      <c r="GA615" s="647"/>
    </row>
    <row r="616" spans="6:183">
      <c r="F616" s="1113"/>
      <c r="G616" s="139"/>
      <c r="H616" s="139"/>
      <c r="I616" s="627"/>
      <c r="R616" s="139"/>
      <c r="S616" s="139"/>
      <c r="DY616" s="634"/>
      <c r="FZ616" s="647"/>
      <c r="GA616" s="647"/>
    </row>
    <row r="617" spans="6:183">
      <c r="F617" s="1113"/>
      <c r="G617" s="139"/>
      <c r="H617" s="139"/>
      <c r="I617" s="627"/>
      <c r="R617" s="139"/>
      <c r="S617" s="139"/>
      <c r="DY617" s="634"/>
      <c r="FZ617" s="647"/>
      <c r="GA617" s="647"/>
    </row>
    <row r="618" spans="6:183">
      <c r="F618" s="1113"/>
      <c r="G618" s="139"/>
      <c r="H618" s="139"/>
      <c r="I618" s="627"/>
      <c r="R618" s="139"/>
      <c r="S618" s="139"/>
      <c r="DY618" s="634"/>
      <c r="FZ618" s="647"/>
      <c r="GA618" s="647"/>
    </row>
    <row r="619" spans="6:183">
      <c r="F619" s="1113"/>
      <c r="G619" s="139"/>
      <c r="H619" s="139"/>
      <c r="I619" s="627"/>
      <c r="R619" s="139"/>
      <c r="S619" s="139"/>
      <c r="DY619" s="634"/>
      <c r="FZ619" s="647"/>
      <c r="GA619" s="647"/>
    </row>
    <row r="620" spans="6:183">
      <c r="F620" s="1113"/>
      <c r="R620" s="139"/>
      <c r="S620" s="139"/>
      <c r="DY620" s="634"/>
      <c r="FZ620" s="647"/>
      <c r="GA620" s="647"/>
    </row>
    <row r="621" spans="6:183">
      <c r="F621" s="1113"/>
      <c r="R621" s="139"/>
      <c r="S621" s="139"/>
      <c r="DY621" s="634"/>
      <c r="FZ621" s="647"/>
      <c r="GA621" s="647"/>
    </row>
    <row r="622" spans="6:183">
      <c r="F622" s="1113"/>
      <c r="S622" s="3694"/>
      <c r="DY622" s="634"/>
      <c r="FZ622" s="647"/>
      <c r="GA622" s="647"/>
    </row>
    <row r="623" spans="6:183">
      <c r="F623" s="1113"/>
      <c r="S623" s="3694"/>
      <c r="DY623" s="634"/>
      <c r="FZ623" s="647"/>
      <c r="GA623" s="647"/>
    </row>
    <row r="624" spans="6:183">
      <c r="F624" s="1113"/>
      <c r="S624" s="3694"/>
      <c r="DY624" s="634"/>
      <c r="FZ624" s="647"/>
      <c r="GA624" s="647"/>
    </row>
    <row r="625" spans="6:183">
      <c r="F625" s="1113"/>
      <c r="S625" s="3694"/>
      <c r="DY625" s="634"/>
      <c r="FZ625" s="647"/>
      <c r="GA625" s="647"/>
    </row>
    <row r="626" spans="6:183">
      <c r="F626" s="1113"/>
      <c r="S626" s="3694"/>
      <c r="DY626" s="634"/>
      <c r="FZ626" s="647"/>
      <c r="GA626" s="647"/>
    </row>
    <row r="627" spans="6:183">
      <c r="F627" s="1113"/>
      <c r="S627" s="3694"/>
      <c r="DY627" s="634"/>
      <c r="FZ627" s="647"/>
      <c r="GA627" s="647"/>
    </row>
    <row r="628" spans="6:183">
      <c r="F628" s="1113"/>
      <c r="S628" s="3694"/>
      <c r="DY628" s="634"/>
      <c r="FZ628" s="647"/>
      <c r="GA628" s="647"/>
    </row>
    <row r="629" spans="6:183">
      <c r="F629" s="1113"/>
      <c r="S629" s="3694"/>
      <c r="DY629" s="634"/>
      <c r="FZ629" s="647"/>
      <c r="GA629" s="647"/>
    </row>
    <row r="630" spans="6:183">
      <c r="F630" s="1113"/>
      <c r="S630" s="3694"/>
      <c r="DY630" s="634"/>
      <c r="FZ630" s="647"/>
      <c r="GA630" s="647"/>
    </row>
    <row r="631" spans="6:183">
      <c r="F631" s="1113"/>
      <c r="S631" s="3694"/>
      <c r="DY631" s="634"/>
      <c r="FZ631" s="647"/>
      <c r="GA631" s="647"/>
    </row>
    <row r="632" spans="6:183">
      <c r="F632" s="1113"/>
      <c r="S632" s="3694"/>
      <c r="DY632" s="634"/>
      <c r="FZ632" s="647"/>
      <c r="GA632" s="647"/>
    </row>
    <row r="633" spans="6:183">
      <c r="F633" s="1113"/>
      <c r="S633" s="3694"/>
      <c r="DY633" s="634"/>
      <c r="FZ633" s="647"/>
      <c r="GA633" s="647"/>
    </row>
    <row r="634" spans="6:183">
      <c r="F634" s="1113"/>
      <c r="S634" s="3694"/>
      <c r="DY634" s="634"/>
      <c r="FZ634" s="647"/>
      <c r="GA634" s="647"/>
    </row>
    <row r="635" spans="6:183">
      <c r="F635" s="1113"/>
      <c r="S635" s="3694"/>
      <c r="DY635" s="634"/>
      <c r="FZ635" s="647"/>
      <c r="GA635" s="647"/>
    </row>
    <row r="636" spans="6:183">
      <c r="F636" s="1113"/>
      <c r="S636" s="3694"/>
      <c r="DY636" s="634"/>
      <c r="FZ636" s="647"/>
      <c r="GA636" s="647"/>
    </row>
    <row r="637" spans="6:183">
      <c r="F637" s="1113"/>
      <c r="S637" s="3694"/>
      <c r="DY637" s="634"/>
      <c r="FZ637" s="647"/>
      <c r="GA637" s="647"/>
    </row>
    <row r="638" spans="6:183">
      <c r="F638" s="1113"/>
      <c r="S638" s="3694"/>
      <c r="DY638" s="634"/>
      <c r="FZ638" s="647"/>
      <c r="GA638" s="647"/>
    </row>
    <row r="639" spans="6:183">
      <c r="F639" s="1113"/>
      <c r="S639" s="3694"/>
      <c r="DY639" s="634"/>
      <c r="FZ639" s="647"/>
      <c r="GA639" s="647"/>
    </row>
    <row r="640" spans="6:183">
      <c r="F640" s="1113"/>
      <c r="S640" s="3694"/>
      <c r="DY640" s="634"/>
      <c r="FZ640" s="647"/>
      <c r="GA640" s="647"/>
    </row>
    <row r="641" spans="6:183">
      <c r="F641" s="1113"/>
      <c r="S641" s="3694"/>
      <c r="DY641" s="634"/>
      <c r="FZ641" s="647"/>
      <c r="GA641" s="647"/>
    </row>
    <row r="642" spans="6:183">
      <c r="F642" s="1113"/>
      <c r="S642" s="3694"/>
      <c r="DY642" s="634"/>
      <c r="FZ642" s="647"/>
      <c r="GA642" s="647"/>
    </row>
    <row r="643" spans="6:183">
      <c r="F643" s="1113"/>
      <c r="S643" s="3694"/>
      <c r="DY643" s="634"/>
      <c r="FZ643" s="647"/>
      <c r="GA643" s="647"/>
    </row>
    <row r="644" spans="6:183">
      <c r="F644" s="1113"/>
      <c r="S644" s="3694"/>
      <c r="DY644" s="634"/>
      <c r="FZ644" s="647"/>
      <c r="GA644" s="647"/>
    </row>
    <row r="645" spans="6:183">
      <c r="F645" s="1113"/>
      <c r="S645" s="3694"/>
      <c r="DY645" s="634"/>
      <c r="FZ645" s="647"/>
      <c r="GA645" s="647"/>
    </row>
    <row r="646" spans="6:183">
      <c r="F646" s="1113"/>
      <c r="S646" s="3694"/>
      <c r="DY646" s="634"/>
      <c r="FZ646" s="647"/>
      <c r="GA646" s="647"/>
    </row>
    <row r="647" spans="6:183">
      <c r="F647" s="1113"/>
      <c r="S647" s="3694"/>
      <c r="DY647" s="634"/>
      <c r="FZ647" s="647"/>
      <c r="GA647" s="647"/>
    </row>
    <row r="648" spans="6:183">
      <c r="F648" s="1113"/>
      <c r="S648" s="3694"/>
      <c r="DY648" s="634"/>
      <c r="FZ648" s="647"/>
      <c r="GA648" s="647"/>
    </row>
    <row r="649" spans="6:183">
      <c r="F649" s="1113"/>
      <c r="S649" s="3694"/>
      <c r="DY649" s="634"/>
      <c r="FZ649" s="647"/>
      <c r="GA649" s="647"/>
    </row>
    <row r="650" spans="6:183">
      <c r="F650" s="1113"/>
      <c r="S650" s="3694"/>
      <c r="DY650" s="634"/>
      <c r="FZ650" s="647"/>
      <c r="GA650" s="647"/>
    </row>
    <row r="651" spans="6:183">
      <c r="F651" s="1113"/>
      <c r="S651" s="3694"/>
      <c r="DY651" s="634"/>
      <c r="FZ651" s="647"/>
      <c r="GA651" s="647"/>
    </row>
    <row r="652" spans="6:183">
      <c r="F652" s="1113"/>
      <c r="S652" s="3694"/>
      <c r="DY652" s="634"/>
      <c r="FZ652" s="647"/>
      <c r="GA652" s="647"/>
    </row>
    <row r="653" spans="6:183">
      <c r="F653" s="1113"/>
      <c r="S653" s="3694"/>
      <c r="DY653" s="634"/>
      <c r="FZ653" s="647"/>
      <c r="GA653" s="647"/>
    </row>
    <row r="654" spans="6:183">
      <c r="F654" s="1113"/>
      <c r="S654" s="3694"/>
      <c r="DY654" s="634"/>
      <c r="FZ654" s="647"/>
      <c r="GA654" s="647"/>
    </row>
    <row r="655" spans="6:183">
      <c r="F655" s="1113"/>
      <c r="S655" s="3694"/>
      <c r="DY655" s="634"/>
      <c r="FZ655" s="647"/>
      <c r="GA655" s="647"/>
    </row>
    <row r="656" spans="6:183">
      <c r="F656" s="1113"/>
      <c r="S656" s="3694"/>
      <c r="DY656" s="634"/>
      <c r="FZ656" s="647"/>
      <c r="GA656" s="647"/>
    </row>
    <row r="657" spans="6:183">
      <c r="F657" s="1113"/>
      <c r="S657" s="3694"/>
      <c r="DY657" s="634"/>
      <c r="FZ657" s="647"/>
      <c r="GA657" s="647"/>
    </row>
    <row r="658" spans="6:183">
      <c r="F658" s="1113"/>
      <c r="S658" s="3694"/>
      <c r="DY658" s="634"/>
      <c r="FZ658" s="647"/>
      <c r="GA658" s="647"/>
    </row>
    <row r="659" spans="6:183">
      <c r="S659" s="3694"/>
      <c r="DY659" s="634"/>
      <c r="FZ659" s="647"/>
      <c r="GA659" s="647"/>
    </row>
    <row r="660" spans="6:183">
      <c r="S660" s="3694"/>
      <c r="DY660" s="634"/>
      <c r="FZ660" s="647"/>
      <c r="GA660" s="647"/>
    </row>
    <row r="661" spans="6:183">
      <c r="S661" s="3694"/>
      <c r="DY661" s="634"/>
      <c r="FZ661" s="647"/>
      <c r="GA661" s="647"/>
    </row>
    <row r="662" spans="6:183">
      <c r="S662" s="3694"/>
      <c r="DY662" s="634"/>
      <c r="FZ662" s="647"/>
      <c r="GA662" s="647"/>
    </row>
    <row r="663" spans="6:183">
      <c r="S663" s="3694"/>
      <c r="DY663" s="634"/>
      <c r="FZ663" s="647"/>
      <c r="GA663" s="647"/>
    </row>
    <row r="664" spans="6:183">
      <c r="S664" s="3694"/>
      <c r="DY664" s="634"/>
      <c r="FZ664" s="647"/>
      <c r="GA664" s="647"/>
    </row>
    <row r="665" spans="6:183">
      <c r="S665" s="3694"/>
      <c r="DY665" s="634"/>
      <c r="FZ665" s="647"/>
      <c r="GA665" s="647"/>
    </row>
    <row r="666" spans="6:183">
      <c r="S666" s="3694"/>
      <c r="DY666" s="634"/>
      <c r="FZ666" s="647"/>
      <c r="GA666" s="647"/>
    </row>
    <row r="667" spans="6:183">
      <c r="S667" s="3694"/>
      <c r="DV667" s="139"/>
      <c r="DY667" s="634"/>
      <c r="FZ667" s="647"/>
      <c r="GA667" s="647"/>
    </row>
    <row r="668" spans="6:183">
      <c r="S668" s="3694"/>
      <c r="DV668" s="139"/>
      <c r="DY668" s="634"/>
      <c r="FZ668" s="647"/>
      <c r="GA668" s="647"/>
    </row>
    <row r="669" spans="6:183">
      <c r="S669" s="3694"/>
      <c r="DV669" s="139"/>
      <c r="DY669" s="634"/>
      <c r="FZ669" s="647"/>
      <c r="GA669" s="647"/>
    </row>
    <row r="670" spans="6:183">
      <c r="S670" s="3694"/>
      <c r="DV670" s="139"/>
      <c r="DY670" s="634"/>
      <c r="FZ670" s="647"/>
      <c r="GA670" s="647"/>
    </row>
    <row r="671" spans="6:183">
      <c r="S671" s="3694"/>
      <c r="DV671" s="139"/>
      <c r="DY671" s="634"/>
      <c r="FZ671" s="647"/>
      <c r="GA671" s="647"/>
    </row>
    <row r="672" spans="6:183">
      <c r="S672" s="3694"/>
      <c r="DV672" s="139"/>
      <c r="DY672" s="634"/>
      <c r="FZ672" s="647"/>
      <c r="GA672" s="647"/>
    </row>
    <row r="673" spans="126:183">
      <c r="DV673" s="139"/>
      <c r="DY673" s="634"/>
      <c r="FZ673" s="647"/>
      <c r="GA673" s="647"/>
    </row>
    <row r="674" spans="126:183">
      <c r="DV674" s="139"/>
      <c r="DY674" s="634"/>
      <c r="FZ674" s="647"/>
      <c r="GA674" s="647"/>
    </row>
    <row r="675" spans="126:183">
      <c r="DV675" s="139"/>
      <c r="DY675" s="634"/>
      <c r="FZ675" s="647"/>
      <c r="GA675" s="647"/>
    </row>
    <row r="676" spans="126:183">
      <c r="DV676" s="139"/>
      <c r="DY676" s="634"/>
      <c r="FZ676" s="647"/>
      <c r="GA676" s="647"/>
    </row>
    <row r="677" spans="126:183">
      <c r="DV677" s="139"/>
      <c r="DY677" s="634"/>
      <c r="FZ677" s="647"/>
      <c r="GA677" s="647"/>
    </row>
    <row r="678" spans="126:183">
      <c r="DV678" s="139"/>
      <c r="DY678" s="634"/>
      <c r="FZ678" s="647"/>
      <c r="GA678" s="647"/>
    </row>
    <row r="679" spans="126:183">
      <c r="DV679" s="139"/>
      <c r="DY679" s="634"/>
      <c r="FZ679" s="647"/>
      <c r="GA679" s="647"/>
    </row>
    <row r="680" spans="126:183">
      <c r="DV680" s="139"/>
      <c r="DY680" s="634"/>
      <c r="FZ680" s="647"/>
      <c r="GA680" s="647"/>
    </row>
    <row r="681" spans="126:183">
      <c r="DV681" s="139"/>
      <c r="DY681" s="634"/>
      <c r="FZ681" s="647"/>
      <c r="GA681" s="647"/>
    </row>
    <row r="682" spans="126:183">
      <c r="DV682" s="139"/>
      <c r="DY682" s="634"/>
      <c r="FZ682" s="647"/>
      <c r="GA682" s="647"/>
    </row>
    <row r="683" spans="126:183">
      <c r="DV683" s="139"/>
      <c r="DY683" s="634"/>
      <c r="FZ683" s="647"/>
      <c r="GA683" s="647"/>
    </row>
    <row r="684" spans="126:183">
      <c r="DV684" s="139"/>
      <c r="DY684" s="634"/>
      <c r="FZ684" s="647"/>
      <c r="GA684" s="647"/>
    </row>
    <row r="685" spans="126:183">
      <c r="DV685" s="139"/>
      <c r="DY685" s="634"/>
      <c r="FZ685" s="647"/>
      <c r="GA685" s="647"/>
    </row>
    <row r="686" spans="126:183">
      <c r="DV686" s="139"/>
      <c r="DY686" s="634"/>
      <c r="FZ686" s="647"/>
      <c r="GA686" s="647"/>
    </row>
    <row r="687" spans="126:183">
      <c r="DV687" s="139"/>
      <c r="DY687" s="634"/>
      <c r="FZ687" s="647"/>
      <c r="GA687" s="647"/>
    </row>
    <row r="688" spans="126:183">
      <c r="DV688" s="139"/>
      <c r="DY688" s="634"/>
      <c r="FZ688" s="647"/>
      <c r="GA688" s="647"/>
    </row>
    <row r="689" spans="126:183">
      <c r="DV689" s="139"/>
      <c r="DY689" s="634"/>
      <c r="FZ689" s="647"/>
      <c r="GA689" s="647"/>
    </row>
    <row r="690" spans="126:183">
      <c r="DV690" s="139"/>
      <c r="DY690" s="634"/>
      <c r="FZ690" s="647"/>
      <c r="GA690" s="647"/>
    </row>
    <row r="691" spans="126:183">
      <c r="DV691" s="139"/>
      <c r="DY691" s="634"/>
      <c r="FZ691" s="647"/>
      <c r="GA691" s="647"/>
    </row>
    <row r="692" spans="126:183">
      <c r="DV692" s="139"/>
      <c r="DY692" s="634"/>
      <c r="FZ692" s="647"/>
      <c r="GA692" s="647"/>
    </row>
    <row r="693" spans="126:183">
      <c r="DV693" s="139"/>
      <c r="DY693" s="634"/>
      <c r="FZ693" s="647"/>
      <c r="GA693" s="647"/>
    </row>
    <row r="694" spans="126:183">
      <c r="DV694" s="139"/>
      <c r="DY694" s="634"/>
      <c r="FZ694" s="647"/>
      <c r="GA694" s="647"/>
    </row>
    <row r="695" spans="126:183">
      <c r="DV695" s="139"/>
      <c r="DY695" s="634"/>
      <c r="FZ695" s="647"/>
      <c r="GA695" s="647"/>
    </row>
    <row r="696" spans="126:183">
      <c r="DV696" s="139"/>
      <c r="DY696" s="634"/>
      <c r="FZ696" s="647"/>
      <c r="GA696" s="647"/>
    </row>
    <row r="697" spans="126:183">
      <c r="DV697" s="139"/>
      <c r="DY697" s="634"/>
      <c r="FZ697" s="647"/>
      <c r="GA697" s="647"/>
    </row>
    <row r="698" spans="126:183">
      <c r="DV698" s="139"/>
      <c r="DY698" s="634"/>
      <c r="FZ698" s="647"/>
      <c r="GA698" s="647"/>
    </row>
    <row r="699" spans="126:183">
      <c r="DV699" s="139"/>
      <c r="DY699" s="634"/>
      <c r="FZ699" s="647"/>
      <c r="GA699" s="647"/>
    </row>
    <row r="700" spans="126:183">
      <c r="DV700" s="139"/>
      <c r="DY700" s="634"/>
      <c r="FZ700" s="647"/>
      <c r="GA700" s="647"/>
    </row>
    <row r="701" spans="126:183">
      <c r="DV701" s="139"/>
      <c r="DY701" s="634"/>
      <c r="FZ701" s="647"/>
      <c r="GA701" s="647"/>
    </row>
    <row r="702" spans="126:183">
      <c r="DV702" s="139"/>
      <c r="DY702" s="634"/>
      <c r="FZ702" s="647"/>
      <c r="GA702" s="647"/>
    </row>
    <row r="703" spans="126:183">
      <c r="DV703" s="139"/>
      <c r="DY703" s="634"/>
      <c r="FZ703" s="647"/>
      <c r="GA703" s="647"/>
    </row>
    <row r="704" spans="126:183">
      <c r="DV704" s="139"/>
      <c r="DY704" s="634"/>
      <c r="FZ704" s="647"/>
      <c r="GA704" s="647"/>
    </row>
    <row r="705" spans="126:183">
      <c r="DV705" s="139"/>
      <c r="DY705" s="634"/>
      <c r="FZ705" s="647"/>
      <c r="GA705" s="647"/>
    </row>
    <row r="706" spans="126:183">
      <c r="DV706" s="139"/>
      <c r="DY706" s="634"/>
      <c r="FZ706" s="647"/>
      <c r="GA706" s="647"/>
    </row>
    <row r="707" spans="126:183">
      <c r="DV707" s="139"/>
      <c r="DY707" s="634"/>
      <c r="FZ707" s="647"/>
      <c r="GA707" s="647"/>
    </row>
    <row r="708" spans="126:183">
      <c r="DV708" s="139"/>
      <c r="DY708" s="634"/>
      <c r="FZ708" s="647"/>
      <c r="GA708" s="647"/>
    </row>
    <row r="709" spans="126:183">
      <c r="DV709" s="139"/>
      <c r="DY709" s="634"/>
      <c r="FZ709" s="647"/>
      <c r="GA709" s="647"/>
    </row>
    <row r="710" spans="126:183">
      <c r="DV710" s="139"/>
      <c r="DY710" s="634"/>
      <c r="FZ710" s="647"/>
      <c r="GA710" s="647"/>
    </row>
    <row r="711" spans="126:183">
      <c r="DV711" s="139"/>
      <c r="DY711" s="634"/>
      <c r="FZ711" s="647"/>
      <c r="GA711" s="647"/>
    </row>
    <row r="712" spans="126:183">
      <c r="DV712" s="139"/>
      <c r="DY712" s="634"/>
      <c r="FZ712" s="647"/>
      <c r="GA712" s="647"/>
    </row>
    <row r="713" spans="126:183">
      <c r="DV713" s="139"/>
      <c r="DY713" s="634"/>
      <c r="FZ713" s="647"/>
      <c r="GA713" s="647"/>
    </row>
    <row r="714" spans="126:183">
      <c r="DV714" s="139"/>
      <c r="DY714" s="634"/>
      <c r="FZ714" s="647"/>
      <c r="GA714" s="647"/>
    </row>
    <row r="715" spans="126:183">
      <c r="DV715" s="139"/>
      <c r="DY715" s="634"/>
      <c r="FZ715" s="647"/>
      <c r="GA715" s="647"/>
    </row>
    <row r="716" spans="126:183">
      <c r="DV716" s="139"/>
      <c r="DY716" s="634"/>
      <c r="FZ716" s="647"/>
      <c r="GA716" s="647"/>
    </row>
    <row r="717" spans="126:183">
      <c r="DV717" s="139"/>
      <c r="DY717" s="634"/>
      <c r="FZ717" s="647"/>
      <c r="GA717" s="647"/>
    </row>
    <row r="718" spans="126:183">
      <c r="DV718" s="139"/>
      <c r="DY718" s="634"/>
      <c r="FZ718" s="647"/>
      <c r="GA718" s="647"/>
    </row>
    <row r="719" spans="126:183">
      <c r="DV719" s="139"/>
      <c r="DY719" s="634"/>
      <c r="FZ719" s="647"/>
      <c r="GA719" s="647"/>
    </row>
    <row r="720" spans="126:183">
      <c r="DV720" s="139"/>
      <c r="DY720" s="634"/>
      <c r="FZ720" s="647"/>
      <c r="GA720" s="647"/>
    </row>
    <row r="721" spans="126:183">
      <c r="DV721" s="139"/>
      <c r="DY721" s="634"/>
      <c r="FZ721" s="647"/>
      <c r="GA721" s="647"/>
    </row>
    <row r="722" spans="126:183">
      <c r="DV722" s="139"/>
      <c r="DY722" s="634"/>
      <c r="FZ722" s="647"/>
      <c r="GA722" s="647"/>
    </row>
    <row r="723" spans="126:183">
      <c r="DV723" s="139"/>
      <c r="DY723" s="634"/>
      <c r="FZ723" s="647"/>
      <c r="GA723" s="647"/>
    </row>
    <row r="724" spans="126:183">
      <c r="DV724" s="139"/>
      <c r="DY724" s="634"/>
      <c r="FZ724" s="647"/>
      <c r="GA724" s="647"/>
    </row>
    <row r="725" spans="126:183">
      <c r="DV725" s="139"/>
      <c r="DY725" s="634"/>
      <c r="FZ725" s="647"/>
      <c r="GA725" s="647"/>
    </row>
    <row r="726" spans="126:183">
      <c r="DV726" s="139"/>
      <c r="DY726" s="634"/>
      <c r="FZ726" s="647"/>
      <c r="GA726" s="647"/>
    </row>
    <row r="727" spans="126:183">
      <c r="DV727" s="139"/>
      <c r="DY727" s="634"/>
      <c r="FZ727" s="647"/>
      <c r="GA727" s="647"/>
    </row>
    <row r="728" spans="126:183">
      <c r="DV728" s="139"/>
      <c r="DY728" s="634"/>
      <c r="FZ728" s="647"/>
      <c r="GA728" s="647"/>
    </row>
    <row r="729" spans="126:183">
      <c r="DV729" s="139"/>
      <c r="DY729" s="634"/>
      <c r="FZ729" s="647"/>
      <c r="GA729" s="647"/>
    </row>
    <row r="730" spans="126:183">
      <c r="DV730" s="139"/>
      <c r="DY730" s="634"/>
      <c r="FZ730" s="647"/>
      <c r="GA730" s="647"/>
    </row>
    <row r="731" spans="126:183">
      <c r="DV731" s="139"/>
      <c r="DY731" s="634"/>
      <c r="FZ731" s="647"/>
      <c r="GA731" s="647"/>
    </row>
    <row r="732" spans="126:183">
      <c r="DV732" s="139"/>
      <c r="DY732" s="634"/>
      <c r="FZ732" s="647"/>
      <c r="GA732" s="647"/>
    </row>
    <row r="733" spans="126:183">
      <c r="DV733" s="139"/>
      <c r="DY733" s="634"/>
      <c r="FZ733" s="647"/>
      <c r="GA733" s="647"/>
    </row>
    <row r="734" spans="126:183">
      <c r="DV734" s="139"/>
      <c r="DY734" s="634"/>
      <c r="FZ734" s="647"/>
      <c r="GA734" s="647"/>
    </row>
    <row r="735" spans="126:183">
      <c r="DV735" s="139"/>
      <c r="DY735" s="634"/>
      <c r="FZ735" s="647"/>
      <c r="GA735" s="647"/>
    </row>
    <row r="736" spans="126:183">
      <c r="DV736" s="139"/>
      <c r="DY736" s="634"/>
      <c r="FZ736" s="647"/>
      <c r="GA736" s="647"/>
    </row>
    <row r="737" spans="126:183">
      <c r="DV737" s="139"/>
      <c r="DY737" s="634"/>
      <c r="FZ737" s="647"/>
      <c r="GA737" s="647"/>
    </row>
    <row r="738" spans="126:183">
      <c r="DV738" s="139"/>
      <c r="DY738" s="634"/>
      <c r="FZ738" s="647"/>
      <c r="GA738" s="647"/>
    </row>
    <row r="739" spans="126:183">
      <c r="DV739" s="139"/>
      <c r="DY739" s="634"/>
      <c r="FZ739" s="647"/>
      <c r="GA739" s="647"/>
    </row>
    <row r="740" spans="126:183">
      <c r="DV740" s="139"/>
      <c r="DY740" s="634"/>
      <c r="FZ740" s="647"/>
      <c r="GA740" s="647"/>
    </row>
    <row r="741" spans="126:183">
      <c r="DV741" s="139"/>
      <c r="DY741" s="634"/>
      <c r="FZ741" s="647"/>
      <c r="GA741" s="647"/>
    </row>
    <row r="742" spans="126:183">
      <c r="DV742" s="139"/>
      <c r="DY742" s="634"/>
      <c r="FZ742" s="647"/>
      <c r="GA742" s="647"/>
    </row>
    <row r="743" spans="126:183">
      <c r="DV743" s="139"/>
      <c r="DY743" s="634"/>
      <c r="FZ743" s="647"/>
      <c r="GA743" s="647"/>
    </row>
    <row r="744" spans="126:183">
      <c r="DV744" s="139"/>
      <c r="DY744" s="634"/>
      <c r="FZ744" s="647"/>
      <c r="GA744" s="647"/>
    </row>
    <row r="745" spans="126:183">
      <c r="DV745" s="139"/>
      <c r="DY745" s="634"/>
      <c r="FZ745" s="647"/>
      <c r="GA745" s="647"/>
    </row>
    <row r="746" spans="126:183">
      <c r="DV746" s="139"/>
      <c r="DY746" s="634"/>
      <c r="FZ746" s="647"/>
      <c r="GA746" s="647"/>
    </row>
    <row r="747" spans="126:183">
      <c r="DV747" s="139"/>
      <c r="DY747" s="634"/>
      <c r="FZ747" s="647"/>
      <c r="GA747" s="647"/>
    </row>
    <row r="748" spans="126:183">
      <c r="DV748" s="139"/>
      <c r="DY748" s="634"/>
      <c r="FZ748" s="647"/>
      <c r="GA748" s="647"/>
    </row>
    <row r="749" spans="126:183">
      <c r="DV749" s="139"/>
      <c r="DY749" s="634"/>
      <c r="FZ749" s="647"/>
      <c r="GA749" s="647"/>
    </row>
    <row r="750" spans="126:183">
      <c r="DV750" s="139"/>
      <c r="DY750" s="634"/>
      <c r="FZ750" s="647"/>
      <c r="GA750" s="647"/>
    </row>
    <row r="751" spans="126:183">
      <c r="DV751" s="139"/>
      <c r="DY751" s="634"/>
      <c r="FZ751" s="647"/>
      <c r="GA751" s="647"/>
    </row>
    <row r="752" spans="126:183">
      <c r="DV752" s="139"/>
      <c r="DY752" s="634"/>
      <c r="FZ752" s="647"/>
      <c r="GA752" s="647"/>
    </row>
    <row r="753" spans="126:183">
      <c r="DV753" s="139"/>
      <c r="DY753" s="634"/>
      <c r="FZ753" s="647"/>
      <c r="GA753" s="647"/>
    </row>
    <row r="754" spans="126:183">
      <c r="DV754" s="139"/>
      <c r="DY754" s="634"/>
      <c r="FZ754" s="647"/>
      <c r="GA754" s="647"/>
    </row>
    <row r="755" spans="126:183">
      <c r="DV755" s="139"/>
      <c r="DY755" s="634"/>
      <c r="FZ755" s="647"/>
      <c r="GA755" s="647"/>
    </row>
    <row r="756" spans="126:183">
      <c r="DV756" s="139"/>
      <c r="DY756" s="634"/>
      <c r="FZ756" s="647"/>
      <c r="GA756" s="647"/>
    </row>
    <row r="757" spans="126:183">
      <c r="DV757" s="139"/>
      <c r="DY757" s="634"/>
      <c r="FZ757" s="647"/>
      <c r="GA757" s="647"/>
    </row>
    <row r="758" spans="126:183">
      <c r="DV758" s="139"/>
      <c r="DY758" s="634"/>
      <c r="FZ758" s="647"/>
      <c r="GA758" s="647"/>
    </row>
    <row r="759" spans="126:183">
      <c r="DV759" s="139"/>
      <c r="DY759" s="634"/>
      <c r="FZ759" s="647"/>
      <c r="GA759" s="647"/>
    </row>
    <row r="760" spans="126:183">
      <c r="DV760" s="139"/>
      <c r="DY760" s="634"/>
      <c r="FZ760" s="647"/>
      <c r="GA760" s="647"/>
    </row>
    <row r="761" spans="126:183">
      <c r="DV761" s="139"/>
      <c r="DY761" s="634"/>
      <c r="FZ761" s="647"/>
      <c r="GA761" s="647"/>
    </row>
    <row r="762" spans="126:183">
      <c r="DV762" s="139"/>
      <c r="DY762" s="634"/>
      <c r="FZ762" s="647"/>
      <c r="GA762" s="647"/>
    </row>
    <row r="763" spans="126:183">
      <c r="DV763" s="139"/>
      <c r="DY763" s="634"/>
      <c r="FZ763" s="647"/>
      <c r="GA763" s="647"/>
    </row>
    <row r="764" spans="126:183">
      <c r="DV764" s="139"/>
      <c r="DY764" s="634"/>
      <c r="FZ764" s="647"/>
      <c r="GA764" s="647"/>
    </row>
    <row r="765" spans="126:183">
      <c r="DV765" s="139"/>
      <c r="DY765" s="634"/>
      <c r="FZ765" s="647"/>
      <c r="GA765" s="647"/>
    </row>
    <row r="766" spans="126:183">
      <c r="DV766" s="139"/>
      <c r="DY766" s="634"/>
      <c r="FZ766" s="647"/>
      <c r="GA766" s="647"/>
    </row>
    <row r="767" spans="126:183">
      <c r="DV767" s="139"/>
      <c r="DY767" s="634"/>
      <c r="FZ767" s="647"/>
      <c r="GA767" s="647"/>
    </row>
    <row r="768" spans="126:183">
      <c r="DV768" s="139"/>
      <c r="DY768" s="634"/>
      <c r="FZ768" s="647"/>
      <c r="GA768" s="647"/>
    </row>
    <row r="769" spans="126:183">
      <c r="DV769" s="139"/>
      <c r="DY769" s="634"/>
      <c r="FZ769" s="647"/>
      <c r="GA769" s="647"/>
    </row>
    <row r="770" spans="126:183">
      <c r="DV770" s="139"/>
      <c r="DY770" s="634"/>
      <c r="FZ770" s="647"/>
      <c r="GA770" s="647"/>
    </row>
    <row r="771" spans="126:183">
      <c r="DV771" s="139"/>
      <c r="DY771" s="634"/>
      <c r="FZ771" s="647"/>
      <c r="GA771" s="647"/>
    </row>
    <row r="772" spans="126:183">
      <c r="DV772" s="139"/>
      <c r="DY772" s="634"/>
      <c r="FZ772" s="647"/>
      <c r="GA772" s="647"/>
    </row>
    <row r="773" spans="126:183">
      <c r="DV773" s="139"/>
      <c r="DY773" s="634"/>
      <c r="FZ773" s="647"/>
      <c r="GA773" s="647"/>
    </row>
    <row r="774" spans="126:183">
      <c r="DV774" s="139"/>
      <c r="DY774" s="634"/>
      <c r="FZ774" s="647"/>
      <c r="GA774" s="647"/>
    </row>
    <row r="775" spans="126:183">
      <c r="DV775" s="139"/>
      <c r="DY775" s="634"/>
      <c r="FZ775" s="647"/>
      <c r="GA775" s="647"/>
    </row>
    <row r="776" spans="126:183">
      <c r="DV776" s="139"/>
      <c r="DY776" s="634"/>
      <c r="FZ776" s="647"/>
      <c r="GA776" s="647"/>
    </row>
    <row r="777" spans="126:183">
      <c r="DV777" s="139"/>
      <c r="DY777" s="634"/>
      <c r="FZ777" s="647"/>
      <c r="GA777" s="647"/>
    </row>
    <row r="778" spans="126:183">
      <c r="DV778" s="139"/>
      <c r="DY778" s="634"/>
      <c r="FZ778" s="647"/>
      <c r="GA778" s="647"/>
    </row>
    <row r="779" spans="126:183">
      <c r="DV779" s="139"/>
      <c r="DY779" s="634"/>
      <c r="FZ779" s="647"/>
      <c r="GA779" s="647"/>
    </row>
    <row r="780" spans="126:183">
      <c r="DV780" s="139"/>
      <c r="DY780" s="634"/>
      <c r="FZ780" s="647"/>
      <c r="GA780" s="647"/>
    </row>
    <row r="781" spans="126:183">
      <c r="DV781" s="139"/>
      <c r="DY781" s="634"/>
      <c r="FZ781" s="647"/>
      <c r="GA781" s="647"/>
    </row>
    <row r="782" spans="126:183">
      <c r="DV782" s="139"/>
      <c r="DY782" s="634"/>
      <c r="FZ782" s="647"/>
      <c r="GA782" s="647"/>
    </row>
    <row r="783" spans="126:183">
      <c r="DV783" s="139"/>
      <c r="DY783" s="634"/>
      <c r="FZ783" s="647"/>
      <c r="GA783" s="647"/>
    </row>
    <row r="784" spans="126:183">
      <c r="DV784" s="139"/>
      <c r="DY784" s="634"/>
      <c r="FZ784" s="647"/>
      <c r="GA784" s="647"/>
    </row>
    <row r="785" spans="126:183">
      <c r="DV785" s="139"/>
      <c r="DY785" s="634"/>
      <c r="FZ785" s="647"/>
      <c r="GA785" s="647"/>
    </row>
    <row r="786" spans="126:183">
      <c r="DV786" s="139"/>
      <c r="DY786" s="634"/>
      <c r="FZ786" s="647"/>
      <c r="GA786" s="647"/>
    </row>
    <row r="787" spans="126:183">
      <c r="DV787" s="139"/>
      <c r="DY787" s="634"/>
      <c r="FZ787" s="647"/>
      <c r="GA787" s="647"/>
    </row>
    <row r="788" spans="126:183">
      <c r="DV788" s="139"/>
      <c r="DY788" s="634"/>
      <c r="FZ788" s="647"/>
      <c r="GA788" s="647"/>
    </row>
    <row r="789" spans="126:183">
      <c r="DV789" s="139"/>
      <c r="DY789" s="634"/>
      <c r="FZ789" s="647"/>
      <c r="GA789" s="647"/>
    </row>
    <row r="790" spans="126:183">
      <c r="DV790" s="139"/>
      <c r="DY790" s="634"/>
      <c r="FZ790" s="647"/>
      <c r="GA790" s="647"/>
    </row>
    <row r="791" spans="126:183">
      <c r="DV791" s="139"/>
      <c r="DY791" s="634"/>
      <c r="FZ791" s="647"/>
      <c r="GA791" s="647"/>
    </row>
    <row r="792" spans="126:183">
      <c r="DV792" s="139"/>
      <c r="DY792" s="634"/>
      <c r="FZ792" s="647"/>
      <c r="GA792" s="647"/>
    </row>
    <row r="793" spans="126:183">
      <c r="DV793" s="139"/>
      <c r="DY793" s="634"/>
      <c r="FZ793" s="647"/>
      <c r="GA793" s="647"/>
    </row>
    <row r="794" spans="126:183">
      <c r="DV794" s="139"/>
      <c r="DY794" s="634"/>
      <c r="FZ794" s="647"/>
      <c r="GA794" s="647"/>
    </row>
    <row r="795" spans="126:183">
      <c r="DV795" s="139"/>
      <c r="DY795" s="634"/>
      <c r="FZ795" s="647"/>
      <c r="GA795" s="647"/>
    </row>
    <row r="796" spans="126:183">
      <c r="DV796" s="139"/>
      <c r="DY796" s="634"/>
      <c r="FZ796" s="647"/>
      <c r="GA796" s="647"/>
    </row>
    <row r="797" spans="126:183">
      <c r="DV797" s="139"/>
      <c r="DY797" s="634"/>
      <c r="FZ797" s="647"/>
      <c r="GA797" s="647"/>
    </row>
    <row r="798" spans="126:183">
      <c r="DV798" s="139"/>
      <c r="DY798" s="634"/>
      <c r="FZ798" s="647"/>
      <c r="GA798" s="647"/>
    </row>
    <row r="799" spans="126:183">
      <c r="DV799" s="139"/>
      <c r="DY799" s="634"/>
      <c r="FZ799" s="647"/>
      <c r="GA799" s="647"/>
    </row>
    <row r="800" spans="126:183">
      <c r="DV800" s="139"/>
      <c r="DY800" s="634"/>
      <c r="FZ800" s="647"/>
      <c r="GA800" s="647"/>
    </row>
    <row r="801" spans="126:183">
      <c r="DV801" s="139"/>
      <c r="DY801" s="634"/>
      <c r="FZ801" s="647"/>
      <c r="GA801" s="647"/>
    </row>
    <row r="802" spans="126:183">
      <c r="DV802" s="139"/>
      <c r="DY802" s="634"/>
      <c r="FZ802" s="647"/>
      <c r="GA802" s="647"/>
    </row>
    <row r="803" spans="126:183">
      <c r="DV803" s="139"/>
      <c r="DY803" s="634"/>
      <c r="FZ803" s="647"/>
      <c r="GA803" s="647"/>
    </row>
    <row r="804" spans="126:183">
      <c r="DV804" s="139"/>
      <c r="DY804" s="634"/>
      <c r="FZ804" s="647"/>
      <c r="GA804" s="647"/>
    </row>
    <row r="805" spans="126:183">
      <c r="DV805" s="139"/>
      <c r="DY805" s="634"/>
      <c r="FZ805" s="647"/>
      <c r="GA805" s="647"/>
    </row>
    <row r="806" spans="126:183">
      <c r="DV806" s="139"/>
      <c r="DY806" s="634"/>
      <c r="FZ806" s="647"/>
      <c r="GA806" s="647"/>
    </row>
    <row r="807" spans="126:183">
      <c r="DV807" s="139"/>
      <c r="DY807" s="634"/>
      <c r="FZ807" s="647"/>
      <c r="GA807" s="647"/>
    </row>
    <row r="808" spans="126:183">
      <c r="DV808" s="139"/>
      <c r="DY808" s="634"/>
      <c r="FZ808" s="647"/>
      <c r="GA808" s="647"/>
    </row>
    <row r="809" spans="126:183">
      <c r="DV809" s="139"/>
      <c r="DY809" s="634"/>
      <c r="FZ809" s="647"/>
      <c r="GA809" s="647"/>
    </row>
    <row r="810" spans="126:183">
      <c r="DV810" s="139"/>
      <c r="DY810" s="634"/>
      <c r="FZ810" s="647"/>
      <c r="GA810" s="647"/>
    </row>
    <row r="811" spans="126:183">
      <c r="DV811" s="139"/>
      <c r="DY811" s="634"/>
      <c r="FZ811" s="647"/>
      <c r="GA811" s="647"/>
    </row>
    <row r="812" spans="126:183">
      <c r="DV812" s="139"/>
      <c r="DY812" s="634"/>
      <c r="FZ812" s="647"/>
      <c r="GA812" s="647"/>
    </row>
    <row r="813" spans="126:183">
      <c r="DV813" s="139"/>
      <c r="DY813" s="634"/>
      <c r="FZ813" s="647"/>
      <c r="GA813" s="647"/>
    </row>
    <row r="814" spans="126:183">
      <c r="DV814" s="139"/>
      <c r="DY814" s="634"/>
      <c r="FZ814" s="647"/>
      <c r="GA814" s="647"/>
    </row>
    <row r="815" spans="126:183">
      <c r="DV815" s="139"/>
      <c r="DY815" s="634"/>
      <c r="FZ815" s="647"/>
      <c r="GA815" s="647"/>
    </row>
    <row r="816" spans="126:183">
      <c r="DV816" s="139"/>
      <c r="DY816" s="634"/>
      <c r="FZ816" s="647"/>
      <c r="GA816" s="647"/>
    </row>
    <row r="817" spans="126:183">
      <c r="DV817" s="139"/>
      <c r="DY817" s="634"/>
      <c r="FZ817" s="647"/>
      <c r="GA817" s="647"/>
    </row>
    <row r="818" spans="126:183">
      <c r="DV818" s="139"/>
      <c r="DY818" s="634"/>
      <c r="FZ818" s="647"/>
      <c r="GA818" s="647"/>
    </row>
    <row r="819" spans="126:183">
      <c r="DV819" s="139"/>
      <c r="DY819" s="634"/>
      <c r="FZ819" s="647"/>
      <c r="GA819" s="647"/>
    </row>
    <row r="820" spans="126:183">
      <c r="DV820" s="139"/>
      <c r="DY820" s="634"/>
      <c r="FZ820" s="647"/>
      <c r="GA820" s="647"/>
    </row>
    <row r="821" spans="126:183">
      <c r="DV821" s="139"/>
      <c r="DY821" s="634"/>
      <c r="FZ821" s="647"/>
      <c r="GA821" s="647"/>
    </row>
    <row r="822" spans="126:183">
      <c r="DV822" s="139"/>
      <c r="DY822" s="634"/>
      <c r="FZ822" s="647"/>
      <c r="GA822" s="647"/>
    </row>
    <row r="823" spans="126:183">
      <c r="DV823" s="139"/>
      <c r="DY823" s="634"/>
      <c r="FZ823" s="647"/>
      <c r="GA823" s="647"/>
    </row>
    <row r="824" spans="126:183">
      <c r="DV824" s="139"/>
      <c r="DY824" s="634"/>
      <c r="FZ824" s="647"/>
      <c r="GA824" s="647"/>
    </row>
    <row r="825" spans="126:183">
      <c r="DV825" s="139"/>
      <c r="DY825" s="634"/>
      <c r="FZ825" s="647"/>
      <c r="GA825" s="647"/>
    </row>
    <row r="826" spans="126:183">
      <c r="DV826" s="139"/>
      <c r="DY826" s="634"/>
      <c r="FZ826" s="647"/>
      <c r="GA826" s="647"/>
    </row>
    <row r="827" spans="126:183">
      <c r="DV827" s="139"/>
      <c r="DY827" s="634"/>
      <c r="FZ827" s="647"/>
      <c r="GA827" s="647"/>
    </row>
    <row r="828" spans="126:183">
      <c r="DV828" s="139"/>
      <c r="DY828" s="634"/>
      <c r="FZ828" s="647"/>
      <c r="GA828" s="647"/>
    </row>
    <row r="829" spans="126:183">
      <c r="DV829" s="139"/>
      <c r="DY829" s="634"/>
      <c r="FZ829" s="647"/>
      <c r="GA829" s="647"/>
    </row>
    <row r="830" spans="126:183">
      <c r="DV830" s="139"/>
      <c r="DY830" s="634"/>
      <c r="FZ830" s="647"/>
      <c r="GA830" s="647"/>
    </row>
    <row r="831" spans="126:183">
      <c r="DV831" s="139"/>
      <c r="DY831" s="634"/>
      <c r="FZ831" s="647"/>
      <c r="GA831" s="647"/>
    </row>
    <row r="832" spans="126:183">
      <c r="DV832" s="139"/>
      <c r="DY832" s="634"/>
      <c r="FZ832" s="647"/>
      <c r="GA832" s="647"/>
    </row>
    <row r="833" spans="126:183">
      <c r="DV833" s="139"/>
      <c r="DY833" s="634"/>
      <c r="FZ833" s="647"/>
      <c r="GA833" s="647"/>
    </row>
    <row r="834" spans="126:183">
      <c r="DV834" s="139"/>
      <c r="DY834" s="634"/>
      <c r="FZ834" s="647"/>
      <c r="GA834" s="647"/>
    </row>
    <row r="835" spans="126:183">
      <c r="DV835" s="139"/>
      <c r="DY835" s="634"/>
      <c r="FZ835" s="647"/>
      <c r="GA835" s="647"/>
    </row>
    <row r="836" spans="126:183">
      <c r="DV836" s="139"/>
      <c r="DY836" s="634"/>
      <c r="FZ836" s="647"/>
      <c r="GA836" s="647"/>
    </row>
    <row r="837" spans="126:183">
      <c r="DV837" s="139"/>
      <c r="DY837" s="634"/>
      <c r="FZ837" s="647"/>
      <c r="GA837" s="647"/>
    </row>
    <row r="838" spans="126:183">
      <c r="DV838" s="139"/>
      <c r="DY838" s="634"/>
      <c r="FZ838" s="647"/>
      <c r="GA838" s="647"/>
    </row>
    <row r="839" spans="126:183">
      <c r="DV839" s="139"/>
      <c r="DY839" s="634"/>
      <c r="FZ839" s="647"/>
      <c r="GA839" s="647"/>
    </row>
    <row r="840" spans="126:183">
      <c r="DV840" s="139"/>
      <c r="DY840" s="634"/>
      <c r="FZ840" s="647"/>
      <c r="GA840" s="647"/>
    </row>
    <row r="841" spans="126:183">
      <c r="DV841" s="139"/>
      <c r="DY841" s="634"/>
      <c r="FZ841" s="647"/>
      <c r="GA841" s="647"/>
    </row>
    <row r="842" spans="126:183">
      <c r="DV842" s="139"/>
      <c r="DY842" s="634"/>
      <c r="FZ842" s="647"/>
      <c r="GA842" s="647"/>
    </row>
    <row r="843" spans="126:183">
      <c r="DV843" s="139"/>
      <c r="DY843" s="634"/>
      <c r="FZ843" s="647"/>
      <c r="GA843" s="647"/>
    </row>
    <row r="844" spans="126:183">
      <c r="DV844" s="139"/>
      <c r="DY844" s="634"/>
      <c r="FZ844" s="647"/>
      <c r="GA844" s="647"/>
    </row>
    <row r="845" spans="126:183">
      <c r="DV845" s="139"/>
      <c r="DY845" s="634"/>
      <c r="FZ845" s="647"/>
      <c r="GA845" s="647"/>
    </row>
    <row r="846" spans="126:183">
      <c r="DV846" s="139"/>
      <c r="DY846" s="634"/>
      <c r="FZ846" s="647"/>
      <c r="GA846" s="647"/>
    </row>
    <row r="847" spans="126:183">
      <c r="DV847" s="139"/>
      <c r="DY847" s="634"/>
      <c r="FZ847" s="647"/>
      <c r="GA847" s="647"/>
    </row>
    <row r="848" spans="126:183">
      <c r="DV848" s="139"/>
      <c r="DY848" s="634"/>
      <c r="FZ848" s="647"/>
      <c r="GA848" s="647"/>
    </row>
    <row r="849" spans="126:183">
      <c r="DV849" s="139"/>
      <c r="DY849" s="634"/>
      <c r="FZ849" s="647"/>
      <c r="GA849" s="647"/>
    </row>
    <row r="850" spans="126:183">
      <c r="DV850" s="139"/>
      <c r="DY850" s="634"/>
      <c r="FZ850" s="647"/>
      <c r="GA850" s="647"/>
    </row>
    <row r="851" spans="126:183">
      <c r="DV851" s="139"/>
      <c r="DY851" s="634"/>
      <c r="FW851" s="647"/>
      <c r="FZ851" s="647"/>
      <c r="GA851" s="647"/>
    </row>
    <row r="852" spans="126:183">
      <c r="DV852" s="139"/>
      <c r="DY852" s="634"/>
      <c r="FZ852" s="647"/>
      <c r="GA852" s="647"/>
    </row>
    <row r="853" spans="126:183">
      <c r="DV853" s="139"/>
      <c r="DY853" s="634"/>
      <c r="FZ853" s="647"/>
      <c r="GA853" s="647"/>
    </row>
    <row r="854" spans="126:183">
      <c r="DV854" s="139"/>
      <c r="DY854" s="634"/>
      <c r="FZ854" s="647"/>
      <c r="GA854" s="647"/>
    </row>
    <row r="855" spans="126:183">
      <c r="DV855" s="139"/>
      <c r="DY855" s="634"/>
      <c r="FZ855" s="647"/>
      <c r="GA855" s="647"/>
    </row>
    <row r="856" spans="126:183">
      <c r="DV856" s="139"/>
      <c r="DY856" s="634"/>
      <c r="FZ856" s="647"/>
      <c r="GA856" s="647"/>
    </row>
    <row r="857" spans="126:183">
      <c r="DV857" s="139"/>
      <c r="DY857" s="634"/>
      <c r="FZ857" s="647"/>
      <c r="GA857" s="647"/>
    </row>
    <row r="858" spans="126:183">
      <c r="DV858" s="139"/>
      <c r="DY858" s="634"/>
      <c r="FZ858" s="647"/>
      <c r="GA858" s="647"/>
    </row>
    <row r="859" spans="126:183">
      <c r="DV859" s="139"/>
      <c r="DY859" s="634"/>
      <c r="FZ859" s="647"/>
      <c r="GA859" s="647"/>
    </row>
    <row r="860" spans="126:183">
      <c r="DV860" s="139"/>
      <c r="DY860" s="634"/>
      <c r="FZ860" s="647"/>
      <c r="GA860" s="647"/>
    </row>
    <row r="861" spans="126:183">
      <c r="DV861" s="139"/>
      <c r="DY861" s="634"/>
      <c r="FZ861" s="647"/>
      <c r="GA861" s="647"/>
    </row>
    <row r="862" spans="126:183">
      <c r="DV862" s="139"/>
      <c r="DY862" s="634"/>
      <c r="FZ862" s="647"/>
      <c r="GA862" s="647"/>
    </row>
    <row r="863" spans="126:183">
      <c r="DV863" s="139"/>
      <c r="DY863" s="634"/>
      <c r="FZ863" s="647"/>
      <c r="GA863" s="647"/>
    </row>
    <row r="864" spans="126:183">
      <c r="DV864" s="139"/>
      <c r="DY864" s="634"/>
      <c r="FZ864" s="647"/>
      <c r="GA864" s="647"/>
    </row>
    <row r="865" spans="126:183">
      <c r="DV865" s="139"/>
      <c r="DY865" s="634"/>
      <c r="FZ865" s="647"/>
      <c r="GA865" s="647"/>
    </row>
    <row r="866" spans="126:183">
      <c r="DV866" s="139"/>
      <c r="DY866" s="634"/>
    </row>
    <row r="867" spans="126:183">
      <c r="DV867" s="139"/>
      <c r="DY867" s="634"/>
    </row>
  </sheetData>
  <mergeCells count="2039">
    <mergeCell ref="FL264:FL265"/>
    <mergeCell ref="FN264:FN265"/>
    <mergeCell ref="FP264:FP265"/>
    <mergeCell ref="GB264:GB265"/>
    <mergeCell ref="EZ264:EZ265"/>
    <mergeCell ref="FB264:FB265"/>
    <mergeCell ref="FD264:FD265"/>
    <mergeCell ref="FF264:FF265"/>
    <mergeCell ref="FH264:FH265"/>
    <mergeCell ref="FJ264:FJ265"/>
    <mergeCell ref="EN264:EN265"/>
    <mergeCell ref="EP264:EP265"/>
    <mergeCell ref="ER264:ER265"/>
    <mergeCell ref="ET264:ET265"/>
    <mergeCell ref="EV264:EV265"/>
    <mergeCell ref="EX264:EX265"/>
    <mergeCell ref="EA264:EA265"/>
    <mergeCell ref="EC264:EC265"/>
    <mergeCell ref="EF264:EF265"/>
    <mergeCell ref="EH264:EH265"/>
    <mergeCell ref="EJ264:EJ265"/>
    <mergeCell ref="EL264:EL265"/>
    <mergeCell ref="DE264:DE265"/>
    <mergeCell ref="DG264:DG265"/>
    <mergeCell ref="DI264:DI265"/>
    <mergeCell ref="DW264:DW265"/>
    <mergeCell ref="DY264:DY265"/>
    <mergeCell ref="DZ264:DZ265"/>
    <mergeCell ref="CG264:CG265"/>
    <mergeCell ref="CI264:CI265"/>
    <mergeCell ref="CK264:CK265"/>
    <mergeCell ref="CM264:CM265"/>
    <mergeCell ref="CQ264:CQ265"/>
    <mergeCell ref="CW264:CW265"/>
    <mergeCell ref="BF264:BF265"/>
    <mergeCell ref="BH264:BH265"/>
    <mergeCell ref="BT264:BT265"/>
    <mergeCell ref="CB264:CB265"/>
    <mergeCell ref="CD264:CD265"/>
    <mergeCell ref="CE264:CE265"/>
    <mergeCell ref="AN264:AN265"/>
    <mergeCell ref="AP264:AP265"/>
    <mergeCell ref="AR264:AR265"/>
    <mergeCell ref="AT264:AT265"/>
    <mergeCell ref="AV264:AV265"/>
    <mergeCell ref="BD264:BD265"/>
    <mergeCell ref="GB255:GB258"/>
    <mergeCell ref="A264:A265"/>
    <mergeCell ref="B264:B265"/>
    <mergeCell ref="T264:T265"/>
    <mergeCell ref="V264:V265"/>
    <mergeCell ref="Z264:Z265"/>
    <mergeCell ref="AB264:AB265"/>
    <mergeCell ref="AD264:AD265"/>
    <mergeCell ref="AI264:AI265"/>
    <mergeCell ref="AK264:AK265"/>
    <mergeCell ref="FF255:FF258"/>
    <mergeCell ref="FH255:FH258"/>
    <mergeCell ref="FJ255:FJ258"/>
    <mergeCell ref="FL255:FL258"/>
    <mergeCell ref="FN255:FN258"/>
    <mergeCell ref="FP255:FP258"/>
    <mergeCell ref="ET255:ET258"/>
    <mergeCell ref="EV255:EV258"/>
    <mergeCell ref="EX255:EX258"/>
    <mergeCell ref="EZ255:EZ258"/>
    <mergeCell ref="FB255:FB258"/>
    <mergeCell ref="FD255:FD258"/>
    <mergeCell ref="EH255:EH258"/>
    <mergeCell ref="EJ255:EJ258"/>
    <mergeCell ref="EL255:EL258"/>
    <mergeCell ref="EN255:EN258"/>
    <mergeCell ref="EP255:EP258"/>
    <mergeCell ref="ER255:ER258"/>
    <mergeCell ref="DW255:DW258"/>
    <mergeCell ref="DY255:DY258"/>
    <mergeCell ref="DZ255:DZ258"/>
    <mergeCell ref="EA255:EA258"/>
    <mergeCell ref="EC255:EC258"/>
    <mergeCell ref="EF255:EF258"/>
    <mergeCell ref="CM255:CM258"/>
    <mergeCell ref="CQ255:CQ258"/>
    <mergeCell ref="CW255:CW258"/>
    <mergeCell ref="DE255:DE258"/>
    <mergeCell ref="DG255:DG258"/>
    <mergeCell ref="DI255:DI258"/>
    <mergeCell ref="CB255:CB258"/>
    <mergeCell ref="CD255:CD258"/>
    <mergeCell ref="CE255:CE258"/>
    <mergeCell ref="CG255:CG258"/>
    <mergeCell ref="CI255:CI258"/>
    <mergeCell ref="CK255:CK258"/>
    <mergeCell ref="AT255:AT258"/>
    <mergeCell ref="AV255:AV258"/>
    <mergeCell ref="BD255:BD258"/>
    <mergeCell ref="BF255:BF258"/>
    <mergeCell ref="BH255:BH258"/>
    <mergeCell ref="BT255:BT258"/>
    <mergeCell ref="AD255:AD258"/>
    <mergeCell ref="AI255:AI258"/>
    <mergeCell ref="AK255:AK258"/>
    <mergeCell ref="AN255:AN258"/>
    <mergeCell ref="AP255:AP258"/>
    <mergeCell ref="AR255:AR258"/>
    <mergeCell ref="FL252:FL253"/>
    <mergeCell ref="FN252:FN253"/>
    <mergeCell ref="FP252:FP253"/>
    <mergeCell ref="GB252:GB253"/>
    <mergeCell ref="A255:A258"/>
    <mergeCell ref="B255:B258"/>
    <mergeCell ref="T255:T258"/>
    <mergeCell ref="V255:V258"/>
    <mergeCell ref="Z255:Z258"/>
    <mergeCell ref="AB255:AB258"/>
    <mergeCell ref="EZ252:EZ253"/>
    <mergeCell ref="FB252:FB253"/>
    <mergeCell ref="FD252:FD253"/>
    <mergeCell ref="FF252:FF253"/>
    <mergeCell ref="FH252:FH253"/>
    <mergeCell ref="FJ252:FJ253"/>
    <mergeCell ref="EN252:EN253"/>
    <mergeCell ref="EP252:EP253"/>
    <mergeCell ref="ER252:ER253"/>
    <mergeCell ref="ET252:ET253"/>
    <mergeCell ref="EV252:EV253"/>
    <mergeCell ref="EX252:EX253"/>
    <mergeCell ref="EA252:EA253"/>
    <mergeCell ref="EC252:EC253"/>
    <mergeCell ref="EF252:EF253"/>
    <mergeCell ref="EH252:EH253"/>
    <mergeCell ref="EJ252:EJ253"/>
    <mergeCell ref="EL252:EL253"/>
    <mergeCell ref="DE252:DE253"/>
    <mergeCell ref="DG252:DG253"/>
    <mergeCell ref="DI252:DI253"/>
    <mergeCell ref="DW252:DW253"/>
    <mergeCell ref="DY252:DY253"/>
    <mergeCell ref="DZ252:DZ253"/>
    <mergeCell ref="CG252:CG253"/>
    <mergeCell ref="CI252:CI253"/>
    <mergeCell ref="CK252:CK253"/>
    <mergeCell ref="CM252:CM253"/>
    <mergeCell ref="CQ252:CQ253"/>
    <mergeCell ref="CW252:CW253"/>
    <mergeCell ref="BF252:BF253"/>
    <mergeCell ref="BH252:BH253"/>
    <mergeCell ref="BT252:BT253"/>
    <mergeCell ref="CB252:CB253"/>
    <mergeCell ref="CD252:CD253"/>
    <mergeCell ref="CE252:CE253"/>
    <mergeCell ref="AN252:AN253"/>
    <mergeCell ref="AP252:AP253"/>
    <mergeCell ref="AR252:AR253"/>
    <mergeCell ref="AT252:AT253"/>
    <mergeCell ref="AV252:AV253"/>
    <mergeCell ref="BD252:BD253"/>
    <mergeCell ref="GB247:GB248"/>
    <mergeCell ref="A252:A253"/>
    <mergeCell ref="B252:B253"/>
    <mergeCell ref="T252:T253"/>
    <mergeCell ref="V252:V253"/>
    <mergeCell ref="Z252:Z253"/>
    <mergeCell ref="AB252:AB253"/>
    <mergeCell ref="AD252:AD253"/>
    <mergeCell ref="AI252:AI253"/>
    <mergeCell ref="AK252:AK253"/>
    <mergeCell ref="FF247:FF248"/>
    <mergeCell ref="FH247:FH248"/>
    <mergeCell ref="FJ247:FJ248"/>
    <mergeCell ref="FL247:FL248"/>
    <mergeCell ref="FN247:FN248"/>
    <mergeCell ref="FP247:FP248"/>
    <mergeCell ref="ET247:ET248"/>
    <mergeCell ref="EV247:EV248"/>
    <mergeCell ref="EX247:EX248"/>
    <mergeCell ref="EZ247:EZ248"/>
    <mergeCell ref="FB247:FB248"/>
    <mergeCell ref="FD247:FD248"/>
    <mergeCell ref="EH247:EH248"/>
    <mergeCell ref="EJ247:EJ248"/>
    <mergeCell ref="EL247:EL248"/>
    <mergeCell ref="EN247:EN248"/>
    <mergeCell ref="EP247:EP248"/>
    <mergeCell ref="ER247:ER248"/>
    <mergeCell ref="DW247:DW248"/>
    <mergeCell ref="DY247:DY248"/>
    <mergeCell ref="DZ247:DZ248"/>
    <mergeCell ref="EA247:EA248"/>
    <mergeCell ref="EC247:EC248"/>
    <mergeCell ref="EF247:EF248"/>
    <mergeCell ref="CM247:CM248"/>
    <mergeCell ref="CQ247:CQ248"/>
    <mergeCell ref="CW247:CW248"/>
    <mergeCell ref="DE247:DE248"/>
    <mergeCell ref="DG247:DG248"/>
    <mergeCell ref="DI247:DI248"/>
    <mergeCell ref="CB247:CB248"/>
    <mergeCell ref="CD247:CD248"/>
    <mergeCell ref="CE247:CE248"/>
    <mergeCell ref="CG247:CG248"/>
    <mergeCell ref="CI247:CI248"/>
    <mergeCell ref="CK247:CK248"/>
    <mergeCell ref="AT247:AT248"/>
    <mergeCell ref="AV247:AV248"/>
    <mergeCell ref="BD247:BD248"/>
    <mergeCell ref="BF247:BF248"/>
    <mergeCell ref="BH247:BH248"/>
    <mergeCell ref="BT247:BT248"/>
    <mergeCell ref="AD247:AD248"/>
    <mergeCell ref="AI247:AI248"/>
    <mergeCell ref="AK247:AK248"/>
    <mergeCell ref="AN247:AN248"/>
    <mergeCell ref="AP247:AP248"/>
    <mergeCell ref="AR247:AR248"/>
    <mergeCell ref="FL242:FL245"/>
    <mergeCell ref="FN242:FN245"/>
    <mergeCell ref="FP242:FP245"/>
    <mergeCell ref="GB242:GB245"/>
    <mergeCell ref="A247:A248"/>
    <mergeCell ref="B247:B248"/>
    <mergeCell ref="T247:T248"/>
    <mergeCell ref="V247:V248"/>
    <mergeCell ref="Z247:Z248"/>
    <mergeCell ref="AB247:AB248"/>
    <mergeCell ref="EZ242:EZ245"/>
    <mergeCell ref="FB242:FB245"/>
    <mergeCell ref="FD242:FD245"/>
    <mergeCell ref="FF242:FF245"/>
    <mergeCell ref="FH242:FH245"/>
    <mergeCell ref="FJ242:FJ245"/>
    <mergeCell ref="EN242:EN245"/>
    <mergeCell ref="EP242:EP245"/>
    <mergeCell ref="ER242:ER245"/>
    <mergeCell ref="ET242:ET245"/>
    <mergeCell ref="EV242:EV245"/>
    <mergeCell ref="EX242:EX245"/>
    <mergeCell ref="EA242:EA245"/>
    <mergeCell ref="EC242:EC245"/>
    <mergeCell ref="EF242:EF245"/>
    <mergeCell ref="EH242:EH245"/>
    <mergeCell ref="EJ242:EJ245"/>
    <mergeCell ref="EL242:EL245"/>
    <mergeCell ref="DE242:DE245"/>
    <mergeCell ref="DG242:DG245"/>
    <mergeCell ref="DI242:DI245"/>
    <mergeCell ref="DW242:DW245"/>
    <mergeCell ref="DY242:DY245"/>
    <mergeCell ref="DZ242:DZ245"/>
    <mergeCell ref="CG242:CG245"/>
    <mergeCell ref="CI242:CI245"/>
    <mergeCell ref="CK242:CK245"/>
    <mergeCell ref="CM242:CM245"/>
    <mergeCell ref="CQ242:CQ245"/>
    <mergeCell ref="CW242:CW245"/>
    <mergeCell ref="BF242:BF245"/>
    <mergeCell ref="BH242:BH245"/>
    <mergeCell ref="BT242:BT245"/>
    <mergeCell ref="CB242:CB245"/>
    <mergeCell ref="CD242:CD245"/>
    <mergeCell ref="CE242:CE245"/>
    <mergeCell ref="AN242:AN245"/>
    <mergeCell ref="AP242:AP245"/>
    <mergeCell ref="AR242:AR245"/>
    <mergeCell ref="AT242:AT245"/>
    <mergeCell ref="AV242:AV245"/>
    <mergeCell ref="BD242:BD245"/>
    <mergeCell ref="GB227:GB230"/>
    <mergeCell ref="A242:A245"/>
    <mergeCell ref="B242:B245"/>
    <mergeCell ref="T242:T245"/>
    <mergeCell ref="V242:V245"/>
    <mergeCell ref="Z242:Z245"/>
    <mergeCell ref="AB242:AB245"/>
    <mergeCell ref="AD242:AD245"/>
    <mergeCell ref="AI242:AI245"/>
    <mergeCell ref="AK242:AK245"/>
    <mergeCell ref="FF227:FF230"/>
    <mergeCell ref="FH227:FH230"/>
    <mergeCell ref="FJ227:FJ230"/>
    <mergeCell ref="FL227:FL230"/>
    <mergeCell ref="FN227:FN230"/>
    <mergeCell ref="FP227:FP230"/>
    <mergeCell ref="ET227:ET230"/>
    <mergeCell ref="EV227:EV230"/>
    <mergeCell ref="EX227:EX230"/>
    <mergeCell ref="EZ227:EZ230"/>
    <mergeCell ref="FB227:FB230"/>
    <mergeCell ref="FD227:FD230"/>
    <mergeCell ref="EH227:EH230"/>
    <mergeCell ref="EJ227:EJ230"/>
    <mergeCell ref="EL227:EL230"/>
    <mergeCell ref="EN227:EN230"/>
    <mergeCell ref="EP227:EP230"/>
    <mergeCell ref="ER227:ER230"/>
    <mergeCell ref="DW227:DW230"/>
    <mergeCell ref="DY227:DY230"/>
    <mergeCell ref="DZ227:DZ230"/>
    <mergeCell ref="EA227:EA230"/>
    <mergeCell ref="EC227:EC230"/>
    <mergeCell ref="EF227:EF230"/>
    <mergeCell ref="CM227:CM230"/>
    <mergeCell ref="CQ227:CQ230"/>
    <mergeCell ref="CW227:CW230"/>
    <mergeCell ref="DE227:DE230"/>
    <mergeCell ref="DG227:DG230"/>
    <mergeCell ref="DI227:DI230"/>
    <mergeCell ref="CB227:CB230"/>
    <mergeCell ref="CD227:CD230"/>
    <mergeCell ref="CE227:CE230"/>
    <mergeCell ref="CG227:CG230"/>
    <mergeCell ref="CI227:CI230"/>
    <mergeCell ref="CK227:CK230"/>
    <mergeCell ref="AT227:AT230"/>
    <mergeCell ref="AV227:AV230"/>
    <mergeCell ref="BD227:BD230"/>
    <mergeCell ref="BF227:BF230"/>
    <mergeCell ref="BH227:BH230"/>
    <mergeCell ref="BT227:BT230"/>
    <mergeCell ref="AD227:AD230"/>
    <mergeCell ref="AI227:AI230"/>
    <mergeCell ref="AK227:AK230"/>
    <mergeCell ref="AN227:AN230"/>
    <mergeCell ref="AP227:AP230"/>
    <mergeCell ref="AR227:AR230"/>
    <mergeCell ref="FL218:FL219"/>
    <mergeCell ref="FN218:FN219"/>
    <mergeCell ref="FP218:FP219"/>
    <mergeCell ref="GB218:GB219"/>
    <mergeCell ref="A227:A230"/>
    <mergeCell ref="B227:B230"/>
    <mergeCell ref="T227:T230"/>
    <mergeCell ref="V227:V230"/>
    <mergeCell ref="Z227:Z230"/>
    <mergeCell ref="AB227:AB230"/>
    <mergeCell ref="EZ218:EZ219"/>
    <mergeCell ref="FB218:FB219"/>
    <mergeCell ref="FD218:FD219"/>
    <mergeCell ref="FF218:FF219"/>
    <mergeCell ref="FH218:FH219"/>
    <mergeCell ref="FJ218:FJ219"/>
    <mergeCell ref="EN218:EN219"/>
    <mergeCell ref="EP218:EP219"/>
    <mergeCell ref="ER218:ER219"/>
    <mergeCell ref="ET218:ET219"/>
    <mergeCell ref="EV218:EV219"/>
    <mergeCell ref="EX218:EX219"/>
    <mergeCell ref="EA218:EA219"/>
    <mergeCell ref="EC218:EC219"/>
    <mergeCell ref="EF218:EF219"/>
    <mergeCell ref="EH218:EH219"/>
    <mergeCell ref="EJ218:EJ219"/>
    <mergeCell ref="EL218:EL219"/>
    <mergeCell ref="DE218:DE219"/>
    <mergeCell ref="DG218:DG219"/>
    <mergeCell ref="DI218:DI219"/>
    <mergeCell ref="DW218:DW219"/>
    <mergeCell ref="DY218:DY219"/>
    <mergeCell ref="DZ218:DZ219"/>
    <mergeCell ref="CG218:CG219"/>
    <mergeCell ref="CI218:CI219"/>
    <mergeCell ref="CK218:CK219"/>
    <mergeCell ref="CM218:CM219"/>
    <mergeCell ref="CQ218:CQ219"/>
    <mergeCell ref="CW218:CW219"/>
    <mergeCell ref="BF218:BF219"/>
    <mergeCell ref="BH218:BH219"/>
    <mergeCell ref="BT218:BT219"/>
    <mergeCell ref="CB218:CB219"/>
    <mergeCell ref="CD218:CD219"/>
    <mergeCell ref="CE218:CE219"/>
    <mergeCell ref="AN218:AN219"/>
    <mergeCell ref="AP218:AP219"/>
    <mergeCell ref="AR218:AR219"/>
    <mergeCell ref="AT218:AT219"/>
    <mergeCell ref="AV218:AV219"/>
    <mergeCell ref="BD218:BD219"/>
    <mergeCell ref="GB207:GB208"/>
    <mergeCell ref="A218:A219"/>
    <mergeCell ref="B218:B219"/>
    <mergeCell ref="T218:T219"/>
    <mergeCell ref="V218:V219"/>
    <mergeCell ref="Z218:Z219"/>
    <mergeCell ref="AB218:AB219"/>
    <mergeCell ref="AD218:AD219"/>
    <mergeCell ref="AI218:AI219"/>
    <mergeCell ref="AK218:AK219"/>
    <mergeCell ref="FF207:FF208"/>
    <mergeCell ref="FH207:FH208"/>
    <mergeCell ref="FJ207:FJ208"/>
    <mergeCell ref="FL207:FL208"/>
    <mergeCell ref="FN207:FN208"/>
    <mergeCell ref="FP207:FP208"/>
    <mergeCell ref="ET207:ET208"/>
    <mergeCell ref="EV207:EV208"/>
    <mergeCell ref="EX207:EX208"/>
    <mergeCell ref="EZ207:EZ208"/>
    <mergeCell ref="FB207:FB208"/>
    <mergeCell ref="FD207:FD208"/>
    <mergeCell ref="EH207:EH208"/>
    <mergeCell ref="EJ207:EJ208"/>
    <mergeCell ref="EL207:EL208"/>
    <mergeCell ref="EN207:EN208"/>
    <mergeCell ref="EP207:EP208"/>
    <mergeCell ref="ER207:ER208"/>
    <mergeCell ref="DW207:DW208"/>
    <mergeCell ref="DY207:DY208"/>
    <mergeCell ref="DZ207:DZ208"/>
    <mergeCell ref="EA207:EA208"/>
    <mergeCell ref="EC207:EC208"/>
    <mergeCell ref="EF207:EF208"/>
    <mergeCell ref="CM207:CM208"/>
    <mergeCell ref="CQ207:CQ208"/>
    <mergeCell ref="CW207:CW208"/>
    <mergeCell ref="DE207:DE208"/>
    <mergeCell ref="DG207:DG208"/>
    <mergeCell ref="DI207:DI208"/>
    <mergeCell ref="CB207:CB208"/>
    <mergeCell ref="CD207:CD208"/>
    <mergeCell ref="CE207:CE208"/>
    <mergeCell ref="CG207:CG208"/>
    <mergeCell ref="CI207:CI208"/>
    <mergeCell ref="CK207:CK208"/>
    <mergeCell ref="AT207:AT208"/>
    <mergeCell ref="AV207:AV208"/>
    <mergeCell ref="BD207:BD208"/>
    <mergeCell ref="BF207:BF208"/>
    <mergeCell ref="BH207:BH208"/>
    <mergeCell ref="BT207:BT208"/>
    <mergeCell ref="AD207:AD208"/>
    <mergeCell ref="AI207:AI208"/>
    <mergeCell ref="AK207:AK208"/>
    <mergeCell ref="AN207:AN208"/>
    <mergeCell ref="AP207:AP208"/>
    <mergeCell ref="AR207:AR208"/>
    <mergeCell ref="FL194:FL195"/>
    <mergeCell ref="FN194:FN195"/>
    <mergeCell ref="FP194:FP195"/>
    <mergeCell ref="GB194:GB195"/>
    <mergeCell ref="A207:A208"/>
    <mergeCell ref="B207:B208"/>
    <mergeCell ref="T207:T208"/>
    <mergeCell ref="V207:V208"/>
    <mergeCell ref="Z207:Z208"/>
    <mergeCell ref="AB207:AB208"/>
    <mergeCell ref="EZ194:EZ195"/>
    <mergeCell ref="FB194:FB195"/>
    <mergeCell ref="FD194:FD195"/>
    <mergeCell ref="FF194:FF195"/>
    <mergeCell ref="FH194:FH195"/>
    <mergeCell ref="FJ194:FJ195"/>
    <mergeCell ref="EN194:EN195"/>
    <mergeCell ref="EP194:EP195"/>
    <mergeCell ref="ER194:ER195"/>
    <mergeCell ref="ET194:ET195"/>
    <mergeCell ref="EV194:EV195"/>
    <mergeCell ref="EX194:EX195"/>
    <mergeCell ref="EA194:EA195"/>
    <mergeCell ref="EC194:EC195"/>
    <mergeCell ref="EF194:EF195"/>
    <mergeCell ref="EH194:EH195"/>
    <mergeCell ref="EJ194:EJ195"/>
    <mergeCell ref="EL194:EL195"/>
    <mergeCell ref="DE194:DE195"/>
    <mergeCell ref="DG194:DG195"/>
    <mergeCell ref="DI194:DI195"/>
    <mergeCell ref="DW194:DW195"/>
    <mergeCell ref="DY194:DY195"/>
    <mergeCell ref="DZ194:DZ195"/>
    <mergeCell ref="CG194:CG195"/>
    <mergeCell ref="CI194:CI195"/>
    <mergeCell ref="CK194:CK195"/>
    <mergeCell ref="CM194:CM195"/>
    <mergeCell ref="CQ194:CQ195"/>
    <mergeCell ref="CW194:CW195"/>
    <mergeCell ref="BF194:BF195"/>
    <mergeCell ref="BH194:BH195"/>
    <mergeCell ref="BT194:BT195"/>
    <mergeCell ref="CB194:CB195"/>
    <mergeCell ref="CD194:CD195"/>
    <mergeCell ref="CE194:CE195"/>
    <mergeCell ref="AN194:AN195"/>
    <mergeCell ref="AP194:AP195"/>
    <mergeCell ref="AR194:AR195"/>
    <mergeCell ref="AT194:AT195"/>
    <mergeCell ref="AV194:AV195"/>
    <mergeCell ref="BD194:BD195"/>
    <mergeCell ref="GB189:GB190"/>
    <mergeCell ref="A194:A195"/>
    <mergeCell ref="B194:B195"/>
    <mergeCell ref="T194:T195"/>
    <mergeCell ref="V194:V195"/>
    <mergeCell ref="Z194:Z195"/>
    <mergeCell ref="AB194:AB195"/>
    <mergeCell ref="AD194:AD195"/>
    <mergeCell ref="AI194:AI195"/>
    <mergeCell ref="AK194:AK195"/>
    <mergeCell ref="FF189:FF190"/>
    <mergeCell ref="FH189:FH190"/>
    <mergeCell ref="FJ189:FJ190"/>
    <mergeCell ref="FL189:FL190"/>
    <mergeCell ref="FN189:FN190"/>
    <mergeCell ref="FP189:FP190"/>
    <mergeCell ref="ET189:ET190"/>
    <mergeCell ref="EV189:EV190"/>
    <mergeCell ref="EX189:EX190"/>
    <mergeCell ref="EZ189:EZ190"/>
    <mergeCell ref="FB189:FB190"/>
    <mergeCell ref="FD189:FD190"/>
    <mergeCell ref="EH189:EH190"/>
    <mergeCell ref="EJ189:EJ190"/>
    <mergeCell ref="EL189:EL190"/>
    <mergeCell ref="EN189:EN190"/>
    <mergeCell ref="EP189:EP190"/>
    <mergeCell ref="ER189:ER190"/>
    <mergeCell ref="DW189:DW190"/>
    <mergeCell ref="DY189:DY190"/>
    <mergeCell ref="DZ189:DZ190"/>
    <mergeCell ref="EA189:EA190"/>
    <mergeCell ref="EC189:EC190"/>
    <mergeCell ref="EF189:EF190"/>
    <mergeCell ref="CM189:CM190"/>
    <mergeCell ref="CQ189:CQ190"/>
    <mergeCell ref="CW189:CW190"/>
    <mergeCell ref="DE189:DE190"/>
    <mergeCell ref="DG189:DG190"/>
    <mergeCell ref="DI189:DI190"/>
    <mergeCell ref="CB189:CB190"/>
    <mergeCell ref="CD189:CD190"/>
    <mergeCell ref="CE189:CE190"/>
    <mergeCell ref="CG189:CG190"/>
    <mergeCell ref="CI189:CI190"/>
    <mergeCell ref="CK189:CK190"/>
    <mergeCell ref="AT189:AT190"/>
    <mergeCell ref="AV189:AV190"/>
    <mergeCell ref="BD189:BD190"/>
    <mergeCell ref="BF189:BF190"/>
    <mergeCell ref="BH189:BH190"/>
    <mergeCell ref="BT189:BT190"/>
    <mergeCell ref="AD189:AD190"/>
    <mergeCell ref="AI189:AI190"/>
    <mergeCell ref="AK189:AK190"/>
    <mergeCell ref="AN189:AN190"/>
    <mergeCell ref="AP189:AP190"/>
    <mergeCell ref="AR189:AR190"/>
    <mergeCell ref="FL186:FL187"/>
    <mergeCell ref="FN186:FN187"/>
    <mergeCell ref="FP186:FP187"/>
    <mergeCell ref="GB186:GB187"/>
    <mergeCell ref="A189:A190"/>
    <mergeCell ref="B189:B190"/>
    <mergeCell ref="T189:T190"/>
    <mergeCell ref="V189:V190"/>
    <mergeCell ref="Z189:Z190"/>
    <mergeCell ref="AB189:AB190"/>
    <mergeCell ref="EZ186:EZ187"/>
    <mergeCell ref="FB186:FB187"/>
    <mergeCell ref="FD186:FD187"/>
    <mergeCell ref="FF186:FF187"/>
    <mergeCell ref="FH186:FH187"/>
    <mergeCell ref="FJ186:FJ187"/>
    <mergeCell ref="EN186:EN187"/>
    <mergeCell ref="EP186:EP187"/>
    <mergeCell ref="ER186:ER187"/>
    <mergeCell ref="ET186:ET187"/>
    <mergeCell ref="EV186:EV187"/>
    <mergeCell ref="EX186:EX187"/>
    <mergeCell ref="EA186:EA187"/>
    <mergeCell ref="EC186:EC187"/>
    <mergeCell ref="EF186:EF187"/>
    <mergeCell ref="EH186:EH187"/>
    <mergeCell ref="EJ186:EJ187"/>
    <mergeCell ref="EL186:EL187"/>
    <mergeCell ref="DE186:DE187"/>
    <mergeCell ref="DG186:DG187"/>
    <mergeCell ref="DI186:DI187"/>
    <mergeCell ref="DW186:DW187"/>
    <mergeCell ref="DY186:DY187"/>
    <mergeCell ref="DZ186:DZ187"/>
    <mergeCell ref="CG186:CG187"/>
    <mergeCell ref="CI186:CI187"/>
    <mergeCell ref="CK186:CK187"/>
    <mergeCell ref="CM186:CM187"/>
    <mergeCell ref="CQ186:CQ187"/>
    <mergeCell ref="CW186:CW187"/>
    <mergeCell ref="BF186:BF187"/>
    <mergeCell ref="BH186:BH187"/>
    <mergeCell ref="BT186:BT187"/>
    <mergeCell ref="CB186:CB187"/>
    <mergeCell ref="CD186:CD187"/>
    <mergeCell ref="CE186:CE187"/>
    <mergeCell ref="AN186:AN187"/>
    <mergeCell ref="AP186:AP187"/>
    <mergeCell ref="AR186:AR187"/>
    <mergeCell ref="AT186:AT187"/>
    <mergeCell ref="AV186:AV187"/>
    <mergeCell ref="BD186:BD187"/>
    <mergeCell ref="GB169:GB170"/>
    <mergeCell ref="A186:A187"/>
    <mergeCell ref="B186:B187"/>
    <mergeCell ref="T186:T187"/>
    <mergeCell ref="V186:V187"/>
    <mergeCell ref="Z186:Z187"/>
    <mergeCell ref="AB186:AB187"/>
    <mergeCell ref="AD186:AD187"/>
    <mergeCell ref="AI186:AI187"/>
    <mergeCell ref="AK186:AK187"/>
    <mergeCell ref="FF169:FF170"/>
    <mergeCell ref="FH169:FH170"/>
    <mergeCell ref="FJ169:FJ170"/>
    <mergeCell ref="FL169:FL170"/>
    <mergeCell ref="FN169:FN170"/>
    <mergeCell ref="FP169:FP170"/>
    <mergeCell ref="ET169:ET170"/>
    <mergeCell ref="EV169:EV170"/>
    <mergeCell ref="EX169:EX170"/>
    <mergeCell ref="EZ169:EZ170"/>
    <mergeCell ref="FB169:FB170"/>
    <mergeCell ref="FD169:FD170"/>
    <mergeCell ref="EH169:EH170"/>
    <mergeCell ref="EJ169:EJ170"/>
    <mergeCell ref="EL169:EL170"/>
    <mergeCell ref="EN169:EN170"/>
    <mergeCell ref="EP169:EP170"/>
    <mergeCell ref="ER169:ER170"/>
    <mergeCell ref="DW169:DW170"/>
    <mergeCell ref="DY169:DY170"/>
    <mergeCell ref="DZ169:DZ170"/>
    <mergeCell ref="EA169:EA170"/>
    <mergeCell ref="EC169:EC170"/>
    <mergeCell ref="EF169:EF170"/>
    <mergeCell ref="CM169:CM170"/>
    <mergeCell ref="CQ169:CQ170"/>
    <mergeCell ref="CW169:CW170"/>
    <mergeCell ref="DE169:DE170"/>
    <mergeCell ref="DG169:DG170"/>
    <mergeCell ref="DI169:DI170"/>
    <mergeCell ref="CB169:CB170"/>
    <mergeCell ref="CD169:CD170"/>
    <mergeCell ref="CE169:CE170"/>
    <mergeCell ref="CG169:CG170"/>
    <mergeCell ref="CI169:CI170"/>
    <mergeCell ref="CK169:CK170"/>
    <mergeCell ref="AT169:AT170"/>
    <mergeCell ref="AV169:AV170"/>
    <mergeCell ref="BD169:BD170"/>
    <mergeCell ref="BF169:BF170"/>
    <mergeCell ref="BH169:BH170"/>
    <mergeCell ref="BT169:BT170"/>
    <mergeCell ref="AD169:AD170"/>
    <mergeCell ref="AI169:AI170"/>
    <mergeCell ref="AK169:AK170"/>
    <mergeCell ref="AN169:AN170"/>
    <mergeCell ref="AP169:AP170"/>
    <mergeCell ref="AR169:AR170"/>
    <mergeCell ref="FL166:FL167"/>
    <mergeCell ref="FN166:FN167"/>
    <mergeCell ref="FP166:FP167"/>
    <mergeCell ref="GB166:GB167"/>
    <mergeCell ref="A169:A170"/>
    <mergeCell ref="B169:B170"/>
    <mergeCell ref="T169:T170"/>
    <mergeCell ref="V169:V170"/>
    <mergeCell ref="Z169:Z170"/>
    <mergeCell ref="AB169:AB170"/>
    <mergeCell ref="EZ166:EZ167"/>
    <mergeCell ref="FB166:FB167"/>
    <mergeCell ref="FD166:FD167"/>
    <mergeCell ref="FF166:FF167"/>
    <mergeCell ref="FH166:FH167"/>
    <mergeCell ref="FJ166:FJ167"/>
    <mergeCell ref="EN166:EN167"/>
    <mergeCell ref="EP166:EP167"/>
    <mergeCell ref="ER166:ER167"/>
    <mergeCell ref="ET166:ET167"/>
    <mergeCell ref="EV166:EV167"/>
    <mergeCell ref="EX166:EX167"/>
    <mergeCell ref="EA166:EA167"/>
    <mergeCell ref="EC166:EC167"/>
    <mergeCell ref="EF166:EF167"/>
    <mergeCell ref="EH166:EH167"/>
    <mergeCell ref="EJ166:EJ167"/>
    <mergeCell ref="EL166:EL167"/>
    <mergeCell ref="DE166:DE167"/>
    <mergeCell ref="DG166:DG167"/>
    <mergeCell ref="DI166:DI167"/>
    <mergeCell ref="DW166:DW167"/>
    <mergeCell ref="DY166:DY167"/>
    <mergeCell ref="DZ166:DZ167"/>
    <mergeCell ref="CG166:CG167"/>
    <mergeCell ref="CI166:CI167"/>
    <mergeCell ref="CK166:CK167"/>
    <mergeCell ref="CM166:CM167"/>
    <mergeCell ref="CQ166:CQ167"/>
    <mergeCell ref="CW166:CW167"/>
    <mergeCell ref="BF166:BF167"/>
    <mergeCell ref="BH166:BH167"/>
    <mergeCell ref="BT166:BT167"/>
    <mergeCell ref="CB166:CB167"/>
    <mergeCell ref="CD166:CD167"/>
    <mergeCell ref="CE166:CE167"/>
    <mergeCell ref="AN166:AN167"/>
    <mergeCell ref="AP166:AP167"/>
    <mergeCell ref="AR166:AR167"/>
    <mergeCell ref="AT166:AT167"/>
    <mergeCell ref="AV166:AV167"/>
    <mergeCell ref="BD166:BD167"/>
    <mergeCell ref="GB159:GB160"/>
    <mergeCell ref="A166:A167"/>
    <mergeCell ref="B166:B167"/>
    <mergeCell ref="T166:T167"/>
    <mergeCell ref="V166:V167"/>
    <mergeCell ref="Z166:Z167"/>
    <mergeCell ref="AB166:AB167"/>
    <mergeCell ref="AD166:AD167"/>
    <mergeCell ref="AI166:AI167"/>
    <mergeCell ref="AK166:AK167"/>
    <mergeCell ref="FF159:FF160"/>
    <mergeCell ref="FH159:FH160"/>
    <mergeCell ref="FJ159:FJ160"/>
    <mergeCell ref="FL159:FL160"/>
    <mergeCell ref="FN159:FN160"/>
    <mergeCell ref="FP159:FP160"/>
    <mergeCell ref="ET159:ET160"/>
    <mergeCell ref="EV159:EV160"/>
    <mergeCell ref="EX159:EX160"/>
    <mergeCell ref="EZ159:EZ160"/>
    <mergeCell ref="FB159:FB160"/>
    <mergeCell ref="FD159:FD160"/>
    <mergeCell ref="EH159:EH160"/>
    <mergeCell ref="EJ159:EJ160"/>
    <mergeCell ref="EL159:EL160"/>
    <mergeCell ref="EN159:EN160"/>
    <mergeCell ref="EP159:EP160"/>
    <mergeCell ref="ER159:ER160"/>
    <mergeCell ref="DW159:DW160"/>
    <mergeCell ref="DY159:DY160"/>
    <mergeCell ref="DZ159:DZ160"/>
    <mergeCell ref="EA159:EA160"/>
    <mergeCell ref="EC159:EC160"/>
    <mergeCell ref="EF159:EF160"/>
    <mergeCell ref="CM159:CM160"/>
    <mergeCell ref="CQ159:CQ160"/>
    <mergeCell ref="CW159:CW160"/>
    <mergeCell ref="DE159:DE160"/>
    <mergeCell ref="DG159:DG160"/>
    <mergeCell ref="DI159:DI160"/>
    <mergeCell ref="CB159:CB160"/>
    <mergeCell ref="CD159:CD160"/>
    <mergeCell ref="CE159:CE160"/>
    <mergeCell ref="CG159:CG160"/>
    <mergeCell ref="CI159:CI160"/>
    <mergeCell ref="CK159:CK160"/>
    <mergeCell ref="AT159:AT160"/>
    <mergeCell ref="AV159:AV160"/>
    <mergeCell ref="BD159:BD160"/>
    <mergeCell ref="BF159:BF160"/>
    <mergeCell ref="BH159:BH160"/>
    <mergeCell ref="BT159:BT160"/>
    <mergeCell ref="AD159:AD160"/>
    <mergeCell ref="AI159:AI160"/>
    <mergeCell ref="AK159:AK160"/>
    <mergeCell ref="AN159:AN160"/>
    <mergeCell ref="AP159:AP160"/>
    <mergeCell ref="AR159:AR160"/>
    <mergeCell ref="FL151:FL157"/>
    <mergeCell ref="FN151:FN157"/>
    <mergeCell ref="FP151:FP157"/>
    <mergeCell ref="GB151:GB157"/>
    <mergeCell ref="A159:A160"/>
    <mergeCell ref="B159:B160"/>
    <mergeCell ref="T159:T160"/>
    <mergeCell ref="V159:V160"/>
    <mergeCell ref="Z159:Z160"/>
    <mergeCell ref="AB159:AB160"/>
    <mergeCell ref="EZ151:EZ157"/>
    <mergeCell ref="FB151:FB157"/>
    <mergeCell ref="FD151:FD157"/>
    <mergeCell ref="FF151:FF157"/>
    <mergeCell ref="FH151:FH157"/>
    <mergeCell ref="FJ151:FJ157"/>
    <mergeCell ref="EN151:EN157"/>
    <mergeCell ref="EP151:EP157"/>
    <mergeCell ref="ER151:ER157"/>
    <mergeCell ref="ET151:ET157"/>
    <mergeCell ref="EV151:EV157"/>
    <mergeCell ref="EX151:EX157"/>
    <mergeCell ref="EA151:EA157"/>
    <mergeCell ref="EC151:EC157"/>
    <mergeCell ref="EF151:EF157"/>
    <mergeCell ref="EH151:EH157"/>
    <mergeCell ref="EJ151:EJ157"/>
    <mergeCell ref="EL151:EL157"/>
    <mergeCell ref="DE151:DE157"/>
    <mergeCell ref="DG151:DG157"/>
    <mergeCell ref="DI151:DI157"/>
    <mergeCell ref="DW151:DW157"/>
    <mergeCell ref="DY151:DY157"/>
    <mergeCell ref="DZ151:DZ157"/>
    <mergeCell ref="CG151:CG157"/>
    <mergeCell ref="CI151:CI157"/>
    <mergeCell ref="CK151:CK157"/>
    <mergeCell ref="CM151:CM157"/>
    <mergeCell ref="CQ151:CQ157"/>
    <mergeCell ref="CW151:CW157"/>
    <mergeCell ref="BF151:BF157"/>
    <mergeCell ref="BH151:BH157"/>
    <mergeCell ref="BT151:BT157"/>
    <mergeCell ref="CB151:CB157"/>
    <mergeCell ref="CD151:CD157"/>
    <mergeCell ref="CE151:CE157"/>
    <mergeCell ref="AN151:AN157"/>
    <mergeCell ref="AP151:AP157"/>
    <mergeCell ref="AR151:AR157"/>
    <mergeCell ref="AT151:AT157"/>
    <mergeCell ref="AV151:AV157"/>
    <mergeCell ref="BD151:BD157"/>
    <mergeCell ref="GB145:GB147"/>
    <mergeCell ref="A151:A157"/>
    <mergeCell ref="B151:B157"/>
    <mergeCell ref="T151:T157"/>
    <mergeCell ref="V151:V157"/>
    <mergeCell ref="Z151:Z157"/>
    <mergeCell ref="AB151:AB157"/>
    <mergeCell ref="AD151:AD157"/>
    <mergeCell ref="AI151:AI157"/>
    <mergeCell ref="AK151:AK157"/>
    <mergeCell ref="FF145:FF147"/>
    <mergeCell ref="FH145:FH147"/>
    <mergeCell ref="FJ145:FJ147"/>
    <mergeCell ref="FL145:FL147"/>
    <mergeCell ref="FN145:FN147"/>
    <mergeCell ref="FP145:FP147"/>
    <mergeCell ref="ET145:ET147"/>
    <mergeCell ref="EV145:EV147"/>
    <mergeCell ref="EX145:EX147"/>
    <mergeCell ref="EZ145:EZ147"/>
    <mergeCell ref="FB145:FB147"/>
    <mergeCell ref="FD145:FD147"/>
    <mergeCell ref="EH145:EH147"/>
    <mergeCell ref="EJ145:EJ147"/>
    <mergeCell ref="EL145:EL147"/>
    <mergeCell ref="EN145:EN147"/>
    <mergeCell ref="EP145:EP147"/>
    <mergeCell ref="ER145:ER147"/>
    <mergeCell ref="DW145:DW147"/>
    <mergeCell ref="DY145:DY147"/>
    <mergeCell ref="DZ145:DZ147"/>
    <mergeCell ref="EA145:EA147"/>
    <mergeCell ref="EC145:EC147"/>
    <mergeCell ref="EF145:EF147"/>
    <mergeCell ref="CM145:CM147"/>
    <mergeCell ref="CQ145:CQ147"/>
    <mergeCell ref="CW145:CW147"/>
    <mergeCell ref="DE145:DE147"/>
    <mergeCell ref="DG145:DG147"/>
    <mergeCell ref="DI145:DI147"/>
    <mergeCell ref="CB145:CB147"/>
    <mergeCell ref="CD145:CD147"/>
    <mergeCell ref="CE145:CE147"/>
    <mergeCell ref="CG145:CG147"/>
    <mergeCell ref="CI145:CI147"/>
    <mergeCell ref="CK145:CK147"/>
    <mergeCell ref="AT145:AT147"/>
    <mergeCell ref="AV145:AV147"/>
    <mergeCell ref="BD145:BD147"/>
    <mergeCell ref="BF145:BF147"/>
    <mergeCell ref="BH145:BH147"/>
    <mergeCell ref="BT145:BT147"/>
    <mergeCell ref="AD145:AD147"/>
    <mergeCell ref="AI145:AI147"/>
    <mergeCell ref="AK145:AK147"/>
    <mergeCell ref="AN145:AN147"/>
    <mergeCell ref="AP145:AP147"/>
    <mergeCell ref="AR145:AR147"/>
    <mergeCell ref="FL141:FL143"/>
    <mergeCell ref="FN141:FN143"/>
    <mergeCell ref="FP141:FP143"/>
    <mergeCell ref="GB141:GB143"/>
    <mergeCell ref="A145:A147"/>
    <mergeCell ref="B145:B147"/>
    <mergeCell ref="T145:T147"/>
    <mergeCell ref="V145:V147"/>
    <mergeCell ref="Z145:Z147"/>
    <mergeCell ref="AB145:AB147"/>
    <mergeCell ref="EZ141:EZ143"/>
    <mergeCell ref="FB141:FB143"/>
    <mergeCell ref="FD141:FD143"/>
    <mergeCell ref="FF141:FF143"/>
    <mergeCell ref="FH141:FH143"/>
    <mergeCell ref="FJ141:FJ143"/>
    <mergeCell ref="EN141:EN143"/>
    <mergeCell ref="EP141:EP143"/>
    <mergeCell ref="ER141:ER143"/>
    <mergeCell ref="ET141:ET143"/>
    <mergeCell ref="EV141:EV143"/>
    <mergeCell ref="EX141:EX143"/>
    <mergeCell ref="EA141:EA143"/>
    <mergeCell ref="EC141:EC143"/>
    <mergeCell ref="EF141:EF143"/>
    <mergeCell ref="EH141:EH143"/>
    <mergeCell ref="EJ141:EJ143"/>
    <mergeCell ref="EL141:EL143"/>
    <mergeCell ref="DE141:DE143"/>
    <mergeCell ref="DG141:DG143"/>
    <mergeCell ref="DI141:DI143"/>
    <mergeCell ref="DW141:DW143"/>
    <mergeCell ref="DY141:DY143"/>
    <mergeCell ref="DZ141:DZ143"/>
    <mergeCell ref="CG141:CG143"/>
    <mergeCell ref="CI141:CI143"/>
    <mergeCell ref="CK141:CK143"/>
    <mergeCell ref="CM141:CM143"/>
    <mergeCell ref="CQ141:CQ143"/>
    <mergeCell ref="CW141:CW143"/>
    <mergeCell ref="BF141:BF143"/>
    <mergeCell ref="BH141:BH143"/>
    <mergeCell ref="BT141:BT143"/>
    <mergeCell ref="CB141:CB143"/>
    <mergeCell ref="CD141:CD143"/>
    <mergeCell ref="CE141:CE143"/>
    <mergeCell ref="AN141:AN143"/>
    <mergeCell ref="AP141:AP143"/>
    <mergeCell ref="AR141:AR143"/>
    <mergeCell ref="AT141:AT143"/>
    <mergeCell ref="AV141:AV143"/>
    <mergeCell ref="BD141:BD143"/>
    <mergeCell ref="GB137:GB139"/>
    <mergeCell ref="A141:A143"/>
    <mergeCell ref="B141:B143"/>
    <mergeCell ref="T141:T143"/>
    <mergeCell ref="V141:V143"/>
    <mergeCell ref="Z141:Z143"/>
    <mergeCell ref="AB141:AB143"/>
    <mergeCell ref="AD141:AD143"/>
    <mergeCell ref="AI141:AI143"/>
    <mergeCell ref="AK141:AK143"/>
    <mergeCell ref="FF137:FF139"/>
    <mergeCell ref="FH137:FH139"/>
    <mergeCell ref="FJ137:FJ139"/>
    <mergeCell ref="FL137:FL139"/>
    <mergeCell ref="FN137:FN139"/>
    <mergeCell ref="FP137:FP139"/>
    <mergeCell ref="ET137:ET139"/>
    <mergeCell ref="EV137:EV139"/>
    <mergeCell ref="EX137:EX139"/>
    <mergeCell ref="EZ137:EZ139"/>
    <mergeCell ref="FB137:FB139"/>
    <mergeCell ref="FD137:FD139"/>
    <mergeCell ref="EH137:EH139"/>
    <mergeCell ref="EJ137:EJ139"/>
    <mergeCell ref="EL137:EL139"/>
    <mergeCell ref="EN137:EN139"/>
    <mergeCell ref="EP137:EP139"/>
    <mergeCell ref="ER137:ER139"/>
    <mergeCell ref="DW137:DW139"/>
    <mergeCell ref="DY137:DY139"/>
    <mergeCell ref="DZ137:DZ139"/>
    <mergeCell ref="EA137:EA139"/>
    <mergeCell ref="EC137:EC139"/>
    <mergeCell ref="EF137:EF139"/>
    <mergeCell ref="CM137:CM139"/>
    <mergeCell ref="CQ137:CQ139"/>
    <mergeCell ref="CW137:CW139"/>
    <mergeCell ref="DE137:DE139"/>
    <mergeCell ref="DG137:DG139"/>
    <mergeCell ref="DI137:DI139"/>
    <mergeCell ref="CB137:CB139"/>
    <mergeCell ref="CD137:CD139"/>
    <mergeCell ref="CE137:CE139"/>
    <mergeCell ref="CG137:CG139"/>
    <mergeCell ref="CI137:CI139"/>
    <mergeCell ref="CK137:CK139"/>
    <mergeCell ref="AT137:AT139"/>
    <mergeCell ref="AV137:AV139"/>
    <mergeCell ref="BD137:BD139"/>
    <mergeCell ref="BF137:BF139"/>
    <mergeCell ref="BH137:BH139"/>
    <mergeCell ref="BT137:BT139"/>
    <mergeCell ref="AD137:AD139"/>
    <mergeCell ref="AI137:AI139"/>
    <mergeCell ref="AK137:AK139"/>
    <mergeCell ref="AN137:AN139"/>
    <mergeCell ref="AP137:AP139"/>
    <mergeCell ref="AR137:AR139"/>
    <mergeCell ref="FL132:FL133"/>
    <mergeCell ref="FN132:FN133"/>
    <mergeCell ref="FP132:FP133"/>
    <mergeCell ref="GB132:GB133"/>
    <mergeCell ref="A137:A139"/>
    <mergeCell ref="B137:B139"/>
    <mergeCell ref="T137:T139"/>
    <mergeCell ref="V137:V139"/>
    <mergeCell ref="Z137:Z139"/>
    <mergeCell ref="AB137:AB139"/>
    <mergeCell ref="EZ132:EZ133"/>
    <mergeCell ref="FB132:FB133"/>
    <mergeCell ref="FD132:FD133"/>
    <mergeCell ref="FF132:FF133"/>
    <mergeCell ref="FH132:FH133"/>
    <mergeCell ref="FJ132:FJ133"/>
    <mergeCell ref="EN132:EN133"/>
    <mergeCell ref="EP132:EP133"/>
    <mergeCell ref="ER132:ER133"/>
    <mergeCell ref="ET132:ET133"/>
    <mergeCell ref="EV132:EV133"/>
    <mergeCell ref="EX132:EX133"/>
    <mergeCell ref="EA132:EA133"/>
    <mergeCell ref="EC132:EC133"/>
    <mergeCell ref="EF132:EF133"/>
    <mergeCell ref="EH132:EH133"/>
    <mergeCell ref="EJ132:EJ133"/>
    <mergeCell ref="EL132:EL133"/>
    <mergeCell ref="DE132:DE133"/>
    <mergeCell ref="DG132:DG133"/>
    <mergeCell ref="DI132:DI133"/>
    <mergeCell ref="DW132:DW133"/>
    <mergeCell ref="DY132:DY133"/>
    <mergeCell ref="DZ132:DZ133"/>
    <mergeCell ref="CG132:CG133"/>
    <mergeCell ref="CI132:CI133"/>
    <mergeCell ref="CK132:CK133"/>
    <mergeCell ref="CM132:CM133"/>
    <mergeCell ref="CQ132:CQ133"/>
    <mergeCell ref="CW132:CW133"/>
    <mergeCell ref="BF132:BF133"/>
    <mergeCell ref="BH132:BH133"/>
    <mergeCell ref="BT132:BT133"/>
    <mergeCell ref="CB132:CB133"/>
    <mergeCell ref="CD132:CD133"/>
    <mergeCell ref="CE132:CE133"/>
    <mergeCell ref="AN132:AN133"/>
    <mergeCell ref="AP132:AP133"/>
    <mergeCell ref="AR132:AR133"/>
    <mergeCell ref="AT132:AT133"/>
    <mergeCell ref="AV132:AV133"/>
    <mergeCell ref="BD132:BD133"/>
    <mergeCell ref="GB129:GB130"/>
    <mergeCell ref="A132:A133"/>
    <mergeCell ref="B132:B133"/>
    <mergeCell ref="T132:T133"/>
    <mergeCell ref="V132:V133"/>
    <mergeCell ref="Z132:Z133"/>
    <mergeCell ref="AB132:AB133"/>
    <mergeCell ref="AD132:AD133"/>
    <mergeCell ref="AI132:AI133"/>
    <mergeCell ref="AK132:AK133"/>
    <mergeCell ref="FF129:FF130"/>
    <mergeCell ref="FH129:FH130"/>
    <mergeCell ref="FJ129:FJ130"/>
    <mergeCell ref="FL129:FL130"/>
    <mergeCell ref="FN129:FN130"/>
    <mergeCell ref="FP129:FP130"/>
    <mergeCell ref="ET129:ET130"/>
    <mergeCell ref="EV129:EV130"/>
    <mergeCell ref="EX129:EX130"/>
    <mergeCell ref="EZ129:EZ130"/>
    <mergeCell ref="FB129:FB130"/>
    <mergeCell ref="FD129:FD130"/>
    <mergeCell ref="EH129:EH130"/>
    <mergeCell ref="EJ129:EJ130"/>
    <mergeCell ref="EL129:EL130"/>
    <mergeCell ref="EN129:EN130"/>
    <mergeCell ref="EP129:EP130"/>
    <mergeCell ref="ER129:ER130"/>
    <mergeCell ref="DW129:DW130"/>
    <mergeCell ref="DY129:DY130"/>
    <mergeCell ref="DZ129:DZ130"/>
    <mergeCell ref="EA129:EA130"/>
    <mergeCell ref="EC129:EC130"/>
    <mergeCell ref="EF129:EF130"/>
    <mergeCell ref="CM129:CM130"/>
    <mergeCell ref="CQ129:CQ130"/>
    <mergeCell ref="CW129:CW130"/>
    <mergeCell ref="DE129:DE130"/>
    <mergeCell ref="DG129:DG130"/>
    <mergeCell ref="DI129:DI130"/>
    <mergeCell ref="CB129:CB130"/>
    <mergeCell ref="CD129:CD130"/>
    <mergeCell ref="CE129:CE130"/>
    <mergeCell ref="CG129:CG130"/>
    <mergeCell ref="CI129:CI130"/>
    <mergeCell ref="CK129:CK130"/>
    <mergeCell ref="AT129:AT130"/>
    <mergeCell ref="AV129:AV130"/>
    <mergeCell ref="BD129:BD130"/>
    <mergeCell ref="BF129:BF130"/>
    <mergeCell ref="BH129:BH130"/>
    <mergeCell ref="BT129:BT130"/>
    <mergeCell ref="AD129:AD130"/>
    <mergeCell ref="AI129:AI130"/>
    <mergeCell ref="AK129:AK130"/>
    <mergeCell ref="AN129:AN130"/>
    <mergeCell ref="AP129:AP130"/>
    <mergeCell ref="AR129:AR130"/>
    <mergeCell ref="FL126:FL127"/>
    <mergeCell ref="FN126:FN127"/>
    <mergeCell ref="FP126:FP127"/>
    <mergeCell ref="GB126:GB127"/>
    <mergeCell ref="A129:A130"/>
    <mergeCell ref="B129:B130"/>
    <mergeCell ref="T129:T130"/>
    <mergeCell ref="V129:V130"/>
    <mergeCell ref="Z129:Z130"/>
    <mergeCell ref="AB129:AB130"/>
    <mergeCell ref="EZ126:EZ127"/>
    <mergeCell ref="FB126:FB127"/>
    <mergeCell ref="FD126:FD127"/>
    <mergeCell ref="FF126:FF127"/>
    <mergeCell ref="FH126:FH127"/>
    <mergeCell ref="FJ126:FJ127"/>
    <mergeCell ref="EN126:EN127"/>
    <mergeCell ref="EP126:EP127"/>
    <mergeCell ref="ER126:ER127"/>
    <mergeCell ref="ET126:ET127"/>
    <mergeCell ref="EV126:EV127"/>
    <mergeCell ref="EX126:EX127"/>
    <mergeCell ref="EA126:EA127"/>
    <mergeCell ref="EC126:EC127"/>
    <mergeCell ref="EF126:EF127"/>
    <mergeCell ref="EH126:EH127"/>
    <mergeCell ref="EJ126:EJ127"/>
    <mergeCell ref="EL126:EL127"/>
    <mergeCell ref="DE126:DE127"/>
    <mergeCell ref="DG126:DG127"/>
    <mergeCell ref="DI126:DI127"/>
    <mergeCell ref="DW126:DW127"/>
    <mergeCell ref="DY126:DY127"/>
    <mergeCell ref="DZ126:DZ127"/>
    <mergeCell ref="CG126:CG127"/>
    <mergeCell ref="CI126:CI127"/>
    <mergeCell ref="CK126:CK127"/>
    <mergeCell ref="CM126:CM127"/>
    <mergeCell ref="CQ126:CQ127"/>
    <mergeCell ref="CW126:CW127"/>
    <mergeCell ref="BF126:BF127"/>
    <mergeCell ref="BH126:BH127"/>
    <mergeCell ref="BT126:BT127"/>
    <mergeCell ref="CB126:CB127"/>
    <mergeCell ref="CD126:CD127"/>
    <mergeCell ref="CE126:CE127"/>
    <mergeCell ref="AN126:AN127"/>
    <mergeCell ref="AP126:AP127"/>
    <mergeCell ref="AR126:AR127"/>
    <mergeCell ref="AT126:AT127"/>
    <mergeCell ref="AV126:AV127"/>
    <mergeCell ref="BD126:BD127"/>
    <mergeCell ref="GB121:GB122"/>
    <mergeCell ref="A126:A127"/>
    <mergeCell ref="B126:B127"/>
    <mergeCell ref="T126:T127"/>
    <mergeCell ref="V126:V127"/>
    <mergeCell ref="Z126:Z127"/>
    <mergeCell ref="AB126:AB127"/>
    <mergeCell ref="AD126:AD127"/>
    <mergeCell ref="AI126:AI127"/>
    <mergeCell ref="AK126:AK127"/>
    <mergeCell ref="FF121:FF122"/>
    <mergeCell ref="FH121:FH122"/>
    <mergeCell ref="FJ121:FJ122"/>
    <mergeCell ref="FL121:FL122"/>
    <mergeCell ref="FN121:FN122"/>
    <mergeCell ref="FP121:FP122"/>
    <mergeCell ref="ET121:ET122"/>
    <mergeCell ref="EV121:EV122"/>
    <mergeCell ref="EX121:EX122"/>
    <mergeCell ref="EZ121:EZ122"/>
    <mergeCell ref="FB121:FB122"/>
    <mergeCell ref="FD121:FD122"/>
    <mergeCell ref="EH121:EH122"/>
    <mergeCell ref="EJ121:EJ122"/>
    <mergeCell ref="EL121:EL122"/>
    <mergeCell ref="EN121:EN122"/>
    <mergeCell ref="EP121:EP122"/>
    <mergeCell ref="ER121:ER122"/>
    <mergeCell ref="DW121:DW122"/>
    <mergeCell ref="DY121:DY122"/>
    <mergeCell ref="DZ121:DZ122"/>
    <mergeCell ref="EA121:EA122"/>
    <mergeCell ref="EC121:EC122"/>
    <mergeCell ref="EF121:EF122"/>
    <mergeCell ref="CM121:CM122"/>
    <mergeCell ref="CQ121:CQ122"/>
    <mergeCell ref="CW121:CW122"/>
    <mergeCell ref="DE121:DE122"/>
    <mergeCell ref="DG121:DG122"/>
    <mergeCell ref="DI121:DI122"/>
    <mergeCell ref="CB121:CB122"/>
    <mergeCell ref="CD121:CD122"/>
    <mergeCell ref="CE121:CE122"/>
    <mergeCell ref="CG121:CG122"/>
    <mergeCell ref="CI121:CI122"/>
    <mergeCell ref="CK121:CK122"/>
    <mergeCell ref="AT121:AT122"/>
    <mergeCell ref="AV121:AV122"/>
    <mergeCell ref="BD121:BD122"/>
    <mergeCell ref="BF121:BF122"/>
    <mergeCell ref="BH121:BH122"/>
    <mergeCell ref="BT121:BT122"/>
    <mergeCell ref="AD121:AD122"/>
    <mergeCell ref="AI121:AI122"/>
    <mergeCell ref="AK121:AK122"/>
    <mergeCell ref="AN121:AN122"/>
    <mergeCell ref="AP121:AP122"/>
    <mergeCell ref="AR121:AR122"/>
    <mergeCell ref="FL117:FL119"/>
    <mergeCell ref="FN117:FN119"/>
    <mergeCell ref="FP117:FP119"/>
    <mergeCell ref="GB117:GB119"/>
    <mergeCell ref="A121:A122"/>
    <mergeCell ref="B121:B122"/>
    <mergeCell ref="T121:T122"/>
    <mergeCell ref="V121:V122"/>
    <mergeCell ref="Z121:Z122"/>
    <mergeCell ref="AB121:AB122"/>
    <mergeCell ref="EZ117:EZ119"/>
    <mergeCell ref="FB117:FB119"/>
    <mergeCell ref="FD117:FD119"/>
    <mergeCell ref="FF117:FF119"/>
    <mergeCell ref="FH117:FH119"/>
    <mergeCell ref="FJ117:FJ119"/>
    <mergeCell ref="EN117:EN119"/>
    <mergeCell ref="EP117:EP119"/>
    <mergeCell ref="ER117:ER119"/>
    <mergeCell ref="ET117:ET119"/>
    <mergeCell ref="EV117:EV119"/>
    <mergeCell ref="EX117:EX119"/>
    <mergeCell ref="EA117:EA119"/>
    <mergeCell ref="EC117:EC119"/>
    <mergeCell ref="EF117:EF119"/>
    <mergeCell ref="EH117:EH119"/>
    <mergeCell ref="EJ117:EJ119"/>
    <mergeCell ref="EL117:EL119"/>
    <mergeCell ref="DE117:DE119"/>
    <mergeCell ref="DG117:DG119"/>
    <mergeCell ref="DI117:DI119"/>
    <mergeCell ref="DW117:DW119"/>
    <mergeCell ref="DY117:DY119"/>
    <mergeCell ref="DZ117:DZ119"/>
    <mergeCell ref="CG117:CG119"/>
    <mergeCell ref="CI117:CI119"/>
    <mergeCell ref="CK117:CK119"/>
    <mergeCell ref="CM117:CM119"/>
    <mergeCell ref="CQ117:CQ119"/>
    <mergeCell ref="CW117:CW119"/>
    <mergeCell ref="BF117:BF119"/>
    <mergeCell ref="BH117:BH119"/>
    <mergeCell ref="BT117:BT119"/>
    <mergeCell ref="CB117:CB119"/>
    <mergeCell ref="CD117:CD119"/>
    <mergeCell ref="CE117:CE119"/>
    <mergeCell ref="AN117:AN119"/>
    <mergeCell ref="AP117:AP119"/>
    <mergeCell ref="AR117:AR119"/>
    <mergeCell ref="AT117:AT119"/>
    <mergeCell ref="AV117:AV119"/>
    <mergeCell ref="BD117:BD119"/>
    <mergeCell ref="GB114:GB115"/>
    <mergeCell ref="A117:A119"/>
    <mergeCell ref="B117:B119"/>
    <mergeCell ref="T117:T119"/>
    <mergeCell ref="V117:V119"/>
    <mergeCell ref="Z117:Z119"/>
    <mergeCell ref="AB117:AB119"/>
    <mergeCell ref="AD117:AD119"/>
    <mergeCell ref="AI117:AI119"/>
    <mergeCell ref="AK117:AK119"/>
    <mergeCell ref="FF114:FF115"/>
    <mergeCell ref="FH114:FH115"/>
    <mergeCell ref="FJ114:FJ115"/>
    <mergeCell ref="FL114:FL115"/>
    <mergeCell ref="FN114:FN115"/>
    <mergeCell ref="FP114:FP115"/>
    <mergeCell ref="ET114:ET115"/>
    <mergeCell ref="EV114:EV115"/>
    <mergeCell ref="EX114:EX115"/>
    <mergeCell ref="EZ114:EZ115"/>
    <mergeCell ref="FB114:FB115"/>
    <mergeCell ref="FD114:FD115"/>
    <mergeCell ref="EH114:EH115"/>
    <mergeCell ref="EJ114:EJ115"/>
    <mergeCell ref="EL114:EL115"/>
    <mergeCell ref="EN114:EN115"/>
    <mergeCell ref="EP114:EP115"/>
    <mergeCell ref="ER114:ER115"/>
    <mergeCell ref="DW114:DW115"/>
    <mergeCell ref="DY114:DY115"/>
    <mergeCell ref="DZ114:DZ115"/>
    <mergeCell ref="EA114:EA115"/>
    <mergeCell ref="EC114:EC115"/>
    <mergeCell ref="EF114:EF115"/>
    <mergeCell ref="CM114:CM115"/>
    <mergeCell ref="CQ114:CQ115"/>
    <mergeCell ref="CW114:CW115"/>
    <mergeCell ref="DE114:DE115"/>
    <mergeCell ref="DG114:DG115"/>
    <mergeCell ref="DI114:DI115"/>
    <mergeCell ref="CB114:CB115"/>
    <mergeCell ref="CD114:CD115"/>
    <mergeCell ref="CE114:CE115"/>
    <mergeCell ref="CG114:CG115"/>
    <mergeCell ref="CI114:CI115"/>
    <mergeCell ref="CK114:CK115"/>
    <mergeCell ref="AT114:AT115"/>
    <mergeCell ref="AV114:AV115"/>
    <mergeCell ref="BD114:BD115"/>
    <mergeCell ref="BF114:BF115"/>
    <mergeCell ref="BH114:BH115"/>
    <mergeCell ref="BT114:BT115"/>
    <mergeCell ref="AD114:AD115"/>
    <mergeCell ref="AI114:AI115"/>
    <mergeCell ref="AK114:AK115"/>
    <mergeCell ref="AN114:AN115"/>
    <mergeCell ref="AP114:AP115"/>
    <mergeCell ref="AR114:AR115"/>
    <mergeCell ref="FL109:FL112"/>
    <mergeCell ref="FN109:FN112"/>
    <mergeCell ref="FP109:FP112"/>
    <mergeCell ref="GB109:GB112"/>
    <mergeCell ref="A114:A115"/>
    <mergeCell ref="B114:B115"/>
    <mergeCell ref="T114:T115"/>
    <mergeCell ref="V114:V115"/>
    <mergeCell ref="Z114:Z115"/>
    <mergeCell ref="AB114:AB115"/>
    <mergeCell ref="EZ109:EZ112"/>
    <mergeCell ref="FB109:FB112"/>
    <mergeCell ref="FD109:FD112"/>
    <mergeCell ref="FF109:FF112"/>
    <mergeCell ref="FH109:FH112"/>
    <mergeCell ref="FJ109:FJ112"/>
    <mergeCell ref="EN109:EN112"/>
    <mergeCell ref="EP109:EP112"/>
    <mergeCell ref="ER109:ER112"/>
    <mergeCell ref="ET109:ET112"/>
    <mergeCell ref="EV109:EV112"/>
    <mergeCell ref="EX109:EX112"/>
    <mergeCell ref="EA109:EA112"/>
    <mergeCell ref="EC109:EC112"/>
    <mergeCell ref="EF109:EF112"/>
    <mergeCell ref="EH109:EH112"/>
    <mergeCell ref="EJ109:EJ112"/>
    <mergeCell ref="EL109:EL112"/>
    <mergeCell ref="DE109:DE112"/>
    <mergeCell ref="DG109:DG112"/>
    <mergeCell ref="DI109:DI112"/>
    <mergeCell ref="DW109:DW112"/>
    <mergeCell ref="DY109:DY112"/>
    <mergeCell ref="DZ109:DZ112"/>
    <mergeCell ref="CG109:CG112"/>
    <mergeCell ref="CI109:CI112"/>
    <mergeCell ref="CK109:CK112"/>
    <mergeCell ref="CM109:CM112"/>
    <mergeCell ref="CQ109:CQ112"/>
    <mergeCell ref="CW109:CW112"/>
    <mergeCell ref="BF109:BF112"/>
    <mergeCell ref="BH109:BH112"/>
    <mergeCell ref="BT109:BT112"/>
    <mergeCell ref="CB109:CB112"/>
    <mergeCell ref="CD109:CD112"/>
    <mergeCell ref="CE109:CE112"/>
    <mergeCell ref="AN109:AN112"/>
    <mergeCell ref="AP109:AP112"/>
    <mergeCell ref="AR109:AR112"/>
    <mergeCell ref="AT109:AT112"/>
    <mergeCell ref="AV109:AV112"/>
    <mergeCell ref="BD109:BD112"/>
    <mergeCell ref="GB73:GB77"/>
    <mergeCell ref="A109:A112"/>
    <mergeCell ref="B109:B112"/>
    <mergeCell ref="T109:T112"/>
    <mergeCell ref="V109:V112"/>
    <mergeCell ref="Z109:Z112"/>
    <mergeCell ref="AB109:AB112"/>
    <mergeCell ref="AD109:AD112"/>
    <mergeCell ref="AI109:AI112"/>
    <mergeCell ref="AK109:AK112"/>
    <mergeCell ref="FF73:FF77"/>
    <mergeCell ref="FH73:FH77"/>
    <mergeCell ref="FJ73:FJ77"/>
    <mergeCell ref="FL73:FL77"/>
    <mergeCell ref="FN73:FN77"/>
    <mergeCell ref="FP73:FP77"/>
    <mergeCell ref="ET73:ET77"/>
    <mergeCell ref="EV73:EV77"/>
    <mergeCell ref="EX73:EX77"/>
    <mergeCell ref="EZ73:EZ77"/>
    <mergeCell ref="FB73:FB77"/>
    <mergeCell ref="FD73:FD77"/>
    <mergeCell ref="EH73:EH77"/>
    <mergeCell ref="EJ73:EJ77"/>
    <mergeCell ref="EL73:EL77"/>
    <mergeCell ref="EN73:EN77"/>
    <mergeCell ref="EP73:EP77"/>
    <mergeCell ref="ER73:ER77"/>
    <mergeCell ref="DW73:DW77"/>
    <mergeCell ref="DY73:DY77"/>
    <mergeCell ref="DZ73:DZ77"/>
    <mergeCell ref="EA73:EA77"/>
    <mergeCell ref="EC73:EC77"/>
    <mergeCell ref="EF73:EF77"/>
    <mergeCell ref="CM73:CM77"/>
    <mergeCell ref="CQ73:CQ77"/>
    <mergeCell ref="CW73:CW77"/>
    <mergeCell ref="DE73:DE77"/>
    <mergeCell ref="DG73:DG77"/>
    <mergeCell ref="DI73:DI77"/>
    <mergeCell ref="CB73:CB77"/>
    <mergeCell ref="CD73:CD77"/>
    <mergeCell ref="CE73:CE77"/>
    <mergeCell ref="CG73:CG77"/>
    <mergeCell ref="CI73:CI77"/>
    <mergeCell ref="CK73:CK77"/>
    <mergeCell ref="AT73:AT77"/>
    <mergeCell ref="AV73:AV77"/>
    <mergeCell ref="BD73:BD77"/>
    <mergeCell ref="BF73:BF77"/>
    <mergeCell ref="BH73:BH77"/>
    <mergeCell ref="BT73:BT77"/>
    <mergeCell ref="AD73:AD77"/>
    <mergeCell ref="AI73:AI77"/>
    <mergeCell ref="AK73:AK77"/>
    <mergeCell ref="AN73:AN77"/>
    <mergeCell ref="AP73:AP77"/>
    <mergeCell ref="AR73:AR77"/>
    <mergeCell ref="FL66:FL67"/>
    <mergeCell ref="FN66:FN67"/>
    <mergeCell ref="FP66:FP67"/>
    <mergeCell ref="GB66:GB67"/>
    <mergeCell ref="A73:A77"/>
    <mergeCell ref="B73:B77"/>
    <mergeCell ref="T73:T77"/>
    <mergeCell ref="V73:V77"/>
    <mergeCell ref="Z73:Z77"/>
    <mergeCell ref="AB73:AB77"/>
    <mergeCell ref="EZ66:EZ67"/>
    <mergeCell ref="FB66:FB67"/>
    <mergeCell ref="FD66:FD67"/>
    <mergeCell ref="FF66:FF67"/>
    <mergeCell ref="FH66:FH67"/>
    <mergeCell ref="FJ66:FJ67"/>
    <mergeCell ref="EN66:EN67"/>
    <mergeCell ref="EP66:EP67"/>
    <mergeCell ref="ER66:ER67"/>
    <mergeCell ref="ET66:ET67"/>
    <mergeCell ref="EV66:EV67"/>
    <mergeCell ref="EX66:EX67"/>
    <mergeCell ref="EA66:EA67"/>
    <mergeCell ref="EC66:EC67"/>
    <mergeCell ref="EF66:EF67"/>
    <mergeCell ref="EH66:EH67"/>
    <mergeCell ref="EJ66:EJ67"/>
    <mergeCell ref="EL66:EL67"/>
    <mergeCell ref="DE66:DE67"/>
    <mergeCell ref="DG66:DG67"/>
    <mergeCell ref="DI66:DI67"/>
    <mergeCell ref="DW66:DW67"/>
    <mergeCell ref="DY66:DY67"/>
    <mergeCell ref="DZ66:DZ67"/>
    <mergeCell ref="CG66:CG67"/>
    <mergeCell ref="CI66:CI67"/>
    <mergeCell ref="CK66:CK67"/>
    <mergeCell ref="CM66:CM67"/>
    <mergeCell ref="CQ66:CQ67"/>
    <mergeCell ref="CW66:CW67"/>
    <mergeCell ref="BF66:BF67"/>
    <mergeCell ref="BH66:BH67"/>
    <mergeCell ref="BT66:BT67"/>
    <mergeCell ref="CB66:CB67"/>
    <mergeCell ref="CD66:CD67"/>
    <mergeCell ref="CE66:CE67"/>
    <mergeCell ref="AN66:AN67"/>
    <mergeCell ref="AP66:AP67"/>
    <mergeCell ref="AR66:AR67"/>
    <mergeCell ref="AT66:AT67"/>
    <mergeCell ref="AV66:AV67"/>
    <mergeCell ref="BD66:BD67"/>
    <mergeCell ref="GB55:GB56"/>
    <mergeCell ref="A66:A67"/>
    <mergeCell ref="B66:B67"/>
    <mergeCell ref="T66:T67"/>
    <mergeCell ref="V66:V67"/>
    <mergeCell ref="Z66:Z67"/>
    <mergeCell ref="AB66:AB67"/>
    <mergeCell ref="AD66:AD67"/>
    <mergeCell ref="AI66:AI67"/>
    <mergeCell ref="AK66:AK67"/>
    <mergeCell ref="FF55:FF56"/>
    <mergeCell ref="FH55:FH56"/>
    <mergeCell ref="FJ55:FJ56"/>
    <mergeCell ref="FL55:FL56"/>
    <mergeCell ref="FN55:FN56"/>
    <mergeCell ref="FP55:FP56"/>
    <mergeCell ref="ET55:ET56"/>
    <mergeCell ref="EV55:EV56"/>
    <mergeCell ref="EX55:EX56"/>
    <mergeCell ref="EZ55:EZ56"/>
    <mergeCell ref="FB55:FB56"/>
    <mergeCell ref="FD55:FD56"/>
    <mergeCell ref="EH55:EH56"/>
    <mergeCell ref="EJ55:EJ56"/>
    <mergeCell ref="EL55:EL56"/>
    <mergeCell ref="EN55:EN56"/>
    <mergeCell ref="EP55:EP56"/>
    <mergeCell ref="ER55:ER56"/>
    <mergeCell ref="DW55:DW56"/>
    <mergeCell ref="DY55:DY56"/>
    <mergeCell ref="DZ55:DZ56"/>
    <mergeCell ref="EA55:EA56"/>
    <mergeCell ref="EC55:EC56"/>
    <mergeCell ref="EF55:EF56"/>
    <mergeCell ref="CM55:CM56"/>
    <mergeCell ref="CQ55:CQ56"/>
    <mergeCell ref="CW55:CW56"/>
    <mergeCell ref="DE55:DE56"/>
    <mergeCell ref="DG55:DG56"/>
    <mergeCell ref="DI55:DI56"/>
    <mergeCell ref="CB55:CB56"/>
    <mergeCell ref="CD55:CD56"/>
    <mergeCell ref="CE55:CE56"/>
    <mergeCell ref="CG55:CG56"/>
    <mergeCell ref="CI55:CI56"/>
    <mergeCell ref="CK55:CK56"/>
    <mergeCell ref="AT55:AT56"/>
    <mergeCell ref="AV55:AV56"/>
    <mergeCell ref="BD55:BD56"/>
    <mergeCell ref="BF55:BF56"/>
    <mergeCell ref="BH55:BH56"/>
    <mergeCell ref="BT55:BT56"/>
    <mergeCell ref="AD55:AD56"/>
    <mergeCell ref="AI55:AI56"/>
    <mergeCell ref="AK55:AK56"/>
    <mergeCell ref="AN55:AN56"/>
    <mergeCell ref="AP55:AP56"/>
    <mergeCell ref="AR55:AR56"/>
    <mergeCell ref="A55:A56"/>
    <mergeCell ref="B55:B56"/>
    <mergeCell ref="T55:T56"/>
    <mergeCell ref="V55:V56"/>
    <mergeCell ref="Z55:Z56"/>
    <mergeCell ref="AB55:AB56"/>
    <mergeCell ref="FJ51:FJ53"/>
    <mergeCell ref="FL51:FL53"/>
    <mergeCell ref="FN51:FN53"/>
    <mergeCell ref="FP51:FP53"/>
    <mergeCell ref="GB51:GB53"/>
    <mergeCell ref="CD52:CD53"/>
    <mergeCell ref="DY52:DY53"/>
    <mergeCell ref="EX51:EX53"/>
    <mergeCell ref="EZ51:EZ53"/>
    <mergeCell ref="FB51:FB53"/>
    <mergeCell ref="FD51:FD53"/>
    <mergeCell ref="FF51:FF53"/>
    <mergeCell ref="FH51:FH53"/>
    <mergeCell ref="EL51:EL53"/>
    <mergeCell ref="EN51:EN53"/>
    <mergeCell ref="EP51:EP53"/>
    <mergeCell ref="ER51:ER53"/>
    <mergeCell ref="ET51:ET53"/>
    <mergeCell ref="EV51:EV53"/>
    <mergeCell ref="DZ51:DZ53"/>
    <mergeCell ref="EA51:EA53"/>
    <mergeCell ref="EC51:EC53"/>
    <mergeCell ref="EF51:EF53"/>
    <mergeCell ref="EH51:EH53"/>
    <mergeCell ref="EJ51:EJ53"/>
    <mergeCell ref="CQ51:CQ53"/>
    <mergeCell ref="CW51:CW53"/>
    <mergeCell ref="DE51:DE53"/>
    <mergeCell ref="DG51:DG53"/>
    <mergeCell ref="DI51:DI53"/>
    <mergeCell ref="DW51:DW53"/>
    <mergeCell ref="CB51:CB53"/>
    <mergeCell ref="CE51:CE53"/>
    <mergeCell ref="CG51:CG53"/>
    <mergeCell ref="CI51:CI53"/>
    <mergeCell ref="CK51:CK53"/>
    <mergeCell ref="CM51:CM53"/>
    <mergeCell ref="AT51:AT53"/>
    <mergeCell ref="AV51:AV53"/>
    <mergeCell ref="BD51:BD53"/>
    <mergeCell ref="BF51:BF53"/>
    <mergeCell ref="BH51:BH53"/>
    <mergeCell ref="BT51:BT53"/>
    <mergeCell ref="AD51:AD53"/>
    <mergeCell ref="AI51:AI53"/>
    <mergeCell ref="AK51:AK53"/>
    <mergeCell ref="AN51:AN53"/>
    <mergeCell ref="AP51:AP53"/>
    <mergeCell ref="AR51:AR53"/>
    <mergeCell ref="FL42:FL45"/>
    <mergeCell ref="FN42:FN45"/>
    <mergeCell ref="FP42:FP45"/>
    <mergeCell ref="GB42:GB45"/>
    <mergeCell ref="A51:A53"/>
    <mergeCell ref="B51:B53"/>
    <mergeCell ref="T51:T53"/>
    <mergeCell ref="V51:V53"/>
    <mergeCell ref="Z51:Z53"/>
    <mergeCell ref="AB51:AB53"/>
    <mergeCell ref="EZ42:EZ45"/>
    <mergeCell ref="FB42:FB45"/>
    <mergeCell ref="FD42:FD45"/>
    <mergeCell ref="FF42:FF45"/>
    <mergeCell ref="FH42:FH45"/>
    <mergeCell ref="FJ42:FJ45"/>
    <mergeCell ref="EN42:EN45"/>
    <mergeCell ref="EP42:EP45"/>
    <mergeCell ref="ER42:ER45"/>
    <mergeCell ref="ET42:ET45"/>
    <mergeCell ref="EV42:EV45"/>
    <mergeCell ref="EX42:EX45"/>
    <mergeCell ref="EA42:EA45"/>
    <mergeCell ref="EC42:EC45"/>
    <mergeCell ref="EF42:EF45"/>
    <mergeCell ref="EH42:EH45"/>
    <mergeCell ref="EJ42:EJ45"/>
    <mergeCell ref="EL42:EL45"/>
    <mergeCell ref="DE42:DE45"/>
    <mergeCell ref="DG42:DG45"/>
    <mergeCell ref="DI42:DI45"/>
    <mergeCell ref="DW42:DW45"/>
    <mergeCell ref="DY42:DY45"/>
    <mergeCell ref="DZ42:DZ45"/>
    <mergeCell ref="CG42:CG45"/>
    <mergeCell ref="CI42:CI45"/>
    <mergeCell ref="CK42:CK45"/>
    <mergeCell ref="CM42:CM45"/>
    <mergeCell ref="CQ42:CQ45"/>
    <mergeCell ref="CW42:CW45"/>
    <mergeCell ref="BF42:BF45"/>
    <mergeCell ref="BH42:BH45"/>
    <mergeCell ref="BT42:BT45"/>
    <mergeCell ref="CB42:CB45"/>
    <mergeCell ref="CD42:CD45"/>
    <mergeCell ref="CE42:CE45"/>
    <mergeCell ref="AN42:AN45"/>
    <mergeCell ref="AP42:AP45"/>
    <mergeCell ref="AR42:AR45"/>
    <mergeCell ref="AT42:AT45"/>
    <mergeCell ref="AV42:AV45"/>
    <mergeCell ref="BD42:BD45"/>
    <mergeCell ref="GB33:GB36"/>
    <mergeCell ref="A42:A45"/>
    <mergeCell ref="B42:B45"/>
    <mergeCell ref="T42:T45"/>
    <mergeCell ref="V42:V45"/>
    <mergeCell ref="Z42:Z45"/>
    <mergeCell ref="AB42:AB45"/>
    <mergeCell ref="AD42:AD45"/>
    <mergeCell ref="AI42:AI45"/>
    <mergeCell ref="AK42:AK45"/>
    <mergeCell ref="FF33:FF36"/>
    <mergeCell ref="FH33:FH36"/>
    <mergeCell ref="FJ33:FJ36"/>
    <mergeCell ref="FL33:FL36"/>
    <mergeCell ref="FN33:FN36"/>
    <mergeCell ref="FP33:FP36"/>
    <mergeCell ref="ET33:ET36"/>
    <mergeCell ref="EV33:EV36"/>
    <mergeCell ref="EX33:EX36"/>
    <mergeCell ref="EZ33:EZ36"/>
    <mergeCell ref="FB33:FB36"/>
    <mergeCell ref="FD33:FD36"/>
    <mergeCell ref="EH33:EH36"/>
    <mergeCell ref="EJ33:EJ36"/>
    <mergeCell ref="EL33:EL36"/>
    <mergeCell ref="EN33:EN36"/>
    <mergeCell ref="EP33:EP36"/>
    <mergeCell ref="ER33:ER36"/>
    <mergeCell ref="DW33:DW36"/>
    <mergeCell ref="DY33:DY36"/>
    <mergeCell ref="DZ33:DZ36"/>
    <mergeCell ref="EA33:EA36"/>
    <mergeCell ref="EC33:EC36"/>
    <mergeCell ref="EF33:EF36"/>
    <mergeCell ref="CM33:CM36"/>
    <mergeCell ref="CQ33:CQ36"/>
    <mergeCell ref="CW33:CW36"/>
    <mergeCell ref="DE33:DE36"/>
    <mergeCell ref="DG33:DG36"/>
    <mergeCell ref="DI33:DI36"/>
    <mergeCell ref="CB33:CB36"/>
    <mergeCell ref="CD33:CD36"/>
    <mergeCell ref="CE33:CE36"/>
    <mergeCell ref="CG33:CG36"/>
    <mergeCell ref="CI33:CI36"/>
    <mergeCell ref="CK33:CK36"/>
    <mergeCell ref="AT33:AT36"/>
    <mergeCell ref="AV33:AV36"/>
    <mergeCell ref="BD33:BD36"/>
    <mergeCell ref="BF33:BF36"/>
    <mergeCell ref="BH33:BH36"/>
    <mergeCell ref="BT33:BT36"/>
    <mergeCell ref="AD33:AD36"/>
    <mergeCell ref="AI33:AI36"/>
    <mergeCell ref="AK33:AK36"/>
    <mergeCell ref="AN33:AN36"/>
    <mergeCell ref="AP33:AP36"/>
    <mergeCell ref="AR33:AR36"/>
    <mergeCell ref="FL28:FL29"/>
    <mergeCell ref="FN28:FN29"/>
    <mergeCell ref="FP28:FP29"/>
    <mergeCell ref="GB28:GB29"/>
    <mergeCell ref="A33:A36"/>
    <mergeCell ref="B33:B36"/>
    <mergeCell ref="T33:T36"/>
    <mergeCell ref="V33:V36"/>
    <mergeCell ref="Z33:Z36"/>
    <mergeCell ref="AB33:AB36"/>
    <mergeCell ref="EZ28:EZ29"/>
    <mergeCell ref="FB28:FB29"/>
    <mergeCell ref="FD28:FD29"/>
    <mergeCell ref="FF28:FF29"/>
    <mergeCell ref="FH28:FH29"/>
    <mergeCell ref="FJ28:FJ29"/>
    <mergeCell ref="EN28:EN29"/>
    <mergeCell ref="EP28:EP29"/>
    <mergeCell ref="ER28:ER29"/>
    <mergeCell ref="ET28:ET29"/>
    <mergeCell ref="EV28:EV29"/>
    <mergeCell ref="EX28:EX29"/>
    <mergeCell ref="EA28:EA29"/>
    <mergeCell ref="EC28:EC29"/>
    <mergeCell ref="EF28:EF29"/>
    <mergeCell ref="EH28:EH29"/>
    <mergeCell ref="EJ28:EJ29"/>
    <mergeCell ref="EL28:EL29"/>
    <mergeCell ref="DE28:DE29"/>
    <mergeCell ref="DG28:DG29"/>
    <mergeCell ref="DI28:DI29"/>
    <mergeCell ref="DW28:DW29"/>
    <mergeCell ref="DY28:DY29"/>
    <mergeCell ref="DZ28:DZ29"/>
    <mergeCell ref="CG28:CG29"/>
    <mergeCell ref="CI28:CI29"/>
    <mergeCell ref="CK28:CK29"/>
    <mergeCell ref="CM28:CM29"/>
    <mergeCell ref="CQ28:CQ29"/>
    <mergeCell ref="CW28:CW29"/>
    <mergeCell ref="BF28:BF29"/>
    <mergeCell ref="BH28:BH29"/>
    <mergeCell ref="BT28:BT29"/>
    <mergeCell ref="CB28:CB29"/>
    <mergeCell ref="CD28:CD29"/>
    <mergeCell ref="CE28:CE29"/>
    <mergeCell ref="AN28:AN29"/>
    <mergeCell ref="AP28:AP29"/>
    <mergeCell ref="AR28:AR29"/>
    <mergeCell ref="AT28:AT29"/>
    <mergeCell ref="AV28:AV29"/>
    <mergeCell ref="BD28:BD29"/>
    <mergeCell ref="GB24:GB26"/>
    <mergeCell ref="A28:A29"/>
    <mergeCell ref="B28:B29"/>
    <mergeCell ref="T28:T29"/>
    <mergeCell ref="V28:V29"/>
    <mergeCell ref="Z28:Z29"/>
    <mergeCell ref="AB28:AB29"/>
    <mergeCell ref="AD28:AD29"/>
    <mergeCell ref="AI28:AI29"/>
    <mergeCell ref="AK28:AK29"/>
    <mergeCell ref="FF24:FF26"/>
    <mergeCell ref="FH24:FH26"/>
    <mergeCell ref="FJ24:FJ26"/>
    <mergeCell ref="FL24:FL26"/>
    <mergeCell ref="FN24:FN26"/>
    <mergeCell ref="FP24:FP26"/>
    <mergeCell ref="ET24:ET26"/>
    <mergeCell ref="EV24:EV26"/>
    <mergeCell ref="EX24:EX26"/>
    <mergeCell ref="EZ24:EZ26"/>
    <mergeCell ref="FB24:FB26"/>
    <mergeCell ref="FD24:FD26"/>
    <mergeCell ref="EH24:EH26"/>
    <mergeCell ref="EJ24:EJ26"/>
    <mergeCell ref="EL24:EL26"/>
    <mergeCell ref="EN24:EN26"/>
    <mergeCell ref="EP24:EP26"/>
    <mergeCell ref="ER24:ER26"/>
    <mergeCell ref="DW24:DW26"/>
    <mergeCell ref="DY24:DY26"/>
    <mergeCell ref="DZ24:DZ26"/>
    <mergeCell ref="EA24:EA26"/>
    <mergeCell ref="EC24:EC26"/>
    <mergeCell ref="EF24:EF26"/>
    <mergeCell ref="CM24:CM26"/>
    <mergeCell ref="CQ24:CQ26"/>
    <mergeCell ref="CW24:CW26"/>
    <mergeCell ref="DE24:DE26"/>
    <mergeCell ref="DG24:DG26"/>
    <mergeCell ref="DI24:DI26"/>
    <mergeCell ref="CB24:CB26"/>
    <mergeCell ref="CD24:CD26"/>
    <mergeCell ref="CE24:CE26"/>
    <mergeCell ref="CG24:CG26"/>
    <mergeCell ref="CI24:CI26"/>
    <mergeCell ref="CK24:CK26"/>
    <mergeCell ref="AT24:AT26"/>
    <mergeCell ref="AV24:AV26"/>
    <mergeCell ref="BD24:BD26"/>
    <mergeCell ref="BF24:BF26"/>
    <mergeCell ref="BH24:BH26"/>
    <mergeCell ref="BT24:BT26"/>
    <mergeCell ref="AD24:AD26"/>
    <mergeCell ref="AI24:AI26"/>
    <mergeCell ref="AK24:AK26"/>
    <mergeCell ref="AN24:AN26"/>
    <mergeCell ref="AP24:AP26"/>
    <mergeCell ref="AR24:AR26"/>
    <mergeCell ref="FL21:FL22"/>
    <mergeCell ref="FN21:FN22"/>
    <mergeCell ref="FP21:FP22"/>
    <mergeCell ref="GB21:GB22"/>
    <mergeCell ref="A24:A26"/>
    <mergeCell ref="B24:B26"/>
    <mergeCell ref="T24:T26"/>
    <mergeCell ref="V24:V26"/>
    <mergeCell ref="Z24:Z26"/>
    <mergeCell ref="AB24:AB26"/>
    <mergeCell ref="EZ21:EZ22"/>
    <mergeCell ref="FB21:FB22"/>
    <mergeCell ref="FD21:FD22"/>
    <mergeCell ref="FF21:FF22"/>
    <mergeCell ref="FH21:FH22"/>
    <mergeCell ref="FJ21:FJ22"/>
    <mergeCell ref="EN21:EN22"/>
    <mergeCell ref="EP21:EP22"/>
    <mergeCell ref="ER21:ER22"/>
    <mergeCell ref="ET21:ET22"/>
    <mergeCell ref="EV21:EV22"/>
    <mergeCell ref="EX21:EX22"/>
    <mergeCell ref="EA21:EA22"/>
    <mergeCell ref="EC21:EC22"/>
    <mergeCell ref="EF21:EF22"/>
    <mergeCell ref="EH21:EH22"/>
    <mergeCell ref="EJ21:EJ22"/>
    <mergeCell ref="EL21:EL22"/>
    <mergeCell ref="DE21:DE22"/>
    <mergeCell ref="DG21:DG22"/>
    <mergeCell ref="DI21:DI22"/>
    <mergeCell ref="DW21:DW22"/>
    <mergeCell ref="DY21:DY22"/>
    <mergeCell ref="DZ21:DZ22"/>
    <mergeCell ref="CG21:CG22"/>
    <mergeCell ref="CI21:CI22"/>
    <mergeCell ref="CK21:CK22"/>
    <mergeCell ref="CM21:CM22"/>
    <mergeCell ref="CQ21:CQ22"/>
    <mergeCell ref="CW21:CW22"/>
    <mergeCell ref="BF21:BF22"/>
    <mergeCell ref="BH21:BH22"/>
    <mergeCell ref="BT21:BT22"/>
    <mergeCell ref="CB21:CB22"/>
    <mergeCell ref="CD21:CD22"/>
    <mergeCell ref="CE21:CE22"/>
    <mergeCell ref="AN21:AN22"/>
    <mergeCell ref="AP21:AP22"/>
    <mergeCell ref="AR21:AR22"/>
    <mergeCell ref="AT21:AT22"/>
    <mergeCell ref="AV21:AV22"/>
    <mergeCell ref="BD21:BD22"/>
    <mergeCell ref="GB12:GB15"/>
    <mergeCell ref="A21:A22"/>
    <mergeCell ref="B21:B22"/>
    <mergeCell ref="T21:T22"/>
    <mergeCell ref="V21:V22"/>
    <mergeCell ref="Z21:Z22"/>
    <mergeCell ref="AB21:AB22"/>
    <mergeCell ref="AD21:AD22"/>
    <mergeCell ref="AI21:AI22"/>
    <mergeCell ref="AK21:AK22"/>
    <mergeCell ref="FF12:FF15"/>
    <mergeCell ref="FH12:FH15"/>
    <mergeCell ref="FJ12:FJ15"/>
    <mergeCell ref="FL12:FL15"/>
    <mergeCell ref="FN12:FN15"/>
    <mergeCell ref="FP12:FP15"/>
    <mergeCell ref="ET12:ET15"/>
    <mergeCell ref="EV12:EV15"/>
    <mergeCell ref="EX12:EX15"/>
    <mergeCell ref="EZ12:EZ15"/>
    <mergeCell ref="FB12:FB15"/>
    <mergeCell ref="FD12:FD15"/>
    <mergeCell ref="EH12:EH15"/>
    <mergeCell ref="EJ12:EJ15"/>
    <mergeCell ref="EL12:EL15"/>
    <mergeCell ref="EN12:EN15"/>
    <mergeCell ref="EP12:EP15"/>
    <mergeCell ref="ER12:ER15"/>
    <mergeCell ref="DW12:DW15"/>
    <mergeCell ref="DY12:DY15"/>
    <mergeCell ref="DZ12:DZ15"/>
    <mergeCell ref="EA12:EA15"/>
    <mergeCell ref="EC12:EC15"/>
    <mergeCell ref="EF12:EF15"/>
    <mergeCell ref="CM12:CM15"/>
    <mergeCell ref="CQ12:CQ15"/>
    <mergeCell ref="CW12:CW15"/>
    <mergeCell ref="DE12:DE15"/>
    <mergeCell ref="DG12:DG15"/>
    <mergeCell ref="DI12:DI15"/>
    <mergeCell ref="CB12:CB15"/>
    <mergeCell ref="CD12:CD15"/>
    <mergeCell ref="CE12:CE15"/>
    <mergeCell ref="CG12:CG15"/>
    <mergeCell ref="CI12:CI15"/>
    <mergeCell ref="CK12:CK15"/>
    <mergeCell ref="AT12:AT15"/>
    <mergeCell ref="AV12:AV15"/>
    <mergeCell ref="BD12:BD15"/>
    <mergeCell ref="BF12:BF15"/>
    <mergeCell ref="BH12:BH15"/>
    <mergeCell ref="BT12:BT15"/>
    <mergeCell ref="AD12:AD15"/>
    <mergeCell ref="AI12:AI15"/>
    <mergeCell ref="AK12:AK15"/>
    <mergeCell ref="AN12:AN15"/>
    <mergeCell ref="AP12:AP15"/>
    <mergeCell ref="AR12:AR15"/>
    <mergeCell ref="FL9:FL10"/>
    <mergeCell ref="FN9:FN10"/>
    <mergeCell ref="FP9:FP10"/>
    <mergeCell ref="GB9:GB10"/>
    <mergeCell ref="A12:A15"/>
    <mergeCell ref="B12:B15"/>
    <mergeCell ref="T12:T15"/>
    <mergeCell ref="V12:V15"/>
    <mergeCell ref="Z12:Z15"/>
    <mergeCell ref="AB12:AB15"/>
    <mergeCell ref="EZ9:EZ10"/>
    <mergeCell ref="FB9:FB10"/>
    <mergeCell ref="FD9:FD10"/>
    <mergeCell ref="FF9:FF10"/>
    <mergeCell ref="FH9:FH10"/>
    <mergeCell ref="FJ9:FJ10"/>
    <mergeCell ref="EN9:EN10"/>
    <mergeCell ref="EP9:EP10"/>
    <mergeCell ref="ER9:ER10"/>
    <mergeCell ref="ET9:ET10"/>
    <mergeCell ref="EV9:EV10"/>
    <mergeCell ref="EX9:EX10"/>
    <mergeCell ref="EA9:EA10"/>
    <mergeCell ref="EC9:EC10"/>
    <mergeCell ref="EF9:EF10"/>
    <mergeCell ref="EH9:EH10"/>
    <mergeCell ref="EJ9:EJ10"/>
    <mergeCell ref="EL9:EL10"/>
    <mergeCell ref="DE9:DE10"/>
    <mergeCell ref="DG9:DG10"/>
    <mergeCell ref="DI9:DI10"/>
    <mergeCell ref="DW9:DW10"/>
    <mergeCell ref="DY9:DY10"/>
    <mergeCell ref="DZ9:DZ10"/>
    <mergeCell ref="CG9:CG10"/>
    <mergeCell ref="CI9:CI10"/>
    <mergeCell ref="CK9:CK10"/>
    <mergeCell ref="CM9:CM10"/>
    <mergeCell ref="CQ9:CQ10"/>
    <mergeCell ref="CW9:CW10"/>
    <mergeCell ref="BF9:BF10"/>
    <mergeCell ref="BH9:BH10"/>
    <mergeCell ref="BT9:BT10"/>
    <mergeCell ref="CB9:CB10"/>
    <mergeCell ref="CD9:CD10"/>
    <mergeCell ref="CE9:CE10"/>
    <mergeCell ref="AN9:AN10"/>
    <mergeCell ref="AP9:AP10"/>
    <mergeCell ref="AR9:AR10"/>
    <mergeCell ref="AT9:AT10"/>
    <mergeCell ref="AV9:AV10"/>
    <mergeCell ref="BD9:BD10"/>
    <mergeCell ref="GB5:GB7"/>
    <mergeCell ref="A9:A10"/>
    <mergeCell ref="B9:B10"/>
    <mergeCell ref="T9:T10"/>
    <mergeCell ref="V9:V10"/>
    <mergeCell ref="Z9:Z10"/>
    <mergeCell ref="AB9:AB10"/>
    <mergeCell ref="AD9:AD10"/>
    <mergeCell ref="AI9:AI10"/>
    <mergeCell ref="AK9:AK10"/>
    <mergeCell ref="FF5:FF7"/>
    <mergeCell ref="FH5:FH7"/>
    <mergeCell ref="FJ5:FJ7"/>
    <mergeCell ref="FL5:FL7"/>
    <mergeCell ref="FN5:FN7"/>
    <mergeCell ref="FP5:FP7"/>
    <mergeCell ref="ET5:ET7"/>
    <mergeCell ref="EV5:EV7"/>
    <mergeCell ref="EX5:EX7"/>
    <mergeCell ref="EZ5:EZ7"/>
    <mergeCell ref="FB5:FB7"/>
    <mergeCell ref="FD5:FD7"/>
    <mergeCell ref="EH5:EH7"/>
    <mergeCell ref="EJ5:EJ7"/>
    <mergeCell ref="EL5:EL7"/>
    <mergeCell ref="EN5:EN7"/>
    <mergeCell ref="EP5:EP7"/>
    <mergeCell ref="ER5:ER7"/>
    <mergeCell ref="DW5:DW7"/>
    <mergeCell ref="DY5:DY7"/>
    <mergeCell ref="DZ5:DZ7"/>
    <mergeCell ref="EA5:EA7"/>
    <mergeCell ref="EC5:EC7"/>
    <mergeCell ref="EF5:EF7"/>
    <mergeCell ref="CM5:CM7"/>
    <mergeCell ref="CQ5:CQ7"/>
    <mergeCell ref="CW5:CW7"/>
    <mergeCell ref="DE5:DE7"/>
    <mergeCell ref="DG5:DG7"/>
    <mergeCell ref="DI5:DI7"/>
    <mergeCell ref="CB5:CB7"/>
    <mergeCell ref="CD5:CD7"/>
    <mergeCell ref="CE5:CE7"/>
    <mergeCell ref="CG5:CG7"/>
    <mergeCell ref="CI5:CI7"/>
    <mergeCell ref="CK5:CK7"/>
    <mergeCell ref="AT5:AT7"/>
    <mergeCell ref="AV5:AV7"/>
    <mergeCell ref="BD5:BD7"/>
    <mergeCell ref="BF5:BF7"/>
    <mergeCell ref="BH5:BH7"/>
    <mergeCell ref="BT5:BT7"/>
    <mergeCell ref="AD5:AD7"/>
    <mergeCell ref="AI5:AI7"/>
    <mergeCell ref="AK5:AK7"/>
    <mergeCell ref="AN5:AN7"/>
    <mergeCell ref="AP5:AP7"/>
    <mergeCell ref="AR5:AR7"/>
    <mergeCell ref="S1:AO1"/>
    <mergeCell ref="BW1:CO1"/>
    <mergeCell ref="B2:B3"/>
    <mergeCell ref="S2:BV2"/>
    <mergeCell ref="A5:A7"/>
    <mergeCell ref="B5:B7"/>
    <mergeCell ref="T5:T7"/>
    <mergeCell ref="V5:V7"/>
    <mergeCell ref="Z5:Z7"/>
    <mergeCell ref="AB5:AB7"/>
  </mergeCells>
  <printOptions horizontalCentered="1" verticalCentered="1" gridLines="1"/>
  <pageMargins left="0.25" right="0.25" top="0.75" bottom="0.75" header="0.3" footer="0.3"/>
  <pageSetup scale="50" fitToHeight="0" orientation="landscape" r:id="rId1"/>
  <rowBreaks count="5" manualBreakCount="5">
    <brk id="50" min="1" max="131" man="1"/>
    <brk id="94" min="1" max="131" man="1"/>
    <brk id="140" min="1" max="181" man="1"/>
    <brk id="187" min="1" max="131" man="1"/>
    <brk id="231" min="1" max="131" man="1"/>
  </rowBreaks>
  <colBreaks count="3" manualBreakCount="3">
    <brk id="18" max="272" man="1"/>
    <brk id="74" max="272" man="1"/>
    <brk id="129" max="272"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39997558519241921"/>
  </sheetPr>
  <dimension ref="A1"/>
  <sheetViews>
    <sheetView workbookViewId="0">
      <selection activeCell="I26" sqref="I26"/>
    </sheetView>
  </sheetViews>
  <sheetFormatPr defaultRowHeight="1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W1015"/>
  <sheetViews>
    <sheetView topLeftCell="B1" zoomScale="85" zoomScaleNormal="85" workbookViewId="0">
      <pane ySplit="2" topLeftCell="A3" activePane="bottomLeft" state="frozen"/>
      <selection pane="bottomLeft" activeCell="R4" sqref="R4"/>
      <selection activeCell="S29" sqref="S29"/>
    </sheetView>
  </sheetViews>
  <sheetFormatPr defaultRowHeight="15"/>
  <cols>
    <col min="1" max="1" width="36.42578125" customWidth="1"/>
    <col min="2" max="2" width="10.42578125" style="659" bestFit="1" customWidth="1"/>
    <col min="3" max="3" width="11.7109375" style="659" bestFit="1" customWidth="1"/>
    <col min="4" max="4" width="9.140625" style="659" bestFit="1" customWidth="1"/>
    <col min="5" max="5" width="8.85546875" style="659" bestFit="1" customWidth="1"/>
    <col min="6" max="6" width="10.7109375" style="659" bestFit="1" customWidth="1"/>
    <col min="7" max="7" width="11.42578125" style="659" customWidth="1"/>
    <col min="8" max="8" width="11.5703125" style="659" customWidth="1"/>
    <col min="9" max="9" width="11.7109375" style="659" customWidth="1"/>
    <col min="10" max="10" width="11.5703125" style="659" customWidth="1"/>
    <col min="11" max="11" width="13.5703125" style="659" customWidth="1"/>
    <col min="12" max="12" width="11.140625" style="659" bestFit="1" customWidth="1"/>
    <col min="13" max="13" width="6.5703125" style="659" bestFit="1" customWidth="1"/>
    <col min="14" max="14" width="10.7109375" style="659" bestFit="1" customWidth="1"/>
    <col min="15" max="15" width="8.140625" style="659" customWidth="1"/>
    <col min="16" max="16" width="11.42578125" style="659" bestFit="1" customWidth="1"/>
    <col min="17" max="17" width="10.5703125" style="1222" customWidth="1"/>
    <col min="18" max="22" width="10.5703125" style="99" customWidth="1"/>
    <col min="23" max="23" width="4.42578125" bestFit="1" customWidth="1"/>
    <col min="24" max="24" width="5.7109375" bestFit="1" customWidth="1"/>
    <col min="25" max="25" width="18.28515625" bestFit="1" customWidth="1"/>
    <col min="26" max="29" width="18.28515625" customWidth="1"/>
    <col min="30" max="30" width="8.28515625" bestFit="1" customWidth="1"/>
    <col min="31" max="31" width="15.140625" style="1228" bestFit="1" customWidth="1"/>
    <col min="32" max="32" width="4.42578125" style="659" customWidth="1"/>
    <col min="33" max="33" width="10" style="474" customWidth="1"/>
    <col min="34" max="34" width="11.7109375" style="474" customWidth="1"/>
    <col min="35" max="36" width="8" style="1229" customWidth="1"/>
    <col min="37" max="37" width="11.7109375" style="1229" customWidth="1"/>
    <col min="38" max="38" width="8.140625" style="1229" customWidth="1"/>
    <col min="39" max="39" width="8.7109375" style="1229" customWidth="1"/>
    <col min="40" max="40" width="8" style="1229" customWidth="1"/>
    <col min="41" max="41" width="8" style="474" customWidth="1"/>
    <col min="42" max="42" width="10.140625" style="1229" customWidth="1"/>
    <col min="43" max="43" width="11.5703125" style="474" customWidth="1"/>
    <col min="44" max="44" width="5.42578125" style="474" customWidth="1"/>
    <col min="45" max="45" width="10.28515625" style="1229" customWidth="1"/>
    <col min="46" max="46" width="8" style="1229" customWidth="1"/>
    <col min="47" max="47" width="12.140625" style="474" customWidth="1"/>
    <col min="48" max="48" width="10.7109375" style="1230" customWidth="1"/>
    <col min="49" max="49" width="4.42578125" style="659" customWidth="1"/>
    <col min="50" max="50" width="10.42578125" customWidth="1"/>
    <col min="51" max="51" width="11.85546875" customWidth="1"/>
    <col min="52" max="53" width="9.140625" customWidth="1"/>
    <col min="54" max="54" width="11.28515625" customWidth="1"/>
    <col min="55" max="55" width="11.42578125" customWidth="1"/>
    <col min="56" max="56" width="11" customWidth="1"/>
    <col min="57" max="57" width="5.42578125" style="1231" customWidth="1"/>
    <col min="58" max="58" width="11.85546875" style="1181" customWidth="1"/>
    <col min="59" max="59" width="8" customWidth="1"/>
    <col min="60" max="60" width="12.85546875" customWidth="1"/>
    <col min="61" max="61" width="10.5703125" style="1228" customWidth="1"/>
    <col min="62" max="62" width="4.42578125" bestFit="1" customWidth="1"/>
    <col min="63" max="63" width="9.42578125" customWidth="1"/>
    <col min="64" max="64" width="11.5703125" bestFit="1" customWidth="1"/>
    <col min="65" max="65" width="7.140625" bestFit="1" customWidth="1"/>
    <col min="66" max="66" width="8.140625" bestFit="1" customWidth="1"/>
    <col min="67" max="67" width="11.28515625" customWidth="1"/>
    <col min="68" max="68" width="11" bestFit="1" customWidth="1"/>
    <col min="69" max="69" width="5.5703125" bestFit="1" customWidth="1"/>
    <col min="70" max="70" width="10.5703125" style="1231" bestFit="1" customWidth="1"/>
    <col min="71" max="71" width="8.140625" style="1231" customWidth="1"/>
    <col min="72" max="72" width="13.140625" customWidth="1"/>
    <col min="73" max="73" width="10.7109375" style="1228" customWidth="1"/>
    <col min="74" max="74" width="10.7109375" style="491" customWidth="1"/>
    <col min="75" max="75" width="138.28515625" bestFit="1" customWidth="1"/>
  </cols>
  <sheetData>
    <row r="1" spans="1:75" ht="36" customHeight="1" thickBot="1">
      <c r="A1" s="2784" t="s">
        <v>922</v>
      </c>
      <c r="B1" s="2784"/>
      <c r="C1" s="2784"/>
      <c r="D1" s="2784"/>
      <c r="E1" s="2784"/>
      <c r="F1" s="2784"/>
      <c r="G1" s="2784"/>
      <c r="H1" s="2784"/>
      <c r="I1" s="2784"/>
      <c r="J1" s="2784"/>
      <c r="K1" s="2784"/>
      <c r="L1" s="2784"/>
      <c r="M1" s="2784"/>
      <c r="N1" s="2784"/>
      <c r="O1" s="2784"/>
      <c r="P1" s="2784"/>
      <c r="Q1" s="2785"/>
      <c r="R1" s="2546"/>
      <c r="S1" s="2546"/>
      <c r="T1" s="2546"/>
      <c r="U1" s="2546"/>
      <c r="V1" s="2546"/>
      <c r="W1" s="2782" t="s">
        <v>923</v>
      </c>
      <c r="X1" s="2782"/>
      <c r="Y1" s="2782"/>
      <c r="Z1" s="2782"/>
      <c r="AA1" s="2782"/>
      <c r="AB1" s="2782"/>
      <c r="AC1" s="2782"/>
      <c r="AD1" s="2782"/>
      <c r="AE1" s="2786"/>
      <c r="AF1" s="2787" t="s">
        <v>610</v>
      </c>
      <c r="AG1" s="2788"/>
      <c r="AH1" s="2788"/>
      <c r="AI1" s="2788"/>
      <c r="AJ1" s="2788"/>
      <c r="AK1" s="2788"/>
      <c r="AL1" s="2788"/>
      <c r="AM1" s="2788"/>
      <c r="AN1" s="2788"/>
      <c r="AO1" s="2788"/>
      <c r="AP1" s="2788"/>
      <c r="AQ1" s="2788"/>
      <c r="AR1" s="2788"/>
      <c r="AS1" s="2788"/>
      <c r="AT1" s="2788"/>
      <c r="AU1" s="2788"/>
      <c r="AV1" s="2789"/>
      <c r="AW1" s="2790" t="s">
        <v>924</v>
      </c>
      <c r="AX1" s="2791"/>
      <c r="AY1" s="2791"/>
      <c r="AZ1" s="2791"/>
      <c r="BA1" s="2791"/>
      <c r="BB1" s="2791"/>
      <c r="BC1" s="2791"/>
      <c r="BD1" s="2791"/>
      <c r="BE1" s="2791"/>
      <c r="BF1" s="2791"/>
      <c r="BG1" s="2791"/>
      <c r="BH1" s="2791"/>
      <c r="BI1" s="2792"/>
      <c r="BJ1" s="2793" t="s">
        <v>925</v>
      </c>
      <c r="BK1" s="2794"/>
      <c r="BL1" s="2794"/>
      <c r="BM1" s="2794"/>
      <c r="BN1" s="2794"/>
      <c r="BO1" s="2794"/>
      <c r="BP1" s="2794"/>
      <c r="BQ1" s="2794"/>
      <c r="BR1" s="2794"/>
      <c r="BS1" s="2794"/>
      <c r="BT1" s="2794"/>
      <c r="BU1" s="2795"/>
      <c r="BV1" s="1130"/>
      <c r="BW1" s="2771" t="s">
        <v>926</v>
      </c>
    </row>
    <row r="2" spans="1:75" s="1136" customFormat="1" ht="46.5" customHeight="1" thickBot="1">
      <c r="A2" s="2300"/>
      <c r="B2" s="1131" t="s">
        <v>927</v>
      </c>
      <c r="C2" s="2301" t="s">
        <v>747</v>
      </c>
      <c r="D2" s="2301" t="s">
        <v>637</v>
      </c>
      <c r="E2" s="2301" t="s">
        <v>903</v>
      </c>
      <c r="F2" s="2301" t="s">
        <v>884</v>
      </c>
      <c r="G2" s="2301" t="s">
        <v>928</v>
      </c>
      <c r="H2" s="2301" t="s">
        <v>717</v>
      </c>
      <c r="I2" s="2301" t="s">
        <v>929</v>
      </c>
      <c r="J2" s="2301" t="s">
        <v>930</v>
      </c>
      <c r="K2" s="2301" t="s">
        <v>931</v>
      </c>
      <c r="L2" s="2301" t="s">
        <v>744</v>
      </c>
      <c r="M2" s="2301" t="s">
        <v>932</v>
      </c>
      <c r="N2" s="2301" t="s">
        <v>933</v>
      </c>
      <c r="O2" s="2301" t="s">
        <v>934</v>
      </c>
      <c r="P2" s="2301" t="s">
        <v>731</v>
      </c>
      <c r="Q2" s="2301" t="s">
        <v>935</v>
      </c>
      <c r="R2" s="2547"/>
      <c r="S2" s="2547"/>
      <c r="T2" s="2547"/>
      <c r="U2" s="2547"/>
      <c r="V2" s="2547"/>
      <c r="W2" s="2300" t="s">
        <v>0</v>
      </c>
      <c r="X2" s="2300" t="s">
        <v>936</v>
      </c>
      <c r="Y2" s="2300" t="s">
        <v>937</v>
      </c>
      <c r="Z2" s="2300"/>
      <c r="AA2" s="2300"/>
      <c r="AB2" s="2300"/>
      <c r="AC2" s="2300"/>
      <c r="AD2" s="2300" t="s">
        <v>938</v>
      </c>
      <c r="AE2" s="1132" t="s">
        <v>939</v>
      </c>
      <c r="AF2" s="2300" t="s">
        <v>0</v>
      </c>
      <c r="AG2" s="2300" t="s">
        <v>927</v>
      </c>
      <c r="AH2" s="2300" t="s">
        <v>747</v>
      </c>
      <c r="AI2" s="1131" t="s">
        <v>637</v>
      </c>
      <c r="AJ2" s="1131" t="s">
        <v>903</v>
      </c>
      <c r="AK2" s="1131" t="s">
        <v>884</v>
      </c>
      <c r="AL2" s="1131" t="s">
        <v>928</v>
      </c>
      <c r="AM2" s="1131" t="s">
        <v>717</v>
      </c>
      <c r="AN2" s="1131" t="s">
        <v>929</v>
      </c>
      <c r="AO2" s="1131" t="s">
        <v>930</v>
      </c>
      <c r="AP2" s="1131" t="s">
        <v>931</v>
      </c>
      <c r="AQ2" s="2300" t="s">
        <v>744</v>
      </c>
      <c r="AR2" s="2300" t="s">
        <v>932</v>
      </c>
      <c r="AS2" s="1131" t="s">
        <v>940</v>
      </c>
      <c r="AT2" s="1131" t="s">
        <v>941</v>
      </c>
      <c r="AU2" s="2300" t="s">
        <v>731</v>
      </c>
      <c r="AV2" s="1132" t="s">
        <v>935</v>
      </c>
      <c r="AW2" s="1133" t="s">
        <v>0</v>
      </c>
      <c r="AX2" s="1131" t="s">
        <v>927</v>
      </c>
      <c r="AY2" s="2301" t="s">
        <v>747</v>
      </c>
      <c r="AZ2" s="1131" t="s">
        <v>637</v>
      </c>
      <c r="BA2" s="1131" t="s">
        <v>903</v>
      </c>
      <c r="BB2" s="1131" t="s">
        <v>884</v>
      </c>
      <c r="BC2" s="1131" t="s">
        <v>942</v>
      </c>
      <c r="BD2" s="2301" t="s">
        <v>744</v>
      </c>
      <c r="BE2" s="1134" t="s">
        <v>943</v>
      </c>
      <c r="BF2" s="1131" t="s">
        <v>933</v>
      </c>
      <c r="BG2" s="1131" t="s">
        <v>934</v>
      </c>
      <c r="BH2" s="2301" t="s">
        <v>731</v>
      </c>
      <c r="BI2" s="2302" t="s">
        <v>935</v>
      </c>
      <c r="BJ2" s="1135" t="s">
        <v>0</v>
      </c>
      <c r="BK2" s="1131" t="s">
        <v>927</v>
      </c>
      <c r="BL2" s="2301" t="s">
        <v>747</v>
      </c>
      <c r="BM2" s="1131" t="s">
        <v>637</v>
      </c>
      <c r="BN2" s="1131" t="s">
        <v>903</v>
      </c>
      <c r="BO2" s="1131" t="s">
        <v>884</v>
      </c>
      <c r="BP2" s="2301" t="s">
        <v>744</v>
      </c>
      <c r="BQ2" s="2301" t="s">
        <v>943</v>
      </c>
      <c r="BR2" s="1131" t="s">
        <v>933</v>
      </c>
      <c r="BS2" s="1131" t="s">
        <v>934</v>
      </c>
      <c r="BT2" s="2301" t="s">
        <v>731</v>
      </c>
      <c r="BU2" s="2302" t="s">
        <v>935</v>
      </c>
      <c r="BV2" s="2299" t="s">
        <v>944</v>
      </c>
      <c r="BW2" s="2771"/>
    </row>
    <row r="3" spans="1:75" s="1136" customFormat="1" ht="46.5" customHeight="1" thickBot="1">
      <c r="A3" s="2796" t="s">
        <v>945</v>
      </c>
      <c r="B3" s="2797"/>
      <c r="C3" s="2797"/>
      <c r="D3" s="2797"/>
      <c r="E3" s="2797"/>
      <c r="F3" s="2797"/>
      <c r="G3" s="2797"/>
      <c r="H3" s="2797"/>
      <c r="I3" s="2797"/>
      <c r="J3" s="2797"/>
      <c r="K3" s="2797"/>
      <c r="L3" s="2797"/>
      <c r="M3" s="2797"/>
      <c r="N3" s="2797"/>
      <c r="O3" s="2797"/>
      <c r="P3" s="2797"/>
      <c r="Q3" s="2798"/>
      <c r="R3" s="2548">
        <v>1</v>
      </c>
      <c r="S3" s="2548">
        <v>2</v>
      </c>
      <c r="T3" s="2548">
        <v>3</v>
      </c>
      <c r="U3" s="2548">
        <v>4</v>
      </c>
      <c r="V3" s="2548">
        <v>5</v>
      </c>
      <c r="W3" s="2799" t="s">
        <v>946</v>
      </c>
      <c r="X3" s="2800"/>
      <c r="Y3" s="2800"/>
      <c r="Z3" s="2800"/>
      <c r="AA3" s="2800"/>
      <c r="AB3" s="2800"/>
      <c r="AC3" s="2800"/>
      <c r="AD3" s="2800"/>
      <c r="AE3" s="2801"/>
      <c r="AF3" s="2772" t="s">
        <v>946</v>
      </c>
      <c r="AG3" s="2773"/>
      <c r="AH3" s="2773"/>
      <c r="AI3" s="2773"/>
      <c r="AJ3" s="2773"/>
      <c r="AK3" s="2773"/>
      <c r="AL3" s="2773"/>
      <c r="AM3" s="2773"/>
      <c r="AN3" s="2773"/>
      <c r="AO3" s="2773"/>
      <c r="AP3" s="2773"/>
      <c r="AQ3" s="2773"/>
      <c r="AR3" s="2773"/>
      <c r="AS3" s="2773"/>
      <c r="AT3" s="2773"/>
      <c r="AU3" s="2773"/>
      <c r="AV3" s="2802"/>
      <c r="AW3" s="2772" t="s">
        <v>946</v>
      </c>
      <c r="AX3" s="2773"/>
      <c r="AY3" s="2773"/>
      <c r="AZ3" s="2773"/>
      <c r="BA3" s="2773"/>
      <c r="BB3" s="2773"/>
      <c r="BC3" s="2773"/>
      <c r="BD3" s="2773"/>
      <c r="BE3" s="2773"/>
      <c r="BF3" s="2773"/>
      <c r="BG3" s="2773"/>
      <c r="BH3" s="2773"/>
      <c r="BI3" s="2802"/>
      <c r="BJ3" s="2772" t="s">
        <v>946</v>
      </c>
      <c r="BK3" s="2773"/>
      <c r="BL3" s="2773"/>
      <c r="BM3" s="2773"/>
      <c r="BN3" s="2773"/>
      <c r="BO3" s="2773"/>
      <c r="BP3" s="2773"/>
      <c r="BQ3" s="2773"/>
      <c r="BR3" s="2773"/>
      <c r="BS3" s="2773"/>
      <c r="BT3" s="2773"/>
      <c r="BU3" s="2774"/>
      <c r="BV3" s="2299"/>
    </row>
    <row r="4" spans="1:75" s="659" customFormat="1">
      <c r="A4" s="1137" t="s">
        <v>610</v>
      </c>
      <c r="B4" s="1138">
        <f>SUM(B12,B20,B28,B36)</f>
        <v>399910</v>
      </c>
      <c r="C4" s="1138">
        <f>SUM(C12,C20,C28,C36)</f>
        <v>379724</v>
      </c>
      <c r="D4" s="1138">
        <f t="shared" ref="D4:Q4" si="0">SUM(D12,D20,D28,D36)</f>
        <v>95274</v>
      </c>
      <c r="E4" s="1138">
        <f t="shared" si="0"/>
        <v>123638</v>
      </c>
      <c r="F4" s="1138">
        <f t="shared" si="0"/>
        <v>0</v>
      </c>
      <c r="G4" s="1138">
        <f t="shared" si="0"/>
        <v>27728</v>
      </c>
      <c r="H4" s="1138">
        <f t="shared" si="0"/>
        <v>24092</v>
      </c>
      <c r="I4" s="1138">
        <f t="shared" si="0"/>
        <v>35900</v>
      </c>
      <c r="J4" s="1138">
        <f>SUM(J12,J20,J28,J36)</f>
        <v>73092</v>
      </c>
      <c r="K4" s="1138">
        <f>SUM(K12,K20,K28,K36)</f>
        <v>0</v>
      </c>
      <c r="L4" s="1138">
        <f t="shared" si="0"/>
        <v>7096</v>
      </c>
      <c r="M4" s="1138">
        <f t="shared" si="0"/>
        <v>6</v>
      </c>
      <c r="N4" s="1138">
        <f t="shared" si="0"/>
        <v>0</v>
      </c>
      <c r="O4" s="1138">
        <f t="shared" si="0"/>
        <v>6</v>
      </c>
      <c r="P4" s="1138">
        <f t="shared" si="0"/>
        <v>13090</v>
      </c>
      <c r="Q4" s="1185">
        <f t="shared" si="0"/>
        <v>481</v>
      </c>
      <c r="R4" s="2551" t="str">
        <f t="shared" ref="R4:R20" si="1">IF(Y4="",,5&amp;IF(LEN($X4)=1,"0000"&amp;$X4,IF(LEN($X4)=2,"000"&amp;$X4,IF(LEN($X4)=3,"00"&amp;$X4,IF(LEN($X4)=4,"0"&amp;$X4,IF(LEN($X4)=5,$X4,0)))))&amp;IF(LEN(Y4)=1,"000"&amp;Y4,IF(LEN(Y4)=2,"00"&amp;Y4,IF(LEN(Y4)=3,"0"&amp;Y4,IF(LEN(Y4)=4,Y4,0)))))</f>
        <v>5004880071</v>
      </c>
      <c r="S4" s="2551">
        <f t="shared" ref="S4:S20" si="2">IF(Z4="",,5&amp;IF(LEN($X4)=1,"0000"&amp;$X4,IF(LEN($X4)=2,"000"&amp;$X4,IF(LEN($X4)=3,"00"&amp;$X4,IF(LEN($X4)=4,"0"&amp;$X4,IF(LEN($X4)=5,$X4,0)))))&amp;IF(LEN(Z4)=1,"000"&amp;Z4,IF(LEN(Z4)=2,"00"&amp;Z4,IF(LEN(Z4)=3,"0"&amp;Z4,IF(LEN(Z4)=4,Z4,0)))))</f>
        <v>0</v>
      </c>
      <c r="T4" s="2551">
        <f t="shared" ref="T4:T20" si="3">IF(AA4="",,5&amp;IF(LEN($X4)=1,"0000"&amp;$X4,IF(LEN($X4)=2,"000"&amp;$X4,IF(LEN($X4)=3,"00"&amp;$X4,IF(LEN($X4)=4,"0"&amp;$X4,IF(LEN($X4)=5,$X4,0)))))&amp;IF(LEN(AA4)=1,"000"&amp;AA4,IF(LEN(AA4)=2,"00"&amp;AA4,IF(LEN(AA4)=3,"0"&amp;AA4,IF(LEN(AA4)=4,AA4,0)))))</f>
        <v>0</v>
      </c>
      <c r="U4" s="2551">
        <f t="shared" ref="U4:U20" si="4">IF(AB4="",,5&amp;IF(LEN($X4)=1,"0000"&amp;$X4,IF(LEN($X4)=2,"000"&amp;$X4,IF(LEN($X4)=3,"00"&amp;$X4,IF(LEN($X4)=4,"0"&amp;$X4,IF(LEN($X4)=5,$X4,0)))))&amp;IF(LEN(AB4)=1,"000"&amp;AB4,IF(LEN(AB4)=2,"00"&amp;AB4,IF(LEN(AB4)=3,"0"&amp;AB4,IF(LEN(AB4)=4,AB4,0)))))</f>
        <v>0</v>
      </c>
      <c r="V4" s="2551">
        <f t="shared" ref="V4:V20" si="5">IF(AC4="",,5&amp;IF(LEN($X4)=1,"0000"&amp;$X4,IF(LEN($X4)=2,"000"&amp;$X4,IF(LEN($X4)=3,"00"&amp;$X4,IF(LEN($X4)=4,"0"&amp;$X4,IF(LEN($X4)=5,$X4,0)))))&amp;IF(LEN(AC4)=1,"000"&amp;AC4,IF(LEN(AC4)=2,"00"&amp;AC4,IF(LEN(AC4)=3,"0"&amp;AC4,IF(LEN(AC4)=4,AC4,0)))))</f>
        <v>0</v>
      </c>
      <c r="W4" s="1139">
        <v>1</v>
      </c>
      <c r="X4" s="1139">
        <v>488</v>
      </c>
      <c r="Y4" s="1139">
        <v>71</v>
      </c>
      <c r="Z4" s="1139"/>
      <c r="AA4" s="1139"/>
      <c r="AB4" s="1139"/>
      <c r="AC4" s="1139"/>
      <c r="AD4" s="1140">
        <v>15000</v>
      </c>
      <c r="AE4" s="1141" t="s">
        <v>947</v>
      </c>
      <c r="AF4" s="1142">
        <v>1</v>
      </c>
      <c r="AG4" s="1138">
        <f>SUM(AH4,AQ4,AU4)</f>
        <v>27759</v>
      </c>
      <c r="AH4" s="1142">
        <f>SUM(AI4:AO4)</f>
        <v>27759</v>
      </c>
      <c r="AI4" s="1143">
        <v>0</v>
      </c>
      <c r="AJ4" s="1143">
        <v>27759</v>
      </c>
      <c r="AK4" s="1138">
        <v>0</v>
      </c>
      <c r="AL4" s="1143">
        <v>0</v>
      </c>
      <c r="AM4" s="1143">
        <v>0</v>
      </c>
      <c r="AN4" s="1143">
        <v>0</v>
      </c>
      <c r="AO4" s="1143">
        <v>0</v>
      </c>
      <c r="AP4" s="1144">
        <v>0</v>
      </c>
      <c r="AQ4" s="276">
        <v>0</v>
      </c>
      <c r="AR4" s="1143">
        <v>0</v>
      </c>
      <c r="AS4" s="1138">
        <v>0</v>
      </c>
      <c r="AT4" s="1138">
        <v>0</v>
      </c>
      <c r="AU4" s="1145">
        <v>0</v>
      </c>
      <c r="AV4" s="1146">
        <f>BI4</f>
        <v>45</v>
      </c>
      <c r="AW4" s="1145">
        <v>1</v>
      </c>
      <c r="AX4" s="1138">
        <f t="shared" ref="AX4:AX20" si="6">SUM(AY4,BD4,BH4)</f>
        <v>27759</v>
      </c>
      <c r="AY4" s="1142">
        <v>0</v>
      </c>
      <c r="AZ4" s="1147">
        <v>0</v>
      </c>
      <c r="BA4" s="1147">
        <v>0</v>
      </c>
      <c r="BB4" s="1147">
        <v>0</v>
      </c>
      <c r="BC4" s="1138">
        <f>AY4-SUM(AZ4:BB4)</f>
        <v>0</v>
      </c>
      <c r="BD4" s="276">
        <v>0</v>
      </c>
      <c r="BE4" s="277">
        <v>0</v>
      </c>
      <c r="BF4" s="1138">
        <v>0</v>
      </c>
      <c r="BG4" s="1138">
        <v>0</v>
      </c>
      <c r="BH4" s="276">
        <v>27759</v>
      </c>
      <c r="BI4" s="1148">
        <v>45</v>
      </c>
      <c r="BJ4" s="659">
        <v>1</v>
      </c>
      <c r="BK4" s="1138">
        <f>SUM(BL4,BP4,BT4)</f>
        <v>49500</v>
      </c>
      <c r="BL4" s="1145">
        <f>SUM(BM4:BO4)</f>
        <v>2800</v>
      </c>
      <c r="BM4" s="1143">
        <v>2800</v>
      </c>
      <c r="BN4" s="1143">
        <v>0</v>
      </c>
      <c r="BO4" s="1143">
        <v>0</v>
      </c>
      <c r="BP4" s="276">
        <v>46700</v>
      </c>
      <c r="BQ4" s="276">
        <v>47</v>
      </c>
      <c r="BR4" s="1144">
        <v>14</v>
      </c>
      <c r="BS4" s="1144">
        <v>33</v>
      </c>
      <c r="BT4" s="276">
        <v>0</v>
      </c>
      <c r="BU4" s="1149">
        <v>20</v>
      </c>
      <c r="BV4" s="627">
        <v>85</v>
      </c>
    </row>
    <row r="5" spans="1:75">
      <c r="A5" s="1150" t="s">
        <v>924</v>
      </c>
      <c r="B5" s="1151">
        <f>SUM(B13,B21,B29,B37)</f>
        <v>396500</v>
      </c>
      <c r="C5" s="1151">
        <f t="shared" ref="C5:Q6" si="7">SUM(C13,C21,C29,C37)</f>
        <v>343235</v>
      </c>
      <c r="D5" s="1151">
        <f t="shared" si="7"/>
        <v>194183</v>
      </c>
      <c r="E5" s="1151">
        <f t="shared" si="7"/>
        <v>99179</v>
      </c>
      <c r="F5" s="1151">
        <f t="shared" si="7"/>
        <v>14000</v>
      </c>
      <c r="G5" s="1151"/>
      <c r="H5" s="1151"/>
      <c r="I5" s="1151"/>
      <c r="J5" s="1151">
        <f>SUM(J13,J21,J29,J37)</f>
        <v>35873</v>
      </c>
      <c r="K5" s="1151">
        <f t="shared" si="7"/>
        <v>0</v>
      </c>
      <c r="L5" s="1151">
        <f>SUM(L13,L21,L29,L37)</f>
        <v>15386</v>
      </c>
      <c r="M5" s="1151">
        <f t="shared" si="7"/>
        <v>12</v>
      </c>
      <c r="N5" s="1151">
        <f t="shared" si="7"/>
        <v>0</v>
      </c>
      <c r="O5" s="1151">
        <f t="shared" si="7"/>
        <v>12</v>
      </c>
      <c r="P5" s="1151">
        <f t="shared" si="7"/>
        <v>37879</v>
      </c>
      <c r="Q5" s="2543">
        <f t="shared" si="7"/>
        <v>481</v>
      </c>
      <c r="R5" s="2551" t="str">
        <f t="shared" si="1"/>
        <v>5004870060</v>
      </c>
      <c r="S5" s="2551" t="str">
        <f t="shared" si="2"/>
        <v>5004870064</v>
      </c>
      <c r="T5" s="2551" t="str">
        <f t="shared" si="3"/>
        <v>5004870080</v>
      </c>
      <c r="U5" s="2551">
        <f t="shared" si="4"/>
        <v>0</v>
      </c>
      <c r="V5" s="2551">
        <f t="shared" si="5"/>
        <v>0</v>
      </c>
      <c r="W5" s="1139">
        <v>2</v>
      </c>
      <c r="X5" s="1139">
        <v>487</v>
      </c>
      <c r="Y5" s="1139">
        <v>60</v>
      </c>
      <c r="Z5" s="1139">
        <v>64</v>
      </c>
      <c r="AA5" s="1139">
        <v>80</v>
      </c>
      <c r="AB5" s="1139"/>
      <c r="AC5" s="1139"/>
      <c r="AD5" s="1140">
        <v>80647</v>
      </c>
      <c r="AE5" s="1141" t="s">
        <v>947</v>
      </c>
      <c r="AF5" s="1142">
        <v>2</v>
      </c>
      <c r="AG5" s="1138">
        <f t="shared" ref="AG5:AG20" si="8">SUM(AH5,AQ5,AU5)</f>
        <v>4672</v>
      </c>
      <c r="AH5" s="1142">
        <f t="shared" ref="AH5:AH20" si="9">SUM(AI5:AO5)</f>
        <v>4672</v>
      </c>
      <c r="AI5" s="1143">
        <v>3520</v>
      </c>
      <c r="AJ5" s="1143">
        <v>0</v>
      </c>
      <c r="AK5" s="1138">
        <v>0</v>
      </c>
      <c r="AL5" s="1143">
        <v>0</v>
      </c>
      <c r="AM5" s="1143">
        <v>0</v>
      </c>
      <c r="AN5" s="1143">
        <v>0</v>
      </c>
      <c r="AO5" s="1143">
        <v>1152</v>
      </c>
      <c r="AP5" s="1144">
        <v>0</v>
      </c>
      <c r="AQ5" s="276">
        <v>0</v>
      </c>
      <c r="AR5" s="1143">
        <v>0</v>
      </c>
      <c r="AS5" s="1138">
        <v>0</v>
      </c>
      <c r="AT5" s="1138">
        <v>0</v>
      </c>
      <c r="AU5" s="1145">
        <v>0</v>
      </c>
      <c r="AV5" s="1146">
        <f t="shared" ref="AV5:AV20" si="10">BI5</f>
        <v>19</v>
      </c>
      <c r="AW5" s="1145">
        <v>2</v>
      </c>
      <c r="AX5" s="1138">
        <f t="shared" si="6"/>
        <v>4672</v>
      </c>
      <c r="AY5" s="1142">
        <v>4672</v>
      </c>
      <c r="AZ5" s="1147">
        <v>4672</v>
      </c>
      <c r="BA5" s="1147">
        <v>0</v>
      </c>
      <c r="BB5" s="1147">
        <v>0</v>
      </c>
      <c r="BC5" s="1138">
        <f t="shared" ref="BC5:BC20" si="11">AY5-SUM(AZ5:BB5)</f>
        <v>0</v>
      </c>
      <c r="BD5" s="276">
        <v>0</v>
      </c>
      <c r="BE5" s="277">
        <v>0</v>
      </c>
      <c r="BF5" s="1138">
        <v>0</v>
      </c>
      <c r="BG5" s="1138">
        <v>0</v>
      </c>
      <c r="BH5" s="276">
        <v>0</v>
      </c>
      <c r="BI5" s="1152">
        <v>19</v>
      </c>
      <c r="BJ5" s="276">
        <v>2</v>
      </c>
      <c r="BK5" s="1138">
        <f t="shared" ref="BK5:BK20" si="12">SUM(BL5,BP5,BT5)</f>
        <v>266135</v>
      </c>
      <c r="BL5" s="1145">
        <f t="shared" ref="BL5:BL20" si="13">SUM(BM5:BO5)</f>
        <v>226135</v>
      </c>
      <c r="BM5" s="1143">
        <v>20000</v>
      </c>
      <c r="BN5" s="1143">
        <v>186135</v>
      </c>
      <c r="BO5" s="1143">
        <v>20000</v>
      </c>
      <c r="BP5" s="276">
        <v>0</v>
      </c>
      <c r="BQ5" s="276">
        <v>0</v>
      </c>
      <c r="BR5" s="1144">
        <v>0</v>
      </c>
      <c r="BS5" s="1144">
        <v>0</v>
      </c>
      <c r="BT5" s="276">
        <v>40000</v>
      </c>
      <c r="BU5" s="1153">
        <v>266</v>
      </c>
      <c r="BV5" s="627">
        <v>125</v>
      </c>
    </row>
    <row r="6" spans="1:75">
      <c r="A6" s="1150" t="s">
        <v>925</v>
      </c>
      <c r="B6" s="1151">
        <f>SUM(B14,B22,B30,B38)</f>
        <v>3272232</v>
      </c>
      <c r="C6" s="1151">
        <f t="shared" si="7"/>
        <v>618583</v>
      </c>
      <c r="D6" s="1151">
        <f t="shared" si="7"/>
        <v>230644</v>
      </c>
      <c r="E6" s="1151">
        <f t="shared" si="7"/>
        <v>316939</v>
      </c>
      <c r="F6" s="1151">
        <f t="shared" si="7"/>
        <v>71000</v>
      </c>
      <c r="G6" s="1151"/>
      <c r="H6" s="1151"/>
      <c r="I6" s="1151"/>
      <c r="J6" s="1151">
        <f t="shared" si="7"/>
        <v>0</v>
      </c>
      <c r="K6" s="1151">
        <f t="shared" si="7"/>
        <v>0</v>
      </c>
      <c r="L6" s="1151">
        <f t="shared" si="7"/>
        <v>2568971</v>
      </c>
      <c r="M6" s="1151">
        <f t="shared" si="7"/>
        <v>2569</v>
      </c>
      <c r="N6" s="1151">
        <f t="shared" si="7"/>
        <v>1061</v>
      </c>
      <c r="O6" s="1151">
        <f t="shared" si="7"/>
        <v>1508</v>
      </c>
      <c r="P6" s="1151">
        <f t="shared" si="7"/>
        <v>84678</v>
      </c>
      <c r="Q6" s="2543">
        <f t="shared" si="7"/>
        <v>1771</v>
      </c>
      <c r="R6" s="2551" t="str">
        <f t="shared" si="1"/>
        <v>5004880009</v>
      </c>
      <c r="S6" s="2551">
        <f t="shared" si="2"/>
        <v>0</v>
      </c>
      <c r="T6" s="2551">
        <f t="shared" si="3"/>
        <v>0</v>
      </c>
      <c r="U6" s="2551">
        <f t="shared" si="4"/>
        <v>0</v>
      </c>
      <c r="V6" s="2551">
        <f t="shared" si="5"/>
        <v>0</v>
      </c>
      <c r="W6" s="1139">
        <v>3</v>
      </c>
      <c r="X6" s="1139">
        <v>488</v>
      </c>
      <c r="Y6" s="1139">
        <v>9</v>
      </c>
      <c r="Z6" s="1139"/>
      <c r="AA6" s="1139"/>
      <c r="AB6" s="1139"/>
      <c r="AC6" s="1139"/>
      <c r="AD6" s="1140">
        <v>53422</v>
      </c>
      <c r="AE6" s="1141" t="s">
        <v>947</v>
      </c>
      <c r="AF6" s="1142">
        <v>3</v>
      </c>
      <c r="AG6" s="1138">
        <f t="shared" si="8"/>
        <v>0</v>
      </c>
      <c r="AH6" s="1142">
        <f t="shared" si="9"/>
        <v>0</v>
      </c>
      <c r="AI6" s="1143">
        <v>0</v>
      </c>
      <c r="AJ6" s="1143">
        <v>0</v>
      </c>
      <c r="AK6" s="1138">
        <v>0</v>
      </c>
      <c r="AL6" s="1143">
        <v>0</v>
      </c>
      <c r="AM6" s="1143">
        <v>0</v>
      </c>
      <c r="AN6" s="1143">
        <v>0</v>
      </c>
      <c r="AO6" s="1143">
        <v>0</v>
      </c>
      <c r="AP6" s="1144">
        <v>0</v>
      </c>
      <c r="AQ6" s="276">
        <v>0</v>
      </c>
      <c r="AR6" s="1143">
        <v>0</v>
      </c>
      <c r="AS6" s="1138">
        <v>0</v>
      </c>
      <c r="AT6" s="1138">
        <v>0</v>
      </c>
      <c r="AU6" s="1145">
        <v>0</v>
      </c>
      <c r="AV6" s="1146">
        <f t="shared" si="10"/>
        <v>0</v>
      </c>
      <c r="AW6" s="1145">
        <v>3</v>
      </c>
      <c r="AX6" s="1138">
        <f t="shared" si="6"/>
        <v>0</v>
      </c>
      <c r="AY6" s="1142">
        <v>0</v>
      </c>
      <c r="AZ6" s="1147">
        <v>0</v>
      </c>
      <c r="BA6" s="1147">
        <v>0</v>
      </c>
      <c r="BB6" s="1147">
        <v>0</v>
      </c>
      <c r="BC6" s="1138">
        <f t="shared" si="11"/>
        <v>0</v>
      </c>
      <c r="BD6" s="276">
        <v>0</v>
      </c>
      <c r="BE6" s="277">
        <v>0</v>
      </c>
      <c r="BF6" s="1138">
        <v>0</v>
      </c>
      <c r="BG6" s="1138">
        <v>0</v>
      </c>
      <c r="BH6" s="276">
        <v>0</v>
      </c>
      <c r="BI6" s="1152">
        <v>0</v>
      </c>
      <c r="BJ6" s="659">
        <v>3</v>
      </c>
      <c r="BK6" s="1138">
        <f t="shared" si="12"/>
        <v>211551</v>
      </c>
      <c r="BL6" s="1145">
        <f t="shared" si="13"/>
        <v>8000</v>
      </c>
      <c r="BM6" s="1143">
        <v>8000</v>
      </c>
      <c r="BN6" s="1143">
        <v>0</v>
      </c>
      <c r="BO6" s="1143">
        <v>0</v>
      </c>
      <c r="BP6" s="276">
        <v>203551</v>
      </c>
      <c r="BQ6" s="276">
        <v>204</v>
      </c>
      <c r="BR6" s="1144">
        <v>204</v>
      </c>
      <c r="BS6" s="1144">
        <v>0</v>
      </c>
      <c r="BT6" s="276">
        <v>0</v>
      </c>
      <c r="BU6" s="1153">
        <v>51</v>
      </c>
      <c r="BV6" s="627">
        <v>125</v>
      </c>
    </row>
    <row r="7" spans="1:75" ht="15.75" thickBot="1">
      <c r="A7" s="1154" t="s">
        <v>948</v>
      </c>
      <c r="B7" s="1155">
        <f>B5-B4</f>
        <v>-3410</v>
      </c>
      <c r="C7" s="1155">
        <f>C5-C4</f>
        <v>-36489</v>
      </c>
      <c r="D7" s="1155">
        <f t="shared" ref="D7:Q7" si="14">D5-D4</f>
        <v>98909</v>
      </c>
      <c r="E7" s="1155">
        <f t="shared" si="14"/>
        <v>-24459</v>
      </c>
      <c r="F7" s="1155">
        <f t="shared" si="14"/>
        <v>14000</v>
      </c>
      <c r="G7" s="1155"/>
      <c r="H7" s="1155"/>
      <c r="I7" s="1155"/>
      <c r="J7" s="1155">
        <f>J5-J4</f>
        <v>-37219</v>
      </c>
      <c r="K7" s="1155">
        <f t="shared" si="14"/>
        <v>0</v>
      </c>
      <c r="L7" s="1155">
        <f t="shared" si="14"/>
        <v>8290</v>
      </c>
      <c r="M7" s="1155">
        <f t="shared" si="14"/>
        <v>6</v>
      </c>
      <c r="N7" s="1155">
        <f t="shared" si="14"/>
        <v>0</v>
      </c>
      <c r="O7" s="1155">
        <f t="shared" si="14"/>
        <v>6</v>
      </c>
      <c r="P7" s="1155">
        <f t="shared" si="14"/>
        <v>24789</v>
      </c>
      <c r="Q7" s="1155">
        <f t="shared" si="14"/>
        <v>0</v>
      </c>
      <c r="R7" s="2551" t="str">
        <f t="shared" si="1"/>
        <v>5004880018</v>
      </c>
      <c r="S7" s="2551" t="str">
        <f t="shared" si="2"/>
        <v>5004880026</v>
      </c>
      <c r="T7" s="2551" t="str">
        <f t="shared" si="3"/>
        <v>5004880175</v>
      </c>
      <c r="U7" s="2551" t="str">
        <f t="shared" si="4"/>
        <v>5004880201</v>
      </c>
      <c r="V7" s="2551" t="str">
        <f t="shared" si="5"/>
        <v>5004880206</v>
      </c>
      <c r="W7" s="1139">
        <v>4</v>
      </c>
      <c r="X7" s="1139">
        <v>488</v>
      </c>
      <c r="Y7" s="1139">
        <v>18</v>
      </c>
      <c r="Z7" s="1139">
        <v>26</v>
      </c>
      <c r="AA7" s="1139">
        <v>175</v>
      </c>
      <c r="AB7" s="1139">
        <v>201</v>
      </c>
      <c r="AC7" s="1139">
        <v>206</v>
      </c>
      <c r="AD7" s="1140">
        <v>54709</v>
      </c>
      <c r="AE7" s="1141" t="s">
        <v>947</v>
      </c>
      <c r="AF7" s="1142">
        <v>4</v>
      </c>
      <c r="AG7" s="1138">
        <f t="shared" si="8"/>
        <v>42467</v>
      </c>
      <c r="AH7" s="1142">
        <f t="shared" si="9"/>
        <v>42467</v>
      </c>
      <c r="AI7" s="1143">
        <v>21988</v>
      </c>
      <c r="AJ7" s="1143">
        <v>0</v>
      </c>
      <c r="AK7" s="1138">
        <v>0</v>
      </c>
      <c r="AL7" s="1143">
        <v>5401</v>
      </c>
      <c r="AM7" s="1143">
        <v>1428</v>
      </c>
      <c r="AN7" s="1143">
        <v>13650</v>
      </c>
      <c r="AO7" s="1143">
        <v>0</v>
      </c>
      <c r="AP7" s="1144">
        <v>0</v>
      </c>
      <c r="AQ7" s="276">
        <v>0</v>
      </c>
      <c r="AR7" s="1143">
        <v>0</v>
      </c>
      <c r="AS7" s="1138">
        <v>0</v>
      </c>
      <c r="AT7" s="1138">
        <v>0</v>
      </c>
      <c r="AU7" s="1145">
        <v>0</v>
      </c>
      <c r="AV7" s="1146">
        <f t="shared" si="10"/>
        <v>0</v>
      </c>
      <c r="AW7" s="1145">
        <v>4</v>
      </c>
      <c r="AX7" s="1138">
        <f t="shared" si="6"/>
        <v>42467</v>
      </c>
      <c r="AY7" s="1142">
        <v>42467</v>
      </c>
      <c r="AZ7" s="1147">
        <v>42467</v>
      </c>
      <c r="BA7" s="1147">
        <v>0</v>
      </c>
      <c r="BB7" s="1147">
        <v>0</v>
      </c>
      <c r="BC7" s="1138">
        <f t="shared" si="11"/>
        <v>0</v>
      </c>
      <c r="BD7" s="276">
        <v>0</v>
      </c>
      <c r="BE7" s="277">
        <v>0</v>
      </c>
      <c r="BF7" s="1138">
        <v>0</v>
      </c>
      <c r="BG7" s="1138">
        <v>0</v>
      </c>
      <c r="BH7" s="276">
        <v>0</v>
      </c>
      <c r="BI7" s="1152">
        <v>0</v>
      </c>
      <c r="BJ7" s="276">
        <v>4</v>
      </c>
      <c r="BK7" s="1138">
        <f t="shared" si="12"/>
        <v>216648</v>
      </c>
      <c r="BL7" s="1145">
        <f t="shared" si="13"/>
        <v>12000</v>
      </c>
      <c r="BM7" s="1143">
        <v>7000</v>
      </c>
      <c r="BN7" s="1143">
        <v>0</v>
      </c>
      <c r="BO7" s="1143">
        <v>5000</v>
      </c>
      <c r="BP7" s="276">
        <v>189294</v>
      </c>
      <c r="BQ7" s="276">
        <v>189</v>
      </c>
      <c r="BR7" s="1144">
        <v>57</v>
      </c>
      <c r="BS7" s="1144">
        <v>133</v>
      </c>
      <c r="BT7" s="276">
        <v>15354</v>
      </c>
      <c r="BU7" s="1153">
        <v>80</v>
      </c>
      <c r="BV7" s="627">
        <v>125</v>
      </c>
    </row>
    <row r="8" spans="1:75" ht="15.75" thickBot="1">
      <c r="A8" s="1156" t="s">
        <v>949</v>
      </c>
      <c r="B8" s="1157">
        <f>B6-B5</f>
        <v>2875732</v>
      </c>
      <c r="C8" s="1158">
        <f t="shared" ref="C8:Q8" si="15">C6-C5</f>
        <v>275348</v>
      </c>
      <c r="D8" s="1158">
        <f t="shared" si="15"/>
        <v>36461</v>
      </c>
      <c r="E8" s="1158">
        <f t="shared" si="15"/>
        <v>217760</v>
      </c>
      <c r="F8" s="1158">
        <f t="shared" si="15"/>
        <v>57000</v>
      </c>
      <c r="G8" s="1157">
        <f t="shared" si="15"/>
        <v>0</v>
      </c>
      <c r="H8" s="1157">
        <f t="shared" si="15"/>
        <v>0</v>
      </c>
      <c r="I8" s="1157">
        <f t="shared" si="15"/>
        <v>0</v>
      </c>
      <c r="J8" s="1158">
        <f>J6-J5</f>
        <v>-35873</v>
      </c>
      <c r="K8" s="1157">
        <f t="shared" si="15"/>
        <v>0</v>
      </c>
      <c r="L8" s="1158">
        <f t="shared" si="15"/>
        <v>2553585</v>
      </c>
      <c r="M8" s="1158">
        <f t="shared" si="15"/>
        <v>2557</v>
      </c>
      <c r="N8" s="1158">
        <f t="shared" si="15"/>
        <v>1061</v>
      </c>
      <c r="O8" s="1158">
        <f t="shared" si="15"/>
        <v>1496</v>
      </c>
      <c r="P8" s="1158">
        <f t="shared" si="15"/>
        <v>46799</v>
      </c>
      <c r="Q8" s="1158">
        <f t="shared" si="15"/>
        <v>1290</v>
      </c>
      <c r="R8" s="2551" t="str">
        <f t="shared" si="1"/>
        <v>5004880053</v>
      </c>
      <c r="S8" s="2551" t="str">
        <f t="shared" si="2"/>
        <v>5004880065</v>
      </c>
      <c r="T8" s="2551">
        <f t="shared" si="3"/>
        <v>0</v>
      </c>
      <c r="U8" s="2551">
        <f t="shared" si="4"/>
        <v>0</v>
      </c>
      <c r="V8" s="2551">
        <f t="shared" si="5"/>
        <v>0</v>
      </c>
      <c r="W8" s="1139">
        <v>5</v>
      </c>
      <c r="X8" s="1139">
        <v>488</v>
      </c>
      <c r="Y8" s="1139">
        <v>53</v>
      </c>
      <c r="Z8" s="1139">
        <v>65</v>
      </c>
      <c r="AA8" s="1139"/>
      <c r="AB8" s="1139"/>
      <c r="AC8" s="1139"/>
      <c r="AD8" s="1140">
        <v>160265</v>
      </c>
      <c r="AE8" s="1141" t="s">
        <v>947</v>
      </c>
      <c r="AF8" s="1142">
        <v>5</v>
      </c>
      <c r="AG8" s="1138">
        <f t="shared" si="8"/>
        <v>45050</v>
      </c>
      <c r="AH8" s="1142">
        <f t="shared" si="9"/>
        <v>45050</v>
      </c>
      <c r="AI8" s="1143">
        <v>45050</v>
      </c>
      <c r="AJ8" s="1143">
        <v>0</v>
      </c>
      <c r="AK8" s="1138">
        <v>0</v>
      </c>
      <c r="AL8" s="1143">
        <v>0</v>
      </c>
      <c r="AM8" s="1143">
        <v>0</v>
      </c>
      <c r="AN8" s="1143">
        <v>0</v>
      </c>
      <c r="AO8" s="1143">
        <v>0</v>
      </c>
      <c r="AP8" s="1144">
        <v>0</v>
      </c>
      <c r="AQ8" s="276">
        <v>0</v>
      </c>
      <c r="AR8" s="1143">
        <v>0</v>
      </c>
      <c r="AS8" s="1138">
        <v>0</v>
      </c>
      <c r="AT8" s="1138">
        <v>0</v>
      </c>
      <c r="AU8" s="1145">
        <v>0</v>
      </c>
      <c r="AV8" s="1146">
        <f t="shared" si="10"/>
        <v>204</v>
      </c>
      <c r="AW8" s="1145">
        <v>5</v>
      </c>
      <c r="AX8" s="1138">
        <f t="shared" si="6"/>
        <v>45050</v>
      </c>
      <c r="AY8" s="1142">
        <v>45050</v>
      </c>
      <c r="AZ8" s="1147">
        <v>45050</v>
      </c>
      <c r="BA8" s="1147">
        <v>0</v>
      </c>
      <c r="BB8" s="1147">
        <v>0</v>
      </c>
      <c r="BC8" s="1138">
        <f t="shared" si="11"/>
        <v>0</v>
      </c>
      <c r="BD8" s="276">
        <v>0</v>
      </c>
      <c r="BE8" s="277">
        <v>0</v>
      </c>
      <c r="BF8" s="1138">
        <v>0</v>
      </c>
      <c r="BG8" s="1138">
        <v>0</v>
      </c>
      <c r="BH8" s="276">
        <v>0</v>
      </c>
      <c r="BI8" s="1152">
        <v>204</v>
      </c>
      <c r="BJ8" s="659">
        <v>5</v>
      </c>
      <c r="BK8" s="1138">
        <f t="shared" si="12"/>
        <v>528875</v>
      </c>
      <c r="BL8" s="1145">
        <f t="shared" si="13"/>
        <v>31000</v>
      </c>
      <c r="BM8" s="1143">
        <v>21000</v>
      </c>
      <c r="BN8" s="1143">
        <v>0</v>
      </c>
      <c r="BO8" s="1143">
        <v>10000</v>
      </c>
      <c r="BP8" s="276">
        <v>476875</v>
      </c>
      <c r="BQ8" s="276">
        <v>477</v>
      </c>
      <c r="BR8" s="1144">
        <v>143</v>
      </c>
      <c r="BS8" s="1144">
        <v>334</v>
      </c>
      <c r="BT8" s="276">
        <v>21000</v>
      </c>
      <c r="BU8" s="1153">
        <v>203</v>
      </c>
      <c r="BV8" s="627">
        <v>85</v>
      </c>
    </row>
    <row r="9" spans="1:75">
      <c r="A9" s="2775" t="s">
        <v>950</v>
      </c>
      <c r="B9" s="2776"/>
      <c r="C9" s="2776"/>
      <c r="D9" s="2776"/>
      <c r="E9" s="2776"/>
      <c r="F9" s="2776"/>
      <c r="G9" s="2776"/>
      <c r="H9" s="2776"/>
      <c r="I9" s="2776"/>
      <c r="J9" s="2776"/>
      <c r="K9" s="2776"/>
      <c r="L9" s="2776"/>
      <c r="M9" s="2776"/>
      <c r="N9" s="2776"/>
      <c r="O9" s="2776"/>
      <c r="P9" s="2776"/>
      <c r="Q9" s="2777"/>
      <c r="R9" s="2551" t="str">
        <f t="shared" si="1"/>
        <v>5004890005</v>
      </c>
      <c r="S9" s="2551">
        <f t="shared" si="2"/>
        <v>0</v>
      </c>
      <c r="T9" s="2551">
        <f t="shared" si="3"/>
        <v>0</v>
      </c>
      <c r="U9" s="2551">
        <f t="shared" si="4"/>
        <v>0</v>
      </c>
      <c r="V9" s="2551">
        <f t="shared" si="5"/>
        <v>0</v>
      </c>
      <c r="W9" s="1159">
        <v>6</v>
      </c>
      <c r="X9" s="1159">
        <v>489</v>
      </c>
      <c r="Y9" s="1159">
        <v>5</v>
      </c>
      <c r="Z9" s="1159"/>
      <c r="AA9" s="1159"/>
      <c r="AB9" s="1159"/>
      <c r="AC9" s="1159"/>
      <c r="AD9" s="1160">
        <v>11020</v>
      </c>
      <c r="AE9" s="1161" t="s">
        <v>947</v>
      </c>
      <c r="AF9" s="1142">
        <v>6</v>
      </c>
      <c r="AG9" s="1138">
        <f t="shared" si="8"/>
        <v>1736</v>
      </c>
      <c r="AH9" s="1142">
        <f t="shared" si="9"/>
        <v>1736</v>
      </c>
      <c r="AI9" s="1143">
        <v>0</v>
      </c>
      <c r="AJ9" s="1143">
        <v>0</v>
      </c>
      <c r="AK9" s="1138">
        <v>0</v>
      </c>
      <c r="AL9" s="1143">
        <v>1736</v>
      </c>
      <c r="AM9" s="1143">
        <v>0</v>
      </c>
      <c r="AN9" s="1143">
        <v>0</v>
      </c>
      <c r="AO9" s="1143">
        <v>0</v>
      </c>
      <c r="AP9" s="1144">
        <v>0</v>
      </c>
      <c r="AQ9" s="276">
        <v>0</v>
      </c>
      <c r="AR9" s="1143">
        <v>0</v>
      </c>
      <c r="AS9" s="1138">
        <v>0</v>
      </c>
      <c r="AT9" s="1138">
        <v>0</v>
      </c>
      <c r="AU9" s="1145">
        <v>0</v>
      </c>
      <c r="AV9" s="1146">
        <f t="shared" si="10"/>
        <v>0</v>
      </c>
      <c r="AW9" s="1145">
        <v>6</v>
      </c>
      <c r="AX9" s="1138">
        <f t="shared" si="6"/>
        <v>1736</v>
      </c>
      <c r="AY9" s="1142">
        <v>1736</v>
      </c>
      <c r="AZ9" s="1147">
        <v>1736</v>
      </c>
      <c r="BA9" s="1147">
        <v>0</v>
      </c>
      <c r="BB9" s="1147">
        <v>0</v>
      </c>
      <c r="BC9" s="1138">
        <f t="shared" si="11"/>
        <v>0</v>
      </c>
      <c r="BD9" s="276">
        <v>0</v>
      </c>
      <c r="BE9" s="277">
        <v>0</v>
      </c>
      <c r="BF9" s="1138">
        <v>0</v>
      </c>
      <c r="BG9" s="1138">
        <v>0</v>
      </c>
      <c r="BH9" s="276">
        <v>0</v>
      </c>
      <c r="BI9" s="1152">
        <v>0</v>
      </c>
      <c r="BJ9" s="276">
        <v>6</v>
      </c>
      <c r="BK9" s="1138">
        <f t="shared" si="12"/>
        <v>36366</v>
      </c>
      <c r="BL9" s="1145">
        <f t="shared" si="13"/>
        <v>4000</v>
      </c>
      <c r="BM9" s="1143">
        <v>0</v>
      </c>
      <c r="BN9" s="1143">
        <v>0</v>
      </c>
      <c r="BO9" s="1143">
        <v>4000</v>
      </c>
      <c r="BP9" s="276">
        <v>32366</v>
      </c>
      <c r="BQ9" s="276">
        <v>32</v>
      </c>
      <c r="BR9" s="1144">
        <v>10</v>
      </c>
      <c r="BS9" s="1144">
        <v>23</v>
      </c>
      <c r="BT9" s="276">
        <v>0</v>
      </c>
      <c r="BU9" s="1153">
        <v>14</v>
      </c>
      <c r="BV9" s="627">
        <v>75</v>
      </c>
    </row>
    <row r="10" spans="1:75">
      <c r="A10" s="2778"/>
      <c r="B10" s="2779"/>
      <c r="C10" s="2779"/>
      <c r="D10" s="2779"/>
      <c r="E10" s="2779"/>
      <c r="F10" s="2779"/>
      <c r="G10" s="2779"/>
      <c r="H10" s="2779"/>
      <c r="I10" s="2779"/>
      <c r="J10" s="2779"/>
      <c r="K10" s="2779"/>
      <c r="L10" s="2779"/>
      <c r="M10" s="2779"/>
      <c r="N10" s="2779"/>
      <c r="O10" s="2779"/>
      <c r="P10" s="2779"/>
      <c r="Q10" s="2780"/>
      <c r="R10" s="2551" t="str">
        <f t="shared" si="1"/>
        <v>5004970001</v>
      </c>
      <c r="S10" s="2551" t="str">
        <f t="shared" si="2"/>
        <v>5004970007</v>
      </c>
      <c r="T10" s="2551" t="str">
        <f t="shared" si="3"/>
        <v>5004970009</v>
      </c>
      <c r="U10" s="2551">
        <f t="shared" si="4"/>
        <v>0</v>
      </c>
      <c r="V10" s="2551">
        <f t="shared" si="5"/>
        <v>0</v>
      </c>
      <c r="W10" s="1159">
        <v>7</v>
      </c>
      <c r="X10" s="1159">
        <v>497</v>
      </c>
      <c r="Y10" s="1159">
        <v>1</v>
      </c>
      <c r="Z10" s="1159">
        <v>7</v>
      </c>
      <c r="AA10" s="1159">
        <v>9</v>
      </c>
      <c r="AB10" s="1159"/>
      <c r="AC10" s="1159"/>
      <c r="AD10" s="1160">
        <v>37379</v>
      </c>
      <c r="AE10" s="1161" t="s">
        <v>947</v>
      </c>
      <c r="AF10" s="1142">
        <v>7</v>
      </c>
      <c r="AG10" s="1138">
        <f t="shared" si="8"/>
        <v>83530</v>
      </c>
      <c r="AH10" s="1142">
        <f>SUM(AI10:AO10)</f>
        <v>83530</v>
      </c>
      <c r="AI10" s="1143">
        <v>0</v>
      </c>
      <c r="AJ10" s="1143">
        <v>49980</v>
      </c>
      <c r="AK10" s="1138">
        <v>0</v>
      </c>
      <c r="AL10" s="1143">
        <v>0</v>
      </c>
      <c r="AM10" s="1143">
        <v>0</v>
      </c>
      <c r="AN10" s="1143">
        <v>14550</v>
      </c>
      <c r="AO10" s="1143">
        <v>19000</v>
      </c>
      <c r="AP10" s="1144">
        <v>0</v>
      </c>
      <c r="AQ10" s="276">
        <v>0</v>
      </c>
      <c r="AR10" s="1143">
        <v>0</v>
      </c>
      <c r="AS10" s="1138">
        <v>0</v>
      </c>
      <c r="AT10" s="1138">
        <v>0</v>
      </c>
      <c r="AU10" s="1145">
        <v>0</v>
      </c>
      <c r="AV10" s="1146">
        <f t="shared" si="10"/>
        <v>0</v>
      </c>
      <c r="AW10" s="1145">
        <v>7</v>
      </c>
      <c r="AX10" s="1138">
        <f t="shared" si="6"/>
        <v>83530</v>
      </c>
      <c r="AY10" s="1142">
        <v>83530</v>
      </c>
      <c r="AZ10" s="1147">
        <v>0</v>
      </c>
      <c r="BA10" s="1147">
        <v>49980</v>
      </c>
      <c r="BB10" s="1147">
        <v>14000</v>
      </c>
      <c r="BC10" s="1138">
        <f t="shared" si="11"/>
        <v>19550</v>
      </c>
      <c r="BD10" s="276">
        <v>0</v>
      </c>
      <c r="BE10" s="277">
        <v>0</v>
      </c>
      <c r="BF10" s="1138">
        <v>0</v>
      </c>
      <c r="BG10" s="1138">
        <v>0</v>
      </c>
      <c r="BH10" s="276">
        <v>0</v>
      </c>
      <c r="BI10" s="1152">
        <v>0</v>
      </c>
      <c r="BJ10" s="659">
        <v>7</v>
      </c>
      <c r="BK10" s="1138">
        <f t="shared" si="12"/>
        <v>189138</v>
      </c>
      <c r="BL10" s="1145">
        <f t="shared" si="13"/>
        <v>35000</v>
      </c>
      <c r="BM10" s="1143">
        <v>25000</v>
      </c>
      <c r="BN10" s="1143">
        <v>0</v>
      </c>
      <c r="BO10" s="1143">
        <v>10000</v>
      </c>
      <c r="BP10" s="276">
        <v>154138</v>
      </c>
      <c r="BQ10" s="276">
        <v>154</v>
      </c>
      <c r="BR10" s="1144">
        <v>46</v>
      </c>
      <c r="BS10" s="1144">
        <v>108</v>
      </c>
      <c r="BT10" s="276">
        <v>0</v>
      </c>
      <c r="BU10" s="1153">
        <v>66</v>
      </c>
      <c r="BV10" s="1162">
        <v>145</v>
      </c>
      <c r="BW10" t="s">
        <v>951</v>
      </c>
    </row>
    <row r="11" spans="1:75" ht="15.75" thickBot="1">
      <c r="A11" s="2781"/>
      <c r="B11" s="2782"/>
      <c r="C11" s="2782"/>
      <c r="D11" s="2782"/>
      <c r="E11" s="2782"/>
      <c r="F11" s="2782"/>
      <c r="G11" s="2782"/>
      <c r="H11" s="2782"/>
      <c r="I11" s="2782"/>
      <c r="J11" s="2782"/>
      <c r="K11" s="2782"/>
      <c r="L11" s="2782"/>
      <c r="M11" s="2782"/>
      <c r="N11" s="2782"/>
      <c r="O11" s="2782"/>
      <c r="P11" s="2782"/>
      <c r="Q11" s="2783"/>
      <c r="R11" s="2551" t="str">
        <f t="shared" si="1"/>
        <v>5004980001</v>
      </c>
      <c r="S11" s="2551">
        <f t="shared" si="2"/>
        <v>0</v>
      </c>
      <c r="T11" s="2551">
        <f t="shared" si="3"/>
        <v>0</v>
      </c>
      <c r="U11" s="2551">
        <f t="shared" si="4"/>
        <v>0</v>
      </c>
      <c r="V11" s="2551">
        <f t="shared" si="5"/>
        <v>0</v>
      </c>
      <c r="W11" s="1159">
        <v>8</v>
      </c>
      <c r="X11" s="1159">
        <v>498</v>
      </c>
      <c r="Y11" s="1159">
        <v>1</v>
      </c>
      <c r="Z11" s="1159"/>
      <c r="AA11" s="1159"/>
      <c r="AB11" s="1159"/>
      <c r="AC11" s="1159"/>
      <c r="AD11" s="1160">
        <v>9488</v>
      </c>
      <c r="AE11" s="1161" t="s">
        <v>947</v>
      </c>
      <c r="AF11" s="1142">
        <v>8</v>
      </c>
      <c r="AG11" s="1138">
        <f t="shared" si="8"/>
        <v>1320</v>
      </c>
      <c r="AH11" s="1142">
        <f t="shared" si="9"/>
        <v>1320</v>
      </c>
      <c r="AI11" s="1143">
        <v>1320</v>
      </c>
      <c r="AJ11" s="1143">
        <v>0</v>
      </c>
      <c r="AK11" s="1138">
        <v>0</v>
      </c>
      <c r="AL11" s="1143">
        <v>0</v>
      </c>
      <c r="AM11" s="1143">
        <v>0</v>
      </c>
      <c r="AN11" s="1143">
        <v>0</v>
      </c>
      <c r="AO11" s="1143">
        <v>0</v>
      </c>
      <c r="AP11" s="1144">
        <v>0</v>
      </c>
      <c r="AQ11" s="276">
        <v>0</v>
      </c>
      <c r="AR11" s="1143">
        <v>0</v>
      </c>
      <c r="AS11" s="1138">
        <v>0</v>
      </c>
      <c r="AT11" s="1138">
        <v>0</v>
      </c>
      <c r="AU11" s="1145">
        <v>0</v>
      </c>
      <c r="AV11" s="1146">
        <f t="shared" si="10"/>
        <v>0</v>
      </c>
      <c r="AW11" s="1145">
        <v>8</v>
      </c>
      <c r="AX11" s="1138">
        <f t="shared" si="6"/>
        <v>1320</v>
      </c>
      <c r="AY11" s="1142">
        <v>1320</v>
      </c>
      <c r="AZ11" s="1147">
        <v>0</v>
      </c>
      <c r="BA11" s="1147">
        <v>0</v>
      </c>
      <c r="BB11" s="1147">
        <v>0</v>
      </c>
      <c r="BC11" s="1138">
        <f t="shared" si="11"/>
        <v>1320</v>
      </c>
      <c r="BD11" s="276">
        <v>0</v>
      </c>
      <c r="BE11" s="277">
        <v>0</v>
      </c>
      <c r="BF11" s="1138">
        <v>0</v>
      </c>
      <c r="BG11" s="1138">
        <v>0</v>
      </c>
      <c r="BH11" s="276">
        <v>0</v>
      </c>
      <c r="BI11" s="1152">
        <v>0</v>
      </c>
      <c r="BJ11" s="276">
        <v>8</v>
      </c>
      <c r="BK11" s="1138">
        <f t="shared" si="12"/>
        <v>31310</v>
      </c>
      <c r="BL11" s="1145">
        <f t="shared" si="13"/>
        <v>3350</v>
      </c>
      <c r="BM11" s="1143">
        <v>3350</v>
      </c>
      <c r="BN11" s="1143">
        <v>0</v>
      </c>
      <c r="BO11" s="1143">
        <v>0</v>
      </c>
      <c r="BP11" s="276">
        <v>27960</v>
      </c>
      <c r="BQ11" s="276">
        <v>28</v>
      </c>
      <c r="BR11" s="1144">
        <v>8</v>
      </c>
      <c r="BS11" s="1144">
        <v>20</v>
      </c>
      <c r="BT11" s="276">
        <v>0</v>
      </c>
      <c r="BU11" s="1153">
        <v>12</v>
      </c>
      <c r="BV11" s="627">
        <v>75</v>
      </c>
    </row>
    <row r="12" spans="1:75">
      <c r="A12" s="1137" t="s">
        <v>610</v>
      </c>
      <c r="B12" s="1138">
        <f t="shared" ref="B12:P12" si="16">SUM(AG4:AG20)</f>
        <v>260730</v>
      </c>
      <c r="C12" s="1145">
        <f t="shared" si="16"/>
        <v>253604</v>
      </c>
      <c r="D12" s="1138">
        <f t="shared" si="16"/>
        <v>82004</v>
      </c>
      <c r="E12" s="1138">
        <f t="shared" si="16"/>
        <v>85963</v>
      </c>
      <c r="F12" s="1138">
        <f t="shared" si="16"/>
        <v>0</v>
      </c>
      <c r="G12" s="1138">
        <f t="shared" si="16"/>
        <v>13193</v>
      </c>
      <c r="H12" s="1138">
        <f t="shared" si="16"/>
        <v>24092</v>
      </c>
      <c r="I12" s="1138">
        <f t="shared" si="16"/>
        <v>28200</v>
      </c>
      <c r="J12" s="1138">
        <f t="shared" si="16"/>
        <v>20152</v>
      </c>
      <c r="K12" s="1145">
        <f t="shared" si="16"/>
        <v>0</v>
      </c>
      <c r="L12" s="1145">
        <f t="shared" si="16"/>
        <v>4156</v>
      </c>
      <c r="M12" s="1145">
        <f t="shared" si="16"/>
        <v>4</v>
      </c>
      <c r="N12" s="1145">
        <f t="shared" si="16"/>
        <v>0</v>
      </c>
      <c r="O12" s="1145">
        <f t="shared" si="16"/>
        <v>4</v>
      </c>
      <c r="P12" s="1145">
        <f t="shared" si="16"/>
        <v>2970</v>
      </c>
      <c r="Q12" s="1186">
        <f>SUM(AV4:AV20)</f>
        <v>272</v>
      </c>
      <c r="R12" s="2551" t="str">
        <f t="shared" si="1"/>
        <v>5005000016</v>
      </c>
      <c r="S12" s="2551" t="str">
        <f t="shared" si="2"/>
        <v>5005000018</v>
      </c>
      <c r="T12" s="2551" t="str">
        <f t="shared" si="3"/>
        <v>5005000020</v>
      </c>
      <c r="U12" s="2551" t="str">
        <f t="shared" si="4"/>
        <v>5005000022</v>
      </c>
      <c r="V12" s="2551" t="str">
        <f t="shared" si="5"/>
        <v>5005000024</v>
      </c>
      <c r="W12" s="1159">
        <v>9</v>
      </c>
      <c r="X12" s="1159">
        <v>500</v>
      </c>
      <c r="Y12" s="1159">
        <v>16</v>
      </c>
      <c r="Z12" s="1159">
        <v>18</v>
      </c>
      <c r="AA12" s="1159">
        <v>20</v>
      </c>
      <c r="AB12" s="1159">
        <v>22</v>
      </c>
      <c r="AC12" s="1159">
        <v>24</v>
      </c>
      <c r="AD12" s="1160">
        <v>27135</v>
      </c>
      <c r="AE12" s="1161" t="s">
        <v>947</v>
      </c>
      <c r="AF12" s="1142">
        <v>9</v>
      </c>
      <c r="AG12" s="1138">
        <f t="shared" si="8"/>
        <v>3810</v>
      </c>
      <c r="AH12" s="1142">
        <f t="shared" si="9"/>
        <v>0</v>
      </c>
      <c r="AI12" s="1143">
        <v>0</v>
      </c>
      <c r="AJ12" s="1143">
        <v>0</v>
      </c>
      <c r="AK12" s="1138">
        <v>0</v>
      </c>
      <c r="AL12" s="1143">
        <v>0</v>
      </c>
      <c r="AM12" s="1143">
        <v>0</v>
      </c>
      <c r="AN12" s="1143">
        <v>0</v>
      </c>
      <c r="AO12" s="1143">
        <v>0</v>
      </c>
      <c r="AP12" s="1144">
        <v>0</v>
      </c>
      <c r="AQ12" s="276">
        <v>840</v>
      </c>
      <c r="AR12" s="1143">
        <v>1</v>
      </c>
      <c r="AS12" s="1138">
        <v>0</v>
      </c>
      <c r="AT12" s="1138">
        <v>1</v>
      </c>
      <c r="AU12" s="1145">
        <v>2970</v>
      </c>
      <c r="AV12" s="1146">
        <f t="shared" si="10"/>
        <v>0</v>
      </c>
      <c r="AW12" s="1145">
        <v>9</v>
      </c>
      <c r="AX12" s="1138">
        <f t="shared" si="6"/>
        <v>3810</v>
      </c>
      <c r="AY12" s="1142">
        <v>2970</v>
      </c>
      <c r="AZ12" s="1147">
        <v>2970</v>
      </c>
      <c r="BA12" s="1147">
        <v>0</v>
      </c>
      <c r="BB12" s="1147">
        <v>0</v>
      </c>
      <c r="BC12" s="1138">
        <f t="shared" si="11"/>
        <v>0</v>
      </c>
      <c r="BD12" s="276">
        <v>840</v>
      </c>
      <c r="BE12" s="277">
        <v>1</v>
      </c>
      <c r="BF12" s="1138">
        <v>0</v>
      </c>
      <c r="BG12" s="1138">
        <v>1</v>
      </c>
      <c r="BH12" s="276">
        <v>0</v>
      </c>
      <c r="BI12" s="1152">
        <v>0</v>
      </c>
      <c r="BJ12" s="659">
        <v>9</v>
      </c>
      <c r="BK12" s="1138">
        <f t="shared" si="12"/>
        <v>65667</v>
      </c>
      <c r="BL12" s="1145">
        <f t="shared" si="13"/>
        <v>0</v>
      </c>
      <c r="BM12" s="1143">
        <v>0</v>
      </c>
      <c r="BN12" s="1143">
        <v>0</v>
      </c>
      <c r="BO12" s="1143">
        <v>0</v>
      </c>
      <c r="BP12" s="276">
        <v>65667</v>
      </c>
      <c r="BQ12" s="276">
        <v>66</v>
      </c>
      <c r="BR12" s="1144">
        <v>20</v>
      </c>
      <c r="BS12" s="1144">
        <v>46</v>
      </c>
      <c r="BT12" s="276">
        <v>0</v>
      </c>
      <c r="BU12" s="1153">
        <v>28</v>
      </c>
      <c r="BV12" s="627">
        <v>55</v>
      </c>
    </row>
    <row r="13" spans="1:75">
      <c r="A13" s="1163" t="s">
        <v>924</v>
      </c>
      <c r="B13" s="1164">
        <f>SUM(AX4:AX20)</f>
        <v>265230</v>
      </c>
      <c r="C13" s="1165">
        <f>SUM(AY4:AY20)</f>
        <v>228815</v>
      </c>
      <c r="D13" s="1164">
        <f>SUM(AZ4:AZ20)</f>
        <v>141773</v>
      </c>
      <c r="E13" s="1164">
        <f>SUM(BA4:BA20)</f>
        <v>51704</v>
      </c>
      <c r="F13" s="1164">
        <f>SUM(BB4:BB20)</f>
        <v>14000</v>
      </c>
      <c r="G13" s="1164" t="s">
        <v>952</v>
      </c>
      <c r="H13" s="1164" t="s">
        <v>952</v>
      </c>
      <c r="I13" s="1164" t="s">
        <v>952</v>
      </c>
      <c r="J13" s="1164">
        <f>C13-SUM(D13:F13)</f>
        <v>21338</v>
      </c>
      <c r="K13" s="1166">
        <v>0</v>
      </c>
      <c r="L13" s="1165">
        <f>SUM(BD4:BD20)</f>
        <v>8656</v>
      </c>
      <c r="M13" s="1165">
        <f>SUM(BE4:BE20)</f>
        <v>6</v>
      </c>
      <c r="N13" s="1165">
        <f>SUM(BF9:BF20)</f>
        <v>0</v>
      </c>
      <c r="O13" s="1165">
        <f>SUM(BG4:BG20)</f>
        <v>6</v>
      </c>
      <c r="P13" s="1165">
        <f>SUM(BH4:BH20)</f>
        <v>27759</v>
      </c>
      <c r="Q13" s="1175">
        <f>SUM(BI4:BI20)</f>
        <v>272</v>
      </c>
      <c r="R13" s="2551" t="str">
        <f t="shared" si="1"/>
        <v>5005020001</v>
      </c>
      <c r="S13" s="2551">
        <f t="shared" si="2"/>
        <v>0</v>
      </c>
      <c r="T13" s="2551">
        <f t="shared" si="3"/>
        <v>0</v>
      </c>
      <c r="U13" s="2551">
        <f t="shared" si="4"/>
        <v>0</v>
      </c>
      <c r="V13" s="2551">
        <f t="shared" si="5"/>
        <v>0</v>
      </c>
      <c r="W13" s="1159">
        <v>10</v>
      </c>
      <c r="X13" s="1159">
        <v>502</v>
      </c>
      <c r="Y13" s="1159">
        <v>1</v>
      </c>
      <c r="Z13" s="1159"/>
      <c r="AA13" s="1159"/>
      <c r="AB13" s="1159"/>
      <c r="AC13" s="1159"/>
      <c r="AD13" s="1160">
        <v>23000</v>
      </c>
      <c r="AE13" s="1161" t="s">
        <v>947</v>
      </c>
      <c r="AF13" s="1142">
        <v>10</v>
      </c>
      <c r="AG13" s="1138">
        <f t="shared" si="8"/>
        <v>0</v>
      </c>
      <c r="AH13" s="1142">
        <f t="shared" si="9"/>
        <v>0</v>
      </c>
      <c r="AI13" s="1143">
        <v>0</v>
      </c>
      <c r="AJ13" s="1143">
        <v>0</v>
      </c>
      <c r="AK13" s="1138">
        <v>0</v>
      </c>
      <c r="AL13" s="1143">
        <v>0</v>
      </c>
      <c r="AM13" s="1143">
        <v>0</v>
      </c>
      <c r="AN13" s="1143">
        <v>0</v>
      </c>
      <c r="AO13" s="1143">
        <v>0</v>
      </c>
      <c r="AP13" s="1144">
        <v>0</v>
      </c>
      <c r="AQ13" s="276">
        <v>0</v>
      </c>
      <c r="AR13" s="1143">
        <v>0</v>
      </c>
      <c r="AS13" s="1138">
        <v>0</v>
      </c>
      <c r="AT13" s="1138">
        <v>0</v>
      </c>
      <c r="AU13" s="1145">
        <v>0</v>
      </c>
      <c r="AV13" s="1146">
        <f t="shared" si="10"/>
        <v>0</v>
      </c>
      <c r="AW13" s="1145">
        <v>10</v>
      </c>
      <c r="AX13" s="1138">
        <f t="shared" si="6"/>
        <v>0</v>
      </c>
      <c r="AY13" s="1142">
        <v>0</v>
      </c>
      <c r="AZ13" s="1147">
        <v>0</v>
      </c>
      <c r="BA13" s="1147">
        <v>0</v>
      </c>
      <c r="BB13" s="1147">
        <v>0</v>
      </c>
      <c r="BC13" s="1138">
        <f t="shared" si="11"/>
        <v>0</v>
      </c>
      <c r="BD13" s="276">
        <v>0</v>
      </c>
      <c r="BE13" s="277">
        <v>0</v>
      </c>
      <c r="BF13" s="1138">
        <v>0</v>
      </c>
      <c r="BG13" s="1138">
        <v>0</v>
      </c>
      <c r="BH13" s="276">
        <v>0</v>
      </c>
      <c r="BI13" s="1152">
        <v>0</v>
      </c>
      <c r="BJ13" s="276">
        <v>10</v>
      </c>
      <c r="BK13" s="1138">
        <f t="shared" si="12"/>
        <v>73260</v>
      </c>
      <c r="BL13" s="1145">
        <f t="shared" si="13"/>
        <v>10000</v>
      </c>
      <c r="BM13" s="1143">
        <v>5000</v>
      </c>
      <c r="BN13" s="1143">
        <v>0</v>
      </c>
      <c r="BO13" s="1143">
        <v>5000</v>
      </c>
      <c r="BP13" s="276">
        <v>63260</v>
      </c>
      <c r="BQ13" s="276">
        <v>63</v>
      </c>
      <c r="BR13" s="1144">
        <v>19</v>
      </c>
      <c r="BS13" s="1144">
        <v>44</v>
      </c>
      <c r="BT13" s="276">
        <v>0</v>
      </c>
      <c r="BU13" s="1153">
        <v>27</v>
      </c>
      <c r="BV13" s="627">
        <v>75</v>
      </c>
    </row>
    <row r="14" spans="1:75">
      <c r="A14" s="1163" t="s">
        <v>925</v>
      </c>
      <c r="B14" s="1164">
        <f>SUM(BK4:BK20)</f>
        <v>2049146</v>
      </c>
      <c r="C14" s="1165">
        <f>SUM(BL4:BL20)</f>
        <v>380779</v>
      </c>
      <c r="D14" s="1164">
        <f>SUM(BM4:BM20)</f>
        <v>115644</v>
      </c>
      <c r="E14" s="1164">
        <f>SUM(BN4:BN20)</f>
        <v>194135</v>
      </c>
      <c r="F14" s="1164">
        <f>SUM(BO4:BO20)</f>
        <v>71000</v>
      </c>
      <c r="G14" s="1164" t="s">
        <v>952</v>
      </c>
      <c r="H14" s="1164" t="s">
        <v>952</v>
      </c>
      <c r="I14" s="1164" t="s">
        <v>952</v>
      </c>
      <c r="J14" s="1164">
        <f t="shared" ref="J14:J16" si="17">C14-SUM(D14:F14)</f>
        <v>0</v>
      </c>
      <c r="K14" s="1166">
        <v>0</v>
      </c>
      <c r="L14" s="1165">
        <f t="shared" ref="L14:Q14" si="18">SUM(BP4:BP20)</f>
        <v>1592013</v>
      </c>
      <c r="M14" s="1165">
        <f t="shared" si="18"/>
        <v>1592</v>
      </c>
      <c r="N14" s="1165">
        <f t="shared" si="18"/>
        <v>620</v>
      </c>
      <c r="O14" s="1165">
        <f t="shared" si="18"/>
        <v>973</v>
      </c>
      <c r="P14" s="1165">
        <f t="shared" si="18"/>
        <v>76354</v>
      </c>
      <c r="Q14" s="1191">
        <f t="shared" si="18"/>
        <v>908</v>
      </c>
      <c r="R14" s="2551" t="str">
        <f t="shared" si="1"/>
        <v>5005050004</v>
      </c>
      <c r="S14" s="2551" t="str">
        <f t="shared" si="2"/>
        <v>5005050051</v>
      </c>
      <c r="T14" s="2551">
        <f t="shared" si="3"/>
        <v>0</v>
      </c>
      <c r="U14" s="2551">
        <f t="shared" si="4"/>
        <v>0</v>
      </c>
      <c r="V14" s="2551">
        <f t="shared" si="5"/>
        <v>0</v>
      </c>
      <c r="W14" s="1159">
        <v>11</v>
      </c>
      <c r="X14" s="1159">
        <v>505</v>
      </c>
      <c r="Y14" s="1159">
        <v>4</v>
      </c>
      <c r="Z14" s="1159">
        <v>51</v>
      </c>
      <c r="AA14" s="1159"/>
      <c r="AB14" s="1159"/>
      <c r="AC14" s="1159"/>
      <c r="AD14" s="1160">
        <v>25250</v>
      </c>
      <c r="AE14" s="1161" t="s">
        <v>947</v>
      </c>
      <c r="AF14" s="1142">
        <v>11</v>
      </c>
      <c r="AG14" s="1138">
        <f t="shared" si="8"/>
        <v>2520</v>
      </c>
      <c r="AH14" s="1142">
        <f t="shared" si="9"/>
        <v>2520</v>
      </c>
      <c r="AI14" s="1143">
        <v>0</v>
      </c>
      <c r="AJ14" s="1143">
        <v>0</v>
      </c>
      <c r="AK14" s="1138">
        <v>0</v>
      </c>
      <c r="AL14" s="1143">
        <v>2520</v>
      </c>
      <c r="AM14" s="1143">
        <v>0</v>
      </c>
      <c r="AN14" s="1143">
        <v>0</v>
      </c>
      <c r="AO14" s="1143">
        <v>0</v>
      </c>
      <c r="AP14" s="1144">
        <v>0</v>
      </c>
      <c r="AQ14" s="276">
        <v>0</v>
      </c>
      <c r="AR14" s="1143">
        <v>0</v>
      </c>
      <c r="AS14" s="1138">
        <v>0</v>
      </c>
      <c r="AT14" s="1138">
        <v>0</v>
      </c>
      <c r="AU14" s="1145">
        <v>0</v>
      </c>
      <c r="AV14" s="1146">
        <f t="shared" si="10"/>
        <v>0</v>
      </c>
      <c r="AW14" s="1145">
        <v>11</v>
      </c>
      <c r="AX14" s="1138">
        <f t="shared" si="6"/>
        <v>2520</v>
      </c>
      <c r="AY14" s="1142">
        <v>2520</v>
      </c>
      <c r="AZ14" s="1147">
        <v>2520</v>
      </c>
      <c r="BA14" s="1147">
        <v>0</v>
      </c>
      <c r="BB14" s="1147">
        <v>0</v>
      </c>
      <c r="BC14" s="1138">
        <f t="shared" si="11"/>
        <v>0</v>
      </c>
      <c r="BD14" s="276">
        <v>0</v>
      </c>
      <c r="BE14" s="277">
        <v>0</v>
      </c>
      <c r="BF14" s="1138">
        <v>0</v>
      </c>
      <c r="BG14" s="1138">
        <v>0</v>
      </c>
      <c r="BH14" s="276">
        <v>0</v>
      </c>
      <c r="BI14" s="1152">
        <v>0</v>
      </c>
      <c r="BJ14" s="659">
        <v>11</v>
      </c>
      <c r="BK14" s="1138">
        <f t="shared" si="12"/>
        <v>83325</v>
      </c>
      <c r="BL14" s="1145">
        <f t="shared" si="13"/>
        <v>3000</v>
      </c>
      <c r="BM14" s="1143">
        <v>3000</v>
      </c>
      <c r="BN14" s="1143">
        <v>0</v>
      </c>
      <c r="BO14" s="1143">
        <v>0</v>
      </c>
      <c r="BP14" s="276">
        <v>80325</v>
      </c>
      <c r="BQ14" s="276">
        <v>80</v>
      </c>
      <c r="BR14" s="1144">
        <v>24</v>
      </c>
      <c r="BS14" s="1144">
        <v>56</v>
      </c>
      <c r="BT14" s="276">
        <v>0</v>
      </c>
      <c r="BU14" s="1153">
        <v>34</v>
      </c>
      <c r="BV14" s="627">
        <v>75</v>
      </c>
    </row>
    <row r="15" spans="1:75" ht="15.75" thickBot="1">
      <c r="A15" s="1167" t="s">
        <v>948</v>
      </c>
      <c r="B15" s="1138">
        <f>B13-B12</f>
        <v>4500</v>
      </c>
      <c r="C15" s="1138">
        <f t="shared" ref="C15:P16" si="19">C13-C12</f>
        <v>-24789</v>
      </c>
      <c r="D15" s="1138">
        <f t="shared" si="19"/>
        <v>59769</v>
      </c>
      <c r="E15" s="1138">
        <f t="shared" si="19"/>
        <v>-34259</v>
      </c>
      <c r="F15" s="1138">
        <f t="shared" si="19"/>
        <v>14000</v>
      </c>
      <c r="G15" s="1138" t="s">
        <v>952</v>
      </c>
      <c r="H15" s="1138" t="s">
        <v>952</v>
      </c>
      <c r="I15" s="1138" t="s">
        <v>952</v>
      </c>
      <c r="J15" s="1155">
        <f t="shared" si="17"/>
        <v>-64299</v>
      </c>
      <c r="K15" s="1138">
        <f>K13-K12</f>
        <v>0</v>
      </c>
      <c r="L15" s="1138">
        <f t="shared" si="19"/>
        <v>4500</v>
      </c>
      <c r="M15" s="1138">
        <f t="shared" si="19"/>
        <v>2</v>
      </c>
      <c r="N15" s="1138">
        <f t="shared" si="19"/>
        <v>0</v>
      </c>
      <c r="O15" s="1138">
        <f t="shared" si="19"/>
        <v>2</v>
      </c>
      <c r="P15" s="1138">
        <f t="shared" si="19"/>
        <v>24789</v>
      </c>
      <c r="Q15" s="1174">
        <f>Q13-Q12</f>
        <v>0</v>
      </c>
      <c r="R15" s="2551" t="str">
        <f t="shared" si="1"/>
        <v>5005050011</v>
      </c>
      <c r="S15" s="2551" t="str">
        <f t="shared" si="2"/>
        <v>5005050012</v>
      </c>
      <c r="T15" s="2551" t="str">
        <f t="shared" si="3"/>
        <v>5005050014</v>
      </c>
      <c r="U15" s="2551">
        <f t="shared" si="4"/>
        <v>0</v>
      </c>
      <c r="V15" s="2551">
        <f t="shared" si="5"/>
        <v>0</v>
      </c>
      <c r="W15" s="1159">
        <v>12</v>
      </c>
      <c r="X15" s="1159">
        <v>505</v>
      </c>
      <c r="Y15" s="1159">
        <v>11</v>
      </c>
      <c r="Z15" s="1159">
        <v>12</v>
      </c>
      <c r="AA15" s="1159">
        <v>14</v>
      </c>
      <c r="AB15" s="1159"/>
      <c r="AC15" s="1159"/>
      <c r="AD15" s="1160">
        <v>17787</v>
      </c>
      <c r="AE15" s="1161" t="s">
        <v>947</v>
      </c>
      <c r="AF15" s="1142">
        <v>12</v>
      </c>
      <c r="AG15" s="1138">
        <f t="shared" si="8"/>
        <v>11116</v>
      </c>
      <c r="AH15" s="1142">
        <f>SUM(AI15:AO15)</f>
        <v>7800</v>
      </c>
      <c r="AI15" s="1143">
        <v>1800</v>
      </c>
      <c r="AJ15" s="1143">
        <v>1500</v>
      </c>
      <c r="AK15" s="1138">
        <v>0</v>
      </c>
      <c r="AL15" s="1143">
        <v>1500</v>
      </c>
      <c r="AM15" s="1143">
        <v>3000</v>
      </c>
      <c r="AN15" s="1143">
        <v>0</v>
      </c>
      <c r="AO15" s="1143">
        <v>0</v>
      </c>
      <c r="AP15" s="1144">
        <v>0</v>
      </c>
      <c r="AQ15" s="276">
        <v>3316</v>
      </c>
      <c r="AR15" s="1143">
        <v>3</v>
      </c>
      <c r="AS15" s="1138">
        <v>0</v>
      </c>
      <c r="AT15" s="1138">
        <v>3</v>
      </c>
      <c r="AU15" s="1145">
        <v>0</v>
      </c>
      <c r="AV15" s="1146">
        <f t="shared" si="10"/>
        <v>0</v>
      </c>
      <c r="AW15" s="1145">
        <v>12</v>
      </c>
      <c r="AX15" s="1138">
        <f t="shared" si="6"/>
        <v>11116</v>
      </c>
      <c r="AY15" s="1142">
        <v>7800</v>
      </c>
      <c r="AZ15" s="1147">
        <v>7800</v>
      </c>
      <c r="BA15" s="1147">
        <v>0</v>
      </c>
      <c r="BB15" s="1147">
        <v>0</v>
      </c>
      <c r="BC15" s="1138">
        <f t="shared" si="11"/>
        <v>0</v>
      </c>
      <c r="BD15" s="276">
        <v>3316</v>
      </c>
      <c r="BE15" s="277">
        <v>3</v>
      </c>
      <c r="BF15" s="1138">
        <v>0</v>
      </c>
      <c r="BG15" s="1138">
        <v>3</v>
      </c>
      <c r="BH15" s="276">
        <v>0</v>
      </c>
      <c r="BI15" s="1152">
        <v>0</v>
      </c>
      <c r="BJ15" s="276">
        <v>12</v>
      </c>
      <c r="BK15" s="1138">
        <f t="shared" si="12"/>
        <v>58697</v>
      </c>
      <c r="BL15" s="1145">
        <f t="shared" si="13"/>
        <v>14000</v>
      </c>
      <c r="BM15" s="1143">
        <v>0</v>
      </c>
      <c r="BN15" s="1143">
        <v>8000</v>
      </c>
      <c r="BO15" s="1143">
        <v>6000</v>
      </c>
      <c r="BP15" s="276">
        <v>44697</v>
      </c>
      <c r="BQ15" s="276">
        <v>45</v>
      </c>
      <c r="BR15" s="1144">
        <v>13</v>
      </c>
      <c r="BS15" s="1144">
        <v>31</v>
      </c>
      <c r="BT15" s="276">
        <v>0</v>
      </c>
      <c r="BU15" s="1153">
        <v>19</v>
      </c>
      <c r="BV15" s="627">
        <v>75</v>
      </c>
    </row>
    <row r="16" spans="1:75" ht="15.75" thickBot="1">
      <c r="A16" s="1168" t="s">
        <v>949</v>
      </c>
      <c r="B16" s="1169">
        <f>B14-B13</f>
        <v>1783916</v>
      </c>
      <c r="C16" s="1170">
        <f t="shared" si="19"/>
        <v>151964</v>
      </c>
      <c r="D16" s="1170">
        <f t="shared" si="19"/>
        <v>-26129</v>
      </c>
      <c r="E16" s="1170">
        <f t="shared" si="19"/>
        <v>142431</v>
      </c>
      <c r="F16" s="1170">
        <f t="shared" si="19"/>
        <v>57000</v>
      </c>
      <c r="G16" s="1169" t="s">
        <v>952</v>
      </c>
      <c r="H16" s="1169" t="s">
        <v>952</v>
      </c>
      <c r="I16" s="1169" t="s">
        <v>952</v>
      </c>
      <c r="J16" s="1138">
        <f t="shared" si="17"/>
        <v>-21338</v>
      </c>
      <c r="K16" s="1170">
        <f>K14-K13</f>
        <v>0</v>
      </c>
      <c r="L16" s="1170">
        <f t="shared" si="19"/>
        <v>1583357</v>
      </c>
      <c r="M16" s="1170">
        <f t="shared" si="19"/>
        <v>1586</v>
      </c>
      <c r="N16" s="1170">
        <f t="shared" si="19"/>
        <v>620</v>
      </c>
      <c r="O16" s="1170">
        <f t="shared" si="19"/>
        <v>967</v>
      </c>
      <c r="P16" s="1170">
        <f t="shared" si="19"/>
        <v>48595</v>
      </c>
      <c r="Q16" s="1170">
        <f>Q14-Q13</f>
        <v>636</v>
      </c>
      <c r="R16" s="2551" t="str">
        <f t="shared" si="1"/>
        <v>5005050022</v>
      </c>
      <c r="S16" s="2551" t="str">
        <f t="shared" si="2"/>
        <v>5005050024</v>
      </c>
      <c r="T16" s="2551" t="str">
        <f t="shared" si="3"/>
        <v>5005050025</v>
      </c>
      <c r="U16" s="2551">
        <f t="shared" si="4"/>
        <v>0</v>
      </c>
      <c r="V16" s="2551">
        <f t="shared" si="5"/>
        <v>0</v>
      </c>
      <c r="W16" s="1159">
        <v>13</v>
      </c>
      <c r="X16" s="1159">
        <v>505</v>
      </c>
      <c r="Y16" s="1159">
        <v>22</v>
      </c>
      <c r="Z16" s="1159">
        <v>24</v>
      </c>
      <c r="AA16" s="1159">
        <v>25</v>
      </c>
      <c r="AB16" s="1159"/>
      <c r="AC16" s="1159"/>
      <c r="AD16" s="1160">
        <v>11730</v>
      </c>
      <c r="AE16" s="1161" t="s">
        <v>947</v>
      </c>
      <c r="AF16" s="1142">
        <v>13</v>
      </c>
      <c r="AG16" s="1138">
        <f t="shared" si="8"/>
        <v>3664</v>
      </c>
      <c r="AH16" s="1142">
        <f t="shared" si="9"/>
        <v>3664</v>
      </c>
      <c r="AI16" s="1143">
        <v>0</v>
      </c>
      <c r="AJ16" s="1143">
        <v>0</v>
      </c>
      <c r="AK16" s="1138">
        <v>0</v>
      </c>
      <c r="AL16" s="1143">
        <v>0</v>
      </c>
      <c r="AM16" s="1143">
        <v>3664</v>
      </c>
      <c r="AN16" s="1143">
        <v>0</v>
      </c>
      <c r="AO16" s="1143">
        <v>0</v>
      </c>
      <c r="AP16" s="1144">
        <v>0</v>
      </c>
      <c r="AQ16" s="276">
        <v>0</v>
      </c>
      <c r="AR16" s="1143">
        <v>0</v>
      </c>
      <c r="AS16" s="1138">
        <v>0</v>
      </c>
      <c r="AT16" s="1138">
        <v>0</v>
      </c>
      <c r="AU16" s="1145">
        <v>0</v>
      </c>
      <c r="AV16" s="1146">
        <f t="shared" si="10"/>
        <v>0</v>
      </c>
      <c r="AW16" s="1145">
        <v>13</v>
      </c>
      <c r="AX16" s="1138">
        <f t="shared" si="6"/>
        <v>3664</v>
      </c>
      <c r="AY16" s="1142">
        <v>3664</v>
      </c>
      <c r="AZ16" s="1147">
        <v>3664</v>
      </c>
      <c r="BA16" s="1147">
        <v>0</v>
      </c>
      <c r="BB16" s="1147">
        <v>0</v>
      </c>
      <c r="BC16" s="1138">
        <f t="shared" si="11"/>
        <v>0</v>
      </c>
      <c r="BD16" s="276">
        <v>0</v>
      </c>
      <c r="BE16" s="277">
        <v>0</v>
      </c>
      <c r="BF16" s="1138">
        <v>0</v>
      </c>
      <c r="BG16" s="1138">
        <v>0</v>
      </c>
      <c r="BH16" s="276">
        <v>0</v>
      </c>
      <c r="BI16" s="1152">
        <v>0</v>
      </c>
      <c r="BJ16" s="659">
        <v>13</v>
      </c>
      <c r="BK16" s="1138">
        <f t="shared" si="12"/>
        <v>38709</v>
      </c>
      <c r="BL16" s="1145">
        <f t="shared" si="13"/>
        <v>0</v>
      </c>
      <c r="BM16" s="1143">
        <v>0</v>
      </c>
      <c r="BN16" s="1143">
        <v>0</v>
      </c>
      <c r="BO16" s="1143">
        <v>0</v>
      </c>
      <c r="BP16" s="276">
        <v>38709</v>
      </c>
      <c r="BQ16" s="276">
        <v>39</v>
      </c>
      <c r="BR16" s="1144">
        <v>12</v>
      </c>
      <c r="BS16" s="1144">
        <v>27</v>
      </c>
      <c r="BT16" s="276">
        <v>0</v>
      </c>
      <c r="BU16" s="1153">
        <v>16</v>
      </c>
      <c r="BV16" s="627">
        <v>75</v>
      </c>
    </row>
    <row r="17" spans="1:75">
      <c r="A17" s="2775" t="s">
        <v>953</v>
      </c>
      <c r="B17" s="2776"/>
      <c r="C17" s="2776"/>
      <c r="D17" s="2776"/>
      <c r="E17" s="2776"/>
      <c r="F17" s="2776"/>
      <c r="G17" s="2776"/>
      <c r="H17" s="2776"/>
      <c r="I17" s="2776"/>
      <c r="J17" s="2776"/>
      <c r="K17" s="2776"/>
      <c r="L17" s="2776"/>
      <c r="M17" s="2776"/>
      <c r="N17" s="2776"/>
      <c r="O17" s="2776"/>
      <c r="P17" s="2776"/>
      <c r="Q17" s="2777"/>
      <c r="R17" s="2551" t="str">
        <f t="shared" si="1"/>
        <v>5005050018</v>
      </c>
      <c r="S17" s="2551">
        <f t="shared" si="2"/>
        <v>0</v>
      </c>
      <c r="T17" s="2551">
        <f t="shared" si="3"/>
        <v>0</v>
      </c>
      <c r="U17" s="2551">
        <f t="shared" si="4"/>
        <v>0</v>
      </c>
      <c r="V17" s="2551">
        <f t="shared" si="5"/>
        <v>0</v>
      </c>
      <c r="W17" s="1159">
        <v>14</v>
      </c>
      <c r="X17" s="1159">
        <v>505</v>
      </c>
      <c r="Y17" s="1159">
        <v>18</v>
      </c>
      <c r="Z17" s="1159"/>
      <c r="AA17" s="1159"/>
      <c r="AB17" s="1159"/>
      <c r="AC17" s="1159"/>
      <c r="AD17" s="1160">
        <v>5185</v>
      </c>
      <c r="AE17" s="1161" t="s">
        <v>947</v>
      </c>
      <c r="AF17" s="1142">
        <v>14</v>
      </c>
      <c r="AG17" s="1138">
        <f t="shared" si="8"/>
        <v>1568</v>
      </c>
      <c r="AH17" s="1142">
        <f t="shared" si="9"/>
        <v>1568</v>
      </c>
      <c r="AI17" s="1143">
        <v>0</v>
      </c>
      <c r="AJ17" s="1143">
        <v>0</v>
      </c>
      <c r="AK17" s="1138">
        <v>0</v>
      </c>
      <c r="AL17" s="1143">
        <v>1568</v>
      </c>
      <c r="AM17" s="1143">
        <v>0</v>
      </c>
      <c r="AN17" s="1143">
        <v>0</v>
      </c>
      <c r="AO17" s="1143">
        <v>0</v>
      </c>
      <c r="AP17" s="1144">
        <v>0</v>
      </c>
      <c r="AQ17" s="276">
        <v>0</v>
      </c>
      <c r="AR17" s="1143">
        <v>0</v>
      </c>
      <c r="AS17" s="1138">
        <v>0</v>
      </c>
      <c r="AT17" s="1138">
        <v>0</v>
      </c>
      <c r="AU17" s="1145">
        <v>0</v>
      </c>
      <c r="AV17" s="1146">
        <f t="shared" si="10"/>
        <v>0</v>
      </c>
      <c r="AW17" s="1145">
        <v>14</v>
      </c>
      <c r="AX17" s="1138">
        <f t="shared" si="6"/>
        <v>1568</v>
      </c>
      <c r="AY17" s="1142">
        <v>1568</v>
      </c>
      <c r="AZ17" s="1147">
        <v>1568</v>
      </c>
      <c r="BA17" s="1147">
        <v>0</v>
      </c>
      <c r="BB17" s="1147">
        <v>0</v>
      </c>
      <c r="BC17" s="1138">
        <f t="shared" si="11"/>
        <v>0</v>
      </c>
      <c r="BD17" s="276">
        <v>0</v>
      </c>
      <c r="BE17" s="277">
        <v>0</v>
      </c>
      <c r="BF17" s="1138">
        <v>0</v>
      </c>
      <c r="BG17" s="1138">
        <v>0</v>
      </c>
      <c r="BH17" s="276">
        <v>0</v>
      </c>
      <c r="BI17" s="1152">
        <v>0</v>
      </c>
      <c r="BJ17" s="276">
        <v>14</v>
      </c>
      <c r="BK17" s="1138">
        <f t="shared" si="12"/>
        <v>17111</v>
      </c>
      <c r="BL17" s="1145">
        <f t="shared" si="13"/>
        <v>3000</v>
      </c>
      <c r="BM17" s="1143">
        <v>0</v>
      </c>
      <c r="BN17" s="1143">
        <v>0</v>
      </c>
      <c r="BO17" s="1143">
        <v>3000</v>
      </c>
      <c r="BP17" s="276">
        <v>14111</v>
      </c>
      <c r="BQ17" s="276">
        <v>14</v>
      </c>
      <c r="BR17" s="1144">
        <v>4</v>
      </c>
      <c r="BS17" s="1144">
        <v>10</v>
      </c>
      <c r="BT17" s="276">
        <v>0</v>
      </c>
      <c r="BU17" s="1153">
        <v>6</v>
      </c>
      <c r="BV17" s="627">
        <v>75</v>
      </c>
    </row>
    <row r="18" spans="1:75" ht="30">
      <c r="A18" s="2778"/>
      <c r="B18" s="2779"/>
      <c r="C18" s="2779"/>
      <c r="D18" s="2779"/>
      <c r="E18" s="2779"/>
      <c r="F18" s="2779"/>
      <c r="G18" s="2779"/>
      <c r="H18" s="2779"/>
      <c r="I18" s="2779"/>
      <c r="J18" s="2779"/>
      <c r="K18" s="2779"/>
      <c r="L18" s="2779"/>
      <c r="M18" s="2779"/>
      <c r="N18" s="2779"/>
      <c r="O18" s="2779"/>
      <c r="P18" s="2779"/>
      <c r="Q18" s="2780"/>
      <c r="R18" s="2551" t="str">
        <f t="shared" si="1"/>
        <v>5005070012</v>
      </c>
      <c r="S18" s="2551" t="str">
        <f t="shared" si="2"/>
        <v>5005070017</v>
      </c>
      <c r="T18" s="2551">
        <f t="shared" si="3"/>
        <v>0</v>
      </c>
      <c r="U18" s="2551">
        <f t="shared" si="4"/>
        <v>0</v>
      </c>
      <c r="V18" s="2551">
        <f t="shared" si="5"/>
        <v>0</v>
      </c>
      <c r="W18" s="1159">
        <v>15</v>
      </c>
      <c r="X18" s="1159">
        <v>507</v>
      </c>
      <c r="Y18" s="1159">
        <v>12</v>
      </c>
      <c r="Z18" s="1159">
        <v>17</v>
      </c>
      <c r="AA18" s="1159"/>
      <c r="AB18" s="1159"/>
      <c r="AC18" s="1159"/>
      <c r="AD18" s="1160">
        <v>7890</v>
      </c>
      <c r="AE18" s="1161" t="s">
        <v>947</v>
      </c>
      <c r="AF18" s="1142">
        <v>15</v>
      </c>
      <c r="AG18" s="1138">
        <f t="shared" si="8"/>
        <v>5244</v>
      </c>
      <c r="AH18" s="1142">
        <f t="shared" si="9"/>
        <v>5244</v>
      </c>
      <c r="AI18" s="1143">
        <v>3052</v>
      </c>
      <c r="AJ18" s="1143">
        <v>1724</v>
      </c>
      <c r="AK18" s="1138">
        <v>0</v>
      </c>
      <c r="AL18" s="1143">
        <v>468</v>
      </c>
      <c r="AM18" s="1143">
        <v>0</v>
      </c>
      <c r="AN18" s="1143">
        <v>0</v>
      </c>
      <c r="AO18" s="1143">
        <v>0</v>
      </c>
      <c r="AP18" s="1144">
        <v>0</v>
      </c>
      <c r="AQ18" s="276">
        <v>0</v>
      </c>
      <c r="AR18" s="1143">
        <v>0</v>
      </c>
      <c r="AS18" s="1138">
        <v>0</v>
      </c>
      <c r="AT18" s="1138">
        <v>0</v>
      </c>
      <c r="AU18" s="1145">
        <v>0</v>
      </c>
      <c r="AV18" s="1146">
        <f t="shared" si="10"/>
        <v>0</v>
      </c>
      <c r="AW18" s="1145">
        <v>15</v>
      </c>
      <c r="AX18" s="1138">
        <f t="shared" si="6"/>
        <v>5244</v>
      </c>
      <c r="AY18" s="1142">
        <v>5244</v>
      </c>
      <c r="AZ18" s="1147">
        <v>3052</v>
      </c>
      <c r="BA18" s="1147">
        <v>1724</v>
      </c>
      <c r="BB18" s="1147">
        <v>0</v>
      </c>
      <c r="BC18" s="1138">
        <f t="shared" si="11"/>
        <v>468</v>
      </c>
      <c r="BD18" s="276">
        <v>0</v>
      </c>
      <c r="BE18" s="277">
        <v>0</v>
      </c>
      <c r="BF18" s="1138">
        <v>0</v>
      </c>
      <c r="BG18" s="1138">
        <v>0</v>
      </c>
      <c r="BH18" s="276">
        <v>0</v>
      </c>
      <c r="BI18" s="1152">
        <v>0</v>
      </c>
      <c r="BJ18" s="659">
        <v>15</v>
      </c>
      <c r="BK18" s="1138">
        <f t="shared" si="12"/>
        <v>10294</v>
      </c>
      <c r="BL18" s="1145">
        <f t="shared" si="13"/>
        <v>10294</v>
      </c>
      <c r="BM18" s="1143">
        <v>10294</v>
      </c>
      <c r="BN18" s="1143">
        <v>0</v>
      </c>
      <c r="BO18" s="1143">
        <v>0</v>
      </c>
      <c r="BP18" s="276">
        <v>0</v>
      </c>
      <c r="BQ18" s="276">
        <v>0</v>
      </c>
      <c r="BR18" s="1144">
        <v>0</v>
      </c>
      <c r="BS18" s="1144">
        <v>0</v>
      </c>
      <c r="BT18" s="276">
        <v>0</v>
      </c>
      <c r="BU18" s="1153">
        <v>0</v>
      </c>
      <c r="BV18" s="1171">
        <v>35</v>
      </c>
      <c r="BW18" s="1172" t="s">
        <v>954</v>
      </c>
    </row>
    <row r="19" spans="1:75" ht="15.75" thickBot="1">
      <c r="A19" s="2781"/>
      <c r="B19" s="2782"/>
      <c r="C19" s="2782"/>
      <c r="D19" s="2782"/>
      <c r="E19" s="2782"/>
      <c r="F19" s="2782"/>
      <c r="G19" s="2782"/>
      <c r="H19" s="2782"/>
      <c r="I19" s="2782"/>
      <c r="J19" s="2782"/>
      <c r="K19" s="2782"/>
      <c r="L19" s="2782"/>
      <c r="M19" s="2782"/>
      <c r="N19" s="2782"/>
      <c r="O19" s="2782"/>
      <c r="P19" s="2782"/>
      <c r="Q19" s="2783"/>
      <c r="R19" s="2551" t="str">
        <f t="shared" si="1"/>
        <v>5005080022</v>
      </c>
      <c r="S19" s="2551" t="str">
        <f t="shared" si="2"/>
        <v>5005080023</v>
      </c>
      <c r="T19" s="2551" t="str">
        <f t="shared" si="3"/>
        <v>5005080024</v>
      </c>
      <c r="U19" s="2551">
        <f t="shared" si="4"/>
        <v>0</v>
      </c>
      <c r="V19" s="2551">
        <f t="shared" si="5"/>
        <v>0</v>
      </c>
      <c r="W19" s="1159">
        <v>16</v>
      </c>
      <c r="X19" s="1159">
        <v>508</v>
      </c>
      <c r="Y19" s="1159">
        <v>22</v>
      </c>
      <c r="Z19" s="1159">
        <v>23</v>
      </c>
      <c r="AA19" s="1159">
        <v>24</v>
      </c>
      <c r="AB19" s="1159"/>
      <c r="AC19" s="1159"/>
      <c r="AD19" s="1160">
        <v>7500</v>
      </c>
      <c r="AE19" s="1153" t="s">
        <v>955</v>
      </c>
      <c r="AF19" s="1142">
        <v>16</v>
      </c>
      <c r="AG19" s="1138">
        <f t="shared" si="8"/>
        <v>0</v>
      </c>
      <c r="AH19" s="1142">
        <f t="shared" si="9"/>
        <v>0</v>
      </c>
      <c r="AI19" s="1143">
        <v>0</v>
      </c>
      <c r="AJ19" s="1143">
        <v>0</v>
      </c>
      <c r="AK19" s="1138">
        <v>0</v>
      </c>
      <c r="AL19" s="1143">
        <v>0</v>
      </c>
      <c r="AM19" s="1143">
        <v>0</v>
      </c>
      <c r="AN19" s="1143">
        <v>0</v>
      </c>
      <c r="AO19" s="1143">
        <v>0</v>
      </c>
      <c r="AP19" s="1144">
        <v>0</v>
      </c>
      <c r="AQ19" s="276">
        <v>0</v>
      </c>
      <c r="AR19" s="1143">
        <v>0</v>
      </c>
      <c r="AS19" s="1138">
        <v>0</v>
      </c>
      <c r="AT19" s="1138">
        <v>0</v>
      </c>
      <c r="AU19" s="1145">
        <v>0</v>
      </c>
      <c r="AV19" s="1146">
        <f t="shared" si="10"/>
        <v>4</v>
      </c>
      <c r="AW19" s="1145">
        <v>16</v>
      </c>
      <c r="AX19" s="1138">
        <f t="shared" si="6"/>
        <v>4500</v>
      </c>
      <c r="AY19" s="1142">
        <v>0</v>
      </c>
      <c r="AZ19" s="1147">
        <v>0</v>
      </c>
      <c r="BA19" s="1147">
        <v>0</v>
      </c>
      <c r="BB19" s="1147">
        <v>0</v>
      </c>
      <c r="BC19" s="1138">
        <f t="shared" si="11"/>
        <v>0</v>
      </c>
      <c r="BD19" s="276">
        <v>4500</v>
      </c>
      <c r="BE19" s="277">
        <v>2</v>
      </c>
      <c r="BF19" s="1138">
        <v>0</v>
      </c>
      <c r="BG19" s="1138">
        <v>2</v>
      </c>
      <c r="BH19" s="276">
        <v>0</v>
      </c>
      <c r="BI19" s="1152">
        <v>4</v>
      </c>
      <c r="BJ19" s="276">
        <v>16</v>
      </c>
      <c r="BK19" s="1138">
        <f t="shared" si="12"/>
        <v>18150</v>
      </c>
      <c r="BL19" s="1145">
        <f t="shared" si="13"/>
        <v>4200</v>
      </c>
      <c r="BM19" s="1143">
        <v>4200</v>
      </c>
      <c r="BN19" s="1143">
        <v>0</v>
      </c>
      <c r="BO19" s="1143">
        <v>0</v>
      </c>
      <c r="BP19" s="276">
        <v>13950</v>
      </c>
      <c r="BQ19" s="276">
        <v>14</v>
      </c>
      <c r="BR19" s="1144">
        <v>4</v>
      </c>
      <c r="BS19" s="1144">
        <v>10</v>
      </c>
      <c r="BT19" s="276">
        <v>0</v>
      </c>
      <c r="BU19" s="1153">
        <v>6</v>
      </c>
      <c r="BV19" s="627">
        <v>55</v>
      </c>
    </row>
    <row r="20" spans="1:75" ht="15.75" thickBot="1">
      <c r="A20" s="1137" t="s">
        <v>610</v>
      </c>
      <c r="B20" s="1138">
        <f t="shared" ref="B20:P20" si="20">SUM(AG24:AG31)</f>
        <v>36970</v>
      </c>
      <c r="C20" s="1145">
        <f t="shared" si="20"/>
        <v>23910</v>
      </c>
      <c r="D20" s="1138">
        <f t="shared" si="20"/>
        <v>13270</v>
      </c>
      <c r="E20" s="1138">
        <f t="shared" si="20"/>
        <v>0</v>
      </c>
      <c r="F20" s="1138">
        <f t="shared" si="20"/>
        <v>0</v>
      </c>
      <c r="G20" s="1138">
        <f t="shared" si="20"/>
        <v>0</v>
      </c>
      <c r="H20" s="1138">
        <f t="shared" si="20"/>
        <v>0</v>
      </c>
      <c r="I20" s="1138">
        <f t="shared" si="20"/>
        <v>7700</v>
      </c>
      <c r="J20" s="1138">
        <f t="shared" si="20"/>
        <v>2940</v>
      </c>
      <c r="K20" s="1138">
        <f t="shared" si="20"/>
        <v>0</v>
      </c>
      <c r="L20" s="1145">
        <f t="shared" si="20"/>
        <v>2940</v>
      </c>
      <c r="M20" s="1145">
        <f t="shared" si="20"/>
        <v>2</v>
      </c>
      <c r="N20" s="1145">
        <f t="shared" si="20"/>
        <v>0</v>
      </c>
      <c r="O20" s="1145">
        <f t="shared" si="20"/>
        <v>2</v>
      </c>
      <c r="P20" s="1145">
        <f t="shared" si="20"/>
        <v>10120</v>
      </c>
      <c r="Q20" s="1186">
        <f>SUM(AV24:AV31)</f>
        <v>134</v>
      </c>
      <c r="R20" s="2551" t="str">
        <f t="shared" si="1"/>
        <v>5005090001</v>
      </c>
      <c r="S20" s="2551" t="str">
        <f t="shared" si="2"/>
        <v>5005090004</v>
      </c>
      <c r="T20" s="2551" t="str">
        <f t="shared" si="3"/>
        <v>5005090008</v>
      </c>
      <c r="U20" s="2551">
        <f t="shared" si="4"/>
        <v>0</v>
      </c>
      <c r="V20" s="2551">
        <f t="shared" si="5"/>
        <v>0</v>
      </c>
      <c r="W20" s="1159">
        <v>17</v>
      </c>
      <c r="X20" s="1159">
        <v>509</v>
      </c>
      <c r="Y20" s="1159">
        <v>1</v>
      </c>
      <c r="Z20" s="1159">
        <v>4</v>
      </c>
      <c r="AA20" s="1159">
        <v>8</v>
      </c>
      <c r="AB20" s="1159"/>
      <c r="AC20" s="1159"/>
      <c r="AD20" s="1160">
        <v>46791</v>
      </c>
      <c r="AE20" s="1153" t="s">
        <v>947</v>
      </c>
      <c r="AF20" s="1142">
        <v>17</v>
      </c>
      <c r="AG20" s="1138">
        <f t="shared" si="8"/>
        <v>26274</v>
      </c>
      <c r="AH20" s="1173">
        <f t="shared" si="9"/>
        <v>26274</v>
      </c>
      <c r="AI20" s="1143">
        <v>5274</v>
      </c>
      <c r="AJ20" s="1143">
        <v>5000</v>
      </c>
      <c r="AK20" s="1174">
        <v>0</v>
      </c>
      <c r="AL20" s="1143">
        <v>0</v>
      </c>
      <c r="AM20" s="1143">
        <v>16000</v>
      </c>
      <c r="AN20" s="1143">
        <v>0</v>
      </c>
      <c r="AO20" s="1143">
        <v>0</v>
      </c>
      <c r="AP20" s="1144">
        <v>0</v>
      </c>
      <c r="AQ20" s="276">
        <v>0</v>
      </c>
      <c r="AR20" s="1143">
        <v>0</v>
      </c>
      <c r="AS20" s="1138">
        <v>0</v>
      </c>
      <c r="AT20" s="1138">
        <v>0</v>
      </c>
      <c r="AU20" s="1145">
        <v>0</v>
      </c>
      <c r="AV20" s="1146">
        <f t="shared" si="10"/>
        <v>0</v>
      </c>
      <c r="AW20" s="1145">
        <v>17</v>
      </c>
      <c r="AX20" s="1138">
        <f t="shared" si="6"/>
        <v>26274</v>
      </c>
      <c r="AY20" s="1142">
        <v>26274</v>
      </c>
      <c r="AZ20" s="1147">
        <v>26274</v>
      </c>
      <c r="BA20" s="1147">
        <v>0</v>
      </c>
      <c r="BB20" s="1147">
        <v>0</v>
      </c>
      <c r="BC20" s="1138">
        <f t="shared" si="11"/>
        <v>0</v>
      </c>
      <c r="BD20" s="276">
        <v>0</v>
      </c>
      <c r="BE20" s="277">
        <v>0</v>
      </c>
      <c r="BF20" s="1138">
        <v>0</v>
      </c>
      <c r="BG20" s="1138">
        <v>0</v>
      </c>
      <c r="BH20" s="276">
        <v>0</v>
      </c>
      <c r="BI20" s="1152">
        <v>0</v>
      </c>
      <c r="BJ20" s="659">
        <v>17</v>
      </c>
      <c r="BK20" s="1138">
        <f t="shared" si="12"/>
        <v>154410</v>
      </c>
      <c r="BL20" s="1145">
        <f t="shared" si="13"/>
        <v>14000</v>
      </c>
      <c r="BM20" s="1143">
        <v>6000</v>
      </c>
      <c r="BN20" s="1143">
        <v>0</v>
      </c>
      <c r="BO20" s="1143">
        <v>8000</v>
      </c>
      <c r="BP20" s="276">
        <v>140410</v>
      </c>
      <c r="BQ20" s="276">
        <v>140</v>
      </c>
      <c r="BR20" s="1144">
        <v>42</v>
      </c>
      <c r="BS20" s="1144">
        <v>98</v>
      </c>
      <c r="BT20" s="276">
        <v>0</v>
      </c>
      <c r="BU20" s="1153">
        <v>60</v>
      </c>
      <c r="BV20" s="627">
        <v>75</v>
      </c>
      <c r="BW20" t="s">
        <v>956</v>
      </c>
    </row>
    <row r="21" spans="1:75" ht="15.75" customHeight="1">
      <c r="A21" s="1163" t="s">
        <v>924</v>
      </c>
      <c r="B21" s="1164">
        <f>SUM(AX24:AX31)</f>
        <v>79060</v>
      </c>
      <c r="C21" s="1165">
        <f>SUM(AY24:AY31)</f>
        <v>62210</v>
      </c>
      <c r="D21" s="1164">
        <f>SUM(AZ24:AZ31)</f>
        <v>52410</v>
      </c>
      <c r="E21" s="1164">
        <f>SUM(BA24:BA31)</f>
        <v>9800</v>
      </c>
      <c r="F21" s="1164">
        <f>SUM(BB24:BB31)</f>
        <v>0</v>
      </c>
      <c r="G21" s="1164" t="s">
        <v>952</v>
      </c>
      <c r="H21" s="1164" t="s">
        <v>952</v>
      </c>
      <c r="I21" s="1164" t="s">
        <v>952</v>
      </c>
      <c r="J21" s="1164">
        <f>C21-SUM(D21:F21)</f>
        <v>0</v>
      </c>
      <c r="K21" s="1165">
        <v>0</v>
      </c>
      <c r="L21" s="1165">
        <f t="shared" ref="L21:Q21" si="21">SUM(BD24:BD31)</f>
        <v>6730</v>
      </c>
      <c r="M21" s="1165">
        <f t="shared" si="21"/>
        <v>6</v>
      </c>
      <c r="N21" s="1165">
        <f t="shared" si="21"/>
        <v>0</v>
      </c>
      <c r="O21" s="1165">
        <f t="shared" si="21"/>
        <v>6</v>
      </c>
      <c r="P21" s="1165">
        <f t="shared" si="21"/>
        <v>10120</v>
      </c>
      <c r="Q21" s="1175">
        <f t="shared" si="21"/>
        <v>134</v>
      </c>
      <c r="R21" s="2550"/>
      <c r="S21" s="2550"/>
      <c r="T21" s="2550"/>
      <c r="U21" s="2550"/>
      <c r="V21" s="2550"/>
      <c r="W21" s="2803" t="s">
        <v>957</v>
      </c>
      <c r="X21" s="2804"/>
      <c r="Y21" s="2804"/>
      <c r="Z21" s="2804"/>
      <c r="AA21" s="2804"/>
      <c r="AB21" s="2804"/>
      <c r="AC21" s="2804"/>
      <c r="AD21" s="2804"/>
      <c r="AE21" s="2805"/>
      <c r="AF21" s="2804" t="s">
        <v>957</v>
      </c>
      <c r="AG21" s="2804"/>
      <c r="AH21" s="2804"/>
      <c r="AI21" s="2804"/>
      <c r="AJ21" s="2804"/>
      <c r="AK21" s="2804"/>
      <c r="AL21" s="2804"/>
      <c r="AM21" s="2804"/>
      <c r="AN21" s="2804"/>
      <c r="AO21" s="2804"/>
      <c r="AP21" s="2804"/>
      <c r="AQ21" s="2804"/>
      <c r="AR21" s="2804"/>
      <c r="AS21" s="2804"/>
      <c r="AT21" s="2804"/>
      <c r="AU21" s="2804"/>
      <c r="AV21" s="2805"/>
      <c r="AW21" s="2804" t="s">
        <v>957</v>
      </c>
      <c r="AX21" s="2804"/>
      <c r="AY21" s="2804"/>
      <c r="AZ21" s="2804"/>
      <c r="BA21" s="2804"/>
      <c r="BB21" s="2804"/>
      <c r="BC21" s="2804"/>
      <c r="BD21" s="2804"/>
      <c r="BE21" s="2804"/>
      <c r="BF21" s="2804"/>
      <c r="BG21" s="2804"/>
      <c r="BH21" s="2804"/>
      <c r="BI21" s="2812"/>
      <c r="BJ21" s="2815" t="s">
        <v>957</v>
      </c>
      <c r="BK21" s="2816"/>
      <c r="BL21" s="2816"/>
      <c r="BM21" s="2816"/>
      <c r="BN21" s="2816"/>
      <c r="BO21" s="2816"/>
      <c r="BP21" s="2816"/>
      <c r="BQ21" s="2816"/>
      <c r="BR21" s="2816"/>
      <c r="BS21" s="2816"/>
      <c r="BT21" s="2816"/>
      <c r="BU21" s="2817"/>
      <c r="BV21" s="2299"/>
    </row>
    <row r="22" spans="1:75">
      <c r="A22" s="1163" t="s">
        <v>925</v>
      </c>
      <c r="B22" s="1164">
        <f>SUM(BK24:BK31)</f>
        <v>287203</v>
      </c>
      <c r="C22" s="1165">
        <f>SUM(BL24:BL31)</f>
        <v>37000</v>
      </c>
      <c r="D22" s="1164">
        <f>SUM(BM24:BM31)</f>
        <v>37000</v>
      </c>
      <c r="E22" s="1164">
        <f>SUM(BN24:BN31)</f>
        <v>0</v>
      </c>
      <c r="F22" s="1164">
        <f>SUM(BO24:BO31)</f>
        <v>0</v>
      </c>
      <c r="G22" s="1164" t="s">
        <v>952</v>
      </c>
      <c r="H22" s="1164" t="s">
        <v>952</v>
      </c>
      <c r="I22" s="1164" t="s">
        <v>952</v>
      </c>
      <c r="J22" s="1164">
        <f t="shared" ref="J22:J24" si="22">C22-SUM(D22:F22)</f>
        <v>0</v>
      </c>
      <c r="K22" s="1166">
        <v>0</v>
      </c>
      <c r="L22" s="1165">
        <f t="shared" ref="L22:Q22" si="23">SUM(BP24:BP31)</f>
        <v>241879</v>
      </c>
      <c r="M22" s="1165">
        <f t="shared" si="23"/>
        <v>242</v>
      </c>
      <c r="N22" s="1166">
        <f t="shared" si="23"/>
        <v>74</v>
      </c>
      <c r="O22" s="1166">
        <f t="shared" si="23"/>
        <v>168</v>
      </c>
      <c r="P22" s="1165">
        <f t="shared" si="23"/>
        <v>8324</v>
      </c>
      <c r="Q22" s="1175">
        <f t="shared" si="23"/>
        <v>118</v>
      </c>
      <c r="R22" s="2550"/>
      <c r="S22" s="2550"/>
      <c r="T22" s="2550"/>
      <c r="U22" s="2550"/>
      <c r="V22" s="2550"/>
      <c r="W22" s="2806"/>
      <c r="X22" s="2807"/>
      <c r="Y22" s="2807"/>
      <c r="Z22" s="2807"/>
      <c r="AA22" s="2807"/>
      <c r="AB22" s="2807"/>
      <c r="AC22" s="2807"/>
      <c r="AD22" s="2807"/>
      <c r="AE22" s="2808"/>
      <c r="AF22" s="2807"/>
      <c r="AG22" s="2807"/>
      <c r="AH22" s="2807"/>
      <c r="AI22" s="2807"/>
      <c r="AJ22" s="2807"/>
      <c r="AK22" s="2807"/>
      <c r="AL22" s="2807"/>
      <c r="AM22" s="2807"/>
      <c r="AN22" s="2807"/>
      <c r="AO22" s="2807"/>
      <c r="AP22" s="2807"/>
      <c r="AQ22" s="2807"/>
      <c r="AR22" s="2807"/>
      <c r="AS22" s="2807"/>
      <c r="AT22" s="2807"/>
      <c r="AU22" s="2807"/>
      <c r="AV22" s="2808"/>
      <c r="AW22" s="2807"/>
      <c r="AX22" s="2807"/>
      <c r="AY22" s="2807"/>
      <c r="AZ22" s="2807"/>
      <c r="BA22" s="2807"/>
      <c r="BB22" s="2807"/>
      <c r="BC22" s="2807"/>
      <c r="BD22" s="2807"/>
      <c r="BE22" s="2807"/>
      <c r="BF22" s="2807"/>
      <c r="BG22" s="2807"/>
      <c r="BH22" s="2807"/>
      <c r="BI22" s="2813"/>
      <c r="BJ22" s="2818"/>
      <c r="BK22" s="2819"/>
      <c r="BL22" s="2819"/>
      <c r="BM22" s="2819"/>
      <c r="BN22" s="2819"/>
      <c r="BO22" s="2819"/>
      <c r="BP22" s="2819"/>
      <c r="BQ22" s="2819"/>
      <c r="BR22" s="2819"/>
      <c r="BS22" s="2819"/>
      <c r="BT22" s="2819"/>
      <c r="BU22" s="2820"/>
      <c r="BV22" s="2299"/>
    </row>
    <row r="23" spans="1:75" ht="15.75" thickBot="1">
      <c r="A23" s="1167" t="s">
        <v>948</v>
      </c>
      <c r="B23" s="1138">
        <f>B21-B20</f>
        <v>42090</v>
      </c>
      <c r="C23" s="1138">
        <f t="shared" ref="C23:P24" si="24">C21-C20</f>
        <v>38300</v>
      </c>
      <c r="D23" s="1138">
        <f t="shared" si="24"/>
        <v>39140</v>
      </c>
      <c r="E23" s="1138">
        <f t="shared" si="24"/>
        <v>9800</v>
      </c>
      <c r="F23" s="1138">
        <f t="shared" si="24"/>
        <v>0</v>
      </c>
      <c r="G23" s="1138" t="s">
        <v>952</v>
      </c>
      <c r="H23" s="1138" t="s">
        <v>952</v>
      </c>
      <c r="I23" s="1138" t="s">
        <v>952</v>
      </c>
      <c r="J23" s="1155">
        <f t="shared" si="22"/>
        <v>-10640</v>
      </c>
      <c r="K23" s="1138">
        <v>0</v>
      </c>
      <c r="L23" s="1138">
        <f>L21-L20</f>
        <v>3790</v>
      </c>
      <c r="M23" s="1138">
        <f t="shared" ref="M23:Q23" si="25">M21-M20</f>
        <v>4</v>
      </c>
      <c r="N23" s="1138">
        <f t="shared" si="25"/>
        <v>0</v>
      </c>
      <c r="O23" s="1138">
        <f t="shared" si="25"/>
        <v>4</v>
      </c>
      <c r="P23" s="1138">
        <f t="shared" si="25"/>
        <v>0</v>
      </c>
      <c r="Q23" s="1138">
        <f t="shared" si="25"/>
        <v>0</v>
      </c>
      <c r="R23" s="2551"/>
      <c r="S23" s="2551"/>
      <c r="T23" s="2551"/>
      <c r="U23" s="2551"/>
      <c r="V23" s="2551"/>
      <c r="W23" s="2809"/>
      <c r="X23" s="2810"/>
      <c r="Y23" s="2810"/>
      <c r="Z23" s="2810"/>
      <c r="AA23" s="2810"/>
      <c r="AB23" s="2810"/>
      <c r="AC23" s="2810"/>
      <c r="AD23" s="2810"/>
      <c r="AE23" s="2811"/>
      <c r="AF23" s="2810"/>
      <c r="AG23" s="2810"/>
      <c r="AH23" s="2810"/>
      <c r="AI23" s="2810"/>
      <c r="AJ23" s="2810"/>
      <c r="AK23" s="2810"/>
      <c r="AL23" s="2810"/>
      <c r="AM23" s="2810"/>
      <c r="AN23" s="2810"/>
      <c r="AO23" s="2810"/>
      <c r="AP23" s="2810"/>
      <c r="AQ23" s="2810"/>
      <c r="AR23" s="2810"/>
      <c r="AS23" s="2810"/>
      <c r="AT23" s="2810"/>
      <c r="AU23" s="2810"/>
      <c r="AV23" s="2811"/>
      <c r="AW23" s="2810"/>
      <c r="AX23" s="2810"/>
      <c r="AY23" s="2810"/>
      <c r="AZ23" s="2810"/>
      <c r="BA23" s="2810"/>
      <c r="BB23" s="2810"/>
      <c r="BC23" s="2810"/>
      <c r="BD23" s="2810"/>
      <c r="BE23" s="2810"/>
      <c r="BF23" s="2810"/>
      <c r="BG23" s="2810"/>
      <c r="BH23" s="2810"/>
      <c r="BI23" s="2814"/>
      <c r="BJ23" s="2821"/>
      <c r="BK23" s="2822"/>
      <c r="BL23" s="2822"/>
      <c r="BM23" s="2822"/>
      <c r="BN23" s="2822"/>
      <c r="BO23" s="2822"/>
      <c r="BP23" s="2822"/>
      <c r="BQ23" s="2822"/>
      <c r="BR23" s="2822"/>
      <c r="BS23" s="2822"/>
      <c r="BT23" s="2822"/>
      <c r="BU23" s="2823"/>
      <c r="BV23" s="2299"/>
    </row>
    <row r="24" spans="1:75" ht="15.75" thickBot="1">
      <c r="A24" s="1168" t="s">
        <v>949</v>
      </c>
      <c r="B24" s="1169">
        <f>B22-B21</f>
        <v>208143</v>
      </c>
      <c r="C24" s="1176">
        <f t="shared" si="24"/>
        <v>-25210</v>
      </c>
      <c r="D24" s="1176">
        <f t="shared" si="24"/>
        <v>-15410</v>
      </c>
      <c r="E24" s="1176">
        <f t="shared" si="24"/>
        <v>-9800</v>
      </c>
      <c r="F24" s="1176">
        <f t="shared" si="24"/>
        <v>0</v>
      </c>
      <c r="G24" s="1169" t="s">
        <v>952</v>
      </c>
      <c r="H24" s="1169" t="s">
        <v>952</v>
      </c>
      <c r="I24" s="1169" t="s">
        <v>952</v>
      </c>
      <c r="J24" s="1169">
        <f t="shared" si="22"/>
        <v>0</v>
      </c>
      <c r="K24" s="1170">
        <v>0</v>
      </c>
      <c r="L24" s="1176">
        <f t="shared" si="24"/>
        <v>235149</v>
      </c>
      <c r="M24" s="1176">
        <f t="shared" si="24"/>
        <v>236</v>
      </c>
      <c r="N24" s="1176">
        <f t="shared" si="24"/>
        <v>74</v>
      </c>
      <c r="O24" s="1176">
        <f t="shared" si="24"/>
        <v>162</v>
      </c>
      <c r="P24" s="1176">
        <f t="shared" si="24"/>
        <v>-1796</v>
      </c>
      <c r="Q24" s="1176">
        <f>Q22-Q21</f>
        <v>-16</v>
      </c>
      <c r="R24" s="2551" t="str">
        <f t="shared" ref="R24:R31" si="26">IF(Y24="",,5&amp;IF(LEN($X24)=1,"0000"&amp;$X24,IF(LEN($X24)=2,"000"&amp;$X24,IF(LEN($X24)=3,"00"&amp;$X24,IF(LEN($X24)=4,"0"&amp;$X24,IF(LEN($X24)=5,$X24,0)))))&amp;IF(LEN(Y24)=1,"000"&amp;Y24,IF(LEN(Y24)=2,"00"&amp;Y24,IF(LEN(Y24)=3,"0"&amp;Y24,IF(LEN(Y24)=4,Y24,0)))))</f>
        <v>5005260011</v>
      </c>
      <c r="S24" s="2551">
        <f t="shared" ref="S24:S31" si="27">IF(Z24="",,5&amp;IF(LEN($X24)=1,"0000"&amp;$X24,IF(LEN($X24)=2,"000"&amp;$X24,IF(LEN($X24)=3,"00"&amp;$X24,IF(LEN($X24)=4,"0"&amp;$X24,IF(LEN($X24)=5,$X24,0)))))&amp;IF(LEN(Z24)=1,"000"&amp;Z24,IF(LEN(Z24)=2,"00"&amp;Z24,IF(LEN(Z24)=3,"0"&amp;Z24,IF(LEN(Z24)=4,Z24,0)))))</f>
        <v>0</v>
      </c>
      <c r="T24" s="2551">
        <f t="shared" ref="T24:T31" si="28">IF(AA24="",,5&amp;IF(LEN($X24)=1,"0000"&amp;$X24,IF(LEN($X24)=2,"000"&amp;$X24,IF(LEN($X24)=3,"00"&amp;$X24,IF(LEN($X24)=4,"0"&amp;$X24,IF(LEN($X24)=5,$X24,0)))))&amp;IF(LEN(AA24)=1,"000"&amp;AA24,IF(LEN(AA24)=2,"00"&amp;AA24,IF(LEN(AA24)=3,"0"&amp;AA24,IF(LEN(AA24)=4,AA24,0)))))</f>
        <v>0</v>
      </c>
      <c r="U24" s="2551">
        <f t="shared" ref="U24:U31" si="29">IF(AB24="",,5&amp;IF(LEN($X24)=1,"0000"&amp;$X24,IF(LEN($X24)=2,"000"&amp;$X24,IF(LEN($X24)=3,"00"&amp;$X24,IF(LEN($X24)=4,"0"&amp;$X24,IF(LEN($X24)=5,$X24,0)))))&amp;IF(LEN(AB24)=1,"000"&amp;AB24,IF(LEN(AB24)=2,"00"&amp;AB24,IF(LEN(AB24)=3,"0"&amp;AB24,IF(LEN(AB24)=4,AB24,0)))))</f>
        <v>0</v>
      </c>
      <c r="V24" s="2551">
        <f t="shared" ref="V24:V31" si="30">IF(AC24="",,5&amp;IF(LEN($X24)=1,"0000"&amp;$X24,IF(LEN($X24)=2,"000"&amp;$X24,IF(LEN($X24)=3,"00"&amp;$X24,IF(LEN($X24)=4,"0"&amp;$X24,IF(LEN($X24)=5,$X24,0)))))&amp;IF(LEN(AC24)=1,"000"&amp;AC24,IF(LEN(AC24)=2,"00"&amp;AC24,IF(LEN(AC24)=3,"0"&amp;AC24,IF(LEN(AC24)=4,AC24,0)))))</f>
        <v>0</v>
      </c>
      <c r="W24" s="1159">
        <v>18</v>
      </c>
      <c r="X24" s="1177">
        <v>526</v>
      </c>
      <c r="Y24" s="1177">
        <v>11</v>
      </c>
      <c r="Z24" s="1177"/>
      <c r="AA24" s="1177"/>
      <c r="AB24" s="1177"/>
      <c r="AC24" s="1177"/>
      <c r="AD24" s="1177">
        <v>18560</v>
      </c>
      <c r="AE24" s="1178" t="s">
        <v>958</v>
      </c>
      <c r="AF24" s="276">
        <v>18</v>
      </c>
      <c r="AG24" s="1138">
        <f>SUM(AH24,AQ24,AU24)</f>
        <v>10400</v>
      </c>
      <c r="AH24" s="1145">
        <f>SUM(AI24:AO24)</f>
        <v>10400</v>
      </c>
      <c r="AI24" s="1138">
        <v>2700</v>
      </c>
      <c r="AJ24" s="1138">
        <v>0</v>
      </c>
      <c r="AK24" s="1138">
        <v>0</v>
      </c>
      <c r="AL24" s="1138">
        <v>0</v>
      </c>
      <c r="AM24" s="1138">
        <v>0</v>
      </c>
      <c r="AN24" s="1138">
        <v>7700</v>
      </c>
      <c r="AO24" s="1144">
        <v>0</v>
      </c>
      <c r="AP24" s="1144">
        <v>0</v>
      </c>
      <c r="AQ24" s="276">
        <v>0</v>
      </c>
      <c r="AR24" s="1143">
        <v>0</v>
      </c>
      <c r="AS24" s="1138">
        <v>0</v>
      </c>
      <c r="AT24" s="1138">
        <v>0</v>
      </c>
      <c r="AU24" s="1179">
        <v>0</v>
      </c>
      <c r="AV24" s="1146">
        <f>BI24</f>
        <v>0</v>
      </c>
      <c r="AW24" s="659">
        <v>18</v>
      </c>
      <c r="AX24" s="1144">
        <f t="shared" ref="AX24:AX31" si="31">SUM(AY24,BD24,BH24)</f>
        <v>10400</v>
      </c>
      <c r="AY24" s="276">
        <v>10400</v>
      </c>
      <c r="AZ24" s="1138">
        <v>10400</v>
      </c>
      <c r="BA24" s="1138">
        <v>0</v>
      </c>
      <c r="BB24" s="1138">
        <v>0</v>
      </c>
      <c r="BC24" s="1138">
        <f>AY24-SUM(AZ24:BB24)</f>
        <v>0</v>
      </c>
      <c r="BD24" s="1145">
        <v>0</v>
      </c>
      <c r="BE24" s="1180">
        <v>0</v>
      </c>
      <c r="BF24" s="1138">
        <v>0</v>
      </c>
      <c r="BG24" s="1138">
        <v>0</v>
      </c>
      <c r="BH24" s="1145">
        <v>0</v>
      </c>
      <c r="BI24" s="1146">
        <v>0</v>
      </c>
      <c r="BJ24" s="1179">
        <v>18</v>
      </c>
      <c r="BK24" s="1144">
        <f>SUM(BL24,BP24,BT24)</f>
        <v>44915</v>
      </c>
      <c r="BL24" s="1179">
        <f>SUM(BM24:BO24)</f>
        <v>8000</v>
      </c>
      <c r="BM24" s="1143">
        <v>8000</v>
      </c>
      <c r="BN24" s="1143">
        <v>0</v>
      </c>
      <c r="BO24" s="1143">
        <v>0</v>
      </c>
      <c r="BP24" s="276">
        <v>36915</v>
      </c>
      <c r="BQ24" s="276">
        <v>37</v>
      </c>
      <c r="BR24" s="1181">
        <v>11</v>
      </c>
      <c r="BS24" s="1181">
        <v>26</v>
      </c>
      <c r="BT24" s="276">
        <v>0</v>
      </c>
      <c r="BU24" s="1148">
        <v>16</v>
      </c>
      <c r="BV24" s="276">
        <v>55</v>
      </c>
    </row>
    <row r="25" spans="1:75">
      <c r="A25" s="2775" t="s">
        <v>959</v>
      </c>
      <c r="B25" s="2776"/>
      <c r="C25" s="2776"/>
      <c r="D25" s="2776"/>
      <c r="E25" s="2776"/>
      <c r="F25" s="2776"/>
      <c r="G25" s="2776"/>
      <c r="H25" s="2776"/>
      <c r="I25" s="2776"/>
      <c r="J25" s="2776"/>
      <c r="K25" s="2776"/>
      <c r="L25" s="2776"/>
      <c r="M25" s="2776"/>
      <c r="N25" s="2776"/>
      <c r="O25" s="2776"/>
      <c r="P25" s="2776"/>
      <c r="Q25" s="2777"/>
      <c r="R25" s="2551" t="str">
        <f t="shared" si="26"/>
        <v>5005260019</v>
      </c>
      <c r="S25" s="2551" t="str">
        <f t="shared" si="27"/>
        <v>5005260021</v>
      </c>
      <c r="T25" s="2551" t="str">
        <f t="shared" si="28"/>
        <v>5005260025</v>
      </c>
      <c r="U25" s="2551">
        <f t="shared" si="29"/>
        <v>0</v>
      </c>
      <c r="V25" s="2551">
        <f t="shared" si="30"/>
        <v>0</v>
      </c>
      <c r="W25" s="1159">
        <v>19</v>
      </c>
      <c r="X25" s="1182">
        <v>526</v>
      </c>
      <c r="Y25" s="1182">
        <v>19</v>
      </c>
      <c r="Z25" s="1182">
        <v>21</v>
      </c>
      <c r="AA25" s="1182">
        <v>25</v>
      </c>
      <c r="AB25" s="1182"/>
      <c r="AC25" s="1182"/>
      <c r="AD25" s="1182">
        <v>14350</v>
      </c>
      <c r="AE25" s="1183" t="s">
        <v>958</v>
      </c>
      <c r="AF25" s="276">
        <v>19</v>
      </c>
      <c r="AG25" s="1138">
        <f t="shared" ref="AG25:AG31" si="32">SUM(AH25,AQ25,AU25)</f>
        <v>16000</v>
      </c>
      <c r="AH25" s="1145">
        <f t="shared" ref="AH25:AH31" si="33">SUM(AI25:AO25)</f>
        <v>2940</v>
      </c>
      <c r="AI25" s="1138">
        <v>0</v>
      </c>
      <c r="AJ25" s="1138">
        <v>0</v>
      </c>
      <c r="AK25" s="1138">
        <v>0</v>
      </c>
      <c r="AL25" s="1138">
        <v>0</v>
      </c>
      <c r="AM25" s="1138">
        <v>0</v>
      </c>
      <c r="AN25" s="1138">
        <v>0</v>
      </c>
      <c r="AO25" s="1138">
        <v>2940</v>
      </c>
      <c r="AP25" s="1138">
        <v>0</v>
      </c>
      <c r="AQ25" s="1145">
        <v>2940</v>
      </c>
      <c r="AR25" s="1145">
        <v>2</v>
      </c>
      <c r="AS25" s="1138">
        <v>0</v>
      </c>
      <c r="AT25" s="1138">
        <v>2</v>
      </c>
      <c r="AU25" s="1145">
        <v>10120</v>
      </c>
      <c r="AV25" s="1146">
        <f t="shared" ref="AV25:AV31" si="34">BI25</f>
        <v>9</v>
      </c>
      <c r="AW25" s="659">
        <v>19</v>
      </c>
      <c r="AX25" s="1138">
        <f t="shared" si="31"/>
        <v>16000</v>
      </c>
      <c r="AY25" s="276">
        <v>2940</v>
      </c>
      <c r="AZ25" s="1138">
        <v>2940</v>
      </c>
      <c r="BA25" s="1138">
        <v>0</v>
      </c>
      <c r="BB25" s="1138">
        <v>0</v>
      </c>
      <c r="BC25" s="1138">
        <f t="shared" ref="BC25:BC31" si="35">AY25-SUM(AZ25:BB25)</f>
        <v>0</v>
      </c>
      <c r="BD25" s="1145">
        <v>2940</v>
      </c>
      <c r="BE25" s="1180">
        <v>2</v>
      </c>
      <c r="BF25" s="1138">
        <v>0</v>
      </c>
      <c r="BG25" s="1138">
        <v>2</v>
      </c>
      <c r="BH25" s="1145">
        <v>10120</v>
      </c>
      <c r="BI25" s="1146">
        <v>9</v>
      </c>
      <c r="BJ25" s="1179">
        <v>19</v>
      </c>
      <c r="BK25" s="1144">
        <f t="shared" ref="BK25:BK30" si="36">SUM(BL25,BP25,BT25)</f>
        <v>34727</v>
      </c>
      <c r="BL25" s="1179">
        <f t="shared" ref="BL25:BL31" si="37">SUM(BM25:BO25)</f>
        <v>0</v>
      </c>
      <c r="BM25" s="1143">
        <v>0</v>
      </c>
      <c r="BN25" s="1143">
        <v>0</v>
      </c>
      <c r="BO25" s="1143">
        <v>0</v>
      </c>
      <c r="BP25" s="276">
        <v>26403</v>
      </c>
      <c r="BQ25" s="276">
        <v>26</v>
      </c>
      <c r="BR25" s="1181">
        <v>8</v>
      </c>
      <c r="BS25" s="1181">
        <v>18</v>
      </c>
      <c r="BT25" s="276">
        <v>8324</v>
      </c>
      <c r="BU25" s="1152">
        <v>11</v>
      </c>
      <c r="BV25" s="276">
        <v>55</v>
      </c>
    </row>
    <row r="26" spans="1:75">
      <c r="A26" s="2778"/>
      <c r="B26" s="2779"/>
      <c r="C26" s="2779"/>
      <c r="D26" s="2779"/>
      <c r="E26" s="2779"/>
      <c r="F26" s="2779"/>
      <c r="G26" s="2779"/>
      <c r="H26" s="2779"/>
      <c r="I26" s="2779"/>
      <c r="J26" s="2779"/>
      <c r="K26" s="2779"/>
      <c r="L26" s="2779"/>
      <c r="M26" s="2779"/>
      <c r="N26" s="2779"/>
      <c r="O26" s="2779"/>
      <c r="P26" s="2779"/>
      <c r="Q26" s="2780"/>
      <c r="R26" s="2551" t="str">
        <f t="shared" si="26"/>
        <v>5005260057</v>
      </c>
      <c r="S26" s="2551" t="str">
        <f t="shared" si="27"/>
        <v>5005260059</v>
      </c>
      <c r="T26" s="2551" t="str">
        <f t="shared" si="28"/>
        <v>5005260061</v>
      </c>
      <c r="U26" s="2551">
        <f t="shared" si="29"/>
        <v>0</v>
      </c>
      <c r="V26" s="2551">
        <f t="shared" si="30"/>
        <v>0</v>
      </c>
      <c r="W26" s="1159">
        <v>20</v>
      </c>
      <c r="X26" s="1182">
        <v>526</v>
      </c>
      <c r="Y26" s="1182">
        <v>57</v>
      </c>
      <c r="Z26" s="1182">
        <v>59</v>
      </c>
      <c r="AA26" s="1182">
        <v>61</v>
      </c>
      <c r="AB26" s="1182"/>
      <c r="AC26" s="1182"/>
      <c r="AD26" s="1182">
        <v>5627</v>
      </c>
      <c r="AE26" s="1183" t="s">
        <v>958</v>
      </c>
      <c r="AF26" s="276">
        <v>20</v>
      </c>
      <c r="AG26" s="1138">
        <f t="shared" si="32"/>
        <v>7690</v>
      </c>
      <c r="AH26" s="1145">
        <f t="shared" si="33"/>
        <v>7690</v>
      </c>
      <c r="AI26" s="1138">
        <v>7690</v>
      </c>
      <c r="AJ26" s="1138">
        <v>0</v>
      </c>
      <c r="AK26" s="1138">
        <v>0</v>
      </c>
      <c r="AL26" s="1138">
        <v>0</v>
      </c>
      <c r="AM26" s="1138">
        <v>0</v>
      </c>
      <c r="AN26" s="1138">
        <v>0</v>
      </c>
      <c r="AO26" s="1138">
        <v>0</v>
      </c>
      <c r="AP26" s="1138">
        <v>0</v>
      </c>
      <c r="AQ26" s="1145">
        <v>0</v>
      </c>
      <c r="AR26" s="1145">
        <v>0</v>
      </c>
      <c r="AS26" s="1138">
        <v>0</v>
      </c>
      <c r="AT26" s="1138">
        <v>0</v>
      </c>
      <c r="AU26" s="1145">
        <v>0</v>
      </c>
      <c r="AV26" s="1146">
        <f t="shared" si="34"/>
        <v>0</v>
      </c>
      <c r="AW26" s="659">
        <v>20</v>
      </c>
      <c r="AX26" s="1138">
        <f t="shared" si="31"/>
        <v>7690</v>
      </c>
      <c r="AY26" s="276">
        <v>7690</v>
      </c>
      <c r="AZ26" s="1138">
        <v>7690</v>
      </c>
      <c r="BA26" s="1138">
        <v>0</v>
      </c>
      <c r="BB26" s="1138">
        <v>0</v>
      </c>
      <c r="BC26" s="1138">
        <f t="shared" si="35"/>
        <v>0</v>
      </c>
      <c r="BD26" s="1145">
        <v>0</v>
      </c>
      <c r="BE26" s="1180">
        <v>0</v>
      </c>
      <c r="BF26" s="1138">
        <v>0</v>
      </c>
      <c r="BG26" s="1138">
        <v>0</v>
      </c>
      <c r="BH26" s="1145">
        <v>0</v>
      </c>
      <c r="BI26" s="1146">
        <v>0</v>
      </c>
      <c r="BJ26" s="1179">
        <v>20</v>
      </c>
      <c r="BK26" s="1144">
        <f t="shared" si="36"/>
        <v>13617</v>
      </c>
      <c r="BL26" s="1179">
        <f t="shared" si="37"/>
        <v>3000</v>
      </c>
      <c r="BM26" s="1143">
        <v>3000</v>
      </c>
      <c r="BN26" s="1143">
        <v>0</v>
      </c>
      <c r="BO26" s="1143">
        <v>0</v>
      </c>
      <c r="BP26" s="276">
        <v>10617</v>
      </c>
      <c r="BQ26" s="276">
        <v>11</v>
      </c>
      <c r="BR26" s="1181">
        <v>3</v>
      </c>
      <c r="BS26" s="1181">
        <v>7</v>
      </c>
      <c r="BT26" s="276">
        <v>0</v>
      </c>
      <c r="BU26" s="1152">
        <v>0</v>
      </c>
      <c r="BV26" s="276">
        <v>55</v>
      </c>
    </row>
    <row r="27" spans="1:75" ht="15.75" thickBot="1">
      <c r="A27" s="2781"/>
      <c r="B27" s="2782"/>
      <c r="C27" s="2782"/>
      <c r="D27" s="2782"/>
      <c r="E27" s="2782"/>
      <c r="F27" s="2782"/>
      <c r="G27" s="2782"/>
      <c r="H27" s="2782"/>
      <c r="I27" s="2782"/>
      <c r="J27" s="2782"/>
      <c r="K27" s="2782"/>
      <c r="L27" s="2782"/>
      <c r="M27" s="2782"/>
      <c r="N27" s="2782"/>
      <c r="O27" s="2782"/>
      <c r="P27" s="2782"/>
      <c r="Q27" s="2783"/>
      <c r="R27" s="2551" t="str">
        <f t="shared" si="26"/>
        <v>5005260008</v>
      </c>
      <c r="S27" s="2551">
        <f t="shared" si="27"/>
        <v>0</v>
      </c>
      <c r="T27" s="2551">
        <f t="shared" si="28"/>
        <v>0</v>
      </c>
      <c r="U27" s="2551">
        <f t="shared" si="29"/>
        <v>0</v>
      </c>
      <c r="V27" s="2551">
        <f t="shared" si="30"/>
        <v>0</v>
      </c>
      <c r="W27" s="1159">
        <v>21</v>
      </c>
      <c r="X27" s="1182">
        <v>526</v>
      </c>
      <c r="Y27" s="1182">
        <v>8</v>
      </c>
      <c r="Z27" s="1182"/>
      <c r="AA27" s="1182"/>
      <c r="AB27" s="1182"/>
      <c r="AC27" s="1182"/>
      <c r="AD27" s="1182">
        <v>5790</v>
      </c>
      <c r="AE27" s="1183" t="s">
        <v>958</v>
      </c>
      <c r="AF27" s="276">
        <v>21</v>
      </c>
      <c r="AG27" s="1138">
        <f t="shared" si="32"/>
        <v>0</v>
      </c>
      <c r="AH27" s="1145">
        <f t="shared" si="33"/>
        <v>0</v>
      </c>
      <c r="AI27" s="1138">
        <v>0</v>
      </c>
      <c r="AJ27" s="1138">
        <v>0</v>
      </c>
      <c r="AK27" s="1138">
        <v>0</v>
      </c>
      <c r="AL27" s="1138">
        <v>0</v>
      </c>
      <c r="AM27" s="1138">
        <v>0</v>
      </c>
      <c r="AN27" s="1138">
        <v>0</v>
      </c>
      <c r="AO27" s="1138">
        <v>0</v>
      </c>
      <c r="AP27" s="1138">
        <v>0</v>
      </c>
      <c r="AQ27" s="1145">
        <v>0</v>
      </c>
      <c r="AR27" s="1145">
        <v>0</v>
      </c>
      <c r="AS27" s="1138">
        <v>0</v>
      </c>
      <c r="AT27" s="1138">
        <v>0</v>
      </c>
      <c r="AU27" s="1145">
        <v>0</v>
      </c>
      <c r="AV27" s="1146">
        <f t="shared" si="34"/>
        <v>4</v>
      </c>
      <c r="AW27" s="659">
        <v>21</v>
      </c>
      <c r="AX27" s="1138">
        <f t="shared" si="31"/>
        <v>5790</v>
      </c>
      <c r="AY27" s="276">
        <v>2000</v>
      </c>
      <c r="AZ27" s="1138">
        <v>2000</v>
      </c>
      <c r="BA27" s="1138">
        <v>0</v>
      </c>
      <c r="BB27" s="1138">
        <v>0</v>
      </c>
      <c r="BC27" s="1138">
        <f t="shared" si="35"/>
        <v>0</v>
      </c>
      <c r="BD27" s="1145">
        <v>3790</v>
      </c>
      <c r="BE27" s="1180">
        <v>4</v>
      </c>
      <c r="BF27" s="1138">
        <v>0</v>
      </c>
      <c r="BG27" s="1138">
        <v>4</v>
      </c>
      <c r="BH27" s="1145">
        <v>0</v>
      </c>
      <c r="BI27" s="1146">
        <v>4</v>
      </c>
      <c r="BJ27" s="1179">
        <v>21</v>
      </c>
      <c r="BK27" s="1144">
        <f t="shared" si="36"/>
        <v>14012</v>
      </c>
      <c r="BL27" s="1179">
        <f t="shared" si="37"/>
        <v>2000</v>
      </c>
      <c r="BM27" s="1143">
        <v>2000</v>
      </c>
      <c r="BN27" s="1143">
        <v>0</v>
      </c>
      <c r="BO27" s="1143">
        <v>0</v>
      </c>
      <c r="BP27" s="276">
        <v>12012</v>
      </c>
      <c r="BQ27" s="276">
        <v>12</v>
      </c>
      <c r="BR27" s="1181">
        <v>4</v>
      </c>
      <c r="BS27" s="1181">
        <v>8</v>
      </c>
      <c r="BT27" s="276">
        <v>0</v>
      </c>
      <c r="BU27" s="1152">
        <v>0</v>
      </c>
      <c r="BV27" s="276">
        <v>55</v>
      </c>
    </row>
    <row r="28" spans="1:75">
      <c r="A28" s="1184" t="s">
        <v>610</v>
      </c>
      <c r="B28" s="1185">
        <f t="shared" ref="B28:P28" si="38">SUM(AG35:AG37)</f>
        <v>52210</v>
      </c>
      <c r="C28" s="1186">
        <f t="shared" si="38"/>
        <v>52210</v>
      </c>
      <c r="D28" s="1185">
        <f t="shared" si="38"/>
        <v>0</v>
      </c>
      <c r="E28" s="1185">
        <f t="shared" si="38"/>
        <v>37675</v>
      </c>
      <c r="F28" s="1185">
        <f t="shared" si="38"/>
        <v>0</v>
      </c>
      <c r="G28" s="1185">
        <f t="shared" si="38"/>
        <v>14535</v>
      </c>
      <c r="H28" s="1185">
        <f t="shared" si="38"/>
        <v>0</v>
      </c>
      <c r="I28" s="1185">
        <f t="shared" si="38"/>
        <v>0</v>
      </c>
      <c r="J28" s="1185">
        <f t="shared" si="38"/>
        <v>0</v>
      </c>
      <c r="K28" s="1186">
        <v>0</v>
      </c>
      <c r="L28" s="1186">
        <f t="shared" si="38"/>
        <v>0</v>
      </c>
      <c r="M28" s="1186">
        <f t="shared" si="38"/>
        <v>0</v>
      </c>
      <c r="N28" s="1186">
        <f t="shared" si="38"/>
        <v>0</v>
      </c>
      <c r="O28" s="1186">
        <f t="shared" si="38"/>
        <v>0</v>
      </c>
      <c r="P28" s="1186">
        <f t="shared" si="38"/>
        <v>0</v>
      </c>
      <c r="Q28" s="1200">
        <f>SUM(AV35:AV37)</f>
        <v>75</v>
      </c>
      <c r="R28" s="2551" t="str">
        <f t="shared" si="26"/>
        <v>5005270049</v>
      </c>
      <c r="S28" s="2551">
        <f t="shared" si="27"/>
        <v>0</v>
      </c>
      <c r="T28" s="2551">
        <f t="shared" si="28"/>
        <v>0</v>
      </c>
      <c r="U28" s="2551">
        <f t="shared" si="29"/>
        <v>0</v>
      </c>
      <c r="V28" s="2551">
        <f t="shared" si="30"/>
        <v>0</v>
      </c>
      <c r="W28" s="1159">
        <v>22</v>
      </c>
      <c r="X28" s="1182">
        <v>527</v>
      </c>
      <c r="Y28" s="1182">
        <v>49</v>
      </c>
      <c r="Z28" s="1182"/>
      <c r="AA28" s="1182"/>
      <c r="AB28" s="1182"/>
      <c r="AC28" s="1182"/>
      <c r="AD28" s="1182">
        <v>39940</v>
      </c>
      <c r="AE28" s="1183" t="s">
        <v>960</v>
      </c>
      <c r="AF28" s="276">
        <v>22</v>
      </c>
      <c r="AG28" s="1138">
        <f t="shared" si="32"/>
        <v>0</v>
      </c>
      <c r="AH28" s="1145">
        <f t="shared" si="33"/>
        <v>0</v>
      </c>
      <c r="AI28" s="1138">
        <v>0</v>
      </c>
      <c r="AJ28" s="1138">
        <v>0</v>
      </c>
      <c r="AK28" s="1138">
        <v>0</v>
      </c>
      <c r="AL28" s="1138">
        <v>0</v>
      </c>
      <c r="AM28" s="1138">
        <v>0</v>
      </c>
      <c r="AN28" s="1138">
        <v>0</v>
      </c>
      <c r="AO28" s="1138">
        <v>0</v>
      </c>
      <c r="AP28" s="1138">
        <v>0</v>
      </c>
      <c r="AQ28" s="1145">
        <v>0</v>
      </c>
      <c r="AR28" s="1145">
        <v>0</v>
      </c>
      <c r="AS28" s="1138">
        <v>0</v>
      </c>
      <c r="AT28" s="1138">
        <v>0</v>
      </c>
      <c r="AU28" s="1145">
        <v>0</v>
      </c>
      <c r="AV28" s="1146">
        <f t="shared" si="34"/>
        <v>70</v>
      </c>
      <c r="AW28" s="659">
        <v>22</v>
      </c>
      <c r="AX28" s="1138">
        <f t="shared" si="31"/>
        <v>21000</v>
      </c>
      <c r="AY28" s="276">
        <v>21000</v>
      </c>
      <c r="AZ28" s="1138">
        <v>14200</v>
      </c>
      <c r="BA28" s="1138">
        <v>6800</v>
      </c>
      <c r="BB28" s="1138">
        <v>0</v>
      </c>
      <c r="BC28" s="1138">
        <f t="shared" si="35"/>
        <v>0</v>
      </c>
      <c r="BD28" s="1145">
        <v>0</v>
      </c>
      <c r="BE28" s="1180">
        <v>0</v>
      </c>
      <c r="BF28" s="1138">
        <v>0</v>
      </c>
      <c r="BG28" s="1138">
        <v>0</v>
      </c>
      <c r="BH28" s="1145">
        <v>0</v>
      </c>
      <c r="BI28" s="1146">
        <v>70</v>
      </c>
      <c r="BJ28" s="1179">
        <v>22</v>
      </c>
      <c r="BK28" s="1144">
        <f t="shared" si="36"/>
        <v>96655</v>
      </c>
      <c r="BL28" s="1179">
        <f t="shared" si="37"/>
        <v>11500</v>
      </c>
      <c r="BM28" s="1143">
        <v>11500</v>
      </c>
      <c r="BN28" s="1143">
        <v>0</v>
      </c>
      <c r="BO28" s="1143">
        <v>0</v>
      </c>
      <c r="BP28" s="276">
        <v>85155</v>
      </c>
      <c r="BQ28" s="276">
        <v>85</v>
      </c>
      <c r="BR28" s="1181">
        <v>26</v>
      </c>
      <c r="BS28" s="1181">
        <v>60</v>
      </c>
      <c r="BT28" s="276">
        <v>0</v>
      </c>
      <c r="BU28" s="1152">
        <v>65</v>
      </c>
      <c r="BV28" s="276">
        <v>55</v>
      </c>
    </row>
    <row r="29" spans="1:75">
      <c r="A29" s="1188" t="s">
        <v>924</v>
      </c>
      <c r="B29" s="1189">
        <f>SUM(AX35:AX37)</f>
        <v>52210</v>
      </c>
      <c r="C29" s="1175">
        <f>SUM(AY35:AY37)</f>
        <v>52210</v>
      </c>
      <c r="D29" s="1189">
        <f>SUM(AZ35:AZ37)</f>
        <v>0</v>
      </c>
      <c r="E29" s="1189">
        <f>SUM(BA35:BA37)</f>
        <v>37675</v>
      </c>
      <c r="F29" s="1189">
        <f t="shared" ref="F29" si="39">SUM(AK35:AK37)</f>
        <v>0</v>
      </c>
      <c r="G29" s="1189" t="s">
        <v>952</v>
      </c>
      <c r="H29" s="1189" t="s">
        <v>952</v>
      </c>
      <c r="I29" s="1189" t="s">
        <v>952</v>
      </c>
      <c r="J29" s="1189">
        <f>C29-SUM(D29:F29)</f>
        <v>14535</v>
      </c>
      <c r="K29" s="1175">
        <v>0</v>
      </c>
      <c r="L29" s="1175">
        <f t="shared" ref="L29:Q29" si="40">SUM(BD35:BD37)</f>
        <v>0</v>
      </c>
      <c r="M29" s="1175">
        <f t="shared" si="40"/>
        <v>0</v>
      </c>
      <c r="N29" s="1175">
        <f t="shared" si="40"/>
        <v>0</v>
      </c>
      <c r="O29" s="1175">
        <f t="shared" si="40"/>
        <v>0</v>
      </c>
      <c r="P29" s="1175">
        <f t="shared" si="40"/>
        <v>0</v>
      </c>
      <c r="Q29" s="1175">
        <f t="shared" si="40"/>
        <v>75</v>
      </c>
      <c r="R29" s="2551" t="str">
        <f t="shared" si="26"/>
        <v>5005270050</v>
      </c>
      <c r="S29" s="2551" t="str">
        <f t="shared" si="27"/>
        <v>5005270052</v>
      </c>
      <c r="T29" s="2551">
        <f t="shared" si="28"/>
        <v>0</v>
      </c>
      <c r="U29" s="2551">
        <f t="shared" si="29"/>
        <v>0</v>
      </c>
      <c r="V29" s="2551">
        <f t="shared" si="30"/>
        <v>0</v>
      </c>
      <c r="W29" s="1159">
        <v>23</v>
      </c>
      <c r="X29" s="1190">
        <v>527</v>
      </c>
      <c r="Y29" s="1190">
        <v>50</v>
      </c>
      <c r="Z29" s="1190">
        <v>52</v>
      </c>
      <c r="AA29" s="1190"/>
      <c r="AB29" s="1190"/>
      <c r="AC29" s="1190"/>
      <c r="AD29" s="1190">
        <v>12600</v>
      </c>
      <c r="AE29" s="1183" t="s">
        <v>960</v>
      </c>
      <c r="AF29" s="276">
        <v>23</v>
      </c>
      <c r="AG29" s="1138">
        <f t="shared" si="32"/>
        <v>0</v>
      </c>
      <c r="AH29" s="1145">
        <f t="shared" si="33"/>
        <v>0</v>
      </c>
      <c r="AI29" s="1138">
        <v>0</v>
      </c>
      <c r="AJ29" s="1138">
        <v>0</v>
      </c>
      <c r="AK29" s="1138">
        <v>0</v>
      </c>
      <c r="AL29" s="1138">
        <v>0</v>
      </c>
      <c r="AM29" s="1138">
        <v>0</v>
      </c>
      <c r="AN29" s="1138">
        <v>0</v>
      </c>
      <c r="AO29" s="1138">
        <v>0</v>
      </c>
      <c r="AP29" s="1138">
        <v>0</v>
      </c>
      <c r="AQ29" s="1145">
        <v>0</v>
      </c>
      <c r="AR29" s="1145">
        <v>0</v>
      </c>
      <c r="AS29" s="1138">
        <v>0</v>
      </c>
      <c r="AT29" s="1138">
        <v>0</v>
      </c>
      <c r="AU29" s="1145">
        <v>0</v>
      </c>
      <c r="AV29" s="1146">
        <f t="shared" si="34"/>
        <v>21</v>
      </c>
      <c r="AW29" s="659">
        <v>23</v>
      </c>
      <c r="AX29" s="1138">
        <f t="shared" si="31"/>
        <v>6300</v>
      </c>
      <c r="AY29" s="276">
        <v>6300</v>
      </c>
      <c r="AZ29" s="1138">
        <v>6300</v>
      </c>
      <c r="BA29" s="1138">
        <v>0</v>
      </c>
      <c r="BB29" s="1138">
        <v>0</v>
      </c>
      <c r="BC29" s="1138">
        <f t="shared" si="35"/>
        <v>0</v>
      </c>
      <c r="BD29" s="1145">
        <v>0</v>
      </c>
      <c r="BE29" s="1180">
        <v>0</v>
      </c>
      <c r="BF29" s="1138">
        <v>0</v>
      </c>
      <c r="BG29" s="1138">
        <v>0</v>
      </c>
      <c r="BH29" s="1145">
        <v>0</v>
      </c>
      <c r="BI29" s="1146">
        <v>21</v>
      </c>
      <c r="BJ29" s="1179">
        <v>23</v>
      </c>
      <c r="BK29" s="1144">
        <f t="shared" si="36"/>
        <v>30492</v>
      </c>
      <c r="BL29" s="1179">
        <f t="shared" si="37"/>
        <v>4500</v>
      </c>
      <c r="BM29" s="1143">
        <v>4500</v>
      </c>
      <c r="BN29" s="1143">
        <v>0</v>
      </c>
      <c r="BO29" s="1143">
        <v>0</v>
      </c>
      <c r="BP29" s="276">
        <v>25992</v>
      </c>
      <c r="BQ29" s="276">
        <v>26</v>
      </c>
      <c r="BR29" s="1181">
        <v>8</v>
      </c>
      <c r="BS29" s="1181">
        <v>18</v>
      </c>
      <c r="BT29" s="276">
        <v>0</v>
      </c>
      <c r="BU29" s="1152">
        <v>11</v>
      </c>
      <c r="BV29" s="276">
        <v>55</v>
      </c>
    </row>
    <row r="30" spans="1:75">
      <c r="A30" s="1188" t="s">
        <v>925</v>
      </c>
      <c r="B30" s="1189">
        <f>SUM(BK35:BK37)</f>
        <v>266217</v>
      </c>
      <c r="C30" s="1175">
        <f>SUM(BL35:BL37)</f>
        <v>157804</v>
      </c>
      <c r="D30" s="1189">
        <f>SUM(BM35:BM37)</f>
        <v>35000</v>
      </c>
      <c r="E30" s="1189">
        <f>SUM(BN35:BN37)</f>
        <v>122804</v>
      </c>
      <c r="F30" s="1189">
        <f>SUM(BO35:BO37)</f>
        <v>0</v>
      </c>
      <c r="G30" s="1189" t="s">
        <v>952</v>
      </c>
      <c r="H30" s="1189" t="s">
        <v>952</v>
      </c>
      <c r="I30" s="1189" t="s">
        <v>952</v>
      </c>
      <c r="J30" s="1189">
        <f t="shared" ref="J30:J32" si="41">C30-SUM(D30:F30)</f>
        <v>0</v>
      </c>
      <c r="K30" s="1191">
        <v>0</v>
      </c>
      <c r="L30" s="1175">
        <f>SUM(BP35:BP37)</f>
        <v>108413</v>
      </c>
      <c r="M30" s="1175">
        <f>SUM(BQ35:BQ37)</f>
        <v>108</v>
      </c>
      <c r="N30" s="1175">
        <f t="shared" ref="N30:P30" si="42">SUM(BR35:BR37)</f>
        <v>54</v>
      </c>
      <c r="O30" s="1175">
        <f t="shared" si="42"/>
        <v>54</v>
      </c>
      <c r="P30" s="1175">
        <f t="shared" si="42"/>
        <v>0</v>
      </c>
      <c r="Q30" s="1175">
        <f>SUM(BU35:BU37)</f>
        <v>402</v>
      </c>
      <c r="R30" s="2551" t="str">
        <f t="shared" si="26"/>
        <v>5005270055</v>
      </c>
      <c r="S30" s="2551">
        <f t="shared" si="27"/>
        <v>0</v>
      </c>
      <c r="T30" s="2551">
        <f t="shared" si="28"/>
        <v>0</v>
      </c>
      <c r="U30" s="2551">
        <f t="shared" si="29"/>
        <v>0</v>
      </c>
      <c r="V30" s="2551">
        <f t="shared" si="30"/>
        <v>0</v>
      </c>
      <c r="W30" s="1159">
        <v>24</v>
      </c>
      <c r="X30" s="1190">
        <v>527</v>
      </c>
      <c r="Y30" s="1190">
        <v>55</v>
      </c>
      <c r="Z30" s="1190"/>
      <c r="AA30" s="1190"/>
      <c r="AB30" s="1190"/>
      <c r="AC30" s="1190"/>
      <c r="AD30" s="1190">
        <v>4500</v>
      </c>
      <c r="AE30" s="1183" t="s">
        <v>960</v>
      </c>
      <c r="AF30" s="276">
        <v>24</v>
      </c>
      <c r="AG30" s="1138">
        <f t="shared" si="32"/>
        <v>2880</v>
      </c>
      <c r="AH30" s="1145">
        <f t="shared" si="33"/>
        <v>2880</v>
      </c>
      <c r="AI30" s="1138">
        <v>2880</v>
      </c>
      <c r="AJ30" s="1138">
        <v>0</v>
      </c>
      <c r="AK30" s="1138">
        <v>0</v>
      </c>
      <c r="AL30" s="1138">
        <v>0</v>
      </c>
      <c r="AM30" s="1138">
        <v>0</v>
      </c>
      <c r="AN30" s="1138">
        <v>0</v>
      </c>
      <c r="AO30" s="1138">
        <v>0</v>
      </c>
      <c r="AP30" s="1138">
        <v>0</v>
      </c>
      <c r="AQ30" s="1145">
        <v>0</v>
      </c>
      <c r="AR30" s="1145">
        <v>0</v>
      </c>
      <c r="AS30" s="1138">
        <v>0</v>
      </c>
      <c r="AT30" s="1138">
        <v>0</v>
      </c>
      <c r="AU30" s="1145">
        <v>0</v>
      </c>
      <c r="AV30" s="1146">
        <f t="shared" si="34"/>
        <v>0</v>
      </c>
      <c r="AW30" s="659">
        <v>24</v>
      </c>
      <c r="AX30" s="1138">
        <f t="shared" si="31"/>
        <v>2880</v>
      </c>
      <c r="AY30" s="276">
        <v>2880</v>
      </c>
      <c r="AZ30" s="1138">
        <v>2880</v>
      </c>
      <c r="BA30" s="1138">
        <v>0</v>
      </c>
      <c r="BB30" s="1138">
        <v>0</v>
      </c>
      <c r="BC30" s="1138">
        <f t="shared" si="35"/>
        <v>0</v>
      </c>
      <c r="BD30" s="1145">
        <v>0</v>
      </c>
      <c r="BE30" s="1180">
        <v>0</v>
      </c>
      <c r="BF30" s="1138">
        <v>0</v>
      </c>
      <c r="BG30" s="1138">
        <v>0</v>
      </c>
      <c r="BH30" s="1145">
        <v>0</v>
      </c>
      <c r="BI30" s="1146">
        <v>0</v>
      </c>
      <c r="BJ30" s="1179">
        <v>24</v>
      </c>
      <c r="BK30" s="1144">
        <f t="shared" si="36"/>
        <v>10890</v>
      </c>
      <c r="BL30" s="1179">
        <f t="shared" si="37"/>
        <v>2000</v>
      </c>
      <c r="BM30" s="1143">
        <v>2000</v>
      </c>
      <c r="BN30" s="1143">
        <v>0</v>
      </c>
      <c r="BO30" s="1143">
        <v>0</v>
      </c>
      <c r="BP30" s="276">
        <v>8890</v>
      </c>
      <c r="BQ30" s="276">
        <v>9</v>
      </c>
      <c r="BR30" s="1181">
        <v>3</v>
      </c>
      <c r="BS30" s="1181">
        <v>6</v>
      </c>
      <c r="BT30" s="276">
        <v>0</v>
      </c>
      <c r="BU30" s="1152">
        <v>0</v>
      </c>
      <c r="BV30" s="276">
        <v>55</v>
      </c>
    </row>
    <row r="31" spans="1:75" ht="15.75" thickBot="1">
      <c r="A31" s="1192" t="s">
        <v>948</v>
      </c>
      <c r="B31" s="1155">
        <f>B29-B28</f>
        <v>0</v>
      </c>
      <c r="C31" s="1155">
        <f t="shared" ref="C31:Q32" si="43">C29-C28</f>
        <v>0</v>
      </c>
      <c r="D31" s="1155">
        <f t="shared" si="43"/>
        <v>0</v>
      </c>
      <c r="E31" s="1155">
        <f t="shared" si="43"/>
        <v>0</v>
      </c>
      <c r="F31" s="1155">
        <f t="shared" si="43"/>
        <v>0</v>
      </c>
      <c r="G31" s="1155" t="s">
        <v>952</v>
      </c>
      <c r="H31" s="1155" t="s">
        <v>952</v>
      </c>
      <c r="I31" s="1155" t="s">
        <v>952</v>
      </c>
      <c r="J31" s="1155">
        <f t="shared" si="41"/>
        <v>0</v>
      </c>
      <c r="K31" s="1155">
        <v>0</v>
      </c>
      <c r="L31" s="1155">
        <f t="shared" si="43"/>
        <v>0</v>
      </c>
      <c r="M31" s="1155">
        <f t="shared" si="43"/>
        <v>0</v>
      </c>
      <c r="N31" s="1155">
        <f t="shared" si="43"/>
        <v>0</v>
      </c>
      <c r="O31" s="1155">
        <f t="shared" si="43"/>
        <v>0</v>
      </c>
      <c r="P31" s="1155">
        <f t="shared" si="43"/>
        <v>0</v>
      </c>
      <c r="Q31" s="1155">
        <f t="shared" si="43"/>
        <v>0</v>
      </c>
      <c r="R31" s="2551" t="str">
        <f t="shared" si="26"/>
        <v>5005270065</v>
      </c>
      <c r="S31" s="2551" t="str">
        <f t="shared" si="27"/>
        <v>5005270066</v>
      </c>
      <c r="T31" s="2551" t="str">
        <f t="shared" si="28"/>
        <v>5005270068</v>
      </c>
      <c r="U31" s="2551" t="str">
        <f t="shared" si="29"/>
        <v>5005270070</v>
      </c>
      <c r="V31" s="2551">
        <f t="shared" si="30"/>
        <v>0</v>
      </c>
      <c r="W31" s="1159">
        <v>25</v>
      </c>
      <c r="X31" s="1190">
        <v>527</v>
      </c>
      <c r="Y31" s="1190">
        <v>65</v>
      </c>
      <c r="Z31" s="1190">
        <v>66</v>
      </c>
      <c r="AA31" s="1190">
        <v>68</v>
      </c>
      <c r="AB31" s="1190">
        <v>70</v>
      </c>
      <c r="AC31" s="1190"/>
      <c r="AD31" s="1190">
        <v>17312</v>
      </c>
      <c r="AE31" s="1183" t="s">
        <v>960</v>
      </c>
      <c r="AF31" s="276">
        <v>25</v>
      </c>
      <c r="AG31" s="1138">
        <f t="shared" si="32"/>
        <v>0</v>
      </c>
      <c r="AH31" s="1145">
        <f t="shared" si="33"/>
        <v>0</v>
      </c>
      <c r="AI31" s="1138">
        <v>0</v>
      </c>
      <c r="AJ31" s="1138">
        <v>0</v>
      </c>
      <c r="AK31" s="1138">
        <v>0</v>
      </c>
      <c r="AL31" s="1138">
        <v>0</v>
      </c>
      <c r="AM31" s="1138">
        <v>0</v>
      </c>
      <c r="AN31" s="1138">
        <v>0</v>
      </c>
      <c r="AO31" s="1138">
        <v>0</v>
      </c>
      <c r="AP31" s="1138">
        <v>0</v>
      </c>
      <c r="AQ31" s="1145">
        <v>0</v>
      </c>
      <c r="AR31" s="1145">
        <v>0</v>
      </c>
      <c r="AS31" s="1138">
        <v>0</v>
      </c>
      <c r="AT31" s="1138">
        <v>0</v>
      </c>
      <c r="AU31" s="1145">
        <v>0</v>
      </c>
      <c r="AV31" s="1146">
        <f t="shared" si="34"/>
        <v>30</v>
      </c>
      <c r="AW31" s="659">
        <v>25</v>
      </c>
      <c r="AX31" s="1138">
        <f t="shared" si="31"/>
        <v>9000</v>
      </c>
      <c r="AY31" s="276">
        <v>9000</v>
      </c>
      <c r="AZ31" s="1138">
        <v>6000</v>
      </c>
      <c r="BA31" s="1138">
        <v>3000</v>
      </c>
      <c r="BB31" s="1138">
        <v>0</v>
      </c>
      <c r="BC31" s="1138">
        <f t="shared" si="35"/>
        <v>0</v>
      </c>
      <c r="BD31" s="1145">
        <v>0</v>
      </c>
      <c r="BE31" s="1180">
        <v>0</v>
      </c>
      <c r="BF31" s="1138">
        <v>0</v>
      </c>
      <c r="BG31" s="1138">
        <v>0</v>
      </c>
      <c r="BH31" s="1145">
        <v>0</v>
      </c>
      <c r="BI31" s="1146">
        <v>30</v>
      </c>
      <c r="BJ31" s="1179">
        <v>25</v>
      </c>
      <c r="BK31" s="1144">
        <f>SUM(BL31,BP31,BT31)</f>
        <v>41895</v>
      </c>
      <c r="BL31" s="1179">
        <f t="shared" si="37"/>
        <v>6000</v>
      </c>
      <c r="BM31" s="1143">
        <v>6000</v>
      </c>
      <c r="BN31" s="1143">
        <v>0</v>
      </c>
      <c r="BO31" s="1143">
        <v>0</v>
      </c>
      <c r="BP31" s="276">
        <v>35895</v>
      </c>
      <c r="BQ31" s="276">
        <v>36</v>
      </c>
      <c r="BR31" s="1181">
        <v>11</v>
      </c>
      <c r="BS31" s="1181">
        <v>25</v>
      </c>
      <c r="BT31" s="276">
        <v>0</v>
      </c>
      <c r="BU31" s="1193">
        <v>15</v>
      </c>
      <c r="BV31" s="276">
        <v>55</v>
      </c>
    </row>
    <row r="32" spans="1:75" ht="15.75" thickBot="1">
      <c r="A32" s="1168" t="s">
        <v>949</v>
      </c>
      <c r="B32" s="1169">
        <f>B30-B29</f>
        <v>214007</v>
      </c>
      <c r="C32" s="1170">
        <f t="shared" si="43"/>
        <v>105594</v>
      </c>
      <c r="D32" s="1170">
        <f t="shared" si="43"/>
        <v>35000</v>
      </c>
      <c r="E32" s="1170">
        <f t="shared" si="43"/>
        <v>85129</v>
      </c>
      <c r="F32" s="1169">
        <f t="shared" si="43"/>
        <v>0</v>
      </c>
      <c r="G32" s="1169" t="s">
        <v>952</v>
      </c>
      <c r="H32" s="1169" t="s">
        <v>952</v>
      </c>
      <c r="I32" s="1169" t="s">
        <v>952</v>
      </c>
      <c r="J32" s="1138">
        <f t="shared" si="41"/>
        <v>-14535</v>
      </c>
      <c r="K32" s="1170">
        <v>0</v>
      </c>
      <c r="L32" s="1170">
        <f t="shared" si="43"/>
        <v>108413</v>
      </c>
      <c r="M32" s="1170">
        <f t="shared" si="43"/>
        <v>108</v>
      </c>
      <c r="N32" s="1170">
        <f t="shared" si="43"/>
        <v>54</v>
      </c>
      <c r="O32" s="1170">
        <f t="shared" si="43"/>
        <v>54</v>
      </c>
      <c r="P32" s="1170">
        <f t="shared" si="43"/>
        <v>0</v>
      </c>
      <c r="Q32" s="1170">
        <f t="shared" si="43"/>
        <v>327</v>
      </c>
      <c r="R32" s="2550"/>
      <c r="S32" s="2550"/>
      <c r="T32" s="2550"/>
      <c r="U32" s="2550"/>
      <c r="V32" s="2550"/>
      <c r="W32" s="2833" t="s">
        <v>961</v>
      </c>
      <c r="X32" s="2804"/>
      <c r="Y32" s="2804"/>
      <c r="Z32" s="2804"/>
      <c r="AA32" s="2804"/>
      <c r="AB32" s="2804"/>
      <c r="AC32" s="2804"/>
      <c r="AD32" s="2804"/>
      <c r="AE32" s="2805"/>
      <c r="AF32" s="2803" t="s">
        <v>961</v>
      </c>
      <c r="AG32" s="2824"/>
      <c r="AH32" s="2824"/>
      <c r="AI32" s="2824"/>
      <c r="AJ32" s="2824"/>
      <c r="AK32" s="2824"/>
      <c r="AL32" s="2824"/>
      <c r="AM32" s="2824"/>
      <c r="AN32" s="2824"/>
      <c r="AO32" s="2824"/>
      <c r="AP32" s="2824"/>
      <c r="AQ32" s="2824"/>
      <c r="AR32" s="2824"/>
      <c r="AS32" s="2824"/>
      <c r="AT32" s="2824"/>
      <c r="AU32" s="2824"/>
      <c r="AV32" s="2825"/>
      <c r="AW32" s="2803" t="s">
        <v>961</v>
      </c>
      <c r="AX32" s="2804"/>
      <c r="AY32" s="2804"/>
      <c r="AZ32" s="2804"/>
      <c r="BA32" s="2804"/>
      <c r="BB32" s="2804"/>
      <c r="BC32" s="2804"/>
      <c r="BD32" s="2804"/>
      <c r="BE32" s="2804"/>
      <c r="BF32" s="2804"/>
      <c r="BG32" s="2804"/>
      <c r="BH32" s="2804"/>
      <c r="BI32" s="2805"/>
      <c r="BJ32" s="2803" t="s">
        <v>961</v>
      </c>
      <c r="BK32" s="2804"/>
      <c r="BL32" s="2804"/>
      <c r="BM32" s="2804"/>
      <c r="BN32" s="2804"/>
      <c r="BO32" s="2804"/>
      <c r="BP32" s="2804"/>
      <c r="BQ32" s="2804"/>
      <c r="BR32" s="2804"/>
      <c r="BS32" s="2804"/>
      <c r="BT32" s="2804"/>
      <c r="BU32" s="2805"/>
      <c r="BV32" s="2298"/>
    </row>
    <row r="33" spans="1:74">
      <c r="A33" s="2775" t="s">
        <v>962</v>
      </c>
      <c r="B33" s="2776"/>
      <c r="C33" s="2776"/>
      <c r="D33" s="2776"/>
      <c r="E33" s="2776"/>
      <c r="F33" s="2776"/>
      <c r="G33" s="2776"/>
      <c r="H33" s="2776"/>
      <c r="I33" s="2776"/>
      <c r="J33" s="2776"/>
      <c r="K33" s="2776"/>
      <c r="L33" s="2776"/>
      <c r="M33" s="2776"/>
      <c r="N33" s="2776"/>
      <c r="O33" s="2776"/>
      <c r="P33" s="2776"/>
      <c r="Q33" s="2777"/>
      <c r="R33" s="2552"/>
      <c r="S33" s="2552"/>
      <c r="T33" s="2552"/>
      <c r="U33" s="2552"/>
      <c r="V33" s="2552"/>
      <c r="W33" s="2807"/>
      <c r="X33" s="2807"/>
      <c r="Y33" s="2807"/>
      <c r="Z33" s="2807"/>
      <c r="AA33" s="2807"/>
      <c r="AB33" s="2807"/>
      <c r="AC33" s="2807"/>
      <c r="AD33" s="2807"/>
      <c r="AE33" s="2808"/>
      <c r="AF33" s="2826"/>
      <c r="AG33" s="2827"/>
      <c r="AH33" s="2827"/>
      <c r="AI33" s="2827"/>
      <c r="AJ33" s="2827"/>
      <c r="AK33" s="2827"/>
      <c r="AL33" s="2827"/>
      <c r="AM33" s="2827"/>
      <c r="AN33" s="2827"/>
      <c r="AO33" s="2827"/>
      <c r="AP33" s="2827"/>
      <c r="AQ33" s="2827"/>
      <c r="AR33" s="2827"/>
      <c r="AS33" s="2827"/>
      <c r="AT33" s="2827"/>
      <c r="AU33" s="2827"/>
      <c r="AV33" s="2828"/>
      <c r="AW33" s="2806"/>
      <c r="AX33" s="2807"/>
      <c r="AY33" s="2807"/>
      <c r="AZ33" s="2807"/>
      <c r="BA33" s="2807"/>
      <c r="BB33" s="2807"/>
      <c r="BC33" s="2807"/>
      <c r="BD33" s="2807"/>
      <c r="BE33" s="2807"/>
      <c r="BF33" s="2807"/>
      <c r="BG33" s="2807"/>
      <c r="BH33" s="2807"/>
      <c r="BI33" s="2808"/>
      <c r="BJ33" s="2806"/>
      <c r="BK33" s="2807"/>
      <c r="BL33" s="2807"/>
      <c r="BM33" s="2807"/>
      <c r="BN33" s="2807"/>
      <c r="BO33" s="2807"/>
      <c r="BP33" s="2807"/>
      <c r="BQ33" s="2807"/>
      <c r="BR33" s="2807"/>
      <c r="BS33" s="2807"/>
      <c r="BT33" s="2807"/>
      <c r="BU33" s="2808"/>
      <c r="BV33" s="2298"/>
    </row>
    <row r="34" spans="1:74" ht="15.75" thickBot="1">
      <c r="A34" s="2778"/>
      <c r="B34" s="2779"/>
      <c r="C34" s="2779"/>
      <c r="D34" s="2779"/>
      <c r="E34" s="2779"/>
      <c r="F34" s="2779"/>
      <c r="G34" s="2779"/>
      <c r="H34" s="2779"/>
      <c r="I34" s="2779"/>
      <c r="J34" s="2779"/>
      <c r="K34" s="2779"/>
      <c r="L34" s="2779"/>
      <c r="M34" s="2779"/>
      <c r="N34" s="2779"/>
      <c r="O34" s="2779"/>
      <c r="P34" s="2779"/>
      <c r="Q34" s="2780"/>
      <c r="R34" s="2552"/>
      <c r="S34" s="2552"/>
      <c r="T34" s="2552"/>
      <c r="U34" s="2552"/>
      <c r="V34" s="2552"/>
      <c r="W34" s="2810"/>
      <c r="X34" s="2810"/>
      <c r="Y34" s="2810"/>
      <c r="Z34" s="2810"/>
      <c r="AA34" s="2810"/>
      <c r="AB34" s="2810"/>
      <c r="AC34" s="2810"/>
      <c r="AD34" s="2810"/>
      <c r="AE34" s="2811"/>
      <c r="AF34" s="2829"/>
      <c r="AG34" s="2830"/>
      <c r="AH34" s="2830"/>
      <c r="AI34" s="2830"/>
      <c r="AJ34" s="2830"/>
      <c r="AK34" s="2830"/>
      <c r="AL34" s="2830"/>
      <c r="AM34" s="2830"/>
      <c r="AN34" s="2830"/>
      <c r="AO34" s="2830"/>
      <c r="AP34" s="2830"/>
      <c r="AQ34" s="2830"/>
      <c r="AR34" s="2830"/>
      <c r="AS34" s="2830"/>
      <c r="AT34" s="2830"/>
      <c r="AU34" s="2830"/>
      <c r="AV34" s="2831"/>
      <c r="AW34" s="2809"/>
      <c r="AX34" s="2810"/>
      <c r="AY34" s="2810"/>
      <c r="AZ34" s="2810"/>
      <c r="BA34" s="2810"/>
      <c r="BB34" s="2810"/>
      <c r="BC34" s="2810"/>
      <c r="BD34" s="2810"/>
      <c r="BE34" s="2810"/>
      <c r="BF34" s="2810"/>
      <c r="BG34" s="2810"/>
      <c r="BH34" s="2810"/>
      <c r="BI34" s="2811"/>
      <c r="BJ34" s="2809"/>
      <c r="BK34" s="2810"/>
      <c r="BL34" s="2810"/>
      <c r="BM34" s="2810"/>
      <c r="BN34" s="2810"/>
      <c r="BO34" s="2810"/>
      <c r="BP34" s="2810"/>
      <c r="BQ34" s="2810"/>
      <c r="BR34" s="2810"/>
      <c r="BS34" s="2810"/>
      <c r="BT34" s="2810"/>
      <c r="BU34" s="2811"/>
      <c r="BV34" s="2298"/>
    </row>
    <row r="35" spans="1:74" ht="15.75" thickBot="1">
      <c r="A35" s="2781"/>
      <c r="B35" s="2782"/>
      <c r="C35" s="2782"/>
      <c r="D35" s="2782"/>
      <c r="E35" s="2782"/>
      <c r="F35" s="2782"/>
      <c r="G35" s="2782"/>
      <c r="H35" s="2782"/>
      <c r="I35" s="2782"/>
      <c r="J35" s="2782"/>
      <c r="K35" s="2782"/>
      <c r="L35" s="2782"/>
      <c r="M35" s="2782"/>
      <c r="N35" s="2782"/>
      <c r="O35" s="2782"/>
      <c r="P35" s="2782"/>
      <c r="Q35" s="2783"/>
      <c r="R35" s="2551" t="str">
        <f>IF(Y35="",,5&amp;IF(LEN($X35)=1,"0000"&amp;$X35,IF(LEN($X35)=2,"000"&amp;$X35,IF(LEN($X35)=3,"00"&amp;$X35,IF(LEN($X35)=4,"0"&amp;$X35,IF(LEN($X35)=5,$X35,0)))))&amp;IF(LEN(Y35)=1,"000"&amp;Y35,IF(LEN(Y35)=2,"00"&amp;Y35,IF(LEN(Y35)=3,"0"&amp;Y35,IF(LEN(Y35)=4,Y35,0)))))</f>
        <v>5000090009</v>
      </c>
      <c r="S35" s="2551">
        <f t="shared" ref="S35:S37" si="44">IF(Z35="",,5&amp;IF(LEN($X35)=1,"0000"&amp;$X35,IF(LEN($X35)=2,"000"&amp;$X35,IF(LEN($X35)=3,"00"&amp;$X35,IF(LEN($X35)=4,"0"&amp;$X35,IF(LEN($X35)=5,$X35,0)))))&amp;IF(LEN(Z35)=1,"000"&amp;Z35,IF(LEN(Z35)=2,"00"&amp;Z35,IF(LEN(Z35)=3,"0"&amp;Z35,IF(LEN(Z35)=4,Z35,0)))))</f>
        <v>0</v>
      </c>
      <c r="T35" s="2551">
        <f t="shared" ref="T35:T37" si="45">IF(AA35="",,5&amp;IF(LEN($X35)=1,"0000"&amp;$X35,IF(LEN($X35)=2,"000"&amp;$X35,IF(LEN($X35)=3,"00"&amp;$X35,IF(LEN($X35)=4,"0"&amp;$X35,IF(LEN($X35)=5,$X35,0)))))&amp;IF(LEN(AA35)=1,"000"&amp;AA35,IF(LEN(AA35)=2,"00"&amp;AA35,IF(LEN(AA35)=3,"0"&amp;AA35,IF(LEN(AA35)=4,AA35,0)))))</f>
        <v>0</v>
      </c>
      <c r="U35" s="2551">
        <f t="shared" ref="U35:U37" si="46">IF(AB35="",,5&amp;IF(LEN($X35)=1,"0000"&amp;$X35,IF(LEN($X35)=2,"000"&amp;$X35,IF(LEN($X35)=3,"00"&amp;$X35,IF(LEN($X35)=4,"0"&amp;$X35,IF(LEN($X35)=5,$X35,0)))))&amp;IF(LEN(AB35)=1,"000"&amp;AB35,IF(LEN(AB35)=2,"00"&amp;AB35,IF(LEN(AB35)=3,"0"&amp;AB35,IF(LEN(AB35)=4,AB35,0)))))</f>
        <v>0</v>
      </c>
      <c r="V35" s="2551">
        <f t="shared" ref="V35:V37" si="47">IF(AC35="",,5&amp;IF(LEN($X35)=1,"0000"&amp;$X35,IF(LEN($X35)=2,"000"&amp;$X35,IF(LEN($X35)=3,"00"&amp;$X35,IF(LEN($X35)=4,"0"&amp;$X35,IF(LEN($X35)=5,$X35,0)))))&amp;IF(LEN(AC35)=1,"000"&amp;AC35,IF(LEN(AC35)=2,"00"&amp;AC35,IF(LEN(AC35)=3,"0"&amp;AC35,IF(LEN(AC35)=4,AC35,0)))))</f>
        <v>0</v>
      </c>
      <c r="W35" s="1159">
        <v>1</v>
      </c>
      <c r="X35" s="627">
        <v>9</v>
      </c>
      <c r="Y35" s="659">
        <v>9</v>
      </c>
      <c r="Z35" s="659"/>
      <c r="AA35" s="659"/>
      <c r="AB35" s="659"/>
      <c r="AC35" s="659"/>
      <c r="AD35" s="276">
        <v>11500</v>
      </c>
      <c r="AE35" s="1194" t="s">
        <v>963</v>
      </c>
      <c r="AF35" s="276">
        <v>1</v>
      </c>
      <c r="AG35" s="1138">
        <f>SUM(AH35,AQ35,AU35)</f>
        <v>37675</v>
      </c>
      <c r="AH35" s="1145">
        <v>37675</v>
      </c>
      <c r="AI35" s="1138">
        <v>0</v>
      </c>
      <c r="AJ35" s="1138">
        <v>37675</v>
      </c>
      <c r="AK35" s="1138">
        <v>0</v>
      </c>
      <c r="AL35" s="1138">
        <v>0</v>
      </c>
      <c r="AM35" s="1138">
        <v>0</v>
      </c>
      <c r="AN35" s="1138">
        <v>0</v>
      </c>
      <c r="AO35" s="1144">
        <v>0</v>
      </c>
      <c r="AP35" s="1144">
        <v>0</v>
      </c>
      <c r="AQ35" s="1179">
        <v>0</v>
      </c>
      <c r="AR35" s="1179">
        <v>0</v>
      </c>
      <c r="AS35" s="1138">
        <v>0</v>
      </c>
      <c r="AT35" s="1138">
        <v>0</v>
      </c>
      <c r="AU35" s="1179">
        <v>0</v>
      </c>
      <c r="AV35" s="1194">
        <f>BI35</f>
        <v>0</v>
      </c>
      <c r="AW35" s="659">
        <v>1</v>
      </c>
      <c r="AX35" s="1144">
        <f>SUM(AY35,BD35,BH35)</f>
        <v>37675</v>
      </c>
      <c r="AY35" s="276">
        <v>37675</v>
      </c>
      <c r="AZ35" s="1144">
        <v>0</v>
      </c>
      <c r="BA35" s="1144">
        <v>37675</v>
      </c>
      <c r="BB35" s="1144">
        <v>0</v>
      </c>
      <c r="BC35" s="1138">
        <f>AY35-SUM(AZ35:BB35)</f>
        <v>0</v>
      </c>
      <c r="BD35" s="1179">
        <v>0</v>
      </c>
      <c r="BE35" s="1195">
        <v>0</v>
      </c>
      <c r="BF35" s="1181">
        <v>0</v>
      </c>
      <c r="BG35" s="1144">
        <v>0</v>
      </c>
      <c r="BH35" s="1179">
        <v>0</v>
      </c>
      <c r="BI35" s="1194">
        <v>0</v>
      </c>
      <c r="BJ35" s="1179">
        <v>1</v>
      </c>
      <c r="BK35" s="1144">
        <f>SUM(BL35,BP35,BT35)</f>
        <v>37675</v>
      </c>
      <c r="BL35" s="1145">
        <f>SUM(BM35:BO35)</f>
        <v>37675</v>
      </c>
      <c r="BM35" s="1143">
        <v>0</v>
      </c>
      <c r="BN35" s="1143">
        <v>37675</v>
      </c>
      <c r="BO35" s="1143">
        <v>0</v>
      </c>
      <c r="BP35" s="276">
        <v>0</v>
      </c>
      <c r="BQ35" s="276">
        <v>0</v>
      </c>
      <c r="BR35" s="1181">
        <v>0</v>
      </c>
      <c r="BS35" s="1181">
        <v>0</v>
      </c>
      <c r="BT35" s="659">
        <v>0</v>
      </c>
      <c r="BU35" s="1194">
        <v>0</v>
      </c>
      <c r="BV35" s="2297">
        <v>52</v>
      </c>
    </row>
    <row r="36" spans="1:74">
      <c r="A36" s="1184" t="s">
        <v>610</v>
      </c>
      <c r="B36" s="1185">
        <f>SUM(AG41:AG42)</f>
        <v>50000</v>
      </c>
      <c r="C36" s="1185">
        <f t="shared" ref="C36:P36" si="48">SUM(AH41:AH42)</f>
        <v>50000</v>
      </c>
      <c r="D36" s="1185">
        <f t="shared" si="48"/>
        <v>0</v>
      </c>
      <c r="E36" s="1185">
        <f t="shared" si="48"/>
        <v>0</v>
      </c>
      <c r="F36" s="1185">
        <f t="shared" si="48"/>
        <v>0</v>
      </c>
      <c r="G36" s="1185">
        <f t="shared" si="48"/>
        <v>0</v>
      </c>
      <c r="H36" s="1185">
        <f t="shared" si="48"/>
        <v>0</v>
      </c>
      <c r="I36" s="1185">
        <f t="shared" si="48"/>
        <v>0</v>
      </c>
      <c r="J36" s="1185">
        <f t="shared" ref="J36:J39" si="49">C36-SUM(D36:F36)</f>
        <v>50000</v>
      </c>
      <c r="K36" s="1185">
        <v>0</v>
      </c>
      <c r="L36" s="1185">
        <f t="shared" si="48"/>
        <v>0</v>
      </c>
      <c r="M36" s="1185">
        <f t="shared" si="48"/>
        <v>0</v>
      </c>
      <c r="N36" s="1185">
        <f t="shared" si="48"/>
        <v>0</v>
      </c>
      <c r="O36" s="1185">
        <f t="shared" si="48"/>
        <v>0</v>
      </c>
      <c r="P36" s="1185">
        <f t="shared" si="48"/>
        <v>0</v>
      </c>
      <c r="Q36" s="1185">
        <f>SUM(AV41:AV42)</f>
        <v>0</v>
      </c>
      <c r="R36" s="2551" t="str">
        <f t="shared" ref="R36:R37" si="50">IF(Y36="",,5&amp;IF(LEN($X36)=1,"0000"&amp;$X36,IF(LEN($X36)=2,"000"&amp;$X36,IF(LEN($X36)=3,"00"&amp;$X36,IF(LEN($X36)=4,"0"&amp;$X36,IF(LEN($X36)=5,$X36,0)))))&amp;IF(LEN(Y36)=1,"000"&amp;Y36,IF(LEN(Y36)=2,"00"&amp;Y36,IF(LEN(Y36)=3,"0"&amp;Y36,IF(LEN(Y36)=4,Y36,0)))))</f>
        <v>5000340001</v>
      </c>
      <c r="S36" s="2551">
        <f t="shared" si="44"/>
        <v>0</v>
      </c>
      <c r="T36" s="2551">
        <f t="shared" si="45"/>
        <v>0</v>
      </c>
      <c r="U36" s="2551">
        <f t="shared" si="46"/>
        <v>0</v>
      </c>
      <c r="V36" s="2551">
        <f t="shared" si="47"/>
        <v>0</v>
      </c>
      <c r="W36" s="1159">
        <v>2</v>
      </c>
      <c r="X36" s="627">
        <v>34</v>
      </c>
      <c r="Y36" s="659">
        <v>1</v>
      </c>
      <c r="Z36" s="659"/>
      <c r="AA36" s="659"/>
      <c r="AB36" s="659"/>
      <c r="AC36" s="659"/>
      <c r="AD36" s="276">
        <v>114730</v>
      </c>
      <c r="AE36" s="1194" t="s">
        <v>964</v>
      </c>
      <c r="AF36" s="276">
        <v>2</v>
      </c>
      <c r="AG36" s="1138">
        <f>SUM(AH36,AQ36,AU36)</f>
        <v>14535</v>
      </c>
      <c r="AH36" s="1145">
        <v>14535</v>
      </c>
      <c r="AI36" s="1138">
        <v>0</v>
      </c>
      <c r="AJ36" s="1138">
        <v>0</v>
      </c>
      <c r="AK36" s="1138">
        <v>0</v>
      </c>
      <c r="AL36" s="1138">
        <v>14535</v>
      </c>
      <c r="AM36" s="1138">
        <v>0</v>
      </c>
      <c r="AN36" s="1138">
        <v>0</v>
      </c>
      <c r="AO36" s="1138">
        <v>0</v>
      </c>
      <c r="AP36" s="1138">
        <v>0</v>
      </c>
      <c r="AQ36" s="1145">
        <v>0</v>
      </c>
      <c r="AR36" s="1145">
        <v>0</v>
      </c>
      <c r="AS36" s="1138">
        <v>0</v>
      </c>
      <c r="AT36" s="1138">
        <v>0</v>
      </c>
      <c r="AU36" s="1145">
        <v>0</v>
      </c>
      <c r="AV36" s="1194">
        <f t="shared" ref="AV36:AV37" si="51">BI36</f>
        <v>0</v>
      </c>
      <c r="AW36" s="659">
        <v>2</v>
      </c>
      <c r="AX36" s="1144">
        <f>SUM(AY36,BD36,BH36)</f>
        <v>14535</v>
      </c>
      <c r="AY36" s="276">
        <v>14535</v>
      </c>
      <c r="AZ36" s="1144">
        <v>0</v>
      </c>
      <c r="BA36" s="1144">
        <v>0</v>
      </c>
      <c r="BB36" s="1144">
        <v>0</v>
      </c>
      <c r="BC36" s="1138">
        <f t="shared" ref="BC36:BC37" si="52">AY36-SUM(AZ36:BB36)</f>
        <v>14535</v>
      </c>
      <c r="BD36" s="1179">
        <v>0</v>
      </c>
      <c r="BE36" s="1195">
        <v>0</v>
      </c>
      <c r="BF36" s="1181">
        <v>0</v>
      </c>
      <c r="BG36" s="1144">
        <v>0</v>
      </c>
      <c r="BH36" s="1179">
        <v>0</v>
      </c>
      <c r="BI36" s="1194">
        <v>0</v>
      </c>
      <c r="BJ36" s="1179">
        <v>2</v>
      </c>
      <c r="BK36" s="1144">
        <f t="shared" ref="BK36:BK37" si="53">SUM(BL36,BP36,BT36)</f>
        <v>143413</v>
      </c>
      <c r="BL36" s="1145">
        <f t="shared" ref="BL36:BL37" si="54">SUM(BM36:BO36)</f>
        <v>35000</v>
      </c>
      <c r="BM36" s="1143">
        <v>35000</v>
      </c>
      <c r="BN36" s="1143">
        <v>0</v>
      </c>
      <c r="BO36" s="1143">
        <v>0</v>
      </c>
      <c r="BP36" s="276">
        <v>108413</v>
      </c>
      <c r="BQ36" s="276">
        <v>108</v>
      </c>
      <c r="BR36" s="1181">
        <v>54</v>
      </c>
      <c r="BS36" s="1181">
        <v>54</v>
      </c>
      <c r="BT36" s="659">
        <v>0</v>
      </c>
      <c r="BU36" s="1194">
        <v>189</v>
      </c>
      <c r="BV36" s="2297">
        <v>40</v>
      </c>
    </row>
    <row r="37" spans="1:74" ht="15.75" thickBot="1">
      <c r="A37" s="1188" t="s">
        <v>924</v>
      </c>
      <c r="B37" s="1189">
        <f>SUM(AX41:AX42)</f>
        <v>0</v>
      </c>
      <c r="C37" s="1189">
        <f t="shared" ref="C37:F37" si="55">SUM(AY41:AY42)</f>
        <v>0</v>
      </c>
      <c r="D37" s="1189">
        <f t="shared" si="55"/>
        <v>0</v>
      </c>
      <c r="E37" s="1189">
        <f t="shared" si="55"/>
        <v>0</v>
      </c>
      <c r="F37" s="1189">
        <f t="shared" si="55"/>
        <v>0</v>
      </c>
      <c r="G37" s="1191"/>
      <c r="H37" s="1191"/>
      <c r="I37" s="1191"/>
      <c r="J37" s="1189">
        <f t="shared" si="49"/>
        <v>0</v>
      </c>
      <c r="K37" s="1191">
        <v>0</v>
      </c>
      <c r="L37" s="1191" t="s">
        <v>965</v>
      </c>
      <c r="M37" s="1191">
        <f>SUM(BE41:BE42)</f>
        <v>0</v>
      </c>
      <c r="N37" s="1191">
        <f>SUM(BF41:BF42)</f>
        <v>0</v>
      </c>
      <c r="O37" s="1175">
        <f>SUM(BG41:BG42)</f>
        <v>0</v>
      </c>
      <c r="P37" s="1175">
        <f>SUM(BH41:BH42)</f>
        <v>0</v>
      </c>
      <c r="Q37" s="1191">
        <f>SUM(BI41:BI42)</f>
        <v>0</v>
      </c>
      <c r="R37" s="2551" t="str">
        <f t="shared" si="50"/>
        <v>5000060020</v>
      </c>
      <c r="S37" s="2551">
        <f t="shared" si="44"/>
        <v>0</v>
      </c>
      <c r="T37" s="2551">
        <f t="shared" si="45"/>
        <v>0</v>
      </c>
      <c r="U37" s="2551">
        <f t="shared" si="46"/>
        <v>0</v>
      </c>
      <c r="V37" s="2551">
        <f t="shared" si="47"/>
        <v>0</v>
      </c>
      <c r="W37" s="1159">
        <v>3</v>
      </c>
      <c r="X37" s="627">
        <v>6</v>
      </c>
      <c r="Y37" s="659">
        <v>20</v>
      </c>
      <c r="Z37" s="659"/>
      <c r="AA37" s="659"/>
      <c r="AB37" s="659"/>
      <c r="AC37" s="659"/>
      <c r="AD37" s="276">
        <v>25038</v>
      </c>
      <c r="AE37" s="1194" t="s">
        <v>963</v>
      </c>
      <c r="AF37" s="276">
        <v>3</v>
      </c>
      <c r="AG37" s="1138">
        <v>0</v>
      </c>
      <c r="AH37" s="1145">
        <v>0</v>
      </c>
      <c r="AI37" s="1138">
        <v>0</v>
      </c>
      <c r="AJ37" s="1138">
        <v>0</v>
      </c>
      <c r="AK37" s="1138">
        <v>0</v>
      </c>
      <c r="AL37" s="1138">
        <v>0</v>
      </c>
      <c r="AM37" s="1138">
        <v>0</v>
      </c>
      <c r="AN37" s="1138">
        <v>0</v>
      </c>
      <c r="AO37" s="1138">
        <v>0</v>
      </c>
      <c r="AP37" s="1138">
        <v>0</v>
      </c>
      <c r="AQ37" s="1145">
        <v>0</v>
      </c>
      <c r="AR37" s="1145">
        <v>0</v>
      </c>
      <c r="AS37" s="1138">
        <v>0</v>
      </c>
      <c r="AT37" s="1138">
        <v>0</v>
      </c>
      <c r="AU37" s="1145">
        <v>0</v>
      </c>
      <c r="AV37" s="1194">
        <f t="shared" si="51"/>
        <v>75</v>
      </c>
      <c r="AW37" s="659">
        <v>3</v>
      </c>
      <c r="AX37" s="1144">
        <f>SUM(AY37,BD37,BH37)</f>
        <v>0</v>
      </c>
      <c r="AY37" s="276">
        <v>0</v>
      </c>
      <c r="AZ37" s="1144">
        <v>0</v>
      </c>
      <c r="BA37" s="1144">
        <v>0</v>
      </c>
      <c r="BB37" s="1144">
        <v>0</v>
      </c>
      <c r="BC37" s="1138">
        <f t="shared" si="52"/>
        <v>0</v>
      </c>
      <c r="BD37" s="1179">
        <v>0</v>
      </c>
      <c r="BE37" s="1195">
        <v>0</v>
      </c>
      <c r="BF37" s="1181">
        <v>0</v>
      </c>
      <c r="BG37" s="1144">
        <v>0</v>
      </c>
      <c r="BH37" s="1179">
        <v>0</v>
      </c>
      <c r="BI37" s="1194">
        <v>75</v>
      </c>
      <c r="BJ37" s="1179">
        <v>3</v>
      </c>
      <c r="BK37" s="1144">
        <f t="shared" si="53"/>
        <v>85129</v>
      </c>
      <c r="BL37" s="1145">
        <f t="shared" si="54"/>
        <v>85129</v>
      </c>
      <c r="BM37" s="1143">
        <v>0</v>
      </c>
      <c r="BN37" s="1143">
        <v>85129</v>
      </c>
      <c r="BO37" s="1143">
        <v>0</v>
      </c>
      <c r="BP37" s="276">
        <v>0</v>
      </c>
      <c r="BQ37" s="276">
        <v>0</v>
      </c>
      <c r="BR37" s="1181">
        <v>0</v>
      </c>
      <c r="BS37" s="1181">
        <v>0</v>
      </c>
      <c r="BT37" s="659">
        <v>0</v>
      </c>
      <c r="BU37" s="1194">
        <v>213</v>
      </c>
      <c r="BV37" s="2297">
        <v>70</v>
      </c>
    </row>
    <row r="38" spans="1:74">
      <c r="A38" s="1188" t="s">
        <v>925</v>
      </c>
      <c r="B38" s="1189">
        <f>SUM(BK41:BK42)</f>
        <v>669666</v>
      </c>
      <c r="C38" s="1175">
        <f>SUM(BL41:BL42)</f>
        <v>43000</v>
      </c>
      <c r="D38" s="1189">
        <f>SUM(BM41:BM42)</f>
        <v>43000</v>
      </c>
      <c r="E38" s="1189">
        <f>SUM(BN41:BN42)</f>
        <v>0</v>
      </c>
      <c r="F38" s="1189">
        <f>SUM(BO41:BO42)</f>
        <v>0</v>
      </c>
      <c r="G38" s="1191"/>
      <c r="H38" s="1191"/>
      <c r="I38" s="1191"/>
      <c r="J38" s="1189">
        <f t="shared" si="49"/>
        <v>0</v>
      </c>
      <c r="K38" s="1191">
        <v>0</v>
      </c>
      <c r="L38" s="1175">
        <f t="shared" ref="L38:Q38" si="56">SUM(BP41:BP42)</f>
        <v>626666</v>
      </c>
      <c r="M38" s="1175">
        <f t="shared" si="56"/>
        <v>627</v>
      </c>
      <c r="N38" s="1191">
        <f t="shared" si="56"/>
        <v>313</v>
      </c>
      <c r="O38" s="1191">
        <f t="shared" si="56"/>
        <v>313</v>
      </c>
      <c r="P38" s="1191">
        <f t="shared" si="56"/>
        <v>0</v>
      </c>
      <c r="Q38" s="1191">
        <f t="shared" si="56"/>
        <v>343</v>
      </c>
      <c r="R38" s="2553"/>
      <c r="S38" s="2553"/>
      <c r="T38" s="2553"/>
      <c r="U38" s="2553"/>
      <c r="V38" s="2553"/>
      <c r="W38" s="2804" t="s">
        <v>966</v>
      </c>
      <c r="X38" s="2804"/>
      <c r="Y38" s="2804"/>
      <c r="Z38" s="2804"/>
      <c r="AA38" s="2804"/>
      <c r="AB38" s="2804"/>
      <c r="AC38" s="2804"/>
      <c r="AD38" s="2804"/>
      <c r="AE38" s="2812"/>
      <c r="AF38" s="2833" t="s">
        <v>966</v>
      </c>
      <c r="AG38" s="2804"/>
      <c r="AH38" s="2804"/>
      <c r="AI38" s="2804"/>
      <c r="AJ38" s="2804"/>
      <c r="AK38" s="2804"/>
      <c r="AL38" s="2804"/>
      <c r="AM38" s="2804"/>
      <c r="AN38" s="2804"/>
      <c r="AO38" s="2804"/>
      <c r="AP38" s="2804"/>
      <c r="AQ38" s="2804"/>
      <c r="AR38" s="2804"/>
      <c r="AS38" s="2804"/>
      <c r="AT38" s="2804"/>
      <c r="AU38" s="2804"/>
      <c r="AV38" s="2812"/>
      <c r="AW38" s="2833" t="s">
        <v>966</v>
      </c>
      <c r="AX38" s="2804"/>
      <c r="AY38" s="2804"/>
      <c r="AZ38" s="2804"/>
      <c r="BA38" s="2804"/>
      <c r="BB38" s="2804"/>
      <c r="BC38" s="2804"/>
      <c r="BD38" s="2804"/>
      <c r="BE38" s="2804"/>
      <c r="BF38" s="2804"/>
      <c r="BG38" s="2804"/>
      <c r="BH38" s="2804"/>
      <c r="BI38" s="2812"/>
      <c r="BJ38" s="2833" t="s">
        <v>966</v>
      </c>
      <c r="BK38" s="2804"/>
      <c r="BL38" s="2804"/>
      <c r="BM38" s="2804"/>
      <c r="BN38" s="2804"/>
      <c r="BO38" s="2804"/>
      <c r="BP38" s="2804"/>
      <c r="BQ38" s="2804"/>
      <c r="BR38" s="2804"/>
      <c r="BS38" s="2804"/>
      <c r="BT38" s="2804"/>
      <c r="BU38" s="2812"/>
      <c r="BV38" s="2298"/>
    </row>
    <row r="39" spans="1:74" ht="15.75" thickBot="1">
      <c r="A39" s="1192" t="s">
        <v>948</v>
      </c>
      <c r="B39" s="1155">
        <f>B37-B36</f>
        <v>-50000</v>
      </c>
      <c r="C39" s="1155">
        <f t="shared" ref="C39:Q40" si="57">C37-C36</f>
        <v>-50000</v>
      </c>
      <c r="D39" s="1155">
        <f t="shared" si="57"/>
        <v>0</v>
      </c>
      <c r="E39" s="1155">
        <f t="shared" si="57"/>
        <v>0</v>
      </c>
      <c r="F39" s="1155">
        <f t="shared" si="57"/>
        <v>0</v>
      </c>
      <c r="G39" s="1155"/>
      <c r="H39" s="1155"/>
      <c r="I39" s="1155"/>
      <c r="J39" s="1155">
        <f t="shared" si="49"/>
        <v>-50000</v>
      </c>
      <c r="K39" s="1155">
        <v>0</v>
      </c>
      <c r="L39" s="1155" t="e">
        <f t="shared" si="57"/>
        <v>#VALUE!</v>
      </c>
      <c r="M39" s="1155">
        <f t="shared" si="57"/>
        <v>0</v>
      </c>
      <c r="N39" s="1155">
        <f t="shared" si="57"/>
        <v>0</v>
      </c>
      <c r="O39" s="1155">
        <f t="shared" si="57"/>
        <v>0</v>
      </c>
      <c r="P39" s="1155">
        <f t="shared" si="57"/>
        <v>0</v>
      </c>
      <c r="Q39" s="1155">
        <f t="shared" si="57"/>
        <v>0</v>
      </c>
      <c r="R39" s="2551"/>
      <c r="S39" s="2551"/>
      <c r="T39" s="2551"/>
      <c r="U39" s="2551"/>
      <c r="V39" s="2551"/>
      <c r="W39" s="2807"/>
      <c r="X39" s="2807"/>
      <c r="Y39" s="2807"/>
      <c r="Z39" s="2807"/>
      <c r="AA39" s="2807"/>
      <c r="AB39" s="2807"/>
      <c r="AC39" s="2807"/>
      <c r="AD39" s="2807"/>
      <c r="AE39" s="2813"/>
      <c r="AF39" s="2834"/>
      <c r="AG39" s="2807"/>
      <c r="AH39" s="2807"/>
      <c r="AI39" s="2807"/>
      <c r="AJ39" s="2807"/>
      <c r="AK39" s="2807"/>
      <c r="AL39" s="2807"/>
      <c r="AM39" s="2807"/>
      <c r="AN39" s="2807"/>
      <c r="AO39" s="2807"/>
      <c r="AP39" s="2807"/>
      <c r="AQ39" s="2807"/>
      <c r="AR39" s="2807"/>
      <c r="AS39" s="2807"/>
      <c r="AT39" s="2807"/>
      <c r="AU39" s="2807"/>
      <c r="AV39" s="2813"/>
      <c r="AW39" s="2834"/>
      <c r="AX39" s="2807"/>
      <c r="AY39" s="2807"/>
      <c r="AZ39" s="2807"/>
      <c r="BA39" s="2807"/>
      <c r="BB39" s="2807"/>
      <c r="BC39" s="2807"/>
      <c r="BD39" s="2807"/>
      <c r="BE39" s="2807"/>
      <c r="BF39" s="2807"/>
      <c r="BG39" s="2807"/>
      <c r="BH39" s="2807"/>
      <c r="BI39" s="2813"/>
      <c r="BJ39" s="2834"/>
      <c r="BK39" s="2807"/>
      <c r="BL39" s="2807"/>
      <c r="BM39" s="2807"/>
      <c r="BN39" s="2807"/>
      <c r="BO39" s="2807"/>
      <c r="BP39" s="2807"/>
      <c r="BQ39" s="2807"/>
      <c r="BR39" s="2807"/>
      <c r="BS39" s="2807"/>
      <c r="BT39" s="2807"/>
      <c r="BU39" s="2813"/>
      <c r="BV39" s="2298"/>
    </row>
    <row r="40" spans="1:74" ht="15.75" thickBot="1">
      <c r="A40" s="1168" t="s">
        <v>949</v>
      </c>
      <c r="B40" s="1169">
        <f>B38-B37</f>
        <v>669666</v>
      </c>
      <c r="C40" s="1176">
        <f t="shared" si="57"/>
        <v>43000</v>
      </c>
      <c r="D40" s="1169">
        <f t="shared" si="57"/>
        <v>43000</v>
      </c>
      <c r="E40" s="1169">
        <f t="shared" si="57"/>
        <v>0</v>
      </c>
      <c r="F40" s="1169">
        <f t="shared" si="57"/>
        <v>0</v>
      </c>
      <c r="G40" s="1169">
        <f t="shared" si="57"/>
        <v>0</v>
      </c>
      <c r="H40" s="1169">
        <f t="shared" si="57"/>
        <v>0</v>
      </c>
      <c r="I40" s="1169">
        <f t="shared" si="57"/>
        <v>0</v>
      </c>
      <c r="J40" s="1169">
        <f>C40-SUM(D40:F40)</f>
        <v>0</v>
      </c>
      <c r="K40" s="1169">
        <f t="shared" si="57"/>
        <v>0</v>
      </c>
      <c r="L40" s="1176" t="e">
        <f t="shared" si="57"/>
        <v>#VALUE!</v>
      </c>
      <c r="M40" s="1176">
        <f t="shared" si="57"/>
        <v>627</v>
      </c>
      <c r="N40" s="1176">
        <f t="shared" si="57"/>
        <v>313</v>
      </c>
      <c r="O40" s="1176">
        <f t="shared" si="57"/>
        <v>313</v>
      </c>
      <c r="P40" s="1169">
        <f t="shared" si="57"/>
        <v>0</v>
      </c>
      <c r="Q40" s="1176">
        <f t="shared" si="57"/>
        <v>343</v>
      </c>
      <c r="R40" s="2550"/>
      <c r="S40" s="2550"/>
      <c r="T40" s="2550"/>
      <c r="U40" s="2550"/>
      <c r="V40" s="2550"/>
      <c r="W40" s="2832"/>
      <c r="X40" s="2810"/>
      <c r="Y40" s="2810"/>
      <c r="Z40" s="2810"/>
      <c r="AA40" s="2810"/>
      <c r="AB40" s="2810"/>
      <c r="AC40" s="2810"/>
      <c r="AD40" s="2810"/>
      <c r="AE40" s="2814"/>
      <c r="AF40" s="2834"/>
      <c r="AG40" s="2807"/>
      <c r="AH40" s="2807"/>
      <c r="AI40" s="2807"/>
      <c r="AJ40" s="2807"/>
      <c r="AK40" s="2807"/>
      <c r="AL40" s="2807"/>
      <c r="AM40" s="2807"/>
      <c r="AN40" s="2807"/>
      <c r="AO40" s="2807"/>
      <c r="AP40" s="2807"/>
      <c r="AQ40" s="2807"/>
      <c r="AR40" s="2807"/>
      <c r="AS40" s="2807"/>
      <c r="AT40" s="2807"/>
      <c r="AU40" s="2807"/>
      <c r="AV40" s="2813"/>
      <c r="AW40" s="2834"/>
      <c r="AX40" s="2807"/>
      <c r="AY40" s="2807"/>
      <c r="AZ40" s="2807"/>
      <c r="BA40" s="2807"/>
      <c r="BB40" s="2807"/>
      <c r="BC40" s="2807"/>
      <c r="BD40" s="2807"/>
      <c r="BE40" s="2807"/>
      <c r="BF40" s="2807"/>
      <c r="BG40" s="2807"/>
      <c r="BH40" s="2807"/>
      <c r="BI40" s="2813"/>
      <c r="BJ40" s="2834"/>
      <c r="BK40" s="2807"/>
      <c r="BL40" s="2807"/>
      <c r="BM40" s="2807"/>
      <c r="BN40" s="2807"/>
      <c r="BO40" s="2807"/>
      <c r="BP40" s="2807"/>
      <c r="BQ40" s="2807"/>
      <c r="BR40" s="2807"/>
      <c r="BS40" s="2807"/>
      <c r="BT40" s="2807"/>
      <c r="BU40" s="2813"/>
      <c r="BV40" s="2298"/>
    </row>
    <row r="41" spans="1:74" ht="15.75" thickBot="1">
      <c r="A41" s="1196"/>
      <c r="Q41" s="2297"/>
      <c r="R41" s="2551" t="str">
        <f t="shared" ref="R41:R42" si="58">IF(Y41="",,5&amp;IF(LEN($X41)=1,"0000"&amp;$X41,IF(LEN($X41)=2,"000"&amp;$X41,IF(LEN($X41)=3,"00"&amp;$X41,IF(LEN($X41)=4,"0"&amp;$X41,IF(LEN($X41)=5,$X41,0)))))&amp;IF(LEN(Y41)=1,"000"&amp;Y41,IF(LEN(Y41)=2,"00"&amp;Y41,IF(LEN(Y41)=3,"0"&amp;Y41,IF(LEN(Y41)=4,Y41,0)))))</f>
        <v>5004870100</v>
      </c>
      <c r="S41" s="2553"/>
      <c r="T41" s="2553"/>
      <c r="U41" s="2553"/>
      <c r="V41" s="2553"/>
      <c r="W41" s="2544" t="s">
        <v>967</v>
      </c>
      <c r="X41" s="1197">
        <v>487</v>
      </c>
      <c r="Y41" s="1198">
        <v>100</v>
      </c>
      <c r="Z41" s="1198"/>
      <c r="AA41" s="1198"/>
      <c r="AB41" s="1198"/>
      <c r="AC41" s="1198"/>
      <c r="AD41" s="1199">
        <v>159333</v>
      </c>
      <c r="AE41" s="1200" t="s">
        <v>968</v>
      </c>
      <c r="AF41" s="1201" t="s">
        <v>967</v>
      </c>
      <c r="AG41" s="1185">
        <v>0</v>
      </c>
      <c r="AH41" s="1186">
        <v>0</v>
      </c>
      <c r="AI41" s="1185">
        <v>0</v>
      </c>
      <c r="AJ41" s="1185">
        <v>0</v>
      </c>
      <c r="AK41" s="1185">
        <v>0</v>
      </c>
      <c r="AL41" s="1185">
        <v>0</v>
      </c>
      <c r="AM41" s="1185">
        <v>0</v>
      </c>
      <c r="AN41" s="1185">
        <v>0</v>
      </c>
      <c r="AO41" s="1185">
        <v>0</v>
      </c>
      <c r="AP41" s="1185">
        <v>0</v>
      </c>
      <c r="AQ41" s="1186">
        <v>0</v>
      </c>
      <c r="AR41" s="1186">
        <v>0</v>
      </c>
      <c r="AS41" s="1185">
        <v>0</v>
      </c>
      <c r="AT41" s="1185">
        <v>0</v>
      </c>
      <c r="AU41" s="1186">
        <v>0</v>
      </c>
      <c r="AV41" s="1187">
        <f>BI41</f>
        <v>0</v>
      </c>
      <c r="AW41" s="1201" t="s">
        <v>967</v>
      </c>
      <c r="AX41" s="1202">
        <f>SUM(AY41,BD41,BH41)</f>
        <v>0</v>
      </c>
      <c r="AY41" s="1199">
        <v>0</v>
      </c>
      <c r="AZ41" s="1202">
        <v>0</v>
      </c>
      <c r="BA41" s="1202">
        <v>0</v>
      </c>
      <c r="BB41" s="1202">
        <v>0</v>
      </c>
      <c r="BC41" s="1185">
        <f t="shared" ref="BC41:BC42" si="59">AY41-SUM(AZ41:BB41)</f>
        <v>0</v>
      </c>
      <c r="BD41" s="1203">
        <v>0</v>
      </c>
      <c r="BE41" s="1204">
        <v>0</v>
      </c>
      <c r="BF41" s="1205">
        <v>0</v>
      </c>
      <c r="BG41" s="1202">
        <v>0</v>
      </c>
      <c r="BH41" s="1203">
        <v>0</v>
      </c>
      <c r="BI41" s="1200">
        <v>0</v>
      </c>
      <c r="BJ41" s="1201" t="s">
        <v>967</v>
      </c>
      <c r="BK41" s="1202">
        <f>SUM(BL41,BP41,BT41)</f>
        <v>361666</v>
      </c>
      <c r="BL41" s="1186">
        <f t="shared" ref="BL41" si="60">SUM(BM41:BO41)</f>
        <v>43000</v>
      </c>
      <c r="BM41" s="1206">
        <v>43000</v>
      </c>
      <c r="BN41" s="1206">
        <v>0</v>
      </c>
      <c r="BO41" s="1206">
        <v>0</v>
      </c>
      <c r="BP41" s="1199">
        <v>318666</v>
      </c>
      <c r="BQ41" s="1199">
        <v>319</v>
      </c>
      <c r="BR41" s="1205">
        <v>159</v>
      </c>
      <c r="BS41" s="1205">
        <v>159</v>
      </c>
      <c r="BT41" s="1198">
        <v>0</v>
      </c>
      <c r="BU41" s="1187">
        <v>227</v>
      </c>
      <c r="BV41" s="2297">
        <v>125</v>
      </c>
    </row>
    <row r="42" spans="1:74" ht="15.75" thickBot="1">
      <c r="A42" s="1207"/>
      <c r="D42" s="1208"/>
      <c r="G42" s="2835" t="s">
        <v>969</v>
      </c>
      <c r="H42" s="2836"/>
      <c r="I42" s="2836"/>
      <c r="J42" s="2836"/>
      <c r="K42" s="2837"/>
      <c r="Q42" s="2297"/>
      <c r="R42" s="2551" t="str">
        <f t="shared" si="58"/>
        <v>5004870100</v>
      </c>
      <c r="S42" s="2553"/>
      <c r="T42" s="2553"/>
      <c r="U42" s="2553"/>
      <c r="V42" s="2553"/>
      <c r="W42" s="2545" t="s">
        <v>970</v>
      </c>
      <c r="X42" s="1209">
        <v>487</v>
      </c>
      <c r="Y42" s="1210">
        <v>100</v>
      </c>
      <c r="Z42" s="1210"/>
      <c r="AA42" s="1210"/>
      <c r="AB42" s="1210"/>
      <c r="AC42" s="1210"/>
      <c r="AD42" s="1211">
        <v>154545</v>
      </c>
      <c r="AE42" s="1212" t="s">
        <v>968</v>
      </c>
      <c r="AF42" s="1213" t="s">
        <v>970</v>
      </c>
      <c r="AG42" s="1155">
        <f>SUM(AH42,AQ42,AU42)</f>
        <v>50000</v>
      </c>
      <c r="AH42" s="1214">
        <v>50000</v>
      </c>
      <c r="AI42" s="1155">
        <v>0</v>
      </c>
      <c r="AJ42" s="1155">
        <v>0</v>
      </c>
      <c r="AK42" s="1155">
        <v>0</v>
      </c>
      <c r="AL42" s="1155">
        <v>0</v>
      </c>
      <c r="AM42" s="1155">
        <v>0</v>
      </c>
      <c r="AN42" s="1155">
        <v>0</v>
      </c>
      <c r="AO42" s="1155">
        <v>50000</v>
      </c>
      <c r="AP42" s="1155">
        <v>0</v>
      </c>
      <c r="AQ42" s="1214">
        <v>0</v>
      </c>
      <c r="AR42" s="1214">
        <v>0</v>
      </c>
      <c r="AS42" s="1155">
        <v>0</v>
      </c>
      <c r="AT42" s="1155">
        <v>0</v>
      </c>
      <c r="AU42" s="1214">
        <v>0</v>
      </c>
      <c r="AV42" s="1215">
        <f>BI42</f>
        <v>0</v>
      </c>
      <c r="AW42" s="1213" t="s">
        <v>970</v>
      </c>
      <c r="AX42" s="1216">
        <f>SUM(AY42,BD42,BH42)</f>
        <v>0</v>
      </c>
      <c r="AY42" s="1212">
        <v>0</v>
      </c>
      <c r="AZ42" s="1212">
        <v>0</v>
      </c>
      <c r="BA42" s="1212">
        <v>0</v>
      </c>
      <c r="BB42" s="1212">
        <v>0</v>
      </c>
      <c r="BC42" s="1155">
        <f t="shared" si="59"/>
        <v>0</v>
      </c>
      <c r="BD42" s="1212">
        <v>0</v>
      </c>
      <c r="BE42" s="1217">
        <v>0</v>
      </c>
      <c r="BF42" s="1218">
        <v>0</v>
      </c>
      <c r="BG42" s="1219">
        <v>0</v>
      </c>
      <c r="BH42" s="1212">
        <v>0</v>
      </c>
      <c r="BI42" s="1212">
        <v>0</v>
      </c>
      <c r="BJ42" s="1213" t="s">
        <v>970</v>
      </c>
      <c r="BK42" s="1216">
        <f>SUM(BL42,BP42,BT42)</f>
        <v>308000</v>
      </c>
      <c r="BL42" s="1214">
        <f>SUM(BM42:BO42)</f>
        <v>0</v>
      </c>
      <c r="BM42" s="1220">
        <v>0</v>
      </c>
      <c r="BN42" s="1220">
        <v>0</v>
      </c>
      <c r="BO42" s="1220">
        <v>0</v>
      </c>
      <c r="BP42" s="1211">
        <v>308000</v>
      </c>
      <c r="BQ42" s="1211">
        <v>308</v>
      </c>
      <c r="BR42" s="1218">
        <v>154</v>
      </c>
      <c r="BS42" s="1218">
        <v>154</v>
      </c>
      <c r="BT42" s="1210">
        <v>0</v>
      </c>
      <c r="BU42" s="1215">
        <v>116</v>
      </c>
      <c r="BV42" s="2297">
        <v>125</v>
      </c>
    </row>
    <row r="43" spans="1:74">
      <c r="A43" s="1207"/>
      <c r="D43" s="1208"/>
      <c r="E43" s="2297"/>
      <c r="F43" s="2297"/>
      <c r="G43" s="1221">
        <f>SUM(Potential_Sites!AC5:AC23)+SUM(Potential_Sites!AC26:AC29)</f>
        <v>282716</v>
      </c>
      <c r="H43" s="2838" t="s">
        <v>971</v>
      </c>
      <c r="I43" s="2838"/>
      <c r="J43" s="2838"/>
      <c r="K43" s="2839"/>
      <c r="L43" s="2297"/>
      <c r="M43" s="2297"/>
      <c r="N43" s="2297"/>
      <c r="O43" s="2297"/>
      <c r="P43" s="2297"/>
      <c r="Q43" s="2297"/>
      <c r="W43" s="491"/>
      <c r="X43" s="491"/>
      <c r="Y43" s="491"/>
      <c r="Z43" s="491"/>
      <c r="AA43" s="491"/>
      <c r="AB43" s="491"/>
      <c r="AC43" s="491"/>
      <c r="AD43" s="491"/>
      <c r="AE43" s="2297"/>
      <c r="AF43" s="2297"/>
      <c r="AG43" s="1174"/>
      <c r="AH43" s="1208"/>
      <c r="AI43" s="1223"/>
      <c r="AJ43" s="1223"/>
      <c r="AK43" s="1223"/>
      <c r="AL43" s="1223"/>
      <c r="AM43" s="1223"/>
      <c r="AN43" s="1223"/>
      <c r="AO43" s="1208"/>
      <c r="AP43" s="1223"/>
      <c r="AQ43" s="1208"/>
      <c r="AR43" s="1208"/>
      <c r="AS43" s="1223"/>
      <c r="AT43" s="1223"/>
      <c r="AU43" s="1208"/>
      <c r="AV43" s="1208"/>
      <c r="AW43" s="2297"/>
      <c r="AX43" s="491"/>
      <c r="AY43" s="491"/>
      <c r="AZ43" s="491"/>
      <c r="BA43" s="491"/>
      <c r="BB43" s="491"/>
      <c r="BC43" s="491"/>
      <c r="BD43" s="491"/>
      <c r="BE43" s="1224"/>
      <c r="BF43" s="1225"/>
      <c r="BG43" s="491"/>
      <c r="BH43" s="491"/>
      <c r="BI43" s="491"/>
      <c r="BJ43" s="491"/>
      <c r="BK43" s="491"/>
      <c r="BL43" s="491"/>
      <c r="BM43" s="491"/>
      <c r="BN43" s="491"/>
      <c r="BO43" s="491"/>
      <c r="BP43" s="491"/>
      <c r="BQ43" s="491"/>
      <c r="BR43" s="1224"/>
      <c r="BS43" s="1224"/>
      <c r="BT43" s="491"/>
      <c r="BU43" s="491"/>
    </row>
    <row r="44" spans="1:74" s="491" customFormat="1" ht="15.75" thickBot="1">
      <c r="D44" s="1208"/>
      <c r="E44" s="2297"/>
      <c r="F44" s="2297"/>
      <c r="G44" s="1226">
        <f>SUM(AD4:AD20)+SUM(AD24:AD31)+SUM(AD35:AD37)+SUM(AD41:AD42)</f>
        <v>1178023</v>
      </c>
      <c r="H44" s="2838" t="s">
        <v>972</v>
      </c>
      <c r="I44" s="2838"/>
      <c r="J44" s="2838"/>
      <c r="K44" s="2839"/>
      <c r="L44" s="2297"/>
      <c r="M44" s="2297"/>
      <c r="N44" s="2297"/>
      <c r="O44" s="2297"/>
      <c r="P44" s="2297"/>
      <c r="Q44" s="2297"/>
      <c r="R44" s="99"/>
      <c r="S44" s="99"/>
      <c r="T44" s="99"/>
      <c r="U44" s="99"/>
      <c r="V44" s="99"/>
      <c r="AF44" s="2297"/>
      <c r="AG44" s="1208"/>
      <c r="AH44" s="1208"/>
      <c r="AI44" s="1223"/>
      <c r="AJ44" s="1223"/>
      <c r="AK44" s="1223"/>
      <c r="AL44" s="1223"/>
      <c r="AM44" s="1223"/>
      <c r="AN44" s="1223"/>
      <c r="AO44" s="1208"/>
      <c r="AP44" s="1223"/>
      <c r="AQ44" s="1208"/>
      <c r="AR44" s="1208"/>
      <c r="AS44" s="1223"/>
      <c r="AT44" s="1223"/>
      <c r="AU44" s="1208"/>
      <c r="AV44" s="1208"/>
      <c r="AW44" s="2297"/>
      <c r="BE44" s="1224"/>
      <c r="BF44" s="1225"/>
      <c r="BR44" s="1224"/>
      <c r="BS44" s="1224"/>
    </row>
    <row r="45" spans="1:74" s="491" customFormat="1" ht="15.75" thickBot="1">
      <c r="D45" s="1208"/>
      <c r="E45" s="2297"/>
      <c r="F45" s="2297"/>
      <c r="G45" s="1227">
        <f>SUM(G43:G44)</f>
        <v>1460739</v>
      </c>
      <c r="H45" s="2840" t="s">
        <v>973</v>
      </c>
      <c r="I45" s="2840"/>
      <c r="J45" s="2840"/>
      <c r="K45" s="2841"/>
      <c r="L45" s="2297"/>
      <c r="M45" s="2297"/>
      <c r="N45" s="2297"/>
      <c r="O45" s="2297"/>
      <c r="P45" s="2297"/>
      <c r="Q45" s="2297"/>
      <c r="R45" s="99"/>
      <c r="S45" s="99"/>
      <c r="T45" s="99"/>
      <c r="U45" s="99"/>
      <c r="V45" s="99"/>
      <c r="AF45" s="2297"/>
      <c r="AG45" s="1208"/>
      <c r="AH45" s="1208"/>
      <c r="AI45" s="1223"/>
      <c r="AJ45" s="1223"/>
      <c r="AK45" s="1223"/>
      <c r="AL45" s="1223"/>
      <c r="AM45" s="1223"/>
      <c r="AN45" s="1223"/>
      <c r="AO45" s="1208"/>
      <c r="AP45" s="1223"/>
      <c r="AQ45" s="1208"/>
      <c r="AR45" s="1208"/>
      <c r="AS45" s="1223"/>
      <c r="AT45" s="1223"/>
      <c r="AU45" s="1208"/>
      <c r="AV45" s="1208"/>
      <c r="AW45" s="2297"/>
      <c r="BE45" s="1224"/>
      <c r="BF45" s="1225"/>
      <c r="BR45" s="1224"/>
      <c r="BS45" s="1224"/>
    </row>
    <row r="46" spans="1:74" s="491" customFormat="1">
      <c r="B46" s="2297"/>
      <c r="C46" s="2297"/>
      <c r="D46" s="2297"/>
      <c r="E46" s="2297"/>
      <c r="F46" s="2297"/>
      <c r="G46" s="2297"/>
      <c r="H46" s="2297"/>
      <c r="I46" s="2297"/>
      <c r="J46" s="2297"/>
      <c r="K46" s="2297"/>
      <c r="L46" s="2297"/>
      <c r="M46" s="2297"/>
      <c r="N46" s="2297"/>
      <c r="O46" s="2297"/>
      <c r="P46" s="2297"/>
      <c r="Q46" s="2297"/>
      <c r="R46" s="99"/>
      <c r="S46" s="99"/>
      <c r="T46" s="99"/>
      <c r="U46" s="99"/>
      <c r="V46" s="99"/>
      <c r="AF46" s="2297"/>
      <c r="AG46" s="1208"/>
      <c r="AH46" s="1208"/>
      <c r="AI46" s="1223"/>
      <c r="AJ46" s="1223"/>
      <c r="AK46" s="1223"/>
      <c r="AL46" s="1223"/>
      <c r="AM46" s="1223"/>
      <c r="AN46" s="1223"/>
      <c r="AO46" s="1208"/>
      <c r="AP46" s="1223"/>
      <c r="AQ46" s="1208"/>
      <c r="AR46" s="1208"/>
      <c r="AS46" s="1223"/>
      <c r="AT46" s="1223"/>
      <c r="AU46" s="1208"/>
      <c r="AV46" s="1208"/>
      <c r="AW46" s="2297"/>
      <c r="BE46" s="1224"/>
      <c r="BF46" s="1225"/>
      <c r="BR46" s="1224"/>
      <c r="BS46" s="1224"/>
      <c r="BV46" s="491" t="e">
        <f>#REF!*0.09</f>
        <v>#REF!</v>
      </c>
    </row>
    <row r="47" spans="1:74" s="491" customFormat="1">
      <c r="B47" s="2297"/>
      <c r="C47" s="2297"/>
      <c r="D47" s="2297"/>
      <c r="E47" s="2297"/>
      <c r="F47" s="2297"/>
      <c r="G47" s="2297"/>
      <c r="H47" s="2297"/>
      <c r="I47" s="2297"/>
      <c r="J47" s="2297"/>
      <c r="K47" s="2297"/>
      <c r="L47" s="2297"/>
      <c r="M47" s="2297"/>
      <c r="N47" s="2297"/>
      <c r="O47" s="2297"/>
      <c r="P47" s="2297"/>
      <c r="Q47" s="2297"/>
      <c r="R47" s="99"/>
      <c r="S47" s="99"/>
      <c r="T47" s="99"/>
      <c r="U47" s="99"/>
      <c r="V47" s="99"/>
      <c r="AF47" s="2297"/>
      <c r="AG47" s="1208"/>
      <c r="AH47" s="1208"/>
      <c r="AI47" s="1223"/>
      <c r="AJ47" s="1223"/>
      <c r="AK47" s="1223"/>
      <c r="AL47" s="1223"/>
      <c r="AM47" s="1223"/>
      <c r="AN47" s="1223"/>
      <c r="AO47" s="1208"/>
      <c r="AP47" s="1223"/>
      <c r="AQ47" s="1208"/>
      <c r="AR47" s="1208"/>
      <c r="AS47" s="1223"/>
      <c r="AT47" s="1223"/>
      <c r="AU47" s="1208"/>
      <c r="AV47" s="1208"/>
      <c r="AW47" s="2297"/>
      <c r="BE47" s="1224"/>
      <c r="BF47" s="1225"/>
      <c r="BR47" s="1224"/>
      <c r="BS47" s="1224"/>
    </row>
    <row r="48" spans="1:74" s="491" customFormat="1">
      <c r="B48" s="2297"/>
      <c r="C48" s="2297"/>
      <c r="D48" s="2297"/>
      <c r="E48" s="2297"/>
      <c r="F48" s="2297"/>
      <c r="G48" s="2297"/>
      <c r="H48" s="2297"/>
      <c r="I48" s="2297"/>
      <c r="J48" s="2297"/>
      <c r="K48" s="2297"/>
      <c r="L48" s="2297"/>
      <c r="M48" s="2297"/>
      <c r="N48" s="2297"/>
      <c r="O48" s="2297"/>
      <c r="P48" s="2297"/>
      <c r="Q48" s="2297"/>
      <c r="R48" s="99"/>
      <c r="S48" s="99"/>
      <c r="T48" s="99"/>
      <c r="U48" s="99"/>
      <c r="V48" s="99"/>
      <c r="AF48" s="2297"/>
      <c r="AG48" s="1208"/>
      <c r="AH48" s="1208"/>
      <c r="AI48" s="1223"/>
      <c r="AJ48" s="1223"/>
      <c r="AK48" s="1223"/>
      <c r="AL48" s="1223"/>
      <c r="AM48" s="1223"/>
      <c r="AN48" s="1223"/>
      <c r="AO48" s="1208"/>
      <c r="AP48" s="1223"/>
      <c r="AQ48" s="1208"/>
      <c r="AR48" s="1208"/>
      <c r="AS48" s="1223"/>
      <c r="AT48" s="1223"/>
      <c r="AU48" s="1208"/>
      <c r="AV48" s="1208"/>
      <c r="AW48" s="2297"/>
      <c r="BE48" s="1224"/>
      <c r="BF48" s="1225"/>
      <c r="BR48" s="1224"/>
      <c r="BS48" s="1224"/>
    </row>
    <row r="49" spans="2:71" s="491" customFormat="1">
      <c r="B49" s="2297"/>
      <c r="C49" s="2297"/>
      <c r="D49" s="2297"/>
      <c r="E49" s="2297"/>
      <c r="F49" s="2297"/>
      <c r="G49" s="2297"/>
      <c r="H49" s="2297"/>
      <c r="I49" s="2297"/>
      <c r="J49" s="2297"/>
      <c r="K49" s="2297"/>
      <c r="L49" s="2297"/>
      <c r="M49" s="2297"/>
      <c r="N49" s="2297"/>
      <c r="O49" s="2297"/>
      <c r="P49" s="2297"/>
      <c r="Q49" s="2297"/>
      <c r="R49" s="99"/>
      <c r="S49" s="99"/>
      <c r="T49" s="99"/>
      <c r="U49" s="99"/>
      <c r="V49" s="99"/>
      <c r="AF49" s="2297"/>
      <c r="AG49" s="1208"/>
      <c r="AH49" s="1208"/>
      <c r="AI49" s="1223"/>
      <c r="AJ49" s="1223"/>
      <c r="AK49" s="1223"/>
      <c r="AL49" s="1223"/>
      <c r="AM49" s="1223"/>
      <c r="AN49" s="1223"/>
      <c r="AO49" s="1208"/>
      <c r="AP49" s="1223"/>
      <c r="AQ49" s="1208"/>
      <c r="AR49" s="1208"/>
      <c r="AS49" s="1223"/>
      <c r="AT49" s="1223"/>
      <c r="AU49" s="1208"/>
      <c r="AV49" s="1208"/>
      <c r="AW49" s="2297"/>
      <c r="BE49" s="1224"/>
      <c r="BF49" s="1225"/>
      <c r="BR49" s="1224"/>
      <c r="BS49" s="1224"/>
    </row>
    <row r="50" spans="2:71" s="491" customFormat="1">
      <c r="B50" s="2297"/>
      <c r="C50" s="2297"/>
      <c r="D50" s="2297"/>
      <c r="E50" s="2297"/>
      <c r="F50" s="2297"/>
      <c r="G50" s="2297"/>
      <c r="H50" s="2297"/>
      <c r="I50" s="2297"/>
      <c r="J50" s="2297"/>
      <c r="K50" s="2297"/>
      <c r="L50" s="2297"/>
      <c r="M50" s="2297"/>
      <c r="N50" s="2297"/>
      <c r="O50" s="2297"/>
      <c r="P50" s="2297"/>
      <c r="Q50" s="2297"/>
      <c r="R50" s="99"/>
      <c r="S50" s="99"/>
      <c r="T50" s="99"/>
      <c r="U50" s="99"/>
      <c r="V50" s="99"/>
      <c r="AF50" s="2297"/>
      <c r="AG50" s="1208"/>
      <c r="AH50" s="1208"/>
      <c r="AI50" s="1223"/>
      <c r="AJ50" s="1223"/>
      <c r="AK50" s="1223"/>
      <c r="AL50" s="1223"/>
      <c r="AM50" s="1223"/>
      <c r="AN50" s="1223"/>
      <c r="AO50" s="1208"/>
      <c r="AP50" s="1223"/>
      <c r="AQ50" s="1208"/>
      <c r="AR50" s="1208"/>
      <c r="AS50" s="1223"/>
      <c r="AT50" s="1223"/>
      <c r="AU50" s="1208"/>
      <c r="AV50" s="1208"/>
      <c r="AW50" s="2297"/>
      <c r="BE50" s="1224"/>
      <c r="BF50" s="1225"/>
      <c r="BR50" s="1224"/>
      <c r="BS50" s="1224"/>
    </row>
    <row r="51" spans="2:71" s="491" customFormat="1">
      <c r="B51" s="2297"/>
      <c r="C51" s="2297"/>
      <c r="D51" s="2297"/>
      <c r="E51" s="2297"/>
      <c r="F51" s="2297"/>
      <c r="G51" s="2297"/>
      <c r="H51" s="2297"/>
      <c r="I51" s="2297"/>
      <c r="J51" s="2297"/>
      <c r="K51" s="2297"/>
      <c r="L51" s="2297"/>
      <c r="M51" s="2297"/>
      <c r="N51" s="2297"/>
      <c r="O51" s="2297"/>
      <c r="P51" s="2297"/>
      <c r="Q51" s="2297"/>
      <c r="R51" s="99"/>
      <c r="S51" s="99"/>
      <c r="T51" s="99"/>
      <c r="U51" s="99"/>
      <c r="V51" s="99"/>
      <c r="AF51" s="2297"/>
      <c r="AG51" s="1208"/>
      <c r="AH51" s="1208"/>
      <c r="AI51" s="1223"/>
      <c r="AJ51" s="1223"/>
      <c r="AK51" s="1223"/>
      <c r="AL51" s="1223"/>
      <c r="AM51" s="1223"/>
      <c r="AN51" s="1223"/>
      <c r="AO51" s="1208"/>
      <c r="AP51" s="1223"/>
      <c r="AQ51" s="1208"/>
      <c r="AR51" s="1208"/>
      <c r="AS51" s="1223"/>
      <c r="AT51" s="1223"/>
      <c r="AU51" s="1208"/>
      <c r="AV51" s="1208"/>
      <c r="AW51" s="2297"/>
      <c r="BE51" s="1224"/>
      <c r="BF51" s="1225"/>
      <c r="BR51" s="1224"/>
      <c r="BS51" s="1224"/>
    </row>
    <row r="52" spans="2:71" s="491" customFormat="1">
      <c r="B52" s="2297"/>
      <c r="C52" s="2297"/>
      <c r="D52" s="2297"/>
      <c r="E52" s="2297"/>
      <c r="F52" s="2297"/>
      <c r="G52" s="2297"/>
      <c r="H52" s="2297"/>
      <c r="I52" s="2297"/>
      <c r="J52" s="2297"/>
      <c r="K52" s="2297"/>
      <c r="L52" s="2297"/>
      <c r="M52" s="2297"/>
      <c r="N52" s="2297"/>
      <c r="O52" s="2297"/>
      <c r="P52" s="2297"/>
      <c r="Q52" s="2297"/>
      <c r="R52" s="99"/>
      <c r="S52" s="99"/>
      <c r="T52" s="99"/>
      <c r="U52" s="99"/>
      <c r="V52" s="99"/>
      <c r="AF52" s="2297"/>
      <c r="AG52" s="1208"/>
      <c r="AH52" s="1208"/>
      <c r="AI52" s="1223"/>
      <c r="AJ52" s="1223"/>
      <c r="AK52" s="1223"/>
      <c r="AL52" s="1223"/>
      <c r="AM52" s="1223"/>
      <c r="AN52" s="1223"/>
      <c r="AO52" s="1208"/>
      <c r="AP52" s="1223"/>
      <c r="AQ52" s="1208"/>
      <c r="AR52" s="1208"/>
      <c r="AS52" s="1223"/>
      <c r="AT52" s="1223"/>
      <c r="AU52" s="1208"/>
      <c r="AV52" s="1208"/>
      <c r="AW52" s="2297"/>
      <c r="BE52" s="1224"/>
      <c r="BF52" s="1225"/>
      <c r="BR52" s="1224"/>
      <c r="BS52" s="1224"/>
    </row>
    <row r="53" spans="2:71" s="491" customFormat="1">
      <c r="B53" s="2297"/>
      <c r="C53" s="2297"/>
      <c r="D53" s="2297"/>
      <c r="E53" s="2297"/>
      <c r="F53" s="2297"/>
      <c r="G53" s="2297"/>
      <c r="H53" s="2297"/>
      <c r="I53" s="2297"/>
      <c r="J53" s="2297"/>
      <c r="K53" s="2297"/>
      <c r="L53" s="2297"/>
      <c r="M53" s="2297"/>
      <c r="N53" s="2297"/>
      <c r="O53" s="2297"/>
      <c r="P53" s="2297"/>
      <c r="Q53" s="2297"/>
      <c r="R53" s="99"/>
      <c r="S53" s="99"/>
      <c r="T53" s="99"/>
      <c r="U53" s="99"/>
      <c r="V53" s="99"/>
      <c r="AF53" s="2297"/>
      <c r="AG53" s="1208"/>
      <c r="AH53" s="1208"/>
      <c r="AI53" s="1223"/>
      <c r="AJ53" s="1223"/>
      <c r="AK53" s="1223"/>
      <c r="AL53" s="1223"/>
      <c r="AM53" s="1223"/>
      <c r="AN53" s="1223"/>
      <c r="AO53" s="1208"/>
      <c r="AP53" s="1223"/>
      <c r="AQ53" s="1208"/>
      <c r="AR53" s="1208"/>
      <c r="AS53" s="1223"/>
      <c r="AT53" s="1223"/>
      <c r="AU53" s="1208"/>
      <c r="AV53" s="1208"/>
      <c r="AW53" s="2297"/>
      <c r="BE53" s="1224"/>
      <c r="BF53" s="1225"/>
      <c r="BR53" s="1224"/>
      <c r="BS53" s="1224"/>
    </row>
    <row r="54" spans="2:71" s="491" customFormat="1">
      <c r="B54" s="2297"/>
      <c r="C54" s="2297"/>
      <c r="D54" s="2297"/>
      <c r="E54" s="2297"/>
      <c r="F54" s="2297"/>
      <c r="G54" s="2297"/>
      <c r="H54" s="2297"/>
      <c r="I54" s="2297"/>
      <c r="J54" s="2297"/>
      <c r="K54" s="2297"/>
      <c r="L54" s="2297"/>
      <c r="M54" s="2297"/>
      <c r="N54" s="2297"/>
      <c r="O54" s="2297"/>
      <c r="P54" s="2297"/>
      <c r="Q54" s="2297"/>
      <c r="R54" s="99"/>
      <c r="S54" s="99"/>
      <c r="T54" s="99"/>
      <c r="U54" s="99"/>
      <c r="V54" s="99"/>
      <c r="AF54" s="2297"/>
      <c r="AG54" s="1208"/>
      <c r="AH54" s="1208"/>
      <c r="AI54" s="1223"/>
      <c r="AJ54" s="1223"/>
      <c r="AK54" s="1223"/>
      <c r="AL54" s="1223"/>
      <c r="AM54" s="1223"/>
      <c r="AN54" s="1223"/>
      <c r="AO54" s="1208"/>
      <c r="AP54" s="1223"/>
      <c r="AQ54" s="1208"/>
      <c r="AR54" s="1208"/>
      <c r="AS54" s="1223"/>
      <c r="AT54" s="1223"/>
      <c r="AU54" s="1208"/>
      <c r="AV54" s="1208"/>
      <c r="AW54" s="2297"/>
      <c r="BE54" s="1224"/>
      <c r="BF54" s="1225"/>
      <c r="BR54" s="1224"/>
      <c r="BS54" s="1224"/>
    </row>
    <row r="55" spans="2:71" s="491" customFormat="1">
      <c r="B55" s="2297"/>
      <c r="C55" s="2297"/>
      <c r="D55" s="2297"/>
      <c r="E55" s="2297"/>
      <c r="F55" s="2297"/>
      <c r="G55" s="2297"/>
      <c r="H55" s="2297"/>
      <c r="I55" s="2297"/>
      <c r="J55" s="2297"/>
      <c r="K55" s="2297"/>
      <c r="L55" s="2297"/>
      <c r="M55" s="2297"/>
      <c r="N55" s="2297"/>
      <c r="O55" s="2297"/>
      <c r="P55" s="2297"/>
      <c r="Q55" s="2297"/>
      <c r="R55" s="99"/>
      <c r="S55" s="99"/>
      <c r="T55" s="99"/>
      <c r="U55" s="99"/>
      <c r="V55" s="99"/>
      <c r="AF55" s="2297"/>
      <c r="AG55" s="1208"/>
      <c r="AH55" s="1208"/>
      <c r="AI55" s="1223"/>
      <c r="AJ55" s="1223"/>
      <c r="AK55" s="1223"/>
      <c r="AL55" s="1223"/>
      <c r="AM55" s="1223"/>
      <c r="AN55" s="1223"/>
      <c r="AO55" s="1208"/>
      <c r="AP55" s="1223"/>
      <c r="AQ55" s="1208"/>
      <c r="AR55" s="1208"/>
      <c r="AS55" s="1223"/>
      <c r="AT55" s="1223"/>
      <c r="AU55" s="1208"/>
      <c r="AV55" s="1208"/>
      <c r="AW55" s="2297"/>
      <c r="BE55" s="1224"/>
      <c r="BF55" s="1225"/>
      <c r="BR55" s="1224"/>
      <c r="BS55" s="1224"/>
    </row>
    <row r="56" spans="2:71" s="491" customFormat="1">
      <c r="B56" s="2297"/>
      <c r="C56" s="2297"/>
      <c r="D56" s="2297"/>
      <c r="E56" s="2297"/>
      <c r="F56" s="2297"/>
      <c r="G56" s="2297"/>
      <c r="H56" s="2297"/>
      <c r="I56" s="2297"/>
      <c r="J56" s="2297"/>
      <c r="K56" s="2297"/>
      <c r="L56" s="2297"/>
      <c r="M56" s="2297"/>
      <c r="N56" s="2297"/>
      <c r="O56" s="2297"/>
      <c r="P56" s="2297"/>
      <c r="Q56" s="2297"/>
      <c r="R56" s="99"/>
      <c r="S56" s="99"/>
      <c r="T56" s="99"/>
      <c r="U56" s="99"/>
      <c r="V56" s="99"/>
      <c r="AF56" s="2297"/>
      <c r="AG56" s="1208"/>
      <c r="AH56" s="1208"/>
      <c r="AI56" s="1223"/>
      <c r="AJ56" s="1223"/>
      <c r="AK56" s="1223"/>
      <c r="AL56" s="1223"/>
      <c r="AM56" s="1223"/>
      <c r="AN56" s="1223"/>
      <c r="AO56" s="1208"/>
      <c r="AP56" s="1223"/>
      <c r="AQ56" s="1208"/>
      <c r="AR56" s="1208"/>
      <c r="AS56" s="1223"/>
      <c r="AT56" s="1223"/>
      <c r="AU56" s="1208"/>
      <c r="AV56" s="1208"/>
      <c r="AW56" s="2297"/>
      <c r="BE56" s="1224"/>
      <c r="BF56" s="1225"/>
      <c r="BR56" s="1224"/>
      <c r="BS56" s="1224"/>
    </row>
    <row r="57" spans="2:71" s="491" customFormat="1">
      <c r="B57" s="2297"/>
      <c r="C57" s="2297"/>
      <c r="D57" s="2297"/>
      <c r="E57" s="2297"/>
      <c r="F57" s="2297"/>
      <c r="G57" s="2297"/>
      <c r="H57" s="2297"/>
      <c r="I57" s="2297"/>
      <c r="J57" s="2297"/>
      <c r="K57" s="2297"/>
      <c r="L57" s="2297"/>
      <c r="M57" s="2297"/>
      <c r="N57" s="2297"/>
      <c r="O57" s="2297"/>
      <c r="P57" s="2297"/>
      <c r="Q57" s="2297"/>
      <c r="R57" s="99"/>
      <c r="S57" s="99"/>
      <c r="T57" s="99"/>
      <c r="U57" s="99"/>
      <c r="V57" s="99"/>
      <c r="AF57" s="2297"/>
      <c r="AG57" s="1208"/>
      <c r="AH57" s="1208"/>
      <c r="AI57" s="1223"/>
      <c r="AJ57" s="1223"/>
      <c r="AK57" s="1223"/>
      <c r="AL57" s="1223"/>
      <c r="AM57" s="1223"/>
      <c r="AN57" s="1223"/>
      <c r="AO57" s="1208"/>
      <c r="AP57" s="1223"/>
      <c r="AQ57" s="1208"/>
      <c r="AR57" s="1208"/>
      <c r="AS57" s="1223"/>
      <c r="AT57" s="1223"/>
      <c r="AU57" s="1208"/>
      <c r="AV57" s="1208"/>
      <c r="AW57" s="2297"/>
      <c r="BE57" s="1224"/>
      <c r="BF57" s="1225"/>
      <c r="BR57" s="1224"/>
      <c r="BS57" s="1224"/>
    </row>
    <row r="58" spans="2:71" s="491" customFormat="1">
      <c r="B58" s="2297"/>
      <c r="C58" s="2297"/>
      <c r="D58" s="2297"/>
      <c r="E58" s="2297"/>
      <c r="F58" s="2297"/>
      <c r="G58" s="2297"/>
      <c r="H58" s="2297"/>
      <c r="I58" s="2297"/>
      <c r="J58" s="2297"/>
      <c r="K58" s="2297"/>
      <c r="L58" s="2297"/>
      <c r="M58" s="2297"/>
      <c r="N58" s="2297"/>
      <c r="O58" s="2297"/>
      <c r="P58" s="2297"/>
      <c r="Q58" s="2297"/>
      <c r="R58" s="99"/>
      <c r="S58" s="99"/>
      <c r="T58" s="99"/>
      <c r="U58" s="99"/>
      <c r="V58" s="99"/>
      <c r="AF58" s="2297"/>
      <c r="AG58" s="1208"/>
      <c r="AH58" s="1208"/>
      <c r="AI58" s="1223"/>
      <c r="AJ58" s="1223"/>
      <c r="AK58" s="1223"/>
      <c r="AL58" s="1223"/>
      <c r="AM58" s="1223"/>
      <c r="AN58" s="1223"/>
      <c r="AO58" s="1208"/>
      <c r="AP58" s="1223"/>
      <c r="AQ58" s="1208"/>
      <c r="AR58" s="1208"/>
      <c r="AS58" s="1223"/>
      <c r="AT58" s="1223"/>
      <c r="AU58" s="1208"/>
      <c r="AV58" s="1208"/>
      <c r="AW58" s="2297"/>
      <c r="BE58" s="1224"/>
      <c r="BF58" s="1225"/>
      <c r="BR58" s="1224"/>
      <c r="BS58" s="1224"/>
    </row>
    <row r="59" spans="2:71" s="491" customFormat="1">
      <c r="B59" s="2297"/>
      <c r="C59" s="2297"/>
      <c r="D59" s="2297"/>
      <c r="E59" s="2297"/>
      <c r="F59" s="2297"/>
      <c r="G59" s="2297"/>
      <c r="H59" s="2297"/>
      <c r="I59" s="2297"/>
      <c r="J59" s="2297"/>
      <c r="K59" s="2297"/>
      <c r="L59" s="2297"/>
      <c r="M59" s="2297"/>
      <c r="N59" s="2297"/>
      <c r="O59" s="2297"/>
      <c r="P59" s="2297"/>
      <c r="Q59" s="2297"/>
      <c r="R59" s="99"/>
      <c r="S59" s="99"/>
      <c r="T59" s="99"/>
      <c r="U59" s="99"/>
      <c r="V59" s="99"/>
      <c r="AF59" s="2297"/>
      <c r="AG59" s="1208"/>
      <c r="AH59" s="1208"/>
      <c r="AI59" s="1223"/>
      <c r="AJ59" s="1223"/>
      <c r="AK59" s="1223"/>
      <c r="AL59" s="1223"/>
      <c r="AM59" s="1223"/>
      <c r="AN59" s="1223"/>
      <c r="AO59" s="1208"/>
      <c r="AP59" s="1223"/>
      <c r="AQ59" s="1208"/>
      <c r="AR59" s="1208"/>
      <c r="AS59" s="1223"/>
      <c r="AT59" s="1223"/>
      <c r="AU59" s="1208"/>
      <c r="AV59" s="1208"/>
      <c r="AW59" s="2297"/>
      <c r="BE59" s="1224"/>
      <c r="BF59" s="1225"/>
      <c r="BR59" s="1224"/>
      <c r="BS59" s="1224"/>
    </row>
    <row r="60" spans="2:71" s="491" customFormat="1">
      <c r="B60" s="2297"/>
      <c r="C60" s="2297"/>
      <c r="D60" s="2297"/>
      <c r="E60" s="2297"/>
      <c r="F60" s="2297"/>
      <c r="G60" s="2297"/>
      <c r="H60" s="2297"/>
      <c r="I60" s="2297"/>
      <c r="J60" s="2297"/>
      <c r="K60" s="2297"/>
      <c r="L60" s="2297"/>
      <c r="M60" s="2297"/>
      <c r="N60" s="2297"/>
      <c r="O60" s="2297"/>
      <c r="P60" s="2297"/>
      <c r="Q60" s="2297"/>
      <c r="R60" s="99"/>
      <c r="S60" s="99"/>
      <c r="T60" s="99"/>
      <c r="U60" s="99"/>
      <c r="V60" s="99"/>
      <c r="AF60" s="2297"/>
      <c r="AG60" s="1208"/>
      <c r="AH60" s="1208"/>
      <c r="AI60" s="1223"/>
      <c r="AJ60" s="1223"/>
      <c r="AK60" s="1223"/>
      <c r="AL60" s="1223"/>
      <c r="AM60" s="1223"/>
      <c r="AN60" s="1223"/>
      <c r="AO60" s="1208"/>
      <c r="AP60" s="1223"/>
      <c r="AQ60" s="1208"/>
      <c r="AR60" s="1208"/>
      <c r="AS60" s="1223"/>
      <c r="AT60" s="1223"/>
      <c r="AU60" s="1208"/>
      <c r="AV60" s="1208"/>
      <c r="AW60" s="2297"/>
      <c r="BE60" s="1224"/>
      <c r="BF60" s="1225"/>
      <c r="BR60" s="1224"/>
      <c r="BS60" s="1224"/>
    </row>
    <row r="61" spans="2:71" s="491" customFormat="1">
      <c r="B61" s="2297"/>
      <c r="C61" s="2297"/>
      <c r="D61" s="2297"/>
      <c r="E61" s="2297"/>
      <c r="F61" s="2297"/>
      <c r="G61" s="2297"/>
      <c r="H61" s="2297"/>
      <c r="I61" s="2297"/>
      <c r="J61" s="2297"/>
      <c r="K61" s="2297"/>
      <c r="L61" s="2297"/>
      <c r="M61" s="2297"/>
      <c r="N61" s="2297"/>
      <c r="O61" s="2297"/>
      <c r="P61" s="2297"/>
      <c r="Q61" s="2297"/>
      <c r="R61" s="99"/>
      <c r="S61" s="99"/>
      <c r="T61" s="99"/>
      <c r="U61" s="99"/>
      <c r="V61" s="99"/>
      <c r="AF61" s="2297"/>
      <c r="AG61" s="1208"/>
      <c r="AH61" s="1208"/>
      <c r="AI61" s="1223"/>
      <c r="AJ61" s="1223"/>
      <c r="AK61" s="1223"/>
      <c r="AL61" s="1223"/>
      <c r="AM61" s="1223"/>
      <c r="AN61" s="1223"/>
      <c r="AO61" s="1208"/>
      <c r="AP61" s="1223"/>
      <c r="AQ61" s="1208"/>
      <c r="AR61" s="1208"/>
      <c r="AS61" s="1223"/>
      <c r="AT61" s="1223"/>
      <c r="AU61" s="1208"/>
      <c r="AV61" s="1208"/>
      <c r="AW61" s="2297"/>
      <c r="BE61" s="1224"/>
      <c r="BF61" s="1225"/>
      <c r="BR61" s="1224"/>
      <c r="BS61" s="1224"/>
    </row>
    <row r="62" spans="2:71" s="491" customFormat="1">
      <c r="B62" s="2297"/>
      <c r="C62" s="2297"/>
      <c r="D62" s="2297"/>
      <c r="E62" s="2297"/>
      <c r="F62" s="2297"/>
      <c r="G62" s="2297"/>
      <c r="H62" s="2297"/>
      <c r="I62" s="2297"/>
      <c r="J62" s="2297"/>
      <c r="K62" s="2297"/>
      <c r="L62" s="2297"/>
      <c r="M62" s="2297"/>
      <c r="N62" s="2297"/>
      <c r="O62" s="2297"/>
      <c r="P62" s="2297"/>
      <c r="Q62" s="2297"/>
      <c r="R62" s="99"/>
      <c r="S62" s="99"/>
      <c r="T62" s="99"/>
      <c r="U62" s="99"/>
      <c r="V62" s="99"/>
      <c r="AF62" s="2297"/>
      <c r="AG62" s="1208"/>
      <c r="AH62" s="1208"/>
      <c r="AI62" s="1223"/>
      <c r="AJ62" s="1223"/>
      <c r="AK62" s="1223"/>
      <c r="AL62" s="1223"/>
      <c r="AM62" s="1223"/>
      <c r="AN62" s="1223"/>
      <c r="AO62" s="1208"/>
      <c r="AP62" s="1223"/>
      <c r="AQ62" s="1208"/>
      <c r="AR62" s="1208"/>
      <c r="AS62" s="1223"/>
      <c r="AT62" s="1223"/>
      <c r="AU62" s="1208"/>
      <c r="AV62" s="1208"/>
      <c r="AW62" s="2297"/>
      <c r="BE62" s="1224"/>
      <c r="BF62" s="1225"/>
      <c r="BR62" s="1224"/>
      <c r="BS62" s="1224"/>
    </row>
    <row r="63" spans="2:71" s="491" customFormat="1">
      <c r="B63" s="2297"/>
      <c r="C63" s="2297"/>
      <c r="D63" s="2297"/>
      <c r="E63" s="2297"/>
      <c r="F63" s="2297"/>
      <c r="G63" s="2297"/>
      <c r="H63" s="2297"/>
      <c r="I63" s="2297"/>
      <c r="J63" s="2297"/>
      <c r="K63" s="2297"/>
      <c r="L63" s="2297"/>
      <c r="M63" s="2297"/>
      <c r="N63" s="2297"/>
      <c r="O63" s="2297"/>
      <c r="P63" s="2297"/>
      <c r="Q63" s="2297"/>
      <c r="R63" s="99"/>
      <c r="S63" s="99"/>
      <c r="T63" s="99"/>
      <c r="U63" s="99"/>
      <c r="V63" s="99"/>
      <c r="AF63" s="2297"/>
      <c r="AG63" s="1208"/>
      <c r="AH63" s="1208"/>
      <c r="AI63" s="1223"/>
      <c r="AJ63" s="1223"/>
      <c r="AK63" s="1223"/>
      <c r="AL63" s="1223"/>
      <c r="AM63" s="1223"/>
      <c r="AN63" s="1223"/>
      <c r="AO63" s="1208"/>
      <c r="AP63" s="1223"/>
      <c r="AQ63" s="1208"/>
      <c r="AR63" s="1208"/>
      <c r="AS63" s="1223"/>
      <c r="AT63" s="1223"/>
      <c r="AU63" s="1208"/>
      <c r="AV63" s="1208"/>
      <c r="AW63" s="2297"/>
      <c r="BE63" s="1224"/>
      <c r="BF63" s="1225"/>
      <c r="BR63" s="1224"/>
      <c r="BS63" s="1224"/>
    </row>
    <row r="64" spans="2:71" s="491" customFormat="1">
      <c r="B64" s="2297"/>
      <c r="C64" s="2297"/>
      <c r="D64" s="2297"/>
      <c r="E64" s="2297"/>
      <c r="F64" s="2297"/>
      <c r="G64" s="2297"/>
      <c r="H64" s="2297"/>
      <c r="I64" s="2297"/>
      <c r="J64" s="2297"/>
      <c r="K64" s="2297"/>
      <c r="L64" s="2297"/>
      <c r="M64" s="2297"/>
      <c r="N64" s="2297"/>
      <c r="O64" s="2297"/>
      <c r="P64" s="2297"/>
      <c r="Q64" s="2297"/>
      <c r="R64" s="99"/>
      <c r="S64" s="99"/>
      <c r="T64" s="99"/>
      <c r="U64" s="99"/>
      <c r="V64" s="99"/>
      <c r="AF64" s="2297"/>
      <c r="AG64" s="1208"/>
      <c r="AH64" s="1208"/>
      <c r="AI64" s="1223"/>
      <c r="AJ64" s="1223"/>
      <c r="AK64" s="1223"/>
      <c r="AL64" s="1223"/>
      <c r="AM64" s="1223"/>
      <c r="AN64" s="1223"/>
      <c r="AO64" s="1208"/>
      <c r="AP64" s="1223"/>
      <c r="AQ64" s="1208"/>
      <c r="AR64" s="1208"/>
      <c r="AS64" s="1223"/>
      <c r="AT64" s="1223"/>
      <c r="AU64" s="1208"/>
      <c r="AV64" s="1208"/>
      <c r="AW64" s="2297"/>
      <c r="BE64" s="1224"/>
      <c r="BF64" s="1225"/>
      <c r="BR64" s="1224"/>
      <c r="BS64" s="1224"/>
    </row>
    <row r="65" spans="2:71" s="491" customFormat="1">
      <c r="B65" s="2297"/>
      <c r="C65" s="2297"/>
      <c r="D65" s="2297"/>
      <c r="E65" s="2297"/>
      <c r="F65" s="2297"/>
      <c r="G65" s="2297"/>
      <c r="H65" s="2297"/>
      <c r="I65" s="2297"/>
      <c r="J65" s="2297"/>
      <c r="K65" s="2297"/>
      <c r="L65" s="2297"/>
      <c r="M65" s="2297"/>
      <c r="N65" s="2297"/>
      <c r="O65" s="2297"/>
      <c r="P65" s="2297"/>
      <c r="Q65" s="2297"/>
      <c r="R65" s="99"/>
      <c r="S65" s="99"/>
      <c r="T65" s="99"/>
      <c r="U65" s="99"/>
      <c r="V65" s="99"/>
      <c r="AF65" s="2297"/>
      <c r="AG65" s="1208"/>
      <c r="AH65" s="1208"/>
      <c r="AI65" s="1223"/>
      <c r="AJ65" s="1223"/>
      <c r="AK65" s="1223"/>
      <c r="AL65" s="1223"/>
      <c r="AM65" s="1223"/>
      <c r="AN65" s="1223"/>
      <c r="AO65" s="1208"/>
      <c r="AP65" s="1223"/>
      <c r="AQ65" s="1208"/>
      <c r="AR65" s="1208"/>
      <c r="AS65" s="1223"/>
      <c r="AT65" s="1223"/>
      <c r="AU65" s="1208"/>
      <c r="AV65" s="1208"/>
      <c r="AW65" s="2297"/>
      <c r="BE65" s="1224"/>
      <c r="BF65" s="1225"/>
      <c r="BR65" s="1224"/>
      <c r="BS65" s="1224"/>
    </row>
    <row r="66" spans="2:71" s="491" customFormat="1">
      <c r="B66" s="2297"/>
      <c r="C66" s="2297"/>
      <c r="D66" s="2297"/>
      <c r="E66" s="2297"/>
      <c r="F66" s="2297"/>
      <c r="G66" s="2297"/>
      <c r="H66" s="2297"/>
      <c r="I66" s="2297"/>
      <c r="J66" s="2297"/>
      <c r="K66" s="2297"/>
      <c r="L66" s="2297"/>
      <c r="M66" s="2297"/>
      <c r="N66" s="2297"/>
      <c r="O66" s="2297"/>
      <c r="P66" s="2297"/>
      <c r="Q66" s="2297"/>
      <c r="R66" s="99"/>
      <c r="S66" s="99"/>
      <c r="T66" s="99"/>
      <c r="U66" s="99"/>
      <c r="V66" s="99"/>
      <c r="AF66" s="2297"/>
      <c r="AG66" s="1208"/>
      <c r="AH66" s="1208"/>
      <c r="AI66" s="1223"/>
      <c r="AJ66" s="1223"/>
      <c r="AK66" s="1223"/>
      <c r="AL66" s="1223"/>
      <c r="AM66" s="1223"/>
      <c r="AN66" s="1223"/>
      <c r="AO66" s="1208"/>
      <c r="AP66" s="1223"/>
      <c r="AQ66" s="1208"/>
      <c r="AR66" s="1208"/>
      <c r="AS66" s="1223"/>
      <c r="AT66" s="1223"/>
      <c r="AU66" s="1208"/>
      <c r="AV66" s="1208"/>
      <c r="AW66" s="2297"/>
      <c r="BE66" s="1224"/>
      <c r="BF66" s="1225"/>
      <c r="BR66" s="1224"/>
      <c r="BS66" s="1224"/>
    </row>
    <row r="67" spans="2:71" s="491" customFormat="1">
      <c r="B67" s="2297"/>
      <c r="C67" s="2297"/>
      <c r="D67" s="2297"/>
      <c r="E67" s="2297"/>
      <c r="F67" s="2297"/>
      <c r="G67" s="2297"/>
      <c r="H67" s="2297"/>
      <c r="I67" s="2297"/>
      <c r="J67" s="2297"/>
      <c r="K67" s="2297"/>
      <c r="L67" s="2297"/>
      <c r="M67" s="2297"/>
      <c r="N67" s="2297"/>
      <c r="O67" s="2297"/>
      <c r="P67" s="2297"/>
      <c r="Q67" s="2297"/>
      <c r="R67" s="99"/>
      <c r="S67" s="99"/>
      <c r="T67" s="99"/>
      <c r="U67" s="99"/>
      <c r="V67" s="99"/>
      <c r="AF67" s="2297"/>
      <c r="AG67" s="1208"/>
      <c r="AH67" s="1208"/>
      <c r="AI67" s="1223"/>
      <c r="AJ67" s="1223"/>
      <c r="AK67" s="1223"/>
      <c r="AL67" s="1223"/>
      <c r="AM67" s="1223"/>
      <c r="AN67" s="1223"/>
      <c r="AO67" s="1208"/>
      <c r="AP67" s="1223"/>
      <c r="AQ67" s="1208"/>
      <c r="AR67" s="1208"/>
      <c r="AS67" s="1223"/>
      <c r="AT67" s="1223"/>
      <c r="AU67" s="1208"/>
      <c r="AV67" s="1208"/>
      <c r="AW67" s="2297"/>
      <c r="BE67" s="1224"/>
      <c r="BF67" s="1225"/>
      <c r="BR67" s="1224"/>
      <c r="BS67" s="1224"/>
    </row>
    <row r="68" spans="2:71" s="491" customFormat="1">
      <c r="B68" s="2297"/>
      <c r="C68" s="2297"/>
      <c r="D68" s="2297"/>
      <c r="E68" s="2297"/>
      <c r="F68" s="2297"/>
      <c r="G68" s="2297"/>
      <c r="H68" s="2297"/>
      <c r="I68" s="2297"/>
      <c r="J68" s="2297"/>
      <c r="K68" s="2297"/>
      <c r="L68" s="2297"/>
      <c r="M68" s="2297"/>
      <c r="N68" s="2297"/>
      <c r="O68" s="2297"/>
      <c r="P68" s="2297"/>
      <c r="Q68" s="2297"/>
      <c r="R68" s="99"/>
      <c r="S68" s="99"/>
      <c r="T68" s="99"/>
      <c r="U68" s="99"/>
      <c r="V68" s="99"/>
      <c r="AF68" s="2297"/>
      <c r="AG68" s="1208"/>
      <c r="AH68" s="1208"/>
      <c r="AI68" s="1223"/>
      <c r="AJ68" s="1223"/>
      <c r="AK68" s="1223"/>
      <c r="AL68" s="1223"/>
      <c r="AM68" s="1223"/>
      <c r="AN68" s="1223"/>
      <c r="AO68" s="1208"/>
      <c r="AP68" s="1223"/>
      <c r="AQ68" s="1208"/>
      <c r="AR68" s="1208"/>
      <c r="AS68" s="1223"/>
      <c r="AT68" s="1223"/>
      <c r="AU68" s="1208"/>
      <c r="AV68" s="1208"/>
      <c r="AW68" s="2297"/>
      <c r="BE68" s="1224"/>
      <c r="BF68" s="1225"/>
      <c r="BR68" s="1224"/>
      <c r="BS68" s="1224"/>
    </row>
    <row r="69" spans="2:71" s="491" customFormat="1">
      <c r="B69" s="2297"/>
      <c r="C69" s="2297"/>
      <c r="D69" s="2297"/>
      <c r="E69" s="2297"/>
      <c r="F69" s="2297"/>
      <c r="G69" s="2297"/>
      <c r="H69" s="2297"/>
      <c r="I69" s="2297"/>
      <c r="J69" s="2297"/>
      <c r="K69" s="2297"/>
      <c r="L69" s="2297"/>
      <c r="M69" s="2297"/>
      <c r="N69" s="2297"/>
      <c r="O69" s="2297"/>
      <c r="P69" s="2297"/>
      <c r="Q69" s="2297"/>
      <c r="R69" s="99"/>
      <c r="S69" s="99"/>
      <c r="T69" s="99"/>
      <c r="U69" s="99"/>
      <c r="V69" s="99"/>
      <c r="AF69" s="2297"/>
      <c r="AG69" s="1208"/>
      <c r="AH69" s="1208"/>
      <c r="AI69" s="1223"/>
      <c r="AJ69" s="1223"/>
      <c r="AK69" s="1223"/>
      <c r="AL69" s="1223"/>
      <c r="AM69" s="1223"/>
      <c r="AN69" s="1223"/>
      <c r="AO69" s="1208"/>
      <c r="AP69" s="1223"/>
      <c r="AQ69" s="1208"/>
      <c r="AR69" s="1208"/>
      <c r="AS69" s="1223"/>
      <c r="AT69" s="1223"/>
      <c r="AU69" s="1208"/>
      <c r="AV69" s="1208"/>
      <c r="AW69" s="2297"/>
      <c r="BE69" s="1224"/>
      <c r="BF69" s="1225"/>
      <c r="BR69" s="1224"/>
      <c r="BS69" s="1224"/>
    </row>
    <row r="70" spans="2:71" s="491" customFormat="1">
      <c r="B70" s="2297"/>
      <c r="C70" s="2297"/>
      <c r="D70" s="2297"/>
      <c r="E70" s="2297"/>
      <c r="F70" s="2297"/>
      <c r="G70" s="2297"/>
      <c r="H70" s="2297"/>
      <c r="I70" s="2297"/>
      <c r="J70" s="2297"/>
      <c r="K70" s="2297"/>
      <c r="L70" s="2297"/>
      <c r="M70" s="2297"/>
      <c r="N70" s="2297"/>
      <c r="O70" s="2297"/>
      <c r="P70" s="2297"/>
      <c r="Q70" s="2297"/>
      <c r="R70" s="99"/>
      <c r="S70" s="99"/>
      <c r="T70" s="99"/>
      <c r="U70" s="99"/>
      <c r="V70" s="99"/>
      <c r="AF70" s="2297"/>
      <c r="AG70" s="1208"/>
      <c r="AH70" s="1208"/>
      <c r="AI70" s="1223"/>
      <c r="AJ70" s="1223"/>
      <c r="AK70" s="1223"/>
      <c r="AL70" s="1223"/>
      <c r="AM70" s="1223"/>
      <c r="AN70" s="1223"/>
      <c r="AO70" s="1208"/>
      <c r="AP70" s="1223"/>
      <c r="AQ70" s="1208"/>
      <c r="AR70" s="1208"/>
      <c r="AS70" s="1223"/>
      <c r="AT70" s="1223"/>
      <c r="AU70" s="1208"/>
      <c r="AV70" s="1208"/>
      <c r="AW70" s="2297"/>
      <c r="BE70" s="1224"/>
      <c r="BF70" s="1225"/>
      <c r="BR70" s="1224"/>
      <c r="BS70" s="1224"/>
    </row>
    <row r="71" spans="2:71" s="491" customFormat="1">
      <c r="B71" s="2297"/>
      <c r="C71" s="2297"/>
      <c r="D71" s="2297"/>
      <c r="E71" s="2297"/>
      <c r="F71" s="2297"/>
      <c r="G71" s="2297"/>
      <c r="H71" s="2297"/>
      <c r="I71" s="2297"/>
      <c r="J71" s="2297"/>
      <c r="K71" s="2297"/>
      <c r="L71" s="2297"/>
      <c r="M71" s="2297"/>
      <c r="N71" s="2297"/>
      <c r="O71" s="2297"/>
      <c r="P71" s="2297"/>
      <c r="Q71" s="2297"/>
      <c r="R71" s="99"/>
      <c r="S71" s="99"/>
      <c r="T71" s="99"/>
      <c r="U71" s="99"/>
      <c r="V71" s="99"/>
      <c r="AF71" s="2297"/>
      <c r="AG71" s="1208"/>
      <c r="AH71" s="1208"/>
      <c r="AI71" s="1223"/>
      <c r="AJ71" s="1223"/>
      <c r="AK71" s="1223"/>
      <c r="AL71" s="1223"/>
      <c r="AM71" s="1223"/>
      <c r="AN71" s="1223"/>
      <c r="AO71" s="1208"/>
      <c r="AP71" s="1223"/>
      <c r="AQ71" s="1208"/>
      <c r="AR71" s="1208"/>
      <c r="AS71" s="1223"/>
      <c r="AT71" s="1223"/>
      <c r="AU71" s="1208"/>
      <c r="AV71" s="1208"/>
      <c r="AW71" s="2297"/>
      <c r="BE71" s="1224"/>
      <c r="BF71" s="1225"/>
      <c r="BR71" s="1224"/>
      <c r="BS71" s="1224"/>
    </row>
    <row r="72" spans="2:71" s="491" customFormat="1">
      <c r="B72" s="2297"/>
      <c r="C72" s="2297"/>
      <c r="D72" s="2297"/>
      <c r="E72" s="2297"/>
      <c r="F72" s="2297"/>
      <c r="G72" s="2297"/>
      <c r="H72" s="2297"/>
      <c r="I72" s="2297"/>
      <c r="J72" s="2297"/>
      <c r="K72" s="2297"/>
      <c r="L72" s="2297"/>
      <c r="M72" s="2297"/>
      <c r="N72" s="2297"/>
      <c r="O72" s="2297"/>
      <c r="P72" s="2297"/>
      <c r="Q72" s="2297"/>
      <c r="R72" s="99"/>
      <c r="S72" s="99"/>
      <c r="T72" s="99"/>
      <c r="U72" s="99"/>
      <c r="V72" s="99"/>
      <c r="AF72" s="2297"/>
      <c r="AG72" s="1208"/>
      <c r="AH72" s="1208"/>
      <c r="AI72" s="1223"/>
      <c r="AJ72" s="1223"/>
      <c r="AK72" s="1223"/>
      <c r="AL72" s="1223"/>
      <c r="AM72" s="1223"/>
      <c r="AN72" s="1223"/>
      <c r="AO72" s="1208"/>
      <c r="AP72" s="1223"/>
      <c r="AQ72" s="1208"/>
      <c r="AR72" s="1208"/>
      <c r="AS72" s="1223"/>
      <c r="AT72" s="1223"/>
      <c r="AU72" s="1208"/>
      <c r="AV72" s="1208"/>
      <c r="AW72" s="2297"/>
      <c r="BE72" s="1224"/>
      <c r="BF72" s="1225"/>
      <c r="BR72" s="1224"/>
      <c r="BS72" s="1224"/>
    </row>
    <row r="73" spans="2:71" s="491" customFormat="1">
      <c r="B73" s="2297"/>
      <c r="C73" s="2297"/>
      <c r="D73" s="2297"/>
      <c r="E73" s="2297"/>
      <c r="F73" s="2297"/>
      <c r="G73" s="2297"/>
      <c r="H73" s="2297"/>
      <c r="I73" s="2297"/>
      <c r="J73" s="2297"/>
      <c r="K73" s="2297"/>
      <c r="L73" s="2297"/>
      <c r="M73" s="2297"/>
      <c r="N73" s="2297"/>
      <c r="O73" s="2297"/>
      <c r="P73" s="2297"/>
      <c r="Q73" s="2297"/>
      <c r="R73" s="99"/>
      <c r="S73" s="99"/>
      <c r="T73" s="99"/>
      <c r="U73" s="99"/>
      <c r="V73" s="99"/>
      <c r="AF73" s="2297"/>
      <c r="AG73" s="1208"/>
      <c r="AH73" s="1208"/>
      <c r="AI73" s="1223"/>
      <c r="AJ73" s="1223"/>
      <c r="AK73" s="1223"/>
      <c r="AL73" s="1223"/>
      <c r="AM73" s="1223"/>
      <c r="AN73" s="1223"/>
      <c r="AO73" s="1208"/>
      <c r="AP73" s="1223"/>
      <c r="AQ73" s="1208"/>
      <c r="AR73" s="1208"/>
      <c r="AS73" s="1223"/>
      <c r="AT73" s="1223"/>
      <c r="AU73" s="1208"/>
      <c r="AV73" s="1208"/>
      <c r="AW73" s="2297"/>
      <c r="BE73" s="1224"/>
      <c r="BF73" s="1225"/>
      <c r="BR73" s="1224"/>
      <c r="BS73" s="1224"/>
    </row>
    <row r="74" spans="2:71" s="491" customFormat="1">
      <c r="B74" s="2297"/>
      <c r="C74" s="2297"/>
      <c r="D74" s="2297"/>
      <c r="E74" s="2297"/>
      <c r="F74" s="2297"/>
      <c r="G74" s="2297"/>
      <c r="H74" s="2297"/>
      <c r="I74" s="2297"/>
      <c r="J74" s="2297"/>
      <c r="K74" s="2297"/>
      <c r="L74" s="2297"/>
      <c r="M74" s="2297"/>
      <c r="N74" s="2297"/>
      <c r="O74" s="2297"/>
      <c r="P74" s="2297"/>
      <c r="Q74" s="2297"/>
      <c r="R74" s="99"/>
      <c r="S74" s="99"/>
      <c r="T74" s="99"/>
      <c r="U74" s="99"/>
      <c r="V74" s="99"/>
      <c r="AF74" s="2297"/>
      <c r="AG74" s="1208"/>
      <c r="AH74" s="1208"/>
      <c r="AI74" s="1223"/>
      <c r="AJ74" s="1223"/>
      <c r="AK74" s="1223"/>
      <c r="AL74" s="1223"/>
      <c r="AM74" s="1223"/>
      <c r="AN74" s="1223"/>
      <c r="AO74" s="1208"/>
      <c r="AP74" s="1223"/>
      <c r="AQ74" s="1208"/>
      <c r="AR74" s="1208"/>
      <c r="AS74" s="1223"/>
      <c r="AT74" s="1223"/>
      <c r="AU74" s="1208"/>
      <c r="AV74" s="1208"/>
      <c r="AW74" s="2297"/>
      <c r="BE74" s="1224"/>
      <c r="BF74" s="1225"/>
      <c r="BR74" s="1224"/>
      <c r="BS74" s="1224"/>
    </row>
    <row r="75" spans="2:71" s="491" customFormat="1">
      <c r="B75" s="2297"/>
      <c r="C75" s="2297"/>
      <c r="D75" s="2297"/>
      <c r="E75" s="2297"/>
      <c r="F75" s="2297"/>
      <c r="G75" s="2297"/>
      <c r="H75" s="2297"/>
      <c r="I75" s="2297"/>
      <c r="J75" s="2297"/>
      <c r="K75" s="2297"/>
      <c r="L75" s="2297"/>
      <c r="M75" s="2297"/>
      <c r="N75" s="2297"/>
      <c r="O75" s="2297"/>
      <c r="P75" s="2297"/>
      <c r="Q75" s="2297"/>
      <c r="R75" s="99"/>
      <c r="S75" s="99"/>
      <c r="T75" s="99"/>
      <c r="U75" s="99"/>
      <c r="V75" s="99"/>
      <c r="AF75" s="2297"/>
      <c r="AG75" s="1208"/>
      <c r="AH75" s="1208"/>
      <c r="AI75" s="1223"/>
      <c r="AJ75" s="1223"/>
      <c r="AK75" s="1223"/>
      <c r="AL75" s="1223"/>
      <c r="AM75" s="1223"/>
      <c r="AN75" s="1223"/>
      <c r="AO75" s="1208"/>
      <c r="AP75" s="1223"/>
      <c r="AQ75" s="1208"/>
      <c r="AR75" s="1208"/>
      <c r="AS75" s="1223"/>
      <c r="AT75" s="1223"/>
      <c r="AU75" s="1208"/>
      <c r="AV75" s="1208"/>
      <c r="AW75" s="2297"/>
      <c r="BE75" s="1224"/>
      <c r="BF75" s="1225"/>
      <c r="BR75" s="1224"/>
      <c r="BS75" s="1224"/>
    </row>
    <row r="76" spans="2:71" s="491" customFormat="1">
      <c r="B76" s="2297"/>
      <c r="C76" s="2297"/>
      <c r="D76" s="2297"/>
      <c r="E76" s="2297"/>
      <c r="F76" s="2297"/>
      <c r="G76" s="2297"/>
      <c r="H76" s="2297"/>
      <c r="I76" s="2297"/>
      <c r="J76" s="2297"/>
      <c r="K76" s="2297"/>
      <c r="L76" s="2297"/>
      <c r="M76" s="2297"/>
      <c r="N76" s="2297"/>
      <c r="O76" s="2297"/>
      <c r="P76" s="2297"/>
      <c r="Q76" s="2297"/>
      <c r="R76" s="99"/>
      <c r="S76" s="99"/>
      <c r="T76" s="99"/>
      <c r="U76" s="99"/>
      <c r="V76" s="99"/>
      <c r="AF76" s="2297"/>
      <c r="AG76" s="1208"/>
      <c r="AH76" s="1208"/>
      <c r="AI76" s="1223"/>
      <c r="AJ76" s="1223"/>
      <c r="AK76" s="1223"/>
      <c r="AL76" s="1223"/>
      <c r="AM76" s="1223"/>
      <c r="AN76" s="1223"/>
      <c r="AO76" s="1208"/>
      <c r="AP76" s="1223"/>
      <c r="AQ76" s="1208"/>
      <c r="AR76" s="1208"/>
      <c r="AS76" s="1223"/>
      <c r="AT76" s="1223"/>
      <c r="AU76" s="1208"/>
      <c r="AV76" s="1208"/>
      <c r="AW76" s="2297"/>
      <c r="BE76" s="1224"/>
      <c r="BF76" s="1225"/>
      <c r="BR76" s="1224"/>
      <c r="BS76" s="1224"/>
    </row>
    <row r="77" spans="2:71" s="491" customFormat="1">
      <c r="B77" s="2297"/>
      <c r="C77" s="2297"/>
      <c r="D77" s="2297"/>
      <c r="E77" s="2297"/>
      <c r="F77" s="2297"/>
      <c r="G77" s="2297"/>
      <c r="H77" s="2297"/>
      <c r="I77" s="2297"/>
      <c r="J77" s="2297"/>
      <c r="K77" s="2297"/>
      <c r="L77" s="2297"/>
      <c r="M77" s="2297"/>
      <c r="N77" s="2297"/>
      <c r="O77" s="2297"/>
      <c r="P77" s="2297"/>
      <c r="Q77" s="2297"/>
      <c r="R77" s="99"/>
      <c r="S77" s="99"/>
      <c r="T77" s="99"/>
      <c r="U77" s="99"/>
      <c r="V77" s="99"/>
      <c r="AF77" s="2297"/>
      <c r="AG77" s="1208"/>
      <c r="AH77" s="1208"/>
      <c r="AI77" s="1223"/>
      <c r="AJ77" s="1223"/>
      <c r="AK77" s="1223"/>
      <c r="AL77" s="1223"/>
      <c r="AM77" s="1223"/>
      <c r="AN77" s="1223"/>
      <c r="AO77" s="1208"/>
      <c r="AP77" s="1223"/>
      <c r="AQ77" s="1208"/>
      <c r="AR77" s="1208"/>
      <c r="AS77" s="1223"/>
      <c r="AT77" s="1223"/>
      <c r="AU77" s="1208"/>
      <c r="AV77" s="1208"/>
      <c r="AW77" s="2297"/>
      <c r="BE77" s="1224"/>
      <c r="BF77" s="1225"/>
      <c r="BR77" s="1224"/>
      <c r="BS77" s="1224"/>
    </row>
    <row r="78" spans="2:71" s="491" customFormat="1">
      <c r="B78" s="2297"/>
      <c r="C78" s="2297"/>
      <c r="D78" s="2297"/>
      <c r="E78" s="2297"/>
      <c r="F78" s="2297"/>
      <c r="G78" s="2297"/>
      <c r="H78" s="2297"/>
      <c r="I78" s="2297"/>
      <c r="J78" s="2297"/>
      <c r="K78" s="2297"/>
      <c r="L78" s="2297"/>
      <c r="M78" s="2297"/>
      <c r="N78" s="2297"/>
      <c r="O78" s="2297"/>
      <c r="P78" s="2297"/>
      <c r="Q78" s="2297"/>
      <c r="R78" s="99"/>
      <c r="S78" s="99"/>
      <c r="T78" s="99"/>
      <c r="U78" s="99"/>
      <c r="V78" s="99"/>
      <c r="AF78" s="2297"/>
      <c r="AG78" s="1208"/>
      <c r="AH78" s="1208"/>
      <c r="AI78" s="1223"/>
      <c r="AJ78" s="1223"/>
      <c r="AK78" s="1223"/>
      <c r="AL78" s="1223"/>
      <c r="AM78" s="1223"/>
      <c r="AN78" s="1223"/>
      <c r="AO78" s="1208"/>
      <c r="AP78" s="1223"/>
      <c r="AQ78" s="1208"/>
      <c r="AR78" s="1208"/>
      <c r="AS78" s="1223"/>
      <c r="AT78" s="1223"/>
      <c r="AU78" s="1208"/>
      <c r="AV78" s="1208"/>
      <c r="AW78" s="2297"/>
      <c r="BE78" s="1224"/>
      <c r="BF78" s="1225"/>
      <c r="BR78" s="1224"/>
      <c r="BS78" s="1224"/>
    </row>
    <row r="79" spans="2:71" s="491" customFormat="1">
      <c r="B79" s="2297"/>
      <c r="C79" s="2297"/>
      <c r="D79" s="2297"/>
      <c r="E79" s="2297"/>
      <c r="F79" s="2297"/>
      <c r="G79" s="2297"/>
      <c r="H79" s="2297"/>
      <c r="I79" s="2297"/>
      <c r="J79" s="2297"/>
      <c r="K79" s="2297"/>
      <c r="L79" s="2297"/>
      <c r="M79" s="2297"/>
      <c r="N79" s="2297"/>
      <c r="O79" s="2297"/>
      <c r="P79" s="2297"/>
      <c r="Q79" s="2297"/>
      <c r="R79" s="99"/>
      <c r="S79" s="99"/>
      <c r="T79" s="99"/>
      <c r="U79" s="99"/>
      <c r="V79" s="99"/>
      <c r="AF79" s="2297"/>
      <c r="AG79" s="1208"/>
      <c r="AH79" s="1208"/>
      <c r="AI79" s="1223"/>
      <c r="AJ79" s="1223"/>
      <c r="AK79" s="1223"/>
      <c r="AL79" s="1223"/>
      <c r="AM79" s="1223"/>
      <c r="AN79" s="1223"/>
      <c r="AO79" s="1208"/>
      <c r="AP79" s="1223"/>
      <c r="AQ79" s="1208"/>
      <c r="AR79" s="1208"/>
      <c r="AS79" s="1223"/>
      <c r="AT79" s="1223"/>
      <c r="AU79" s="1208"/>
      <c r="AV79" s="1208"/>
      <c r="AW79" s="2297"/>
      <c r="BE79" s="1224"/>
      <c r="BF79" s="1225"/>
      <c r="BR79" s="1224"/>
      <c r="BS79" s="1224"/>
    </row>
    <row r="80" spans="2:71" s="491" customFormat="1">
      <c r="B80" s="2297"/>
      <c r="C80" s="2297"/>
      <c r="D80" s="2297"/>
      <c r="E80" s="2297"/>
      <c r="F80" s="2297"/>
      <c r="G80" s="2297"/>
      <c r="H80" s="2297"/>
      <c r="I80" s="2297"/>
      <c r="J80" s="2297"/>
      <c r="K80" s="2297"/>
      <c r="L80" s="2297"/>
      <c r="M80" s="2297"/>
      <c r="N80" s="2297"/>
      <c r="O80" s="2297"/>
      <c r="P80" s="2297"/>
      <c r="Q80" s="2297"/>
      <c r="R80" s="99"/>
      <c r="S80" s="99"/>
      <c r="T80" s="99"/>
      <c r="U80" s="99"/>
      <c r="V80" s="99"/>
      <c r="AF80" s="2297"/>
      <c r="AG80" s="1208"/>
      <c r="AH80" s="1208"/>
      <c r="AI80" s="1223"/>
      <c r="AJ80" s="1223"/>
      <c r="AK80" s="1223"/>
      <c r="AL80" s="1223"/>
      <c r="AM80" s="1223"/>
      <c r="AN80" s="1223"/>
      <c r="AO80" s="1208"/>
      <c r="AP80" s="1223"/>
      <c r="AQ80" s="1208"/>
      <c r="AR80" s="1208"/>
      <c r="AS80" s="1223"/>
      <c r="AT80" s="1223"/>
      <c r="AU80" s="1208"/>
      <c r="AV80" s="1208"/>
      <c r="AW80" s="2297"/>
      <c r="BE80" s="1224"/>
      <c r="BF80" s="1225"/>
      <c r="BR80" s="1224"/>
      <c r="BS80" s="1224"/>
    </row>
    <row r="81" spans="2:71" s="491" customFormat="1">
      <c r="B81" s="2297"/>
      <c r="C81" s="2297"/>
      <c r="D81" s="2297"/>
      <c r="E81" s="2297"/>
      <c r="F81" s="2297"/>
      <c r="G81" s="2297"/>
      <c r="H81" s="2297"/>
      <c r="I81" s="2297"/>
      <c r="J81" s="2297"/>
      <c r="K81" s="2297"/>
      <c r="L81" s="2297"/>
      <c r="M81" s="2297"/>
      <c r="N81" s="2297"/>
      <c r="O81" s="2297"/>
      <c r="P81" s="2297"/>
      <c r="Q81" s="2297"/>
      <c r="R81" s="99"/>
      <c r="S81" s="99"/>
      <c r="T81" s="99"/>
      <c r="U81" s="99"/>
      <c r="V81" s="99"/>
      <c r="AF81" s="2297"/>
      <c r="AG81" s="1208"/>
      <c r="AH81" s="1208"/>
      <c r="AI81" s="1223"/>
      <c r="AJ81" s="1223"/>
      <c r="AK81" s="1223"/>
      <c r="AL81" s="1223"/>
      <c r="AM81" s="1223"/>
      <c r="AN81" s="1223"/>
      <c r="AO81" s="1208"/>
      <c r="AP81" s="1223"/>
      <c r="AQ81" s="1208"/>
      <c r="AR81" s="1208"/>
      <c r="AS81" s="1223"/>
      <c r="AT81" s="1223"/>
      <c r="AU81" s="1208"/>
      <c r="AV81" s="1208"/>
      <c r="AW81" s="2297"/>
      <c r="BE81" s="1224"/>
      <c r="BF81" s="1225"/>
      <c r="BR81" s="1224"/>
      <c r="BS81" s="1224"/>
    </row>
    <row r="82" spans="2:71" s="491" customFormat="1">
      <c r="B82" s="2297"/>
      <c r="C82" s="2297"/>
      <c r="D82" s="2297"/>
      <c r="E82" s="2297"/>
      <c r="F82" s="2297"/>
      <c r="G82" s="2297"/>
      <c r="H82" s="2297"/>
      <c r="I82" s="2297"/>
      <c r="J82" s="2297"/>
      <c r="K82" s="2297"/>
      <c r="L82" s="2297"/>
      <c r="M82" s="2297"/>
      <c r="N82" s="2297"/>
      <c r="O82" s="2297"/>
      <c r="P82" s="2297"/>
      <c r="Q82" s="2297"/>
      <c r="R82" s="99"/>
      <c r="S82" s="99"/>
      <c r="T82" s="99"/>
      <c r="U82" s="99"/>
      <c r="V82" s="99"/>
      <c r="AF82" s="2297"/>
      <c r="AG82" s="1208"/>
      <c r="AH82" s="1208"/>
      <c r="AI82" s="1223"/>
      <c r="AJ82" s="1223"/>
      <c r="AK82" s="1223"/>
      <c r="AL82" s="1223"/>
      <c r="AM82" s="1223"/>
      <c r="AN82" s="1223"/>
      <c r="AO82" s="1208"/>
      <c r="AP82" s="1223"/>
      <c r="AQ82" s="1208"/>
      <c r="AR82" s="1208"/>
      <c r="AS82" s="1223"/>
      <c r="AT82" s="1223"/>
      <c r="AU82" s="1208"/>
      <c r="AV82" s="1208"/>
      <c r="AW82" s="2297"/>
      <c r="BE82" s="1224"/>
      <c r="BF82" s="1225"/>
      <c r="BR82" s="1224"/>
      <c r="BS82" s="1224"/>
    </row>
    <row r="83" spans="2:71" s="491" customFormat="1">
      <c r="B83" s="2297"/>
      <c r="C83" s="2297"/>
      <c r="D83" s="2297"/>
      <c r="E83" s="2297"/>
      <c r="F83" s="2297"/>
      <c r="G83" s="2297"/>
      <c r="H83" s="2297"/>
      <c r="I83" s="2297"/>
      <c r="J83" s="2297"/>
      <c r="K83" s="2297"/>
      <c r="L83" s="2297"/>
      <c r="M83" s="2297"/>
      <c r="N83" s="2297"/>
      <c r="O83" s="2297"/>
      <c r="P83" s="2297"/>
      <c r="Q83" s="2297"/>
      <c r="R83" s="99"/>
      <c r="S83" s="99"/>
      <c r="T83" s="99"/>
      <c r="U83" s="99"/>
      <c r="V83" s="99"/>
      <c r="AF83" s="2297"/>
      <c r="AG83" s="1208"/>
      <c r="AH83" s="1208"/>
      <c r="AI83" s="1223"/>
      <c r="AJ83" s="1223"/>
      <c r="AK83" s="1223"/>
      <c r="AL83" s="1223"/>
      <c r="AM83" s="1223"/>
      <c r="AN83" s="1223"/>
      <c r="AO83" s="1208"/>
      <c r="AP83" s="1223"/>
      <c r="AQ83" s="1208"/>
      <c r="AR83" s="1208"/>
      <c r="AS83" s="1223"/>
      <c r="AT83" s="1223"/>
      <c r="AU83" s="1208"/>
      <c r="AV83" s="1208"/>
      <c r="AW83" s="2297"/>
      <c r="BE83" s="1224"/>
      <c r="BF83" s="1225"/>
      <c r="BR83" s="1224"/>
      <c r="BS83" s="1224"/>
    </row>
    <row r="84" spans="2:71" s="491" customFormat="1">
      <c r="B84" s="2297"/>
      <c r="C84" s="2297"/>
      <c r="D84" s="2297"/>
      <c r="E84" s="2297"/>
      <c r="F84" s="2297"/>
      <c r="G84" s="2297"/>
      <c r="H84" s="2297"/>
      <c r="I84" s="2297"/>
      <c r="J84" s="2297"/>
      <c r="K84" s="2297"/>
      <c r="L84" s="2297"/>
      <c r="M84" s="2297"/>
      <c r="N84" s="2297"/>
      <c r="O84" s="2297"/>
      <c r="P84" s="2297"/>
      <c r="Q84" s="2297"/>
      <c r="R84" s="99"/>
      <c r="S84" s="99"/>
      <c r="T84" s="99"/>
      <c r="U84" s="99"/>
      <c r="V84" s="99"/>
      <c r="AF84" s="2297"/>
      <c r="AG84" s="1208"/>
      <c r="AH84" s="1208"/>
      <c r="AI84" s="1223"/>
      <c r="AJ84" s="1223"/>
      <c r="AK84" s="1223"/>
      <c r="AL84" s="1223"/>
      <c r="AM84" s="1223"/>
      <c r="AN84" s="1223"/>
      <c r="AO84" s="1208"/>
      <c r="AP84" s="1223"/>
      <c r="AQ84" s="1208"/>
      <c r="AR84" s="1208"/>
      <c r="AS84" s="1223"/>
      <c r="AT84" s="1223"/>
      <c r="AU84" s="1208"/>
      <c r="AV84" s="1208"/>
      <c r="AW84" s="2297"/>
      <c r="BE84" s="1224"/>
      <c r="BF84" s="1225"/>
      <c r="BR84" s="1224"/>
      <c r="BS84" s="1224"/>
    </row>
    <row r="85" spans="2:71" s="491" customFormat="1">
      <c r="B85" s="2297"/>
      <c r="C85" s="2297"/>
      <c r="D85" s="2297"/>
      <c r="E85" s="2297"/>
      <c r="F85" s="2297"/>
      <c r="G85" s="2297"/>
      <c r="H85" s="2297"/>
      <c r="I85" s="2297"/>
      <c r="J85" s="2297"/>
      <c r="K85" s="2297"/>
      <c r="L85" s="2297"/>
      <c r="M85" s="2297"/>
      <c r="N85" s="2297"/>
      <c r="O85" s="2297"/>
      <c r="P85" s="2297"/>
      <c r="Q85" s="2297"/>
      <c r="R85" s="99"/>
      <c r="S85" s="99"/>
      <c r="T85" s="99"/>
      <c r="U85" s="99"/>
      <c r="V85" s="99"/>
      <c r="AF85" s="2297"/>
      <c r="AG85" s="1208"/>
      <c r="AH85" s="1208"/>
      <c r="AI85" s="1223"/>
      <c r="AJ85" s="1223"/>
      <c r="AK85" s="1223"/>
      <c r="AL85" s="1223"/>
      <c r="AM85" s="1223"/>
      <c r="AN85" s="1223"/>
      <c r="AO85" s="1208"/>
      <c r="AP85" s="1223"/>
      <c r="AQ85" s="1208"/>
      <c r="AR85" s="1208"/>
      <c r="AS85" s="1223"/>
      <c r="AT85" s="1223"/>
      <c r="AU85" s="1208"/>
      <c r="AV85" s="1208"/>
      <c r="AW85" s="2297"/>
      <c r="BE85" s="1224"/>
      <c r="BF85" s="1225"/>
      <c r="BR85" s="1224"/>
      <c r="BS85" s="1224"/>
    </row>
    <row r="86" spans="2:71" s="491" customFormat="1">
      <c r="B86" s="2297"/>
      <c r="C86" s="2297"/>
      <c r="D86" s="2297"/>
      <c r="E86" s="2297"/>
      <c r="F86" s="2297"/>
      <c r="G86" s="2297"/>
      <c r="H86" s="2297"/>
      <c r="I86" s="2297"/>
      <c r="J86" s="2297"/>
      <c r="K86" s="2297"/>
      <c r="L86" s="2297"/>
      <c r="M86" s="2297"/>
      <c r="N86" s="2297"/>
      <c r="O86" s="2297"/>
      <c r="P86" s="2297"/>
      <c r="Q86" s="2297"/>
      <c r="R86" s="99"/>
      <c r="S86" s="99"/>
      <c r="T86" s="99"/>
      <c r="U86" s="99"/>
      <c r="V86" s="99"/>
      <c r="AF86" s="2297"/>
      <c r="AG86" s="1208"/>
      <c r="AH86" s="1208"/>
      <c r="AI86" s="1223"/>
      <c r="AJ86" s="1223"/>
      <c r="AK86" s="1223"/>
      <c r="AL86" s="1223"/>
      <c r="AM86" s="1223"/>
      <c r="AN86" s="1223"/>
      <c r="AO86" s="1208"/>
      <c r="AP86" s="1223"/>
      <c r="AQ86" s="1208"/>
      <c r="AR86" s="1208"/>
      <c r="AS86" s="1223"/>
      <c r="AT86" s="1223"/>
      <c r="AU86" s="1208"/>
      <c r="AV86" s="1208"/>
      <c r="AW86" s="2297"/>
      <c r="BE86" s="1224"/>
      <c r="BF86" s="1225"/>
      <c r="BR86" s="1224"/>
      <c r="BS86" s="1224"/>
    </row>
    <row r="87" spans="2:71" s="491" customFormat="1">
      <c r="B87" s="2297"/>
      <c r="C87" s="2297"/>
      <c r="D87" s="2297"/>
      <c r="E87" s="2297"/>
      <c r="F87" s="2297"/>
      <c r="G87" s="2297"/>
      <c r="H87" s="2297"/>
      <c r="I87" s="2297"/>
      <c r="J87" s="2297"/>
      <c r="K87" s="2297"/>
      <c r="L87" s="2297"/>
      <c r="M87" s="2297"/>
      <c r="N87" s="2297"/>
      <c r="O87" s="2297"/>
      <c r="P87" s="2297"/>
      <c r="Q87" s="2297"/>
      <c r="R87" s="99"/>
      <c r="S87" s="99"/>
      <c r="T87" s="99"/>
      <c r="U87" s="99"/>
      <c r="V87" s="99"/>
      <c r="AF87" s="2297"/>
      <c r="AG87" s="1208"/>
      <c r="AH87" s="1208"/>
      <c r="AI87" s="1223"/>
      <c r="AJ87" s="1223"/>
      <c r="AK87" s="1223"/>
      <c r="AL87" s="1223"/>
      <c r="AM87" s="1223"/>
      <c r="AN87" s="1223"/>
      <c r="AO87" s="1208"/>
      <c r="AP87" s="1223"/>
      <c r="AQ87" s="1208"/>
      <c r="AR87" s="1208"/>
      <c r="AS87" s="1223"/>
      <c r="AT87" s="1223"/>
      <c r="AU87" s="1208"/>
      <c r="AV87" s="1208"/>
      <c r="AW87" s="2297"/>
      <c r="BE87" s="1224"/>
      <c r="BF87" s="1225"/>
      <c r="BR87" s="1224"/>
      <c r="BS87" s="1224"/>
    </row>
    <row r="88" spans="2:71" s="491" customFormat="1">
      <c r="B88" s="2297"/>
      <c r="C88" s="2297"/>
      <c r="D88" s="2297"/>
      <c r="E88" s="2297"/>
      <c r="F88" s="2297"/>
      <c r="G88" s="2297"/>
      <c r="H88" s="2297"/>
      <c r="I88" s="2297"/>
      <c r="J88" s="2297"/>
      <c r="K88" s="2297"/>
      <c r="L88" s="2297"/>
      <c r="M88" s="2297"/>
      <c r="N88" s="2297"/>
      <c r="O88" s="2297"/>
      <c r="P88" s="2297"/>
      <c r="Q88" s="2297"/>
      <c r="R88" s="99"/>
      <c r="S88" s="99"/>
      <c r="T88" s="99"/>
      <c r="U88" s="99"/>
      <c r="V88" s="99"/>
      <c r="AF88" s="2297"/>
      <c r="AG88" s="1208"/>
      <c r="AH88" s="1208"/>
      <c r="AI88" s="1223"/>
      <c r="AJ88" s="1223"/>
      <c r="AK88" s="1223"/>
      <c r="AL88" s="1223"/>
      <c r="AM88" s="1223"/>
      <c r="AN88" s="1223"/>
      <c r="AO88" s="1208"/>
      <c r="AP88" s="1223"/>
      <c r="AQ88" s="1208"/>
      <c r="AR88" s="1208"/>
      <c r="AS88" s="1223"/>
      <c r="AT88" s="1223"/>
      <c r="AU88" s="1208"/>
      <c r="AV88" s="1208"/>
      <c r="AW88" s="2297"/>
      <c r="BE88" s="1224"/>
      <c r="BF88" s="1225"/>
      <c r="BR88" s="1224"/>
      <c r="BS88" s="1224"/>
    </row>
    <row r="89" spans="2:71" s="491" customFormat="1">
      <c r="B89" s="2297"/>
      <c r="C89" s="2297"/>
      <c r="D89" s="2297"/>
      <c r="E89" s="2297"/>
      <c r="F89" s="2297"/>
      <c r="G89" s="2297"/>
      <c r="H89" s="2297"/>
      <c r="I89" s="2297"/>
      <c r="J89" s="2297"/>
      <c r="K89" s="2297"/>
      <c r="L89" s="2297"/>
      <c r="M89" s="2297"/>
      <c r="N89" s="2297"/>
      <c r="O89" s="2297"/>
      <c r="P89" s="2297"/>
      <c r="Q89" s="2297"/>
      <c r="R89" s="99"/>
      <c r="S89" s="99"/>
      <c r="T89" s="99"/>
      <c r="U89" s="99"/>
      <c r="V89" s="99"/>
      <c r="AF89" s="2297"/>
      <c r="AG89" s="1208"/>
      <c r="AH89" s="1208"/>
      <c r="AI89" s="1223"/>
      <c r="AJ89" s="1223"/>
      <c r="AK89" s="1223"/>
      <c r="AL89" s="1223"/>
      <c r="AM89" s="1223"/>
      <c r="AN89" s="1223"/>
      <c r="AO89" s="1208"/>
      <c r="AP89" s="1223"/>
      <c r="AQ89" s="1208"/>
      <c r="AR89" s="1208"/>
      <c r="AS89" s="1223"/>
      <c r="AT89" s="1223"/>
      <c r="AU89" s="1208"/>
      <c r="AV89" s="1208"/>
      <c r="AW89" s="2297"/>
      <c r="BE89" s="1224"/>
      <c r="BF89" s="1225"/>
      <c r="BR89" s="1224"/>
      <c r="BS89" s="1224"/>
    </row>
    <row r="90" spans="2:71" s="491" customFormat="1">
      <c r="B90" s="2297"/>
      <c r="C90" s="2297"/>
      <c r="D90" s="2297"/>
      <c r="E90" s="2297"/>
      <c r="F90" s="2297"/>
      <c r="G90" s="2297"/>
      <c r="H90" s="2297"/>
      <c r="I90" s="2297"/>
      <c r="J90" s="2297"/>
      <c r="K90" s="2297"/>
      <c r="L90" s="2297"/>
      <c r="M90" s="2297"/>
      <c r="N90" s="2297"/>
      <c r="O90" s="2297"/>
      <c r="P90" s="2297"/>
      <c r="Q90" s="2297"/>
      <c r="R90" s="99"/>
      <c r="S90" s="99"/>
      <c r="T90" s="99"/>
      <c r="U90" s="99"/>
      <c r="V90" s="99"/>
      <c r="AF90" s="2297"/>
      <c r="AG90" s="1208"/>
      <c r="AH90" s="1208"/>
      <c r="AI90" s="1223"/>
      <c r="AJ90" s="1223"/>
      <c r="AK90" s="1223"/>
      <c r="AL90" s="1223"/>
      <c r="AM90" s="1223"/>
      <c r="AN90" s="1223"/>
      <c r="AO90" s="1208"/>
      <c r="AP90" s="1223"/>
      <c r="AQ90" s="1208"/>
      <c r="AR90" s="1208"/>
      <c r="AS90" s="1223"/>
      <c r="AT90" s="1223"/>
      <c r="AU90" s="1208"/>
      <c r="AV90" s="1208"/>
      <c r="AW90" s="2297"/>
      <c r="BE90" s="1224"/>
      <c r="BF90" s="1225"/>
      <c r="BR90" s="1224"/>
      <c r="BS90" s="1224"/>
    </row>
    <row r="91" spans="2:71" s="491" customFormat="1">
      <c r="B91" s="2297"/>
      <c r="C91" s="2297"/>
      <c r="D91" s="2297"/>
      <c r="E91" s="2297"/>
      <c r="F91" s="2297"/>
      <c r="G91" s="2297"/>
      <c r="H91" s="2297"/>
      <c r="I91" s="2297"/>
      <c r="J91" s="2297"/>
      <c r="K91" s="2297"/>
      <c r="L91" s="2297"/>
      <c r="M91" s="2297"/>
      <c r="N91" s="2297"/>
      <c r="O91" s="2297"/>
      <c r="P91" s="2297"/>
      <c r="Q91" s="2297"/>
      <c r="R91" s="99"/>
      <c r="S91" s="99"/>
      <c r="T91" s="99"/>
      <c r="U91" s="99"/>
      <c r="V91" s="99"/>
      <c r="AF91" s="2297"/>
      <c r="AG91" s="1208"/>
      <c r="AH91" s="1208"/>
      <c r="AI91" s="1223"/>
      <c r="AJ91" s="1223"/>
      <c r="AK91" s="1223"/>
      <c r="AL91" s="1223"/>
      <c r="AM91" s="1223"/>
      <c r="AN91" s="1223"/>
      <c r="AO91" s="1208"/>
      <c r="AP91" s="1223"/>
      <c r="AQ91" s="1208"/>
      <c r="AR91" s="1208"/>
      <c r="AS91" s="1223"/>
      <c r="AT91" s="1223"/>
      <c r="AU91" s="1208"/>
      <c r="AV91" s="1208"/>
      <c r="AW91" s="2297"/>
      <c r="BE91" s="1224"/>
      <c r="BF91" s="1225"/>
      <c r="BR91" s="1224"/>
      <c r="BS91" s="1224"/>
    </row>
    <row r="92" spans="2:71" s="491" customFormat="1">
      <c r="B92" s="2297"/>
      <c r="C92" s="2297"/>
      <c r="D92" s="2297"/>
      <c r="E92" s="2297"/>
      <c r="F92" s="2297"/>
      <c r="G92" s="2297"/>
      <c r="H92" s="2297"/>
      <c r="I92" s="2297"/>
      <c r="J92" s="2297"/>
      <c r="K92" s="2297"/>
      <c r="L92" s="2297"/>
      <c r="M92" s="2297"/>
      <c r="N92" s="2297"/>
      <c r="O92" s="2297"/>
      <c r="P92" s="2297"/>
      <c r="Q92" s="2297"/>
      <c r="R92" s="99"/>
      <c r="S92" s="99"/>
      <c r="T92" s="99"/>
      <c r="U92" s="99"/>
      <c r="V92" s="99"/>
      <c r="AF92" s="2297"/>
      <c r="AG92" s="1208"/>
      <c r="AH92" s="1208"/>
      <c r="AI92" s="1223"/>
      <c r="AJ92" s="1223"/>
      <c r="AK92" s="1223"/>
      <c r="AL92" s="1223"/>
      <c r="AM92" s="1223"/>
      <c r="AN92" s="1223"/>
      <c r="AO92" s="1208"/>
      <c r="AP92" s="1223"/>
      <c r="AQ92" s="1208"/>
      <c r="AR92" s="1208"/>
      <c r="AS92" s="1223"/>
      <c r="AT92" s="1223"/>
      <c r="AU92" s="1208"/>
      <c r="AV92" s="1208"/>
      <c r="AW92" s="2297"/>
      <c r="BE92" s="1224"/>
      <c r="BF92" s="1225"/>
      <c r="BR92" s="1224"/>
      <c r="BS92" s="1224"/>
    </row>
    <row r="93" spans="2:71" s="491" customFormat="1">
      <c r="B93" s="2297"/>
      <c r="C93" s="2297"/>
      <c r="D93" s="2297"/>
      <c r="E93" s="2297"/>
      <c r="F93" s="2297"/>
      <c r="G93" s="2297"/>
      <c r="H93" s="2297"/>
      <c r="I93" s="2297"/>
      <c r="J93" s="2297"/>
      <c r="K93" s="2297"/>
      <c r="L93" s="2297"/>
      <c r="M93" s="2297"/>
      <c r="N93" s="2297"/>
      <c r="O93" s="2297"/>
      <c r="P93" s="2297"/>
      <c r="Q93" s="2297"/>
      <c r="R93" s="99"/>
      <c r="S93" s="99"/>
      <c r="T93" s="99"/>
      <c r="U93" s="99"/>
      <c r="V93" s="99"/>
      <c r="AF93" s="2297"/>
      <c r="AG93" s="1208"/>
      <c r="AH93" s="1208"/>
      <c r="AI93" s="1223"/>
      <c r="AJ93" s="1223"/>
      <c r="AK93" s="1223"/>
      <c r="AL93" s="1223"/>
      <c r="AM93" s="1223"/>
      <c r="AN93" s="1223"/>
      <c r="AO93" s="1208"/>
      <c r="AP93" s="1223"/>
      <c r="AQ93" s="1208"/>
      <c r="AR93" s="1208"/>
      <c r="AS93" s="1223"/>
      <c r="AT93" s="1223"/>
      <c r="AU93" s="1208"/>
      <c r="AV93" s="1208"/>
      <c r="AW93" s="2297"/>
      <c r="BE93" s="1224"/>
      <c r="BF93" s="1225"/>
      <c r="BR93" s="1224"/>
      <c r="BS93" s="1224"/>
    </row>
    <row r="94" spans="2:71" s="491" customFormat="1">
      <c r="B94" s="2297"/>
      <c r="C94" s="2297"/>
      <c r="D94" s="2297"/>
      <c r="E94" s="2297"/>
      <c r="F94" s="2297"/>
      <c r="G94" s="2297"/>
      <c r="H94" s="2297"/>
      <c r="I94" s="2297"/>
      <c r="J94" s="2297"/>
      <c r="K94" s="2297"/>
      <c r="L94" s="2297"/>
      <c r="M94" s="2297"/>
      <c r="N94" s="2297"/>
      <c r="O94" s="2297"/>
      <c r="P94" s="2297"/>
      <c r="Q94" s="2297"/>
      <c r="R94" s="99"/>
      <c r="S94" s="99"/>
      <c r="T94" s="99"/>
      <c r="U94" s="99"/>
      <c r="V94" s="99"/>
      <c r="AF94" s="2297"/>
      <c r="AG94" s="1208"/>
      <c r="AH94" s="1208"/>
      <c r="AI94" s="1223"/>
      <c r="AJ94" s="1223"/>
      <c r="AK94" s="1223"/>
      <c r="AL94" s="1223"/>
      <c r="AM94" s="1223"/>
      <c r="AN94" s="1223"/>
      <c r="AO94" s="1208"/>
      <c r="AP94" s="1223"/>
      <c r="AQ94" s="1208"/>
      <c r="AR94" s="1208"/>
      <c r="AS94" s="1223"/>
      <c r="AT94" s="1223"/>
      <c r="AU94" s="1208"/>
      <c r="AV94" s="1208"/>
      <c r="AW94" s="2297"/>
      <c r="BE94" s="1224"/>
      <c r="BF94" s="1225"/>
      <c r="BR94" s="1224"/>
      <c r="BS94" s="1224"/>
    </row>
    <row r="95" spans="2:71" s="491" customFormat="1">
      <c r="B95" s="2297"/>
      <c r="C95" s="2297"/>
      <c r="D95" s="2297"/>
      <c r="E95" s="2297"/>
      <c r="F95" s="2297"/>
      <c r="G95" s="2297"/>
      <c r="H95" s="2297"/>
      <c r="I95" s="2297"/>
      <c r="J95" s="2297"/>
      <c r="K95" s="2297"/>
      <c r="L95" s="2297"/>
      <c r="M95" s="2297"/>
      <c r="N95" s="2297"/>
      <c r="O95" s="2297"/>
      <c r="P95" s="2297"/>
      <c r="Q95" s="2297"/>
      <c r="R95" s="99"/>
      <c r="S95" s="99"/>
      <c r="T95" s="99"/>
      <c r="U95" s="99"/>
      <c r="V95" s="99"/>
      <c r="AF95" s="2297"/>
      <c r="AG95" s="1208"/>
      <c r="AH95" s="1208"/>
      <c r="AI95" s="1223"/>
      <c r="AJ95" s="1223"/>
      <c r="AK95" s="1223"/>
      <c r="AL95" s="1223"/>
      <c r="AM95" s="1223"/>
      <c r="AN95" s="1223"/>
      <c r="AO95" s="1208"/>
      <c r="AP95" s="1223"/>
      <c r="AQ95" s="1208"/>
      <c r="AR95" s="1208"/>
      <c r="AS95" s="1223"/>
      <c r="AT95" s="1223"/>
      <c r="AU95" s="1208"/>
      <c r="AV95" s="1208"/>
      <c r="AW95" s="2297"/>
      <c r="BE95" s="1224"/>
      <c r="BF95" s="1225"/>
      <c r="BR95" s="1224"/>
      <c r="BS95" s="1224"/>
    </row>
    <row r="96" spans="2:71" s="491" customFormat="1">
      <c r="B96" s="2297"/>
      <c r="C96" s="2297"/>
      <c r="D96" s="2297"/>
      <c r="E96" s="2297"/>
      <c r="F96" s="2297"/>
      <c r="G96" s="2297"/>
      <c r="H96" s="2297"/>
      <c r="I96" s="2297"/>
      <c r="J96" s="2297"/>
      <c r="K96" s="2297"/>
      <c r="L96" s="2297"/>
      <c r="M96" s="2297"/>
      <c r="N96" s="2297"/>
      <c r="O96" s="2297"/>
      <c r="P96" s="2297"/>
      <c r="Q96" s="2297"/>
      <c r="R96" s="99"/>
      <c r="S96" s="99"/>
      <c r="T96" s="99"/>
      <c r="U96" s="99"/>
      <c r="V96" s="99"/>
      <c r="AF96" s="2297"/>
      <c r="AG96" s="1208"/>
      <c r="AH96" s="1208"/>
      <c r="AI96" s="1223"/>
      <c r="AJ96" s="1223"/>
      <c r="AK96" s="1223"/>
      <c r="AL96" s="1223"/>
      <c r="AM96" s="1223"/>
      <c r="AN96" s="1223"/>
      <c r="AO96" s="1208"/>
      <c r="AP96" s="1223"/>
      <c r="AQ96" s="1208"/>
      <c r="AR96" s="1208"/>
      <c r="AS96" s="1223"/>
      <c r="AT96" s="1223"/>
      <c r="AU96" s="1208"/>
      <c r="AV96" s="1208"/>
      <c r="AW96" s="2297"/>
      <c r="BE96" s="1224"/>
      <c r="BF96" s="1225"/>
      <c r="BR96" s="1224"/>
      <c r="BS96" s="1224"/>
    </row>
    <row r="97" spans="2:71" s="491" customFormat="1">
      <c r="B97" s="2297"/>
      <c r="C97" s="2297"/>
      <c r="D97" s="2297"/>
      <c r="E97" s="2297"/>
      <c r="F97" s="2297"/>
      <c r="G97" s="2297"/>
      <c r="H97" s="2297"/>
      <c r="I97" s="2297"/>
      <c r="J97" s="2297"/>
      <c r="K97" s="2297"/>
      <c r="L97" s="2297"/>
      <c r="M97" s="2297"/>
      <c r="N97" s="2297"/>
      <c r="O97" s="2297"/>
      <c r="P97" s="2297"/>
      <c r="Q97" s="2297"/>
      <c r="R97" s="99"/>
      <c r="S97" s="99"/>
      <c r="T97" s="99"/>
      <c r="U97" s="99"/>
      <c r="V97" s="99"/>
      <c r="AF97" s="2297"/>
      <c r="AG97" s="1208"/>
      <c r="AH97" s="1208"/>
      <c r="AI97" s="1223"/>
      <c r="AJ97" s="1223"/>
      <c r="AK97" s="1223"/>
      <c r="AL97" s="1223"/>
      <c r="AM97" s="1223"/>
      <c r="AN97" s="1223"/>
      <c r="AO97" s="1208"/>
      <c r="AP97" s="1223"/>
      <c r="AQ97" s="1208"/>
      <c r="AR97" s="1208"/>
      <c r="AS97" s="1223"/>
      <c r="AT97" s="1223"/>
      <c r="AU97" s="1208"/>
      <c r="AV97" s="1208"/>
      <c r="AW97" s="2297"/>
      <c r="BE97" s="1224"/>
      <c r="BF97" s="1225"/>
      <c r="BR97" s="1224"/>
      <c r="BS97" s="1224"/>
    </row>
    <row r="98" spans="2:71" s="491" customFormat="1">
      <c r="B98" s="2297"/>
      <c r="C98" s="2297"/>
      <c r="D98" s="2297"/>
      <c r="E98" s="2297"/>
      <c r="F98" s="2297"/>
      <c r="G98" s="2297"/>
      <c r="H98" s="2297"/>
      <c r="I98" s="2297"/>
      <c r="J98" s="2297"/>
      <c r="K98" s="2297"/>
      <c r="L98" s="2297"/>
      <c r="M98" s="2297"/>
      <c r="N98" s="2297"/>
      <c r="O98" s="2297"/>
      <c r="P98" s="2297"/>
      <c r="Q98" s="2297"/>
      <c r="R98" s="99"/>
      <c r="S98" s="99"/>
      <c r="T98" s="99"/>
      <c r="U98" s="99"/>
      <c r="V98" s="99"/>
      <c r="AF98" s="2297"/>
      <c r="AG98" s="1208"/>
      <c r="AH98" s="1208"/>
      <c r="AI98" s="1223"/>
      <c r="AJ98" s="1223"/>
      <c r="AK98" s="1223"/>
      <c r="AL98" s="1223"/>
      <c r="AM98" s="1223"/>
      <c r="AN98" s="1223"/>
      <c r="AO98" s="1208"/>
      <c r="AP98" s="1223"/>
      <c r="AQ98" s="1208"/>
      <c r="AR98" s="1208"/>
      <c r="AS98" s="1223"/>
      <c r="AT98" s="1223"/>
      <c r="AU98" s="1208"/>
      <c r="AV98" s="1208"/>
      <c r="AW98" s="2297"/>
      <c r="BE98" s="1224"/>
      <c r="BF98" s="1225"/>
      <c r="BR98" s="1224"/>
      <c r="BS98" s="1224"/>
    </row>
    <row r="99" spans="2:71" s="491" customFormat="1">
      <c r="B99" s="2297"/>
      <c r="C99" s="2297"/>
      <c r="D99" s="2297"/>
      <c r="E99" s="2297"/>
      <c r="F99" s="2297"/>
      <c r="G99" s="2297"/>
      <c r="H99" s="2297"/>
      <c r="I99" s="2297"/>
      <c r="J99" s="2297"/>
      <c r="K99" s="2297"/>
      <c r="L99" s="2297"/>
      <c r="M99" s="2297"/>
      <c r="N99" s="2297"/>
      <c r="O99" s="2297"/>
      <c r="P99" s="2297"/>
      <c r="Q99" s="2297"/>
      <c r="R99" s="99"/>
      <c r="S99" s="99"/>
      <c r="T99" s="99"/>
      <c r="U99" s="99"/>
      <c r="V99" s="99"/>
      <c r="AF99" s="2297"/>
      <c r="AG99" s="1208"/>
      <c r="AH99" s="1208"/>
      <c r="AI99" s="1223"/>
      <c r="AJ99" s="1223"/>
      <c r="AK99" s="1223"/>
      <c r="AL99" s="1223"/>
      <c r="AM99" s="1223"/>
      <c r="AN99" s="1223"/>
      <c r="AO99" s="1208"/>
      <c r="AP99" s="1223"/>
      <c r="AQ99" s="1208"/>
      <c r="AR99" s="1208"/>
      <c r="AS99" s="1223"/>
      <c r="AT99" s="1223"/>
      <c r="AU99" s="1208"/>
      <c r="AV99" s="1208"/>
      <c r="AW99" s="2297"/>
      <c r="BE99" s="1224"/>
      <c r="BF99" s="1225"/>
      <c r="BR99" s="1224"/>
      <c r="BS99" s="1224"/>
    </row>
    <row r="100" spans="2:71" s="491" customFormat="1">
      <c r="B100" s="2297"/>
      <c r="C100" s="2297"/>
      <c r="D100" s="2297"/>
      <c r="E100" s="2297"/>
      <c r="F100" s="2297"/>
      <c r="G100" s="2297"/>
      <c r="H100" s="2297"/>
      <c r="I100" s="2297"/>
      <c r="J100" s="2297"/>
      <c r="K100" s="2297"/>
      <c r="L100" s="2297"/>
      <c r="M100" s="2297"/>
      <c r="N100" s="2297"/>
      <c r="O100" s="2297"/>
      <c r="P100" s="2297"/>
      <c r="Q100" s="2297"/>
      <c r="R100" s="99"/>
      <c r="S100" s="99"/>
      <c r="T100" s="99"/>
      <c r="U100" s="99"/>
      <c r="V100" s="99"/>
      <c r="AF100" s="2297"/>
      <c r="AG100" s="1208"/>
      <c r="AH100" s="1208"/>
      <c r="AI100" s="1223"/>
      <c r="AJ100" s="1223"/>
      <c r="AK100" s="1223"/>
      <c r="AL100" s="1223"/>
      <c r="AM100" s="1223"/>
      <c r="AN100" s="1223"/>
      <c r="AO100" s="1208"/>
      <c r="AP100" s="1223"/>
      <c r="AQ100" s="1208"/>
      <c r="AR100" s="1208"/>
      <c r="AS100" s="1223"/>
      <c r="AT100" s="1223"/>
      <c r="AU100" s="1208"/>
      <c r="AV100" s="1208"/>
      <c r="AW100" s="2297"/>
      <c r="BE100" s="1224"/>
      <c r="BF100" s="1225"/>
      <c r="BR100" s="1224"/>
      <c r="BS100" s="1224"/>
    </row>
    <row r="101" spans="2:71" s="491" customFormat="1">
      <c r="B101" s="2297"/>
      <c r="C101" s="2297"/>
      <c r="D101" s="2297"/>
      <c r="E101" s="2297"/>
      <c r="F101" s="2297"/>
      <c r="G101" s="2297"/>
      <c r="H101" s="2297"/>
      <c r="I101" s="2297"/>
      <c r="J101" s="2297"/>
      <c r="K101" s="2297"/>
      <c r="L101" s="2297"/>
      <c r="M101" s="2297"/>
      <c r="N101" s="2297"/>
      <c r="O101" s="2297"/>
      <c r="P101" s="2297"/>
      <c r="Q101" s="2297"/>
      <c r="R101" s="99"/>
      <c r="S101" s="99"/>
      <c r="T101" s="99"/>
      <c r="U101" s="99"/>
      <c r="V101" s="99"/>
      <c r="AF101" s="2297"/>
      <c r="AG101" s="1208"/>
      <c r="AH101" s="1208"/>
      <c r="AI101" s="1223"/>
      <c r="AJ101" s="1223"/>
      <c r="AK101" s="1223"/>
      <c r="AL101" s="1223"/>
      <c r="AM101" s="1223"/>
      <c r="AN101" s="1223"/>
      <c r="AO101" s="1208"/>
      <c r="AP101" s="1223"/>
      <c r="AQ101" s="1208"/>
      <c r="AR101" s="1208"/>
      <c r="AS101" s="1223"/>
      <c r="AT101" s="1223"/>
      <c r="AU101" s="1208"/>
      <c r="AV101" s="1208"/>
      <c r="AW101" s="2297"/>
      <c r="BE101" s="1224"/>
      <c r="BF101" s="1225"/>
      <c r="BR101" s="1224"/>
      <c r="BS101" s="1224"/>
    </row>
    <row r="102" spans="2:71" s="491" customFormat="1">
      <c r="B102" s="2297"/>
      <c r="C102" s="2297"/>
      <c r="D102" s="2297"/>
      <c r="E102" s="2297"/>
      <c r="F102" s="2297"/>
      <c r="G102" s="2297"/>
      <c r="H102" s="2297"/>
      <c r="I102" s="2297"/>
      <c r="J102" s="2297"/>
      <c r="K102" s="2297"/>
      <c r="L102" s="2297"/>
      <c r="M102" s="2297"/>
      <c r="N102" s="2297"/>
      <c r="O102" s="2297"/>
      <c r="P102" s="2297"/>
      <c r="Q102" s="2297"/>
      <c r="R102" s="99"/>
      <c r="S102" s="99"/>
      <c r="T102" s="99"/>
      <c r="U102" s="99"/>
      <c r="V102" s="99"/>
      <c r="AF102" s="2297"/>
      <c r="AG102" s="1208"/>
      <c r="AH102" s="1208"/>
      <c r="AI102" s="1223"/>
      <c r="AJ102" s="1223"/>
      <c r="AK102" s="1223"/>
      <c r="AL102" s="1223"/>
      <c r="AM102" s="1223"/>
      <c r="AN102" s="1223"/>
      <c r="AO102" s="1208"/>
      <c r="AP102" s="1223"/>
      <c r="AQ102" s="1208"/>
      <c r="AR102" s="1208"/>
      <c r="AS102" s="1223"/>
      <c r="AT102" s="1223"/>
      <c r="AU102" s="1208"/>
      <c r="AV102" s="1208"/>
      <c r="AW102" s="2297"/>
      <c r="BE102" s="1224"/>
      <c r="BF102" s="1225"/>
      <c r="BR102" s="1224"/>
      <c r="BS102" s="1224"/>
    </row>
    <row r="103" spans="2:71" s="491" customFormat="1">
      <c r="B103" s="2297"/>
      <c r="C103" s="2297"/>
      <c r="D103" s="2297"/>
      <c r="E103" s="2297"/>
      <c r="F103" s="2297"/>
      <c r="G103" s="2297"/>
      <c r="H103" s="2297"/>
      <c r="I103" s="2297"/>
      <c r="J103" s="2297"/>
      <c r="K103" s="2297"/>
      <c r="L103" s="2297"/>
      <c r="M103" s="2297"/>
      <c r="N103" s="2297"/>
      <c r="O103" s="2297"/>
      <c r="P103" s="2297"/>
      <c r="Q103" s="2297"/>
      <c r="R103" s="99"/>
      <c r="S103" s="99"/>
      <c r="T103" s="99"/>
      <c r="U103" s="99"/>
      <c r="V103" s="99"/>
      <c r="AF103" s="2297"/>
      <c r="AG103" s="1208"/>
      <c r="AH103" s="1208"/>
      <c r="AI103" s="1223"/>
      <c r="AJ103" s="1223"/>
      <c r="AK103" s="1223"/>
      <c r="AL103" s="1223"/>
      <c r="AM103" s="1223"/>
      <c r="AN103" s="1223"/>
      <c r="AO103" s="1208"/>
      <c r="AP103" s="1223"/>
      <c r="AQ103" s="1208"/>
      <c r="AR103" s="1208"/>
      <c r="AS103" s="1223"/>
      <c r="AT103" s="1223"/>
      <c r="AU103" s="1208"/>
      <c r="AV103" s="1208"/>
      <c r="AW103" s="2297"/>
      <c r="BE103" s="1224"/>
      <c r="BF103" s="1225"/>
      <c r="BR103" s="1224"/>
      <c r="BS103" s="1224"/>
    </row>
    <row r="104" spans="2:71" s="491" customFormat="1">
      <c r="B104" s="2297"/>
      <c r="C104" s="2297"/>
      <c r="D104" s="2297"/>
      <c r="E104" s="2297"/>
      <c r="F104" s="2297"/>
      <c r="G104" s="2297"/>
      <c r="H104" s="2297"/>
      <c r="I104" s="2297"/>
      <c r="J104" s="2297"/>
      <c r="K104" s="2297"/>
      <c r="L104" s="2297"/>
      <c r="M104" s="2297"/>
      <c r="N104" s="2297"/>
      <c r="O104" s="2297"/>
      <c r="P104" s="2297"/>
      <c r="Q104" s="2297"/>
      <c r="R104" s="99"/>
      <c r="S104" s="99"/>
      <c r="T104" s="99"/>
      <c r="U104" s="99"/>
      <c r="V104" s="99"/>
      <c r="AF104" s="2297"/>
      <c r="AG104" s="1208"/>
      <c r="AH104" s="1208"/>
      <c r="AI104" s="1223"/>
      <c r="AJ104" s="1223"/>
      <c r="AK104" s="1223"/>
      <c r="AL104" s="1223"/>
      <c r="AM104" s="1223"/>
      <c r="AN104" s="1223"/>
      <c r="AO104" s="1208"/>
      <c r="AP104" s="1223"/>
      <c r="AQ104" s="1208"/>
      <c r="AR104" s="1208"/>
      <c r="AS104" s="1223"/>
      <c r="AT104" s="1223"/>
      <c r="AU104" s="1208"/>
      <c r="AV104" s="1208"/>
      <c r="AW104" s="2297"/>
      <c r="BE104" s="1224"/>
      <c r="BF104" s="1225"/>
      <c r="BR104" s="1224"/>
      <c r="BS104" s="1224"/>
    </row>
    <row r="105" spans="2:71" s="491" customFormat="1">
      <c r="B105" s="2297"/>
      <c r="C105" s="2297"/>
      <c r="D105" s="2297"/>
      <c r="E105" s="2297"/>
      <c r="F105" s="2297"/>
      <c r="G105" s="2297"/>
      <c r="H105" s="2297"/>
      <c r="I105" s="2297"/>
      <c r="J105" s="2297"/>
      <c r="K105" s="2297"/>
      <c r="L105" s="2297"/>
      <c r="M105" s="2297"/>
      <c r="N105" s="2297"/>
      <c r="O105" s="2297"/>
      <c r="P105" s="2297"/>
      <c r="Q105" s="2297"/>
      <c r="R105" s="99"/>
      <c r="S105" s="99"/>
      <c r="T105" s="99"/>
      <c r="U105" s="99"/>
      <c r="V105" s="99"/>
      <c r="AF105" s="2297"/>
      <c r="AG105" s="1208"/>
      <c r="AH105" s="1208"/>
      <c r="AI105" s="1223"/>
      <c r="AJ105" s="1223"/>
      <c r="AK105" s="1223"/>
      <c r="AL105" s="1223"/>
      <c r="AM105" s="1223"/>
      <c r="AN105" s="1223"/>
      <c r="AO105" s="1208"/>
      <c r="AP105" s="1223"/>
      <c r="AQ105" s="1208"/>
      <c r="AR105" s="1208"/>
      <c r="AS105" s="1223"/>
      <c r="AT105" s="1223"/>
      <c r="AU105" s="1208"/>
      <c r="AV105" s="1208"/>
      <c r="AW105" s="2297"/>
      <c r="BE105" s="1224"/>
      <c r="BF105" s="1225"/>
      <c r="BR105" s="1224"/>
      <c r="BS105" s="1224"/>
    </row>
    <row r="106" spans="2:71" s="491" customFormat="1">
      <c r="B106" s="2297"/>
      <c r="C106" s="2297"/>
      <c r="D106" s="2297"/>
      <c r="E106" s="2297"/>
      <c r="F106" s="2297"/>
      <c r="G106" s="2297"/>
      <c r="H106" s="2297"/>
      <c r="I106" s="2297"/>
      <c r="J106" s="2297"/>
      <c r="K106" s="2297"/>
      <c r="L106" s="2297"/>
      <c r="M106" s="2297"/>
      <c r="N106" s="2297"/>
      <c r="O106" s="2297"/>
      <c r="P106" s="2297"/>
      <c r="Q106" s="2297"/>
      <c r="R106" s="99"/>
      <c r="S106" s="99"/>
      <c r="T106" s="99"/>
      <c r="U106" s="99"/>
      <c r="V106" s="99"/>
      <c r="AF106" s="2297"/>
      <c r="AG106" s="1208"/>
      <c r="AH106" s="1208"/>
      <c r="AI106" s="1223"/>
      <c r="AJ106" s="1223"/>
      <c r="AK106" s="1223"/>
      <c r="AL106" s="1223"/>
      <c r="AM106" s="1223"/>
      <c r="AN106" s="1223"/>
      <c r="AO106" s="1208"/>
      <c r="AP106" s="1223"/>
      <c r="AQ106" s="1208"/>
      <c r="AR106" s="1208"/>
      <c r="AS106" s="1223"/>
      <c r="AT106" s="1223"/>
      <c r="AU106" s="1208"/>
      <c r="AV106" s="1208"/>
      <c r="AW106" s="2297"/>
      <c r="BE106" s="1224"/>
      <c r="BF106" s="1225"/>
      <c r="BR106" s="1224"/>
      <c r="BS106" s="1224"/>
    </row>
    <row r="107" spans="2:71" s="491" customFormat="1">
      <c r="B107" s="2297"/>
      <c r="C107" s="2297"/>
      <c r="D107" s="2297"/>
      <c r="E107" s="2297"/>
      <c r="F107" s="2297"/>
      <c r="G107" s="2297"/>
      <c r="H107" s="2297"/>
      <c r="I107" s="2297"/>
      <c r="J107" s="2297"/>
      <c r="K107" s="2297"/>
      <c r="L107" s="2297"/>
      <c r="M107" s="2297"/>
      <c r="N107" s="2297"/>
      <c r="O107" s="2297"/>
      <c r="P107" s="2297"/>
      <c r="Q107" s="2297"/>
      <c r="R107" s="99"/>
      <c r="S107" s="99"/>
      <c r="T107" s="99"/>
      <c r="U107" s="99"/>
      <c r="V107" s="99"/>
      <c r="AF107" s="2297"/>
      <c r="AG107" s="1208"/>
      <c r="AH107" s="1208"/>
      <c r="AI107" s="1223"/>
      <c r="AJ107" s="1223"/>
      <c r="AK107" s="1223"/>
      <c r="AL107" s="1223"/>
      <c r="AM107" s="1223"/>
      <c r="AN107" s="1223"/>
      <c r="AO107" s="1208"/>
      <c r="AP107" s="1223"/>
      <c r="AQ107" s="1208"/>
      <c r="AR107" s="1208"/>
      <c r="AS107" s="1223"/>
      <c r="AT107" s="1223"/>
      <c r="AU107" s="1208"/>
      <c r="AV107" s="1208"/>
      <c r="AW107" s="2297"/>
      <c r="BE107" s="1224"/>
      <c r="BF107" s="1225"/>
      <c r="BR107" s="1224"/>
      <c r="BS107" s="1224"/>
    </row>
    <row r="108" spans="2:71" s="491" customFormat="1">
      <c r="B108" s="2297"/>
      <c r="C108" s="2297"/>
      <c r="D108" s="2297"/>
      <c r="E108" s="2297"/>
      <c r="F108" s="2297"/>
      <c r="G108" s="2297"/>
      <c r="H108" s="2297"/>
      <c r="I108" s="2297"/>
      <c r="J108" s="2297"/>
      <c r="K108" s="2297"/>
      <c r="L108" s="2297"/>
      <c r="M108" s="2297"/>
      <c r="N108" s="2297"/>
      <c r="O108" s="2297"/>
      <c r="P108" s="2297"/>
      <c r="Q108" s="2297"/>
      <c r="R108" s="99"/>
      <c r="S108" s="99"/>
      <c r="T108" s="99"/>
      <c r="U108" s="99"/>
      <c r="V108" s="99"/>
      <c r="AF108" s="2297"/>
      <c r="AG108" s="1208"/>
      <c r="AH108" s="1208"/>
      <c r="AI108" s="1223"/>
      <c r="AJ108" s="1223"/>
      <c r="AK108" s="1223"/>
      <c r="AL108" s="1223"/>
      <c r="AM108" s="1223"/>
      <c r="AN108" s="1223"/>
      <c r="AO108" s="1208"/>
      <c r="AP108" s="1223"/>
      <c r="AQ108" s="1208"/>
      <c r="AR108" s="1208"/>
      <c r="AS108" s="1223"/>
      <c r="AT108" s="1223"/>
      <c r="AU108" s="1208"/>
      <c r="AV108" s="1208"/>
      <c r="AW108" s="2297"/>
      <c r="BE108" s="1224"/>
      <c r="BF108" s="1225"/>
      <c r="BR108" s="1224"/>
      <c r="BS108" s="1224"/>
    </row>
    <row r="109" spans="2:71" s="491" customFormat="1">
      <c r="B109" s="2297"/>
      <c r="C109" s="2297"/>
      <c r="D109" s="2297"/>
      <c r="E109" s="2297"/>
      <c r="F109" s="2297"/>
      <c r="G109" s="2297"/>
      <c r="H109" s="2297"/>
      <c r="I109" s="2297"/>
      <c r="J109" s="2297"/>
      <c r="K109" s="2297"/>
      <c r="L109" s="2297"/>
      <c r="M109" s="2297"/>
      <c r="N109" s="2297"/>
      <c r="O109" s="2297"/>
      <c r="P109" s="2297"/>
      <c r="Q109" s="2297"/>
      <c r="R109" s="99"/>
      <c r="S109" s="99"/>
      <c r="T109" s="99"/>
      <c r="U109" s="99"/>
      <c r="V109" s="99"/>
      <c r="AF109" s="2297"/>
      <c r="AG109" s="1208"/>
      <c r="AH109" s="1208"/>
      <c r="AI109" s="1223"/>
      <c r="AJ109" s="1223"/>
      <c r="AK109" s="1223"/>
      <c r="AL109" s="1223"/>
      <c r="AM109" s="1223"/>
      <c r="AN109" s="1223"/>
      <c r="AO109" s="1208"/>
      <c r="AP109" s="1223"/>
      <c r="AQ109" s="1208"/>
      <c r="AR109" s="1208"/>
      <c r="AS109" s="1223"/>
      <c r="AT109" s="1223"/>
      <c r="AU109" s="1208"/>
      <c r="AV109" s="1208"/>
      <c r="AW109" s="2297"/>
      <c r="BE109" s="1224"/>
      <c r="BF109" s="1225"/>
      <c r="BR109" s="1224"/>
      <c r="BS109" s="1224"/>
    </row>
    <row r="110" spans="2:71" s="491" customFormat="1">
      <c r="B110" s="2297"/>
      <c r="C110" s="2297"/>
      <c r="D110" s="2297"/>
      <c r="E110" s="2297"/>
      <c r="F110" s="2297"/>
      <c r="G110" s="2297"/>
      <c r="H110" s="2297"/>
      <c r="I110" s="2297"/>
      <c r="J110" s="2297"/>
      <c r="K110" s="2297"/>
      <c r="L110" s="2297"/>
      <c r="M110" s="2297"/>
      <c r="N110" s="2297"/>
      <c r="O110" s="2297"/>
      <c r="P110" s="2297"/>
      <c r="Q110" s="2297"/>
      <c r="R110" s="99"/>
      <c r="S110" s="99"/>
      <c r="T110" s="99"/>
      <c r="U110" s="99"/>
      <c r="V110" s="99"/>
      <c r="AF110" s="2297"/>
      <c r="AG110" s="1208"/>
      <c r="AH110" s="1208"/>
      <c r="AI110" s="1223"/>
      <c r="AJ110" s="1223"/>
      <c r="AK110" s="1223"/>
      <c r="AL110" s="1223"/>
      <c r="AM110" s="1223"/>
      <c r="AN110" s="1223"/>
      <c r="AO110" s="1208"/>
      <c r="AP110" s="1223"/>
      <c r="AQ110" s="1208"/>
      <c r="AR110" s="1208"/>
      <c r="AS110" s="1223"/>
      <c r="AT110" s="1223"/>
      <c r="AU110" s="1208"/>
      <c r="AV110" s="1208"/>
      <c r="AW110" s="2297"/>
      <c r="BE110" s="1224"/>
      <c r="BF110" s="1225"/>
      <c r="BR110" s="1224"/>
      <c r="BS110" s="1224"/>
    </row>
    <row r="111" spans="2:71" s="491" customFormat="1">
      <c r="B111" s="2297"/>
      <c r="C111" s="2297"/>
      <c r="D111" s="2297"/>
      <c r="E111" s="2297"/>
      <c r="F111" s="2297"/>
      <c r="G111" s="2297"/>
      <c r="H111" s="2297"/>
      <c r="I111" s="2297"/>
      <c r="J111" s="2297"/>
      <c r="K111" s="2297"/>
      <c r="L111" s="2297"/>
      <c r="M111" s="2297"/>
      <c r="N111" s="2297"/>
      <c r="O111" s="2297"/>
      <c r="P111" s="2297"/>
      <c r="Q111" s="2297"/>
      <c r="R111" s="99"/>
      <c r="S111" s="99"/>
      <c r="T111" s="99"/>
      <c r="U111" s="99"/>
      <c r="V111" s="99"/>
      <c r="AF111" s="2297"/>
      <c r="AG111" s="1208"/>
      <c r="AH111" s="1208"/>
      <c r="AI111" s="1223"/>
      <c r="AJ111" s="1223"/>
      <c r="AK111" s="1223"/>
      <c r="AL111" s="1223"/>
      <c r="AM111" s="1223"/>
      <c r="AN111" s="1223"/>
      <c r="AO111" s="1208"/>
      <c r="AP111" s="1223"/>
      <c r="AQ111" s="1208"/>
      <c r="AR111" s="1208"/>
      <c r="AS111" s="1223"/>
      <c r="AT111" s="1223"/>
      <c r="AU111" s="1208"/>
      <c r="AV111" s="1208"/>
      <c r="AW111" s="2297"/>
      <c r="BE111" s="1224"/>
      <c r="BF111" s="1225"/>
      <c r="BR111" s="1224"/>
      <c r="BS111" s="1224"/>
    </row>
    <row r="112" spans="2:71" s="491" customFormat="1">
      <c r="B112" s="2297"/>
      <c r="C112" s="2297"/>
      <c r="D112" s="2297"/>
      <c r="E112" s="2297"/>
      <c r="F112" s="2297"/>
      <c r="G112" s="2297"/>
      <c r="H112" s="2297"/>
      <c r="I112" s="2297"/>
      <c r="J112" s="2297"/>
      <c r="K112" s="2297"/>
      <c r="L112" s="2297"/>
      <c r="M112" s="2297"/>
      <c r="N112" s="2297"/>
      <c r="O112" s="2297"/>
      <c r="P112" s="2297"/>
      <c r="Q112" s="2297"/>
      <c r="R112" s="99"/>
      <c r="S112" s="99"/>
      <c r="T112" s="99"/>
      <c r="U112" s="99"/>
      <c r="V112" s="99"/>
      <c r="AF112" s="2297"/>
      <c r="AG112" s="1208"/>
      <c r="AH112" s="1208"/>
      <c r="AI112" s="1223"/>
      <c r="AJ112" s="1223"/>
      <c r="AK112" s="1223"/>
      <c r="AL112" s="1223"/>
      <c r="AM112" s="1223"/>
      <c r="AN112" s="1223"/>
      <c r="AO112" s="1208"/>
      <c r="AP112" s="1223"/>
      <c r="AQ112" s="1208"/>
      <c r="AR112" s="1208"/>
      <c r="AS112" s="1223"/>
      <c r="AT112" s="1223"/>
      <c r="AU112" s="1208"/>
      <c r="AV112" s="1208"/>
      <c r="AW112" s="2297"/>
      <c r="BE112" s="1224"/>
      <c r="BF112" s="1225"/>
      <c r="BR112" s="1224"/>
      <c r="BS112" s="1224"/>
    </row>
    <row r="113" spans="2:71" s="491" customFormat="1">
      <c r="B113" s="2297"/>
      <c r="C113" s="2297"/>
      <c r="D113" s="2297"/>
      <c r="E113" s="2297"/>
      <c r="F113" s="2297"/>
      <c r="G113" s="2297"/>
      <c r="H113" s="2297"/>
      <c r="I113" s="2297"/>
      <c r="J113" s="2297"/>
      <c r="K113" s="2297"/>
      <c r="L113" s="2297"/>
      <c r="M113" s="2297"/>
      <c r="N113" s="2297"/>
      <c r="O113" s="2297"/>
      <c r="P113" s="2297"/>
      <c r="Q113" s="2297"/>
      <c r="R113" s="99"/>
      <c r="S113" s="99"/>
      <c r="T113" s="99"/>
      <c r="U113" s="99"/>
      <c r="V113" s="99"/>
      <c r="AF113" s="2297"/>
      <c r="AG113" s="1208"/>
      <c r="AH113" s="1208"/>
      <c r="AI113" s="1223"/>
      <c r="AJ113" s="1223"/>
      <c r="AK113" s="1223"/>
      <c r="AL113" s="1223"/>
      <c r="AM113" s="1223"/>
      <c r="AN113" s="1223"/>
      <c r="AO113" s="1208"/>
      <c r="AP113" s="1223"/>
      <c r="AQ113" s="1208"/>
      <c r="AR113" s="1208"/>
      <c r="AS113" s="1223"/>
      <c r="AT113" s="1223"/>
      <c r="AU113" s="1208"/>
      <c r="AV113" s="1208"/>
      <c r="AW113" s="2297"/>
      <c r="BE113" s="1224"/>
      <c r="BF113" s="1225"/>
      <c r="BR113" s="1224"/>
      <c r="BS113" s="1224"/>
    </row>
    <row r="114" spans="2:71" s="491" customFormat="1">
      <c r="B114" s="2297"/>
      <c r="C114" s="2297"/>
      <c r="D114" s="2297"/>
      <c r="E114" s="2297"/>
      <c r="F114" s="2297"/>
      <c r="G114" s="2297"/>
      <c r="H114" s="2297"/>
      <c r="I114" s="2297"/>
      <c r="J114" s="2297"/>
      <c r="K114" s="2297"/>
      <c r="L114" s="2297"/>
      <c r="M114" s="2297"/>
      <c r="N114" s="2297"/>
      <c r="O114" s="2297"/>
      <c r="P114" s="2297"/>
      <c r="Q114" s="2297"/>
      <c r="R114" s="99"/>
      <c r="S114" s="99"/>
      <c r="T114" s="99"/>
      <c r="U114" s="99"/>
      <c r="V114" s="99"/>
      <c r="AF114" s="2297"/>
      <c r="AG114" s="1208"/>
      <c r="AH114" s="1208"/>
      <c r="AI114" s="1223"/>
      <c r="AJ114" s="1223"/>
      <c r="AK114" s="1223"/>
      <c r="AL114" s="1223"/>
      <c r="AM114" s="1223"/>
      <c r="AN114" s="1223"/>
      <c r="AO114" s="1208"/>
      <c r="AP114" s="1223"/>
      <c r="AQ114" s="1208"/>
      <c r="AR114" s="1208"/>
      <c r="AS114" s="1223"/>
      <c r="AT114" s="1223"/>
      <c r="AU114" s="1208"/>
      <c r="AV114" s="1208"/>
      <c r="AW114" s="2297"/>
      <c r="BE114" s="1224"/>
      <c r="BF114" s="1225"/>
      <c r="BR114" s="1224"/>
      <c r="BS114" s="1224"/>
    </row>
    <row r="115" spans="2:71" s="491" customFormat="1">
      <c r="B115" s="2297"/>
      <c r="C115" s="2297"/>
      <c r="D115" s="2297"/>
      <c r="E115" s="2297"/>
      <c r="F115" s="2297"/>
      <c r="G115" s="2297"/>
      <c r="H115" s="2297"/>
      <c r="I115" s="2297"/>
      <c r="J115" s="2297"/>
      <c r="K115" s="2297"/>
      <c r="L115" s="2297"/>
      <c r="M115" s="2297"/>
      <c r="N115" s="2297"/>
      <c r="O115" s="2297"/>
      <c r="P115" s="2297"/>
      <c r="Q115" s="2297"/>
      <c r="R115" s="99"/>
      <c r="S115" s="99"/>
      <c r="T115" s="99"/>
      <c r="U115" s="99"/>
      <c r="V115" s="99"/>
      <c r="AF115" s="2297"/>
      <c r="AG115" s="1208"/>
      <c r="AH115" s="1208"/>
      <c r="AI115" s="1223"/>
      <c r="AJ115" s="1223"/>
      <c r="AK115" s="1223"/>
      <c r="AL115" s="1223"/>
      <c r="AM115" s="1223"/>
      <c r="AN115" s="1223"/>
      <c r="AO115" s="1208"/>
      <c r="AP115" s="1223"/>
      <c r="AQ115" s="1208"/>
      <c r="AR115" s="1208"/>
      <c r="AS115" s="1223"/>
      <c r="AT115" s="1223"/>
      <c r="AU115" s="1208"/>
      <c r="AV115" s="1208"/>
      <c r="AW115" s="2297"/>
      <c r="BE115" s="1224"/>
      <c r="BF115" s="1225"/>
      <c r="BR115" s="1224"/>
      <c r="BS115" s="1224"/>
    </row>
    <row r="116" spans="2:71" s="491" customFormat="1">
      <c r="B116" s="2297"/>
      <c r="C116" s="2297"/>
      <c r="D116" s="2297"/>
      <c r="E116" s="2297"/>
      <c r="F116" s="2297"/>
      <c r="G116" s="2297"/>
      <c r="H116" s="2297"/>
      <c r="I116" s="2297"/>
      <c r="J116" s="2297"/>
      <c r="K116" s="2297"/>
      <c r="L116" s="2297"/>
      <c r="M116" s="2297"/>
      <c r="N116" s="2297"/>
      <c r="O116" s="2297"/>
      <c r="P116" s="2297"/>
      <c r="Q116" s="2297"/>
      <c r="R116" s="99"/>
      <c r="S116" s="99"/>
      <c r="T116" s="99"/>
      <c r="U116" s="99"/>
      <c r="V116" s="99"/>
      <c r="AF116" s="2297"/>
      <c r="AG116" s="1208"/>
      <c r="AH116" s="1208"/>
      <c r="AI116" s="1223"/>
      <c r="AJ116" s="1223"/>
      <c r="AK116" s="1223"/>
      <c r="AL116" s="1223"/>
      <c r="AM116" s="1223"/>
      <c r="AN116" s="1223"/>
      <c r="AO116" s="1208"/>
      <c r="AP116" s="1223"/>
      <c r="AQ116" s="1208"/>
      <c r="AR116" s="1208"/>
      <c r="AS116" s="1223"/>
      <c r="AT116" s="1223"/>
      <c r="AU116" s="1208"/>
      <c r="AV116" s="1208"/>
      <c r="AW116" s="2297"/>
      <c r="BE116" s="1224"/>
      <c r="BF116" s="1225"/>
      <c r="BR116" s="1224"/>
      <c r="BS116" s="1224"/>
    </row>
    <row r="117" spans="2:71" s="491" customFormat="1">
      <c r="B117" s="2297"/>
      <c r="C117" s="2297"/>
      <c r="D117" s="2297"/>
      <c r="E117" s="2297"/>
      <c r="F117" s="2297"/>
      <c r="G117" s="2297"/>
      <c r="H117" s="2297"/>
      <c r="I117" s="2297"/>
      <c r="J117" s="2297"/>
      <c r="K117" s="2297"/>
      <c r="L117" s="2297"/>
      <c r="M117" s="2297"/>
      <c r="N117" s="2297"/>
      <c r="O117" s="2297"/>
      <c r="P117" s="2297"/>
      <c r="Q117" s="2297"/>
      <c r="R117" s="99"/>
      <c r="S117" s="99"/>
      <c r="T117" s="99"/>
      <c r="U117" s="99"/>
      <c r="V117" s="99"/>
      <c r="AF117" s="2297"/>
      <c r="AG117" s="1208"/>
      <c r="AH117" s="1208"/>
      <c r="AI117" s="1223"/>
      <c r="AJ117" s="1223"/>
      <c r="AK117" s="1223"/>
      <c r="AL117" s="1223"/>
      <c r="AM117" s="1223"/>
      <c r="AN117" s="1223"/>
      <c r="AO117" s="1208"/>
      <c r="AP117" s="1223"/>
      <c r="AQ117" s="1208"/>
      <c r="AR117" s="1208"/>
      <c r="AS117" s="1223"/>
      <c r="AT117" s="1223"/>
      <c r="AU117" s="1208"/>
      <c r="AV117" s="1208"/>
      <c r="AW117" s="2297"/>
      <c r="BE117" s="1224"/>
      <c r="BF117" s="1225"/>
      <c r="BR117" s="1224"/>
      <c r="BS117" s="1224"/>
    </row>
    <row r="118" spans="2:71" s="491" customFormat="1">
      <c r="B118" s="2297"/>
      <c r="C118" s="2297"/>
      <c r="D118" s="2297"/>
      <c r="E118" s="2297"/>
      <c r="F118" s="2297"/>
      <c r="G118" s="2297"/>
      <c r="H118" s="2297"/>
      <c r="I118" s="2297"/>
      <c r="J118" s="2297"/>
      <c r="K118" s="2297"/>
      <c r="L118" s="2297"/>
      <c r="M118" s="2297"/>
      <c r="N118" s="2297"/>
      <c r="O118" s="2297"/>
      <c r="P118" s="2297"/>
      <c r="Q118" s="2297"/>
      <c r="R118" s="99"/>
      <c r="S118" s="99"/>
      <c r="T118" s="99"/>
      <c r="U118" s="99"/>
      <c r="V118" s="99"/>
      <c r="AF118" s="2297"/>
      <c r="AG118" s="1208"/>
      <c r="AH118" s="1208"/>
      <c r="AI118" s="1223"/>
      <c r="AJ118" s="1223"/>
      <c r="AK118" s="1223"/>
      <c r="AL118" s="1223"/>
      <c r="AM118" s="1223"/>
      <c r="AN118" s="1223"/>
      <c r="AO118" s="1208"/>
      <c r="AP118" s="1223"/>
      <c r="AQ118" s="1208"/>
      <c r="AR118" s="1208"/>
      <c r="AS118" s="1223"/>
      <c r="AT118" s="1223"/>
      <c r="AU118" s="1208"/>
      <c r="AV118" s="1208"/>
      <c r="AW118" s="2297"/>
      <c r="BE118" s="1224"/>
      <c r="BF118" s="1225"/>
      <c r="BR118" s="1224"/>
      <c r="BS118" s="1224"/>
    </row>
    <row r="119" spans="2:71" s="491" customFormat="1">
      <c r="B119" s="2297"/>
      <c r="C119" s="2297"/>
      <c r="D119" s="2297"/>
      <c r="E119" s="2297"/>
      <c r="F119" s="2297"/>
      <c r="G119" s="2297"/>
      <c r="H119" s="2297"/>
      <c r="I119" s="2297"/>
      <c r="J119" s="2297"/>
      <c r="K119" s="2297"/>
      <c r="L119" s="2297"/>
      <c r="M119" s="2297"/>
      <c r="N119" s="2297"/>
      <c r="O119" s="2297"/>
      <c r="P119" s="2297"/>
      <c r="Q119" s="2297"/>
      <c r="R119" s="99"/>
      <c r="S119" s="99"/>
      <c r="T119" s="99"/>
      <c r="U119" s="99"/>
      <c r="V119" s="99"/>
      <c r="AF119" s="2297"/>
      <c r="AG119" s="1208"/>
      <c r="AH119" s="1208"/>
      <c r="AI119" s="1223"/>
      <c r="AJ119" s="1223"/>
      <c r="AK119" s="1223"/>
      <c r="AL119" s="1223"/>
      <c r="AM119" s="1223"/>
      <c r="AN119" s="1223"/>
      <c r="AO119" s="1208"/>
      <c r="AP119" s="1223"/>
      <c r="AQ119" s="1208"/>
      <c r="AR119" s="1208"/>
      <c r="AS119" s="1223"/>
      <c r="AT119" s="1223"/>
      <c r="AU119" s="1208"/>
      <c r="AV119" s="1208"/>
      <c r="AW119" s="2297"/>
      <c r="BE119" s="1224"/>
      <c r="BF119" s="1225"/>
      <c r="BR119" s="1224"/>
      <c r="BS119" s="1224"/>
    </row>
    <row r="120" spans="2:71" s="491" customFormat="1">
      <c r="B120" s="2297"/>
      <c r="C120" s="2297"/>
      <c r="D120" s="2297"/>
      <c r="E120" s="2297"/>
      <c r="F120" s="2297"/>
      <c r="G120" s="2297"/>
      <c r="H120" s="2297"/>
      <c r="I120" s="2297"/>
      <c r="J120" s="2297"/>
      <c r="K120" s="2297"/>
      <c r="L120" s="2297"/>
      <c r="M120" s="2297"/>
      <c r="N120" s="2297"/>
      <c r="O120" s="2297"/>
      <c r="P120" s="2297"/>
      <c r="Q120" s="2297"/>
      <c r="R120" s="99"/>
      <c r="S120" s="99"/>
      <c r="T120" s="99"/>
      <c r="U120" s="99"/>
      <c r="V120" s="99"/>
      <c r="AF120" s="2297"/>
      <c r="AG120" s="1208"/>
      <c r="AH120" s="1208"/>
      <c r="AI120" s="1223"/>
      <c r="AJ120" s="1223"/>
      <c r="AK120" s="1223"/>
      <c r="AL120" s="1223"/>
      <c r="AM120" s="1223"/>
      <c r="AN120" s="1223"/>
      <c r="AO120" s="1208"/>
      <c r="AP120" s="1223"/>
      <c r="AQ120" s="1208"/>
      <c r="AR120" s="1208"/>
      <c r="AS120" s="1223"/>
      <c r="AT120" s="1223"/>
      <c r="AU120" s="1208"/>
      <c r="AV120" s="1208"/>
      <c r="AW120" s="2297"/>
      <c r="BE120" s="1224"/>
      <c r="BF120" s="1225"/>
      <c r="BR120" s="1224"/>
      <c r="BS120" s="1224"/>
    </row>
    <row r="121" spans="2:71" s="491" customFormat="1">
      <c r="B121" s="2297"/>
      <c r="C121" s="2297"/>
      <c r="D121" s="2297"/>
      <c r="E121" s="2297"/>
      <c r="F121" s="2297"/>
      <c r="G121" s="2297"/>
      <c r="H121" s="2297"/>
      <c r="I121" s="2297"/>
      <c r="J121" s="2297"/>
      <c r="K121" s="2297"/>
      <c r="L121" s="2297"/>
      <c r="M121" s="2297"/>
      <c r="N121" s="2297"/>
      <c r="O121" s="2297"/>
      <c r="P121" s="2297"/>
      <c r="Q121" s="2297"/>
      <c r="R121" s="99"/>
      <c r="S121" s="99"/>
      <c r="T121" s="99"/>
      <c r="U121" s="99"/>
      <c r="V121" s="99"/>
      <c r="AF121" s="2297"/>
      <c r="AG121" s="1208"/>
      <c r="AH121" s="1208"/>
      <c r="AI121" s="1223"/>
      <c r="AJ121" s="1223"/>
      <c r="AK121" s="1223"/>
      <c r="AL121" s="1223"/>
      <c r="AM121" s="1223"/>
      <c r="AN121" s="1223"/>
      <c r="AO121" s="1208"/>
      <c r="AP121" s="1223"/>
      <c r="AQ121" s="1208"/>
      <c r="AR121" s="1208"/>
      <c r="AS121" s="1223"/>
      <c r="AT121" s="1223"/>
      <c r="AU121" s="1208"/>
      <c r="AV121" s="1208"/>
      <c r="AW121" s="2297"/>
      <c r="BE121" s="1224"/>
      <c r="BF121" s="1225"/>
      <c r="BR121" s="1224"/>
      <c r="BS121" s="1224"/>
    </row>
    <row r="122" spans="2:71" s="491" customFormat="1">
      <c r="B122" s="2297"/>
      <c r="C122" s="2297"/>
      <c r="D122" s="2297"/>
      <c r="E122" s="2297"/>
      <c r="F122" s="2297"/>
      <c r="G122" s="2297"/>
      <c r="H122" s="2297"/>
      <c r="I122" s="2297"/>
      <c r="J122" s="2297"/>
      <c r="K122" s="2297"/>
      <c r="L122" s="2297"/>
      <c r="M122" s="2297"/>
      <c r="N122" s="2297"/>
      <c r="O122" s="2297"/>
      <c r="P122" s="2297"/>
      <c r="Q122" s="2297"/>
      <c r="R122" s="99"/>
      <c r="S122" s="99"/>
      <c r="T122" s="99"/>
      <c r="U122" s="99"/>
      <c r="V122" s="99"/>
      <c r="AF122" s="2297"/>
      <c r="AG122" s="1208"/>
      <c r="AH122" s="1208"/>
      <c r="AI122" s="1223"/>
      <c r="AJ122" s="1223"/>
      <c r="AK122" s="1223"/>
      <c r="AL122" s="1223"/>
      <c r="AM122" s="1223"/>
      <c r="AN122" s="1223"/>
      <c r="AO122" s="1208"/>
      <c r="AP122" s="1223"/>
      <c r="AQ122" s="1208"/>
      <c r="AR122" s="1208"/>
      <c r="AS122" s="1223"/>
      <c r="AT122" s="1223"/>
      <c r="AU122" s="1208"/>
      <c r="AV122" s="1208"/>
      <c r="AW122" s="2297"/>
      <c r="BE122" s="1224"/>
      <c r="BF122" s="1225"/>
      <c r="BR122" s="1224"/>
      <c r="BS122" s="1224"/>
    </row>
    <row r="123" spans="2:71" s="491" customFormat="1">
      <c r="B123" s="2297"/>
      <c r="C123" s="2297"/>
      <c r="D123" s="2297"/>
      <c r="E123" s="2297"/>
      <c r="F123" s="2297"/>
      <c r="G123" s="2297"/>
      <c r="H123" s="2297"/>
      <c r="I123" s="2297"/>
      <c r="J123" s="2297"/>
      <c r="K123" s="2297"/>
      <c r="L123" s="2297"/>
      <c r="M123" s="2297"/>
      <c r="N123" s="2297"/>
      <c r="O123" s="2297"/>
      <c r="P123" s="2297"/>
      <c r="Q123" s="2297"/>
      <c r="R123" s="99"/>
      <c r="S123" s="99"/>
      <c r="T123" s="99"/>
      <c r="U123" s="99"/>
      <c r="V123" s="99"/>
      <c r="AF123" s="2297"/>
      <c r="AG123" s="1208"/>
      <c r="AH123" s="1208"/>
      <c r="AI123" s="1223"/>
      <c r="AJ123" s="1223"/>
      <c r="AK123" s="1223"/>
      <c r="AL123" s="1223"/>
      <c r="AM123" s="1223"/>
      <c r="AN123" s="1223"/>
      <c r="AO123" s="1208"/>
      <c r="AP123" s="1223"/>
      <c r="AQ123" s="1208"/>
      <c r="AR123" s="1208"/>
      <c r="AS123" s="1223"/>
      <c r="AT123" s="1223"/>
      <c r="AU123" s="1208"/>
      <c r="AV123" s="1208"/>
      <c r="AW123" s="2297"/>
      <c r="BE123" s="1224"/>
      <c r="BF123" s="1225"/>
      <c r="BR123" s="1224"/>
      <c r="BS123" s="1224"/>
    </row>
    <row r="124" spans="2:71" s="491" customFormat="1">
      <c r="B124" s="2297"/>
      <c r="C124" s="2297"/>
      <c r="D124" s="2297"/>
      <c r="E124" s="2297"/>
      <c r="F124" s="2297"/>
      <c r="G124" s="2297"/>
      <c r="H124" s="2297"/>
      <c r="I124" s="2297"/>
      <c r="J124" s="2297"/>
      <c r="K124" s="2297"/>
      <c r="L124" s="2297"/>
      <c r="M124" s="2297"/>
      <c r="N124" s="2297"/>
      <c r="O124" s="2297"/>
      <c r="P124" s="2297"/>
      <c r="Q124" s="2297"/>
      <c r="R124" s="99"/>
      <c r="S124" s="99"/>
      <c r="T124" s="99"/>
      <c r="U124" s="99"/>
      <c r="V124" s="99"/>
      <c r="AF124" s="2297"/>
      <c r="AG124" s="1208"/>
      <c r="AH124" s="1208"/>
      <c r="AI124" s="1223"/>
      <c r="AJ124" s="1223"/>
      <c r="AK124" s="1223"/>
      <c r="AL124" s="1223"/>
      <c r="AM124" s="1223"/>
      <c r="AN124" s="1223"/>
      <c r="AO124" s="1208"/>
      <c r="AP124" s="1223"/>
      <c r="AQ124" s="1208"/>
      <c r="AR124" s="1208"/>
      <c r="AS124" s="1223"/>
      <c r="AT124" s="1223"/>
      <c r="AU124" s="1208"/>
      <c r="AV124" s="1208"/>
      <c r="AW124" s="2297"/>
      <c r="BE124" s="1224"/>
      <c r="BF124" s="1225"/>
      <c r="BR124" s="1224"/>
      <c r="BS124" s="1224"/>
    </row>
    <row r="125" spans="2:71" s="491" customFormat="1">
      <c r="B125" s="2297"/>
      <c r="C125" s="2297"/>
      <c r="D125" s="2297"/>
      <c r="E125" s="2297"/>
      <c r="F125" s="2297"/>
      <c r="G125" s="2297"/>
      <c r="H125" s="2297"/>
      <c r="I125" s="2297"/>
      <c r="J125" s="2297"/>
      <c r="K125" s="2297"/>
      <c r="L125" s="2297"/>
      <c r="M125" s="2297"/>
      <c r="N125" s="2297"/>
      <c r="O125" s="2297"/>
      <c r="P125" s="2297"/>
      <c r="Q125" s="2297"/>
      <c r="R125" s="99"/>
      <c r="S125" s="99"/>
      <c r="T125" s="99"/>
      <c r="U125" s="99"/>
      <c r="V125" s="99"/>
      <c r="AF125" s="2297"/>
      <c r="AG125" s="1208"/>
      <c r="AH125" s="1208"/>
      <c r="AI125" s="1223"/>
      <c r="AJ125" s="1223"/>
      <c r="AK125" s="1223"/>
      <c r="AL125" s="1223"/>
      <c r="AM125" s="1223"/>
      <c r="AN125" s="1223"/>
      <c r="AO125" s="1208"/>
      <c r="AP125" s="1223"/>
      <c r="AQ125" s="1208"/>
      <c r="AR125" s="1208"/>
      <c r="AS125" s="1223"/>
      <c r="AT125" s="1223"/>
      <c r="AU125" s="1208"/>
      <c r="AV125" s="1208"/>
      <c r="AW125" s="2297"/>
      <c r="BE125" s="1224"/>
      <c r="BF125" s="1225"/>
      <c r="BR125" s="1224"/>
      <c r="BS125" s="1224"/>
    </row>
    <row r="126" spans="2:71" s="491" customFormat="1">
      <c r="B126" s="2297"/>
      <c r="C126" s="2297"/>
      <c r="D126" s="2297"/>
      <c r="E126" s="2297"/>
      <c r="F126" s="2297"/>
      <c r="G126" s="2297"/>
      <c r="H126" s="2297"/>
      <c r="I126" s="2297"/>
      <c r="J126" s="2297"/>
      <c r="K126" s="2297"/>
      <c r="L126" s="2297"/>
      <c r="M126" s="2297"/>
      <c r="N126" s="2297"/>
      <c r="O126" s="2297"/>
      <c r="P126" s="2297"/>
      <c r="Q126" s="2297"/>
      <c r="R126" s="99"/>
      <c r="S126" s="99"/>
      <c r="T126" s="99"/>
      <c r="U126" s="99"/>
      <c r="V126" s="99"/>
      <c r="AF126" s="2297"/>
      <c r="AG126" s="1208"/>
      <c r="AH126" s="1208"/>
      <c r="AI126" s="1223"/>
      <c r="AJ126" s="1223"/>
      <c r="AK126" s="1223"/>
      <c r="AL126" s="1223"/>
      <c r="AM126" s="1223"/>
      <c r="AN126" s="1223"/>
      <c r="AO126" s="1208"/>
      <c r="AP126" s="1223"/>
      <c r="AQ126" s="1208"/>
      <c r="AR126" s="1208"/>
      <c r="AS126" s="1223"/>
      <c r="AT126" s="1223"/>
      <c r="AU126" s="1208"/>
      <c r="AV126" s="1208"/>
      <c r="AW126" s="2297"/>
      <c r="BE126" s="1224"/>
      <c r="BF126" s="1225"/>
      <c r="BR126" s="1224"/>
      <c r="BS126" s="1224"/>
    </row>
    <row r="127" spans="2:71" s="491" customFormat="1">
      <c r="B127" s="2297"/>
      <c r="C127" s="2297"/>
      <c r="D127" s="2297"/>
      <c r="E127" s="2297"/>
      <c r="F127" s="2297"/>
      <c r="G127" s="2297"/>
      <c r="H127" s="2297"/>
      <c r="I127" s="2297"/>
      <c r="J127" s="2297"/>
      <c r="K127" s="2297"/>
      <c r="L127" s="2297"/>
      <c r="M127" s="2297"/>
      <c r="N127" s="2297"/>
      <c r="O127" s="2297"/>
      <c r="P127" s="2297"/>
      <c r="Q127" s="2297"/>
      <c r="R127" s="99"/>
      <c r="S127" s="99"/>
      <c r="T127" s="99"/>
      <c r="U127" s="99"/>
      <c r="V127" s="99"/>
      <c r="AF127" s="2297"/>
      <c r="AG127" s="1208"/>
      <c r="AH127" s="1208"/>
      <c r="AI127" s="1223"/>
      <c r="AJ127" s="1223"/>
      <c r="AK127" s="1223"/>
      <c r="AL127" s="1223"/>
      <c r="AM127" s="1223"/>
      <c r="AN127" s="1223"/>
      <c r="AO127" s="1208"/>
      <c r="AP127" s="1223"/>
      <c r="AQ127" s="1208"/>
      <c r="AR127" s="1208"/>
      <c r="AS127" s="1223"/>
      <c r="AT127" s="1223"/>
      <c r="AU127" s="1208"/>
      <c r="AV127" s="1208"/>
      <c r="AW127" s="2297"/>
      <c r="BE127" s="1224"/>
      <c r="BF127" s="1225"/>
      <c r="BR127" s="1224"/>
      <c r="BS127" s="1224"/>
    </row>
    <row r="128" spans="2:71" s="491" customFormat="1">
      <c r="B128" s="2297"/>
      <c r="C128" s="2297"/>
      <c r="D128" s="2297"/>
      <c r="E128" s="2297"/>
      <c r="F128" s="2297"/>
      <c r="G128" s="2297"/>
      <c r="H128" s="2297"/>
      <c r="I128" s="2297"/>
      <c r="J128" s="2297"/>
      <c r="K128" s="2297"/>
      <c r="L128" s="2297"/>
      <c r="M128" s="2297"/>
      <c r="N128" s="2297"/>
      <c r="O128" s="2297"/>
      <c r="P128" s="2297"/>
      <c r="Q128" s="2297"/>
      <c r="R128" s="99"/>
      <c r="S128" s="99"/>
      <c r="T128" s="99"/>
      <c r="U128" s="99"/>
      <c r="V128" s="99"/>
      <c r="AF128" s="2297"/>
      <c r="AG128" s="1208"/>
      <c r="AH128" s="1208"/>
      <c r="AI128" s="1223"/>
      <c r="AJ128" s="1223"/>
      <c r="AK128" s="1223"/>
      <c r="AL128" s="1223"/>
      <c r="AM128" s="1223"/>
      <c r="AN128" s="1223"/>
      <c r="AO128" s="1208"/>
      <c r="AP128" s="1223"/>
      <c r="AQ128" s="1208"/>
      <c r="AR128" s="1208"/>
      <c r="AS128" s="1223"/>
      <c r="AT128" s="1223"/>
      <c r="AU128" s="1208"/>
      <c r="AV128" s="1208"/>
      <c r="AW128" s="2297"/>
      <c r="BE128" s="1224"/>
      <c r="BF128" s="1225"/>
      <c r="BR128" s="1224"/>
      <c r="BS128" s="1224"/>
    </row>
    <row r="129" spans="2:71" s="491" customFormat="1">
      <c r="B129" s="2297"/>
      <c r="C129" s="2297"/>
      <c r="D129" s="2297"/>
      <c r="E129" s="2297"/>
      <c r="F129" s="2297"/>
      <c r="G129" s="2297"/>
      <c r="H129" s="2297"/>
      <c r="I129" s="2297"/>
      <c r="J129" s="2297"/>
      <c r="K129" s="2297"/>
      <c r="L129" s="2297"/>
      <c r="M129" s="2297"/>
      <c r="N129" s="2297"/>
      <c r="O129" s="2297"/>
      <c r="P129" s="2297"/>
      <c r="Q129" s="2297"/>
      <c r="R129" s="99"/>
      <c r="S129" s="99"/>
      <c r="T129" s="99"/>
      <c r="U129" s="99"/>
      <c r="V129" s="99"/>
      <c r="AF129" s="2297"/>
      <c r="AG129" s="1208"/>
      <c r="AH129" s="1208"/>
      <c r="AI129" s="1223"/>
      <c r="AJ129" s="1223"/>
      <c r="AK129" s="1223"/>
      <c r="AL129" s="1223"/>
      <c r="AM129" s="1223"/>
      <c r="AN129" s="1223"/>
      <c r="AO129" s="1208"/>
      <c r="AP129" s="1223"/>
      <c r="AQ129" s="1208"/>
      <c r="AR129" s="1208"/>
      <c r="AS129" s="1223"/>
      <c r="AT129" s="1223"/>
      <c r="AU129" s="1208"/>
      <c r="AV129" s="1208"/>
      <c r="AW129" s="2297"/>
      <c r="BE129" s="1224"/>
      <c r="BF129" s="1225"/>
      <c r="BR129" s="1224"/>
      <c r="BS129" s="1224"/>
    </row>
    <row r="130" spans="2:71" s="491" customFormat="1">
      <c r="B130" s="2297"/>
      <c r="C130" s="2297"/>
      <c r="D130" s="2297"/>
      <c r="E130" s="2297"/>
      <c r="F130" s="2297"/>
      <c r="G130" s="2297"/>
      <c r="H130" s="2297"/>
      <c r="I130" s="2297"/>
      <c r="J130" s="2297"/>
      <c r="K130" s="2297"/>
      <c r="L130" s="2297"/>
      <c r="M130" s="2297"/>
      <c r="N130" s="2297"/>
      <c r="O130" s="2297"/>
      <c r="P130" s="2297"/>
      <c r="Q130" s="2297"/>
      <c r="R130" s="99"/>
      <c r="S130" s="99"/>
      <c r="T130" s="99"/>
      <c r="U130" s="99"/>
      <c r="V130" s="99"/>
      <c r="AF130" s="2297"/>
      <c r="AG130" s="1208"/>
      <c r="AH130" s="1208"/>
      <c r="AI130" s="1223"/>
      <c r="AJ130" s="1223"/>
      <c r="AK130" s="1223"/>
      <c r="AL130" s="1223"/>
      <c r="AM130" s="1223"/>
      <c r="AN130" s="1223"/>
      <c r="AO130" s="1208"/>
      <c r="AP130" s="1223"/>
      <c r="AQ130" s="1208"/>
      <c r="AR130" s="1208"/>
      <c r="AS130" s="1223"/>
      <c r="AT130" s="1223"/>
      <c r="AU130" s="1208"/>
      <c r="AV130" s="1208"/>
      <c r="AW130" s="2297"/>
      <c r="BE130" s="1224"/>
      <c r="BF130" s="1225"/>
      <c r="BR130" s="1224"/>
      <c r="BS130" s="1224"/>
    </row>
    <row r="131" spans="2:71" s="491" customFormat="1">
      <c r="B131" s="2297"/>
      <c r="C131" s="2297"/>
      <c r="D131" s="2297"/>
      <c r="E131" s="2297"/>
      <c r="F131" s="2297"/>
      <c r="G131" s="2297"/>
      <c r="H131" s="2297"/>
      <c r="I131" s="2297"/>
      <c r="J131" s="2297"/>
      <c r="K131" s="2297"/>
      <c r="L131" s="2297"/>
      <c r="M131" s="2297"/>
      <c r="N131" s="2297"/>
      <c r="O131" s="2297"/>
      <c r="P131" s="2297"/>
      <c r="Q131" s="2297"/>
      <c r="R131" s="99"/>
      <c r="S131" s="99"/>
      <c r="T131" s="99"/>
      <c r="U131" s="99"/>
      <c r="V131" s="99"/>
      <c r="AF131" s="2297"/>
      <c r="AG131" s="1208"/>
      <c r="AH131" s="1208"/>
      <c r="AI131" s="1223"/>
      <c r="AJ131" s="1223"/>
      <c r="AK131" s="1223"/>
      <c r="AL131" s="1223"/>
      <c r="AM131" s="1223"/>
      <c r="AN131" s="1223"/>
      <c r="AO131" s="1208"/>
      <c r="AP131" s="1223"/>
      <c r="AQ131" s="1208"/>
      <c r="AR131" s="1208"/>
      <c r="AS131" s="1223"/>
      <c r="AT131" s="1223"/>
      <c r="AU131" s="1208"/>
      <c r="AV131" s="1208"/>
      <c r="AW131" s="2297"/>
      <c r="BE131" s="1224"/>
      <c r="BF131" s="1225"/>
      <c r="BR131" s="1224"/>
      <c r="BS131" s="1224"/>
    </row>
    <row r="132" spans="2:71" s="491" customFormat="1">
      <c r="B132" s="2297"/>
      <c r="C132" s="2297"/>
      <c r="D132" s="2297"/>
      <c r="E132" s="2297"/>
      <c r="F132" s="2297"/>
      <c r="G132" s="2297"/>
      <c r="H132" s="2297"/>
      <c r="I132" s="2297"/>
      <c r="J132" s="2297"/>
      <c r="K132" s="2297"/>
      <c r="L132" s="2297"/>
      <c r="M132" s="2297"/>
      <c r="N132" s="2297"/>
      <c r="O132" s="2297"/>
      <c r="P132" s="2297"/>
      <c r="Q132" s="2297"/>
      <c r="R132" s="99"/>
      <c r="S132" s="99"/>
      <c r="T132" s="99"/>
      <c r="U132" s="99"/>
      <c r="V132" s="99"/>
      <c r="AF132" s="2297"/>
      <c r="AG132" s="1208"/>
      <c r="AH132" s="1208"/>
      <c r="AI132" s="1223"/>
      <c r="AJ132" s="1223"/>
      <c r="AK132" s="1223"/>
      <c r="AL132" s="1223"/>
      <c r="AM132" s="1223"/>
      <c r="AN132" s="1223"/>
      <c r="AO132" s="1208"/>
      <c r="AP132" s="1223"/>
      <c r="AQ132" s="1208"/>
      <c r="AR132" s="1208"/>
      <c r="AS132" s="1223"/>
      <c r="AT132" s="1223"/>
      <c r="AU132" s="1208"/>
      <c r="AV132" s="1208"/>
      <c r="AW132" s="2297"/>
      <c r="BE132" s="1224"/>
      <c r="BF132" s="1225"/>
      <c r="BR132" s="1224"/>
      <c r="BS132" s="1224"/>
    </row>
    <row r="133" spans="2:71" s="491" customFormat="1">
      <c r="B133" s="2297"/>
      <c r="C133" s="2297"/>
      <c r="D133" s="2297"/>
      <c r="E133" s="2297"/>
      <c r="F133" s="2297"/>
      <c r="G133" s="2297"/>
      <c r="H133" s="2297"/>
      <c r="I133" s="2297"/>
      <c r="J133" s="2297"/>
      <c r="K133" s="2297"/>
      <c r="L133" s="2297"/>
      <c r="M133" s="2297"/>
      <c r="N133" s="2297"/>
      <c r="O133" s="2297"/>
      <c r="P133" s="2297"/>
      <c r="Q133" s="2297"/>
      <c r="R133" s="99"/>
      <c r="S133" s="99"/>
      <c r="T133" s="99"/>
      <c r="U133" s="99"/>
      <c r="V133" s="99"/>
      <c r="AF133" s="2297"/>
      <c r="AG133" s="1208"/>
      <c r="AH133" s="1208"/>
      <c r="AI133" s="1223"/>
      <c r="AJ133" s="1223"/>
      <c r="AK133" s="1223"/>
      <c r="AL133" s="1223"/>
      <c r="AM133" s="1223"/>
      <c r="AN133" s="1223"/>
      <c r="AO133" s="1208"/>
      <c r="AP133" s="1223"/>
      <c r="AQ133" s="1208"/>
      <c r="AR133" s="1208"/>
      <c r="AS133" s="1223"/>
      <c r="AT133" s="1223"/>
      <c r="AU133" s="1208"/>
      <c r="AV133" s="1208"/>
      <c r="AW133" s="2297"/>
      <c r="BE133" s="1224"/>
      <c r="BF133" s="1225"/>
      <c r="BR133" s="1224"/>
      <c r="BS133" s="1224"/>
    </row>
    <row r="134" spans="2:71" s="491" customFormat="1">
      <c r="B134" s="2297"/>
      <c r="C134" s="2297"/>
      <c r="D134" s="2297"/>
      <c r="E134" s="2297"/>
      <c r="F134" s="2297"/>
      <c r="G134" s="2297"/>
      <c r="H134" s="2297"/>
      <c r="I134" s="2297"/>
      <c r="J134" s="2297"/>
      <c r="K134" s="2297"/>
      <c r="L134" s="2297"/>
      <c r="M134" s="2297"/>
      <c r="N134" s="2297"/>
      <c r="O134" s="2297"/>
      <c r="P134" s="2297"/>
      <c r="Q134" s="2297"/>
      <c r="R134" s="99"/>
      <c r="S134" s="99"/>
      <c r="T134" s="99"/>
      <c r="U134" s="99"/>
      <c r="V134" s="99"/>
      <c r="AF134" s="2297"/>
      <c r="AG134" s="1208"/>
      <c r="AH134" s="1208"/>
      <c r="AI134" s="1223"/>
      <c r="AJ134" s="1223"/>
      <c r="AK134" s="1223"/>
      <c r="AL134" s="1223"/>
      <c r="AM134" s="1223"/>
      <c r="AN134" s="1223"/>
      <c r="AO134" s="1208"/>
      <c r="AP134" s="1223"/>
      <c r="AQ134" s="1208"/>
      <c r="AR134" s="1208"/>
      <c r="AS134" s="1223"/>
      <c r="AT134" s="1223"/>
      <c r="AU134" s="1208"/>
      <c r="AV134" s="1208"/>
      <c r="AW134" s="2297"/>
      <c r="BE134" s="1224"/>
      <c r="BF134" s="1225"/>
      <c r="BR134" s="1224"/>
      <c r="BS134" s="1224"/>
    </row>
    <row r="135" spans="2:71" s="491" customFormat="1">
      <c r="B135" s="2297"/>
      <c r="C135" s="2297"/>
      <c r="D135" s="2297"/>
      <c r="E135" s="2297"/>
      <c r="F135" s="2297"/>
      <c r="G135" s="2297"/>
      <c r="H135" s="2297"/>
      <c r="I135" s="2297"/>
      <c r="J135" s="2297"/>
      <c r="K135" s="2297"/>
      <c r="L135" s="2297"/>
      <c r="M135" s="2297"/>
      <c r="N135" s="2297"/>
      <c r="O135" s="2297"/>
      <c r="P135" s="2297"/>
      <c r="Q135" s="2297"/>
      <c r="R135" s="99"/>
      <c r="S135" s="99"/>
      <c r="T135" s="99"/>
      <c r="U135" s="99"/>
      <c r="V135" s="99"/>
      <c r="AF135" s="2297"/>
      <c r="AG135" s="1208"/>
      <c r="AH135" s="1208"/>
      <c r="AI135" s="1223"/>
      <c r="AJ135" s="1223"/>
      <c r="AK135" s="1223"/>
      <c r="AL135" s="1223"/>
      <c r="AM135" s="1223"/>
      <c r="AN135" s="1223"/>
      <c r="AO135" s="1208"/>
      <c r="AP135" s="1223"/>
      <c r="AQ135" s="1208"/>
      <c r="AR135" s="1208"/>
      <c r="AS135" s="1223"/>
      <c r="AT135" s="1223"/>
      <c r="AU135" s="1208"/>
      <c r="AV135" s="1208"/>
      <c r="AW135" s="2297"/>
      <c r="BE135" s="1224"/>
      <c r="BF135" s="1225"/>
      <c r="BR135" s="1224"/>
      <c r="BS135" s="1224"/>
    </row>
    <row r="136" spans="2:71" s="491" customFormat="1">
      <c r="B136" s="2297"/>
      <c r="C136" s="2297"/>
      <c r="D136" s="2297"/>
      <c r="E136" s="2297"/>
      <c r="F136" s="2297"/>
      <c r="G136" s="2297"/>
      <c r="H136" s="2297"/>
      <c r="I136" s="2297"/>
      <c r="J136" s="2297"/>
      <c r="K136" s="2297"/>
      <c r="L136" s="2297"/>
      <c r="M136" s="2297"/>
      <c r="N136" s="2297"/>
      <c r="O136" s="2297"/>
      <c r="P136" s="2297"/>
      <c r="Q136" s="2297"/>
      <c r="R136" s="99"/>
      <c r="S136" s="99"/>
      <c r="T136" s="99"/>
      <c r="U136" s="99"/>
      <c r="V136" s="99"/>
      <c r="AF136" s="2297"/>
      <c r="AG136" s="1208"/>
      <c r="AH136" s="1208"/>
      <c r="AI136" s="1223"/>
      <c r="AJ136" s="1223"/>
      <c r="AK136" s="1223"/>
      <c r="AL136" s="1223"/>
      <c r="AM136" s="1223"/>
      <c r="AN136" s="1223"/>
      <c r="AO136" s="1208"/>
      <c r="AP136" s="1223"/>
      <c r="AQ136" s="1208"/>
      <c r="AR136" s="1208"/>
      <c r="AS136" s="1223"/>
      <c r="AT136" s="1223"/>
      <c r="AU136" s="1208"/>
      <c r="AV136" s="1208"/>
      <c r="AW136" s="2297"/>
      <c r="BE136" s="1224"/>
      <c r="BF136" s="1225"/>
      <c r="BR136" s="1224"/>
      <c r="BS136" s="1224"/>
    </row>
    <row r="137" spans="2:71" s="491" customFormat="1">
      <c r="B137" s="2297"/>
      <c r="C137" s="2297"/>
      <c r="D137" s="2297"/>
      <c r="E137" s="2297"/>
      <c r="F137" s="2297"/>
      <c r="G137" s="2297"/>
      <c r="H137" s="2297"/>
      <c r="I137" s="2297"/>
      <c r="J137" s="2297"/>
      <c r="K137" s="2297"/>
      <c r="L137" s="2297"/>
      <c r="M137" s="2297"/>
      <c r="N137" s="2297"/>
      <c r="O137" s="2297"/>
      <c r="P137" s="2297"/>
      <c r="Q137" s="2297"/>
      <c r="R137" s="99"/>
      <c r="S137" s="99"/>
      <c r="T137" s="99"/>
      <c r="U137" s="99"/>
      <c r="V137" s="99"/>
      <c r="AF137" s="2297"/>
      <c r="AG137" s="1208"/>
      <c r="AH137" s="1208"/>
      <c r="AI137" s="1223"/>
      <c r="AJ137" s="1223"/>
      <c r="AK137" s="1223"/>
      <c r="AL137" s="1223"/>
      <c r="AM137" s="1223"/>
      <c r="AN137" s="1223"/>
      <c r="AO137" s="1208"/>
      <c r="AP137" s="1223"/>
      <c r="AQ137" s="1208"/>
      <c r="AR137" s="1208"/>
      <c r="AS137" s="1223"/>
      <c r="AT137" s="1223"/>
      <c r="AU137" s="1208"/>
      <c r="AV137" s="1208"/>
      <c r="AW137" s="2297"/>
      <c r="BE137" s="1224"/>
      <c r="BF137" s="1225"/>
      <c r="BR137" s="1224"/>
      <c r="BS137" s="1224"/>
    </row>
    <row r="138" spans="2:71" s="491" customFormat="1">
      <c r="B138" s="2297"/>
      <c r="C138" s="2297"/>
      <c r="D138" s="2297"/>
      <c r="E138" s="2297"/>
      <c r="F138" s="2297"/>
      <c r="G138" s="2297"/>
      <c r="H138" s="2297"/>
      <c r="I138" s="2297"/>
      <c r="J138" s="2297"/>
      <c r="K138" s="2297"/>
      <c r="L138" s="2297"/>
      <c r="M138" s="2297"/>
      <c r="N138" s="2297"/>
      <c r="O138" s="2297"/>
      <c r="P138" s="2297"/>
      <c r="Q138" s="2297"/>
      <c r="R138" s="99"/>
      <c r="S138" s="99"/>
      <c r="T138" s="99"/>
      <c r="U138" s="99"/>
      <c r="V138" s="99"/>
      <c r="AF138" s="2297"/>
      <c r="AG138" s="1208"/>
      <c r="AH138" s="1208"/>
      <c r="AI138" s="1223"/>
      <c r="AJ138" s="1223"/>
      <c r="AK138" s="1223"/>
      <c r="AL138" s="1223"/>
      <c r="AM138" s="1223"/>
      <c r="AN138" s="1223"/>
      <c r="AO138" s="1208"/>
      <c r="AP138" s="1223"/>
      <c r="AQ138" s="1208"/>
      <c r="AR138" s="1208"/>
      <c r="AS138" s="1223"/>
      <c r="AT138" s="1223"/>
      <c r="AU138" s="1208"/>
      <c r="AV138" s="1208"/>
      <c r="AW138" s="2297"/>
      <c r="BE138" s="1224"/>
      <c r="BF138" s="1225"/>
      <c r="BR138" s="1224"/>
      <c r="BS138" s="1224"/>
    </row>
    <row r="139" spans="2:71" s="491" customFormat="1">
      <c r="B139" s="2297"/>
      <c r="C139" s="2297"/>
      <c r="D139" s="2297"/>
      <c r="E139" s="2297"/>
      <c r="F139" s="2297"/>
      <c r="G139" s="2297"/>
      <c r="H139" s="2297"/>
      <c r="I139" s="2297"/>
      <c r="J139" s="2297"/>
      <c r="K139" s="2297"/>
      <c r="L139" s="2297"/>
      <c r="M139" s="2297"/>
      <c r="N139" s="2297"/>
      <c r="O139" s="2297"/>
      <c r="P139" s="2297"/>
      <c r="Q139" s="2297"/>
      <c r="R139" s="99"/>
      <c r="S139" s="99"/>
      <c r="T139" s="99"/>
      <c r="U139" s="99"/>
      <c r="V139" s="99"/>
      <c r="AF139" s="2297"/>
      <c r="AG139" s="1208"/>
      <c r="AH139" s="1208"/>
      <c r="AI139" s="1223"/>
      <c r="AJ139" s="1223"/>
      <c r="AK139" s="1223"/>
      <c r="AL139" s="1223"/>
      <c r="AM139" s="1223"/>
      <c r="AN139" s="1223"/>
      <c r="AO139" s="1208"/>
      <c r="AP139" s="1223"/>
      <c r="AQ139" s="1208"/>
      <c r="AR139" s="1208"/>
      <c r="AS139" s="1223"/>
      <c r="AT139" s="1223"/>
      <c r="AU139" s="1208"/>
      <c r="AV139" s="1208"/>
      <c r="AW139" s="2297"/>
      <c r="BE139" s="1224"/>
      <c r="BF139" s="1225"/>
      <c r="BR139" s="1224"/>
      <c r="BS139" s="1224"/>
    </row>
    <row r="140" spans="2:71" s="491" customFormat="1">
      <c r="B140" s="2297"/>
      <c r="C140" s="2297"/>
      <c r="D140" s="2297"/>
      <c r="E140" s="2297"/>
      <c r="F140" s="2297"/>
      <c r="G140" s="2297"/>
      <c r="H140" s="2297"/>
      <c r="I140" s="2297"/>
      <c r="J140" s="2297"/>
      <c r="K140" s="2297"/>
      <c r="L140" s="2297"/>
      <c r="M140" s="2297"/>
      <c r="N140" s="2297"/>
      <c r="O140" s="2297"/>
      <c r="P140" s="2297"/>
      <c r="Q140" s="2297"/>
      <c r="R140" s="99"/>
      <c r="S140" s="99"/>
      <c r="T140" s="99"/>
      <c r="U140" s="99"/>
      <c r="V140" s="99"/>
      <c r="AF140" s="2297"/>
      <c r="AG140" s="1208"/>
      <c r="AH140" s="1208"/>
      <c r="AI140" s="1223"/>
      <c r="AJ140" s="1223"/>
      <c r="AK140" s="1223"/>
      <c r="AL140" s="1223"/>
      <c r="AM140" s="1223"/>
      <c r="AN140" s="1223"/>
      <c r="AO140" s="1208"/>
      <c r="AP140" s="1223"/>
      <c r="AQ140" s="1208"/>
      <c r="AR140" s="1208"/>
      <c r="AS140" s="1223"/>
      <c r="AT140" s="1223"/>
      <c r="AU140" s="1208"/>
      <c r="AV140" s="1208"/>
      <c r="AW140" s="2297"/>
      <c r="BE140" s="1224"/>
      <c r="BF140" s="1225"/>
      <c r="BR140" s="1224"/>
      <c r="BS140" s="1224"/>
    </row>
    <row r="141" spans="2:71" s="491" customFormat="1">
      <c r="B141" s="2297"/>
      <c r="C141" s="2297"/>
      <c r="D141" s="2297"/>
      <c r="E141" s="2297"/>
      <c r="F141" s="2297"/>
      <c r="G141" s="2297"/>
      <c r="H141" s="2297"/>
      <c r="I141" s="2297"/>
      <c r="J141" s="2297"/>
      <c r="K141" s="2297"/>
      <c r="L141" s="2297"/>
      <c r="M141" s="2297"/>
      <c r="N141" s="2297"/>
      <c r="O141" s="2297"/>
      <c r="P141" s="2297"/>
      <c r="Q141" s="2297"/>
      <c r="R141" s="99"/>
      <c r="S141" s="99"/>
      <c r="T141" s="99"/>
      <c r="U141" s="99"/>
      <c r="V141" s="99"/>
      <c r="AF141" s="2297"/>
      <c r="AG141" s="1208"/>
      <c r="AH141" s="1208"/>
      <c r="AI141" s="1223"/>
      <c r="AJ141" s="1223"/>
      <c r="AK141" s="1223"/>
      <c r="AL141" s="1223"/>
      <c r="AM141" s="1223"/>
      <c r="AN141" s="1223"/>
      <c r="AO141" s="1208"/>
      <c r="AP141" s="1223"/>
      <c r="AQ141" s="1208"/>
      <c r="AR141" s="1208"/>
      <c r="AS141" s="1223"/>
      <c r="AT141" s="1223"/>
      <c r="AU141" s="1208"/>
      <c r="AV141" s="1208"/>
      <c r="AW141" s="2297"/>
      <c r="BE141" s="1224"/>
      <c r="BF141" s="1225"/>
      <c r="BR141" s="1224"/>
      <c r="BS141" s="1224"/>
    </row>
    <row r="142" spans="2:71" s="491" customFormat="1">
      <c r="B142" s="2297"/>
      <c r="C142" s="2297"/>
      <c r="D142" s="2297"/>
      <c r="E142" s="2297"/>
      <c r="F142" s="2297"/>
      <c r="G142" s="2297"/>
      <c r="H142" s="2297"/>
      <c r="I142" s="2297"/>
      <c r="J142" s="2297"/>
      <c r="K142" s="2297"/>
      <c r="L142" s="2297"/>
      <c r="M142" s="2297"/>
      <c r="N142" s="2297"/>
      <c r="O142" s="2297"/>
      <c r="P142" s="2297"/>
      <c r="Q142" s="2297"/>
      <c r="R142" s="99"/>
      <c r="S142" s="99"/>
      <c r="T142" s="99"/>
      <c r="U142" s="99"/>
      <c r="V142" s="99"/>
      <c r="AF142" s="2297"/>
      <c r="AG142" s="1208"/>
      <c r="AH142" s="1208"/>
      <c r="AI142" s="1223"/>
      <c r="AJ142" s="1223"/>
      <c r="AK142" s="1223"/>
      <c r="AL142" s="1223"/>
      <c r="AM142" s="1223"/>
      <c r="AN142" s="1223"/>
      <c r="AO142" s="1208"/>
      <c r="AP142" s="1223"/>
      <c r="AQ142" s="1208"/>
      <c r="AR142" s="1208"/>
      <c r="AS142" s="1223"/>
      <c r="AT142" s="1223"/>
      <c r="AU142" s="1208"/>
      <c r="AV142" s="1208"/>
      <c r="AW142" s="2297"/>
      <c r="BE142" s="1224"/>
      <c r="BF142" s="1225"/>
      <c r="BR142" s="1224"/>
      <c r="BS142" s="1224"/>
    </row>
    <row r="143" spans="2:71" s="491" customFormat="1">
      <c r="B143" s="2297"/>
      <c r="C143" s="2297"/>
      <c r="D143" s="2297"/>
      <c r="E143" s="2297"/>
      <c r="F143" s="2297"/>
      <c r="G143" s="2297"/>
      <c r="H143" s="2297"/>
      <c r="I143" s="2297"/>
      <c r="J143" s="2297"/>
      <c r="K143" s="2297"/>
      <c r="L143" s="2297"/>
      <c r="M143" s="2297"/>
      <c r="N143" s="2297"/>
      <c r="O143" s="2297"/>
      <c r="P143" s="2297"/>
      <c r="Q143" s="2297"/>
      <c r="R143" s="99"/>
      <c r="S143" s="99"/>
      <c r="T143" s="99"/>
      <c r="U143" s="99"/>
      <c r="V143" s="99"/>
      <c r="AF143" s="2297"/>
      <c r="AG143" s="1208"/>
      <c r="AH143" s="1208"/>
      <c r="AI143" s="1223"/>
      <c r="AJ143" s="1223"/>
      <c r="AK143" s="1223"/>
      <c r="AL143" s="1223"/>
      <c r="AM143" s="1223"/>
      <c r="AN143" s="1223"/>
      <c r="AO143" s="1208"/>
      <c r="AP143" s="1223"/>
      <c r="AQ143" s="1208"/>
      <c r="AR143" s="1208"/>
      <c r="AS143" s="1223"/>
      <c r="AT143" s="1223"/>
      <c r="AU143" s="1208"/>
      <c r="AV143" s="1208"/>
      <c r="AW143" s="2297"/>
      <c r="BE143" s="1224"/>
      <c r="BF143" s="1225"/>
      <c r="BR143" s="1224"/>
      <c r="BS143" s="1224"/>
    </row>
    <row r="144" spans="2:71" s="491" customFormat="1">
      <c r="B144" s="2297"/>
      <c r="C144" s="2297"/>
      <c r="D144" s="2297"/>
      <c r="E144" s="2297"/>
      <c r="F144" s="2297"/>
      <c r="G144" s="2297"/>
      <c r="H144" s="2297"/>
      <c r="I144" s="2297"/>
      <c r="J144" s="2297"/>
      <c r="K144" s="2297"/>
      <c r="L144" s="2297"/>
      <c r="M144" s="2297"/>
      <c r="N144" s="2297"/>
      <c r="O144" s="2297"/>
      <c r="P144" s="2297"/>
      <c r="Q144" s="2297"/>
      <c r="R144" s="99"/>
      <c r="S144" s="99"/>
      <c r="T144" s="99"/>
      <c r="U144" s="99"/>
      <c r="V144" s="99"/>
      <c r="AF144" s="2297"/>
      <c r="AG144" s="1208"/>
      <c r="AH144" s="1208"/>
      <c r="AI144" s="1223"/>
      <c r="AJ144" s="1223"/>
      <c r="AK144" s="1223"/>
      <c r="AL144" s="1223"/>
      <c r="AM144" s="1223"/>
      <c r="AN144" s="1223"/>
      <c r="AO144" s="1208"/>
      <c r="AP144" s="1223"/>
      <c r="AQ144" s="1208"/>
      <c r="AR144" s="1208"/>
      <c r="AS144" s="1223"/>
      <c r="AT144" s="1223"/>
      <c r="AU144" s="1208"/>
      <c r="AV144" s="1208"/>
      <c r="AW144" s="2297"/>
      <c r="BE144" s="1224"/>
      <c r="BF144" s="1225"/>
      <c r="BR144" s="1224"/>
      <c r="BS144" s="1224"/>
    </row>
    <row r="145" spans="2:71" s="491" customFormat="1">
      <c r="B145" s="2297"/>
      <c r="C145" s="2297"/>
      <c r="D145" s="2297"/>
      <c r="E145" s="2297"/>
      <c r="F145" s="2297"/>
      <c r="G145" s="2297"/>
      <c r="H145" s="2297"/>
      <c r="I145" s="2297"/>
      <c r="J145" s="2297"/>
      <c r="K145" s="2297"/>
      <c r="L145" s="2297"/>
      <c r="M145" s="2297"/>
      <c r="N145" s="2297"/>
      <c r="O145" s="2297"/>
      <c r="P145" s="2297"/>
      <c r="Q145" s="2297"/>
      <c r="R145" s="99"/>
      <c r="S145" s="99"/>
      <c r="T145" s="99"/>
      <c r="U145" s="99"/>
      <c r="V145" s="99"/>
      <c r="AF145" s="2297"/>
      <c r="AG145" s="1208"/>
      <c r="AH145" s="1208"/>
      <c r="AI145" s="1223"/>
      <c r="AJ145" s="1223"/>
      <c r="AK145" s="1223"/>
      <c r="AL145" s="1223"/>
      <c r="AM145" s="1223"/>
      <c r="AN145" s="1223"/>
      <c r="AO145" s="1208"/>
      <c r="AP145" s="1223"/>
      <c r="AQ145" s="1208"/>
      <c r="AR145" s="1208"/>
      <c r="AS145" s="1223"/>
      <c r="AT145" s="1223"/>
      <c r="AU145" s="1208"/>
      <c r="AV145" s="1208"/>
      <c r="AW145" s="2297"/>
      <c r="BE145" s="1224"/>
      <c r="BF145" s="1225"/>
      <c r="BR145" s="1224"/>
      <c r="BS145" s="1224"/>
    </row>
    <row r="146" spans="2:71" s="491" customFormat="1">
      <c r="B146" s="2297"/>
      <c r="C146" s="2297"/>
      <c r="D146" s="2297"/>
      <c r="E146" s="2297"/>
      <c r="F146" s="2297"/>
      <c r="G146" s="2297"/>
      <c r="H146" s="2297"/>
      <c r="I146" s="2297"/>
      <c r="J146" s="2297"/>
      <c r="K146" s="2297"/>
      <c r="L146" s="2297"/>
      <c r="M146" s="2297"/>
      <c r="N146" s="2297"/>
      <c r="O146" s="2297"/>
      <c r="P146" s="2297"/>
      <c r="Q146" s="2297"/>
      <c r="R146" s="99"/>
      <c r="S146" s="99"/>
      <c r="T146" s="99"/>
      <c r="U146" s="99"/>
      <c r="V146" s="99"/>
      <c r="AF146" s="2297"/>
      <c r="AG146" s="1208"/>
      <c r="AH146" s="1208"/>
      <c r="AI146" s="1223"/>
      <c r="AJ146" s="1223"/>
      <c r="AK146" s="1223"/>
      <c r="AL146" s="1223"/>
      <c r="AM146" s="1223"/>
      <c r="AN146" s="1223"/>
      <c r="AO146" s="1208"/>
      <c r="AP146" s="1223"/>
      <c r="AQ146" s="1208"/>
      <c r="AR146" s="1208"/>
      <c r="AS146" s="1223"/>
      <c r="AT146" s="1223"/>
      <c r="AU146" s="1208"/>
      <c r="AV146" s="1208"/>
      <c r="AW146" s="2297"/>
      <c r="BE146" s="1224"/>
      <c r="BF146" s="1225"/>
      <c r="BR146" s="1224"/>
      <c r="BS146" s="1224"/>
    </row>
    <row r="147" spans="2:71" s="491" customFormat="1">
      <c r="B147" s="2297"/>
      <c r="C147" s="2297"/>
      <c r="D147" s="2297"/>
      <c r="E147" s="2297"/>
      <c r="F147" s="2297"/>
      <c r="G147" s="2297"/>
      <c r="H147" s="2297"/>
      <c r="I147" s="2297"/>
      <c r="J147" s="2297"/>
      <c r="K147" s="2297"/>
      <c r="L147" s="2297"/>
      <c r="M147" s="2297"/>
      <c r="N147" s="2297"/>
      <c r="O147" s="2297"/>
      <c r="P147" s="2297"/>
      <c r="Q147" s="2297"/>
      <c r="R147" s="99"/>
      <c r="S147" s="99"/>
      <c r="T147" s="99"/>
      <c r="U147" s="99"/>
      <c r="V147" s="99"/>
      <c r="AF147" s="2297"/>
      <c r="AG147" s="1208"/>
      <c r="AH147" s="1208"/>
      <c r="AI147" s="1223"/>
      <c r="AJ147" s="1223"/>
      <c r="AK147" s="1223"/>
      <c r="AL147" s="1223"/>
      <c r="AM147" s="1223"/>
      <c r="AN147" s="1223"/>
      <c r="AO147" s="1208"/>
      <c r="AP147" s="1223"/>
      <c r="AQ147" s="1208"/>
      <c r="AR147" s="1208"/>
      <c r="AS147" s="1223"/>
      <c r="AT147" s="1223"/>
      <c r="AU147" s="1208"/>
      <c r="AV147" s="1208"/>
      <c r="AW147" s="2297"/>
      <c r="BE147" s="1224"/>
      <c r="BF147" s="1225"/>
      <c r="BR147" s="1224"/>
      <c r="BS147" s="1224"/>
    </row>
    <row r="148" spans="2:71" s="491" customFormat="1">
      <c r="B148" s="2297"/>
      <c r="C148" s="2297"/>
      <c r="D148" s="2297"/>
      <c r="E148" s="2297"/>
      <c r="F148" s="2297"/>
      <c r="G148" s="2297"/>
      <c r="H148" s="2297"/>
      <c r="I148" s="2297"/>
      <c r="J148" s="2297"/>
      <c r="K148" s="2297"/>
      <c r="L148" s="2297"/>
      <c r="M148" s="2297"/>
      <c r="N148" s="2297"/>
      <c r="O148" s="2297"/>
      <c r="P148" s="2297"/>
      <c r="Q148" s="2297"/>
      <c r="R148" s="99"/>
      <c r="S148" s="99"/>
      <c r="T148" s="99"/>
      <c r="U148" s="99"/>
      <c r="V148" s="99"/>
      <c r="AF148" s="2297"/>
      <c r="AG148" s="1208"/>
      <c r="AH148" s="1208"/>
      <c r="AI148" s="1223"/>
      <c r="AJ148" s="1223"/>
      <c r="AK148" s="1223"/>
      <c r="AL148" s="1223"/>
      <c r="AM148" s="1223"/>
      <c r="AN148" s="1223"/>
      <c r="AO148" s="1208"/>
      <c r="AP148" s="1223"/>
      <c r="AQ148" s="1208"/>
      <c r="AR148" s="1208"/>
      <c r="AS148" s="1223"/>
      <c r="AT148" s="1223"/>
      <c r="AU148" s="1208"/>
      <c r="AV148" s="1208"/>
      <c r="AW148" s="2297"/>
      <c r="BE148" s="1224"/>
      <c r="BF148" s="1225"/>
      <c r="BR148" s="1224"/>
      <c r="BS148" s="1224"/>
    </row>
    <row r="149" spans="2:71" s="491" customFormat="1">
      <c r="B149" s="2297"/>
      <c r="C149" s="2297"/>
      <c r="D149" s="2297"/>
      <c r="E149" s="2297"/>
      <c r="F149" s="2297"/>
      <c r="G149" s="2297"/>
      <c r="H149" s="2297"/>
      <c r="I149" s="2297"/>
      <c r="J149" s="2297"/>
      <c r="K149" s="2297"/>
      <c r="L149" s="2297"/>
      <c r="M149" s="2297"/>
      <c r="N149" s="2297"/>
      <c r="O149" s="2297"/>
      <c r="P149" s="2297"/>
      <c r="Q149" s="2297"/>
      <c r="R149" s="99"/>
      <c r="S149" s="99"/>
      <c r="T149" s="99"/>
      <c r="U149" s="99"/>
      <c r="V149" s="99"/>
      <c r="AF149" s="2297"/>
      <c r="AG149" s="1208"/>
      <c r="AH149" s="1208"/>
      <c r="AI149" s="1223"/>
      <c r="AJ149" s="1223"/>
      <c r="AK149" s="1223"/>
      <c r="AL149" s="1223"/>
      <c r="AM149" s="1223"/>
      <c r="AN149" s="1223"/>
      <c r="AO149" s="1208"/>
      <c r="AP149" s="1223"/>
      <c r="AQ149" s="1208"/>
      <c r="AR149" s="1208"/>
      <c r="AS149" s="1223"/>
      <c r="AT149" s="1223"/>
      <c r="AU149" s="1208"/>
      <c r="AV149" s="1208"/>
      <c r="AW149" s="2297"/>
      <c r="BE149" s="1224"/>
      <c r="BF149" s="1225"/>
      <c r="BR149" s="1224"/>
      <c r="BS149" s="1224"/>
    </row>
    <row r="150" spans="2:71" s="491" customFormat="1">
      <c r="B150" s="2297"/>
      <c r="C150" s="2297"/>
      <c r="D150" s="2297"/>
      <c r="E150" s="2297"/>
      <c r="F150" s="2297"/>
      <c r="G150" s="2297"/>
      <c r="H150" s="2297"/>
      <c r="I150" s="2297"/>
      <c r="J150" s="2297"/>
      <c r="K150" s="2297"/>
      <c r="L150" s="2297"/>
      <c r="M150" s="2297"/>
      <c r="N150" s="2297"/>
      <c r="O150" s="2297"/>
      <c r="P150" s="2297"/>
      <c r="Q150" s="2297"/>
      <c r="R150" s="99"/>
      <c r="S150" s="99"/>
      <c r="T150" s="99"/>
      <c r="U150" s="99"/>
      <c r="V150" s="99"/>
      <c r="AF150" s="2297"/>
      <c r="AG150" s="1208"/>
      <c r="AH150" s="1208"/>
      <c r="AI150" s="1223"/>
      <c r="AJ150" s="1223"/>
      <c r="AK150" s="1223"/>
      <c r="AL150" s="1223"/>
      <c r="AM150" s="1223"/>
      <c r="AN150" s="1223"/>
      <c r="AO150" s="1208"/>
      <c r="AP150" s="1223"/>
      <c r="AQ150" s="1208"/>
      <c r="AR150" s="1208"/>
      <c r="AS150" s="1223"/>
      <c r="AT150" s="1223"/>
      <c r="AU150" s="1208"/>
      <c r="AV150" s="1208"/>
      <c r="AW150" s="2297"/>
      <c r="BE150" s="1224"/>
      <c r="BF150" s="1225"/>
      <c r="BR150" s="1224"/>
      <c r="BS150" s="1224"/>
    </row>
    <row r="151" spans="2:71" s="491" customFormat="1">
      <c r="B151" s="2297"/>
      <c r="C151" s="2297"/>
      <c r="D151" s="2297"/>
      <c r="E151" s="2297"/>
      <c r="F151" s="2297"/>
      <c r="G151" s="2297"/>
      <c r="H151" s="2297"/>
      <c r="I151" s="2297"/>
      <c r="J151" s="2297"/>
      <c r="K151" s="2297"/>
      <c r="L151" s="2297"/>
      <c r="M151" s="2297"/>
      <c r="N151" s="2297"/>
      <c r="O151" s="2297"/>
      <c r="P151" s="2297"/>
      <c r="Q151" s="2297"/>
      <c r="R151" s="99"/>
      <c r="S151" s="99"/>
      <c r="T151" s="99"/>
      <c r="U151" s="99"/>
      <c r="V151" s="99"/>
      <c r="AF151" s="2297"/>
      <c r="AG151" s="1208"/>
      <c r="AH151" s="1208"/>
      <c r="AI151" s="1223"/>
      <c r="AJ151" s="1223"/>
      <c r="AK151" s="1223"/>
      <c r="AL151" s="1223"/>
      <c r="AM151" s="1223"/>
      <c r="AN151" s="1223"/>
      <c r="AO151" s="1208"/>
      <c r="AP151" s="1223"/>
      <c r="AQ151" s="1208"/>
      <c r="AR151" s="1208"/>
      <c r="AS151" s="1223"/>
      <c r="AT151" s="1223"/>
      <c r="AU151" s="1208"/>
      <c r="AV151" s="1208"/>
      <c r="AW151" s="2297"/>
      <c r="BE151" s="1224"/>
      <c r="BF151" s="1225"/>
      <c r="BR151" s="1224"/>
      <c r="BS151" s="1224"/>
    </row>
    <row r="152" spans="2:71" s="491" customFormat="1">
      <c r="B152" s="2297"/>
      <c r="C152" s="2297"/>
      <c r="D152" s="2297"/>
      <c r="E152" s="2297"/>
      <c r="F152" s="2297"/>
      <c r="G152" s="2297"/>
      <c r="H152" s="2297"/>
      <c r="I152" s="2297"/>
      <c r="J152" s="2297"/>
      <c r="K152" s="2297"/>
      <c r="L152" s="2297"/>
      <c r="M152" s="2297"/>
      <c r="N152" s="2297"/>
      <c r="O152" s="2297"/>
      <c r="P152" s="2297"/>
      <c r="Q152" s="2297"/>
      <c r="R152" s="99"/>
      <c r="S152" s="99"/>
      <c r="T152" s="99"/>
      <c r="U152" s="99"/>
      <c r="V152" s="99"/>
      <c r="AF152" s="2297"/>
      <c r="AG152" s="1208"/>
      <c r="AH152" s="1208"/>
      <c r="AI152" s="1223"/>
      <c r="AJ152" s="1223"/>
      <c r="AK152" s="1223"/>
      <c r="AL152" s="1223"/>
      <c r="AM152" s="1223"/>
      <c r="AN152" s="1223"/>
      <c r="AO152" s="1208"/>
      <c r="AP152" s="1223"/>
      <c r="AQ152" s="1208"/>
      <c r="AR152" s="1208"/>
      <c r="AS152" s="1223"/>
      <c r="AT152" s="1223"/>
      <c r="AU152" s="1208"/>
      <c r="AV152" s="1208"/>
      <c r="AW152" s="2297"/>
      <c r="BE152" s="1224"/>
      <c r="BF152" s="1225"/>
      <c r="BR152" s="1224"/>
      <c r="BS152" s="1224"/>
    </row>
    <row r="153" spans="2:71" s="491" customFormat="1">
      <c r="B153" s="2297"/>
      <c r="C153" s="2297"/>
      <c r="D153" s="2297"/>
      <c r="E153" s="2297"/>
      <c r="F153" s="2297"/>
      <c r="G153" s="2297"/>
      <c r="H153" s="2297"/>
      <c r="I153" s="2297"/>
      <c r="J153" s="2297"/>
      <c r="K153" s="2297"/>
      <c r="L153" s="2297"/>
      <c r="M153" s="2297"/>
      <c r="N153" s="2297"/>
      <c r="O153" s="2297"/>
      <c r="P153" s="2297"/>
      <c r="Q153" s="2297"/>
      <c r="R153" s="99"/>
      <c r="S153" s="99"/>
      <c r="T153" s="99"/>
      <c r="U153" s="99"/>
      <c r="V153" s="99"/>
      <c r="AF153" s="2297"/>
      <c r="AG153" s="1208"/>
      <c r="AH153" s="1208"/>
      <c r="AI153" s="1223"/>
      <c r="AJ153" s="1223"/>
      <c r="AK153" s="1223"/>
      <c r="AL153" s="1223"/>
      <c r="AM153" s="1223"/>
      <c r="AN153" s="1223"/>
      <c r="AO153" s="1208"/>
      <c r="AP153" s="1223"/>
      <c r="AQ153" s="1208"/>
      <c r="AR153" s="1208"/>
      <c r="AS153" s="1223"/>
      <c r="AT153" s="1223"/>
      <c r="AU153" s="1208"/>
      <c r="AV153" s="1208"/>
      <c r="AW153" s="2297"/>
      <c r="BE153" s="1224"/>
      <c r="BF153" s="1225"/>
      <c r="BR153" s="1224"/>
      <c r="BS153" s="1224"/>
    </row>
    <row r="154" spans="2:71" s="491" customFormat="1">
      <c r="B154" s="2297"/>
      <c r="C154" s="2297"/>
      <c r="D154" s="2297"/>
      <c r="E154" s="2297"/>
      <c r="F154" s="2297"/>
      <c r="G154" s="2297"/>
      <c r="H154" s="2297"/>
      <c r="I154" s="2297"/>
      <c r="J154" s="2297"/>
      <c r="K154" s="2297"/>
      <c r="L154" s="2297"/>
      <c r="M154" s="2297"/>
      <c r="N154" s="2297"/>
      <c r="O154" s="2297"/>
      <c r="P154" s="2297"/>
      <c r="Q154" s="2297"/>
      <c r="R154" s="99"/>
      <c r="S154" s="99"/>
      <c r="T154" s="99"/>
      <c r="U154" s="99"/>
      <c r="V154" s="99"/>
      <c r="AF154" s="2297"/>
      <c r="AG154" s="1208"/>
      <c r="AH154" s="1208"/>
      <c r="AI154" s="1223"/>
      <c r="AJ154" s="1223"/>
      <c r="AK154" s="1223"/>
      <c r="AL154" s="1223"/>
      <c r="AM154" s="1223"/>
      <c r="AN154" s="1223"/>
      <c r="AO154" s="1208"/>
      <c r="AP154" s="1223"/>
      <c r="AQ154" s="1208"/>
      <c r="AR154" s="1208"/>
      <c r="AS154" s="1223"/>
      <c r="AT154" s="1223"/>
      <c r="AU154" s="1208"/>
      <c r="AV154" s="1208"/>
      <c r="AW154" s="2297"/>
      <c r="BE154" s="1224"/>
      <c r="BF154" s="1225"/>
      <c r="BR154" s="1224"/>
      <c r="BS154" s="1224"/>
    </row>
    <row r="155" spans="2:71" s="491" customFormat="1">
      <c r="B155" s="2297"/>
      <c r="C155" s="2297"/>
      <c r="D155" s="2297"/>
      <c r="E155" s="2297"/>
      <c r="F155" s="2297"/>
      <c r="G155" s="2297"/>
      <c r="H155" s="2297"/>
      <c r="I155" s="2297"/>
      <c r="J155" s="2297"/>
      <c r="K155" s="2297"/>
      <c r="L155" s="2297"/>
      <c r="M155" s="2297"/>
      <c r="N155" s="2297"/>
      <c r="O155" s="2297"/>
      <c r="P155" s="2297"/>
      <c r="Q155" s="2297"/>
      <c r="R155" s="99"/>
      <c r="S155" s="99"/>
      <c r="T155" s="99"/>
      <c r="U155" s="99"/>
      <c r="V155" s="99"/>
      <c r="AF155" s="2297"/>
      <c r="AG155" s="1208"/>
      <c r="AH155" s="1208"/>
      <c r="AI155" s="1223"/>
      <c r="AJ155" s="1223"/>
      <c r="AK155" s="1223"/>
      <c r="AL155" s="1223"/>
      <c r="AM155" s="1223"/>
      <c r="AN155" s="1223"/>
      <c r="AO155" s="1208"/>
      <c r="AP155" s="1223"/>
      <c r="AQ155" s="1208"/>
      <c r="AR155" s="1208"/>
      <c r="AS155" s="1223"/>
      <c r="AT155" s="1223"/>
      <c r="AU155" s="1208"/>
      <c r="AV155" s="1208"/>
      <c r="AW155" s="2297"/>
      <c r="BE155" s="1224"/>
      <c r="BF155" s="1225"/>
      <c r="BR155" s="1224"/>
      <c r="BS155" s="1224"/>
    </row>
    <row r="156" spans="2:71" s="491" customFormat="1">
      <c r="B156" s="2297"/>
      <c r="C156" s="2297"/>
      <c r="D156" s="2297"/>
      <c r="E156" s="2297"/>
      <c r="F156" s="2297"/>
      <c r="G156" s="2297"/>
      <c r="H156" s="2297"/>
      <c r="I156" s="2297"/>
      <c r="J156" s="2297"/>
      <c r="K156" s="2297"/>
      <c r="L156" s="2297"/>
      <c r="M156" s="2297"/>
      <c r="N156" s="2297"/>
      <c r="O156" s="2297"/>
      <c r="P156" s="2297"/>
      <c r="Q156" s="2297"/>
      <c r="R156" s="99"/>
      <c r="S156" s="99"/>
      <c r="T156" s="99"/>
      <c r="U156" s="99"/>
      <c r="V156" s="99"/>
      <c r="AF156" s="2297"/>
      <c r="AG156" s="1208"/>
      <c r="AH156" s="1208"/>
      <c r="AI156" s="1223"/>
      <c r="AJ156" s="1223"/>
      <c r="AK156" s="1223"/>
      <c r="AL156" s="1223"/>
      <c r="AM156" s="1223"/>
      <c r="AN156" s="1223"/>
      <c r="AO156" s="1208"/>
      <c r="AP156" s="1223"/>
      <c r="AQ156" s="1208"/>
      <c r="AR156" s="1208"/>
      <c r="AS156" s="1223"/>
      <c r="AT156" s="1223"/>
      <c r="AU156" s="1208"/>
      <c r="AV156" s="1208"/>
      <c r="AW156" s="2297"/>
      <c r="BE156" s="1224"/>
      <c r="BF156" s="1225"/>
      <c r="BR156" s="1224"/>
      <c r="BS156" s="1224"/>
    </row>
    <row r="157" spans="2:71" s="491" customFormat="1">
      <c r="B157" s="2297"/>
      <c r="C157" s="2297"/>
      <c r="D157" s="2297"/>
      <c r="E157" s="2297"/>
      <c r="F157" s="2297"/>
      <c r="G157" s="2297"/>
      <c r="H157" s="2297"/>
      <c r="I157" s="2297"/>
      <c r="J157" s="2297"/>
      <c r="K157" s="2297"/>
      <c r="L157" s="2297"/>
      <c r="M157" s="2297"/>
      <c r="N157" s="2297"/>
      <c r="O157" s="2297"/>
      <c r="P157" s="2297"/>
      <c r="Q157" s="2297"/>
      <c r="R157" s="99"/>
      <c r="S157" s="99"/>
      <c r="T157" s="99"/>
      <c r="U157" s="99"/>
      <c r="V157" s="99"/>
      <c r="AF157" s="2297"/>
      <c r="AG157" s="1208"/>
      <c r="AH157" s="1208"/>
      <c r="AI157" s="1223"/>
      <c r="AJ157" s="1223"/>
      <c r="AK157" s="1223"/>
      <c r="AL157" s="1223"/>
      <c r="AM157" s="1223"/>
      <c r="AN157" s="1223"/>
      <c r="AO157" s="1208"/>
      <c r="AP157" s="1223"/>
      <c r="AQ157" s="1208"/>
      <c r="AR157" s="1208"/>
      <c r="AS157" s="1223"/>
      <c r="AT157" s="1223"/>
      <c r="AU157" s="1208"/>
      <c r="AV157" s="1208"/>
      <c r="AW157" s="2297"/>
      <c r="BE157" s="1224"/>
      <c r="BF157" s="1225"/>
      <c r="BR157" s="1224"/>
      <c r="BS157" s="1224"/>
    </row>
    <row r="158" spans="2:71" s="491" customFormat="1">
      <c r="B158" s="2297"/>
      <c r="C158" s="2297"/>
      <c r="D158" s="2297"/>
      <c r="E158" s="2297"/>
      <c r="F158" s="2297"/>
      <c r="G158" s="2297"/>
      <c r="H158" s="2297"/>
      <c r="I158" s="2297"/>
      <c r="J158" s="2297"/>
      <c r="K158" s="2297"/>
      <c r="L158" s="2297"/>
      <c r="M158" s="2297"/>
      <c r="N158" s="2297"/>
      <c r="O158" s="2297"/>
      <c r="P158" s="2297"/>
      <c r="Q158" s="2297"/>
      <c r="R158" s="99"/>
      <c r="S158" s="99"/>
      <c r="T158" s="99"/>
      <c r="U158" s="99"/>
      <c r="V158" s="99"/>
      <c r="AF158" s="2297"/>
      <c r="AG158" s="1208"/>
      <c r="AH158" s="1208"/>
      <c r="AI158" s="1223"/>
      <c r="AJ158" s="1223"/>
      <c r="AK158" s="1223"/>
      <c r="AL158" s="1223"/>
      <c r="AM158" s="1223"/>
      <c r="AN158" s="1223"/>
      <c r="AO158" s="1208"/>
      <c r="AP158" s="1223"/>
      <c r="AQ158" s="1208"/>
      <c r="AR158" s="1208"/>
      <c r="AS158" s="1223"/>
      <c r="AT158" s="1223"/>
      <c r="AU158" s="1208"/>
      <c r="AV158" s="1208"/>
      <c r="AW158" s="2297"/>
      <c r="BE158" s="1224"/>
      <c r="BF158" s="1225"/>
      <c r="BR158" s="1224"/>
      <c r="BS158" s="1224"/>
    </row>
    <row r="159" spans="2:71" s="491" customFormat="1">
      <c r="B159" s="2297"/>
      <c r="C159" s="2297"/>
      <c r="D159" s="2297"/>
      <c r="E159" s="2297"/>
      <c r="F159" s="2297"/>
      <c r="G159" s="2297"/>
      <c r="H159" s="2297"/>
      <c r="I159" s="2297"/>
      <c r="J159" s="2297"/>
      <c r="K159" s="2297"/>
      <c r="L159" s="2297"/>
      <c r="M159" s="2297"/>
      <c r="N159" s="2297"/>
      <c r="O159" s="2297"/>
      <c r="P159" s="2297"/>
      <c r="Q159" s="2297"/>
      <c r="R159" s="99"/>
      <c r="S159" s="99"/>
      <c r="T159" s="99"/>
      <c r="U159" s="99"/>
      <c r="V159" s="99"/>
      <c r="AF159" s="2297"/>
      <c r="AG159" s="1208"/>
      <c r="AH159" s="1208"/>
      <c r="AI159" s="1223"/>
      <c r="AJ159" s="1223"/>
      <c r="AK159" s="1223"/>
      <c r="AL159" s="1223"/>
      <c r="AM159" s="1223"/>
      <c r="AN159" s="1223"/>
      <c r="AO159" s="1208"/>
      <c r="AP159" s="1223"/>
      <c r="AQ159" s="1208"/>
      <c r="AR159" s="1208"/>
      <c r="AS159" s="1223"/>
      <c r="AT159" s="1223"/>
      <c r="AU159" s="1208"/>
      <c r="AV159" s="1208"/>
      <c r="AW159" s="2297"/>
      <c r="BE159" s="1224"/>
      <c r="BF159" s="1225"/>
      <c r="BR159" s="1224"/>
      <c r="BS159" s="1224"/>
    </row>
    <row r="160" spans="2:71" s="491" customFormat="1">
      <c r="B160" s="2297"/>
      <c r="C160" s="2297"/>
      <c r="D160" s="2297"/>
      <c r="E160" s="2297"/>
      <c r="F160" s="2297"/>
      <c r="G160" s="2297"/>
      <c r="H160" s="2297"/>
      <c r="I160" s="2297"/>
      <c r="J160" s="2297"/>
      <c r="K160" s="2297"/>
      <c r="L160" s="2297"/>
      <c r="M160" s="2297"/>
      <c r="N160" s="2297"/>
      <c r="O160" s="2297"/>
      <c r="P160" s="2297"/>
      <c r="Q160" s="2297"/>
      <c r="R160" s="99"/>
      <c r="S160" s="99"/>
      <c r="T160" s="99"/>
      <c r="U160" s="99"/>
      <c r="V160" s="99"/>
      <c r="AF160" s="2297"/>
      <c r="AG160" s="1208"/>
      <c r="AH160" s="1208"/>
      <c r="AI160" s="1223"/>
      <c r="AJ160" s="1223"/>
      <c r="AK160" s="1223"/>
      <c r="AL160" s="1223"/>
      <c r="AM160" s="1223"/>
      <c r="AN160" s="1223"/>
      <c r="AO160" s="1208"/>
      <c r="AP160" s="1223"/>
      <c r="AQ160" s="1208"/>
      <c r="AR160" s="1208"/>
      <c r="AS160" s="1223"/>
      <c r="AT160" s="1223"/>
      <c r="AU160" s="1208"/>
      <c r="AV160" s="1208"/>
      <c r="AW160" s="2297"/>
      <c r="BE160" s="1224"/>
      <c r="BF160" s="1225"/>
      <c r="BR160" s="1224"/>
      <c r="BS160" s="1224"/>
    </row>
    <row r="161" spans="2:71" s="491" customFormat="1">
      <c r="B161" s="2297"/>
      <c r="C161" s="2297"/>
      <c r="D161" s="2297"/>
      <c r="E161" s="2297"/>
      <c r="F161" s="2297"/>
      <c r="G161" s="2297"/>
      <c r="H161" s="2297"/>
      <c r="I161" s="2297"/>
      <c r="J161" s="2297"/>
      <c r="K161" s="2297"/>
      <c r="L161" s="2297"/>
      <c r="M161" s="2297"/>
      <c r="N161" s="2297"/>
      <c r="O161" s="2297"/>
      <c r="P161" s="2297"/>
      <c r="Q161" s="2297"/>
      <c r="R161" s="99"/>
      <c r="S161" s="99"/>
      <c r="T161" s="99"/>
      <c r="U161" s="99"/>
      <c r="V161" s="99"/>
      <c r="AF161" s="2297"/>
      <c r="AG161" s="1208"/>
      <c r="AH161" s="1208"/>
      <c r="AI161" s="1223"/>
      <c r="AJ161" s="1223"/>
      <c r="AK161" s="1223"/>
      <c r="AL161" s="1223"/>
      <c r="AM161" s="1223"/>
      <c r="AN161" s="1223"/>
      <c r="AO161" s="1208"/>
      <c r="AP161" s="1223"/>
      <c r="AQ161" s="1208"/>
      <c r="AR161" s="1208"/>
      <c r="AS161" s="1223"/>
      <c r="AT161" s="1223"/>
      <c r="AU161" s="1208"/>
      <c r="AV161" s="1208"/>
      <c r="AW161" s="2297"/>
      <c r="BE161" s="1224"/>
      <c r="BF161" s="1225"/>
      <c r="BR161" s="1224"/>
      <c r="BS161" s="1224"/>
    </row>
    <row r="162" spans="2:71" s="491" customFormat="1">
      <c r="B162" s="2297"/>
      <c r="C162" s="2297"/>
      <c r="D162" s="2297"/>
      <c r="E162" s="2297"/>
      <c r="F162" s="2297"/>
      <c r="G162" s="2297"/>
      <c r="H162" s="2297"/>
      <c r="I162" s="2297"/>
      <c r="J162" s="2297"/>
      <c r="K162" s="2297"/>
      <c r="L162" s="2297"/>
      <c r="M162" s="2297"/>
      <c r="N162" s="2297"/>
      <c r="O162" s="2297"/>
      <c r="P162" s="2297"/>
      <c r="Q162" s="2297"/>
      <c r="R162" s="99"/>
      <c r="S162" s="99"/>
      <c r="T162" s="99"/>
      <c r="U162" s="99"/>
      <c r="V162" s="99"/>
      <c r="AF162" s="2297"/>
      <c r="AG162" s="1208"/>
      <c r="AH162" s="1208"/>
      <c r="AI162" s="1223"/>
      <c r="AJ162" s="1223"/>
      <c r="AK162" s="1223"/>
      <c r="AL162" s="1223"/>
      <c r="AM162" s="1223"/>
      <c r="AN162" s="1223"/>
      <c r="AO162" s="1208"/>
      <c r="AP162" s="1223"/>
      <c r="AQ162" s="1208"/>
      <c r="AR162" s="1208"/>
      <c r="AS162" s="1223"/>
      <c r="AT162" s="1223"/>
      <c r="AU162" s="1208"/>
      <c r="AV162" s="1208"/>
      <c r="AW162" s="2297"/>
      <c r="BE162" s="1224"/>
      <c r="BF162" s="1225"/>
      <c r="BR162" s="1224"/>
      <c r="BS162" s="1224"/>
    </row>
    <row r="163" spans="2:71" s="491" customFormat="1">
      <c r="B163" s="2297"/>
      <c r="C163" s="2297"/>
      <c r="D163" s="2297"/>
      <c r="E163" s="2297"/>
      <c r="F163" s="2297"/>
      <c r="G163" s="2297"/>
      <c r="H163" s="2297"/>
      <c r="I163" s="2297"/>
      <c r="J163" s="2297"/>
      <c r="K163" s="2297"/>
      <c r="L163" s="2297"/>
      <c r="M163" s="2297"/>
      <c r="N163" s="2297"/>
      <c r="O163" s="2297"/>
      <c r="P163" s="2297"/>
      <c r="Q163" s="2297"/>
      <c r="R163" s="99"/>
      <c r="S163" s="99"/>
      <c r="T163" s="99"/>
      <c r="U163" s="99"/>
      <c r="V163" s="99"/>
      <c r="AF163" s="2297"/>
      <c r="AG163" s="1208"/>
      <c r="AH163" s="1208"/>
      <c r="AI163" s="1223"/>
      <c r="AJ163" s="1223"/>
      <c r="AK163" s="1223"/>
      <c r="AL163" s="1223"/>
      <c r="AM163" s="1223"/>
      <c r="AN163" s="1223"/>
      <c r="AO163" s="1208"/>
      <c r="AP163" s="1223"/>
      <c r="AQ163" s="1208"/>
      <c r="AR163" s="1208"/>
      <c r="AS163" s="1223"/>
      <c r="AT163" s="1223"/>
      <c r="AU163" s="1208"/>
      <c r="AV163" s="1208"/>
      <c r="AW163" s="2297"/>
      <c r="BE163" s="1224"/>
      <c r="BF163" s="1225"/>
      <c r="BR163" s="1224"/>
      <c r="BS163" s="1224"/>
    </row>
    <row r="164" spans="2:71" s="491" customFormat="1">
      <c r="B164" s="2297"/>
      <c r="C164" s="2297"/>
      <c r="D164" s="2297"/>
      <c r="E164" s="2297"/>
      <c r="F164" s="2297"/>
      <c r="G164" s="2297"/>
      <c r="H164" s="2297"/>
      <c r="I164" s="2297"/>
      <c r="J164" s="2297"/>
      <c r="K164" s="2297"/>
      <c r="L164" s="2297"/>
      <c r="M164" s="2297"/>
      <c r="N164" s="2297"/>
      <c r="O164" s="2297"/>
      <c r="P164" s="2297"/>
      <c r="Q164" s="2297"/>
      <c r="R164" s="99"/>
      <c r="S164" s="99"/>
      <c r="T164" s="99"/>
      <c r="U164" s="99"/>
      <c r="V164" s="99"/>
      <c r="AF164" s="2297"/>
      <c r="AG164" s="1208"/>
      <c r="AH164" s="1208"/>
      <c r="AI164" s="1223"/>
      <c r="AJ164" s="1223"/>
      <c r="AK164" s="1223"/>
      <c r="AL164" s="1223"/>
      <c r="AM164" s="1223"/>
      <c r="AN164" s="1223"/>
      <c r="AO164" s="1208"/>
      <c r="AP164" s="1223"/>
      <c r="AQ164" s="1208"/>
      <c r="AR164" s="1208"/>
      <c r="AS164" s="1223"/>
      <c r="AT164" s="1223"/>
      <c r="AU164" s="1208"/>
      <c r="AV164" s="1208"/>
      <c r="AW164" s="2297"/>
      <c r="BE164" s="1224"/>
      <c r="BF164" s="1225"/>
      <c r="BR164" s="1224"/>
      <c r="BS164" s="1224"/>
    </row>
    <row r="165" spans="2:71" s="491" customFormat="1">
      <c r="B165" s="2297"/>
      <c r="C165" s="2297"/>
      <c r="D165" s="2297"/>
      <c r="E165" s="2297"/>
      <c r="F165" s="2297"/>
      <c r="G165" s="2297"/>
      <c r="H165" s="2297"/>
      <c r="I165" s="2297"/>
      <c r="J165" s="2297"/>
      <c r="K165" s="2297"/>
      <c r="L165" s="2297"/>
      <c r="M165" s="2297"/>
      <c r="N165" s="2297"/>
      <c r="O165" s="2297"/>
      <c r="P165" s="2297"/>
      <c r="Q165" s="2297"/>
      <c r="R165" s="99"/>
      <c r="S165" s="99"/>
      <c r="T165" s="99"/>
      <c r="U165" s="99"/>
      <c r="V165" s="99"/>
      <c r="AF165" s="2297"/>
      <c r="AG165" s="1208"/>
      <c r="AH165" s="1208"/>
      <c r="AI165" s="1223"/>
      <c r="AJ165" s="1223"/>
      <c r="AK165" s="1223"/>
      <c r="AL165" s="1223"/>
      <c r="AM165" s="1223"/>
      <c r="AN165" s="1223"/>
      <c r="AO165" s="1208"/>
      <c r="AP165" s="1223"/>
      <c r="AQ165" s="1208"/>
      <c r="AR165" s="1208"/>
      <c r="AS165" s="1223"/>
      <c r="AT165" s="1223"/>
      <c r="AU165" s="1208"/>
      <c r="AV165" s="1208"/>
      <c r="AW165" s="2297"/>
      <c r="BE165" s="1224"/>
      <c r="BF165" s="1225"/>
      <c r="BR165" s="1224"/>
      <c r="BS165" s="1224"/>
    </row>
    <row r="166" spans="2:71" s="491" customFormat="1">
      <c r="B166" s="2297"/>
      <c r="C166" s="2297"/>
      <c r="D166" s="2297"/>
      <c r="E166" s="2297"/>
      <c r="F166" s="2297"/>
      <c r="G166" s="2297"/>
      <c r="H166" s="2297"/>
      <c r="I166" s="2297"/>
      <c r="J166" s="2297"/>
      <c r="K166" s="2297"/>
      <c r="L166" s="2297"/>
      <c r="M166" s="2297"/>
      <c r="N166" s="2297"/>
      <c r="O166" s="2297"/>
      <c r="P166" s="2297"/>
      <c r="Q166" s="2297"/>
      <c r="R166" s="99"/>
      <c r="S166" s="99"/>
      <c r="T166" s="99"/>
      <c r="U166" s="99"/>
      <c r="V166" s="99"/>
      <c r="AF166" s="2297"/>
      <c r="AG166" s="1208"/>
      <c r="AH166" s="1208"/>
      <c r="AI166" s="1223"/>
      <c r="AJ166" s="1223"/>
      <c r="AK166" s="1223"/>
      <c r="AL166" s="1223"/>
      <c r="AM166" s="1223"/>
      <c r="AN166" s="1223"/>
      <c r="AO166" s="1208"/>
      <c r="AP166" s="1223"/>
      <c r="AQ166" s="1208"/>
      <c r="AR166" s="1208"/>
      <c r="AS166" s="1223"/>
      <c r="AT166" s="1223"/>
      <c r="AU166" s="1208"/>
      <c r="AV166" s="1208"/>
      <c r="AW166" s="2297"/>
      <c r="BE166" s="1224"/>
      <c r="BF166" s="1225"/>
      <c r="BR166" s="1224"/>
      <c r="BS166" s="1224"/>
    </row>
    <row r="167" spans="2:71" s="491" customFormat="1">
      <c r="B167" s="2297"/>
      <c r="C167" s="2297"/>
      <c r="D167" s="2297"/>
      <c r="E167" s="2297"/>
      <c r="F167" s="2297"/>
      <c r="G167" s="2297"/>
      <c r="H167" s="2297"/>
      <c r="I167" s="2297"/>
      <c r="J167" s="2297"/>
      <c r="K167" s="2297"/>
      <c r="L167" s="2297"/>
      <c r="M167" s="2297"/>
      <c r="N167" s="2297"/>
      <c r="O167" s="2297"/>
      <c r="P167" s="2297"/>
      <c r="Q167" s="2297"/>
      <c r="R167" s="99"/>
      <c r="S167" s="99"/>
      <c r="T167" s="99"/>
      <c r="U167" s="99"/>
      <c r="V167" s="99"/>
      <c r="AF167" s="2297"/>
      <c r="AG167" s="1208"/>
      <c r="AH167" s="1208"/>
      <c r="AI167" s="1223"/>
      <c r="AJ167" s="1223"/>
      <c r="AK167" s="1223"/>
      <c r="AL167" s="1223"/>
      <c r="AM167" s="1223"/>
      <c r="AN167" s="1223"/>
      <c r="AO167" s="1208"/>
      <c r="AP167" s="1223"/>
      <c r="AQ167" s="1208"/>
      <c r="AR167" s="1208"/>
      <c r="AS167" s="1223"/>
      <c r="AT167" s="1223"/>
      <c r="AU167" s="1208"/>
      <c r="AV167" s="1208"/>
      <c r="AW167" s="2297"/>
      <c r="BE167" s="1224"/>
      <c r="BF167" s="1225"/>
      <c r="BR167" s="1224"/>
      <c r="BS167" s="1224"/>
    </row>
    <row r="168" spans="2:71" s="491" customFormat="1">
      <c r="B168" s="2297"/>
      <c r="C168" s="2297"/>
      <c r="D168" s="2297"/>
      <c r="E168" s="2297"/>
      <c r="F168" s="2297"/>
      <c r="G168" s="2297"/>
      <c r="H168" s="2297"/>
      <c r="I168" s="2297"/>
      <c r="J168" s="2297"/>
      <c r="K168" s="2297"/>
      <c r="L168" s="2297"/>
      <c r="M168" s="2297"/>
      <c r="N168" s="2297"/>
      <c r="O168" s="2297"/>
      <c r="P168" s="2297"/>
      <c r="Q168" s="2297"/>
      <c r="R168" s="99"/>
      <c r="S168" s="99"/>
      <c r="T168" s="99"/>
      <c r="U168" s="99"/>
      <c r="V168" s="99"/>
      <c r="AF168" s="2297"/>
      <c r="AG168" s="1208"/>
      <c r="AH168" s="1208"/>
      <c r="AI168" s="1223"/>
      <c r="AJ168" s="1223"/>
      <c r="AK168" s="1223"/>
      <c r="AL168" s="1223"/>
      <c r="AM168" s="1223"/>
      <c r="AN168" s="1223"/>
      <c r="AO168" s="1208"/>
      <c r="AP168" s="1223"/>
      <c r="AQ168" s="1208"/>
      <c r="AR168" s="1208"/>
      <c r="AS168" s="1223"/>
      <c r="AT168" s="1223"/>
      <c r="AU168" s="1208"/>
      <c r="AV168" s="1208"/>
      <c r="AW168" s="2297"/>
      <c r="BE168" s="1224"/>
      <c r="BF168" s="1225"/>
      <c r="BR168" s="1224"/>
      <c r="BS168" s="1224"/>
    </row>
    <row r="169" spans="2:71" s="491" customFormat="1">
      <c r="B169" s="2297"/>
      <c r="C169" s="2297"/>
      <c r="D169" s="2297"/>
      <c r="E169" s="2297"/>
      <c r="F169" s="2297"/>
      <c r="G169" s="2297"/>
      <c r="H169" s="2297"/>
      <c r="I169" s="2297"/>
      <c r="J169" s="2297"/>
      <c r="K169" s="2297"/>
      <c r="L169" s="2297"/>
      <c r="M169" s="2297"/>
      <c r="N169" s="2297"/>
      <c r="O169" s="2297"/>
      <c r="P169" s="2297"/>
      <c r="Q169" s="2297"/>
      <c r="R169" s="99"/>
      <c r="S169" s="99"/>
      <c r="T169" s="99"/>
      <c r="U169" s="99"/>
      <c r="V169" s="99"/>
      <c r="AF169" s="2297"/>
      <c r="AG169" s="1208"/>
      <c r="AH169" s="1208"/>
      <c r="AI169" s="1223"/>
      <c r="AJ169" s="1223"/>
      <c r="AK169" s="1223"/>
      <c r="AL169" s="1223"/>
      <c r="AM169" s="1223"/>
      <c r="AN169" s="1223"/>
      <c r="AO169" s="1208"/>
      <c r="AP169" s="1223"/>
      <c r="AQ169" s="1208"/>
      <c r="AR169" s="1208"/>
      <c r="AS169" s="1223"/>
      <c r="AT169" s="1223"/>
      <c r="AU169" s="1208"/>
      <c r="AV169" s="1208"/>
      <c r="AW169" s="2297"/>
      <c r="BE169" s="1224"/>
      <c r="BF169" s="1225"/>
      <c r="BR169" s="1224"/>
      <c r="BS169" s="1224"/>
    </row>
    <row r="170" spans="2:71" s="491" customFormat="1">
      <c r="B170" s="2297"/>
      <c r="C170" s="2297"/>
      <c r="D170" s="2297"/>
      <c r="E170" s="2297"/>
      <c r="F170" s="2297"/>
      <c r="G170" s="2297"/>
      <c r="H170" s="2297"/>
      <c r="I170" s="2297"/>
      <c r="J170" s="2297"/>
      <c r="K170" s="2297"/>
      <c r="L170" s="2297"/>
      <c r="M170" s="2297"/>
      <c r="N170" s="2297"/>
      <c r="O170" s="2297"/>
      <c r="P170" s="2297"/>
      <c r="Q170" s="2297"/>
      <c r="R170" s="99"/>
      <c r="S170" s="99"/>
      <c r="T170" s="99"/>
      <c r="U170" s="99"/>
      <c r="V170" s="99"/>
      <c r="AF170" s="2297"/>
      <c r="AG170" s="1208"/>
      <c r="AH170" s="1208"/>
      <c r="AI170" s="1223"/>
      <c r="AJ170" s="1223"/>
      <c r="AK170" s="1223"/>
      <c r="AL170" s="1223"/>
      <c r="AM170" s="1223"/>
      <c r="AN170" s="1223"/>
      <c r="AO170" s="1208"/>
      <c r="AP170" s="1223"/>
      <c r="AQ170" s="1208"/>
      <c r="AR170" s="1208"/>
      <c r="AS170" s="1223"/>
      <c r="AT170" s="1223"/>
      <c r="AU170" s="1208"/>
      <c r="AV170" s="1208"/>
      <c r="AW170" s="2297"/>
      <c r="BE170" s="1224"/>
      <c r="BF170" s="1225"/>
      <c r="BR170" s="1224"/>
      <c r="BS170" s="1224"/>
    </row>
    <row r="171" spans="2:71" s="491" customFormat="1">
      <c r="B171" s="2297"/>
      <c r="C171" s="2297"/>
      <c r="D171" s="2297"/>
      <c r="E171" s="2297"/>
      <c r="F171" s="2297"/>
      <c r="G171" s="2297"/>
      <c r="H171" s="2297"/>
      <c r="I171" s="2297"/>
      <c r="J171" s="2297"/>
      <c r="K171" s="2297"/>
      <c r="L171" s="2297"/>
      <c r="M171" s="2297"/>
      <c r="N171" s="2297"/>
      <c r="O171" s="2297"/>
      <c r="P171" s="2297"/>
      <c r="Q171" s="2297"/>
      <c r="R171" s="99"/>
      <c r="S171" s="99"/>
      <c r="T171" s="99"/>
      <c r="U171" s="99"/>
      <c r="V171" s="99"/>
      <c r="AF171" s="2297"/>
      <c r="AG171" s="1208"/>
      <c r="AH171" s="1208"/>
      <c r="AI171" s="1223"/>
      <c r="AJ171" s="1223"/>
      <c r="AK171" s="1223"/>
      <c r="AL171" s="1223"/>
      <c r="AM171" s="1223"/>
      <c r="AN171" s="1223"/>
      <c r="AO171" s="1208"/>
      <c r="AP171" s="1223"/>
      <c r="AQ171" s="1208"/>
      <c r="AR171" s="1208"/>
      <c r="AS171" s="1223"/>
      <c r="AT171" s="1223"/>
      <c r="AU171" s="1208"/>
      <c r="AV171" s="1208"/>
      <c r="AW171" s="2297"/>
      <c r="BE171" s="1224"/>
      <c r="BF171" s="1225"/>
      <c r="BR171" s="1224"/>
      <c r="BS171" s="1224"/>
    </row>
    <row r="172" spans="2:71" s="491" customFormat="1">
      <c r="B172" s="2297"/>
      <c r="C172" s="2297"/>
      <c r="D172" s="2297"/>
      <c r="E172" s="2297"/>
      <c r="F172" s="2297"/>
      <c r="G172" s="2297"/>
      <c r="H172" s="2297"/>
      <c r="I172" s="2297"/>
      <c r="J172" s="2297"/>
      <c r="K172" s="2297"/>
      <c r="L172" s="2297"/>
      <c r="M172" s="2297"/>
      <c r="N172" s="2297"/>
      <c r="O172" s="2297"/>
      <c r="P172" s="2297"/>
      <c r="Q172" s="2297"/>
      <c r="R172" s="99"/>
      <c r="S172" s="99"/>
      <c r="T172" s="99"/>
      <c r="U172" s="99"/>
      <c r="V172" s="99"/>
      <c r="AF172" s="2297"/>
      <c r="AG172" s="1208"/>
      <c r="AH172" s="1208"/>
      <c r="AI172" s="1223"/>
      <c r="AJ172" s="1223"/>
      <c r="AK172" s="1223"/>
      <c r="AL172" s="1223"/>
      <c r="AM172" s="1223"/>
      <c r="AN172" s="1223"/>
      <c r="AO172" s="1208"/>
      <c r="AP172" s="1223"/>
      <c r="AQ172" s="1208"/>
      <c r="AR172" s="1208"/>
      <c r="AS172" s="1223"/>
      <c r="AT172" s="1223"/>
      <c r="AU172" s="1208"/>
      <c r="AV172" s="1208"/>
      <c r="AW172" s="2297"/>
      <c r="BE172" s="1224"/>
      <c r="BF172" s="1225"/>
      <c r="BR172" s="1224"/>
      <c r="BS172" s="1224"/>
    </row>
    <row r="173" spans="2:71" s="491" customFormat="1">
      <c r="B173" s="2297"/>
      <c r="C173" s="2297"/>
      <c r="D173" s="2297"/>
      <c r="E173" s="2297"/>
      <c r="F173" s="2297"/>
      <c r="G173" s="2297"/>
      <c r="H173" s="2297"/>
      <c r="I173" s="2297"/>
      <c r="J173" s="2297"/>
      <c r="K173" s="2297"/>
      <c r="L173" s="2297"/>
      <c r="M173" s="2297"/>
      <c r="N173" s="2297"/>
      <c r="O173" s="2297"/>
      <c r="P173" s="2297"/>
      <c r="Q173" s="2297"/>
      <c r="R173" s="99"/>
      <c r="S173" s="99"/>
      <c r="T173" s="99"/>
      <c r="U173" s="99"/>
      <c r="V173" s="99"/>
      <c r="AF173" s="2297"/>
      <c r="AG173" s="1208"/>
      <c r="AH173" s="1208"/>
      <c r="AI173" s="1223"/>
      <c r="AJ173" s="1223"/>
      <c r="AK173" s="1223"/>
      <c r="AL173" s="1223"/>
      <c r="AM173" s="1223"/>
      <c r="AN173" s="1223"/>
      <c r="AO173" s="1208"/>
      <c r="AP173" s="1223"/>
      <c r="AQ173" s="1208"/>
      <c r="AR173" s="1208"/>
      <c r="AS173" s="1223"/>
      <c r="AT173" s="1223"/>
      <c r="AU173" s="1208"/>
      <c r="AV173" s="1208"/>
      <c r="AW173" s="2297"/>
      <c r="BE173" s="1224"/>
      <c r="BF173" s="1225"/>
      <c r="BR173" s="1224"/>
      <c r="BS173" s="1224"/>
    </row>
    <row r="174" spans="2:71" s="491" customFormat="1">
      <c r="B174" s="2297"/>
      <c r="C174" s="2297"/>
      <c r="D174" s="2297"/>
      <c r="E174" s="2297"/>
      <c r="F174" s="2297"/>
      <c r="G174" s="2297"/>
      <c r="H174" s="2297"/>
      <c r="I174" s="2297"/>
      <c r="J174" s="2297"/>
      <c r="K174" s="2297"/>
      <c r="L174" s="2297"/>
      <c r="M174" s="2297"/>
      <c r="N174" s="2297"/>
      <c r="O174" s="2297"/>
      <c r="P174" s="2297"/>
      <c r="Q174" s="2297"/>
      <c r="R174" s="99"/>
      <c r="S174" s="99"/>
      <c r="T174" s="99"/>
      <c r="U174" s="99"/>
      <c r="V174" s="99"/>
      <c r="AF174" s="2297"/>
      <c r="AG174" s="1208"/>
      <c r="AH174" s="1208"/>
      <c r="AI174" s="1223"/>
      <c r="AJ174" s="1223"/>
      <c r="AK174" s="1223"/>
      <c r="AL174" s="1223"/>
      <c r="AM174" s="1223"/>
      <c r="AN174" s="1223"/>
      <c r="AO174" s="1208"/>
      <c r="AP174" s="1223"/>
      <c r="AQ174" s="1208"/>
      <c r="AR174" s="1208"/>
      <c r="AS174" s="1223"/>
      <c r="AT174" s="1223"/>
      <c r="AU174" s="1208"/>
      <c r="AV174" s="1208"/>
      <c r="AW174" s="2297"/>
      <c r="BE174" s="1224"/>
      <c r="BF174" s="1225"/>
      <c r="BR174" s="1224"/>
      <c r="BS174" s="1224"/>
    </row>
    <row r="175" spans="2:71" s="491" customFormat="1">
      <c r="B175" s="2297"/>
      <c r="C175" s="2297"/>
      <c r="D175" s="2297"/>
      <c r="E175" s="2297"/>
      <c r="F175" s="2297"/>
      <c r="G175" s="2297"/>
      <c r="H175" s="2297"/>
      <c r="I175" s="2297"/>
      <c r="J175" s="2297"/>
      <c r="K175" s="2297"/>
      <c r="L175" s="2297"/>
      <c r="M175" s="2297"/>
      <c r="N175" s="2297"/>
      <c r="O175" s="2297"/>
      <c r="P175" s="2297"/>
      <c r="Q175" s="2297"/>
      <c r="R175" s="99"/>
      <c r="S175" s="99"/>
      <c r="T175" s="99"/>
      <c r="U175" s="99"/>
      <c r="V175" s="99"/>
      <c r="AF175" s="2297"/>
      <c r="AG175" s="1208"/>
      <c r="AH175" s="1208"/>
      <c r="AI175" s="1223"/>
      <c r="AJ175" s="1223"/>
      <c r="AK175" s="1223"/>
      <c r="AL175" s="1223"/>
      <c r="AM175" s="1223"/>
      <c r="AN175" s="1223"/>
      <c r="AO175" s="1208"/>
      <c r="AP175" s="1223"/>
      <c r="AQ175" s="1208"/>
      <c r="AR175" s="1208"/>
      <c r="AS175" s="1223"/>
      <c r="AT175" s="1223"/>
      <c r="AU175" s="1208"/>
      <c r="AV175" s="1208"/>
      <c r="AW175" s="2297"/>
      <c r="BE175" s="1224"/>
      <c r="BF175" s="1225"/>
      <c r="BR175" s="1224"/>
      <c r="BS175" s="1224"/>
    </row>
    <row r="176" spans="2:71" s="491" customFormat="1">
      <c r="B176" s="2297"/>
      <c r="C176" s="2297"/>
      <c r="D176" s="2297"/>
      <c r="E176" s="2297"/>
      <c r="F176" s="2297"/>
      <c r="G176" s="2297"/>
      <c r="H176" s="2297"/>
      <c r="I176" s="2297"/>
      <c r="J176" s="2297"/>
      <c r="K176" s="2297"/>
      <c r="L176" s="2297"/>
      <c r="M176" s="2297"/>
      <c r="N176" s="2297"/>
      <c r="O176" s="2297"/>
      <c r="P176" s="2297"/>
      <c r="Q176" s="2297"/>
      <c r="R176" s="99"/>
      <c r="S176" s="99"/>
      <c r="T176" s="99"/>
      <c r="U176" s="99"/>
      <c r="V176" s="99"/>
      <c r="AF176" s="2297"/>
      <c r="AG176" s="1208"/>
      <c r="AH176" s="1208"/>
      <c r="AI176" s="1223"/>
      <c r="AJ176" s="1223"/>
      <c r="AK176" s="1223"/>
      <c r="AL176" s="1223"/>
      <c r="AM176" s="1223"/>
      <c r="AN176" s="1223"/>
      <c r="AO176" s="1208"/>
      <c r="AP176" s="1223"/>
      <c r="AQ176" s="1208"/>
      <c r="AR176" s="1208"/>
      <c r="AS176" s="1223"/>
      <c r="AT176" s="1223"/>
      <c r="AU176" s="1208"/>
      <c r="AV176" s="1208"/>
      <c r="AW176" s="2297"/>
      <c r="BE176" s="1224"/>
      <c r="BF176" s="1225"/>
      <c r="BR176" s="1224"/>
      <c r="BS176" s="1224"/>
    </row>
    <row r="177" spans="2:71" s="491" customFormat="1">
      <c r="B177" s="2297"/>
      <c r="C177" s="2297"/>
      <c r="D177" s="2297"/>
      <c r="E177" s="2297"/>
      <c r="F177" s="2297"/>
      <c r="G177" s="2297"/>
      <c r="H177" s="2297"/>
      <c r="I177" s="2297"/>
      <c r="J177" s="2297"/>
      <c r="K177" s="2297"/>
      <c r="L177" s="2297"/>
      <c r="M177" s="2297"/>
      <c r="N177" s="2297"/>
      <c r="O177" s="2297"/>
      <c r="P177" s="2297"/>
      <c r="Q177" s="2297"/>
      <c r="R177" s="99"/>
      <c r="S177" s="99"/>
      <c r="T177" s="99"/>
      <c r="U177" s="99"/>
      <c r="V177" s="99"/>
      <c r="AF177" s="2297"/>
      <c r="AG177" s="1208"/>
      <c r="AH177" s="1208"/>
      <c r="AI177" s="1223"/>
      <c r="AJ177" s="1223"/>
      <c r="AK177" s="1223"/>
      <c r="AL177" s="1223"/>
      <c r="AM177" s="1223"/>
      <c r="AN177" s="1223"/>
      <c r="AO177" s="1208"/>
      <c r="AP177" s="1223"/>
      <c r="AQ177" s="1208"/>
      <c r="AR177" s="1208"/>
      <c r="AS177" s="1223"/>
      <c r="AT177" s="1223"/>
      <c r="AU177" s="1208"/>
      <c r="AV177" s="1208"/>
      <c r="AW177" s="2297"/>
      <c r="BE177" s="1224"/>
      <c r="BF177" s="1225"/>
      <c r="BR177" s="1224"/>
      <c r="BS177" s="1224"/>
    </row>
    <row r="178" spans="2:71" s="491" customFormat="1">
      <c r="B178" s="2297"/>
      <c r="C178" s="2297"/>
      <c r="D178" s="2297"/>
      <c r="E178" s="2297"/>
      <c r="F178" s="2297"/>
      <c r="G178" s="2297"/>
      <c r="H178" s="2297"/>
      <c r="I178" s="2297"/>
      <c r="J178" s="2297"/>
      <c r="K178" s="2297"/>
      <c r="L178" s="2297"/>
      <c r="M178" s="2297"/>
      <c r="N178" s="2297"/>
      <c r="O178" s="2297"/>
      <c r="P178" s="2297"/>
      <c r="Q178" s="2297"/>
      <c r="R178" s="99"/>
      <c r="S178" s="99"/>
      <c r="T178" s="99"/>
      <c r="U178" s="99"/>
      <c r="V178" s="99"/>
      <c r="AF178" s="2297"/>
      <c r="AG178" s="1208"/>
      <c r="AH178" s="1208"/>
      <c r="AI178" s="1223"/>
      <c r="AJ178" s="1223"/>
      <c r="AK178" s="1223"/>
      <c r="AL178" s="1223"/>
      <c r="AM178" s="1223"/>
      <c r="AN178" s="1223"/>
      <c r="AO178" s="1208"/>
      <c r="AP178" s="1223"/>
      <c r="AQ178" s="1208"/>
      <c r="AR178" s="1208"/>
      <c r="AS178" s="1223"/>
      <c r="AT178" s="1223"/>
      <c r="AU178" s="1208"/>
      <c r="AV178" s="1208"/>
      <c r="AW178" s="2297"/>
      <c r="BE178" s="1224"/>
      <c r="BF178" s="1225"/>
      <c r="BR178" s="1224"/>
      <c r="BS178" s="1224"/>
    </row>
    <row r="179" spans="2:71" s="491" customFormat="1">
      <c r="B179" s="2297"/>
      <c r="C179" s="2297"/>
      <c r="D179" s="2297"/>
      <c r="E179" s="2297"/>
      <c r="F179" s="2297"/>
      <c r="G179" s="2297"/>
      <c r="H179" s="2297"/>
      <c r="I179" s="2297"/>
      <c r="J179" s="2297"/>
      <c r="K179" s="2297"/>
      <c r="L179" s="2297"/>
      <c r="M179" s="2297"/>
      <c r="N179" s="2297"/>
      <c r="O179" s="2297"/>
      <c r="P179" s="2297"/>
      <c r="Q179" s="2297"/>
      <c r="R179" s="99"/>
      <c r="S179" s="99"/>
      <c r="T179" s="99"/>
      <c r="U179" s="99"/>
      <c r="V179" s="99"/>
      <c r="AF179" s="2297"/>
      <c r="AG179" s="1208"/>
      <c r="AH179" s="1208"/>
      <c r="AI179" s="1223"/>
      <c r="AJ179" s="1223"/>
      <c r="AK179" s="1223"/>
      <c r="AL179" s="1223"/>
      <c r="AM179" s="1223"/>
      <c r="AN179" s="1223"/>
      <c r="AO179" s="1208"/>
      <c r="AP179" s="1223"/>
      <c r="AQ179" s="1208"/>
      <c r="AR179" s="1208"/>
      <c r="AS179" s="1223"/>
      <c r="AT179" s="1223"/>
      <c r="AU179" s="1208"/>
      <c r="AV179" s="1208"/>
      <c r="AW179" s="2297"/>
      <c r="BE179" s="1224"/>
      <c r="BF179" s="1225"/>
      <c r="BR179" s="1224"/>
      <c r="BS179" s="1224"/>
    </row>
    <row r="180" spans="2:71" s="491" customFormat="1">
      <c r="B180" s="2297"/>
      <c r="C180" s="2297"/>
      <c r="D180" s="2297"/>
      <c r="E180" s="2297"/>
      <c r="F180" s="2297"/>
      <c r="G180" s="2297"/>
      <c r="H180" s="2297"/>
      <c r="I180" s="2297"/>
      <c r="J180" s="2297"/>
      <c r="K180" s="2297"/>
      <c r="L180" s="2297"/>
      <c r="M180" s="2297"/>
      <c r="N180" s="2297"/>
      <c r="O180" s="2297"/>
      <c r="P180" s="2297"/>
      <c r="Q180" s="2297"/>
      <c r="R180" s="99"/>
      <c r="S180" s="99"/>
      <c r="T180" s="99"/>
      <c r="U180" s="99"/>
      <c r="V180" s="99"/>
      <c r="AF180" s="2297"/>
      <c r="AG180" s="1208"/>
      <c r="AH180" s="1208"/>
      <c r="AI180" s="1223"/>
      <c r="AJ180" s="1223"/>
      <c r="AK180" s="1223"/>
      <c r="AL180" s="1223"/>
      <c r="AM180" s="1223"/>
      <c r="AN180" s="1223"/>
      <c r="AO180" s="1208"/>
      <c r="AP180" s="1223"/>
      <c r="AQ180" s="1208"/>
      <c r="AR180" s="1208"/>
      <c r="AS180" s="1223"/>
      <c r="AT180" s="1223"/>
      <c r="AU180" s="1208"/>
      <c r="AV180" s="1208"/>
      <c r="AW180" s="2297"/>
      <c r="BE180" s="1224"/>
      <c r="BF180" s="1225"/>
      <c r="BR180" s="1224"/>
      <c r="BS180" s="1224"/>
    </row>
    <row r="181" spans="2:71" s="491" customFormat="1">
      <c r="B181" s="2297"/>
      <c r="C181" s="2297"/>
      <c r="D181" s="2297"/>
      <c r="E181" s="2297"/>
      <c r="F181" s="2297"/>
      <c r="G181" s="2297"/>
      <c r="H181" s="2297"/>
      <c r="I181" s="2297"/>
      <c r="J181" s="2297"/>
      <c r="K181" s="2297"/>
      <c r="L181" s="2297"/>
      <c r="M181" s="2297"/>
      <c r="N181" s="2297"/>
      <c r="O181" s="2297"/>
      <c r="P181" s="2297"/>
      <c r="Q181" s="2297"/>
      <c r="R181" s="99"/>
      <c r="S181" s="99"/>
      <c r="T181" s="99"/>
      <c r="U181" s="99"/>
      <c r="V181" s="99"/>
      <c r="AF181" s="2297"/>
      <c r="AG181" s="1208"/>
      <c r="AH181" s="1208"/>
      <c r="AI181" s="1223"/>
      <c r="AJ181" s="1223"/>
      <c r="AK181" s="1223"/>
      <c r="AL181" s="1223"/>
      <c r="AM181" s="1223"/>
      <c r="AN181" s="1223"/>
      <c r="AO181" s="1208"/>
      <c r="AP181" s="1223"/>
      <c r="AQ181" s="1208"/>
      <c r="AR181" s="1208"/>
      <c r="AS181" s="1223"/>
      <c r="AT181" s="1223"/>
      <c r="AU181" s="1208"/>
      <c r="AV181" s="1208"/>
      <c r="AW181" s="2297"/>
      <c r="BE181" s="1224"/>
      <c r="BF181" s="1225"/>
      <c r="BR181" s="1224"/>
      <c r="BS181" s="1224"/>
    </row>
    <row r="182" spans="2:71" s="491" customFormat="1">
      <c r="B182" s="2297"/>
      <c r="C182" s="2297"/>
      <c r="D182" s="2297"/>
      <c r="E182" s="2297"/>
      <c r="F182" s="2297"/>
      <c r="G182" s="2297"/>
      <c r="H182" s="2297"/>
      <c r="I182" s="2297"/>
      <c r="J182" s="2297"/>
      <c r="K182" s="2297"/>
      <c r="L182" s="2297"/>
      <c r="M182" s="2297"/>
      <c r="N182" s="2297"/>
      <c r="O182" s="2297"/>
      <c r="P182" s="2297"/>
      <c r="Q182" s="2297"/>
      <c r="R182" s="99"/>
      <c r="S182" s="99"/>
      <c r="T182" s="99"/>
      <c r="U182" s="99"/>
      <c r="V182" s="99"/>
      <c r="AF182" s="2297"/>
      <c r="AG182" s="1208"/>
      <c r="AH182" s="1208"/>
      <c r="AI182" s="1223"/>
      <c r="AJ182" s="1223"/>
      <c r="AK182" s="1223"/>
      <c r="AL182" s="1223"/>
      <c r="AM182" s="1223"/>
      <c r="AN182" s="1223"/>
      <c r="AO182" s="1208"/>
      <c r="AP182" s="1223"/>
      <c r="AQ182" s="1208"/>
      <c r="AR182" s="1208"/>
      <c r="AS182" s="1223"/>
      <c r="AT182" s="1223"/>
      <c r="AU182" s="1208"/>
      <c r="AV182" s="1208"/>
      <c r="AW182" s="2297"/>
      <c r="BE182" s="1224"/>
      <c r="BF182" s="1225"/>
      <c r="BR182" s="1224"/>
      <c r="BS182" s="1224"/>
    </row>
    <row r="183" spans="2:71" s="491" customFormat="1">
      <c r="B183" s="2297"/>
      <c r="C183" s="2297"/>
      <c r="D183" s="2297"/>
      <c r="E183" s="2297"/>
      <c r="F183" s="2297"/>
      <c r="G183" s="2297"/>
      <c r="H183" s="2297"/>
      <c r="I183" s="2297"/>
      <c r="J183" s="2297"/>
      <c r="K183" s="2297"/>
      <c r="L183" s="2297"/>
      <c r="M183" s="2297"/>
      <c r="N183" s="2297"/>
      <c r="O183" s="2297"/>
      <c r="P183" s="2297"/>
      <c r="Q183" s="2297"/>
      <c r="R183" s="99"/>
      <c r="S183" s="99"/>
      <c r="T183" s="99"/>
      <c r="U183" s="99"/>
      <c r="V183" s="99"/>
      <c r="AF183" s="2297"/>
      <c r="AG183" s="1208"/>
      <c r="AH183" s="1208"/>
      <c r="AI183" s="1223"/>
      <c r="AJ183" s="1223"/>
      <c r="AK183" s="1223"/>
      <c r="AL183" s="1223"/>
      <c r="AM183" s="1223"/>
      <c r="AN183" s="1223"/>
      <c r="AO183" s="1208"/>
      <c r="AP183" s="1223"/>
      <c r="AQ183" s="1208"/>
      <c r="AR183" s="1208"/>
      <c r="AS183" s="1223"/>
      <c r="AT183" s="1223"/>
      <c r="AU183" s="1208"/>
      <c r="AV183" s="1208"/>
      <c r="AW183" s="2297"/>
      <c r="BE183" s="1224"/>
      <c r="BF183" s="1225"/>
      <c r="BR183" s="1224"/>
      <c r="BS183" s="1224"/>
    </row>
    <row r="184" spans="2:71" s="491" customFormat="1">
      <c r="B184" s="2297"/>
      <c r="C184" s="2297"/>
      <c r="D184" s="2297"/>
      <c r="E184" s="2297"/>
      <c r="F184" s="2297"/>
      <c r="G184" s="2297"/>
      <c r="H184" s="2297"/>
      <c r="I184" s="2297"/>
      <c r="J184" s="2297"/>
      <c r="K184" s="2297"/>
      <c r="L184" s="2297"/>
      <c r="M184" s="2297"/>
      <c r="N184" s="2297"/>
      <c r="O184" s="2297"/>
      <c r="P184" s="2297"/>
      <c r="Q184" s="2297"/>
      <c r="R184" s="99"/>
      <c r="S184" s="99"/>
      <c r="T184" s="99"/>
      <c r="U184" s="99"/>
      <c r="V184" s="99"/>
      <c r="AF184" s="2297"/>
      <c r="AG184" s="1208"/>
      <c r="AH184" s="1208"/>
      <c r="AI184" s="1223"/>
      <c r="AJ184" s="1223"/>
      <c r="AK184" s="1223"/>
      <c r="AL184" s="1223"/>
      <c r="AM184" s="1223"/>
      <c r="AN184" s="1223"/>
      <c r="AO184" s="1208"/>
      <c r="AP184" s="1223"/>
      <c r="AQ184" s="1208"/>
      <c r="AR184" s="1208"/>
      <c r="AS184" s="1223"/>
      <c r="AT184" s="1223"/>
      <c r="AU184" s="1208"/>
      <c r="AV184" s="1208"/>
      <c r="AW184" s="2297"/>
      <c r="BE184" s="1224"/>
      <c r="BF184" s="1225"/>
      <c r="BR184" s="1224"/>
      <c r="BS184" s="1224"/>
    </row>
    <row r="185" spans="2:71" s="491" customFormat="1">
      <c r="B185" s="2297"/>
      <c r="C185" s="2297"/>
      <c r="D185" s="2297"/>
      <c r="E185" s="2297"/>
      <c r="F185" s="2297"/>
      <c r="G185" s="2297"/>
      <c r="H185" s="2297"/>
      <c r="I185" s="2297"/>
      <c r="J185" s="2297"/>
      <c r="K185" s="2297"/>
      <c r="L185" s="2297"/>
      <c r="M185" s="2297"/>
      <c r="N185" s="2297"/>
      <c r="O185" s="2297"/>
      <c r="P185" s="2297"/>
      <c r="Q185" s="2297"/>
      <c r="R185" s="99"/>
      <c r="S185" s="99"/>
      <c r="T185" s="99"/>
      <c r="U185" s="99"/>
      <c r="V185" s="99"/>
      <c r="AF185" s="2297"/>
      <c r="AG185" s="1208"/>
      <c r="AH185" s="1208"/>
      <c r="AI185" s="1223"/>
      <c r="AJ185" s="1223"/>
      <c r="AK185" s="1223"/>
      <c r="AL185" s="1223"/>
      <c r="AM185" s="1223"/>
      <c r="AN185" s="1223"/>
      <c r="AO185" s="1208"/>
      <c r="AP185" s="1223"/>
      <c r="AQ185" s="1208"/>
      <c r="AR185" s="1208"/>
      <c r="AS185" s="1223"/>
      <c r="AT185" s="1223"/>
      <c r="AU185" s="1208"/>
      <c r="AV185" s="1208"/>
      <c r="AW185" s="2297"/>
      <c r="BE185" s="1224"/>
      <c r="BF185" s="1225"/>
      <c r="BR185" s="1224"/>
      <c r="BS185" s="1224"/>
    </row>
    <row r="186" spans="2:71" s="491" customFormat="1">
      <c r="B186" s="2297"/>
      <c r="C186" s="2297"/>
      <c r="D186" s="2297"/>
      <c r="E186" s="2297"/>
      <c r="F186" s="2297"/>
      <c r="G186" s="2297"/>
      <c r="H186" s="2297"/>
      <c r="I186" s="2297"/>
      <c r="J186" s="2297"/>
      <c r="K186" s="2297"/>
      <c r="L186" s="2297"/>
      <c r="M186" s="2297"/>
      <c r="N186" s="2297"/>
      <c r="O186" s="2297"/>
      <c r="P186" s="2297"/>
      <c r="Q186" s="2297"/>
      <c r="R186" s="99"/>
      <c r="S186" s="99"/>
      <c r="T186" s="99"/>
      <c r="U186" s="99"/>
      <c r="V186" s="99"/>
      <c r="AF186" s="2297"/>
      <c r="AG186" s="1208"/>
      <c r="AH186" s="1208"/>
      <c r="AI186" s="1223"/>
      <c r="AJ186" s="1223"/>
      <c r="AK186" s="1223"/>
      <c r="AL186" s="1223"/>
      <c r="AM186" s="1223"/>
      <c r="AN186" s="1223"/>
      <c r="AO186" s="1208"/>
      <c r="AP186" s="1223"/>
      <c r="AQ186" s="1208"/>
      <c r="AR186" s="1208"/>
      <c r="AS186" s="1223"/>
      <c r="AT186" s="1223"/>
      <c r="AU186" s="1208"/>
      <c r="AV186" s="1208"/>
      <c r="AW186" s="2297"/>
      <c r="BE186" s="1224"/>
      <c r="BF186" s="1225"/>
      <c r="BR186" s="1224"/>
      <c r="BS186" s="1224"/>
    </row>
    <row r="187" spans="2:71" s="491" customFormat="1">
      <c r="B187" s="2297"/>
      <c r="C187" s="2297"/>
      <c r="D187" s="2297"/>
      <c r="E187" s="2297"/>
      <c r="F187" s="2297"/>
      <c r="G187" s="2297"/>
      <c r="H187" s="2297"/>
      <c r="I187" s="2297"/>
      <c r="J187" s="2297"/>
      <c r="K187" s="2297"/>
      <c r="L187" s="2297"/>
      <c r="M187" s="2297"/>
      <c r="N187" s="2297"/>
      <c r="O187" s="2297"/>
      <c r="P187" s="2297"/>
      <c r="Q187" s="2297"/>
      <c r="R187" s="99"/>
      <c r="S187" s="99"/>
      <c r="T187" s="99"/>
      <c r="U187" s="99"/>
      <c r="V187" s="99"/>
      <c r="AF187" s="2297"/>
      <c r="AG187" s="1208"/>
      <c r="AH187" s="1208"/>
      <c r="AI187" s="1223"/>
      <c r="AJ187" s="1223"/>
      <c r="AK187" s="1223"/>
      <c r="AL187" s="1223"/>
      <c r="AM187" s="1223"/>
      <c r="AN187" s="1223"/>
      <c r="AO187" s="1208"/>
      <c r="AP187" s="1223"/>
      <c r="AQ187" s="1208"/>
      <c r="AR187" s="1208"/>
      <c r="AS187" s="1223"/>
      <c r="AT187" s="1223"/>
      <c r="AU187" s="1208"/>
      <c r="AV187" s="1208"/>
      <c r="AW187" s="2297"/>
      <c r="BE187" s="1224"/>
      <c r="BF187" s="1225"/>
      <c r="BR187" s="1224"/>
      <c r="BS187" s="1224"/>
    </row>
    <row r="188" spans="2:71" s="491" customFormat="1">
      <c r="B188" s="2297"/>
      <c r="C188" s="2297"/>
      <c r="D188" s="2297"/>
      <c r="E188" s="2297"/>
      <c r="F188" s="2297"/>
      <c r="G188" s="2297"/>
      <c r="H188" s="2297"/>
      <c r="I188" s="2297"/>
      <c r="J188" s="2297"/>
      <c r="K188" s="2297"/>
      <c r="L188" s="2297"/>
      <c r="M188" s="2297"/>
      <c r="N188" s="2297"/>
      <c r="O188" s="2297"/>
      <c r="P188" s="2297"/>
      <c r="Q188" s="2297"/>
      <c r="R188" s="99"/>
      <c r="S188" s="99"/>
      <c r="T188" s="99"/>
      <c r="U188" s="99"/>
      <c r="V188" s="99"/>
      <c r="AF188" s="2297"/>
      <c r="AG188" s="1208"/>
      <c r="AH188" s="1208"/>
      <c r="AI188" s="1223"/>
      <c r="AJ188" s="1223"/>
      <c r="AK188" s="1223"/>
      <c r="AL188" s="1223"/>
      <c r="AM188" s="1223"/>
      <c r="AN188" s="1223"/>
      <c r="AO188" s="1208"/>
      <c r="AP188" s="1223"/>
      <c r="AQ188" s="1208"/>
      <c r="AR188" s="1208"/>
      <c r="AS188" s="1223"/>
      <c r="AT188" s="1223"/>
      <c r="AU188" s="1208"/>
      <c r="AV188" s="1208"/>
      <c r="AW188" s="2297"/>
      <c r="BE188" s="1224"/>
      <c r="BF188" s="1225"/>
      <c r="BR188" s="1224"/>
      <c r="BS188" s="1224"/>
    </row>
    <row r="189" spans="2:71" s="491" customFormat="1">
      <c r="B189" s="2297"/>
      <c r="C189" s="2297"/>
      <c r="D189" s="2297"/>
      <c r="E189" s="2297"/>
      <c r="F189" s="2297"/>
      <c r="G189" s="2297"/>
      <c r="H189" s="2297"/>
      <c r="I189" s="2297"/>
      <c r="J189" s="2297"/>
      <c r="K189" s="2297"/>
      <c r="L189" s="2297"/>
      <c r="M189" s="2297"/>
      <c r="N189" s="2297"/>
      <c r="O189" s="2297"/>
      <c r="P189" s="2297"/>
      <c r="Q189" s="2297"/>
      <c r="R189" s="99"/>
      <c r="S189" s="99"/>
      <c r="T189" s="99"/>
      <c r="U189" s="99"/>
      <c r="V189" s="99"/>
      <c r="AF189" s="2297"/>
      <c r="AG189" s="1208"/>
      <c r="AH189" s="1208"/>
      <c r="AI189" s="1223"/>
      <c r="AJ189" s="1223"/>
      <c r="AK189" s="1223"/>
      <c r="AL189" s="1223"/>
      <c r="AM189" s="1223"/>
      <c r="AN189" s="1223"/>
      <c r="AO189" s="1208"/>
      <c r="AP189" s="1223"/>
      <c r="AQ189" s="1208"/>
      <c r="AR189" s="1208"/>
      <c r="AS189" s="1223"/>
      <c r="AT189" s="1223"/>
      <c r="AU189" s="1208"/>
      <c r="AV189" s="1208"/>
      <c r="AW189" s="2297"/>
      <c r="BE189" s="1224"/>
      <c r="BF189" s="1225"/>
      <c r="BR189" s="1224"/>
      <c r="BS189" s="1224"/>
    </row>
    <row r="190" spans="2:71" s="491" customFormat="1">
      <c r="B190" s="2297"/>
      <c r="C190" s="2297"/>
      <c r="D190" s="2297"/>
      <c r="E190" s="2297"/>
      <c r="F190" s="2297"/>
      <c r="G190" s="2297"/>
      <c r="H190" s="2297"/>
      <c r="I190" s="2297"/>
      <c r="J190" s="2297"/>
      <c r="K190" s="2297"/>
      <c r="L190" s="2297"/>
      <c r="M190" s="2297"/>
      <c r="N190" s="2297"/>
      <c r="O190" s="2297"/>
      <c r="P190" s="2297"/>
      <c r="Q190" s="2297"/>
      <c r="R190" s="99"/>
      <c r="S190" s="99"/>
      <c r="T190" s="99"/>
      <c r="U190" s="99"/>
      <c r="V190" s="99"/>
      <c r="AF190" s="2297"/>
      <c r="AG190" s="1208"/>
      <c r="AH190" s="1208"/>
      <c r="AI190" s="1223"/>
      <c r="AJ190" s="1223"/>
      <c r="AK190" s="1223"/>
      <c r="AL190" s="1223"/>
      <c r="AM190" s="1223"/>
      <c r="AN190" s="1223"/>
      <c r="AO190" s="1208"/>
      <c r="AP190" s="1223"/>
      <c r="AQ190" s="1208"/>
      <c r="AR190" s="1208"/>
      <c r="AS190" s="1223"/>
      <c r="AT190" s="1223"/>
      <c r="AU190" s="1208"/>
      <c r="AV190" s="1208"/>
      <c r="AW190" s="2297"/>
      <c r="BE190" s="1224"/>
      <c r="BF190" s="1225"/>
      <c r="BR190" s="1224"/>
      <c r="BS190" s="1224"/>
    </row>
    <row r="191" spans="2:71" s="491" customFormat="1">
      <c r="B191" s="2297"/>
      <c r="C191" s="2297"/>
      <c r="D191" s="2297"/>
      <c r="E191" s="2297"/>
      <c r="F191" s="2297"/>
      <c r="G191" s="2297"/>
      <c r="H191" s="2297"/>
      <c r="I191" s="2297"/>
      <c r="J191" s="2297"/>
      <c r="K191" s="2297"/>
      <c r="L191" s="2297"/>
      <c r="M191" s="2297"/>
      <c r="N191" s="2297"/>
      <c r="O191" s="2297"/>
      <c r="P191" s="2297"/>
      <c r="Q191" s="2297"/>
      <c r="R191" s="99"/>
      <c r="S191" s="99"/>
      <c r="T191" s="99"/>
      <c r="U191" s="99"/>
      <c r="V191" s="99"/>
      <c r="AF191" s="2297"/>
      <c r="AG191" s="1208"/>
      <c r="AH191" s="1208"/>
      <c r="AI191" s="1223"/>
      <c r="AJ191" s="1223"/>
      <c r="AK191" s="1223"/>
      <c r="AL191" s="1223"/>
      <c r="AM191" s="1223"/>
      <c r="AN191" s="1223"/>
      <c r="AO191" s="1208"/>
      <c r="AP191" s="1223"/>
      <c r="AQ191" s="1208"/>
      <c r="AR191" s="1208"/>
      <c r="AS191" s="1223"/>
      <c r="AT191" s="1223"/>
      <c r="AU191" s="1208"/>
      <c r="AV191" s="1208"/>
      <c r="AW191" s="2297"/>
      <c r="BE191" s="1224"/>
      <c r="BF191" s="1225"/>
      <c r="BR191" s="1224"/>
      <c r="BS191" s="1224"/>
    </row>
    <row r="192" spans="2:71" s="491" customFormat="1">
      <c r="B192" s="2297"/>
      <c r="C192" s="2297"/>
      <c r="D192" s="2297"/>
      <c r="E192" s="2297"/>
      <c r="F192" s="2297"/>
      <c r="G192" s="2297"/>
      <c r="H192" s="2297"/>
      <c r="I192" s="2297"/>
      <c r="J192" s="2297"/>
      <c r="K192" s="2297"/>
      <c r="L192" s="2297"/>
      <c r="M192" s="2297"/>
      <c r="N192" s="2297"/>
      <c r="O192" s="2297"/>
      <c r="P192" s="2297"/>
      <c r="Q192" s="2297"/>
      <c r="R192" s="99"/>
      <c r="S192" s="99"/>
      <c r="T192" s="99"/>
      <c r="U192" s="99"/>
      <c r="V192" s="99"/>
      <c r="AF192" s="2297"/>
      <c r="AG192" s="1208"/>
      <c r="AH192" s="1208"/>
      <c r="AI192" s="1223"/>
      <c r="AJ192" s="1223"/>
      <c r="AK192" s="1223"/>
      <c r="AL192" s="1223"/>
      <c r="AM192" s="1223"/>
      <c r="AN192" s="1223"/>
      <c r="AO192" s="1208"/>
      <c r="AP192" s="1223"/>
      <c r="AQ192" s="1208"/>
      <c r="AR192" s="1208"/>
      <c r="AS192" s="1223"/>
      <c r="AT192" s="1223"/>
      <c r="AU192" s="1208"/>
      <c r="AV192" s="1208"/>
      <c r="AW192" s="2297"/>
      <c r="BE192" s="1224"/>
      <c r="BF192" s="1225"/>
      <c r="BR192" s="1224"/>
      <c r="BS192" s="1224"/>
    </row>
    <row r="193" spans="2:71" s="491" customFormat="1">
      <c r="B193" s="2297"/>
      <c r="C193" s="2297"/>
      <c r="D193" s="2297"/>
      <c r="E193" s="2297"/>
      <c r="F193" s="2297"/>
      <c r="G193" s="2297"/>
      <c r="H193" s="2297"/>
      <c r="I193" s="2297"/>
      <c r="J193" s="2297"/>
      <c r="K193" s="2297"/>
      <c r="L193" s="2297"/>
      <c r="M193" s="2297"/>
      <c r="N193" s="2297"/>
      <c r="O193" s="2297"/>
      <c r="P193" s="2297"/>
      <c r="Q193" s="2297"/>
      <c r="R193" s="99"/>
      <c r="S193" s="99"/>
      <c r="T193" s="99"/>
      <c r="U193" s="99"/>
      <c r="V193" s="99"/>
      <c r="AF193" s="2297"/>
      <c r="AG193" s="1208"/>
      <c r="AH193" s="1208"/>
      <c r="AI193" s="1223"/>
      <c r="AJ193" s="1223"/>
      <c r="AK193" s="1223"/>
      <c r="AL193" s="1223"/>
      <c r="AM193" s="1223"/>
      <c r="AN193" s="1223"/>
      <c r="AO193" s="1208"/>
      <c r="AP193" s="1223"/>
      <c r="AQ193" s="1208"/>
      <c r="AR193" s="1208"/>
      <c r="AS193" s="1223"/>
      <c r="AT193" s="1223"/>
      <c r="AU193" s="1208"/>
      <c r="AV193" s="1208"/>
      <c r="AW193" s="2297"/>
      <c r="BE193" s="1224"/>
      <c r="BF193" s="1225"/>
      <c r="BR193" s="1224"/>
      <c r="BS193" s="1224"/>
    </row>
    <row r="194" spans="2:71" s="491" customFormat="1">
      <c r="B194" s="2297"/>
      <c r="C194" s="2297"/>
      <c r="D194" s="2297"/>
      <c r="E194" s="2297"/>
      <c r="F194" s="2297"/>
      <c r="G194" s="2297"/>
      <c r="H194" s="2297"/>
      <c r="I194" s="2297"/>
      <c r="J194" s="2297"/>
      <c r="K194" s="2297"/>
      <c r="L194" s="2297"/>
      <c r="M194" s="2297"/>
      <c r="N194" s="2297"/>
      <c r="O194" s="2297"/>
      <c r="P194" s="2297"/>
      <c r="Q194" s="2297"/>
      <c r="R194" s="99"/>
      <c r="S194" s="99"/>
      <c r="T194" s="99"/>
      <c r="U194" s="99"/>
      <c r="V194" s="99"/>
      <c r="AF194" s="2297"/>
      <c r="AG194" s="1208"/>
      <c r="AH194" s="1208"/>
      <c r="AI194" s="1223"/>
      <c r="AJ194" s="1223"/>
      <c r="AK194" s="1223"/>
      <c r="AL194" s="1223"/>
      <c r="AM194" s="1223"/>
      <c r="AN194" s="1223"/>
      <c r="AO194" s="1208"/>
      <c r="AP194" s="1223"/>
      <c r="AQ194" s="1208"/>
      <c r="AR194" s="1208"/>
      <c r="AS194" s="1223"/>
      <c r="AT194" s="1223"/>
      <c r="AU194" s="1208"/>
      <c r="AV194" s="1208"/>
      <c r="AW194" s="2297"/>
      <c r="BE194" s="1224"/>
      <c r="BF194" s="1225"/>
      <c r="BR194" s="1224"/>
      <c r="BS194" s="1224"/>
    </row>
    <row r="195" spans="2:71" s="491" customFormat="1">
      <c r="B195" s="2297"/>
      <c r="C195" s="2297"/>
      <c r="D195" s="2297"/>
      <c r="E195" s="2297"/>
      <c r="F195" s="2297"/>
      <c r="G195" s="2297"/>
      <c r="H195" s="2297"/>
      <c r="I195" s="2297"/>
      <c r="J195" s="2297"/>
      <c r="K195" s="2297"/>
      <c r="L195" s="2297"/>
      <c r="M195" s="2297"/>
      <c r="N195" s="2297"/>
      <c r="O195" s="2297"/>
      <c r="P195" s="2297"/>
      <c r="Q195" s="2297"/>
      <c r="R195" s="99"/>
      <c r="S195" s="99"/>
      <c r="T195" s="99"/>
      <c r="U195" s="99"/>
      <c r="V195" s="99"/>
      <c r="AF195" s="2297"/>
      <c r="AG195" s="1208"/>
      <c r="AH195" s="1208"/>
      <c r="AI195" s="1223"/>
      <c r="AJ195" s="1223"/>
      <c r="AK195" s="1223"/>
      <c r="AL195" s="1223"/>
      <c r="AM195" s="1223"/>
      <c r="AN195" s="1223"/>
      <c r="AO195" s="1208"/>
      <c r="AP195" s="1223"/>
      <c r="AQ195" s="1208"/>
      <c r="AR195" s="1208"/>
      <c r="AS195" s="1223"/>
      <c r="AT195" s="1223"/>
      <c r="AU195" s="1208"/>
      <c r="AV195" s="1208"/>
      <c r="AW195" s="2297"/>
      <c r="BE195" s="1224"/>
      <c r="BF195" s="1225"/>
      <c r="BR195" s="1224"/>
      <c r="BS195" s="1224"/>
    </row>
    <row r="196" spans="2:71" s="491" customFormat="1">
      <c r="B196" s="2297"/>
      <c r="C196" s="2297"/>
      <c r="D196" s="2297"/>
      <c r="E196" s="2297"/>
      <c r="F196" s="2297"/>
      <c r="G196" s="2297"/>
      <c r="H196" s="2297"/>
      <c r="I196" s="2297"/>
      <c r="J196" s="2297"/>
      <c r="K196" s="2297"/>
      <c r="L196" s="2297"/>
      <c r="M196" s="2297"/>
      <c r="N196" s="2297"/>
      <c r="O196" s="2297"/>
      <c r="P196" s="2297"/>
      <c r="Q196" s="2297"/>
      <c r="R196" s="99"/>
      <c r="S196" s="99"/>
      <c r="T196" s="99"/>
      <c r="U196" s="99"/>
      <c r="V196" s="99"/>
      <c r="AF196" s="2297"/>
      <c r="AG196" s="1208"/>
      <c r="AH196" s="1208"/>
      <c r="AI196" s="1223"/>
      <c r="AJ196" s="1223"/>
      <c r="AK196" s="1223"/>
      <c r="AL196" s="1223"/>
      <c r="AM196" s="1223"/>
      <c r="AN196" s="1223"/>
      <c r="AO196" s="1208"/>
      <c r="AP196" s="1223"/>
      <c r="AQ196" s="1208"/>
      <c r="AR196" s="1208"/>
      <c r="AS196" s="1223"/>
      <c r="AT196" s="1223"/>
      <c r="AU196" s="1208"/>
      <c r="AV196" s="1208"/>
      <c r="AW196" s="2297"/>
      <c r="BE196" s="1224"/>
      <c r="BF196" s="1225"/>
      <c r="BR196" s="1224"/>
      <c r="BS196" s="1224"/>
    </row>
    <row r="197" spans="2:71" s="491" customFormat="1">
      <c r="B197" s="2297"/>
      <c r="C197" s="2297"/>
      <c r="D197" s="2297"/>
      <c r="E197" s="2297"/>
      <c r="F197" s="2297"/>
      <c r="G197" s="2297"/>
      <c r="H197" s="2297"/>
      <c r="I197" s="2297"/>
      <c r="J197" s="2297"/>
      <c r="K197" s="2297"/>
      <c r="L197" s="2297"/>
      <c r="M197" s="2297"/>
      <c r="N197" s="2297"/>
      <c r="O197" s="2297"/>
      <c r="P197" s="2297"/>
      <c r="Q197" s="2297"/>
      <c r="R197" s="99"/>
      <c r="S197" s="99"/>
      <c r="T197" s="99"/>
      <c r="U197" s="99"/>
      <c r="V197" s="99"/>
      <c r="AF197" s="2297"/>
      <c r="AG197" s="1208"/>
      <c r="AH197" s="1208"/>
      <c r="AI197" s="1223"/>
      <c r="AJ197" s="1223"/>
      <c r="AK197" s="1223"/>
      <c r="AL197" s="1223"/>
      <c r="AM197" s="1223"/>
      <c r="AN197" s="1223"/>
      <c r="AO197" s="1208"/>
      <c r="AP197" s="1223"/>
      <c r="AQ197" s="1208"/>
      <c r="AR197" s="1208"/>
      <c r="AS197" s="1223"/>
      <c r="AT197" s="1223"/>
      <c r="AU197" s="1208"/>
      <c r="AV197" s="1208"/>
      <c r="AW197" s="2297"/>
      <c r="BE197" s="1224"/>
      <c r="BF197" s="1225"/>
      <c r="BR197" s="1224"/>
      <c r="BS197" s="1224"/>
    </row>
    <row r="198" spans="2:71" s="491" customFormat="1">
      <c r="B198" s="2297"/>
      <c r="C198" s="2297"/>
      <c r="D198" s="2297"/>
      <c r="E198" s="2297"/>
      <c r="F198" s="2297"/>
      <c r="G198" s="2297"/>
      <c r="H198" s="2297"/>
      <c r="I198" s="2297"/>
      <c r="J198" s="2297"/>
      <c r="K198" s="2297"/>
      <c r="L198" s="2297"/>
      <c r="M198" s="2297"/>
      <c r="N198" s="2297"/>
      <c r="O198" s="2297"/>
      <c r="P198" s="2297"/>
      <c r="Q198" s="2297"/>
      <c r="R198" s="99"/>
      <c r="S198" s="99"/>
      <c r="T198" s="99"/>
      <c r="U198" s="99"/>
      <c r="V198" s="99"/>
      <c r="AF198" s="2297"/>
      <c r="AG198" s="1208"/>
      <c r="AH198" s="1208"/>
      <c r="AI198" s="1223"/>
      <c r="AJ198" s="1223"/>
      <c r="AK198" s="1223"/>
      <c r="AL198" s="1223"/>
      <c r="AM198" s="1223"/>
      <c r="AN198" s="1223"/>
      <c r="AO198" s="1208"/>
      <c r="AP198" s="1223"/>
      <c r="AQ198" s="1208"/>
      <c r="AR198" s="1208"/>
      <c r="AS198" s="1223"/>
      <c r="AT198" s="1223"/>
      <c r="AU198" s="1208"/>
      <c r="AV198" s="1208"/>
      <c r="AW198" s="2297"/>
      <c r="BE198" s="1224"/>
      <c r="BF198" s="1225"/>
      <c r="BR198" s="1224"/>
      <c r="BS198" s="1224"/>
    </row>
    <row r="199" spans="2:71" s="491" customFormat="1">
      <c r="B199" s="2297"/>
      <c r="C199" s="2297"/>
      <c r="D199" s="2297"/>
      <c r="E199" s="2297"/>
      <c r="F199" s="2297"/>
      <c r="G199" s="2297"/>
      <c r="H199" s="2297"/>
      <c r="I199" s="2297"/>
      <c r="J199" s="2297"/>
      <c r="K199" s="2297"/>
      <c r="L199" s="2297"/>
      <c r="M199" s="2297"/>
      <c r="N199" s="2297"/>
      <c r="O199" s="2297"/>
      <c r="P199" s="2297"/>
      <c r="Q199" s="2297"/>
      <c r="R199" s="99"/>
      <c r="S199" s="99"/>
      <c r="T199" s="99"/>
      <c r="U199" s="99"/>
      <c r="V199" s="99"/>
      <c r="AF199" s="2297"/>
      <c r="AG199" s="1208"/>
      <c r="AH199" s="1208"/>
      <c r="AI199" s="1223"/>
      <c r="AJ199" s="1223"/>
      <c r="AK199" s="1223"/>
      <c r="AL199" s="1223"/>
      <c r="AM199" s="1223"/>
      <c r="AN199" s="1223"/>
      <c r="AO199" s="1208"/>
      <c r="AP199" s="1223"/>
      <c r="AQ199" s="1208"/>
      <c r="AR199" s="1208"/>
      <c r="AS199" s="1223"/>
      <c r="AT199" s="1223"/>
      <c r="AU199" s="1208"/>
      <c r="AV199" s="1208"/>
      <c r="AW199" s="2297"/>
      <c r="BE199" s="1224"/>
      <c r="BF199" s="1225"/>
      <c r="BR199" s="1224"/>
      <c r="BS199" s="1224"/>
    </row>
    <row r="200" spans="2:71" s="491" customFormat="1">
      <c r="B200" s="2297"/>
      <c r="C200" s="2297"/>
      <c r="D200" s="2297"/>
      <c r="E200" s="2297"/>
      <c r="F200" s="2297"/>
      <c r="G200" s="2297"/>
      <c r="H200" s="2297"/>
      <c r="I200" s="2297"/>
      <c r="J200" s="2297"/>
      <c r="K200" s="2297"/>
      <c r="L200" s="2297"/>
      <c r="M200" s="2297"/>
      <c r="N200" s="2297"/>
      <c r="O200" s="2297"/>
      <c r="P200" s="2297"/>
      <c r="Q200" s="2297"/>
      <c r="R200" s="99"/>
      <c r="S200" s="99"/>
      <c r="T200" s="99"/>
      <c r="U200" s="99"/>
      <c r="V200" s="99"/>
      <c r="AF200" s="2297"/>
      <c r="AG200" s="1208"/>
      <c r="AH200" s="1208"/>
      <c r="AI200" s="1223"/>
      <c r="AJ200" s="1223"/>
      <c r="AK200" s="1223"/>
      <c r="AL200" s="1223"/>
      <c r="AM200" s="1223"/>
      <c r="AN200" s="1223"/>
      <c r="AO200" s="1208"/>
      <c r="AP200" s="1223"/>
      <c r="AQ200" s="1208"/>
      <c r="AR200" s="1208"/>
      <c r="AS200" s="1223"/>
      <c r="AT200" s="1223"/>
      <c r="AU200" s="1208"/>
      <c r="AV200" s="1208"/>
      <c r="AW200" s="2297"/>
      <c r="BE200" s="1224"/>
      <c r="BF200" s="1225"/>
      <c r="BR200" s="1224"/>
      <c r="BS200" s="1224"/>
    </row>
    <row r="201" spans="2:71" s="491" customFormat="1">
      <c r="B201" s="2297"/>
      <c r="C201" s="2297"/>
      <c r="D201" s="2297"/>
      <c r="E201" s="2297"/>
      <c r="F201" s="2297"/>
      <c r="G201" s="2297"/>
      <c r="H201" s="2297"/>
      <c r="I201" s="2297"/>
      <c r="J201" s="2297"/>
      <c r="K201" s="2297"/>
      <c r="L201" s="2297"/>
      <c r="M201" s="2297"/>
      <c r="N201" s="2297"/>
      <c r="O201" s="2297"/>
      <c r="P201" s="2297"/>
      <c r="Q201" s="2297"/>
      <c r="R201" s="99"/>
      <c r="S201" s="99"/>
      <c r="T201" s="99"/>
      <c r="U201" s="99"/>
      <c r="V201" s="99"/>
      <c r="AF201" s="2297"/>
      <c r="AG201" s="1208"/>
      <c r="AH201" s="1208"/>
      <c r="AI201" s="1223"/>
      <c r="AJ201" s="1223"/>
      <c r="AK201" s="1223"/>
      <c r="AL201" s="1223"/>
      <c r="AM201" s="1223"/>
      <c r="AN201" s="1223"/>
      <c r="AO201" s="1208"/>
      <c r="AP201" s="1223"/>
      <c r="AQ201" s="1208"/>
      <c r="AR201" s="1208"/>
      <c r="AS201" s="1223"/>
      <c r="AT201" s="1223"/>
      <c r="AU201" s="1208"/>
      <c r="AV201" s="1208"/>
      <c r="AW201" s="2297"/>
      <c r="BE201" s="1224"/>
      <c r="BF201" s="1225"/>
      <c r="BR201" s="1224"/>
      <c r="BS201" s="1224"/>
    </row>
    <row r="202" spans="2:71" s="491" customFormat="1">
      <c r="B202" s="2297"/>
      <c r="C202" s="2297"/>
      <c r="D202" s="2297"/>
      <c r="E202" s="2297"/>
      <c r="F202" s="2297"/>
      <c r="G202" s="2297"/>
      <c r="H202" s="2297"/>
      <c r="I202" s="2297"/>
      <c r="J202" s="2297"/>
      <c r="K202" s="2297"/>
      <c r="L202" s="2297"/>
      <c r="M202" s="2297"/>
      <c r="N202" s="2297"/>
      <c r="O202" s="2297"/>
      <c r="P202" s="2297"/>
      <c r="Q202" s="2297"/>
      <c r="R202" s="99"/>
      <c r="S202" s="99"/>
      <c r="T202" s="99"/>
      <c r="U202" s="99"/>
      <c r="V202" s="99"/>
      <c r="AF202" s="2297"/>
      <c r="AG202" s="1208"/>
      <c r="AH202" s="1208"/>
      <c r="AI202" s="1223"/>
      <c r="AJ202" s="1223"/>
      <c r="AK202" s="1223"/>
      <c r="AL202" s="1223"/>
      <c r="AM202" s="1223"/>
      <c r="AN202" s="1223"/>
      <c r="AO202" s="1208"/>
      <c r="AP202" s="1223"/>
      <c r="AQ202" s="1208"/>
      <c r="AR202" s="1208"/>
      <c r="AS202" s="1223"/>
      <c r="AT202" s="1223"/>
      <c r="AU202" s="1208"/>
      <c r="AV202" s="1208"/>
      <c r="AW202" s="2297"/>
      <c r="BE202" s="1224"/>
      <c r="BF202" s="1225"/>
      <c r="BR202" s="1224"/>
      <c r="BS202" s="1224"/>
    </row>
    <row r="203" spans="2:71" s="491" customFormat="1">
      <c r="B203" s="2297"/>
      <c r="C203" s="2297"/>
      <c r="D203" s="2297"/>
      <c r="E203" s="2297"/>
      <c r="F203" s="2297"/>
      <c r="G203" s="2297"/>
      <c r="H203" s="2297"/>
      <c r="I203" s="2297"/>
      <c r="J203" s="2297"/>
      <c r="K203" s="2297"/>
      <c r="L203" s="2297"/>
      <c r="M203" s="2297"/>
      <c r="N203" s="2297"/>
      <c r="O203" s="2297"/>
      <c r="P203" s="2297"/>
      <c r="Q203" s="2297"/>
      <c r="R203" s="99"/>
      <c r="S203" s="99"/>
      <c r="T203" s="99"/>
      <c r="U203" s="99"/>
      <c r="V203" s="99"/>
      <c r="AF203" s="2297"/>
      <c r="AG203" s="1208"/>
      <c r="AH203" s="1208"/>
      <c r="AI203" s="1223"/>
      <c r="AJ203" s="1223"/>
      <c r="AK203" s="1223"/>
      <c r="AL203" s="1223"/>
      <c r="AM203" s="1223"/>
      <c r="AN203" s="1223"/>
      <c r="AO203" s="1208"/>
      <c r="AP203" s="1223"/>
      <c r="AQ203" s="1208"/>
      <c r="AR203" s="1208"/>
      <c r="AS203" s="1223"/>
      <c r="AT203" s="1223"/>
      <c r="AU203" s="1208"/>
      <c r="AV203" s="1208"/>
      <c r="AW203" s="2297"/>
      <c r="BE203" s="1224"/>
      <c r="BF203" s="1225"/>
      <c r="BR203" s="1224"/>
      <c r="BS203" s="1224"/>
    </row>
    <row r="204" spans="2:71" s="491" customFormat="1">
      <c r="B204" s="2297"/>
      <c r="C204" s="2297"/>
      <c r="D204" s="2297"/>
      <c r="E204" s="2297"/>
      <c r="F204" s="2297"/>
      <c r="G204" s="2297"/>
      <c r="H204" s="2297"/>
      <c r="I204" s="2297"/>
      <c r="J204" s="2297"/>
      <c r="K204" s="2297"/>
      <c r="L204" s="2297"/>
      <c r="M204" s="2297"/>
      <c r="N204" s="2297"/>
      <c r="O204" s="2297"/>
      <c r="P204" s="2297"/>
      <c r="Q204" s="2297"/>
      <c r="R204" s="99"/>
      <c r="S204" s="99"/>
      <c r="T204" s="99"/>
      <c r="U204" s="99"/>
      <c r="V204" s="99"/>
      <c r="AF204" s="2297"/>
      <c r="AG204" s="1208"/>
      <c r="AH204" s="1208"/>
      <c r="AI204" s="1223"/>
      <c r="AJ204" s="1223"/>
      <c r="AK204" s="1223"/>
      <c r="AL204" s="1223"/>
      <c r="AM204" s="1223"/>
      <c r="AN204" s="1223"/>
      <c r="AO204" s="1208"/>
      <c r="AP204" s="1223"/>
      <c r="AQ204" s="1208"/>
      <c r="AR204" s="1208"/>
      <c r="AS204" s="1223"/>
      <c r="AT204" s="1223"/>
      <c r="AU204" s="1208"/>
      <c r="AV204" s="1208"/>
      <c r="AW204" s="2297"/>
      <c r="BE204" s="1224"/>
      <c r="BF204" s="1225"/>
      <c r="BR204" s="1224"/>
      <c r="BS204" s="1224"/>
    </row>
    <row r="205" spans="2:71" s="491" customFormat="1">
      <c r="B205" s="2297"/>
      <c r="C205" s="2297"/>
      <c r="D205" s="2297"/>
      <c r="E205" s="2297"/>
      <c r="F205" s="2297"/>
      <c r="G205" s="2297"/>
      <c r="H205" s="2297"/>
      <c r="I205" s="2297"/>
      <c r="J205" s="2297"/>
      <c r="K205" s="2297"/>
      <c r="L205" s="2297"/>
      <c r="M205" s="2297"/>
      <c r="N205" s="2297"/>
      <c r="O205" s="2297"/>
      <c r="P205" s="2297"/>
      <c r="Q205" s="2297"/>
      <c r="R205" s="99"/>
      <c r="S205" s="99"/>
      <c r="T205" s="99"/>
      <c r="U205" s="99"/>
      <c r="V205" s="99"/>
      <c r="AF205" s="2297"/>
      <c r="AG205" s="1208"/>
      <c r="AH205" s="1208"/>
      <c r="AI205" s="1223"/>
      <c r="AJ205" s="1223"/>
      <c r="AK205" s="1223"/>
      <c r="AL205" s="1223"/>
      <c r="AM205" s="1223"/>
      <c r="AN205" s="1223"/>
      <c r="AO205" s="1208"/>
      <c r="AP205" s="1223"/>
      <c r="AQ205" s="1208"/>
      <c r="AR205" s="1208"/>
      <c r="AS205" s="1223"/>
      <c r="AT205" s="1223"/>
      <c r="AU205" s="1208"/>
      <c r="AV205" s="1208"/>
      <c r="AW205" s="2297"/>
      <c r="BE205" s="1224"/>
      <c r="BF205" s="1225"/>
      <c r="BR205" s="1224"/>
      <c r="BS205" s="1224"/>
    </row>
    <row r="206" spans="2:71" s="491" customFormat="1">
      <c r="B206" s="2297"/>
      <c r="C206" s="2297"/>
      <c r="D206" s="2297"/>
      <c r="E206" s="2297"/>
      <c r="F206" s="2297"/>
      <c r="G206" s="2297"/>
      <c r="H206" s="2297"/>
      <c r="I206" s="2297"/>
      <c r="J206" s="2297"/>
      <c r="K206" s="2297"/>
      <c r="L206" s="2297"/>
      <c r="M206" s="2297"/>
      <c r="N206" s="2297"/>
      <c r="O206" s="2297"/>
      <c r="P206" s="2297"/>
      <c r="Q206" s="2297"/>
      <c r="R206" s="99"/>
      <c r="S206" s="99"/>
      <c r="T206" s="99"/>
      <c r="U206" s="99"/>
      <c r="V206" s="99"/>
      <c r="AF206" s="2297"/>
      <c r="AG206" s="1208"/>
      <c r="AH206" s="1208"/>
      <c r="AI206" s="1223"/>
      <c r="AJ206" s="1223"/>
      <c r="AK206" s="1223"/>
      <c r="AL206" s="1223"/>
      <c r="AM206" s="1223"/>
      <c r="AN206" s="1223"/>
      <c r="AO206" s="1208"/>
      <c r="AP206" s="1223"/>
      <c r="AQ206" s="1208"/>
      <c r="AR206" s="1208"/>
      <c r="AS206" s="1223"/>
      <c r="AT206" s="1223"/>
      <c r="AU206" s="1208"/>
      <c r="AV206" s="1208"/>
      <c r="AW206" s="2297"/>
      <c r="BE206" s="1224"/>
      <c r="BF206" s="1225"/>
      <c r="BR206" s="1224"/>
      <c r="BS206" s="1224"/>
    </row>
    <row r="207" spans="2:71" s="491" customFormat="1">
      <c r="B207" s="2297"/>
      <c r="C207" s="2297"/>
      <c r="D207" s="2297"/>
      <c r="E207" s="2297"/>
      <c r="F207" s="2297"/>
      <c r="G207" s="2297"/>
      <c r="H207" s="2297"/>
      <c r="I207" s="2297"/>
      <c r="J207" s="2297"/>
      <c r="K207" s="2297"/>
      <c r="L207" s="2297"/>
      <c r="M207" s="2297"/>
      <c r="N207" s="2297"/>
      <c r="O207" s="2297"/>
      <c r="P207" s="2297"/>
      <c r="Q207" s="2297"/>
      <c r="R207" s="99"/>
      <c r="S207" s="99"/>
      <c r="T207" s="99"/>
      <c r="U207" s="99"/>
      <c r="V207" s="99"/>
      <c r="AF207" s="2297"/>
      <c r="AG207" s="1208"/>
      <c r="AH207" s="1208"/>
      <c r="AI207" s="1223"/>
      <c r="AJ207" s="1223"/>
      <c r="AK207" s="1223"/>
      <c r="AL207" s="1223"/>
      <c r="AM207" s="1223"/>
      <c r="AN207" s="1223"/>
      <c r="AO207" s="1208"/>
      <c r="AP207" s="1223"/>
      <c r="AQ207" s="1208"/>
      <c r="AR207" s="1208"/>
      <c r="AS207" s="1223"/>
      <c r="AT207" s="1223"/>
      <c r="AU207" s="1208"/>
      <c r="AV207" s="1208"/>
      <c r="AW207" s="2297"/>
      <c r="BE207" s="1224"/>
      <c r="BF207" s="1225"/>
      <c r="BR207" s="1224"/>
      <c r="BS207" s="1224"/>
    </row>
    <row r="208" spans="2:71" s="491" customFormat="1">
      <c r="B208" s="2297"/>
      <c r="C208" s="2297"/>
      <c r="D208" s="2297"/>
      <c r="E208" s="2297"/>
      <c r="F208" s="2297"/>
      <c r="G208" s="2297"/>
      <c r="H208" s="2297"/>
      <c r="I208" s="2297"/>
      <c r="J208" s="2297"/>
      <c r="K208" s="2297"/>
      <c r="L208" s="2297"/>
      <c r="M208" s="2297"/>
      <c r="N208" s="2297"/>
      <c r="O208" s="2297"/>
      <c r="P208" s="2297"/>
      <c r="Q208" s="2297"/>
      <c r="R208" s="99"/>
      <c r="S208" s="99"/>
      <c r="T208" s="99"/>
      <c r="U208" s="99"/>
      <c r="V208" s="99"/>
      <c r="AF208" s="2297"/>
      <c r="AG208" s="1208"/>
      <c r="AH208" s="1208"/>
      <c r="AI208" s="1223"/>
      <c r="AJ208" s="1223"/>
      <c r="AK208" s="1223"/>
      <c r="AL208" s="1223"/>
      <c r="AM208" s="1223"/>
      <c r="AN208" s="1223"/>
      <c r="AO208" s="1208"/>
      <c r="AP208" s="1223"/>
      <c r="AQ208" s="1208"/>
      <c r="AR208" s="1208"/>
      <c r="AS208" s="1223"/>
      <c r="AT208" s="1223"/>
      <c r="AU208" s="1208"/>
      <c r="AV208" s="1208"/>
      <c r="AW208" s="2297"/>
      <c r="BE208" s="1224"/>
      <c r="BF208" s="1225"/>
      <c r="BR208" s="1224"/>
      <c r="BS208" s="1224"/>
    </row>
    <row r="209" spans="2:71" s="491" customFormat="1">
      <c r="B209" s="2297"/>
      <c r="C209" s="2297"/>
      <c r="D209" s="2297"/>
      <c r="E209" s="2297"/>
      <c r="F209" s="2297"/>
      <c r="G209" s="2297"/>
      <c r="H209" s="2297"/>
      <c r="I209" s="2297"/>
      <c r="J209" s="2297"/>
      <c r="K209" s="2297"/>
      <c r="L209" s="2297"/>
      <c r="M209" s="2297"/>
      <c r="N209" s="2297"/>
      <c r="O209" s="2297"/>
      <c r="P209" s="2297"/>
      <c r="Q209" s="2297"/>
      <c r="R209" s="99"/>
      <c r="S209" s="99"/>
      <c r="T209" s="99"/>
      <c r="U209" s="99"/>
      <c r="V209" s="99"/>
      <c r="AF209" s="2297"/>
      <c r="AG209" s="1208"/>
      <c r="AH209" s="1208"/>
      <c r="AI209" s="1223"/>
      <c r="AJ209" s="1223"/>
      <c r="AK209" s="1223"/>
      <c r="AL209" s="1223"/>
      <c r="AM209" s="1223"/>
      <c r="AN209" s="1223"/>
      <c r="AO209" s="1208"/>
      <c r="AP209" s="1223"/>
      <c r="AQ209" s="1208"/>
      <c r="AR209" s="1208"/>
      <c r="AS209" s="1223"/>
      <c r="AT209" s="1223"/>
      <c r="AU209" s="1208"/>
      <c r="AV209" s="1208"/>
      <c r="AW209" s="2297"/>
      <c r="BE209" s="1224"/>
      <c r="BF209" s="1225"/>
      <c r="BR209" s="1224"/>
      <c r="BS209" s="1224"/>
    </row>
    <row r="210" spans="2:71" s="491" customFormat="1">
      <c r="B210" s="2297"/>
      <c r="C210" s="2297"/>
      <c r="D210" s="2297"/>
      <c r="E210" s="2297"/>
      <c r="F210" s="2297"/>
      <c r="G210" s="2297"/>
      <c r="H210" s="2297"/>
      <c r="I210" s="2297"/>
      <c r="J210" s="2297"/>
      <c r="K210" s="2297"/>
      <c r="L210" s="2297"/>
      <c r="M210" s="2297"/>
      <c r="N210" s="2297"/>
      <c r="O210" s="2297"/>
      <c r="P210" s="2297"/>
      <c r="Q210" s="2297"/>
      <c r="R210" s="99"/>
      <c r="S210" s="99"/>
      <c r="T210" s="99"/>
      <c r="U210" s="99"/>
      <c r="V210" s="99"/>
      <c r="AF210" s="2297"/>
      <c r="AG210" s="1208"/>
      <c r="AH210" s="1208"/>
      <c r="AI210" s="1223"/>
      <c r="AJ210" s="1223"/>
      <c r="AK210" s="1223"/>
      <c r="AL210" s="1223"/>
      <c r="AM210" s="1223"/>
      <c r="AN210" s="1223"/>
      <c r="AO210" s="1208"/>
      <c r="AP210" s="1223"/>
      <c r="AQ210" s="1208"/>
      <c r="AR210" s="1208"/>
      <c r="AS210" s="1223"/>
      <c r="AT210" s="1223"/>
      <c r="AU210" s="1208"/>
      <c r="AV210" s="1208"/>
      <c r="AW210" s="2297"/>
      <c r="BE210" s="1224"/>
      <c r="BF210" s="1225"/>
      <c r="BR210" s="1224"/>
      <c r="BS210" s="1224"/>
    </row>
    <row r="211" spans="2:71" s="491" customFormat="1">
      <c r="B211" s="2297"/>
      <c r="C211" s="2297"/>
      <c r="D211" s="2297"/>
      <c r="E211" s="2297"/>
      <c r="F211" s="2297"/>
      <c r="G211" s="2297"/>
      <c r="H211" s="2297"/>
      <c r="I211" s="2297"/>
      <c r="J211" s="2297"/>
      <c r="K211" s="2297"/>
      <c r="L211" s="2297"/>
      <c r="M211" s="2297"/>
      <c r="N211" s="2297"/>
      <c r="O211" s="2297"/>
      <c r="P211" s="2297"/>
      <c r="Q211" s="2297"/>
      <c r="R211" s="99"/>
      <c r="S211" s="99"/>
      <c r="T211" s="99"/>
      <c r="U211" s="99"/>
      <c r="V211" s="99"/>
      <c r="AF211" s="2297"/>
      <c r="AG211" s="1208"/>
      <c r="AH211" s="1208"/>
      <c r="AI211" s="1223"/>
      <c r="AJ211" s="1223"/>
      <c r="AK211" s="1223"/>
      <c r="AL211" s="1223"/>
      <c r="AM211" s="1223"/>
      <c r="AN211" s="1223"/>
      <c r="AO211" s="1208"/>
      <c r="AP211" s="1223"/>
      <c r="AQ211" s="1208"/>
      <c r="AR211" s="1208"/>
      <c r="AS211" s="1223"/>
      <c r="AT211" s="1223"/>
      <c r="AU211" s="1208"/>
      <c r="AV211" s="1208"/>
      <c r="AW211" s="2297"/>
      <c r="BE211" s="1224"/>
      <c r="BF211" s="1225"/>
      <c r="BR211" s="1224"/>
      <c r="BS211" s="1224"/>
    </row>
    <row r="212" spans="2:71" s="491" customFormat="1">
      <c r="B212" s="2297"/>
      <c r="C212" s="2297"/>
      <c r="D212" s="2297"/>
      <c r="E212" s="2297"/>
      <c r="F212" s="2297"/>
      <c r="G212" s="2297"/>
      <c r="H212" s="2297"/>
      <c r="I212" s="2297"/>
      <c r="J212" s="2297"/>
      <c r="K212" s="2297"/>
      <c r="L212" s="2297"/>
      <c r="M212" s="2297"/>
      <c r="N212" s="2297"/>
      <c r="O212" s="2297"/>
      <c r="P212" s="2297"/>
      <c r="Q212" s="2297"/>
      <c r="R212" s="99"/>
      <c r="S212" s="99"/>
      <c r="T212" s="99"/>
      <c r="U212" s="99"/>
      <c r="V212" s="99"/>
      <c r="AF212" s="2297"/>
      <c r="AG212" s="1208"/>
      <c r="AH212" s="1208"/>
      <c r="AI212" s="1223"/>
      <c r="AJ212" s="1223"/>
      <c r="AK212" s="1223"/>
      <c r="AL212" s="1223"/>
      <c r="AM212" s="1223"/>
      <c r="AN212" s="1223"/>
      <c r="AO212" s="1208"/>
      <c r="AP212" s="1223"/>
      <c r="AQ212" s="1208"/>
      <c r="AR212" s="1208"/>
      <c r="AS212" s="1223"/>
      <c r="AT212" s="1223"/>
      <c r="AU212" s="1208"/>
      <c r="AV212" s="1208"/>
      <c r="AW212" s="2297"/>
      <c r="BE212" s="1224"/>
      <c r="BF212" s="1225"/>
      <c r="BR212" s="1224"/>
      <c r="BS212" s="1224"/>
    </row>
    <row r="213" spans="2:71" s="491" customFormat="1">
      <c r="B213" s="2297"/>
      <c r="C213" s="2297"/>
      <c r="D213" s="2297"/>
      <c r="E213" s="2297"/>
      <c r="F213" s="2297"/>
      <c r="G213" s="2297"/>
      <c r="H213" s="2297"/>
      <c r="I213" s="2297"/>
      <c r="J213" s="2297"/>
      <c r="K213" s="2297"/>
      <c r="L213" s="2297"/>
      <c r="M213" s="2297"/>
      <c r="N213" s="2297"/>
      <c r="O213" s="2297"/>
      <c r="P213" s="2297"/>
      <c r="Q213" s="2297"/>
      <c r="R213" s="99"/>
      <c r="S213" s="99"/>
      <c r="T213" s="99"/>
      <c r="U213" s="99"/>
      <c r="V213" s="99"/>
      <c r="AF213" s="2297"/>
      <c r="AG213" s="1208"/>
      <c r="AH213" s="1208"/>
      <c r="AI213" s="1223"/>
      <c r="AJ213" s="1223"/>
      <c r="AK213" s="1223"/>
      <c r="AL213" s="1223"/>
      <c r="AM213" s="1223"/>
      <c r="AN213" s="1223"/>
      <c r="AO213" s="1208"/>
      <c r="AP213" s="1223"/>
      <c r="AQ213" s="1208"/>
      <c r="AR213" s="1208"/>
      <c r="AS213" s="1223"/>
      <c r="AT213" s="1223"/>
      <c r="AU213" s="1208"/>
      <c r="AV213" s="1208"/>
      <c r="AW213" s="2297"/>
      <c r="BE213" s="1224"/>
      <c r="BF213" s="1225"/>
      <c r="BR213" s="1224"/>
      <c r="BS213" s="1224"/>
    </row>
    <row r="214" spans="2:71" s="491" customFormat="1">
      <c r="B214" s="2297"/>
      <c r="C214" s="2297"/>
      <c r="D214" s="2297"/>
      <c r="E214" s="2297"/>
      <c r="F214" s="2297"/>
      <c r="G214" s="2297"/>
      <c r="H214" s="2297"/>
      <c r="I214" s="2297"/>
      <c r="J214" s="2297"/>
      <c r="K214" s="2297"/>
      <c r="L214" s="2297"/>
      <c r="M214" s="2297"/>
      <c r="N214" s="2297"/>
      <c r="O214" s="2297"/>
      <c r="P214" s="2297"/>
      <c r="Q214" s="2297"/>
      <c r="R214" s="99"/>
      <c r="S214" s="99"/>
      <c r="T214" s="99"/>
      <c r="U214" s="99"/>
      <c r="V214" s="99"/>
      <c r="AF214" s="2297"/>
      <c r="AG214" s="1208"/>
      <c r="AH214" s="1208"/>
      <c r="AI214" s="1223"/>
      <c r="AJ214" s="1223"/>
      <c r="AK214" s="1223"/>
      <c r="AL214" s="1223"/>
      <c r="AM214" s="1223"/>
      <c r="AN214" s="1223"/>
      <c r="AO214" s="1208"/>
      <c r="AP214" s="1223"/>
      <c r="AQ214" s="1208"/>
      <c r="AR214" s="1208"/>
      <c r="AS214" s="1223"/>
      <c r="AT214" s="1223"/>
      <c r="AU214" s="1208"/>
      <c r="AV214" s="1208"/>
      <c r="AW214" s="2297"/>
      <c r="BE214" s="1224"/>
      <c r="BF214" s="1225"/>
      <c r="BR214" s="1224"/>
      <c r="BS214" s="1224"/>
    </row>
    <row r="215" spans="2:71" s="491" customFormat="1">
      <c r="B215" s="2297"/>
      <c r="C215" s="2297"/>
      <c r="D215" s="2297"/>
      <c r="E215" s="2297"/>
      <c r="F215" s="2297"/>
      <c r="G215" s="2297"/>
      <c r="H215" s="2297"/>
      <c r="I215" s="2297"/>
      <c r="J215" s="2297"/>
      <c r="K215" s="2297"/>
      <c r="L215" s="2297"/>
      <c r="M215" s="2297"/>
      <c r="N215" s="2297"/>
      <c r="O215" s="2297"/>
      <c r="P215" s="2297"/>
      <c r="Q215" s="2297"/>
      <c r="R215" s="99"/>
      <c r="S215" s="99"/>
      <c r="T215" s="99"/>
      <c r="U215" s="99"/>
      <c r="V215" s="99"/>
      <c r="AF215" s="2297"/>
      <c r="AG215" s="1208"/>
      <c r="AH215" s="1208"/>
      <c r="AI215" s="1223"/>
      <c r="AJ215" s="1223"/>
      <c r="AK215" s="1223"/>
      <c r="AL215" s="1223"/>
      <c r="AM215" s="1223"/>
      <c r="AN215" s="1223"/>
      <c r="AO215" s="1208"/>
      <c r="AP215" s="1223"/>
      <c r="AQ215" s="1208"/>
      <c r="AR215" s="1208"/>
      <c r="AS215" s="1223"/>
      <c r="AT215" s="1223"/>
      <c r="AU215" s="1208"/>
      <c r="AV215" s="1208"/>
      <c r="AW215" s="2297"/>
      <c r="BE215" s="1224"/>
      <c r="BF215" s="1225"/>
      <c r="BR215" s="1224"/>
      <c r="BS215" s="1224"/>
    </row>
    <row r="216" spans="2:71" s="491" customFormat="1">
      <c r="B216" s="2297"/>
      <c r="C216" s="2297"/>
      <c r="D216" s="2297"/>
      <c r="E216" s="2297"/>
      <c r="F216" s="2297"/>
      <c r="G216" s="2297"/>
      <c r="H216" s="2297"/>
      <c r="I216" s="2297"/>
      <c r="J216" s="2297"/>
      <c r="K216" s="2297"/>
      <c r="L216" s="2297"/>
      <c r="M216" s="2297"/>
      <c r="N216" s="2297"/>
      <c r="O216" s="2297"/>
      <c r="P216" s="2297"/>
      <c r="Q216" s="2297"/>
      <c r="R216" s="99"/>
      <c r="S216" s="99"/>
      <c r="T216" s="99"/>
      <c r="U216" s="99"/>
      <c r="V216" s="99"/>
      <c r="AF216" s="2297"/>
      <c r="AG216" s="1208"/>
      <c r="AH216" s="1208"/>
      <c r="AI216" s="1223"/>
      <c r="AJ216" s="1223"/>
      <c r="AK216" s="1223"/>
      <c r="AL216" s="1223"/>
      <c r="AM216" s="1223"/>
      <c r="AN216" s="1223"/>
      <c r="AO216" s="1208"/>
      <c r="AP216" s="1223"/>
      <c r="AQ216" s="1208"/>
      <c r="AR216" s="1208"/>
      <c r="AS216" s="1223"/>
      <c r="AT216" s="1223"/>
      <c r="AU216" s="1208"/>
      <c r="AV216" s="1208"/>
      <c r="AW216" s="2297"/>
      <c r="BE216" s="1224"/>
      <c r="BF216" s="1225"/>
      <c r="BR216" s="1224"/>
      <c r="BS216" s="1224"/>
    </row>
    <row r="217" spans="2:71" s="491" customFormat="1">
      <c r="B217" s="2297"/>
      <c r="C217" s="2297"/>
      <c r="D217" s="2297"/>
      <c r="E217" s="2297"/>
      <c r="F217" s="2297"/>
      <c r="G217" s="2297"/>
      <c r="H217" s="2297"/>
      <c r="I217" s="2297"/>
      <c r="J217" s="2297"/>
      <c r="K217" s="2297"/>
      <c r="L217" s="2297"/>
      <c r="M217" s="2297"/>
      <c r="N217" s="2297"/>
      <c r="O217" s="2297"/>
      <c r="P217" s="2297"/>
      <c r="Q217" s="2297"/>
      <c r="R217" s="99"/>
      <c r="S217" s="99"/>
      <c r="T217" s="99"/>
      <c r="U217" s="99"/>
      <c r="V217" s="99"/>
      <c r="AF217" s="2297"/>
      <c r="AG217" s="1208"/>
      <c r="AH217" s="1208"/>
      <c r="AI217" s="1223"/>
      <c r="AJ217" s="1223"/>
      <c r="AK217" s="1223"/>
      <c r="AL217" s="1223"/>
      <c r="AM217" s="1223"/>
      <c r="AN217" s="1223"/>
      <c r="AO217" s="1208"/>
      <c r="AP217" s="1223"/>
      <c r="AQ217" s="1208"/>
      <c r="AR217" s="1208"/>
      <c r="AS217" s="1223"/>
      <c r="AT217" s="1223"/>
      <c r="AU217" s="1208"/>
      <c r="AV217" s="1208"/>
      <c r="AW217" s="2297"/>
      <c r="BE217" s="1224"/>
      <c r="BF217" s="1225"/>
      <c r="BR217" s="1224"/>
      <c r="BS217" s="1224"/>
    </row>
    <row r="218" spans="2:71" s="491" customFormat="1">
      <c r="B218" s="2297"/>
      <c r="C218" s="2297"/>
      <c r="D218" s="2297"/>
      <c r="E218" s="2297"/>
      <c r="F218" s="2297"/>
      <c r="G218" s="2297"/>
      <c r="H218" s="2297"/>
      <c r="I218" s="2297"/>
      <c r="J218" s="2297"/>
      <c r="K218" s="2297"/>
      <c r="L218" s="2297"/>
      <c r="M218" s="2297"/>
      <c r="N218" s="2297"/>
      <c r="O218" s="2297"/>
      <c r="P218" s="2297"/>
      <c r="Q218" s="2297"/>
      <c r="R218" s="99"/>
      <c r="S218" s="99"/>
      <c r="T218" s="99"/>
      <c r="U218" s="99"/>
      <c r="V218" s="99"/>
      <c r="AF218" s="2297"/>
      <c r="AG218" s="1208"/>
      <c r="AH218" s="1208"/>
      <c r="AI218" s="1223"/>
      <c r="AJ218" s="1223"/>
      <c r="AK218" s="1223"/>
      <c r="AL218" s="1223"/>
      <c r="AM218" s="1223"/>
      <c r="AN218" s="1223"/>
      <c r="AO218" s="1208"/>
      <c r="AP218" s="1223"/>
      <c r="AQ218" s="1208"/>
      <c r="AR218" s="1208"/>
      <c r="AS218" s="1223"/>
      <c r="AT218" s="1223"/>
      <c r="AU218" s="1208"/>
      <c r="AV218" s="1208"/>
      <c r="AW218" s="2297"/>
      <c r="BE218" s="1224"/>
      <c r="BF218" s="1225"/>
      <c r="BR218" s="1224"/>
      <c r="BS218" s="1224"/>
    </row>
    <row r="219" spans="2:71" s="491" customFormat="1">
      <c r="B219" s="2297"/>
      <c r="C219" s="2297"/>
      <c r="D219" s="2297"/>
      <c r="E219" s="2297"/>
      <c r="F219" s="2297"/>
      <c r="G219" s="2297"/>
      <c r="H219" s="2297"/>
      <c r="I219" s="2297"/>
      <c r="J219" s="2297"/>
      <c r="K219" s="2297"/>
      <c r="L219" s="2297"/>
      <c r="M219" s="2297"/>
      <c r="N219" s="2297"/>
      <c r="O219" s="2297"/>
      <c r="P219" s="2297"/>
      <c r="Q219" s="2297"/>
      <c r="R219" s="99"/>
      <c r="S219" s="99"/>
      <c r="T219" s="99"/>
      <c r="U219" s="99"/>
      <c r="V219" s="99"/>
      <c r="AF219" s="2297"/>
      <c r="AG219" s="1208"/>
      <c r="AH219" s="1208"/>
      <c r="AI219" s="1223"/>
      <c r="AJ219" s="1223"/>
      <c r="AK219" s="1223"/>
      <c r="AL219" s="1223"/>
      <c r="AM219" s="1223"/>
      <c r="AN219" s="1223"/>
      <c r="AO219" s="1208"/>
      <c r="AP219" s="1223"/>
      <c r="AQ219" s="1208"/>
      <c r="AR219" s="1208"/>
      <c r="AS219" s="1223"/>
      <c r="AT219" s="1223"/>
      <c r="AU219" s="1208"/>
      <c r="AV219" s="1208"/>
      <c r="AW219" s="2297"/>
      <c r="BE219" s="1224"/>
      <c r="BF219" s="1225"/>
      <c r="BR219" s="1224"/>
      <c r="BS219" s="1224"/>
    </row>
    <row r="220" spans="2:71" s="491" customFormat="1">
      <c r="B220" s="2297"/>
      <c r="C220" s="2297"/>
      <c r="D220" s="2297"/>
      <c r="E220" s="2297"/>
      <c r="F220" s="2297"/>
      <c r="G220" s="2297"/>
      <c r="H220" s="2297"/>
      <c r="I220" s="2297"/>
      <c r="J220" s="2297"/>
      <c r="K220" s="2297"/>
      <c r="L220" s="2297"/>
      <c r="M220" s="2297"/>
      <c r="N220" s="2297"/>
      <c r="O220" s="2297"/>
      <c r="P220" s="2297"/>
      <c r="Q220" s="2297"/>
      <c r="R220" s="99"/>
      <c r="S220" s="99"/>
      <c r="T220" s="99"/>
      <c r="U220" s="99"/>
      <c r="V220" s="99"/>
      <c r="AF220" s="2297"/>
      <c r="AG220" s="1208"/>
      <c r="AH220" s="1208"/>
      <c r="AI220" s="1223"/>
      <c r="AJ220" s="1223"/>
      <c r="AK220" s="1223"/>
      <c r="AL220" s="1223"/>
      <c r="AM220" s="1223"/>
      <c r="AN220" s="1223"/>
      <c r="AO220" s="1208"/>
      <c r="AP220" s="1223"/>
      <c r="AQ220" s="1208"/>
      <c r="AR220" s="1208"/>
      <c r="AS220" s="1223"/>
      <c r="AT220" s="1223"/>
      <c r="AU220" s="1208"/>
      <c r="AV220" s="1208"/>
      <c r="AW220" s="2297"/>
      <c r="BE220" s="1224"/>
      <c r="BF220" s="1225"/>
      <c r="BR220" s="1224"/>
      <c r="BS220" s="1224"/>
    </row>
    <row r="221" spans="2:71" s="491" customFormat="1">
      <c r="B221" s="2297"/>
      <c r="C221" s="2297"/>
      <c r="D221" s="2297"/>
      <c r="E221" s="2297"/>
      <c r="F221" s="2297"/>
      <c r="G221" s="2297"/>
      <c r="H221" s="2297"/>
      <c r="I221" s="2297"/>
      <c r="J221" s="2297"/>
      <c r="K221" s="2297"/>
      <c r="L221" s="2297"/>
      <c r="M221" s="2297"/>
      <c r="N221" s="2297"/>
      <c r="O221" s="2297"/>
      <c r="P221" s="2297"/>
      <c r="Q221" s="2297"/>
      <c r="R221" s="99"/>
      <c r="S221" s="99"/>
      <c r="T221" s="99"/>
      <c r="U221" s="99"/>
      <c r="V221" s="99"/>
      <c r="AF221" s="2297"/>
      <c r="AG221" s="1208"/>
      <c r="AH221" s="1208"/>
      <c r="AI221" s="1223"/>
      <c r="AJ221" s="1223"/>
      <c r="AK221" s="1223"/>
      <c r="AL221" s="1223"/>
      <c r="AM221" s="1223"/>
      <c r="AN221" s="1223"/>
      <c r="AO221" s="1208"/>
      <c r="AP221" s="1223"/>
      <c r="AQ221" s="1208"/>
      <c r="AR221" s="1208"/>
      <c r="AS221" s="1223"/>
      <c r="AT221" s="1223"/>
      <c r="AU221" s="1208"/>
      <c r="AV221" s="1208"/>
      <c r="AW221" s="2297"/>
      <c r="BE221" s="1224"/>
      <c r="BF221" s="1225"/>
      <c r="BR221" s="1224"/>
      <c r="BS221" s="1224"/>
    </row>
    <row r="222" spans="2:71" s="491" customFormat="1">
      <c r="B222" s="2297"/>
      <c r="C222" s="2297"/>
      <c r="D222" s="2297"/>
      <c r="E222" s="2297"/>
      <c r="F222" s="2297"/>
      <c r="G222" s="2297"/>
      <c r="H222" s="2297"/>
      <c r="I222" s="2297"/>
      <c r="J222" s="2297"/>
      <c r="K222" s="2297"/>
      <c r="L222" s="2297"/>
      <c r="M222" s="2297"/>
      <c r="N222" s="2297"/>
      <c r="O222" s="2297"/>
      <c r="P222" s="2297"/>
      <c r="Q222" s="2297"/>
      <c r="R222" s="99"/>
      <c r="S222" s="99"/>
      <c r="T222" s="99"/>
      <c r="U222" s="99"/>
      <c r="V222" s="99"/>
      <c r="AF222" s="2297"/>
      <c r="AG222" s="1208"/>
      <c r="AH222" s="1208"/>
      <c r="AI222" s="1223"/>
      <c r="AJ222" s="1223"/>
      <c r="AK222" s="1223"/>
      <c r="AL222" s="1223"/>
      <c r="AM222" s="1223"/>
      <c r="AN222" s="1223"/>
      <c r="AO222" s="1208"/>
      <c r="AP222" s="1223"/>
      <c r="AQ222" s="1208"/>
      <c r="AR222" s="1208"/>
      <c r="AS222" s="1223"/>
      <c r="AT222" s="1223"/>
      <c r="AU222" s="1208"/>
      <c r="AV222" s="1208"/>
      <c r="AW222" s="2297"/>
      <c r="BE222" s="1224"/>
      <c r="BF222" s="1225"/>
      <c r="BR222" s="1224"/>
      <c r="BS222" s="1224"/>
    </row>
    <row r="223" spans="2:71" s="491" customFormat="1">
      <c r="B223" s="2297"/>
      <c r="C223" s="2297"/>
      <c r="D223" s="2297"/>
      <c r="E223" s="2297"/>
      <c r="F223" s="2297"/>
      <c r="G223" s="2297"/>
      <c r="H223" s="2297"/>
      <c r="I223" s="2297"/>
      <c r="J223" s="2297"/>
      <c r="K223" s="2297"/>
      <c r="L223" s="2297"/>
      <c r="M223" s="2297"/>
      <c r="N223" s="2297"/>
      <c r="O223" s="2297"/>
      <c r="P223" s="2297"/>
      <c r="Q223" s="2297"/>
      <c r="R223" s="99"/>
      <c r="S223" s="99"/>
      <c r="T223" s="99"/>
      <c r="U223" s="99"/>
      <c r="V223" s="99"/>
      <c r="AF223" s="2297"/>
      <c r="AG223" s="1208"/>
      <c r="AH223" s="1208"/>
      <c r="AI223" s="1223"/>
      <c r="AJ223" s="1223"/>
      <c r="AK223" s="1223"/>
      <c r="AL223" s="1223"/>
      <c r="AM223" s="1223"/>
      <c r="AN223" s="1223"/>
      <c r="AO223" s="1208"/>
      <c r="AP223" s="1223"/>
      <c r="AQ223" s="1208"/>
      <c r="AR223" s="1208"/>
      <c r="AS223" s="1223"/>
      <c r="AT223" s="1223"/>
      <c r="AU223" s="1208"/>
      <c r="AV223" s="1208"/>
      <c r="AW223" s="2297"/>
      <c r="BE223" s="1224"/>
      <c r="BF223" s="1225"/>
      <c r="BR223" s="1224"/>
      <c r="BS223" s="1224"/>
    </row>
    <row r="224" spans="2:71" s="491" customFormat="1">
      <c r="B224" s="2297"/>
      <c r="C224" s="2297"/>
      <c r="D224" s="2297"/>
      <c r="E224" s="2297"/>
      <c r="F224" s="2297"/>
      <c r="G224" s="2297"/>
      <c r="H224" s="2297"/>
      <c r="I224" s="2297"/>
      <c r="J224" s="2297"/>
      <c r="K224" s="2297"/>
      <c r="L224" s="2297"/>
      <c r="M224" s="2297"/>
      <c r="N224" s="2297"/>
      <c r="O224" s="2297"/>
      <c r="P224" s="2297"/>
      <c r="Q224" s="2297"/>
      <c r="R224" s="99"/>
      <c r="S224" s="99"/>
      <c r="T224" s="99"/>
      <c r="U224" s="99"/>
      <c r="V224" s="99"/>
      <c r="AF224" s="2297"/>
      <c r="AG224" s="1208"/>
      <c r="AH224" s="1208"/>
      <c r="AI224" s="1223"/>
      <c r="AJ224" s="1223"/>
      <c r="AK224" s="1223"/>
      <c r="AL224" s="1223"/>
      <c r="AM224" s="1223"/>
      <c r="AN224" s="1223"/>
      <c r="AO224" s="1208"/>
      <c r="AP224" s="1223"/>
      <c r="AQ224" s="1208"/>
      <c r="AR224" s="1208"/>
      <c r="AS224" s="1223"/>
      <c r="AT224" s="1223"/>
      <c r="AU224" s="1208"/>
      <c r="AV224" s="1208"/>
      <c r="AW224" s="2297"/>
      <c r="BE224" s="1224"/>
      <c r="BF224" s="1225"/>
      <c r="BR224" s="1224"/>
      <c r="BS224" s="1224"/>
    </row>
    <row r="225" spans="2:71" s="491" customFormat="1">
      <c r="B225" s="2297"/>
      <c r="C225" s="2297"/>
      <c r="D225" s="2297"/>
      <c r="E225" s="2297"/>
      <c r="F225" s="2297"/>
      <c r="G225" s="2297"/>
      <c r="H225" s="2297"/>
      <c r="I225" s="2297"/>
      <c r="J225" s="2297"/>
      <c r="K225" s="2297"/>
      <c r="L225" s="2297"/>
      <c r="M225" s="2297"/>
      <c r="N225" s="2297"/>
      <c r="O225" s="2297"/>
      <c r="P225" s="2297"/>
      <c r="Q225" s="2297"/>
      <c r="R225" s="99"/>
      <c r="S225" s="99"/>
      <c r="T225" s="99"/>
      <c r="U225" s="99"/>
      <c r="V225" s="99"/>
      <c r="AF225" s="2297"/>
      <c r="AG225" s="1208"/>
      <c r="AH225" s="1208"/>
      <c r="AI225" s="1223"/>
      <c r="AJ225" s="1223"/>
      <c r="AK225" s="1223"/>
      <c r="AL225" s="1223"/>
      <c r="AM225" s="1223"/>
      <c r="AN225" s="1223"/>
      <c r="AO225" s="1208"/>
      <c r="AP225" s="1223"/>
      <c r="AQ225" s="1208"/>
      <c r="AR225" s="1208"/>
      <c r="AS225" s="1223"/>
      <c r="AT225" s="1223"/>
      <c r="AU225" s="1208"/>
      <c r="AV225" s="1208"/>
      <c r="AW225" s="2297"/>
      <c r="BE225" s="1224"/>
      <c r="BF225" s="1225"/>
      <c r="BR225" s="1224"/>
      <c r="BS225" s="1224"/>
    </row>
    <row r="226" spans="2:71" s="491" customFormat="1">
      <c r="B226" s="2297"/>
      <c r="C226" s="2297"/>
      <c r="D226" s="2297"/>
      <c r="E226" s="2297"/>
      <c r="F226" s="2297"/>
      <c r="G226" s="2297"/>
      <c r="H226" s="2297"/>
      <c r="I226" s="2297"/>
      <c r="J226" s="2297"/>
      <c r="K226" s="2297"/>
      <c r="L226" s="2297"/>
      <c r="M226" s="2297"/>
      <c r="N226" s="2297"/>
      <c r="O226" s="2297"/>
      <c r="P226" s="2297"/>
      <c r="Q226" s="2297"/>
      <c r="R226" s="99"/>
      <c r="S226" s="99"/>
      <c r="T226" s="99"/>
      <c r="U226" s="99"/>
      <c r="V226" s="99"/>
      <c r="AF226" s="2297"/>
      <c r="AG226" s="1208"/>
      <c r="AH226" s="1208"/>
      <c r="AI226" s="1223"/>
      <c r="AJ226" s="1223"/>
      <c r="AK226" s="1223"/>
      <c r="AL226" s="1223"/>
      <c r="AM226" s="1223"/>
      <c r="AN226" s="1223"/>
      <c r="AO226" s="1208"/>
      <c r="AP226" s="1223"/>
      <c r="AQ226" s="1208"/>
      <c r="AR226" s="1208"/>
      <c r="AS226" s="1223"/>
      <c r="AT226" s="1223"/>
      <c r="AU226" s="1208"/>
      <c r="AV226" s="1208"/>
      <c r="AW226" s="2297"/>
      <c r="BE226" s="1224"/>
      <c r="BF226" s="1225"/>
      <c r="BR226" s="1224"/>
      <c r="BS226" s="1224"/>
    </row>
    <row r="227" spans="2:71" s="491" customFormat="1">
      <c r="B227" s="2297"/>
      <c r="C227" s="2297"/>
      <c r="D227" s="2297"/>
      <c r="E227" s="2297"/>
      <c r="F227" s="2297"/>
      <c r="G227" s="2297"/>
      <c r="H227" s="2297"/>
      <c r="I227" s="2297"/>
      <c r="J227" s="2297"/>
      <c r="K227" s="2297"/>
      <c r="L227" s="2297"/>
      <c r="M227" s="2297"/>
      <c r="N227" s="2297"/>
      <c r="O227" s="2297"/>
      <c r="P227" s="2297"/>
      <c r="Q227" s="2297"/>
      <c r="R227" s="99"/>
      <c r="S227" s="99"/>
      <c r="T227" s="99"/>
      <c r="U227" s="99"/>
      <c r="V227" s="99"/>
      <c r="AF227" s="2297"/>
      <c r="AG227" s="1208"/>
      <c r="AH227" s="1208"/>
      <c r="AI227" s="1223"/>
      <c r="AJ227" s="1223"/>
      <c r="AK227" s="1223"/>
      <c r="AL227" s="1223"/>
      <c r="AM227" s="1223"/>
      <c r="AN227" s="1223"/>
      <c r="AO227" s="1208"/>
      <c r="AP227" s="1223"/>
      <c r="AQ227" s="1208"/>
      <c r="AR227" s="1208"/>
      <c r="AS227" s="1223"/>
      <c r="AT227" s="1223"/>
      <c r="AU227" s="1208"/>
      <c r="AV227" s="1208"/>
      <c r="AW227" s="2297"/>
      <c r="BE227" s="1224"/>
      <c r="BF227" s="1225"/>
      <c r="BR227" s="1224"/>
      <c r="BS227" s="1224"/>
    </row>
    <row r="228" spans="2:71" s="491" customFormat="1">
      <c r="B228" s="2297"/>
      <c r="C228" s="2297"/>
      <c r="D228" s="2297"/>
      <c r="E228" s="2297"/>
      <c r="F228" s="2297"/>
      <c r="G228" s="2297"/>
      <c r="H228" s="2297"/>
      <c r="I228" s="2297"/>
      <c r="J228" s="2297"/>
      <c r="K228" s="2297"/>
      <c r="L228" s="2297"/>
      <c r="M228" s="2297"/>
      <c r="N228" s="2297"/>
      <c r="O228" s="2297"/>
      <c r="P228" s="2297"/>
      <c r="Q228" s="2297"/>
      <c r="R228" s="99"/>
      <c r="S228" s="99"/>
      <c r="T228" s="99"/>
      <c r="U228" s="99"/>
      <c r="V228" s="99"/>
      <c r="AF228" s="2297"/>
      <c r="AG228" s="1208"/>
      <c r="AH228" s="1208"/>
      <c r="AI228" s="1223"/>
      <c r="AJ228" s="1223"/>
      <c r="AK228" s="1223"/>
      <c r="AL228" s="1223"/>
      <c r="AM228" s="1223"/>
      <c r="AN228" s="1223"/>
      <c r="AO228" s="1208"/>
      <c r="AP228" s="1223"/>
      <c r="AQ228" s="1208"/>
      <c r="AR228" s="1208"/>
      <c r="AS228" s="1223"/>
      <c r="AT228" s="1223"/>
      <c r="AU228" s="1208"/>
      <c r="AV228" s="1208"/>
      <c r="AW228" s="2297"/>
      <c r="BE228" s="1224"/>
      <c r="BF228" s="1225"/>
      <c r="BR228" s="1224"/>
      <c r="BS228" s="1224"/>
    </row>
    <row r="229" spans="2:71" s="491" customFormat="1">
      <c r="B229" s="2297"/>
      <c r="C229" s="2297"/>
      <c r="D229" s="2297"/>
      <c r="E229" s="2297"/>
      <c r="F229" s="2297"/>
      <c r="G229" s="2297"/>
      <c r="H229" s="2297"/>
      <c r="I229" s="2297"/>
      <c r="J229" s="2297"/>
      <c r="K229" s="2297"/>
      <c r="L229" s="2297"/>
      <c r="M229" s="2297"/>
      <c r="N229" s="2297"/>
      <c r="O229" s="2297"/>
      <c r="P229" s="2297"/>
      <c r="Q229" s="2297"/>
      <c r="R229" s="99"/>
      <c r="S229" s="99"/>
      <c r="T229" s="99"/>
      <c r="U229" s="99"/>
      <c r="V229" s="99"/>
      <c r="AF229" s="2297"/>
      <c r="AG229" s="1208"/>
      <c r="AH229" s="1208"/>
      <c r="AI229" s="1223"/>
      <c r="AJ229" s="1223"/>
      <c r="AK229" s="1223"/>
      <c r="AL229" s="1223"/>
      <c r="AM229" s="1223"/>
      <c r="AN229" s="1223"/>
      <c r="AO229" s="1208"/>
      <c r="AP229" s="1223"/>
      <c r="AQ229" s="1208"/>
      <c r="AR229" s="1208"/>
      <c r="AS229" s="1223"/>
      <c r="AT229" s="1223"/>
      <c r="AU229" s="1208"/>
      <c r="AV229" s="1208"/>
      <c r="AW229" s="2297"/>
      <c r="BE229" s="1224"/>
      <c r="BF229" s="1225"/>
      <c r="BR229" s="1224"/>
      <c r="BS229" s="1224"/>
    </row>
    <row r="230" spans="2:71" s="491" customFormat="1">
      <c r="B230" s="2297"/>
      <c r="C230" s="2297"/>
      <c r="D230" s="2297"/>
      <c r="E230" s="2297"/>
      <c r="F230" s="2297"/>
      <c r="G230" s="2297"/>
      <c r="H230" s="2297"/>
      <c r="I230" s="2297"/>
      <c r="J230" s="2297"/>
      <c r="K230" s="2297"/>
      <c r="L230" s="2297"/>
      <c r="M230" s="2297"/>
      <c r="N230" s="2297"/>
      <c r="O230" s="2297"/>
      <c r="P230" s="2297"/>
      <c r="Q230" s="2297"/>
      <c r="R230" s="99"/>
      <c r="S230" s="99"/>
      <c r="T230" s="99"/>
      <c r="U230" s="99"/>
      <c r="V230" s="99"/>
      <c r="AF230" s="2297"/>
      <c r="AG230" s="1208"/>
      <c r="AH230" s="1208"/>
      <c r="AI230" s="1223"/>
      <c r="AJ230" s="1223"/>
      <c r="AK230" s="1223"/>
      <c r="AL230" s="1223"/>
      <c r="AM230" s="1223"/>
      <c r="AN230" s="1223"/>
      <c r="AO230" s="1208"/>
      <c r="AP230" s="1223"/>
      <c r="AQ230" s="1208"/>
      <c r="AR230" s="1208"/>
      <c r="AS230" s="1223"/>
      <c r="AT230" s="1223"/>
      <c r="AU230" s="1208"/>
      <c r="AV230" s="1208"/>
      <c r="AW230" s="2297"/>
      <c r="BE230" s="1224"/>
      <c r="BF230" s="1225"/>
      <c r="BR230" s="1224"/>
      <c r="BS230" s="1224"/>
    </row>
    <row r="231" spans="2:71" s="491" customFormat="1">
      <c r="B231" s="2297"/>
      <c r="C231" s="2297"/>
      <c r="D231" s="2297"/>
      <c r="E231" s="2297"/>
      <c r="F231" s="2297"/>
      <c r="G231" s="2297"/>
      <c r="H231" s="2297"/>
      <c r="I231" s="2297"/>
      <c r="J231" s="2297"/>
      <c r="K231" s="2297"/>
      <c r="L231" s="2297"/>
      <c r="M231" s="2297"/>
      <c r="N231" s="2297"/>
      <c r="O231" s="2297"/>
      <c r="P231" s="2297"/>
      <c r="Q231" s="2297"/>
      <c r="R231" s="99"/>
      <c r="S231" s="99"/>
      <c r="T231" s="99"/>
      <c r="U231" s="99"/>
      <c r="V231" s="99"/>
      <c r="AF231" s="2297"/>
      <c r="AG231" s="1208"/>
      <c r="AH231" s="1208"/>
      <c r="AI231" s="1223"/>
      <c r="AJ231" s="1223"/>
      <c r="AK231" s="1223"/>
      <c r="AL231" s="1223"/>
      <c r="AM231" s="1223"/>
      <c r="AN231" s="1223"/>
      <c r="AO231" s="1208"/>
      <c r="AP231" s="1223"/>
      <c r="AQ231" s="1208"/>
      <c r="AR231" s="1208"/>
      <c r="AS231" s="1223"/>
      <c r="AT231" s="1223"/>
      <c r="AU231" s="1208"/>
      <c r="AV231" s="1208"/>
      <c r="AW231" s="2297"/>
      <c r="BE231" s="1224"/>
      <c r="BF231" s="1225"/>
      <c r="BR231" s="1224"/>
      <c r="BS231" s="1224"/>
    </row>
    <row r="232" spans="2:71" s="491" customFormat="1">
      <c r="B232" s="2297"/>
      <c r="C232" s="2297"/>
      <c r="D232" s="2297"/>
      <c r="E232" s="2297"/>
      <c r="F232" s="2297"/>
      <c r="G232" s="2297"/>
      <c r="H232" s="2297"/>
      <c r="I232" s="2297"/>
      <c r="J232" s="2297"/>
      <c r="K232" s="2297"/>
      <c r="L232" s="2297"/>
      <c r="M232" s="2297"/>
      <c r="N232" s="2297"/>
      <c r="O232" s="2297"/>
      <c r="P232" s="2297"/>
      <c r="Q232" s="2297"/>
      <c r="R232" s="99"/>
      <c r="S232" s="99"/>
      <c r="T232" s="99"/>
      <c r="U232" s="99"/>
      <c r="V232" s="99"/>
      <c r="AF232" s="2297"/>
      <c r="AG232" s="1208"/>
      <c r="AH232" s="1208"/>
      <c r="AI232" s="1223"/>
      <c r="AJ232" s="1223"/>
      <c r="AK232" s="1223"/>
      <c r="AL232" s="1223"/>
      <c r="AM232" s="1223"/>
      <c r="AN232" s="1223"/>
      <c r="AO232" s="1208"/>
      <c r="AP232" s="1223"/>
      <c r="AQ232" s="1208"/>
      <c r="AR232" s="1208"/>
      <c r="AS232" s="1223"/>
      <c r="AT232" s="1223"/>
      <c r="AU232" s="1208"/>
      <c r="AV232" s="1208"/>
      <c r="AW232" s="2297"/>
      <c r="BE232" s="1224"/>
      <c r="BF232" s="1225"/>
      <c r="BR232" s="1224"/>
      <c r="BS232" s="1224"/>
    </row>
    <row r="233" spans="2:71" s="491" customFormat="1">
      <c r="B233" s="2297"/>
      <c r="C233" s="2297"/>
      <c r="D233" s="2297"/>
      <c r="E233" s="2297"/>
      <c r="F233" s="2297"/>
      <c r="G233" s="2297"/>
      <c r="H233" s="2297"/>
      <c r="I233" s="2297"/>
      <c r="J233" s="2297"/>
      <c r="K233" s="2297"/>
      <c r="L233" s="2297"/>
      <c r="M233" s="2297"/>
      <c r="N233" s="2297"/>
      <c r="O233" s="2297"/>
      <c r="P233" s="2297"/>
      <c r="Q233" s="2297"/>
      <c r="R233" s="99"/>
      <c r="S233" s="99"/>
      <c r="T233" s="99"/>
      <c r="U233" s="99"/>
      <c r="V233" s="99"/>
      <c r="AF233" s="2297"/>
      <c r="AG233" s="1208"/>
      <c r="AH233" s="1208"/>
      <c r="AI233" s="1223"/>
      <c r="AJ233" s="1223"/>
      <c r="AK233" s="1223"/>
      <c r="AL233" s="1223"/>
      <c r="AM233" s="1223"/>
      <c r="AN233" s="1223"/>
      <c r="AO233" s="1208"/>
      <c r="AP233" s="1223"/>
      <c r="AQ233" s="1208"/>
      <c r="AR233" s="1208"/>
      <c r="AS233" s="1223"/>
      <c r="AT233" s="1223"/>
      <c r="AU233" s="1208"/>
      <c r="AV233" s="1208"/>
      <c r="AW233" s="2297"/>
      <c r="BE233" s="1224"/>
      <c r="BF233" s="1225"/>
      <c r="BR233" s="1224"/>
      <c r="BS233" s="1224"/>
    </row>
    <row r="234" spans="2:71" s="491" customFormat="1">
      <c r="B234" s="2297"/>
      <c r="C234" s="2297"/>
      <c r="D234" s="2297"/>
      <c r="E234" s="2297"/>
      <c r="F234" s="2297"/>
      <c r="G234" s="2297"/>
      <c r="H234" s="2297"/>
      <c r="I234" s="2297"/>
      <c r="J234" s="2297"/>
      <c r="K234" s="2297"/>
      <c r="L234" s="2297"/>
      <c r="M234" s="2297"/>
      <c r="N234" s="2297"/>
      <c r="O234" s="2297"/>
      <c r="P234" s="2297"/>
      <c r="Q234" s="2297"/>
      <c r="R234" s="99"/>
      <c r="S234" s="99"/>
      <c r="T234" s="99"/>
      <c r="U234" s="99"/>
      <c r="V234" s="99"/>
      <c r="AF234" s="2297"/>
      <c r="AG234" s="1208"/>
      <c r="AH234" s="1208"/>
      <c r="AI234" s="1223"/>
      <c r="AJ234" s="1223"/>
      <c r="AK234" s="1223"/>
      <c r="AL234" s="1223"/>
      <c r="AM234" s="1223"/>
      <c r="AN234" s="1223"/>
      <c r="AO234" s="1208"/>
      <c r="AP234" s="1223"/>
      <c r="AQ234" s="1208"/>
      <c r="AR234" s="1208"/>
      <c r="AS234" s="1223"/>
      <c r="AT234" s="1223"/>
      <c r="AU234" s="1208"/>
      <c r="AV234" s="1208"/>
      <c r="AW234" s="2297"/>
      <c r="BE234" s="1224"/>
      <c r="BF234" s="1225"/>
      <c r="BR234" s="1224"/>
      <c r="BS234" s="1224"/>
    </row>
    <row r="235" spans="2:71" s="491" customFormat="1">
      <c r="B235" s="2297"/>
      <c r="C235" s="2297"/>
      <c r="D235" s="2297"/>
      <c r="E235" s="2297"/>
      <c r="F235" s="2297"/>
      <c r="G235" s="2297"/>
      <c r="H235" s="2297"/>
      <c r="I235" s="2297"/>
      <c r="J235" s="2297"/>
      <c r="K235" s="2297"/>
      <c r="L235" s="2297"/>
      <c r="M235" s="2297"/>
      <c r="N235" s="2297"/>
      <c r="O235" s="2297"/>
      <c r="P235" s="2297"/>
      <c r="Q235" s="2297"/>
      <c r="R235" s="99"/>
      <c r="S235" s="99"/>
      <c r="T235" s="99"/>
      <c r="U235" s="99"/>
      <c r="V235" s="99"/>
      <c r="AF235" s="2297"/>
      <c r="AG235" s="1208"/>
      <c r="AH235" s="1208"/>
      <c r="AI235" s="1223"/>
      <c r="AJ235" s="1223"/>
      <c r="AK235" s="1223"/>
      <c r="AL235" s="1223"/>
      <c r="AM235" s="1223"/>
      <c r="AN235" s="1223"/>
      <c r="AO235" s="1208"/>
      <c r="AP235" s="1223"/>
      <c r="AQ235" s="1208"/>
      <c r="AR235" s="1208"/>
      <c r="AS235" s="1223"/>
      <c r="AT235" s="1223"/>
      <c r="AU235" s="1208"/>
      <c r="AV235" s="1208"/>
      <c r="AW235" s="2297"/>
      <c r="BE235" s="1224"/>
      <c r="BF235" s="1225"/>
      <c r="BR235" s="1224"/>
      <c r="BS235" s="1224"/>
    </row>
    <row r="236" spans="2:71" s="491" customFormat="1">
      <c r="B236" s="2297"/>
      <c r="C236" s="2297"/>
      <c r="D236" s="2297"/>
      <c r="E236" s="2297"/>
      <c r="F236" s="2297"/>
      <c r="G236" s="2297"/>
      <c r="H236" s="2297"/>
      <c r="I236" s="2297"/>
      <c r="J236" s="2297"/>
      <c r="K236" s="2297"/>
      <c r="L236" s="2297"/>
      <c r="M236" s="2297"/>
      <c r="N236" s="2297"/>
      <c r="O236" s="2297"/>
      <c r="P236" s="2297"/>
      <c r="Q236" s="2297"/>
      <c r="R236" s="99"/>
      <c r="S236" s="99"/>
      <c r="T236" s="99"/>
      <c r="U236" s="99"/>
      <c r="V236" s="99"/>
      <c r="AF236" s="2297"/>
      <c r="AG236" s="1208"/>
      <c r="AH236" s="1208"/>
      <c r="AI236" s="1223"/>
      <c r="AJ236" s="1223"/>
      <c r="AK236" s="1223"/>
      <c r="AL236" s="1223"/>
      <c r="AM236" s="1223"/>
      <c r="AN236" s="1223"/>
      <c r="AO236" s="1208"/>
      <c r="AP236" s="1223"/>
      <c r="AQ236" s="1208"/>
      <c r="AR236" s="1208"/>
      <c r="AS236" s="1223"/>
      <c r="AT236" s="1223"/>
      <c r="AU236" s="1208"/>
      <c r="AV236" s="1208"/>
      <c r="AW236" s="2297"/>
      <c r="BE236" s="1224"/>
      <c r="BF236" s="1225"/>
      <c r="BR236" s="1224"/>
      <c r="BS236" s="1224"/>
    </row>
    <row r="237" spans="2:71" s="491" customFormat="1">
      <c r="B237" s="2297"/>
      <c r="C237" s="2297"/>
      <c r="D237" s="2297"/>
      <c r="E237" s="2297"/>
      <c r="F237" s="2297"/>
      <c r="G237" s="2297"/>
      <c r="H237" s="2297"/>
      <c r="I237" s="2297"/>
      <c r="J237" s="2297"/>
      <c r="K237" s="2297"/>
      <c r="L237" s="2297"/>
      <c r="M237" s="2297"/>
      <c r="N237" s="2297"/>
      <c r="O237" s="2297"/>
      <c r="P237" s="2297"/>
      <c r="Q237" s="2297"/>
      <c r="R237" s="99"/>
      <c r="S237" s="99"/>
      <c r="T237" s="99"/>
      <c r="U237" s="99"/>
      <c r="V237" s="99"/>
      <c r="AF237" s="2297"/>
      <c r="AG237" s="1208"/>
      <c r="AH237" s="1208"/>
      <c r="AI237" s="1223"/>
      <c r="AJ237" s="1223"/>
      <c r="AK237" s="1223"/>
      <c r="AL237" s="1223"/>
      <c r="AM237" s="1223"/>
      <c r="AN237" s="1223"/>
      <c r="AO237" s="1208"/>
      <c r="AP237" s="1223"/>
      <c r="AQ237" s="1208"/>
      <c r="AR237" s="1208"/>
      <c r="AS237" s="1223"/>
      <c r="AT237" s="1223"/>
      <c r="AU237" s="1208"/>
      <c r="AV237" s="1208"/>
      <c r="AW237" s="2297"/>
      <c r="BE237" s="1224"/>
      <c r="BF237" s="1225"/>
      <c r="BR237" s="1224"/>
      <c r="BS237" s="1224"/>
    </row>
    <row r="238" spans="2:71" s="491" customFormat="1">
      <c r="B238" s="2297"/>
      <c r="C238" s="2297"/>
      <c r="D238" s="2297"/>
      <c r="E238" s="2297"/>
      <c r="F238" s="2297"/>
      <c r="G238" s="2297"/>
      <c r="H238" s="2297"/>
      <c r="I238" s="2297"/>
      <c r="J238" s="2297"/>
      <c r="K238" s="2297"/>
      <c r="L238" s="2297"/>
      <c r="M238" s="2297"/>
      <c r="N238" s="2297"/>
      <c r="O238" s="2297"/>
      <c r="P238" s="2297"/>
      <c r="Q238" s="2297"/>
      <c r="R238" s="99"/>
      <c r="S238" s="99"/>
      <c r="T238" s="99"/>
      <c r="U238" s="99"/>
      <c r="V238" s="99"/>
      <c r="AF238" s="2297"/>
      <c r="AG238" s="1208"/>
      <c r="AH238" s="1208"/>
      <c r="AI238" s="1223"/>
      <c r="AJ238" s="1223"/>
      <c r="AK238" s="1223"/>
      <c r="AL238" s="1223"/>
      <c r="AM238" s="1223"/>
      <c r="AN238" s="1223"/>
      <c r="AO238" s="1208"/>
      <c r="AP238" s="1223"/>
      <c r="AQ238" s="1208"/>
      <c r="AR238" s="1208"/>
      <c r="AS238" s="1223"/>
      <c r="AT238" s="1223"/>
      <c r="AU238" s="1208"/>
      <c r="AV238" s="1208"/>
      <c r="AW238" s="2297"/>
      <c r="BE238" s="1224"/>
      <c r="BF238" s="1225"/>
      <c r="BR238" s="1224"/>
      <c r="BS238" s="1224"/>
    </row>
    <row r="239" spans="2:71" s="491" customFormat="1">
      <c r="B239" s="2297"/>
      <c r="C239" s="2297"/>
      <c r="D239" s="2297"/>
      <c r="E239" s="2297"/>
      <c r="F239" s="2297"/>
      <c r="G239" s="2297"/>
      <c r="H239" s="2297"/>
      <c r="I239" s="2297"/>
      <c r="J239" s="2297"/>
      <c r="K239" s="2297"/>
      <c r="L239" s="2297"/>
      <c r="M239" s="2297"/>
      <c r="N239" s="2297"/>
      <c r="O239" s="2297"/>
      <c r="P239" s="2297"/>
      <c r="Q239" s="2297"/>
      <c r="R239" s="99"/>
      <c r="S239" s="99"/>
      <c r="T239" s="99"/>
      <c r="U239" s="99"/>
      <c r="V239" s="99"/>
      <c r="AF239" s="2297"/>
      <c r="AG239" s="1208"/>
      <c r="AH239" s="1208"/>
      <c r="AI239" s="1223"/>
      <c r="AJ239" s="1223"/>
      <c r="AK239" s="1223"/>
      <c r="AL239" s="1223"/>
      <c r="AM239" s="1223"/>
      <c r="AN239" s="1223"/>
      <c r="AO239" s="1208"/>
      <c r="AP239" s="1223"/>
      <c r="AQ239" s="1208"/>
      <c r="AR239" s="1208"/>
      <c r="AS239" s="1223"/>
      <c r="AT239" s="1223"/>
      <c r="AU239" s="1208"/>
      <c r="AV239" s="1208"/>
      <c r="AW239" s="2297"/>
      <c r="BE239" s="1224"/>
      <c r="BF239" s="1225"/>
      <c r="BR239" s="1224"/>
      <c r="BS239" s="1224"/>
    </row>
    <row r="240" spans="2:71" s="491" customFormat="1">
      <c r="B240" s="2297"/>
      <c r="C240" s="2297"/>
      <c r="D240" s="2297"/>
      <c r="E240" s="2297"/>
      <c r="F240" s="2297"/>
      <c r="G240" s="2297"/>
      <c r="H240" s="2297"/>
      <c r="I240" s="2297"/>
      <c r="J240" s="2297"/>
      <c r="K240" s="2297"/>
      <c r="L240" s="2297"/>
      <c r="M240" s="2297"/>
      <c r="N240" s="2297"/>
      <c r="O240" s="2297"/>
      <c r="P240" s="2297"/>
      <c r="Q240" s="2297"/>
      <c r="R240" s="99"/>
      <c r="S240" s="99"/>
      <c r="T240" s="99"/>
      <c r="U240" s="99"/>
      <c r="V240" s="99"/>
      <c r="AF240" s="2297"/>
      <c r="AG240" s="1208"/>
      <c r="AH240" s="1208"/>
      <c r="AI240" s="1223"/>
      <c r="AJ240" s="1223"/>
      <c r="AK240" s="1223"/>
      <c r="AL240" s="1223"/>
      <c r="AM240" s="1223"/>
      <c r="AN240" s="1223"/>
      <c r="AO240" s="1208"/>
      <c r="AP240" s="1223"/>
      <c r="AQ240" s="1208"/>
      <c r="AR240" s="1208"/>
      <c r="AS240" s="1223"/>
      <c r="AT240" s="1223"/>
      <c r="AU240" s="1208"/>
      <c r="AV240" s="1208"/>
      <c r="AW240" s="2297"/>
      <c r="BE240" s="1224"/>
      <c r="BF240" s="1225"/>
      <c r="BR240" s="1224"/>
      <c r="BS240" s="1224"/>
    </row>
    <row r="241" spans="2:71" s="491" customFormat="1">
      <c r="B241" s="2297"/>
      <c r="C241" s="2297"/>
      <c r="D241" s="2297"/>
      <c r="E241" s="2297"/>
      <c r="F241" s="2297"/>
      <c r="G241" s="2297"/>
      <c r="H241" s="2297"/>
      <c r="I241" s="2297"/>
      <c r="J241" s="2297"/>
      <c r="K241" s="2297"/>
      <c r="L241" s="2297"/>
      <c r="M241" s="2297"/>
      <c r="N241" s="2297"/>
      <c r="O241" s="2297"/>
      <c r="P241" s="2297"/>
      <c r="Q241" s="2297"/>
      <c r="R241" s="99"/>
      <c r="S241" s="99"/>
      <c r="T241" s="99"/>
      <c r="U241" s="99"/>
      <c r="V241" s="99"/>
      <c r="AF241" s="2297"/>
      <c r="AG241" s="1208"/>
      <c r="AH241" s="1208"/>
      <c r="AI241" s="1223"/>
      <c r="AJ241" s="1223"/>
      <c r="AK241" s="1223"/>
      <c r="AL241" s="1223"/>
      <c r="AM241" s="1223"/>
      <c r="AN241" s="1223"/>
      <c r="AO241" s="1208"/>
      <c r="AP241" s="1223"/>
      <c r="AQ241" s="1208"/>
      <c r="AR241" s="1208"/>
      <c r="AS241" s="1223"/>
      <c r="AT241" s="1223"/>
      <c r="AU241" s="1208"/>
      <c r="AV241" s="1208"/>
      <c r="AW241" s="2297"/>
      <c r="BE241" s="1224"/>
      <c r="BF241" s="1225"/>
      <c r="BR241" s="1224"/>
      <c r="BS241" s="1224"/>
    </row>
    <row r="242" spans="2:71" s="491" customFormat="1">
      <c r="B242" s="2297"/>
      <c r="C242" s="2297"/>
      <c r="D242" s="2297"/>
      <c r="E242" s="2297"/>
      <c r="F242" s="2297"/>
      <c r="G242" s="2297"/>
      <c r="H242" s="2297"/>
      <c r="I242" s="2297"/>
      <c r="J242" s="2297"/>
      <c r="K242" s="2297"/>
      <c r="L242" s="2297"/>
      <c r="M242" s="2297"/>
      <c r="N242" s="2297"/>
      <c r="O242" s="2297"/>
      <c r="P242" s="2297"/>
      <c r="Q242" s="2297"/>
      <c r="R242" s="99"/>
      <c r="S242" s="99"/>
      <c r="T242" s="99"/>
      <c r="U242" s="99"/>
      <c r="V242" s="99"/>
      <c r="AF242" s="2297"/>
      <c r="AG242" s="1208"/>
      <c r="AH242" s="1208"/>
      <c r="AI242" s="1223"/>
      <c r="AJ242" s="1223"/>
      <c r="AK242" s="1223"/>
      <c r="AL242" s="1223"/>
      <c r="AM242" s="1223"/>
      <c r="AN242" s="1223"/>
      <c r="AO242" s="1208"/>
      <c r="AP242" s="1223"/>
      <c r="AQ242" s="1208"/>
      <c r="AR242" s="1208"/>
      <c r="AS242" s="1223"/>
      <c r="AT242" s="1223"/>
      <c r="AU242" s="1208"/>
      <c r="AV242" s="1208"/>
      <c r="AW242" s="2297"/>
      <c r="BE242" s="1224"/>
      <c r="BF242" s="1225"/>
      <c r="BR242" s="1224"/>
      <c r="BS242" s="1224"/>
    </row>
    <row r="243" spans="2:71" s="491" customFormat="1">
      <c r="B243" s="2297"/>
      <c r="C243" s="2297"/>
      <c r="D243" s="2297"/>
      <c r="E243" s="2297"/>
      <c r="F243" s="2297"/>
      <c r="G243" s="2297"/>
      <c r="H243" s="2297"/>
      <c r="I243" s="2297"/>
      <c r="J243" s="2297"/>
      <c r="K243" s="2297"/>
      <c r="L243" s="2297"/>
      <c r="M243" s="2297"/>
      <c r="N243" s="2297"/>
      <c r="O243" s="2297"/>
      <c r="P243" s="2297"/>
      <c r="Q243" s="2297"/>
      <c r="R243" s="99"/>
      <c r="S243" s="99"/>
      <c r="T243" s="99"/>
      <c r="U243" s="99"/>
      <c r="V243" s="99"/>
      <c r="AF243" s="2297"/>
      <c r="AG243" s="1208"/>
      <c r="AH243" s="1208"/>
      <c r="AI243" s="1223"/>
      <c r="AJ243" s="1223"/>
      <c r="AK243" s="1223"/>
      <c r="AL243" s="1223"/>
      <c r="AM243" s="1223"/>
      <c r="AN243" s="1223"/>
      <c r="AO243" s="1208"/>
      <c r="AP243" s="1223"/>
      <c r="AQ243" s="1208"/>
      <c r="AR243" s="1208"/>
      <c r="AS243" s="1223"/>
      <c r="AT243" s="1223"/>
      <c r="AU243" s="1208"/>
      <c r="AV243" s="1208"/>
      <c r="AW243" s="2297"/>
      <c r="BE243" s="1224"/>
      <c r="BF243" s="1225"/>
      <c r="BR243" s="1224"/>
      <c r="BS243" s="1224"/>
    </row>
    <row r="244" spans="2:71" s="491" customFormat="1">
      <c r="B244" s="2297"/>
      <c r="C244" s="2297"/>
      <c r="D244" s="2297"/>
      <c r="E244" s="2297"/>
      <c r="F244" s="2297"/>
      <c r="G244" s="2297"/>
      <c r="H244" s="2297"/>
      <c r="I244" s="2297"/>
      <c r="J244" s="2297"/>
      <c r="K244" s="2297"/>
      <c r="L244" s="2297"/>
      <c r="M244" s="2297"/>
      <c r="N244" s="2297"/>
      <c r="O244" s="2297"/>
      <c r="P244" s="2297"/>
      <c r="Q244" s="2297"/>
      <c r="R244" s="99"/>
      <c r="S244" s="99"/>
      <c r="T244" s="99"/>
      <c r="U244" s="99"/>
      <c r="V244" s="99"/>
      <c r="AF244" s="2297"/>
      <c r="AG244" s="1208"/>
      <c r="AH244" s="1208"/>
      <c r="AI244" s="1223"/>
      <c r="AJ244" s="1223"/>
      <c r="AK244" s="1223"/>
      <c r="AL244" s="1223"/>
      <c r="AM244" s="1223"/>
      <c r="AN244" s="1223"/>
      <c r="AO244" s="1208"/>
      <c r="AP244" s="1223"/>
      <c r="AQ244" s="1208"/>
      <c r="AR244" s="1208"/>
      <c r="AS244" s="1223"/>
      <c r="AT244" s="1223"/>
      <c r="AU244" s="1208"/>
      <c r="AV244" s="1208"/>
      <c r="AW244" s="2297"/>
      <c r="BE244" s="1224"/>
      <c r="BF244" s="1225"/>
      <c r="BR244" s="1224"/>
      <c r="BS244" s="1224"/>
    </row>
    <row r="245" spans="2:71" s="491" customFormat="1">
      <c r="B245" s="2297"/>
      <c r="C245" s="2297"/>
      <c r="D245" s="2297"/>
      <c r="E245" s="2297"/>
      <c r="F245" s="2297"/>
      <c r="G245" s="2297"/>
      <c r="H245" s="2297"/>
      <c r="I245" s="2297"/>
      <c r="J245" s="2297"/>
      <c r="K245" s="2297"/>
      <c r="L245" s="2297"/>
      <c r="M245" s="2297"/>
      <c r="N245" s="2297"/>
      <c r="O245" s="2297"/>
      <c r="P245" s="2297"/>
      <c r="Q245" s="2297"/>
      <c r="R245" s="99"/>
      <c r="S245" s="99"/>
      <c r="T245" s="99"/>
      <c r="U245" s="99"/>
      <c r="V245" s="99"/>
      <c r="AF245" s="2297"/>
      <c r="AG245" s="1208"/>
      <c r="AH245" s="1208"/>
      <c r="AI245" s="1223"/>
      <c r="AJ245" s="1223"/>
      <c r="AK245" s="1223"/>
      <c r="AL245" s="1223"/>
      <c r="AM245" s="1223"/>
      <c r="AN245" s="1223"/>
      <c r="AO245" s="1208"/>
      <c r="AP245" s="1223"/>
      <c r="AQ245" s="1208"/>
      <c r="AR245" s="1208"/>
      <c r="AS245" s="1223"/>
      <c r="AT245" s="1223"/>
      <c r="AU245" s="1208"/>
      <c r="AV245" s="1208"/>
      <c r="AW245" s="2297"/>
      <c r="BE245" s="1224"/>
      <c r="BF245" s="1225"/>
      <c r="BR245" s="1224"/>
      <c r="BS245" s="1224"/>
    </row>
    <row r="246" spans="2:71" s="491" customFormat="1">
      <c r="B246" s="2297"/>
      <c r="C246" s="2297"/>
      <c r="D246" s="2297"/>
      <c r="E246" s="2297"/>
      <c r="F246" s="2297"/>
      <c r="G246" s="2297"/>
      <c r="H246" s="2297"/>
      <c r="I246" s="2297"/>
      <c r="J246" s="2297"/>
      <c r="K246" s="2297"/>
      <c r="L246" s="2297"/>
      <c r="M246" s="2297"/>
      <c r="N246" s="2297"/>
      <c r="O246" s="2297"/>
      <c r="P246" s="2297"/>
      <c r="Q246" s="2297"/>
      <c r="R246" s="99"/>
      <c r="S246" s="99"/>
      <c r="T246" s="99"/>
      <c r="U246" s="99"/>
      <c r="V246" s="99"/>
      <c r="AF246" s="2297"/>
      <c r="AG246" s="1208"/>
      <c r="AH246" s="1208"/>
      <c r="AI246" s="1223"/>
      <c r="AJ246" s="1223"/>
      <c r="AK246" s="1223"/>
      <c r="AL246" s="1223"/>
      <c r="AM246" s="1223"/>
      <c r="AN246" s="1223"/>
      <c r="AO246" s="1208"/>
      <c r="AP246" s="1223"/>
      <c r="AQ246" s="1208"/>
      <c r="AR246" s="1208"/>
      <c r="AS246" s="1223"/>
      <c r="AT246" s="1223"/>
      <c r="AU246" s="1208"/>
      <c r="AV246" s="1208"/>
      <c r="AW246" s="2297"/>
      <c r="BE246" s="1224"/>
      <c r="BF246" s="1225"/>
      <c r="BR246" s="1224"/>
      <c r="BS246" s="1224"/>
    </row>
    <row r="247" spans="2:71" s="491" customFormat="1">
      <c r="B247" s="2297"/>
      <c r="C247" s="2297"/>
      <c r="D247" s="2297"/>
      <c r="E247" s="2297"/>
      <c r="F247" s="2297"/>
      <c r="G247" s="2297"/>
      <c r="H247" s="2297"/>
      <c r="I247" s="2297"/>
      <c r="J247" s="2297"/>
      <c r="K247" s="2297"/>
      <c r="L247" s="2297"/>
      <c r="M247" s="2297"/>
      <c r="N247" s="2297"/>
      <c r="O247" s="2297"/>
      <c r="P247" s="2297"/>
      <c r="Q247" s="2297"/>
      <c r="R247" s="99"/>
      <c r="S247" s="99"/>
      <c r="T247" s="99"/>
      <c r="U247" s="99"/>
      <c r="V247" s="99"/>
      <c r="AF247" s="2297"/>
      <c r="AG247" s="1208"/>
      <c r="AH247" s="1208"/>
      <c r="AI247" s="1223"/>
      <c r="AJ247" s="1223"/>
      <c r="AK247" s="1223"/>
      <c r="AL247" s="1223"/>
      <c r="AM247" s="1223"/>
      <c r="AN247" s="1223"/>
      <c r="AO247" s="1208"/>
      <c r="AP247" s="1223"/>
      <c r="AQ247" s="1208"/>
      <c r="AR247" s="1208"/>
      <c r="AS247" s="1223"/>
      <c r="AT247" s="1223"/>
      <c r="AU247" s="1208"/>
      <c r="AV247" s="1208"/>
      <c r="AW247" s="2297"/>
      <c r="BE247" s="1224"/>
      <c r="BF247" s="1225"/>
      <c r="BR247" s="1224"/>
      <c r="BS247" s="1224"/>
    </row>
    <row r="248" spans="2:71" s="491" customFormat="1">
      <c r="B248" s="2297"/>
      <c r="C248" s="2297"/>
      <c r="D248" s="2297"/>
      <c r="E248" s="2297"/>
      <c r="F248" s="2297"/>
      <c r="G248" s="2297"/>
      <c r="H248" s="2297"/>
      <c r="I248" s="2297"/>
      <c r="J248" s="2297"/>
      <c r="K248" s="2297"/>
      <c r="L248" s="2297"/>
      <c r="M248" s="2297"/>
      <c r="N248" s="2297"/>
      <c r="O248" s="2297"/>
      <c r="P248" s="2297"/>
      <c r="Q248" s="2297"/>
      <c r="R248" s="99"/>
      <c r="S248" s="99"/>
      <c r="T248" s="99"/>
      <c r="U248" s="99"/>
      <c r="V248" s="99"/>
      <c r="AF248" s="2297"/>
      <c r="AG248" s="1208"/>
      <c r="AH248" s="1208"/>
      <c r="AI248" s="1223"/>
      <c r="AJ248" s="1223"/>
      <c r="AK248" s="1223"/>
      <c r="AL248" s="1223"/>
      <c r="AM248" s="1223"/>
      <c r="AN248" s="1223"/>
      <c r="AO248" s="1208"/>
      <c r="AP248" s="1223"/>
      <c r="AQ248" s="1208"/>
      <c r="AR248" s="1208"/>
      <c r="AS248" s="1223"/>
      <c r="AT248" s="1223"/>
      <c r="AU248" s="1208"/>
      <c r="AV248" s="1208"/>
      <c r="AW248" s="2297"/>
      <c r="BE248" s="1224"/>
      <c r="BF248" s="1225"/>
      <c r="BR248" s="1224"/>
      <c r="BS248" s="1224"/>
    </row>
    <row r="249" spans="2:71" s="491" customFormat="1">
      <c r="B249" s="2297"/>
      <c r="C249" s="2297"/>
      <c r="D249" s="2297"/>
      <c r="E249" s="2297"/>
      <c r="F249" s="2297"/>
      <c r="G249" s="2297"/>
      <c r="H249" s="2297"/>
      <c r="I249" s="2297"/>
      <c r="J249" s="2297"/>
      <c r="K249" s="2297"/>
      <c r="L249" s="2297"/>
      <c r="M249" s="2297"/>
      <c r="N249" s="2297"/>
      <c r="O249" s="2297"/>
      <c r="P249" s="2297"/>
      <c r="Q249" s="2297"/>
      <c r="R249" s="99"/>
      <c r="S249" s="99"/>
      <c r="T249" s="99"/>
      <c r="U249" s="99"/>
      <c r="V249" s="99"/>
      <c r="AF249" s="2297"/>
      <c r="AG249" s="1208"/>
      <c r="AH249" s="1208"/>
      <c r="AI249" s="1223"/>
      <c r="AJ249" s="1223"/>
      <c r="AK249" s="1223"/>
      <c r="AL249" s="1223"/>
      <c r="AM249" s="1223"/>
      <c r="AN249" s="1223"/>
      <c r="AO249" s="1208"/>
      <c r="AP249" s="1223"/>
      <c r="AQ249" s="1208"/>
      <c r="AR249" s="1208"/>
      <c r="AS249" s="1223"/>
      <c r="AT249" s="1223"/>
      <c r="AU249" s="1208"/>
      <c r="AV249" s="1208"/>
      <c r="AW249" s="2297"/>
      <c r="BE249" s="1224"/>
      <c r="BF249" s="1225"/>
      <c r="BR249" s="1224"/>
      <c r="BS249" s="1224"/>
    </row>
    <row r="250" spans="2:71" s="491" customFormat="1">
      <c r="B250" s="2297"/>
      <c r="C250" s="2297"/>
      <c r="D250" s="2297"/>
      <c r="E250" s="2297"/>
      <c r="F250" s="2297"/>
      <c r="G250" s="2297"/>
      <c r="H250" s="2297"/>
      <c r="I250" s="2297"/>
      <c r="J250" s="2297"/>
      <c r="K250" s="2297"/>
      <c r="L250" s="2297"/>
      <c r="M250" s="2297"/>
      <c r="N250" s="2297"/>
      <c r="O250" s="2297"/>
      <c r="P250" s="2297"/>
      <c r="Q250" s="2297"/>
      <c r="R250" s="99"/>
      <c r="S250" s="99"/>
      <c r="T250" s="99"/>
      <c r="U250" s="99"/>
      <c r="V250" s="99"/>
      <c r="AF250" s="2297"/>
      <c r="AG250" s="1208"/>
      <c r="AH250" s="1208"/>
      <c r="AI250" s="1223"/>
      <c r="AJ250" s="1223"/>
      <c r="AK250" s="1223"/>
      <c r="AL250" s="1223"/>
      <c r="AM250" s="1223"/>
      <c r="AN250" s="1223"/>
      <c r="AO250" s="1208"/>
      <c r="AP250" s="1223"/>
      <c r="AQ250" s="1208"/>
      <c r="AR250" s="1208"/>
      <c r="AS250" s="1223"/>
      <c r="AT250" s="1223"/>
      <c r="AU250" s="1208"/>
      <c r="AV250" s="1208"/>
      <c r="AW250" s="2297"/>
      <c r="BE250" s="1224"/>
      <c r="BF250" s="1225"/>
      <c r="BR250" s="1224"/>
      <c r="BS250" s="1224"/>
    </row>
    <row r="251" spans="2:71" s="491" customFormat="1">
      <c r="B251" s="2297"/>
      <c r="C251" s="2297"/>
      <c r="D251" s="2297"/>
      <c r="E251" s="2297"/>
      <c r="F251" s="2297"/>
      <c r="G251" s="2297"/>
      <c r="H251" s="2297"/>
      <c r="I251" s="2297"/>
      <c r="J251" s="2297"/>
      <c r="K251" s="2297"/>
      <c r="L251" s="2297"/>
      <c r="M251" s="2297"/>
      <c r="N251" s="2297"/>
      <c r="O251" s="2297"/>
      <c r="P251" s="2297"/>
      <c r="Q251" s="2297"/>
      <c r="R251" s="99"/>
      <c r="S251" s="99"/>
      <c r="T251" s="99"/>
      <c r="U251" s="99"/>
      <c r="V251" s="99"/>
      <c r="AF251" s="2297"/>
      <c r="AG251" s="1208"/>
      <c r="AH251" s="1208"/>
      <c r="AI251" s="1223"/>
      <c r="AJ251" s="1223"/>
      <c r="AK251" s="1223"/>
      <c r="AL251" s="1223"/>
      <c r="AM251" s="1223"/>
      <c r="AN251" s="1223"/>
      <c r="AO251" s="1208"/>
      <c r="AP251" s="1223"/>
      <c r="AQ251" s="1208"/>
      <c r="AR251" s="1208"/>
      <c r="AS251" s="1223"/>
      <c r="AT251" s="1223"/>
      <c r="AU251" s="1208"/>
      <c r="AV251" s="1208"/>
      <c r="AW251" s="2297"/>
      <c r="BE251" s="1224"/>
      <c r="BF251" s="1225"/>
      <c r="BR251" s="1224"/>
      <c r="BS251" s="1224"/>
    </row>
    <row r="252" spans="2:71" s="491" customFormat="1">
      <c r="B252" s="2297"/>
      <c r="C252" s="2297"/>
      <c r="D252" s="2297"/>
      <c r="E252" s="2297"/>
      <c r="F252" s="2297"/>
      <c r="G252" s="2297"/>
      <c r="H252" s="2297"/>
      <c r="I252" s="2297"/>
      <c r="J252" s="2297"/>
      <c r="K252" s="2297"/>
      <c r="L252" s="2297"/>
      <c r="M252" s="2297"/>
      <c r="N252" s="2297"/>
      <c r="O252" s="2297"/>
      <c r="P252" s="2297"/>
      <c r="Q252" s="2297"/>
      <c r="R252" s="99"/>
      <c r="S252" s="99"/>
      <c r="T252" s="99"/>
      <c r="U252" s="99"/>
      <c r="V252" s="99"/>
      <c r="AF252" s="2297"/>
      <c r="AG252" s="1208"/>
      <c r="AH252" s="1208"/>
      <c r="AI252" s="1223"/>
      <c r="AJ252" s="1223"/>
      <c r="AK252" s="1223"/>
      <c r="AL252" s="1223"/>
      <c r="AM252" s="1223"/>
      <c r="AN252" s="1223"/>
      <c r="AO252" s="1208"/>
      <c r="AP252" s="1223"/>
      <c r="AQ252" s="1208"/>
      <c r="AR252" s="1208"/>
      <c r="AS252" s="1223"/>
      <c r="AT252" s="1223"/>
      <c r="AU252" s="1208"/>
      <c r="AV252" s="1208"/>
      <c r="AW252" s="2297"/>
      <c r="BE252" s="1224"/>
      <c r="BF252" s="1225"/>
      <c r="BR252" s="1224"/>
      <c r="BS252" s="1224"/>
    </row>
    <row r="253" spans="2:71" s="491" customFormat="1">
      <c r="B253" s="2297"/>
      <c r="C253" s="2297"/>
      <c r="D253" s="2297"/>
      <c r="E253" s="2297"/>
      <c r="F253" s="2297"/>
      <c r="G253" s="2297"/>
      <c r="H253" s="2297"/>
      <c r="I253" s="2297"/>
      <c r="J253" s="2297"/>
      <c r="K253" s="2297"/>
      <c r="L253" s="2297"/>
      <c r="M253" s="2297"/>
      <c r="N253" s="2297"/>
      <c r="O253" s="2297"/>
      <c r="P253" s="2297"/>
      <c r="Q253" s="2297"/>
      <c r="R253" s="99"/>
      <c r="S253" s="99"/>
      <c r="T253" s="99"/>
      <c r="U253" s="99"/>
      <c r="V253" s="99"/>
      <c r="AF253" s="2297"/>
      <c r="AG253" s="1208"/>
      <c r="AH253" s="1208"/>
      <c r="AI253" s="1223"/>
      <c r="AJ253" s="1223"/>
      <c r="AK253" s="1223"/>
      <c r="AL253" s="1223"/>
      <c r="AM253" s="1223"/>
      <c r="AN253" s="1223"/>
      <c r="AO253" s="1208"/>
      <c r="AP253" s="1223"/>
      <c r="AQ253" s="1208"/>
      <c r="AR253" s="1208"/>
      <c r="AS253" s="1223"/>
      <c r="AT253" s="1223"/>
      <c r="AU253" s="1208"/>
      <c r="AV253" s="1208"/>
      <c r="AW253" s="2297"/>
      <c r="BE253" s="1224"/>
      <c r="BF253" s="1225"/>
      <c r="BR253" s="1224"/>
      <c r="BS253" s="1224"/>
    </row>
    <row r="254" spans="2:71" s="491" customFormat="1">
      <c r="B254" s="2297"/>
      <c r="C254" s="2297"/>
      <c r="D254" s="2297"/>
      <c r="E254" s="2297"/>
      <c r="F254" s="2297"/>
      <c r="G254" s="2297"/>
      <c r="H254" s="2297"/>
      <c r="I254" s="2297"/>
      <c r="J254" s="2297"/>
      <c r="K254" s="2297"/>
      <c r="L254" s="2297"/>
      <c r="M254" s="2297"/>
      <c r="N254" s="2297"/>
      <c r="O254" s="2297"/>
      <c r="P254" s="2297"/>
      <c r="Q254" s="2297"/>
      <c r="R254" s="99"/>
      <c r="S254" s="99"/>
      <c r="T254" s="99"/>
      <c r="U254" s="99"/>
      <c r="V254" s="99"/>
      <c r="AF254" s="2297"/>
      <c r="AG254" s="1208"/>
      <c r="AH254" s="1208"/>
      <c r="AI254" s="1223"/>
      <c r="AJ254" s="1223"/>
      <c r="AK254" s="1223"/>
      <c r="AL254" s="1223"/>
      <c r="AM254" s="1223"/>
      <c r="AN254" s="1223"/>
      <c r="AO254" s="1208"/>
      <c r="AP254" s="1223"/>
      <c r="AQ254" s="1208"/>
      <c r="AR254" s="1208"/>
      <c r="AS254" s="1223"/>
      <c r="AT254" s="1223"/>
      <c r="AU254" s="1208"/>
      <c r="AV254" s="1208"/>
      <c r="AW254" s="2297"/>
      <c r="BE254" s="1224"/>
      <c r="BF254" s="1225"/>
      <c r="BR254" s="1224"/>
      <c r="BS254" s="1224"/>
    </row>
    <row r="255" spans="2:71" s="491" customFormat="1">
      <c r="B255" s="2297"/>
      <c r="C255" s="2297"/>
      <c r="D255" s="2297"/>
      <c r="E255" s="2297"/>
      <c r="F255" s="2297"/>
      <c r="G255" s="2297"/>
      <c r="H255" s="2297"/>
      <c r="I255" s="2297"/>
      <c r="J255" s="2297"/>
      <c r="K255" s="2297"/>
      <c r="L255" s="2297"/>
      <c r="M255" s="2297"/>
      <c r="N255" s="2297"/>
      <c r="O255" s="2297"/>
      <c r="P255" s="2297"/>
      <c r="Q255" s="2297"/>
      <c r="R255" s="99"/>
      <c r="S255" s="99"/>
      <c r="T255" s="99"/>
      <c r="U255" s="99"/>
      <c r="V255" s="99"/>
      <c r="AF255" s="2297"/>
      <c r="AG255" s="1208"/>
      <c r="AH255" s="1208"/>
      <c r="AI255" s="1223"/>
      <c r="AJ255" s="1223"/>
      <c r="AK255" s="1223"/>
      <c r="AL255" s="1223"/>
      <c r="AM255" s="1223"/>
      <c r="AN255" s="1223"/>
      <c r="AO255" s="1208"/>
      <c r="AP255" s="1223"/>
      <c r="AQ255" s="1208"/>
      <c r="AR255" s="1208"/>
      <c r="AS255" s="1223"/>
      <c r="AT255" s="1223"/>
      <c r="AU255" s="1208"/>
      <c r="AV255" s="1208"/>
      <c r="AW255" s="2297"/>
      <c r="BE255" s="1224"/>
      <c r="BF255" s="1225"/>
      <c r="BR255" s="1224"/>
      <c r="BS255" s="1224"/>
    </row>
    <row r="256" spans="2:71" s="491" customFormat="1">
      <c r="B256" s="2297"/>
      <c r="C256" s="2297"/>
      <c r="D256" s="2297"/>
      <c r="E256" s="2297"/>
      <c r="F256" s="2297"/>
      <c r="G256" s="2297"/>
      <c r="H256" s="2297"/>
      <c r="I256" s="2297"/>
      <c r="J256" s="2297"/>
      <c r="K256" s="2297"/>
      <c r="L256" s="2297"/>
      <c r="M256" s="2297"/>
      <c r="N256" s="2297"/>
      <c r="O256" s="2297"/>
      <c r="P256" s="2297"/>
      <c r="Q256" s="2297"/>
      <c r="R256" s="99"/>
      <c r="S256" s="99"/>
      <c r="T256" s="99"/>
      <c r="U256" s="99"/>
      <c r="V256" s="99"/>
      <c r="AF256" s="2297"/>
      <c r="AG256" s="1208"/>
      <c r="AH256" s="1208"/>
      <c r="AI256" s="1223"/>
      <c r="AJ256" s="1223"/>
      <c r="AK256" s="1223"/>
      <c r="AL256" s="1223"/>
      <c r="AM256" s="1223"/>
      <c r="AN256" s="1223"/>
      <c r="AO256" s="1208"/>
      <c r="AP256" s="1223"/>
      <c r="AQ256" s="1208"/>
      <c r="AR256" s="1208"/>
      <c r="AS256" s="1223"/>
      <c r="AT256" s="1223"/>
      <c r="AU256" s="1208"/>
      <c r="AV256" s="1208"/>
      <c r="AW256" s="2297"/>
      <c r="BE256" s="1224"/>
      <c r="BF256" s="1225"/>
      <c r="BR256" s="1224"/>
      <c r="BS256" s="1224"/>
    </row>
    <row r="257" spans="2:71" s="491" customFormat="1">
      <c r="B257" s="2297"/>
      <c r="C257" s="2297"/>
      <c r="D257" s="2297"/>
      <c r="E257" s="2297"/>
      <c r="F257" s="2297"/>
      <c r="G257" s="2297"/>
      <c r="H257" s="2297"/>
      <c r="I257" s="2297"/>
      <c r="J257" s="2297"/>
      <c r="K257" s="2297"/>
      <c r="L257" s="2297"/>
      <c r="M257" s="2297"/>
      <c r="N257" s="2297"/>
      <c r="O257" s="2297"/>
      <c r="P257" s="2297"/>
      <c r="Q257" s="2297"/>
      <c r="R257" s="99"/>
      <c r="S257" s="99"/>
      <c r="T257" s="99"/>
      <c r="U257" s="99"/>
      <c r="V257" s="99"/>
      <c r="AF257" s="2297"/>
      <c r="AG257" s="1208"/>
      <c r="AH257" s="1208"/>
      <c r="AI257" s="1223"/>
      <c r="AJ257" s="1223"/>
      <c r="AK257" s="1223"/>
      <c r="AL257" s="1223"/>
      <c r="AM257" s="1223"/>
      <c r="AN257" s="1223"/>
      <c r="AO257" s="1208"/>
      <c r="AP257" s="1223"/>
      <c r="AQ257" s="1208"/>
      <c r="AR257" s="1208"/>
      <c r="AS257" s="1223"/>
      <c r="AT257" s="1223"/>
      <c r="AU257" s="1208"/>
      <c r="AV257" s="1208"/>
      <c r="AW257" s="2297"/>
      <c r="BE257" s="1224"/>
      <c r="BF257" s="1225"/>
      <c r="BR257" s="1224"/>
      <c r="BS257" s="1224"/>
    </row>
    <row r="258" spans="2:71" s="491" customFormat="1">
      <c r="B258" s="2297"/>
      <c r="C258" s="2297"/>
      <c r="D258" s="2297"/>
      <c r="E258" s="2297"/>
      <c r="F258" s="2297"/>
      <c r="G258" s="2297"/>
      <c r="H258" s="2297"/>
      <c r="I258" s="2297"/>
      <c r="J258" s="2297"/>
      <c r="K258" s="2297"/>
      <c r="L258" s="2297"/>
      <c r="M258" s="2297"/>
      <c r="N258" s="2297"/>
      <c r="O258" s="2297"/>
      <c r="P258" s="2297"/>
      <c r="Q258" s="2297"/>
      <c r="R258" s="99"/>
      <c r="S258" s="99"/>
      <c r="T258" s="99"/>
      <c r="U258" s="99"/>
      <c r="V258" s="99"/>
      <c r="AF258" s="2297"/>
      <c r="AG258" s="1208"/>
      <c r="AH258" s="1208"/>
      <c r="AI258" s="1223"/>
      <c r="AJ258" s="1223"/>
      <c r="AK258" s="1223"/>
      <c r="AL258" s="1223"/>
      <c r="AM258" s="1223"/>
      <c r="AN258" s="1223"/>
      <c r="AO258" s="1208"/>
      <c r="AP258" s="1223"/>
      <c r="AQ258" s="1208"/>
      <c r="AR258" s="1208"/>
      <c r="AS258" s="1223"/>
      <c r="AT258" s="1223"/>
      <c r="AU258" s="1208"/>
      <c r="AV258" s="1208"/>
      <c r="AW258" s="2297"/>
      <c r="BE258" s="1224"/>
      <c r="BF258" s="1225"/>
      <c r="BR258" s="1224"/>
      <c r="BS258" s="1224"/>
    </row>
    <row r="259" spans="2:71" s="491" customFormat="1">
      <c r="B259" s="2297"/>
      <c r="C259" s="2297"/>
      <c r="D259" s="2297"/>
      <c r="E259" s="2297"/>
      <c r="F259" s="2297"/>
      <c r="G259" s="2297"/>
      <c r="H259" s="2297"/>
      <c r="I259" s="2297"/>
      <c r="J259" s="2297"/>
      <c r="K259" s="2297"/>
      <c r="L259" s="2297"/>
      <c r="M259" s="2297"/>
      <c r="N259" s="2297"/>
      <c r="O259" s="2297"/>
      <c r="P259" s="2297"/>
      <c r="Q259" s="2297"/>
      <c r="R259" s="99"/>
      <c r="S259" s="99"/>
      <c r="T259" s="99"/>
      <c r="U259" s="99"/>
      <c r="V259" s="99"/>
      <c r="AF259" s="2297"/>
      <c r="AG259" s="1208"/>
      <c r="AH259" s="1208"/>
      <c r="AI259" s="1223"/>
      <c r="AJ259" s="1223"/>
      <c r="AK259" s="1223"/>
      <c r="AL259" s="1223"/>
      <c r="AM259" s="1223"/>
      <c r="AN259" s="1223"/>
      <c r="AO259" s="1208"/>
      <c r="AP259" s="1223"/>
      <c r="AQ259" s="1208"/>
      <c r="AR259" s="1208"/>
      <c r="AS259" s="1223"/>
      <c r="AT259" s="1223"/>
      <c r="AU259" s="1208"/>
      <c r="AV259" s="1208"/>
      <c r="AW259" s="2297"/>
      <c r="BE259" s="1224"/>
      <c r="BF259" s="1225"/>
      <c r="BR259" s="1224"/>
      <c r="BS259" s="1224"/>
    </row>
    <row r="260" spans="2:71" s="491" customFormat="1">
      <c r="B260" s="2297"/>
      <c r="C260" s="2297"/>
      <c r="D260" s="2297"/>
      <c r="E260" s="2297"/>
      <c r="F260" s="2297"/>
      <c r="G260" s="2297"/>
      <c r="H260" s="2297"/>
      <c r="I260" s="2297"/>
      <c r="J260" s="2297"/>
      <c r="K260" s="2297"/>
      <c r="L260" s="2297"/>
      <c r="M260" s="2297"/>
      <c r="N260" s="2297"/>
      <c r="O260" s="2297"/>
      <c r="P260" s="2297"/>
      <c r="Q260" s="2297"/>
      <c r="R260" s="99"/>
      <c r="S260" s="99"/>
      <c r="T260" s="99"/>
      <c r="U260" s="99"/>
      <c r="V260" s="99"/>
      <c r="AF260" s="2297"/>
      <c r="AG260" s="1208"/>
      <c r="AH260" s="1208"/>
      <c r="AI260" s="1223"/>
      <c r="AJ260" s="1223"/>
      <c r="AK260" s="1223"/>
      <c r="AL260" s="1223"/>
      <c r="AM260" s="1223"/>
      <c r="AN260" s="1223"/>
      <c r="AO260" s="1208"/>
      <c r="AP260" s="1223"/>
      <c r="AQ260" s="1208"/>
      <c r="AR260" s="1208"/>
      <c r="AS260" s="1223"/>
      <c r="AT260" s="1223"/>
      <c r="AU260" s="1208"/>
      <c r="AV260" s="1208"/>
      <c r="AW260" s="2297"/>
      <c r="BE260" s="1224"/>
      <c r="BF260" s="1225"/>
      <c r="BR260" s="1224"/>
      <c r="BS260" s="1224"/>
    </row>
    <row r="261" spans="2:71" s="491" customFormat="1">
      <c r="B261" s="2297"/>
      <c r="C261" s="2297"/>
      <c r="D261" s="2297"/>
      <c r="E261" s="2297"/>
      <c r="F261" s="2297"/>
      <c r="G261" s="2297"/>
      <c r="H261" s="2297"/>
      <c r="I261" s="2297"/>
      <c r="J261" s="2297"/>
      <c r="K261" s="2297"/>
      <c r="L261" s="2297"/>
      <c r="M261" s="2297"/>
      <c r="N261" s="2297"/>
      <c r="O261" s="2297"/>
      <c r="P261" s="2297"/>
      <c r="Q261" s="2297"/>
      <c r="R261" s="99"/>
      <c r="S261" s="99"/>
      <c r="T261" s="99"/>
      <c r="U261" s="99"/>
      <c r="V261" s="99"/>
      <c r="AF261" s="2297"/>
      <c r="AG261" s="1208"/>
      <c r="AH261" s="1208"/>
      <c r="AI261" s="1223"/>
      <c r="AJ261" s="1223"/>
      <c r="AK261" s="1223"/>
      <c r="AL261" s="1223"/>
      <c r="AM261" s="1223"/>
      <c r="AN261" s="1223"/>
      <c r="AO261" s="1208"/>
      <c r="AP261" s="1223"/>
      <c r="AQ261" s="1208"/>
      <c r="AR261" s="1208"/>
      <c r="AS261" s="1223"/>
      <c r="AT261" s="1223"/>
      <c r="AU261" s="1208"/>
      <c r="AV261" s="1208"/>
      <c r="AW261" s="2297"/>
      <c r="BE261" s="1224"/>
      <c r="BF261" s="1225"/>
      <c r="BR261" s="1224"/>
      <c r="BS261" s="1224"/>
    </row>
    <row r="262" spans="2:71" s="491" customFormat="1">
      <c r="B262" s="2297"/>
      <c r="C262" s="2297"/>
      <c r="D262" s="2297"/>
      <c r="E262" s="2297"/>
      <c r="F262" s="2297"/>
      <c r="G262" s="2297"/>
      <c r="H262" s="2297"/>
      <c r="I262" s="2297"/>
      <c r="J262" s="2297"/>
      <c r="K262" s="2297"/>
      <c r="L262" s="2297"/>
      <c r="M262" s="2297"/>
      <c r="N262" s="2297"/>
      <c r="O262" s="2297"/>
      <c r="P262" s="2297"/>
      <c r="Q262" s="2297"/>
      <c r="R262" s="99"/>
      <c r="S262" s="99"/>
      <c r="T262" s="99"/>
      <c r="U262" s="99"/>
      <c r="V262" s="99"/>
      <c r="AF262" s="2297"/>
      <c r="AG262" s="1208"/>
      <c r="AH262" s="1208"/>
      <c r="AI262" s="1223"/>
      <c r="AJ262" s="1223"/>
      <c r="AK262" s="1223"/>
      <c r="AL262" s="1223"/>
      <c r="AM262" s="1223"/>
      <c r="AN262" s="1223"/>
      <c r="AO262" s="1208"/>
      <c r="AP262" s="1223"/>
      <c r="AQ262" s="1208"/>
      <c r="AR262" s="1208"/>
      <c r="AS262" s="1223"/>
      <c r="AT262" s="1223"/>
      <c r="AU262" s="1208"/>
      <c r="AV262" s="1208"/>
      <c r="AW262" s="2297"/>
      <c r="BE262" s="1224"/>
      <c r="BF262" s="1225"/>
      <c r="BR262" s="1224"/>
      <c r="BS262" s="1224"/>
    </row>
    <row r="263" spans="2:71" s="491" customFormat="1">
      <c r="B263" s="2297"/>
      <c r="C263" s="2297"/>
      <c r="D263" s="2297"/>
      <c r="E263" s="2297"/>
      <c r="F263" s="2297"/>
      <c r="G263" s="2297"/>
      <c r="H263" s="2297"/>
      <c r="I263" s="2297"/>
      <c r="J263" s="2297"/>
      <c r="K263" s="2297"/>
      <c r="L263" s="2297"/>
      <c r="M263" s="2297"/>
      <c r="N263" s="2297"/>
      <c r="O263" s="2297"/>
      <c r="P263" s="2297"/>
      <c r="Q263" s="2297"/>
      <c r="R263" s="99"/>
      <c r="S263" s="99"/>
      <c r="T263" s="99"/>
      <c r="U263" s="99"/>
      <c r="V263" s="99"/>
      <c r="AF263" s="2297"/>
      <c r="AG263" s="1208"/>
      <c r="AH263" s="1208"/>
      <c r="AI263" s="1223"/>
      <c r="AJ263" s="1223"/>
      <c r="AK263" s="1223"/>
      <c r="AL263" s="1223"/>
      <c r="AM263" s="1223"/>
      <c r="AN263" s="1223"/>
      <c r="AO263" s="1208"/>
      <c r="AP263" s="1223"/>
      <c r="AQ263" s="1208"/>
      <c r="AR263" s="1208"/>
      <c r="AS263" s="1223"/>
      <c r="AT263" s="1223"/>
      <c r="AU263" s="1208"/>
      <c r="AV263" s="1208"/>
      <c r="AW263" s="2297"/>
      <c r="BE263" s="1224"/>
      <c r="BF263" s="1225"/>
      <c r="BR263" s="1224"/>
      <c r="BS263" s="1224"/>
    </row>
    <row r="264" spans="2:71" s="491" customFormat="1">
      <c r="B264" s="2297"/>
      <c r="C264" s="2297"/>
      <c r="D264" s="2297"/>
      <c r="E264" s="2297"/>
      <c r="F264" s="2297"/>
      <c r="G264" s="2297"/>
      <c r="H264" s="2297"/>
      <c r="I264" s="2297"/>
      <c r="J264" s="2297"/>
      <c r="K264" s="2297"/>
      <c r="L264" s="2297"/>
      <c r="M264" s="2297"/>
      <c r="N264" s="2297"/>
      <c r="O264" s="2297"/>
      <c r="P264" s="2297"/>
      <c r="Q264" s="2297"/>
      <c r="R264" s="99"/>
      <c r="S264" s="99"/>
      <c r="T264" s="99"/>
      <c r="U264" s="99"/>
      <c r="V264" s="99"/>
      <c r="AF264" s="2297"/>
      <c r="AG264" s="1208"/>
      <c r="AH264" s="1208"/>
      <c r="AI264" s="1223"/>
      <c r="AJ264" s="1223"/>
      <c r="AK264" s="1223"/>
      <c r="AL264" s="1223"/>
      <c r="AM264" s="1223"/>
      <c r="AN264" s="1223"/>
      <c r="AO264" s="1208"/>
      <c r="AP264" s="1223"/>
      <c r="AQ264" s="1208"/>
      <c r="AR264" s="1208"/>
      <c r="AS264" s="1223"/>
      <c r="AT264" s="1223"/>
      <c r="AU264" s="1208"/>
      <c r="AV264" s="1208"/>
      <c r="AW264" s="2297"/>
      <c r="BE264" s="1224"/>
      <c r="BF264" s="1225"/>
      <c r="BR264" s="1224"/>
      <c r="BS264" s="1224"/>
    </row>
    <row r="265" spans="2:71" s="491" customFormat="1">
      <c r="B265" s="2297"/>
      <c r="C265" s="2297"/>
      <c r="D265" s="2297"/>
      <c r="E265" s="2297"/>
      <c r="F265" s="2297"/>
      <c r="G265" s="2297"/>
      <c r="H265" s="2297"/>
      <c r="I265" s="2297"/>
      <c r="J265" s="2297"/>
      <c r="K265" s="2297"/>
      <c r="L265" s="2297"/>
      <c r="M265" s="2297"/>
      <c r="N265" s="2297"/>
      <c r="O265" s="2297"/>
      <c r="P265" s="2297"/>
      <c r="Q265" s="2297"/>
      <c r="R265" s="99"/>
      <c r="S265" s="99"/>
      <c r="T265" s="99"/>
      <c r="U265" s="99"/>
      <c r="V265" s="99"/>
      <c r="AF265" s="2297"/>
      <c r="AG265" s="1208"/>
      <c r="AH265" s="1208"/>
      <c r="AI265" s="1223"/>
      <c r="AJ265" s="1223"/>
      <c r="AK265" s="1223"/>
      <c r="AL265" s="1223"/>
      <c r="AM265" s="1223"/>
      <c r="AN265" s="1223"/>
      <c r="AO265" s="1208"/>
      <c r="AP265" s="1223"/>
      <c r="AQ265" s="1208"/>
      <c r="AR265" s="1208"/>
      <c r="AS265" s="1223"/>
      <c r="AT265" s="1223"/>
      <c r="AU265" s="1208"/>
      <c r="AV265" s="1208"/>
      <c r="AW265" s="2297"/>
      <c r="BE265" s="1224"/>
      <c r="BF265" s="1225"/>
      <c r="BR265" s="1224"/>
      <c r="BS265" s="1224"/>
    </row>
    <row r="266" spans="2:71" s="491" customFormat="1">
      <c r="B266" s="2297"/>
      <c r="C266" s="2297"/>
      <c r="D266" s="2297"/>
      <c r="E266" s="2297"/>
      <c r="F266" s="2297"/>
      <c r="G266" s="2297"/>
      <c r="H266" s="2297"/>
      <c r="I266" s="2297"/>
      <c r="J266" s="2297"/>
      <c r="K266" s="2297"/>
      <c r="L266" s="2297"/>
      <c r="M266" s="2297"/>
      <c r="N266" s="2297"/>
      <c r="O266" s="2297"/>
      <c r="P266" s="2297"/>
      <c r="Q266" s="2297"/>
      <c r="R266" s="99"/>
      <c r="S266" s="99"/>
      <c r="T266" s="99"/>
      <c r="U266" s="99"/>
      <c r="V266" s="99"/>
      <c r="AF266" s="2297"/>
      <c r="AG266" s="1208"/>
      <c r="AH266" s="1208"/>
      <c r="AI266" s="1223"/>
      <c r="AJ266" s="1223"/>
      <c r="AK266" s="1223"/>
      <c r="AL266" s="1223"/>
      <c r="AM266" s="1223"/>
      <c r="AN266" s="1223"/>
      <c r="AO266" s="1208"/>
      <c r="AP266" s="1223"/>
      <c r="AQ266" s="1208"/>
      <c r="AR266" s="1208"/>
      <c r="AS266" s="1223"/>
      <c r="AT266" s="1223"/>
      <c r="AU266" s="1208"/>
      <c r="AV266" s="1208"/>
      <c r="AW266" s="2297"/>
      <c r="BE266" s="1224"/>
      <c r="BF266" s="1225"/>
      <c r="BR266" s="1224"/>
      <c r="BS266" s="1224"/>
    </row>
    <row r="267" spans="2:71" s="491" customFormat="1">
      <c r="B267" s="2297"/>
      <c r="C267" s="2297"/>
      <c r="D267" s="2297"/>
      <c r="E267" s="2297"/>
      <c r="F267" s="2297"/>
      <c r="G267" s="2297"/>
      <c r="H267" s="2297"/>
      <c r="I267" s="2297"/>
      <c r="J267" s="2297"/>
      <c r="K267" s="2297"/>
      <c r="L267" s="2297"/>
      <c r="M267" s="2297"/>
      <c r="N267" s="2297"/>
      <c r="O267" s="2297"/>
      <c r="P267" s="2297"/>
      <c r="Q267" s="2297"/>
      <c r="R267" s="99"/>
      <c r="S267" s="99"/>
      <c r="T267" s="99"/>
      <c r="U267" s="99"/>
      <c r="V267" s="99"/>
      <c r="AF267" s="2297"/>
      <c r="AG267" s="1208"/>
      <c r="AH267" s="1208"/>
      <c r="AI267" s="1223"/>
      <c r="AJ267" s="1223"/>
      <c r="AK267" s="1223"/>
      <c r="AL267" s="1223"/>
      <c r="AM267" s="1223"/>
      <c r="AN267" s="1223"/>
      <c r="AO267" s="1208"/>
      <c r="AP267" s="1223"/>
      <c r="AQ267" s="1208"/>
      <c r="AR267" s="1208"/>
      <c r="AS267" s="1223"/>
      <c r="AT267" s="1223"/>
      <c r="AU267" s="1208"/>
      <c r="AV267" s="1208"/>
      <c r="AW267" s="2297"/>
      <c r="BE267" s="1224"/>
      <c r="BF267" s="1225"/>
      <c r="BR267" s="1224"/>
      <c r="BS267" s="1224"/>
    </row>
    <row r="268" spans="2:71" s="491" customFormat="1">
      <c r="B268" s="2297"/>
      <c r="C268" s="2297"/>
      <c r="D268" s="2297"/>
      <c r="E268" s="2297"/>
      <c r="F268" s="2297"/>
      <c r="G268" s="2297"/>
      <c r="H268" s="2297"/>
      <c r="I268" s="2297"/>
      <c r="J268" s="2297"/>
      <c r="K268" s="2297"/>
      <c r="L268" s="2297"/>
      <c r="M268" s="2297"/>
      <c r="N268" s="2297"/>
      <c r="O268" s="2297"/>
      <c r="P268" s="2297"/>
      <c r="Q268" s="2297"/>
      <c r="R268" s="99"/>
      <c r="S268" s="99"/>
      <c r="T268" s="99"/>
      <c r="U268" s="99"/>
      <c r="V268" s="99"/>
      <c r="AF268" s="2297"/>
      <c r="AG268" s="1208"/>
      <c r="AH268" s="1208"/>
      <c r="AI268" s="1223"/>
      <c r="AJ268" s="1223"/>
      <c r="AK268" s="1223"/>
      <c r="AL268" s="1223"/>
      <c r="AM268" s="1223"/>
      <c r="AN268" s="1223"/>
      <c r="AO268" s="1208"/>
      <c r="AP268" s="1223"/>
      <c r="AQ268" s="1208"/>
      <c r="AR268" s="1208"/>
      <c r="AS268" s="1223"/>
      <c r="AT268" s="1223"/>
      <c r="AU268" s="1208"/>
      <c r="AV268" s="1208"/>
      <c r="AW268" s="2297"/>
      <c r="BE268" s="1224"/>
      <c r="BF268" s="1225"/>
      <c r="BR268" s="1224"/>
      <c r="BS268" s="1224"/>
    </row>
    <row r="269" spans="2:71" s="491" customFormat="1">
      <c r="B269" s="2297"/>
      <c r="C269" s="2297"/>
      <c r="D269" s="2297"/>
      <c r="E269" s="2297"/>
      <c r="F269" s="2297"/>
      <c r="G269" s="2297"/>
      <c r="H269" s="2297"/>
      <c r="I269" s="2297"/>
      <c r="J269" s="2297"/>
      <c r="K269" s="2297"/>
      <c r="L269" s="2297"/>
      <c r="M269" s="2297"/>
      <c r="N269" s="2297"/>
      <c r="O269" s="2297"/>
      <c r="P269" s="2297"/>
      <c r="Q269" s="2297"/>
      <c r="R269" s="99"/>
      <c r="S269" s="99"/>
      <c r="T269" s="99"/>
      <c r="U269" s="99"/>
      <c r="V269" s="99"/>
      <c r="AF269" s="2297"/>
      <c r="AG269" s="1208"/>
      <c r="AH269" s="1208"/>
      <c r="AI269" s="1223"/>
      <c r="AJ269" s="1223"/>
      <c r="AK269" s="1223"/>
      <c r="AL269" s="1223"/>
      <c r="AM269" s="1223"/>
      <c r="AN269" s="1223"/>
      <c r="AO269" s="1208"/>
      <c r="AP269" s="1223"/>
      <c r="AQ269" s="1208"/>
      <c r="AR269" s="1208"/>
      <c r="AS269" s="1223"/>
      <c r="AT269" s="1223"/>
      <c r="AU269" s="1208"/>
      <c r="AV269" s="1208"/>
      <c r="AW269" s="2297"/>
      <c r="BE269" s="1224"/>
      <c r="BF269" s="1225"/>
      <c r="BR269" s="1224"/>
      <c r="BS269" s="1224"/>
    </row>
    <row r="270" spans="2:71" s="491" customFormat="1">
      <c r="B270" s="2297"/>
      <c r="C270" s="2297"/>
      <c r="D270" s="2297"/>
      <c r="E270" s="2297"/>
      <c r="F270" s="2297"/>
      <c r="G270" s="2297"/>
      <c r="H270" s="2297"/>
      <c r="I270" s="2297"/>
      <c r="J270" s="2297"/>
      <c r="K270" s="2297"/>
      <c r="L270" s="2297"/>
      <c r="M270" s="2297"/>
      <c r="N270" s="2297"/>
      <c r="O270" s="2297"/>
      <c r="P270" s="2297"/>
      <c r="Q270" s="2297"/>
      <c r="R270" s="99"/>
      <c r="S270" s="99"/>
      <c r="T270" s="99"/>
      <c r="U270" s="99"/>
      <c r="V270" s="99"/>
      <c r="AF270" s="2297"/>
      <c r="AG270" s="1208"/>
      <c r="AH270" s="1208"/>
      <c r="AI270" s="1223"/>
      <c r="AJ270" s="1223"/>
      <c r="AK270" s="1223"/>
      <c r="AL270" s="1223"/>
      <c r="AM270" s="1223"/>
      <c r="AN270" s="1223"/>
      <c r="AO270" s="1208"/>
      <c r="AP270" s="1223"/>
      <c r="AQ270" s="1208"/>
      <c r="AR270" s="1208"/>
      <c r="AS270" s="1223"/>
      <c r="AT270" s="1223"/>
      <c r="AU270" s="1208"/>
      <c r="AV270" s="1208"/>
      <c r="AW270" s="2297"/>
      <c r="BE270" s="1224"/>
      <c r="BF270" s="1225"/>
      <c r="BR270" s="1224"/>
      <c r="BS270" s="1224"/>
    </row>
    <row r="271" spans="2:71" s="491" customFormat="1">
      <c r="B271" s="2297"/>
      <c r="C271" s="2297"/>
      <c r="D271" s="2297"/>
      <c r="E271" s="2297"/>
      <c r="F271" s="2297"/>
      <c r="G271" s="2297"/>
      <c r="H271" s="2297"/>
      <c r="I271" s="2297"/>
      <c r="J271" s="2297"/>
      <c r="K271" s="2297"/>
      <c r="L271" s="2297"/>
      <c r="M271" s="2297"/>
      <c r="N271" s="2297"/>
      <c r="O271" s="2297"/>
      <c r="P271" s="2297"/>
      <c r="Q271" s="2297"/>
      <c r="R271" s="99"/>
      <c r="S271" s="99"/>
      <c r="T271" s="99"/>
      <c r="U271" s="99"/>
      <c r="V271" s="99"/>
      <c r="AF271" s="2297"/>
      <c r="AG271" s="1208"/>
      <c r="AH271" s="1208"/>
      <c r="AI271" s="1223"/>
      <c r="AJ271" s="1223"/>
      <c r="AK271" s="1223"/>
      <c r="AL271" s="1223"/>
      <c r="AM271" s="1223"/>
      <c r="AN271" s="1223"/>
      <c r="AO271" s="1208"/>
      <c r="AP271" s="1223"/>
      <c r="AQ271" s="1208"/>
      <c r="AR271" s="1208"/>
      <c r="AS271" s="1223"/>
      <c r="AT271" s="1223"/>
      <c r="AU271" s="1208"/>
      <c r="AV271" s="1208"/>
      <c r="AW271" s="2297"/>
      <c r="BE271" s="1224"/>
      <c r="BF271" s="1225"/>
      <c r="BR271" s="1224"/>
      <c r="BS271" s="1224"/>
    </row>
    <row r="272" spans="2:71" s="491" customFormat="1">
      <c r="B272" s="2297"/>
      <c r="C272" s="2297"/>
      <c r="D272" s="2297"/>
      <c r="E272" s="2297"/>
      <c r="F272" s="2297"/>
      <c r="G272" s="2297"/>
      <c r="H272" s="2297"/>
      <c r="I272" s="2297"/>
      <c r="J272" s="2297"/>
      <c r="K272" s="2297"/>
      <c r="L272" s="2297"/>
      <c r="M272" s="2297"/>
      <c r="N272" s="2297"/>
      <c r="O272" s="2297"/>
      <c r="P272" s="2297"/>
      <c r="Q272" s="2297"/>
      <c r="R272" s="99"/>
      <c r="S272" s="99"/>
      <c r="T272" s="99"/>
      <c r="U272" s="99"/>
      <c r="V272" s="99"/>
      <c r="AF272" s="2297"/>
      <c r="AG272" s="1208"/>
      <c r="AH272" s="1208"/>
      <c r="AI272" s="1223"/>
      <c r="AJ272" s="1223"/>
      <c r="AK272" s="1223"/>
      <c r="AL272" s="1223"/>
      <c r="AM272" s="1223"/>
      <c r="AN272" s="1223"/>
      <c r="AO272" s="1208"/>
      <c r="AP272" s="1223"/>
      <c r="AQ272" s="1208"/>
      <c r="AR272" s="1208"/>
      <c r="AS272" s="1223"/>
      <c r="AT272" s="1223"/>
      <c r="AU272" s="1208"/>
      <c r="AV272" s="1208"/>
      <c r="AW272" s="2297"/>
      <c r="BE272" s="1224"/>
      <c r="BF272" s="1225"/>
      <c r="BR272" s="1224"/>
      <c r="BS272" s="1224"/>
    </row>
    <row r="273" spans="2:71" s="491" customFormat="1">
      <c r="B273" s="2297"/>
      <c r="C273" s="2297"/>
      <c r="D273" s="2297"/>
      <c r="E273" s="2297"/>
      <c r="F273" s="2297"/>
      <c r="G273" s="2297"/>
      <c r="H273" s="2297"/>
      <c r="I273" s="2297"/>
      <c r="J273" s="2297"/>
      <c r="K273" s="2297"/>
      <c r="L273" s="2297"/>
      <c r="M273" s="2297"/>
      <c r="N273" s="2297"/>
      <c r="O273" s="2297"/>
      <c r="P273" s="2297"/>
      <c r="Q273" s="2297"/>
      <c r="R273" s="99"/>
      <c r="S273" s="99"/>
      <c r="T273" s="99"/>
      <c r="U273" s="99"/>
      <c r="V273" s="99"/>
      <c r="AF273" s="2297"/>
      <c r="AG273" s="1208"/>
      <c r="AH273" s="1208"/>
      <c r="AI273" s="1223"/>
      <c r="AJ273" s="1223"/>
      <c r="AK273" s="1223"/>
      <c r="AL273" s="1223"/>
      <c r="AM273" s="1223"/>
      <c r="AN273" s="1223"/>
      <c r="AO273" s="1208"/>
      <c r="AP273" s="1223"/>
      <c r="AQ273" s="1208"/>
      <c r="AR273" s="1208"/>
      <c r="AS273" s="1223"/>
      <c r="AT273" s="1223"/>
      <c r="AU273" s="1208"/>
      <c r="AV273" s="1208"/>
      <c r="AW273" s="2297"/>
      <c r="BE273" s="1224"/>
      <c r="BF273" s="1225"/>
      <c r="BR273" s="1224"/>
      <c r="BS273" s="1224"/>
    </row>
    <row r="274" spans="2:71" s="491" customFormat="1">
      <c r="B274" s="2297"/>
      <c r="C274" s="2297"/>
      <c r="D274" s="2297"/>
      <c r="E274" s="2297"/>
      <c r="F274" s="2297"/>
      <c r="G274" s="2297"/>
      <c r="H274" s="2297"/>
      <c r="I274" s="2297"/>
      <c r="J274" s="2297"/>
      <c r="K274" s="2297"/>
      <c r="L274" s="2297"/>
      <c r="M274" s="2297"/>
      <c r="N274" s="2297"/>
      <c r="O274" s="2297"/>
      <c r="P274" s="2297"/>
      <c r="Q274" s="2297"/>
      <c r="R274" s="99"/>
      <c r="S274" s="99"/>
      <c r="T274" s="99"/>
      <c r="U274" s="99"/>
      <c r="V274" s="99"/>
      <c r="AF274" s="2297"/>
      <c r="AG274" s="1208"/>
      <c r="AH274" s="1208"/>
      <c r="AI274" s="1223"/>
      <c r="AJ274" s="1223"/>
      <c r="AK274" s="1223"/>
      <c r="AL274" s="1223"/>
      <c r="AM274" s="1223"/>
      <c r="AN274" s="1223"/>
      <c r="AO274" s="1208"/>
      <c r="AP274" s="1223"/>
      <c r="AQ274" s="1208"/>
      <c r="AR274" s="1208"/>
      <c r="AS274" s="1223"/>
      <c r="AT274" s="1223"/>
      <c r="AU274" s="1208"/>
      <c r="AV274" s="1208"/>
      <c r="AW274" s="2297"/>
      <c r="BE274" s="1224"/>
      <c r="BF274" s="1225"/>
      <c r="BR274" s="1224"/>
      <c r="BS274" s="1224"/>
    </row>
    <row r="275" spans="2:71" s="491" customFormat="1">
      <c r="B275" s="2297"/>
      <c r="C275" s="2297"/>
      <c r="D275" s="2297"/>
      <c r="E275" s="2297"/>
      <c r="F275" s="2297"/>
      <c r="G275" s="2297"/>
      <c r="H275" s="2297"/>
      <c r="I275" s="2297"/>
      <c r="J275" s="2297"/>
      <c r="K275" s="2297"/>
      <c r="L275" s="2297"/>
      <c r="M275" s="2297"/>
      <c r="N275" s="2297"/>
      <c r="O275" s="2297"/>
      <c r="P275" s="2297"/>
      <c r="Q275" s="2297"/>
      <c r="R275" s="99"/>
      <c r="S275" s="99"/>
      <c r="T275" s="99"/>
      <c r="U275" s="99"/>
      <c r="V275" s="99"/>
      <c r="AF275" s="2297"/>
      <c r="AG275" s="1208"/>
      <c r="AH275" s="1208"/>
      <c r="AI275" s="1223"/>
      <c r="AJ275" s="1223"/>
      <c r="AK275" s="1223"/>
      <c r="AL275" s="1223"/>
      <c r="AM275" s="1223"/>
      <c r="AN275" s="1223"/>
      <c r="AO275" s="1208"/>
      <c r="AP275" s="1223"/>
      <c r="AQ275" s="1208"/>
      <c r="AR275" s="1208"/>
      <c r="AS275" s="1223"/>
      <c r="AT275" s="1223"/>
      <c r="AU275" s="1208"/>
      <c r="AV275" s="1208"/>
      <c r="AW275" s="2297"/>
      <c r="BE275" s="1224"/>
      <c r="BF275" s="1225"/>
      <c r="BR275" s="1224"/>
      <c r="BS275" s="1224"/>
    </row>
    <row r="276" spans="2:71" s="491" customFormat="1">
      <c r="B276" s="2297"/>
      <c r="C276" s="2297"/>
      <c r="D276" s="2297"/>
      <c r="E276" s="2297"/>
      <c r="F276" s="2297"/>
      <c r="G276" s="2297"/>
      <c r="H276" s="2297"/>
      <c r="I276" s="2297"/>
      <c r="J276" s="2297"/>
      <c r="K276" s="2297"/>
      <c r="L276" s="2297"/>
      <c r="M276" s="2297"/>
      <c r="N276" s="2297"/>
      <c r="O276" s="2297"/>
      <c r="P276" s="2297"/>
      <c r="Q276" s="2297"/>
      <c r="R276" s="99"/>
      <c r="S276" s="99"/>
      <c r="T276" s="99"/>
      <c r="U276" s="99"/>
      <c r="V276" s="99"/>
      <c r="AF276" s="2297"/>
      <c r="AG276" s="1208"/>
      <c r="AH276" s="1208"/>
      <c r="AI276" s="1223"/>
      <c r="AJ276" s="1223"/>
      <c r="AK276" s="1223"/>
      <c r="AL276" s="1223"/>
      <c r="AM276" s="1223"/>
      <c r="AN276" s="1223"/>
      <c r="AO276" s="1208"/>
      <c r="AP276" s="1223"/>
      <c r="AQ276" s="1208"/>
      <c r="AR276" s="1208"/>
      <c r="AS276" s="1223"/>
      <c r="AT276" s="1223"/>
      <c r="AU276" s="1208"/>
      <c r="AV276" s="1208"/>
      <c r="AW276" s="2297"/>
      <c r="BE276" s="1224"/>
      <c r="BF276" s="1225"/>
      <c r="BR276" s="1224"/>
      <c r="BS276" s="1224"/>
    </row>
    <row r="277" spans="2:71" s="491" customFormat="1">
      <c r="B277" s="2297"/>
      <c r="C277" s="2297"/>
      <c r="D277" s="2297"/>
      <c r="E277" s="2297"/>
      <c r="F277" s="2297"/>
      <c r="G277" s="2297"/>
      <c r="H277" s="2297"/>
      <c r="I277" s="2297"/>
      <c r="J277" s="2297"/>
      <c r="K277" s="2297"/>
      <c r="L277" s="2297"/>
      <c r="M277" s="2297"/>
      <c r="N277" s="2297"/>
      <c r="O277" s="2297"/>
      <c r="P277" s="2297"/>
      <c r="Q277" s="2297"/>
      <c r="R277" s="99"/>
      <c r="S277" s="99"/>
      <c r="T277" s="99"/>
      <c r="U277" s="99"/>
      <c r="V277" s="99"/>
      <c r="AF277" s="2297"/>
      <c r="AG277" s="1208"/>
      <c r="AH277" s="1208"/>
      <c r="AI277" s="1223"/>
      <c r="AJ277" s="1223"/>
      <c r="AK277" s="1223"/>
      <c r="AL277" s="1223"/>
      <c r="AM277" s="1223"/>
      <c r="AN277" s="1223"/>
      <c r="AO277" s="1208"/>
      <c r="AP277" s="1223"/>
      <c r="AQ277" s="1208"/>
      <c r="AR277" s="1208"/>
      <c r="AS277" s="1223"/>
      <c r="AT277" s="1223"/>
      <c r="AU277" s="1208"/>
      <c r="AV277" s="1208"/>
      <c r="AW277" s="2297"/>
      <c r="BE277" s="1224"/>
      <c r="BF277" s="1225"/>
      <c r="BR277" s="1224"/>
      <c r="BS277" s="1224"/>
    </row>
    <row r="278" spans="2:71" s="491" customFormat="1">
      <c r="B278" s="2297"/>
      <c r="C278" s="2297"/>
      <c r="D278" s="2297"/>
      <c r="E278" s="2297"/>
      <c r="F278" s="2297"/>
      <c r="G278" s="2297"/>
      <c r="H278" s="2297"/>
      <c r="I278" s="2297"/>
      <c r="J278" s="2297"/>
      <c r="K278" s="2297"/>
      <c r="L278" s="2297"/>
      <c r="M278" s="2297"/>
      <c r="N278" s="2297"/>
      <c r="O278" s="2297"/>
      <c r="P278" s="2297"/>
      <c r="Q278" s="2297"/>
      <c r="R278" s="99"/>
      <c r="S278" s="99"/>
      <c r="T278" s="99"/>
      <c r="U278" s="99"/>
      <c r="V278" s="99"/>
      <c r="AF278" s="2297"/>
      <c r="AG278" s="1208"/>
      <c r="AH278" s="1208"/>
      <c r="AI278" s="1223"/>
      <c r="AJ278" s="1223"/>
      <c r="AK278" s="1223"/>
      <c r="AL278" s="1223"/>
      <c r="AM278" s="1223"/>
      <c r="AN278" s="1223"/>
      <c r="AO278" s="1208"/>
      <c r="AP278" s="1223"/>
      <c r="AQ278" s="1208"/>
      <c r="AR278" s="1208"/>
      <c r="AS278" s="1223"/>
      <c r="AT278" s="1223"/>
      <c r="AU278" s="1208"/>
      <c r="AV278" s="1208"/>
      <c r="AW278" s="2297"/>
      <c r="BE278" s="1224"/>
      <c r="BF278" s="1225"/>
      <c r="BR278" s="1224"/>
      <c r="BS278" s="1224"/>
    </row>
    <row r="279" spans="2:71" s="491" customFormat="1">
      <c r="B279" s="2297"/>
      <c r="C279" s="2297"/>
      <c r="D279" s="2297"/>
      <c r="E279" s="2297"/>
      <c r="F279" s="2297"/>
      <c r="G279" s="2297"/>
      <c r="H279" s="2297"/>
      <c r="I279" s="2297"/>
      <c r="J279" s="2297"/>
      <c r="K279" s="2297"/>
      <c r="L279" s="2297"/>
      <c r="M279" s="2297"/>
      <c r="N279" s="2297"/>
      <c r="O279" s="2297"/>
      <c r="P279" s="2297"/>
      <c r="Q279" s="2297"/>
      <c r="R279" s="99"/>
      <c r="S279" s="99"/>
      <c r="T279" s="99"/>
      <c r="U279" s="99"/>
      <c r="V279" s="99"/>
      <c r="AF279" s="2297"/>
      <c r="AG279" s="1208"/>
      <c r="AH279" s="1208"/>
      <c r="AI279" s="1223"/>
      <c r="AJ279" s="1223"/>
      <c r="AK279" s="1223"/>
      <c r="AL279" s="1223"/>
      <c r="AM279" s="1223"/>
      <c r="AN279" s="1223"/>
      <c r="AO279" s="1208"/>
      <c r="AP279" s="1223"/>
      <c r="AQ279" s="1208"/>
      <c r="AR279" s="1208"/>
      <c r="AS279" s="1223"/>
      <c r="AT279" s="1223"/>
      <c r="AU279" s="1208"/>
      <c r="AV279" s="1208"/>
      <c r="AW279" s="2297"/>
      <c r="BE279" s="1224"/>
      <c r="BF279" s="1225"/>
      <c r="BR279" s="1224"/>
      <c r="BS279" s="1224"/>
    </row>
    <row r="280" spans="2:71" s="491" customFormat="1">
      <c r="B280" s="2297"/>
      <c r="C280" s="2297"/>
      <c r="D280" s="2297"/>
      <c r="E280" s="2297"/>
      <c r="F280" s="2297"/>
      <c r="G280" s="2297"/>
      <c r="H280" s="2297"/>
      <c r="I280" s="2297"/>
      <c r="J280" s="2297"/>
      <c r="K280" s="2297"/>
      <c r="L280" s="2297"/>
      <c r="M280" s="2297"/>
      <c r="N280" s="2297"/>
      <c r="O280" s="2297"/>
      <c r="P280" s="2297"/>
      <c r="Q280" s="2297"/>
      <c r="R280" s="99"/>
      <c r="S280" s="99"/>
      <c r="T280" s="99"/>
      <c r="U280" s="99"/>
      <c r="V280" s="99"/>
      <c r="AF280" s="2297"/>
      <c r="AG280" s="1208"/>
      <c r="AH280" s="1208"/>
      <c r="AI280" s="1223"/>
      <c r="AJ280" s="1223"/>
      <c r="AK280" s="1223"/>
      <c r="AL280" s="1223"/>
      <c r="AM280" s="1223"/>
      <c r="AN280" s="1223"/>
      <c r="AO280" s="1208"/>
      <c r="AP280" s="1223"/>
      <c r="AQ280" s="1208"/>
      <c r="AR280" s="1208"/>
      <c r="AS280" s="1223"/>
      <c r="AT280" s="1223"/>
      <c r="AU280" s="1208"/>
      <c r="AV280" s="1208"/>
      <c r="AW280" s="2297"/>
      <c r="BE280" s="1224"/>
      <c r="BF280" s="1225"/>
      <c r="BR280" s="1224"/>
      <c r="BS280" s="1224"/>
    </row>
    <row r="281" spans="2:71" s="491" customFormat="1">
      <c r="B281" s="2297"/>
      <c r="C281" s="2297"/>
      <c r="D281" s="2297"/>
      <c r="E281" s="2297"/>
      <c r="F281" s="2297"/>
      <c r="G281" s="2297"/>
      <c r="H281" s="2297"/>
      <c r="I281" s="2297"/>
      <c r="J281" s="2297"/>
      <c r="K281" s="2297"/>
      <c r="L281" s="2297"/>
      <c r="M281" s="2297"/>
      <c r="N281" s="2297"/>
      <c r="O281" s="2297"/>
      <c r="P281" s="2297"/>
      <c r="Q281" s="2297"/>
      <c r="R281" s="99"/>
      <c r="S281" s="99"/>
      <c r="T281" s="99"/>
      <c r="U281" s="99"/>
      <c r="V281" s="99"/>
      <c r="AF281" s="2297"/>
      <c r="AG281" s="1208"/>
      <c r="AH281" s="1208"/>
      <c r="AI281" s="1223"/>
      <c r="AJ281" s="1223"/>
      <c r="AK281" s="1223"/>
      <c r="AL281" s="1223"/>
      <c r="AM281" s="1223"/>
      <c r="AN281" s="1223"/>
      <c r="AO281" s="1208"/>
      <c r="AP281" s="1223"/>
      <c r="AQ281" s="1208"/>
      <c r="AR281" s="1208"/>
      <c r="AS281" s="1223"/>
      <c r="AT281" s="1223"/>
      <c r="AU281" s="1208"/>
      <c r="AV281" s="1208"/>
      <c r="AW281" s="2297"/>
      <c r="BE281" s="1224"/>
      <c r="BF281" s="1225"/>
      <c r="BR281" s="1224"/>
      <c r="BS281" s="1224"/>
    </row>
    <row r="282" spans="2:71" s="491" customFormat="1">
      <c r="B282" s="2297"/>
      <c r="C282" s="2297"/>
      <c r="D282" s="2297"/>
      <c r="E282" s="2297"/>
      <c r="F282" s="2297"/>
      <c r="G282" s="2297"/>
      <c r="H282" s="2297"/>
      <c r="I282" s="2297"/>
      <c r="J282" s="2297"/>
      <c r="K282" s="2297"/>
      <c r="L282" s="2297"/>
      <c r="M282" s="2297"/>
      <c r="N282" s="2297"/>
      <c r="O282" s="2297"/>
      <c r="P282" s="2297"/>
      <c r="Q282" s="2297"/>
      <c r="R282" s="99"/>
      <c r="S282" s="99"/>
      <c r="T282" s="99"/>
      <c r="U282" s="99"/>
      <c r="V282" s="99"/>
      <c r="AF282" s="2297"/>
      <c r="AG282" s="1208"/>
      <c r="AH282" s="1208"/>
      <c r="AI282" s="1223"/>
      <c r="AJ282" s="1223"/>
      <c r="AK282" s="1223"/>
      <c r="AL282" s="1223"/>
      <c r="AM282" s="1223"/>
      <c r="AN282" s="1223"/>
      <c r="AO282" s="1208"/>
      <c r="AP282" s="1223"/>
      <c r="AQ282" s="1208"/>
      <c r="AR282" s="1208"/>
      <c r="AS282" s="1223"/>
      <c r="AT282" s="1223"/>
      <c r="AU282" s="1208"/>
      <c r="AV282" s="1208"/>
      <c r="AW282" s="2297"/>
      <c r="BE282" s="1224"/>
      <c r="BF282" s="1225"/>
      <c r="BR282" s="1224"/>
      <c r="BS282" s="1224"/>
    </row>
    <row r="283" spans="2:71" s="491" customFormat="1">
      <c r="B283" s="2297"/>
      <c r="C283" s="2297"/>
      <c r="D283" s="2297"/>
      <c r="E283" s="2297"/>
      <c r="F283" s="2297"/>
      <c r="G283" s="2297"/>
      <c r="H283" s="2297"/>
      <c r="I283" s="2297"/>
      <c r="J283" s="2297"/>
      <c r="K283" s="2297"/>
      <c r="L283" s="2297"/>
      <c r="M283" s="2297"/>
      <c r="N283" s="2297"/>
      <c r="O283" s="2297"/>
      <c r="P283" s="2297"/>
      <c r="Q283" s="2297"/>
      <c r="R283" s="99"/>
      <c r="S283" s="99"/>
      <c r="T283" s="99"/>
      <c r="U283" s="99"/>
      <c r="V283" s="99"/>
      <c r="AF283" s="2297"/>
      <c r="AG283" s="1208"/>
      <c r="AH283" s="1208"/>
      <c r="AI283" s="1223"/>
      <c r="AJ283" s="1223"/>
      <c r="AK283" s="1223"/>
      <c r="AL283" s="1223"/>
      <c r="AM283" s="1223"/>
      <c r="AN283" s="1223"/>
      <c r="AO283" s="1208"/>
      <c r="AP283" s="1223"/>
      <c r="AQ283" s="1208"/>
      <c r="AR283" s="1208"/>
      <c r="AS283" s="1223"/>
      <c r="AT283" s="1223"/>
      <c r="AU283" s="1208"/>
      <c r="AV283" s="1208"/>
      <c r="AW283" s="2297"/>
      <c r="BE283" s="1224"/>
      <c r="BF283" s="1225"/>
      <c r="BR283" s="1224"/>
      <c r="BS283" s="1224"/>
    </row>
    <row r="284" spans="2:71" s="491" customFormat="1">
      <c r="B284" s="2297"/>
      <c r="C284" s="2297"/>
      <c r="D284" s="2297"/>
      <c r="E284" s="2297"/>
      <c r="F284" s="2297"/>
      <c r="G284" s="2297"/>
      <c r="H284" s="2297"/>
      <c r="I284" s="2297"/>
      <c r="J284" s="2297"/>
      <c r="K284" s="2297"/>
      <c r="L284" s="2297"/>
      <c r="M284" s="2297"/>
      <c r="N284" s="2297"/>
      <c r="O284" s="2297"/>
      <c r="P284" s="2297"/>
      <c r="Q284" s="2297"/>
      <c r="R284" s="99"/>
      <c r="S284" s="99"/>
      <c r="T284" s="99"/>
      <c r="U284" s="99"/>
      <c r="V284" s="99"/>
      <c r="AF284" s="2297"/>
      <c r="AG284" s="1208"/>
      <c r="AH284" s="1208"/>
      <c r="AI284" s="1223"/>
      <c r="AJ284" s="1223"/>
      <c r="AK284" s="1223"/>
      <c r="AL284" s="1223"/>
      <c r="AM284" s="1223"/>
      <c r="AN284" s="1223"/>
      <c r="AO284" s="1208"/>
      <c r="AP284" s="1223"/>
      <c r="AQ284" s="1208"/>
      <c r="AR284" s="1208"/>
      <c r="AS284" s="1223"/>
      <c r="AT284" s="1223"/>
      <c r="AU284" s="1208"/>
      <c r="AV284" s="1208"/>
      <c r="AW284" s="2297"/>
      <c r="BE284" s="1224"/>
      <c r="BF284" s="1225"/>
      <c r="BR284" s="1224"/>
      <c r="BS284" s="1224"/>
    </row>
    <row r="285" spans="2:71" s="491" customFormat="1">
      <c r="B285" s="2297"/>
      <c r="C285" s="2297"/>
      <c r="D285" s="2297"/>
      <c r="E285" s="2297"/>
      <c r="F285" s="2297"/>
      <c r="G285" s="2297"/>
      <c r="H285" s="2297"/>
      <c r="I285" s="2297"/>
      <c r="J285" s="2297"/>
      <c r="K285" s="2297"/>
      <c r="L285" s="2297"/>
      <c r="M285" s="2297"/>
      <c r="N285" s="2297"/>
      <c r="O285" s="2297"/>
      <c r="P285" s="2297"/>
      <c r="Q285" s="2297"/>
      <c r="R285" s="99"/>
      <c r="S285" s="99"/>
      <c r="T285" s="99"/>
      <c r="U285" s="99"/>
      <c r="V285" s="99"/>
      <c r="AF285" s="2297"/>
      <c r="AG285" s="1208"/>
      <c r="AH285" s="1208"/>
      <c r="AI285" s="1223"/>
      <c r="AJ285" s="1223"/>
      <c r="AK285" s="1223"/>
      <c r="AL285" s="1223"/>
      <c r="AM285" s="1223"/>
      <c r="AN285" s="1223"/>
      <c r="AO285" s="1208"/>
      <c r="AP285" s="1223"/>
      <c r="AQ285" s="1208"/>
      <c r="AR285" s="1208"/>
      <c r="AS285" s="1223"/>
      <c r="AT285" s="1223"/>
      <c r="AU285" s="1208"/>
      <c r="AV285" s="1208"/>
      <c r="AW285" s="2297"/>
      <c r="BE285" s="1224"/>
      <c r="BF285" s="1225"/>
      <c r="BR285" s="1224"/>
      <c r="BS285" s="1224"/>
    </row>
    <row r="286" spans="2:71" s="491" customFormat="1">
      <c r="B286" s="2297"/>
      <c r="C286" s="2297"/>
      <c r="D286" s="2297"/>
      <c r="E286" s="2297"/>
      <c r="F286" s="2297"/>
      <c r="G286" s="2297"/>
      <c r="H286" s="2297"/>
      <c r="I286" s="2297"/>
      <c r="J286" s="2297"/>
      <c r="K286" s="2297"/>
      <c r="L286" s="2297"/>
      <c r="M286" s="2297"/>
      <c r="N286" s="2297"/>
      <c r="O286" s="2297"/>
      <c r="P286" s="2297"/>
      <c r="Q286" s="2297"/>
      <c r="R286" s="99"/>
      <c r="S286" s="99"/>
      <c r="T286" s="99"/>
      <c r="U286" s="99"/>
      <c r="V286" s="99"/>
      <c r="AF286" s="2297"/>
      <c r="AG286" s="1208"/>
      <c r="AH286" s="1208"/>
      <c r="AI286" s="1223"/>
      <c r="AJ286" s="1223"/>
      <c r="AK286" s="1223"/>
      <c r="AL286" s="1223"/>
      <c r="AM286" s="1223"/>
      <c r="AN286" s="1223"/>
      <c r="AO286" s="1208"/>
      <c r="AP286" s="1223"/>
      <c r="AQ286" s="1208"/>
      <c r="AR286" s="1208"/>
      <c r="AS286" s="1223"/>
      <c r="AT286" s="1223"/>
      <c r="AU286" s="1208"/>
      <c r="AV286" s="1208"/>
      <c r="AW286" s="2297"/>
      <c r="BE286" s="1224"/>
      <c r="BF286" s="1225"/>
      <c r="BR286" s="1224"/>
      <c r="BS286" s="1224"/>
    </row>
    <row r="287" spans="2:71" s="491" customFormat="1">
      <c r="B287" s="2297"/>
      <c r="C287" s="2297"/>
      <c r="D287" s="2297"/>
      <c r="E287" s="2297"/>
      <c r="F287" s="2297"/>
      <c r="G287" s="2297"/>
      <c r="H287" s="2297"/>
      <c r="I287" s="2297"/>
      <c r="J287" s="2297"/>
      <c r="K287" s="2297"/>
      <c r="L287" s="2297"/>
      <c r="M287" s="2297"/>
      <c r="N287" s="2297"/>
      <c r="O287" s="2297"/>
      <c r="P287" s="2297"/>
      <c r="Q287" s="2297"/>
      <c r="R287" s="99"/>
      <c r="S287" s="99"/>
      <c r="T287" s="99"/>
      <c r="U287" s="99"/>
      <c r="V287" s="99"/>
      <c r="AF287" s="2297"/>
      <c r="AG287" s="1208"/>
      <c r="AH287" s="1208"/>
      <c r="AI287" s="1223"/>
      <c r="AJ287" s="1223"/>
      <c r="AK287" s="1223"/>
      <c r="AL287" s="1223"/>
      <c r="AM287" s="1223"/>
      <c r="AN287" s="1223"/>
      <c r="AO287" s="1208"/>
      <c r="AP287" s="1223"/>
      <c r="AQ287" s="1208"/>
      <c r="AR287" s="1208"/>
      <c r="AS287" s="1223"/>
      <c r="AT287" s="1223"/>
      <c r="AU287" s="1208"/>
      <c r="AV287" s="1208"/>
      <c r="AW287" s="2297"/>
      <c r="BE287" s="1224"/>
      <c r="BF287" s="1225"/>
      <c r="BR287" s="1224"/>
      <c r="BS287" s="1224"/>
    </row>
    <row r="288" spans="2:71" s="491" customFormat="1">
      <c r="B288" s="2297"/>
      <c r="C288" s="2297"/>
      <c r="D288" s="2297"/>
      <c r="E288" s="2297"/>
      <c r="F288" s="2297"/>
      <c r="G288" s="2297"/>
      <c r="H288" s="2297"/>
      <c r="I288" s="2297"/>
      <c r="J288" s="2297"/>
      <c r="K288" s="2297"/>
      <c r="L288" s="2297"/>
      <c r="M288" s="2297"/>
      <c r="N288" s="2297"/>
      <c r="O288" s="2297"/>
      <c r="P288" s="2297"/>
      <c r="Q288" s="2297"/>
      <c r="R288" s="99"/>
      <c r="S288" s="99"/>
      <c r="T288" s="99"/>
      <c r="U288" s="99"/>
      <c r="V288" s="99"/>
      <c r="AF288" s="2297"/>
      <c r="AG288" s="1208"/>
      <c r="AH288" s="1208"/>
      <c r="AI288" s="1223"/>
      <c r="AJ288" s="1223"/>
      <c r="AK288" s="1223"/>
      <c r="AL288" s="1223"/>
      <c r="AM288" s="1223"/>
      <c r="AN288" s="1223"/>
      <c r="AO288" s="1208"/>
      <c r="AP288" s="1223"/>
      <c r="AQ288" s="1208"/>
      <c r="AR288" s="1208"/>
      <c r="AS288" s="1223"/>
      <c r="AT288" s="1223"/>
      <c r="AU288" s="1208"/>
      <c r="AV288" s="1208"/>
      <c r="AW288" s="2297"/>
      <c r="BE288" s="1224"/>
      <c r="BF288" s="1225"/>
      <c r="BR288" s="1224"/>
      <c r="BS288" s="1224"/>
    </row>
    <row r="289" spans="2:71" s="491" customFormat="1">
      <c r="B289" s="2297"/>
      <c r="C289" s="2297"/>
      <c r="D289" s="2297"/>
      <c r="E289" s="2297"/>
      <c r="F289" s="2297"/>
      <c r="G289" s="2297"/>
      <c r="H289" s="2297"/>
      <c r="I289" s="2297"/>
      <c r="J289" s="2297"/>
      <c r="K289" s="2297"/>
      <c r="L289" s="2297"/>
      <c r="M289" s="2297"/>
      <c r="N289" s="2297"/>
      <c r="O289" s="2297"/>
      <c r="P289" s="2297"/>
      <c r="Q289" s="2297"/>
      <c r="R289" s="99"/>
      <c r="S289" s="99"/>
      <c r="T289" s="99"/>
      <c r="U289" s="99"/>
      <c r="V289" s="99"/>
      <c r="AF289" s="2297"/>
      <c r="AG289" s="1208"/>
      <c r="AH289" s="1208"/>
      <c r="AI289" s="1223"/>
      <c r="AJ289" s="1223"/>
      <c r="AK289" s="1223"/>
      <c r="AL289" s="1223"/>
      <c r="AM289" s="1223"/>
      <c r="AN289" s="1223"/>
      <c r="AO289" s="1208"/>
      <c r="AP289" s="1223"/>
      <c r="AQ289" s="1208"/>
      <c r="AR289" s="1208"/>
      <c r="AS289" s="1223"/>
      <c r="AT289" s="1223"/>
      <c r="AU289" s="1208"/>
      <c r="AV289" s="1208"/>
      <c r="AW289" s="2297"/>
      <c r="BE289" s="1224"/>
      <c r="BF289" s="1225"/>
      <c r="BR289" s="1224"/>
      <c r="BS289" s="1224"/>
    </row>
    <row r="290" spans="2:71" s="491" customFormat="1">
      <c r="B290" s="2297"/>
      <c r="C290" s="2297"/>
      <c r="D290" s="2297"/>
      <c r="E290" s="2297"/>
      <c r="F290" s="2297"/>
      <c r="G290" s="2297"/>
      <c r="H290" s="2297"/>
      <c r="I290" s="2297"/>
      <c r="J290" s="2297"/>
      <c r="K290" s="2297"/>
      <c r="L290" s="2297"/>
      <c r="M290" s="2297"/>
      <c r="N290" s="2297"/>
      <c r="O290" s="2297"/>
      <c r="P290" s="2297"/>
      <c r="Q290" s="2297"/>
      <c r="R290" s="99"/>
      <c r="S290" s="99"/>
      <c r="T290" s="99"/>
      <c r="U290" s="99"/>
      <c r="V290" s="99"/>
      <c r="AF290" s="2297"/>
      <c r="AG290" s="1208"/>
      <c r="AH290" s="1208"/>
      <c r="AI290" s="1223"/>
      <c r="AJ290" s="1223"/>
      <c r="AK290" s="1223"/>
      <c r="AL290" s="1223"/>
      <c r="AM290" s="1223"/>
      <c r="AN290" s="1223"/>
      <c r="AO290" s="1208"/>
      <c r="AP290" s="1223"/>
      <c r="AQ290" s="1208"/>
      <c r="AR290" s="1208"/>
      <c r="AS290" s="1223"/>
      <c r="AT290" s="1223"/>
      <c r="AU290" s="1208"/>
      <c r="AV290" s="1208"/>
      <c r="AW290" s="2297"/>
      <c r="BE290" s="1224"/>
      <c r="BF290" s="1225"/>
      <c r="BR290" s="1224"/>
      <c r="BS290" s="1224"/>
    </row>
    <row r="291" spans="2:71" s="491" customFormat="1">
      <c r="B291" s="2297"/>
      <c r="C291" s="2297"/>
      <c r="D291" s="2297"/>
      <c r="E291" s="2297"/>
      <c r="F291" s="2297"/>
      <c r="G291" s="2297"/>
      <c r="H291" s="2297"/>
      <c r="I291" s="2297"/>
      <c r="J291" s="2297"/>
      <c r="K291" s="2297"/>
      <c r="L291" s="2297"/>
      <c r="M291" s="2297"/>
      <c r="N291" s="2297"/>
      <c r="O291" s="2297"/>
      <c r="P291" s="2297"/>
      <c r="Q291" s="2297"/>
      <c r="R291" s="99"/>
      <c r="S291" s="99"/>
      <c r="T291" s="99"/>
      <c r="U291" s="99"/>
      <c r="V291" s="99"/>
      <c r="AF291" s="2297"/>
      <c r="AG291" s="1208"/>
      <c r="AH291" s="1208"/>
      <c r="AI291" s="1223"/>
      <c r="AJ291" s="1223"/>
      <c r="AK291" s="1223"/>
      <c r="AL291" s="1223"/>
      <c r="AM291" s="1223"/>
      <c r="AN291" s="1223"/>
      <c r="AO291" s="1208"/>
      <c r="AP291" s="1223"/>
      <c r="AQ291" s="1208"/>
      <c r="AR291" s="1208"/>
      <c r="AS291" s="1223"/>
      <c r="AT291" s="1223"/>
      <c r="AU291" s="1208"/>
      <c r="AV291" s="1208"/>
      <c r="AW291" s="2297"/>
      <c r="BE291" s="1224"/>
      <c r="BF291" s="1225"/>
      <c r="BR291" s="1224"/>
      <c r="BS291" s="1224"/>
    </row>
    <row r="292" spans="2:71" s="491" customFormat="1">
      <c r="B292" s="2297"/>
      <c r="C292" s="2297"/>
      <c r="D292" s="2297"/>
      <c r="E292" s="2297"/>
      <c r="F292" s="2297"/>
      <c r="G292" s="2297"/>
      <c r="H292" s="2297"/>
      <c r="I292" s="2297"/>
      <c r="J292" s="2297"/>
      <c r="K292" s="2297"/>
      <c r="L292" s="2297"/>
      <c r="M292" s="2297"/>
      <c r="N292" s="2297"/>
      <c r="O292" s="2297"/>
      <c r="P292" s="2297"/>
      <c r="Q292" s="2297"/>
      <c r="R292" s="99"/>
      <c r="S292" s="99"/>
      <c r="T292" s="99"/>
      <c r="U292" s="99"/>
      <c r="V292" s="99"/>
      <c r="AF292" s="2297"/>
      <c r="AG292" s="1208"/>
      <c r="AH292" s="1208"/>
      <c r="AI292" s="1223"/>
      <c r="AJ292" s="1223"/>
      <c r="AK292" s="1223"/>
      <c r="AL292" s="1223"/>
      <c r="AM292" s="1223"/>
      <c r="AN292" s="1223"/>
      <c r="AO292" s="1208"/>
      <c r="AP292" s="1223"/>
      <c r="AQ292" s="1208"/>
      <c r="AR292" s="1208"/>
      <c r="AS292" s="1223"/>
      <c r="AT292" s="1223"/>
      <c r="AU292" s="1208"/>
      <c r="AV292" s="1208"/>
      <c r="AW292" s="2297"/>
      <c r="BE292" s="1224"/>
      <c r="BF292" s="1225"/>
      <c r="BR292" s="1224"/>
      <c r="BS292" s="1224"/>
    </row>
    <row r="293" spans="2:71" s="491" customFormat="1">
      <c r="B293" s="2297"/>
      <c r="C293" s="2297"/>
      <c r="D293" s="2297"/>
      <c r="E293" s="2297"/>
      <c r="F293" s="2297"/>
      <c r="G293" s="2297"/>
      <c r="H293" s="2297"/>
      <c r="I293" s="2297"/>
      <c r="J293" s="2297"/>
      <c r="K293" s="2297"/>
      <c r="L293" s="2297"/>
      <c r="M293" s="2297"/>
      <c r="N293" s="2297"/>
      <c r="O293" s="2297"/>
      <c r="P293" s="2297"/>
      <c r="Q293" s="2297"/>
      <c r="R293" s="99"/>
      <c r="S293" s="99"/>
      <c r="T293" s="99"/>
      <c r="U293" s="99"/>
      <c r="V293" s="99"/>
      <c r="AF293" s="2297"/>
      <c r="AG293" s="1208"/>
      <c r="AH293" s="1208"/>
      <c r="AI293" s="1223"/>
      <c r="AJ293" s="1223"/>
      <c r="AK293" s="1223"/>
      <c r="AL293" s="1223"/>
      <c r="AM293" s="1223"/>
      <c r="AN293" s="1223"/>
      <c r="AO293" s="1208"/>
      <c r="AP293" s="1223"/>
      <c r="AQ293" s="1208"/>
      <c r="AR293" s="1208"/>
      <c r="AS293" s="1223"/>
      <c r="AT293" s="1223"/>
      <c r="AU293" s="1208"/>
      <c r="AV293" s="1208"/>
      <c r="AW293" s="2297"/>
      <c r="BE293" s="1224"/>
      <c r="BF293" s="1225"/>
      <c r="BR293" s="1224"/>
      <c r="BS293" s="1224"/>
    </row>
    <row r="294" spans="2:71" s="491" customFormat="1">
      <c r="B294" s="2297"/>
      <c r="C294" s="2297"/>
      <c r="D294" s="2297"/>
      <c r="E294" s="2297"/>
      <c r="F294" s="2297"/>
      <c r="G294" s="2297"/>
      <c r="H294" s="2297"/>
      <c r="I294" s="2297"/>
      <c r="J294" s="2297"/>
      <c r="K294" s="2297"/>
      <c r="L294" s="2297"/>
      <c r="M294" s="2297"/>
      <c r="N294" s="2297"/>
      <c r="O294" s="2297"/>
      <c r="P294" s="2297"/>
      <c r="Q294" s="2297"/>
      <c r="R294" s="99"/>
      <c r="S294" s="99"/>
      <c r="T294" s="99"/>
      <c r="U294" s="99"/>
      <c r="V294" s="99"/>
      <c r="AF294" s="2297"/>
      <c r="AG294" s="1208"/>
      <c r="AH294" s="1208"/>
      <c r="AI294" s="1223"/>
      <c r="AJ294" s="1223"/>
      <c r="AK294" s="1223"/>
      <c r="AL294" s="1223"/>
      <c r="AM294" s="1223"/>
      <c r="AN294" s="1223"/>
      <c r="AO294" s="1208"/>
      <c r="AP294" s="1223"/>
      <c r="AQ294" s="1208"/>
      <c r="AR294" s="1208"/>
      <c r="AS294" s="1223"/>
      <c r="AT294" s="1223"/>
      <c r="AU294" s="1208"/>
      <c r="AV294" s="1208"/>
      <c r="AW294" s="2297"/>
      <c r="BE294" s="1224"/>
      <c r="BF294" s="1225"/>
      <c r="BR294" s="1224"/>
      <c r="BS294" s="1224"/>
    </row>
    <row r="295" spans="2:71" s="491" customFormat="1">
      <c r="B295" s="2297"/>
      <c r="C295" s="2297"/>
      <c r="D295" s="2297"/>
      <c r="E295" s="2297"/>
      <c r="F295" s="2297"/>
      <c r="G295" s="2297"/>
      <c r="H295" s="2297"/>
      <c r="I295" s="2297"/>
      <c r="J295" s="2297"/>
      <c r="K295" s="2297"/>
      <c r="L295" s="2297"/>
      <c r="M295" s="2297"/>
      <c r="N295" s="2297"/>
      <c r="O295" s="2297"/>
      <c r="P295" s="2297"/>
      <c r="Q295" s="2297"/>
      <c r="R295" s="99"/>
      <c r="S295" s="99"/>
      <c r="T295" s="99"/>
      <c r="U295" s="99"/>
      <c r="V295" s="99"/>
      <c r="AF295" s="2297"/>
      <c r="AG295" s="1208"/>
      <c r="AH295" s="1208"/>
      <c r="AI295" s="1223"/>
      <c r="AJ295" s="1223"/>
      <c r="AK295" s="1223"/>
      <c r="AL295" s="1223"/>
      <c r="AM295" s="1223"/>
      <c r="AN295" s="1223"/>
      <c r="AO295" s="1208"/>
      <c r="AP295" s="1223"/>
      <c r="AQ295" s="1208"/>
      <c r="AR295" s="1208"/>
      <c r="AS295" s="1223"/>
      <c r="AT295" s="1223"/>
      <c r="AU295" s="1208"/>
      <c r="AV295" s="1208"/>
      <c r="AW295" s="2297"/>
      <c r="BE295" s="1224"/>
      <c r="BF295" s="1225"/>
      <c r="BR295" s="1224"/>
      <c r="BS295" s="1224"/>
    </row>
    <row r="296" spans="2:71" s="491" customFormat="1">
      <c r="B296" s="2297"/>
      <c r="C296" s="2297"/>
      <c r="D296" s="2297"/>
      <c r="E296" s="2297"/>
      <c r="F296" s="2297"/>
      <c r="G296" s="2297"/>
      <c r="H296" s="2297"/>
      <c r="I296" s="2297"/>
      <c r="J296" s="2297"/>
      <c r="K296" s="2297"/>
      <c r="L296" s="2297"/>
      <c r="M296" s="2297"/>
      <c r="N296" s="2297"/>
      <c r="O296" s="2297"/>
      <c r="P296" s="2297"/>
      <c r="Q296" s="2297"/>
      <c r="R296" s="99"/>
      <c r="S296" s="99"/>
      <c r="T296" s="99"/>
      <c r="U296" s="99"/>
      <c r="V296" s="99"/>
      <c r="AF296" s="2297"/>
      <c r="AG296" s="1208"/>
      <c r="AH296" s="1208"/>
      <c r="AI296" s="1223"/>
      <c r="AJ296" s="1223"/>
      <c r="AK296" s="1223"/>
      <c r="AL296" s="1223"/>
      <c r="AM296" s="1223"/>
      <c r="AN296" s="1223"/>
      <c r="AO296" s="1208"/>
      <c r="AP296" s="1223"/>
      <c r="AQ296" s="1208"/>
      <c r="AR296" s="1208"/>
      <c r="AS296" s="1223"/>
      <c r="AT296" s="1223"/>
      <c r="AU296" s="1208"/>
      <c r="AV296" s="1208"/>
      <c r="AW296" s="2297"/>
      <c r="BE296" s="1224"/>
      <c r="BF296" s="1225"/>
      <c r="BR296" s="1224"/>
      <c r="BS296" s="1224"/>
    </row>
    <row r="297" spans="2:71" s="491" customFormat="1">
      <c r="B297" s="2297"/>
      <c r="C297" s="2297"/>
      <c r="D297" s="2297"/>
      <c r="E297" s="2297"/>
      <c r="F297" s="2297"/>
      <c r="G297" s="2297"/>
      <c r="H297" s="2297"/>
      <c r="I297" s="2297"/>
      <c r="J297" s="2297"/>
      <c r="K297" s="2297"/>
      <c r="L297" s="2297"/>
      <c r="M297" s="2297"/>
      <c r="N297" s="2297"/>
      <c r="O297" s="2297"/>
      <c r="P297" s="2297"/>
      <c r="Q297" s="2297"/>
      <c r="R297" s="99"/>
      <c r="S297" s="99"/>
      <c r="T297" s="99"/>
      <c r="U297" s="99"/>
      <c r="V297" s="99"/>
      <c r="AF297" s="2297"/>
      <c r="AG297" s="1208"/>
      <c r="AH297" s="1208"/>
      <c r="AI297" s="1223"/>
      <c r="AJ297" s="1223"/>
      <c r="AK297" s="1223"/>
      <c r="AL297" s="1223"/>
      <c r="AM297" s="1223"/>
      <c r="AN297" s="1223"/>
      <c r="AO297" s="1208"/>
      <c r="AP297" s="1223"/>
      <c r="AQ297" s="1208"/>
      <c r="AR297" s="1208"/>
      <c r="AS297" s="1223"/>
      <c r="AT297" s="1223"/>
      <c r="AU297" s="1208"/>
      <c r="AV297" s="1208"/>
      <c r="AW297" s="2297"/>
      <c r="BE297" s="1224"/>
      <c r="BF297" s="1225"/>
      <c r="BR297" s="1224"/>
      <c r="BS297" s="1224"/>
    </row>
    <row r="298" spans="2:71" s="491" customFormat="1">
      <c r="B298" s="2297"/>
      <c r="C298" s="2297"/>
      <c r="D298" s="2297"/>
      <c r="E298" s="2297"/>
      <c r="F298" s="2297"/>
      <c r="G298" s="2297"/>
      <c r="H298" s="2297"/>
      <c r="I298" s="2297"/>
      <c r="J298" s="2297"/>
      <c r="K298" s="2297"/>
      <c r="L298" s="2297"/>
      <c r="M298" s="2297"/>
      <c r="N298" s="2297"/>
      <c r="O298" s="2297"/>
      <c r="P298" s="2297"/>
      <c r="Q298" s="2297"/>
      <c r="R298" s="99"/>
      <c r="S298" s="99"/>
      <c r="T298" s="99"/>
      <c r="U298" s="99"/>
      <c r="V298" s="99"/>
      <c r="AF298" s="2297"/>
      <c r="AG298" s="1208"/>
      <c r="AH298" s="1208"/>
      <c r="AI298" s="1223"/>
      <c r="AJ298" s="1223"/>
      <c r="AK298" s="1223"/>
      <c r="AL298" s="1223"/>
      <c r="AM298" s="1223"/>
      <c r="AN298" s="1223"/>
      <c r="AO298" s="1208"/>
      <c r="AP298" s="1223"/>
      <c r="AQ298" s="1208"/>
      <c r="AR298" s="1208"/>
      <c r="AS298" s="1223"/>
      <c r="AT298" s="1223"/>
      <c r="AU298" s="1208"/>
      <c r="AV298" s="1208"/>
      <c r="AW298" s="2297"/>
      <c r="BE298" s="1224"/>
      <c r="BF298" s="1225"/>
      <c r="BR298" s="1224"/>
      <c r="BS298" s="1224"/>
    </row>
    <row r="299" spans="2:71" s="491" customFormat="1">
      <c r="B299" s="2297"/>
      <c r="C299" s="2297"/>
      <c r="D299" s="2297"/>
      <c r="E299" s="2297"/>
      <c r="F299" s="2297"/>
      <c r="G299" s="2297"/>
      <c r="H299" s="2297"/>
      <c r="I299" s="2297"/>
      <c r="J299" s="2297"/>
      <c r="K299" s="2297"/>
      <c r="L299" s="2297"/>
      <c r="M299" s="2297"/>
      <c r="N299" s="2297"/>
      <c r="O299" s="2297"/>
      <c r="P299" s="2297"/>
      <c r="Q299" s="2297"/>
      <c r="R299" s="99"/>
      <c r="S299" s="99"/>
      <c r="T299" s="99"/>
      <c r="U299" s="99"/>
      <c r="V299" s="99"/>
      <c r="AF299" s="2297"/>
      <c r="AG299" s="1208"/>
      <c r="AH299" s="1208"/>
      <c r="AI299" s="1223"/>
      <c r="AJ299" s="1223"/>
      <c r="AK299" s="1223"/>
      <c r="AL299" s="1223"/>
      <c r="AM299" s="1223"/>
      <c r="AN299" s="1223"/>
      <c r="AO299" s="1208"/>
      <c r="AP299" s="1223"/>
      <c r="AQ299" s="1208"/>
      <c r="AR299" s="1208"/>
      <c r="AS299" s="1223"/>
      <c r="AT299" s="1223"/>
      <c r="AU299" s="1208"/>
      <c r="AV299" s="1208"/>
      <c r="AW299" s="2297"/>
      <c r="BE299" s="1224"/>
      <c r="BF299" s="1225"/>
      <c r="BR299" s="1224"/>
      <c r="BS299" s="1224"/>
    </row>
    <row r="300" spans="2:71" s="491" customFormat="1">
      <c r="B300" s="2297"/>
      <c r="C300" s="2297"/>
      <c r="D300" s="2297"/>
      <c r="E300" s="2297"/>
      <c r="F300" s="2297"/>
      <c r="G300" s="2297"/>
      <c r="H300" s="2297"/>
      <c r="I300" s="2297"/>
      <c r="J300" s="2297"/>
      <c r="K300" s="2297"/>
      <c r="L300" s="2297"/>
      <c r="M300" s="2297"/>
      <c r="N300" s="2297"/>
      <c r="O300" s="2297"/>
      <c r="P300" s="2297"/>
      <c r="Q300" s="2297"/>
      <c r="R300" s="99"/>
      <c r="S300" s="99"/>
      <c r="T300" s="99"/>
      <c r="U300" s="99"/>
      <c r="V300" s="99"/>
      <c r="AF300" s="2297"/>
      <c r="AG300" s="1208"/>
      <c r="AH300" s="1208"/>
      <c r="AI300" s="1223"/>
      <c r="AJ300" s="1223"/>
      <c r="AK300" s="1223"/>
      <c r="AL300" s="1223"/>
      <c r="AM300" s="1223"/>
      <c r="AN300" s="1223"/>
      <c r="AO300" s="1208"/>
      <c r="AP300" s="1223"/>
      <c r="AQ300" s="1208"/>
      <c r="AR300" s="1208"/>
      <c r="AS300" s="1223"/>
      <c r="AT300" s="1223"/>
      <c r="AU300" s="1208"/>
      <c r="AV300" s="1208"/>
      <c r="AW300" s="2297"/>
      <c r="BE300" s="1224"/>
      <c r="BF300" s="1225"/>
      <c r="BR300" s="1224"/>
      <c r="BS300" s="1224"/>
    </row>
    <row r="301" spans="2:71" s="491" customFormat="1">
      <c r="B301" s="2297"/>
      <c r="C301" s="2297"/>
      <c r="D301" s="2297"/>
      <c r="E301" s="2297"/>
      <c r="F301" s="2297"/>
      <c r="G301" s="2297"/>
      <c r="H301" s="2297"/>
      <c r="I301" s="2297"/>
      <c r="J301" s="2297"/>
      <c r="K301" s="2297"/>
      <c r="L301" s="2297"/>
      <c r="M301" s="2297"/>
      <c r="N301" s="2297"/>
      <c r="O301" s="2297"/>
      <c r="P301" s="2297"/>
      <c r="Q301" s="2297"/>
      <c r="R301" s="99"/>
      <c r="S301" s="99"/>
      <c r="T301" s="99"/>
      <c r="U301" s="99"/>
      <c r="V301" s="99"/>
      <c r="AF301" s="2297"/>
      <c r="AG301" s="1208"/>
      <c r="AH301" s="1208"/>
      <c r="AI301" s="1223"/>
      <c r="AJ301" s="1223"/>
      <c r="AK301" s="1223"/>
      <c r="AL301" s="1223"/>
      <c r="AM301" s="1223"/>
      <c r="AN301" s="1223"/>
      <c r="AO301" s="1208"/>
      <c r="AP301" s="1223"/>
      <c r="AQ301" s="1208"/>
      <c r="AR301" s="1208"/>
      <c r="AS301" s="1223"/>
      <c r="AT301" s="1223"/>
      <c r="AU301" s="1208"/>
      <c r="AV301" s="1208"/>
      <c r="AW301" s="2297"/>
      <c r="BE301" s="1224"/>
      <c r="BF301" s="1225"/>
      <c r="BR301" s="1224"/>
      <c r="BS301" s="1224"/>
    </row>
    <row r="302" spans="2:71" s="491" customFormat="1">
      <c r="B302" s="2297"/>
      <c r="C302" s="2297"/>
      <c r="D302" s="2297"/>
      <c r="E302" s="2297"/>
      <c r="F302" s="2297"/>
      <c r="G302" s="2297"/>
      <c r="H302" s="2297"/>
      <c r="I302" s="2297"/>
      <c r="J302" s="2297"/>
      <c r="K302" s="2297"/>
      <c r="L302" s="2297"/>
      <c r="M302" s="2297"/>
      <c r="N302" s="2297"/>
      <c r="O302" s="2297"/>
      <c r="P302" s="2297"/>
      <c r="Q302" s="2297"/>
      <c r="R302" s="99"/>
      <c r="S302" s="99"/>
      <c r="T302" s="99"/>
      <c r="U302" s="99"/>
      <c r="V302" s="99"/>
      <c r="AF302" s="2297"/>
      <c r="AG302" s="1208"/>
      <c r="AH302" s="1208"/>
      <c r="AI302" s="1223"/>
      <c r="AJ302" s="1223"/>
      <c r="AK302" s="1223"/>
      <c r="AL302" s="1223"/>
      <c r="AM302" s="1223"/>
      <c r="AN302" s="1223"/>
      <c r="AO302" s="1208"/>
      <c r="AP302" s="1223"/>
      <c r="AQ302" s="1208"/>
      <c r="AR302" s="1208"/>
      <c r="AS302" s="1223"/>
      <c r="AT302" s="1223"/>
      <c r="AU302" s="1208"/>
      <c r="AV302" s="1208"/>
      <c r="AW302" s="2297"/>
      <c r="BE302" s="1224"/>
      <c r="BF302" s="1225"/>
      <c r="BR302" s="1224"/>
      <c r="BS302" s="1224"/>
    </row>
    <row r="303" spans="2:71" s="491" customFormat="1">
      <c r="B303" s="2297"/>
      <c r="C303" s="2297"/>
      <c r="D303" s="2297"/>
      <c r="E303" s="2297"/>
      <c r="F303" s="2297"/>
      <c r="G303" s="2297"/>
      <c r="H303" s="2297"/>
      <c r="I303" s="2297"/>
      <c r="J303" s="2297"/>
      <c r="K303" s="2297"/>
      <c r="L303" s="2297"/>
      <c r="M303" s="2297"/>
      <c r="N303" s="2297"/>
      <c r="O303" s="2297"/>
      <c r="P303" s="2297"/>
      <c r="Q303" s="2297"/>
      <c r="R303" s="99"/>
      <c r="S303" s="99"/>
      <c r="T303" s="99"/>
      <c r="U303" s="99"/>
      <c r="V303" s="99"/>
      <c r="AF303" s="2297"/>
      <c r="AG303" s="1208"/>
      <c r="AH303" s="1208"/>
      <c r="AI303" s="1223"/>
      <c r="AJ303" s="1223"/>
      <c r="AK303" s="1223"/>
      <c r="AL303" s="1223"/>
      <c r="AM303" s="1223"/>
      <c r="AN303" s="1223"/>
      <c r="AO303" s="1208"/>
      <c r="AP303" s="1223"/>
      <c r="AQ303" s="1208"/>
      <c r="AR303" s="1208"/>
      <c r="AS303" s="1223"/>
      <c r="AT303" s="1223"/>
      <c r="AU303" s="1208"/>
      <c r="AV303" s="1208"/>
      <c r="AW303" s="2297"/>
      <c r="BE303" s="1224"/>
      <c r="BF303" s="1225"/>
      <c r="BR303" s="1224"/>
      <c r="BS303" s="1224"/>
    </row>
    <row r="304" spans="2:71" s="491" customFormat="1">
      <c r="B304" s="2297"/>
      <c r="C304" s="2297"/>
      <c r="D304" s="2297"/>
      <c r="E304" s="2297"/>
      <c r="F304" s="2297"/>
      <c r="G304" s="2297"/>
      <c r="H304" s="2297"/>
      <c r="I304" s="2297"/>
      <c r="J304" s="2297"/>
      <c r="K304" s="2297"/>
      <c r="L304" s="2297"/>
      <c r="M304" s="2297"/>
      <c r="N304" s="2297"/>
      <c r="O304" s="2297"/>
      <c r="P304" s="2297"/>
      <c r="Q304" s="2297"/>
      <c r="R304" s="99"/>
      <c r="S304" s="99"/>
      <c r="T304" s="99"/>
      <c r="U304" s="99"/>
      <c r="V304" s="99"/>
      <c r="AF304" s="2297"/>
      <c r="AG304" s="1208"/>
      <c r="AH304" s="1208"/>
      <c r="AI304" s="1223"/>
      <c r="AJ304" s="1223"/>
      <c r="AK304" s="1223"/>
      <c r="AL304" s="1223"/>
      <c r="AM304" s="1223"/>
      <c r="AN304" s="1223"/>
      <c r="AO304" s="1208"/>
      <c r="AP304" s="1223"/>
      <c r="AQ304" s="1208"/>
      <c r="AR304" s="1208"/>
      <c r="AS304" s="1223"/>
      <c r="AT304" s="1223"/>
      <c r="AU304" s="1208"/>
      <c r="AV304" s="1208"/>
      <c r="AW304" s="2297"/>
      <c r="BE304" s="1224"/>
      <c r="BF304" s="1225"/>
      <c r="BR304" s="1224"/>
      <c r="BS304" s="1224"/>
    </row>
    <row r="305" spans="2:71" s="491" customFormat="1">
      <c r="B305" s="2297"/>
      <c r="C305" s="2297"/>
      <c r="D305" s="2297"/>
      <c r="E305" s="2297"/>
      <c r="F305" s="2297"/>
      <c r="G305" s="2297"/>
      <c r="H305" s="2297"/>
      <c r="I305" s="2297"/>
      <c r="J305" s="2297"/>
      <c r="K305" s="2297"/>
      <c r="L305" s="2297"/>
      <c r="M305" s="2297"/>
      <c r="N305" s="2297"/>
      <c r="O305" s="2297"/>
      <c r="P305" s="2297"/>
      <c r="Q305" s="2297"/>
      <c r="R305" s="99"/>
      <c r="S305" s="99"/>
      <c r="T305" s="99"/>
      <c r="U305" s="99"/>
      <c r="V305" s="99"/>
      <c r="AF305" s="2297"/>
      <c r="AG305" s="1208"/>
      <c r="AH305" s="1208"/>
      <c r="AI305" s="1223"/>
      <c r="AJ305" s="1223"/>
      <c r="AK305" s="1223"/>
      <c r="AL305" s="1223"/>
      <c r="AM305" s="1223"/>
      <c r="AN305" s="1223"/>
      <c r="AO305" s="1208"/>
      <c r="AP305" s="1223"/>
      <c r="AQ305" s="1208"/>
      <c r="AR305" s="1208"/>
      <c r="AS305" s="1223"/>
      <c r="AT305" s="1223"/>
      <c r="AU305" s="1208"/>
      <c r="AV305" s="1208"/>
      <c r="AW305" s="2297"/>
      <c r="BE305" s="1224"/>
      <c r="BF305" s="1225"/>
      <c r="BR305" s="1224"/>
      <c r="BS305" s="1224"/>
    </row>
    <row r="306" spans="2:71" s="491" customFormat="1">
      <c r="B306" s="2297"/>
      <c r="C306" s="2297"/>
      <c r="D306" s="2297"/>
      <c r="E306" s="2297"/>
      <c r="F306" s="2297"/>
      <c r="G306" s="2297"/>
      <c r="H306" s="2297"/>
      <c r="I306" s="2297"/>
      <c r="J306" s="2297"/>
      <c r="K306" s="2297"/>
      <c r="L306" s="2297"/>
      <c r="M306" s="2297"/>
      <c r="N306" s="2297"/>
      <c r="O306" s="2297"/>
      <c r="P306" s="2297"/>
      <c r="Q306" s="2297"/>
      <c r="R306" s="99"/>
      <c r="S306" s="99"/>
      <c r="T306" s="99"/>
      <c r="U306" s="99"/>
      <c r="V306" s="99"/>
      <c r="AF306" s="2297"/>
      <c r="AG306" s="1208"/>
      <c r="AH306" s="1208"/>
      <c r="AI306" s="1223"/>
      <c r="AJ306" s="1223"/>
      <c r="AK306" s="1223"/>
      <c r="AL306" s="1223"/>
      <c r="AM306" s="1223"/>
      <c r="AN306" s="1223"/>
      <c r="AO306" s="1208"/>
      <c r="AP306" s="1223"/>
      <c r="AQ306" s="1208"/>
      <c r="AR306" s="1208"/>
      <c r="AS306" s="1223"/>
      <c r="AT306" s="1223"/>
      <c r="AU306" s="1208"/>
      <c r="AV306" s="1208"/>
      <c r="AW306" s="2297"/>
      <c r="BE306" s="1224"/>
      <c r="BF306" s="1225"/>
      <c r="BR306" s="1224"/>
      <c r="BS306" s="1224"/>
    </row>
    <row r="307" spans="2:71" s="491" customFormat="1">
      <c r="B307" s="2297"/>
      <c r="C307" s="2297"/>
      <c r="D307" s="2297"/>
      <c r="E307" s="2297"/>
      <c r="F307" s="2297"/>
      <c r="G307" s="2297"/>
      <c r="H307" s="2297"/>
      <c r="I307" s="2297"/>
      <c r="J307" s="2297"/>
      <c r="K307" s="2297"/>
      <c r="L307" s="2297"/>
      <c r="M307" s="2297"/>
      <c r="N307" s="2297"/>
      <c r="O307" s="2297"/>
      <c r="P307" s="2297"/>
      <c r="Q307" s="2297"/>
      <c r="R307" s="99"/>
      <c r="S307" s="99"/>
      <c r="T307" s="99"/>
      <c r="U307" s="99"/>
      <c r="V307" s="99"/>
      <c r="AF307" s="2297"/>
      <c r="AG307" s="1208"/>
      <c r="AH307" s="1208"/>
      <c r="AI307" s="1223"/>
      <c r="AJ307" s="1223"/>
      <c r="AK307" s="1223"/>
      <c r="AL307" s="1223"/>
      <c r="AM307" s="1223"/>
      <c r="AN307" s="1223"/>
      <c r="AO307" s="1208"/>
      <c r="AP307" s="1223"/>
      <c r="AQ307" s="1208"/>
      <c r="AR307" s="1208"/>
      <c r="AS307" s="1223"/>
      <c r="AT307" s="1223"/>
      <c r="AU307" s="1208"/>
      <c r="AV307" s="1208"/>
      <c r="AW307" s="2297"/>
      <c r="BE307" s="1224"/>
      <c r="BF307" s="1225"/>
      <c r="BR307" s="1224"/>
      <c r="BS307" s="1224"/>
    </row>
    <row r="308" spans="2:71" s="491" customFormat="1">
      <c r="B308" s="2297"/>
      <c r="C308" s="2297"/>
      <c r="D308" s="2297"/>
      <c r="E308" s="2297"/>
      <c r="F308" s="2297"/>
      <c r="G308" s="2297"/>
      <c r="H308" s="2297"/>
      <c r="I308" s="2297"/>
      <c r="J308" s="2297"/>
      <c r="K308" s="2297"/>
      <c r="L308" s="2297"/>
      <c r="M308" s="2297"/>
      <c r="N308" s="2297"/>
      <c r="O308" s="2297"/>
      <c r="P308" s="2297"/>
      <c r="Q308" s="2297"/>
      <c r="R308" s="99"/>
      <c r="S308" s="99"/>
      <c r="T308" s="99"/>
      <c r="U308" s="99"/>
      <c r="V308" s="99"/>
      <c r="AF308" s="2297"/>
      <c r="AG308" s="1208"/>
      <c r="AH308" s="1208"/>
      <c r="AI308" s="1223"/>
      <c r="AJ308" s="1223"/>
      <c r="AK308" s="1223"/>
      <c r="AL308" s="1223"/>
      <c r="AM308" s="1223"/>
      <c r="AN308" s="1223"/>
      <c r="AO308" s="1208"/>
      <c r="AP308" s="1223"/>
      <c r="AQ308" s="1208"/>
      <c r="AR308" s="1208"/>
      <c r="AS308" s="1223"/>
      <c r="AT308" s="1223"/>
      <c r="AU308" s="1208"/>
      <c r="AV308" s="1208"/>
      <c r="AW308" s="2297"/>
      <c r="BE308" s="1224"/>
      <c r="BF308" s="1225"/>
      <c r="BR308" s="1224"/>
      <c r="BS308" s="1224"/>
    </row>
    <row r="309" spans="2:71" s="491" customFormat="1">
      <c r="B309" s="2297"/>
      <c r="C309" s="2297"/>
      <c r="D309" s="2297"/>
      <c r="E309" s="2297"/>
      <c r="F309" s="2297"/>
      <c r="G309" s="2297"/>
      <c r="H309" s="2297"/>
      <c r="I309" s="2297"/>
      <c r="J309" s="2297"/>
      <c r="K309" s="2297"/>
      <c r="L309" s="2297"/>
      <c r="M309" s="2297"/>
      <c r="N309" s="2297"/>
      <c r="O309" s="2297"/>
      <c r="P309" s="2297"/>
      <c r="Q309" s="2297"/>
      <c r="R309" s="99"/>
      <c r="S309" s="99"/>
      <c r="T309" s="99"/>
      <c r="U309" s="99"/>
      <c r="V309" s="99"/>
      <c r="AF309" s="2297"/>
      <c r="AG309" s="1208"/>
      <c r="AH309" s="1208"/>
      <c r="AI309" s="1223"/>
      <c r="AJ309" s="1223"/>
      <c r="AK309" s="1223"/>
      <c r="AL309" s="1223"/>
      <c r="AM309" s="1223"/>
      <c r="AN309" s="1223"/>
      <c r="AO309" s="1208"/>
      <c r="AP309" s="1223"/>
      <c r="AQ309" s="1208"/>
      <c r="AR309" s="1208"/>
      <c r="AS309" s="1223"/>
      <c r="AT309" s="1223"/>
      <c r="AU309" s="1208"/>
      <c r="AV309" s="1208"/>
      <c r="AW309" s="2297"/>
      <c r="BE309" s="1224"/>
      <c r="BF309" s="1225"/>
      <c r="BR309" s="1224"/>
      <c r="BS309" s="1224"/>
    </row>
    <row r="310" spans="2:71" s="491" customFormat="1">
      <c r="B310" s="2297"/>
      <c r="C310" s="2297"/>
      <c r="D310" s="2297"/>
      <c r="E310" s="2297"/>
      <c r="F310" s="2297"/>
      <c r="G310" s="2297"/>
      <c r="H310" s="2297"/>
      <c r="I310" s="2297"/>
      <c r="J310" s="2297"/>
      <c r="K310" s="2297"/>
      <c r="L310" s="2297"/>
      <c r="M310" s="2297"/>
      <c r="N310" s="2297"/>
      <c r="O310" s="2297"/>
      <c r="P310" s="2297"/>
      <c r="Q310" s="2297"/>
      <c r="R310" s="99"/>
      <c r="S310" s="99"/>
      <c r="T310" s="99"/>
      <c r="U310" s="99"/>
      <c r="V310" s="99"/>
      <c r="AF310" s="2297"/>
      <c r="AG310" s="1208"/>
      <c r="AH310" s="1208"/>
      <c r="AI310" s="1223"/>
      <c r="AJ310" s="1223"/>
      <c r="AK310" s="1223"/>
      <c r="AL310" s="1223"/>
      <c r="AM310" s="1223"/>
      <c r="AN310" s="1223"/>
      <c r="AO310" s="1208"/>
      <c r="AP310" s="1223"/>
      <c r="AQ310" s="1208"/>
      <c r="AR310" s="1208"/>
      <c r="AS310" s="1223"/>
      <c r="AT310" s="1223"/>
      <c r="AU310" s="1208"/>
      <c r="AV310" s="1208"/>
      <c r="AW310" s="2297"/>
      <c r="BE310" s="1224"/>
      <c r="BF310" s="1225"/>
      <c r="BR310" s="1224"/>
      <c r="BS310" s="1224"/>
    </row>
    <row r="311" spans="2:71" s="491" customFormat="1">
      <c r="B311" s="2297"/>
      <c r="C311" s="2297"/>
      <c r="D311" s="2297"/>
      <c r="E311" s="2297"/>
      <c r="F311" s="2297"/>
      <c r="G311" s="2297"/>
      <c r="H311" s="2297"/>
      <c r="I311" s="2297"/>
      <c r="J311" s="2297"/>
      <c r="K311" s="2297"/>
      <c r="L311" s="2297"/>
      <c r="M311" s="2297"/>
      <c r="N311" s="2297"/>
      <c r="O311" s="2297"/>
      <c r="P311" s="2297"/>
      <c r="Q311" s="2297"/>
      <c r="R311" s="99"/>
      <c r="S311" s="99"/>
      <c r="T311" s="99"/>
      <c r="U311" s="99"/>
      <c r="V311" s="99"/>
      <c r="AF311" s="2297"/>
      <c r="AG311" s="1208"/>
      <c r="AH311" s="1208"/>
      <c r="AI311" s="1223"/>
      <c r="AJ311" s="1223"/>
      <c r="AK311" s="1223"/>
      <c r="AL311" s="1223"/>
      <c r="AM311" s="1223"/>
      <c r="AN311" s="1223"/>
      <c r="AO311" s="1208"/>
      <c r="AP311" s="1223"/>
      <c r="AQ311" s="1208"/>
      <c r="AR311" s="1208"/>
      <c r="AS311" s="1223"/>
      <c r="AT311" s="1223"/>
      <c r="AU311" s="1208"/>
      <c r="AV311" s="1208"/>
      <c r="AW311" s="2297"/>
      <c r="BE311" s="1224"/>
      <c r="BF311" s="1225"/>
      <c r="BR311" s="1224"/>
      <c r="BS311" s="1224"/>
    </row>
    <row r="312" spans="2:71" s="491" customFormat="1">
      <c r="B312" s="2297"/>
      <c r="C312" s="2297"/>
      <c r="D312" s="2297"/>
      <c r="E312" s="2297"/>
      <c r="F312" s="2297"/>
      <c r="G312" s="2297"/>
      <c r="H312" s="2297"/>
      <c r="I312" s="2297"/>
      <c r="J312" s="2297"/>
      <c r="K312" s="2297"/>
      <c r="L312" s="2297"/>
      <c r="M312" s="2297"/>
      <c r="N312" s="2297"/>
      <c r="O312" s="2297"/>
      <c r="P312" s="2297"/>
      <c r="Q312" s="2297"/>
      <c r="R312" s="99"/>
      <c r="S312" s="99"/>
      <c r="T312" s="99"/>
      <c r="U312" s="99"/>
      <c r="V312" s="99"/>
      <c r="AF312" s="2297"/>
      <c r="AG312" s="1208"/>
      <c r="AH312" s="1208"/>
      <c r="AI312" s="1223"/>
      <c r="AJ312" s="1223"/>
      <c r="AK312" s="1223"/>
      <c r="AL312" s="1223"/>
      <c r="AM312" s="1223"/>
      <c r="AN312" s="1223"/>
      <c r="AO312" s="1208"/>
      <c r="AP312" s="1223"/>
      <c r="AQ312" s="1208"/>
      <c r="AR312" s="1208"/>
      <c r="AS312" s="1223"/>
      <c r="AT312" s="1223"/>
      <c r="AU312" s="1208"/>
      <c r="AV312" s="1208"/>
      <c r="AW312" s="2297"/>
      <c r="BE312" s="1224"/>
      <c r="BF312" s="1225"/>
      <c r="BR312" s="1224"/>
      <c r="BS312" s="1224"/>
    </row>
    <row r="313" spans="2:71" s="491" customFormat="1">
      <c r="B313" s="2297"/>
      <c r="C313" s="2297"/>
      <c r="D313" s="2297"/>
      <c r="E313" s="2297"/>
      <c r="F313" s="2297"/>
      <c r="G313" s="2297"/>
      <c r="H313" s="2297"/>
      <c r="I313" s="2297"/>
      <c r="J313" s="2297"/>
      <c r="K313" s="2297"/>
      <c r="L313" s="2297"/>
      <c r="M313" s="2297"/>
      <c r="N313" s="2297"/>
      <c r="O313" s="2297"/>
      <c r="P313" s="2297"/>
      <c r="Q313" s="2297"/>
      <c r="R313" s="99"/>
      <c r="S313" s="99"/>
      <c r="T313" s="99"/>
      <c r="U313" s="99"/>
      <c r="V313" s="99"/>
      <c r="AF313" s="2297"/>
      <c r="AG313" s="1208"/>
      <c r="AH313" s="1208"/>
      <c r="AI313" s="1223"/>
      <c r="AJ313" s="1223"/>
      <c r="AK313" s="1223"/>
      <c r="AL313" s="1223"/>
      <c r="AM313" s="1223"/>
      <c r="AN313" s="1223"/>
      <c r="AO313" s="1208"/>
      <c r="AP313" s="1223"/>
      <c r="AQ313" s="1208"/>
      <c r="AR313" s="1208"/>
      <c r="AS313" s="1223"/>
      <c r="AT313" s="1223"/>
      <c r="AU313" s="1208"/>
      <c r="AV313" s="1208"/>
      <c r="AW313" s="2297"/>
      <c r="BE313" s="1224"/>
      <c r="BF313" s="1225"/>
      <c r="BR313" s="1224"/>
      <c r="BS313" s="1224"/>
    </row>
    <row r="314" spans="2:71" s="491" customFormat="1">
      <c r="B314" s="2297"/>
      <c r="C314" s="2297"/>
      <c r="D314" s="2297"/>
      <c r="E314" s="2297"/>
      <c r="F314" s="2297"/>
      <c r="G314" s="2297"/>
      <c r="H314" s="2297"/>
      <c r="I314" s="2297"/>
      <c r="J314" s="2297"/>
      <c r="K314" s="2297"/>
      <c r="L314" s="2297"/>
      <c r="M314" s="2297"/>
      <c r="N314" s="2297"/>
      <c r="O314" s="2297"/>
      <c r="P314" s="2297"/>
      <c r="Q314" s="2297"/>
      <c r="R314" s="99"/>
      <c r="S314" s="99"/>
      <c r="T314" s="99"/>
      <c r="U314" s="99"/>
      <c r="V314" s="99"/>
      <c r="AF314" s="2297"/>
      <c r="AG314" s="1208"/>
      <c r="AH314" s="1208"/>
      <c r="AI314" s="1223"/>
      <c r="AJ314" s="1223"/>
      <c r="AK314" s="1223"/>
      <c r="AL314" s="1223"/>
      <c r="AM314" s="1223"/>
      <c r="AN314" s="1223"/>
      <c r="AO314" s="1208"/>
      <c r="AP314" s="1223"/>
      <c r="AQ314" s="1208"/>
      <c r="AR314" s="1208"/>
      <c r="AS314" s="1223"/>
      <c r="AT314" s="1223"/>
      <c r="AU314" s="1208"/>
      <c r="AV314" s="1208"/>
      <c r="AW314" s="2297"/>
      <c r="BE314" s="1224"/>
      <c r="BF314" s="1225"/>
      <c r="BR314" s="1224"/>
      <c r="BS314" s="1224"/>
    </row>
    <row r="315" spans="2:71" s="491" customFormat="1">
      <c r="B315" s="2297"/>
      <c r="C315" s="2297"/>
      <c r="D315" s="2297"/>
      <c r="E315" s="2297"/>
      <c r="F315" s="2297"/>
      <c r="G315" s="2297"/>
      <c r="H315" s="2297"/>
      <c r="I315" s="2297"/>
      <c r="J315" s="2297"/>
      <c r="K315" s="2297"/>
      <c r="L315" s="2297"/>
      <c r="M315" s="2297"/>
      <c r="N315" s="2297"/>
      <c r="O315" s="2297"/>
      <c r="P315" s="2297"/>
      <c r="Q315" s="2297"/>
      <c r="R315" s="99"/>
      <c r="S315" s="99"/>
      <c r="T315" s="99"/>
      <c r="U315" s="99"/>
      <c r="V315" s="99"/>
      <c r="AF315" s="2297"/>
      <c r="AG315" s="1208"/>
      <c r="AH315" s="1208"/>
      <c r="AI315" s="1223"/>
      <c r="AJ315" s="1223"/>
      <c r="AK315" s="1223"/>
      <c r="AL315" s="1223"/>
      <c r="AM315" s="1223"/>
      <c r="AN315" s="1223"/>
      <c r="AO315" s="1208"/>
      <c r="AP315" s="1223"/>
      <c r="AQ315" s="1208"/>
      <c r="AR315" s="1208"/>
      <c r="AS315" s="1223"/>
      <c r="AT315" s="1223"/>
      <c r="AU315" s="1208"/>
      <c r="AV315" s="1208"/>
      <c r="AW315" s="2297"/>
      <c r="BE315" s="1224"/>
      <c r="BF315" s="1225"/>
      <c r="BR315" s="1224"/>
      <c r="BS315" s="1224"/>
    </row>
    <row r="316" spans="2:71" s="491" customFormat="1">
      <c r="B316" s="2297"/>
      <c r="C316" s="2297"/>
      <c r="D316" s="2297"/>
      <c r="E316" s="2297"/>
      <c r="F316" s="2297"/>
      <c r="G316" s="2297"/>
      <c r="H316" s="2297"/>
      <c r="I316" s="2297"/>
      <c r="J316" s="2297"/>
      <c r="K316" s="2297"/>
      <c r="L316" s="2297"/>
      <c r="M316" s="2297"/>
      <c r="N316" s="2297"/>
      <c r="O316" s="2297"/>
      <c r="P316" s="2297"/>
      <c r="Q316" s="2297"/>
      <c r="R316" s="99"/>
      <c r="S316" s="99"/>
      <c r="T316" s="99"/>
      <c r="U316" s="99"/>
      <c r="V316" s="99"/>
      <c r="AF316" s="2297"/>
      <c r="AG316" s="1208"/>
      <c r="AH316" s="1208"/>
      <c r="AI316" s="1223"/>
      <c r="AJ316" s="1223"/>
      <c r="AK316" s="1223"/>
      <c r="AL316" s="1223"/>
      <c r="AM316" s="1223"/>
      <c r="AN316" s="1223"/>
      <c r="AO316" s="1208"/>
      <c r="AP316" s="1223"/>
      <c r="AQ316" s="1208"/>
      <c r="AR316" s="1208"/>
      <c r="AS316" s="1223"/>
      <c r="AT316" s="1223"/>
      <c r="AU316" s="1208"/>
      <c r="AV316" s="1208"/>
      <c r="AW316" s="2297"/>
      <c r="BE316" s="1224"/>
      <c r="BF316" s="1225"/>
      <c r="BR316" s="1224"/>
      <c r="BS316" s="1224"/>
    </row>
    <row r="317" spans="2:71" s="491" customFormat="1">
      <c r="B317" s="2297"/>
      <c r="C317" s="2297"/>
      <c r="D317" s="2297"/>
      <c r="E317" s="2297"/>
      <c r="F317" s="2297"/>
      <c r="G317" s="2297"/>
      <c r="H317" s="2297"/>
      <c r="I317" s="2297"/>
      <c r="J317" s="2297"/>
      <c r="K317" s="2297"/>
      <c r="L317" s="2297"/>
      <c r="M317" s="2297"/>
      <c r="N317" s="2297"/>
      <c r="O317" s="2297"/>
      <c r="P317" s="2297"/>
      <c r="Q317" s="2297"/>
      <c r="R317" s="99"/>
      <c r="S317" s="99"/>
      <c r="T317" s="99"/>
      <c r="U317" s="99"/>
      <c r="V317" s="99"/>
      <c r="AF317" s="2297"/>
      <c r="AG317" s="1208"/>
      <c r="AH317" s="1208"/>
      <c r="AI317" s="1223"/>
      <c r="AJ317" s="1223"/>
      <c r="AK317" s="1223"/>
      <c r="AL317" s="1223"/>
      <c r="AM317" s="1223"/>
      <c r="AN317" s="1223"/>
      <c r="AO317" s="1208"/>
      <c r="AP317" s="1223"/>
      <c r="AQ317" s="1208"/>
      <c r="AR317" s="1208"/>
      <c r="AS317" s="1223"/>
      <c r="AT317" s="1223"/>
      <c r="AU317" s="1208"/>
      <c r="AV317" s="1208"/>
      <c r="AW317" s="2297"/>
      <c r="BE317" s="1224"/>
      <c r="BF317" s="1225"/>
      <c r="BR317" s="1224"/>
      <c r="BS317" s="1224"/>
    </row>
    <row r="318" spans="2:71" s="491" customFormat="1">
      <c r="B318" s="2297"/>
      <c r="C318" s="2297"/>
      <c r="D318" s="2297"/>
      <c r="E318" s="2297"/>
      <c r="F318" s="2297"/>
      <c r="G318" s="2297"/>
      <c r="H318" s="2297"/>
      <c r="I318" s="2297"/>
      <c r="J318" s="2297"/>
      <c r="K318" s="2297"/>
      <c r="L318" s="2297"/>
      <c r="M318" s="2297"/>
      <c r="N318" s="2297"/>
      <c r="O318" s="2297"/>
      <c r="P318" s="2297"/>
      <c r="Q318" s="2297"/>
      <c r="R318" s="99"/>
      <c r="S318" s="99"/>
      <c r="T318" s="99"/>
      <c r="U318" s="99"/>
      <c r="V318" s="99"/>
      <c r="AF318" s="2297"/>
      <c r="AG318" s="1208"/>
      <c r="AH318" s="1208"/>
      <c r="AI318" s="1223"/>
      <c r="AJ318" s="1223"/>
      <c r="AK318" s="1223"/>
      <c r="AL318" s="1223"/>
      <c r="AM318" s="1223"/>
      <c r="AN318" s="1223"/>
      <c r="AO318" s="1208"/>
      <c r="AP318" s="1223"/>
      <c r="AQ318" s="1208"/>
      <c r="AR318" s="1208"/>
      <c r="AS318" s="1223"/>
      <c r="AT318" s="1223"/>
      <c r="AU318" s="1208"/>
      <c r="AV318" s="1208"/>
      <c r="AW318" s="2297"/>
      <c r="BE318" s="1224"/>
      <c r="BF318" s="1225"/>
      <c r="BR318" s="1224"/>
      <c r="BS318" s="1224"/>
    </row>
    <row r="319" spans="2:71" s="491" customFormat="1">
      <c r="B319" s="2297"/>
      <c r="C319" s="2297"/>
      <c r="D319" s="2297"/>
      <c r="E319" s="2297"/>
      <c r="F319" s="2297"/>
      <c r="G319" s="2297"/>
      <c r="H319" s="2297"/>
      <c r="I319" s="2297"/>
      <c r="J319" s="2297"/>
      <c r="K319" s="2297"/>
      <c r="L319" s="2297"/>
      <c r="M319" s="2297"/>
      <c r="N319" s="2297"/>
      <c r="O319" s="2297"/>
      <c r="P319" s="2297"/>
      <c r="Q319" s="2297"/>
      <c r="R319" s="99"/>
      <c r="S319" s="99"/>
      <c r="T319" s="99"/>
      <c r="U319" s="99"/>
      <c r="V319" s="99"/>
      <c r="AF319" s="2297"/>
      <c r="AG319" s="1208"/>
      <c r="AH319" s="1208"/>
      <c r="AI319" s="1223"/>
      <c r="AJ319" s="1223"/>
      <c r="AK319" s="1223"/>
      <c r="AL319" s="1223"/>
      <c r="AM319" s="1223"/>
      <c r="AN319" s="1223"/>
      <c r="AO319" s="1208"/>
      <c r="AP319" s="1223"/>
      <c r="AQ319" s="1208"/>
      <c r="AR319" s="1208"/>
      <c r="AS319" s="1223"/>
      <c r="AT319" s="1223"/>
      <c r="AU319" s="1208"/>
      <c r="AV319" s="1208"/>
      <c r="AW319" s="2297"/>
      <c r="BE319" s="1224"/>
      <c r="BF319" s="1225"/>
      <c r="BR319" s="1224"/>
      <c r="BS319" s="1224"/>
    </row>
    <row r="320" spans="2:71" s="491" customFormat="1">
      <c r="B320" s="2297"/>
      <c r="C320" s="2297"/>
      <c r="D320" s="2297"/>
      <c r="E320" s="2297"/>
      <c r="F320" s="2297"/>
      <c r="G320" s="2297"/>
      <c r="H320" s="2297"/>
      <c r="I320" s="2297"/>
      <c r="J320" s="2297"/>
      <c r="K320" s="2297"/>
      <c r="L320" s="2297"/>
      <c r="M320" s="2297"/>
      <c r="N320" s="2297"/>
      <c r="O320" s="2297"/>
      <c r="P320" s="2297"/>
      <c r="Q320" s="2297"/>
      <c r="R320" s="99"/>
      <c r="S320" s="99"/>
      <c r="T320" s="99"/>
      <c r="U320" s="99"/>
      <c r="V320" s="99"/>
      <c r="AF320" s="2297"/>
      <c r="AG320" s="1208"/>
      <c r="AH320" s="1208"/>
      <c r="AI320" s="1223"/>
      <c r="AJ320" s="1223"/>
      <c r="AK320" s="1223"/>
      <c r="AL320" s="1223"/>
      <c r="AM320" s="1223"/>
      <c r="AN320" s="1223"/>
      <c r="AO320" s="1208"/>
      <c r="AP320" s="1223"/>
      <c r="AQ320" s="1208"/>
      <c r="AR320" s="1208"/>
      <c r="AS320" s="1223"/>
      <c r="AT320" s="1223"/>
      <c r="AU320" s="1208"/>
      <c r="AV320" s="1208"/>
      <c r="AW320" s="2297"/>
      <c r="BE320" s="1224"/>
      <c r="BF320" s="1225"/>
      <c r="BR320" s="1224"/>
      <c r="BS320" s="1224"/>
    </row>
    <row r="321" spans="2:71" s="491" customFormat="1">
      <c r="B321" s="2297"/>
      <c r="C321" s="2297"/>
      <c r="D321" s="2297"/>
      <c r="E321" s="2297"/>
      <c r="F321" s="2297"/>
      <c r="G321" s="2297"/>
      <c r="H321" s="2297"/>
      <c r="I321" s="2297"/>
      <c r="J321" s="2297"/>
      <c r="K321" s="2297"/>
      <c r="L321" s="2297"/>
      <c r="M321" s="2297"/>
      <c r="N321" s="2297"/>
      <c r="O321" s="2297"/>
      <c r="P321" s="2297"/>
      <c r="Q321" s="2297"/>
      <c r="R321" s="99"/>
      <c r="S321" s="99"/>
      <c r="T321" s="99"/>
      <c r="U321" s="99"/>
      <c r="V321" s="99"/>
      <c r="AF321" s="2297"/>
      <c r="AG321" s="1208"/>
      <c r="AH321" s="1208"/>
      <c r="AI321" s="1223"/>
      <c r="AJ321" s="1223"/>
      <c r="AK321" s="1223"/>
      <c r="AL321" s="1223"/>
      <c r="AM321" s="1223"/>
      <c r="AN321" s="1223"/>
      <c r="AO321" s="1208"/>
      <c r="AP321" s="1223"/>
      <c r="AQ321" s="1208"/>
      <c r="AR321" s="1208"/>
      <c r="AS321" s="1223"/>
      <c r="AT321" s="1223"/>
      <c r="AU321" s="1208"/>
      <c r="AV321" s="1208"/>
      <c r="AW321" s="2297"/>
      <c r="BE321" s="1224"/>
      <c r="BF321" s="1225"/>
      <c r="BR321" s="1224"/>
      <c r="BS321" s="1224"/>
    </row>
    <row r="322" spans="2:71" s="491" customFormat="1">
      <c r="B322" s="2297"/>
      <c r="C322" s="2297"/>
      <c r="D322" s="2297"/>
      <c r="E322" s="2297"/>
      <c r="F322" s="2297"/>
      <c r="G322" s="2297"/>
      <c r="H322" s="2297"/>
      <c r="I322" s="2297"/>
      <c r="J322" s="2297"/>
      <c r="K322" s="2297"/>
      <c r="L322" s="2297"/>
      <c r="M322" s="2297"/>
      <c r="N322" s="2297"/>
      <c r="O322" s="2297"/>
      <c r="P322" s="2297"/>
      <c r="Q322" s="2297"/>
      <c r="R322" s="99"/>
      <c r="S322" s="99"/>
      <c r="T322" s="99"/>
      <c r="U322" s="99"/>
      <c r="V322" s="99"/>
      <c r="AF322" s="2297"/>
      <c r="AG322" s="1208"/>
      <c r="AH322" s="1208"/>
      <c r="AI322" s="1223"/>
      <c r="AJ322" s="1223"/>
      <c r="AK322" s="1223"/>
      <c r="AL322" s="1223"/>
      <c r="AM322" s="1223"/>
      <c r="AN322" s="1223"/>
      <c r="AO322" s="1208"/>
      <c r="AP322" s="1223"/>
      <c r="AQ322" s="1208"/>
      <c r="AR322" s="1208"/>
      <c r="AS322" s="1223"/>
      <c r="AT322" s="1223"/>
      <c r="AU322" s="1208"/>
      <c r="AV322" s="1208"/>
      <c r="AW322" s="2297"/>
      <c r="BE322" s="1224"/>
      <c r="BF322" s="1225"/>
      <c r="BR322" s="1224"/>
      <c r="BS322" s="1224"/>
    </row>
    <row r="323" spans="2:71" s="491" customFormat="1">
      <c r="B323" s="2297"/>
      <c r="C323" s="2297"/>
      <c r="D323" s="2297"/>
      <c r="E323" s="2297"/>
      <c r="F323" s="2297"/>
      <c r="G323" s="2297"/>
      <c r="H323" s="2297"/>
      <c r="I323" s="2297"/>
      <c r="J323" s="2297"/>
      <c r="K323" s="2297"/>
      <c r="L323" s="2297"/>
      <c r="M323" s="2297"/>
      <c r="N323" s="2297"/>
      <c r="O323" s="2297"/>
      <c r="P323" s="2297"/>
      <c r="Q323" s="2297"/>
      <c r="R323" s="99"/>
      <c r="S323" s="99"/>
      <c r="T323" s="99"/>
      <c r="U323" s="99"/>
      <c r="V323" s="99"/>
      <c r="AF323" s="2297"/>
      <c r="AG323" s="1208"/>
      <c r="AH323" s="1208"/>
      <c r="AI323" s="1223"/>
      <c r="AJ323" s="1223"/>
      <c r="AK323" s="1223"/>
      <c r="AL323" s="1223"/>
      <c r="AM323" s="1223"/>
      <c r="AN323" s="1223"/>
      <c r="AO323" s="1208"/>
      <c r="AP323" s="1223"/>
      <c r="AQ323" s="1208"/>
      <c r="AR323" s="1208"/>
      <c r="AS323" s="1223"/>
      <c r="AT323" s="1223"/>
      <c r="AU323" s="1208"/>
      <c r="AV323" s="1208"/>
      <c r="AW323" s="2297"/>
      <c r="BE323" s="1224"/>
      <c r="BF323" s="1225"/>
      <c r="BR323" s="1224"/>
      <c r="BS323" s="1224"/>
    </row>
    <row r="324" spans="2:71" s="491" customFormat="1">
      <c r="B324" s="2297"/>
      <c r="C324" s="2297"/>
      <c r="D324" s="2297"/>
      <c r="E324" s="2297"/>
      <c r="F324" s="2297"/>
      <c r="G324" s="2297"/>
      <c r="H324" s="2297"/>
      <c r="I324" s="2297"/>
      <c r="J324" s="2297"/>
      <c r="K324" s="2297"/>
      <c r="L324" s="2297"/>
      <c r="M324" s="2297"/>
      <c r="N324" s="2297"/>
      <c r="O324" s="2297"/>
      <c r="P324" s="2297"/>
      <c r="Q324" s="2297"/>
      <c r="R324" s="99"/>
      <c r="S324" s="99"/>
      <c r="T324" s="99"/>
      <c r="U324" s="99"/>
      <c r="V324" s="99"/>
      <c r="AF324" s="2297"/>
      <c r="AG324" s="1208"/>
      <c r="AH324" s="1208"/>
      <c r="AI324" s="1223"/>
      <c r="AJ324" s="1223"/>
      <c r="AK324" s="1223"/>
      <c r="AL324" s="1223"/>
      <c r="AM324" s="1223"/>
      <c r="AN324" s="1223"/>
      <c r="AO324" s="1208"/>
      <c r="AP324" s="1223"/>
      <c r="AQ324" s="1208"/>
      <c r="AR324" s="1208"/>
      <c r="AS324" s="1223"/>
      <c r="AT324" s="1223"/>
      <c r="AU324" s="1208"/>
      <c r="AV324" s="1208"/>
      <c r="AW324" s="2297"/>
      <c r="BE324" s="1224"/>
      <c r="BF324" s="1225"/>
      <c r="BR324" s="1224"/>
      <c r="BS324" s="1224"/>
    </row>
    <row r="325" spans="2:71" s="491" customFormat="1">
      <c r="B325" s="2297"/>
      <c r="C325" s="2297"/>
      <c r="D325" s="2297"/>
      <c r="E325" s="2297"/>
      <c r="F325" s="2297"/>
      <c r="G325" s="2297"/>
      <c r="H325" s="2297"/>
      <c r="I325" s="2297"/>
      <c r="J325" s="2297"/>
      <c r="K325" s="2297"/>
      <c r="L325" s="2297"/>
      <c r="M325" s="2297"/>
      <c r="N325" s="2297"/>
      <c r="O325" s="2297"/>
      <c r="P325" s="2297"/>
      <c r="Q325" s="2297"/>
      <c r="R325" s="99"/>
      <c r="S325" s="99"/>
      <c r="T325" s="99"/>
      <c r="U325" s="99"/>
      <c r="V325" s="99"/>
      <c r="AF325" s="2297"/>
      <c r="AG325" s="1208"/>
      <c r="AH325" s="1208"/>
      <c r="AI325" s="1223"/>
      <c r="AJ325" s="1223"/>
      <c r="AK325" s="1223"/>
      <c r="AL325" s="1223"/>
      <c r="AM325" s="1223"/>
      <c r="AN325" s="1223"/>
      <c r="AO325" s="1208"/>
      <c r="AP325" s="1223"/>
      <c r="AQ325" s="1208"/>
      <c r="AR325" s="1208"/>
      <c r="AS325" s="1223"/>
      <c r="AT325" s="1223"/>
      <c r="AU325" s="1208"/>
      <c r="AV325" s="1208"/>
      <c r="AW325" s="2297"/>
      <c r="BE325" s="1224"/>
      <c r="BF325" s="1225"/>
      <c r="BR325" s="1224"/>
      <c r="BS325" s="1224"/>
    </row>
    <row r="326" spans="2:71" s="491" customFormat="1">
      <c r="B326" s="2297"/>
      <c r="C326" s="2297"/>
      <c r="D326" s="2297"/>
      <c r="E326" s="2297"/>
      <c r="F326" s="2297"/>
      <c r="G326" s="2297"/>
      <c r="H326" s="2297"/>
      <c r="I326" s="2297"/>
      <c r="J326" s="2297"/>
      <c r="K326" s="2297"/>
      <c r="L326" s="2297"/>
      <c r="M326" s="2297"/>
      <c r="N326" s="2297"/>
      <c r="O326" s="2297"/>
      <c r="P326" s="2297"/>
      <c r="Q326" s="2297"/>
      <c r="R326" s="99"/>
      <c r="S326" s="99"/>
      <c r="T326" s="99"/>
      <c r="U326" s="99"/>
      <c r="V326" s="99"/>
      <c r="AF326" s="2297"/>
      <c r="AG326" s="1208"/>
      <c r="AH326" s="1208"/>
      <c r="AI326" s="1223"/>
      <c r="AJ326" s="1223"/>
      <c r="AK326" s="1223"/>
      <c r="AL326" s="1223"/>
      <c r="AM326" s="1223"/>
      <c r="AN326" s="1223"/>
      <c r="AO326" s="1208"/>
      <c r="AP326" s="1223"/>
      <c r="AQ326" s="1208"/>
      <c r="AR326" s="1208"/>
      <c r="AS326" s="1223"/>
      <c r="AT326" s="1223"/>
      <c r="AU326" s="1208"/>
      <c r="AV326" s="1208"/>
      <c r="AW326" s="2297"/>
      <c r="BE326" s="1224"/>
      <c r="BF326" s="1225"/>
      <c r="BR326" s="1224"/>
      <c r="BS326" s="1224"/>
    </row>
    <row r="327" spans="2:71" s="491" customFormat="1">
      <c r="B327" s="2297"/>
      <c r="C327" s="2297"/>
      <c r="D327" s="2297"/>
      <c r="E327" s="2297"/>
      <c r="F327" s="2297"/>
      <c r="G327" s="2297"/>
      <c r="H327" s="2297"/>
      <c r="I327" s="2297"/>
      <c r="J327" s="2297"/>
      <c r="K327" s="2297"/>
      <c r="L327" s="2297"/>
      <c r="M327" s="2297"/>
      <c r="N327" s="2297"/>
      <c r="O327" s="2297"/>
      <c r="P327" s="2297"/>
      <c r="Q327" s="2297"/>
      <c r="R327" s="99"/>
      <c r="S327" s="99"/>
      <c r="T327" s="99"/>
      <c r="U327" s="99"/>
      <c r="V327" s="99"/>
      <c r="AF327" s="2297"/>
      <c r="AG327" s="1208"/>
      <c r="AH327" s="1208"/>
      <c r="AI327" s="1223"/>
      <c r="AJ327" s="1223"/>
      <c r="AK327" s="1223"/>
      <c r="AL327" s="1223"/>
      <c r="AM327" s="1223"/>
      <c r="AN327" s="1223"/>
      <c r="AO327" s="1208"/>
      <c r="AP327" s="1223"/>
      <c r="AQ327" s="1208"/>
      <c r="AR327" s="1208"/>
      <c r="AS327" s="1223"/>
      <c r="AT327" s="1223"/>
      <c r="AU327" s="1208"/>
      <c r="AV327" s="1208"/>
      <c r="AW327" s="2297"/>
      <c r="BE327" s="1224"/>
      <c r="BF327" s="1225"/>
      <c r="BR327" s="1224"/>
      <c r="BS327" s="1224"/>
    </row>
    <row r="328" spans="2:71" s="491" customFormat="1">
      <c r="B328" s="2297"/>
      <c r="C328" s="2297"/>
      <c r="D328" s="2297"/>
      <c r="E328" s="2297"/>
      <c r="F328" s="2297"/>
      <c r="G328" s="2297"/>
      <c r="H328" s="2297"/>
      <c r="I328" s="2297"/>
      <c r="J328" s="2297"/>
      <c r="K328" s="2297"/>
      <c r="L328" s="2297"/>
      <c r="M328" s="2297"/>
      <c r="N328" s="2297"/>
      <c r="O328" s="2297"/>
      <c r="P328" s="2297"/>
      <c r="Q328" s="2297"/>
      <c r="R328" s="99"/>
      <c r="S328" s="99"/>
      <c r="T328" s="99"/>
      <c r="U328" s="99"/>
      <c r="V328" s="99"/>
      <c r="AF328" s="2297"/>
      <c r="AG328" s="1208"/>
      <c r="AH328" s="1208"/>
      <c r="AI328" s="1223"/>
      <c r="AJ328" s="1223"/>
      <c r="AK328" s="1223"/>
      <c r="AL328" s="1223"/>
      <c r="AM328" s="1223"/>
      <c r="AN328" s="1223"/>
      <c r="AO328" s="1208"/>
      <c r="AP328" s="1223"/>
      <c r="AQ328" s="1208"/>
      <c r="AR328" s="1208"/>
      <c r="AS328" s="1223"/>
      <c r="AT328" s="1223"/>
      <c r="AU328" s="1208"/>
      <c r="AV328" s="1208"/>
      <c r="AW328" s="2297"/>
      <c r="BE328" s="1224"/>
      <c r="BF328" s="1225"/>
      <c r="BR328" s="1224"/>
      <c r="BS328" s="1224"/>
    </row>
    <row r="329" spans="2:71" s="491" customFormat="1">
      <c r="B329" s="2297"/>
      <c r="C329" s="2297"/>
      <c r="D329" s="2297"/>
      <c r="E329" s="2297"/>
      <c r="F329" s="2297"/>
      <c r="G329" s="2297"/>
      <c r="H329" s="2297"/>
      <c r="I329" s="2297"/>
      <c r="J329" s="2297"/>
      <c r="K329" s="2297"/>
      <c r="L329" s="2297"/>
      <c r="M329" s="2297"/>
      <c r="N329" s="2297"/>
      <c r="O329" s="2297"/>
      <c r="P329" s="2297"/>
      <c r="Q329" s="2297"/>
      <c r="R329" s="99"/>
      <c r="S329" s="99"/>
      <c r="T329" s="99"/>
      <c r="U329" s="99"/>
      <c r="V329" s="99"/>
      <c r="AF329" s="2297"/>
      <c r="AG329" s="1208"/>
      <c r="AH329" s="1208"/>
      <c r="AI329" s="1223"/>
      <c r="AJ329" s="1223"/>
      <c r="AK329" s="1223"/>
      <c r="AL329" s="1223"/>
      <c r="AM329" s="1223"/>
      <c r="AN329" s="1223"/>
      <c r="AO329" s="1208"/>
      <c r="AP329" s="1223"/>
      <c r="AQ329" s="1208"/>
      <c r="AR329" s="1208"/>
      <c r="AS329" s="1223"/>
      <c r="AT329" s="1223"/>
      <c r="AU329" s="1208"/>
      <c r="AV329" s="1208"/>
      <c r="AW329" s="2297"/>
      <c r="BE329" s="1224"/>
      <c r="BF329" s="1225"/>
      <c r="BR329" s="1224"/>
      <c r="BS329" s="1224"/>
    </row>
    <row r="330" spans="2:71" s="491" customFormat="1">
      <c r="B330" s="2297"/>
      <c r="C330" s="2297"/>
      <c r="D330" s="2297"/>
      <c r="E330" s="2297"/>
      <c r="F330" s="2297"/>
      <c r="G330" s="2297"/>
      <c r="H330" s="2297"/>
      <c r="I330" s="2297"/>
      <c r="J330" s="2297"/>
      <c r="K330" s="2297"/>
      <c r="L330" s="2297"/>
      <c r="M330" s="2297"/>
      <c r="N330" s="2297"/>
      <c r="O330" s="2297"/>
      <c r="P330" s="2297"/>
      <c r="Q330" s="2297"/>
      <c r="R330" s="99"/>
      <c r="S330" s="99"/>
      <c r="T330" s="99"/>
      <c r="U330" s="99"/>
      <c r="V330" s="99"/>
      <c r="AF330" s="2297"/>
      <c r="AG330" s="1208"/>
      <c r="AH330" s="1208"/>
      <c r="AI330" s="1223"/>
      <c r="AJ330" s="1223"/>
      <c r="AK330" s="1223"/>
      <c r="AL330" s="1223"/>
      <c r="AM330" s="1223"/>
      <c r="AN330" s="1223"/>
      <c r="AO330" s="1208"/>
      <c r="AP330" s="1223"/>
      <c r="AQ330" s="1208"/>
      <c r="AR330" s="1208"/>
      <c r="AS330" s="1223"/>
      <c r="AT330" s="1223"/>
      <c r="AU330" s="1208"/>
      <c r="AV330" s="1208"/>
      <c r="AW330" s="2297"/>
      <c r="BE330" s="1224"/>
      <c r="BF330" s="1225"/>
      <c r="BR330" s="1224"/>
      <c r="BS330" s="1224"/>
    </row>
    <row r="331" spans="2:71" s="491" customFormat="1">
      <c r="B331" s="2297"/>
      <c r="C331" s="2297"/>
      <c r="D331" s="2297"/>
      <c r="E331" s="2297"/>
      <c r="F331" s="2297"/>
      <c r="G331" s="2297"/>
      <c r="H331" s="2297"/>
      <c r="I331" s="2297"/>
      <c r="J331" s="2297"/>
      <c r="K331" s="2297"/>
      <c r="L331" s="2297"/>
      <c r="M331" s="2297"/>
      <c r="N331" s="2297"/>
      <c r="O331" s="2297"/>
      <c r="P331" s="2297"/>
      <c r="Q331" s="2297"/>
      <c r="R331" s="99"/>
      <c r="S331" s="99"/>
      <c r="T331" s="99"/>
      <c r="U331" s="99"/>
      <c r="V331" s="99"/>
      <c r="AF331" s="2297"/>
      <c r="AG331" s="1208"/>
      <c r="AH331" s="1208"/>
      <c r="AI331" s="1223"/>
      <c r="AJ331" s="1223"/>
      <c r="AK331" s="1223"/>
      <c r="AL331" s="1223"/>
      <c r="AM331" s="1223"/>
      <c r="AN331" s="1223"/>
      <c r="AO331" s="1208"/>
      <c r="AP331" s="1223"/>
      <c r="AQ331" s="1208"/>
      <c r="AR331" s="1208"/>
      <c r="AS331" s="1223"/>
      <c r="AT331" s="1223"/>
      <c r="AU331" s="1208"/>
      <c r="AV331" s="1208"/>
      <c r="AW331" s="2297"/>
      <c r="BE331" s="1224"/>
      <c r="BF331" s="1225"/>
      <c r="BR331" s="1224"/>
      <c r="BS331" s="1224"/>
    </row>
    <row r="332" spans="2:71" s="491" customFormat="1">
      <c r="B332" s="2297"/>
      <c r="C332" s="2297"/>
      <c r="D332" s="2297"/>
      <c r="E332" s="2297"/>
      <c r="F332" s="2297"/>
      <c r="G332" s="2297"/>
      <c r="H332" s="2297"/>
      <c r="I332" s="2297"/>
      <c r="J332" s="2297"/>
      <c r="K332" s="2297"/>
      <c r="L332" s="2297"/>
      <c r="M332" s="2297"/>
      <c r="N332" s="2297"/>
      <c r="O332" s="2297"/>
      <c r="P332" s="2297"/>
      <c r="Q332" s="2297"/>
      <c r="R332" s="99"/>
      <c r="S332" s="99"/>
      <c r="T332" s="99"/>
      <c r="U332" s="99"/>
      <c r="V332" s="99"/>
      <c r="AF332" s="2297"/>
      <c r="AG332" s="1208"/>
      <c r="AH332" s="1208"/>
      <c r="AI332" s="1223"/>
      <c r="AJ332" s="1223"/>
      <c r="AK332" s="1223"/>
      <c r="AL332" s="1223"/>
      <c r="AM332" s="1223"/>
      <c r="AN332" s="1223"/>
      <c r="AO332" s="1208"/>
      <c r="AP332" s="1223"/>
      <c r="AQ332" s="1208"/>
      <c r="AR332" s="1208"/>
      <c r="AS332" s="1223"/>
      <c r="AT332" s="1223"/>
      <c r="AU332" s="1208"/>
      <c r="AV332" s="1208"/>
      <c r="AW332" s="2297"/>
      <c r="BE332" s="1224"/>
      <c r="BF332" s="1225"/>
      <c r="BR332" s="1224"/>
      <c r="BS332" s="1224"/>
    </row>
    <row r="333" spans="2:71" s="491" customFormat="1">
      <c r="B333" s="2297"/>
      <c r="C333" s="2297"/>
      <c r="D333" s="2297"/>
      <c r="E333" s="2297"/>
      <c r="F333" s="2297"/>
      <c r="G333" s="2297"/>
      <c r="H333" s="2297"/>
      <c r="I333" s="2297"/>
      <c r="J333" s="2297"/>
      <c r="K333" s="2297"/>
      <c r="L333" s="2297"/>
      <c r="M333" s="2297"/>
      <c r="N333" s="2297"/>
      <c r="O333" s="2297"/>
      <c r="P333" s="2297"/>
      <c r="Q333" s="2297"/>
      <c r="R333" s="99"/>
      <c r="S333" s="99"/>
      <c r="T333" s="99"/>
      <c r="U333" s="99"/>
      <c r="V333" s="99"/>
      <c r="AF333" s="2297"/>
      <c r="AG333" s="1208"/>
      <c r="AH333" s="1208"/>
      <c r="AI333" s="1223"/>
      <c r="AJ333" s="1223"/>
      <c r="AK333" s="1223"/>
      <c r="AL333" s="1223"/>
      <c r="AM333" s="1223"/>
      <c r="AN333" s="1223"/>
      <c r="AO333" s="1208"/>
      <c r="AP333" s="1223"/>
      <c r="AQ333" s="1208"/>
      <c r="AR333" s="1208"/>
      <c r="AS333" s="1223"/>
      <c r="AT333" s="1223"/>
      <c r="AU333" s="1208"/>
      <c r="AV333" s="1208"/>
      <c r="AW333" s="2297"/>
      <c r="BE333" s="1224"/>
      <c r="BF333" s="1225"/>
      <c r="BR333" s="1224"/>
      <c r="BS333" s="1224"/>
    </row>
    <row r="334" spans="2:71" s="491" customFormat="1">
      <c r="B334" s="2297"/>
      <c r="C334" s="2297"/>
      <c r="D334" s="2297"/>
      <c r="E334" s="2297"/>
      <c r="F334" s="2297"/>
      <c r="G334" s="2297"/>
      <c r="H334" s="2297"/>
      <c r="I334" s="2297"/>
      <c r="J334" s="2297"/>
      <c r="K334" s="2297"/>
      <c r="L334" s="2297"/>
      <c r="M334" s="2297"/>
      <c r="N334" s="2297"/>
      <c r="O334" s="2297"/>
      <c r="P334" s="2297"/>
      <c r="Q334" s="2297"/>
      <c r="R334" s="99"/>
      <c r="S334" s="99"/>
      <c r="T334" s="99"/>
      <c r="U334" s="99"/>
      <c r="V334" s="99"/>
      <c r="AF334" s="2297"/>
      <c r="AG334" s="1208"/>
      <c r="AH334" s="1208"/>
      <c r="AI334" s="1223"/>
      <c r="AJ334" s="1223"/>
      <c r="AK334" s="1223"/>
      <c r="AL334" s="1223"/>
      <c r="AM334" s="1223"/>
      <c r="AN334" s="1223"/>
      <c r="AO334" s="1208"/>
      <c r="AP334" s="1223"/>
      <c r="AQ334" s="1208"/>
      <c r="AR334" s="1208"/>
      <c r="AS334" s="1223"/>
      <c r="AT334" s="1223"/>
      <c r="AU334" s="1208"/>
      <c r="AV334" s="1208"/>
      <c r="AW334" s="2297"/>
      <c r="BE334" s="1224"/>
      <c r="BF334" s="1225"/>
      <c r="BR334" s="1224"/>
      <c r="BS334" s="1224"/>
    </row>
    <row r="335" spans="2:71" s="491" customFormat="1">
      <c r="B335" s="2297"/>
      <c r="C335" s="2297"/>
      <c r="D335" s="2297"/>
      <c r="E335" s="2297"/>
      <c r="F335" s="2297"/>
      <c r="G335" s="2297"/>
      <c r="H335" s="2297"/>
      <c r="I335" s="2297"/>
      <c r="J335" s="2297"/>
      <c r="K335" s="2297"/>
      <c r="L335" s="2297"/>
      <c r="M335" s="2297"/>
      <c r="N335" s="2297"/>
      <c r="O335" s="2297"/>
      <c r="P335" s="2297"/>
      <c r="Q335" s="2297"/>
      <c r="R335" s="99"/>
      <c r="S335" s="99"/>
      <c r="T335" s="99"/>
      <c r="U335" s="99"/>
      <c r="V335" s="99"/>
      <c r="AF335" s="2297"/>
      <c r="AG335" s="1208"/>
      <c r="AH335" s="1208"/>
      <c r="AI335" s="1223"/>
      <c r="AJ335" s="1223"/>
      <c r="AK335" s="1223"/>
      <c r="AL335" s="1223"/>
      <c r="AM335" s="1223"/>
      <c r="AN335" s="1223"/>
      <c r="AO335" s="1208"/>
      <c r="AP335" s="1223"/>
      <c r="AQ335" s="1208"/>
      <c r="AR335" s="1208"/>
      <c r="AS335" s="1223"/>
      <c r="AT335" s="1223"/>
      <c r="AU335" s="1208"/>
      <c r="AV335" s="1208"/>
      <c r="AW335" s="2297"/>
      <c r="BE335" s="1224"/>
      <c r="BF335" s="1225"/>
      <c r="BR335" s="1224"/>
      <c r="BS335" s="1224"/>
    </row>
    <row r="336" spans="2:71" s="491" customFormat="1">
      <c r="B336" s="2297"/>
      <c r="C336" s="2297"/>
      <c r="D336" s="2297"/>
      <c r="E336" s="2297"/>
      <c r="F336" s="2297"/>
      <c r="G336" s="2297"/>
      <c r="H336" s="2297"/>
      <c r="I336" s="2297"/>
      <c r="J336" s="2297"/>
      <c r="K336" s="2297"/>
      <c r="L336" s="2297"/>
      <c r="M336" s="2297"/>
      <c r="N336" s="2297"/>
      <c r="O336" s="2297"/>
      <c r="P336" s="2297"/>
      <c r="Q336" s="2297"/>
      <c r="R336" s="99"/>
      <c r="S336" s="99"/>
      <c r="T336" s="99"/>
      <c r="U336" s="99"/>
      <c r="V336" s="99"/>
      <c r="AF336" s="2297"/>
      <c r="AG336" s="1208"/>
      <c r="AH336" s="1208"/>
      <c r="AI336" s="1223"/>
      <c r="AJ336" s="1223"/>
      <c r="AK336" s="1223"/>
      <c r="AL336" s="1223"/>
      <c r="AM336" s="1223"/>
      <c r="AN336" s="1223"/>
      <c r="AO336" s="1208"/>
      <c r="AP336" s="1223"/>
      <c r="AQ336" s="1208"/>
      <c r="AR336" s="1208"/>
      <c r="AS336" s="1223"/>
      <c r="AT336" s="1223"/>
      <c r="AU336" s="1208"/>
      <c r="AV336" s="1208"/>
      <c r="AW336" s="2297"/>
      <c r="BE336" s="1224"/>
      <c r="BF336" s="1225"/>
      <c r="BR336" s="1224"/>
      <c r="BS336" s="1224"/>
    </row>
    <row r="337" spans="2:71" s="491" customFormat="1">
      <c r="B337" s="2297"/>
      <c r="C337" s="2297"/>
      <c r="D337" s="2297"/>
      <c r="E337" s="2297"/>
      <c r="F337" s="2297"/>
      <c r="G337" s="2297"/>
      <c r="H337" s="2297"/>
      <c r="I337" s="2297"/>
      <c r="J337" s="2297"/>
      <c r="K337" s="2297"/>
      <c r="L337" s="2297"/>
      <c r="M337" s="2297"/>
      <c r="N337" s="2297"/>
      <c r="O337" s="2297"/>
      <c r="P337" s="2297"/>
      <c r="Q337" s="2297"/>
      <c r="R337" s="99"/>
      <c r="S337" s="99"/>
      <c r="T337" s="99"/>
      <c r="U337" s="99"/>
      <c r="V337" s="99"/>
      <c r="AF337" s="2297"/>
      <c r="AG337" s="1208"/>
      <c r="AH337" s="1208"/>
      <c r="AI337" s="1223"/>
      <c r="AJ337" s="1223"/>
      <c r="AK337" s="1223"/>
      <c r="AL337" s="1223"/>
      <c r="AM337" s="1223"/>
      <c r="AN337" s="1223"/>
      <c r="AO337" s="1208"/>
      <c r="AP337" s="1223"/>
      <c r="AQ337" s="1208"/>
      <c r="AR337" s="1208"/>
      <c r="AS337" s="1223"/>
      <c r="AT337" s="1223"/>
      <c r="AU337" s="1208"/>
      <c r="AV337" s="1208"/>
      <c r="AW337" s="2297"/>
      <c r="BE337" s="1224"/>
      <c r="BF337" s="1225"/>
      <c r="BR337" s="1224"/>
      <c r="BS337" s="1224"/>
    </row>
    <row r="338" spans="2:71" s="491" customFormat="1">
      <c r="B338" s="2297"/>
      <c r="C338" s="2297"/>
      <c r="D338" s="2297"/>
      <c r="E338" s="2297"/>
      <c r="F338" s="2297"/>
      <c r="G338" s="2297"/>
      <c r="H338" s="2297"/>
      <c r="I338" s="2297"/>
      <c r="J338" s="2297"/>
      <c r="K338" s="2297"/>
      <c r="L338" s="2297"/>
      <c r="M338" s="2297"/>
      <c r="N338" s="2297"/>
      <c r="O338" s="2297"/>
      <c r="P338" s="2297"/>
      <c r="Q338" s="2297"/>
      <c r="R338" s="99"/>
      <c r="S338" s="99"/>
      <c r="T338" s="99"/>
      <c r="U338" s="99"/>
      <c r="V338" s="99"/>
      <c r="AF338" s="2297"/>
      <c r="AG338" s="1208"/>
      <c r="AH338" s="1208"/>
      <c r="AI338" s="1223"/>
      <c r="AJ338" s="1223"/>
      <c r="AK338" s="1223"/>
      <c r="AL338" s="1223"/>
      <c r="AM338" s="1223"/>
      <c r="AN338" s="1223"/>
      <c r="AO338" s="1208"/>
      <c r="AP338" s="1223"/>
      <c r="AQ338" s="1208"/>
      <c r="AR338" s="1208"/>
      <c r="AS338" s="1223"/>
      <c r="AT338" s="1223"/>
      <c r="AU338" s="1208"/>
      <c r="AV338" s="1208"/>
      <c r="AW338" s="2297"/>
      <c r="BE338" s="1224"/>
      <c r="BF338" s="1225"/>
      <c r="BR338" s="1224"/>
      <c r="BS338" s="1224"/>
    </row>
    <row r="339" spans="2:71" s="491" customFormat="1">
      <c r="B339" s="2297"/>
      <c r="C339" s="2297"/>
      <c r="D339" s="2297"/>
      <c r="E339" s="2297"/>
      <c r="F339" s="2297"/>
      <c r="G339" s="2297"/>
      <c r="H339" s="2297"/>
      <c r="I339" s="2297"/>
      <c r="J339" s="2297"/>
      <c r="K339" s="2297"/>
      <c r="L339" s="2297"/>
      <c r="M339" s="2297"/>
      <c r="N339" s="2297"/>
      <c r="O339" s="2297"/>
      <c r="P339" s="2297"/>
      <c r="Q339" s="2297"/>
      <c r="R339" s="99"/>
      <c r="S339" s="99"/>
      <c r="T339" s="99"/>
      <c r="U339" s="99"/>
      <c r="V339" s="99"/>
      <c r="AF339" s="2297"/>
      <c r="AG339" s="1208"/>
      <c r="AH339" s="1208"/>
      <c r="AI339" s="1223"/>
      <c r="AJ339" s="1223"/>
      <c r="AK339" s="1223"/>
      <c r="AL339" s="1223"/>
      <c r="AM339" s="1223"/>
      <c r="AN339" s="1223"/>
      <c r="AO339" s="1208"/>
      <c r="AP339" s="1223"/>
      <c r="AQ339" s="1208"/>
      <c r="AR339" s="1208"/>
      <c r="AS339" s="1223"/>
      <c r="AT339" s="1223"/>
      <c r="AU339" s="1208"/>
      <c r="AV339" s="1208"/>
      <c r="AW339" s="2297"/>
      <c r="BE339" s="1224"/>
      <c r="BF339" s="1225"/>
      <c r="BR339" s="1224"/>
      <c r="BS339" s="1224"/>
    </row>
    <row r="340" spans="2:71" s="491" customFormat="1">
      <c r="B340" s="2297"/>
      <c r="C340" s="2297"/>
      <c r="D340" s="2297"/>
      <c r="E340" s="2297"/>
      <c r="F340" s="2297"/>
      <c r="G340" s="2297"/>
      <c r="H340" s="2297"/>
      <c r="I340" s="2297"/>
      <c r="J340" s="2297"/>
      <c r="K340" s="2297"/>
      <c r="L340" s="2297"/>
      <c r="M340" s="2297"/>
      <c r="N340" s="2297"/>
      <c r="O340" s="2297"/>
      <c r="P340" s="2297"/>
      <c r="Q340" s="2297"/>
      <c r="R340" s="99"/>
      <c r="S340" s="99"/>
      <c r="T340" s="99"/>
      <c r="U340" s="99"/>
      <c r="V340" s="99"/>
      <c r="AF340" s="2297"/>
      <c r="AG340" s="1208"/>
      <c r="AH340" s="1208"/>
      <c r="AI340" s="1223"/>
      <c r="AJ340" s="1223"/>
      <c r="AK340" s="1223"/>
      <c r="AL340" s="1223"/>
      <c r="AM340" s="1223"/>
      <c r="AN340" s="1223"/>
      <c r="AO340" s="1208"/>
      <c r="AP340" s="1223"/>
      <c r="AQ340" s="1208"/>
      <c r="AR340" s="1208"/>
      <c r="AS340" s="1223"/>
      <c r="AT340" s="1223"/>
      <c r="AU340" s="1208"/>
      <c r="AV340" s="1208"/>
      <c r="AW340" s="2297"/>
      <c r="BE340" s="1224"/>
      <c r="BF340" s="1225"/>
      <c r="BR340" s="1224"/>
      <c r="BS340" s="1224"/>
    </row>
    <row r="341" spans="2:71" s="491" customFormat="1">
      <c r="B341" s="2297"/>
      <c r="C341" s="2297"/>
      <c r="D341" s="2297"/>
      <c r="E341" s="2297"/>
      <c r="F341" s="2297"/>
      <c r="G341" s="2297"/>
      <c r="H341" s="2297"/>
      <c r="I341" s="2297"/>
      <c r="J341" s="2297"/>
      <c r="K341" s="2297"/>
      <c r="L341" s="2297"/>
      <c r="M341" s="2297"/>
      <c r="N341" s="2297"/>
      <c r="O341" s="2297"/>
      <c r="P341" s="2297"/>
      <c r="Q341" s="2297"/>
      <c r="R341" s="99"/>
      <c r="S341" s="99"/>
      <c r="T341" s="99"/>
      <c r="U341" s="99"/>
      <c r="V341" s="99"/>
      <c r="AF341" s="2297"/>
      <c r="AG341" s="1208"/>
      <c r="AH341" s="1208"/>
      <c r="AI341" s="1223"/>
      <c r="AJ341" s="1223"/>
      <c r="AK341" s="1223"/>
      <c r="AL341" s="1223"/>
      <c r="AM341" s="1223"/>
      <c r="AN341" s="1223"/>
      <c r="AO341" s="1208"/>
      <c r="AP341" s="1223"/>
      <c r="AQ341" s="1208"/>
      <c r="AR341" s="1208"/>
      <c r="AS341" s="1223"/>
      <c r="AT341" s="1223"/>
      <c r="AU341" s="1208"/>
      <c r="AV341" s="1208"/>
      <c r="AW341" s="2297"/>
      <c r="BE341" s="1224"/>
      <c r="BF341" s="1225"/>
      <c r="BR341" s="1224"/>
      <c r="BS341" s="1224"/>
    </row>
    <row r="342" spans="2:71" s="491" customFormat="1">
      <c r="B342" s="2297"/>
      <c r="C342" s="2297"/>
      <c r="D342" s="2297"/>
      <c r="E342" s="2297"/>
      <c r="F342" s="2297"/>
      <c r="G342" s="2297"/>
      <c r="H342" s="2297"/>
      <c r="I342" s="2297"/>
      <c r="J342" s="2297"/>
      <c r="K342" s="2297"/>
      <c r="L342" s="2297"/>
      <c r="M342" s="2297"/>
      <c r="N342" s="2297"/>
      <c r="O342" s="2297"/>
      <c r="P342" s="2297"/>
      <c r="Q342" s="2297"/>
      <c r="R342" s="99"/>
      <c r="S342" s="99"/>
      <c r="T342" s="99"/>
      <c r="U342" s="99"/>
      <c r="V342" s="99"/>
      <c r="AF342" s="2297"/>
      <c r="AG342" s="1208"/>
      <c r="AH342" s="1208"/>
      <c r="AI342" s="1223"/>
      <c r="AJ342" s="1223"/>
      <c r="AK342" s="1223"/>
      <c r="AL342" s="1223"/>
      <c r="AM342" s="1223"/>
      <c r="AN342" s="1223"/>
      <c r="AO342" s="1208"/>
      <c r="AP342" s="1223"/>
      <c r="AQ342" s="1208"/>
      <c r="AR342" s="1208"/>
      <c r="AS342" s="1223"/>
      <c r="AT342" s="1223"/>
      <c r="AU342" s="1208"/>
      <c r="AV342" s="1208"/>
      <c r="AW342" s="2297"/>
      <c r="BE342" s="1224"/>
      <c r="BF342" s="1225"/>
      <c r="BR342" s="1224"/>
      <c r="BS342" s="1224"/>
    </row>
    <row r="343" spans="2:71" s="491" customFormat="1">
      <c r="B343" s="2297"/>
      <c r="C343" s="2297"/>
      <c r="D343" s="2297"/>
      <c r="E343" s="2297"/>
      <c r="F343" s="2297"/>
      <c r="G343" s="2297"/>
      <c r="H343" s="2297"/>
      <c r="I343" s="2297"/>
      <c r="J343" s="2297"/>
      <c r="K343" s="2297"/>
      <c r="L343" s="2297"/>
      <c r="M343" s="2297"/>
      <c r="N343" s="2297"/>
      <c r="O343" s="2297"/>
      <c r="P343" s="2297"/>
      <c r="Q343" s="2297"/>
      <c r="R343" s="99"/>
      <c r="S343" s="99"/>
      <c r="T343" s="99"/>
      <c r="U343" s="99"/>
      <c r="V343" s="99"/>
      <c r="AF343" s="2297"/>
      <c r="AG343" s="1208"/>
      <c r="AH343" s="1208"/>
      <c r="AI343" s="1223"/>
      <c r="AJ343" s="1223"/>
      <c r="AK343" s="1223"/>
      <c r="AL343" s="1223"/>
      <c r="AM343" s="1223"/>
      <c r="AN343" s="1223"/>
      <c r="AO343" s="1208"/>
      <c r="AP343" s="1223"/>
      <c r="AQ343" s="1208"/>
      <c r="AR343" s="1208"/>
      <c r="AS343" s="1223"/>
      <c r="AT343" s="1223"/>
      <c r="AU343" s="1208"/>
      <c r="AV343" s="1208"/>
      <c r="AW343" s="2297"/>
      <c r="BE343" s="1224"/>
      <c r="BF343" s="1225"/>
      <c r="BR343" s="1224"/>
      <c r="BS343" s="1224"/>
    </row>
    <row r="344" spans="2:71" s="491" customFormat="1">
      <c r="B344" s="2297"/>
      <c r="C344" s="2297"/>
      <c r="D344" s="2297"/>
      <c r="E344" s="2297"/>
      <c r="F344" s="2297"/>
      <c r="G344" s="2297"/>
      <c r="H344" s="2297"/>
      <c r="I344" s="2297"/>
      <c r="J344" s="2297"/>
      <c r="K344" s="2297"/>
      <c r="L344" s="2297"/>
      <c r="M344" s="2297"/>
      <c r="N344" s="2297"/>
      <c r="O344" s="2297"/>
      <c r="P344" s="2297"/>
      <c r="Q344" s="2297"/>
      <c r="R344" s="99"/>
      <c r="S344" s="99"/>
      <c r="T344" s="99"/>
      <c r="U344" s="99"/>
      <c r="V344" s="99"/>
      <c r="AF344" s="2297"/>
      <c r="AG344" s="1208"/>
      <c r="AH344" s="1208"/>
      <c r="AI344" s="1223"/>
      <c r="AJ344" s="1223"/>
      <c r="AK344" s="1223"/>
      <c r="AL344" s="1223"/>
      <c r="AM344" s="1223"/>
      <c r="AN344" s="1223"/>
      <c r="AO344" s="1208"/>
      <c r="AP344" s="1223"/>
      <c r="AQ344" s="1208"/>
      <c r="AR344" s="1208"/>
      <c r="AS344" s="1223"/>
      <c r="AT344" s="1223"/>
      <c r="AU344" s="1208"/>
      <c r="AV344" s="1208"/>
      <c r="AW344" s="2297"/>
      <c r="BE344" s="1224"/>
      <c r="BF344" s="1225"/>
      <c r="BR344" s="1224"/>
      <c r="BS344" s="1224"/>
    </row>
    <row r="345" spans="2:71" s="491" customFormat="1">
      <c r="B345" s="2297"/>
      <c r="C345" s="2297"/>
      <c r="D345" s="2297"/>
      <c r="E345" s="2297"/>
      <c r="F345" s="2297"/>
      <c r="G345" s="2297"/>
      <c r="H345" s="2297"/>
      <c r="I345" s="2297"/>
      <c r="J345" s="2297"/>
      <c r="K345" s="2297"/>
      <c r="L345" s="2297"/>
      <c r="M345" s="2297"/>
      <c r="N345" s="2297"/>
      <c r="O345" s="2297"/>
      <c r="P345" s="2297"/>
      <c r="Q345" s="2297"/>
      <c r="R345" s="99"/>
      <c r="S345" s="99"/>
      <c r="T345" s="99"/>
      <c r="U345" s="99"/>
      <c r="V345" s="99"/>
      <c r="AF345" s="2297"/>
      <c r="AG345" s="1208"/>
      <c r="AH345" s="1208"/>
      <c r="AI345" s="1223"/>
      <c r="AJ345" s="1223"/>
      <c r="AK345" s="1223"/>
      <c r="AL345" s="1223"/>
      <c r="AM345" s="1223"/>
      <c r="AN345" s="1223"/>
      <c r="AO345" s="1208"/>
      <c r="AP345" s="1223"/>
      <c r="AQ345" s="1208"/>
      <c r="AR345" s="1208"/>
      <c r="AS345" s="1223"/>
      <c r="AT345" s="1223"/>
      <c r="AU345" s="1208"/>
      <c r="AV345" s="1208"/>
      <c r="AW345" s="2297"/>
      <c r="BE345" s="1224"/>
      <c r="BF345" s="1225"/>
      <c r="BR345" s="1224"/>
      <c r="BS345" s="1224"/>
    </row>
    <row r="346" spans="2:71" s="491" customFormat="1">
      <c r="B346" s="2297"/>
      <c r="C346" s="2297"/>
      <c r="D346" s="2297"/>
      <c r="E346" s="2297"/>
      <c r="F346" s="2297"/>
      <c r="G346" s="2297"/>
      <c r="H346" s="2297"/>
      <c r="I346" s="2297"/>
      <c r="J346" s="2297"/>
      <c r="K346" s="2297"/>
      <c r="L346" s="2297"/>
      <c r="M346" s="2297"/>
      <c r="N346" s="2297"/>
      <c r="O346" s="2297"/>
      <c r="P346" s="2297"/>
      <c r="Q346" s="2297"/>
      <c r="R346" s="99"/>
      <c r="S346" s="99"/>
      <c r="T346" s="99"/>
      <c r="U346" s="99"/>
      <c r="V346" s="99"/>
      <c r="AF346" s="2297"/>
      <c r="AG346" s="1208"/>
      <c r="AH346" s="1208"/>
      <c r="AI346" s="1223"/>
      <c r="AJ346" s="1223"/>
      <c r="AK346" s="1223"/>
      <c r="AL346" s="1223"/>
      <c r="AM346" s="1223"/>
      <c r="AN346" s="1223"/>
      <c r="AO346" s="1208"/>
      <c r="AP346" s="1223"/>
      <c r="AQ346" s="1208"/>
      <c r="AR346" s="1208"/>
      <c r="AS346" s="1223"/>
      <c r="AT346" s="1223"/>
      <c r="AU346" s="1208"/>
      <c r="AV346" s="1208"/>
      <c r="AW346" s="2297"/>
      <c r="BE346" s="1224"/>
      <c r="BF346" s="1225"/>
      <c r="BR346" s="1224"/>
      <c r="BS346" s="1224"/>
    </row>
    <row r="347" spans="2:71" s="491" customFormat="1">
      <c r="B347" s="2297"/>
      <c r="C347" s="2297"/>
      <c r="D347" s="2297"/>
      <c r="E347" s="2297"/>
      <c r="F347" s="2297"/>
      <c r="G347" s="2297"/>
      <c r="H347" s="2297"/>
      <c r="I347" s="2297"/>
      <c r="J347" s="2297"/>
      <c r="K347" s="2297"/>
      <c r="L347" s="2297"/>
      <c r="M347" s="2297"/>
      <c r="N347" s="2297"/>
      <c r="O347" s="2297"/>
      <c r="P347" s="2297"/>
      <c r="Q347" s="2297"/>
      <c r="R347" s="99"/>
      <c r="S347" s="99"/>
      <c r="T347" s="99"/>
      <c r="U347" s="99"/>
      <c r="V347" s="99"/>
      <c r="AF347" s="2297"/>
      <c r="AG347" s="1208"/>
      <c r="AH347" s="1208"/>
      <c r="AI347" s="1223"/>
      <c r="AJ347" s="1223"/>
      <c r="AK347" s="1223"/>
      <c r="AL347" s="1223"/>
      <c r="AM347" s="1223"/>
      <c r="AN347" s="1223"/>
      <c r="AO347" s="1208"/>
      <c r="AP347" s="1223"/>
      <c r="AQ347" s="1208"/>
      <c r="AR347" s="1208"/>
      <c r="AS347" s="1223"/>
      <c r="AT347" s="1223"/>
      <c r="AU347" s="1208"/>
      <c r="AV347" s="1208"/>
      <c r="AW347" s="2297"/>
      <c r="BE347" s="1224"/>
      <c r="BF347" s="1225"/>
      <c r="BR347" s="1224"/>
      <c r="BS347" s="1224"/>
    </row>
    <row r="348" spans="2:71" s="491" customFormat="1">
      <c r="B348" s="2297"/>
      <c r="C348" s="2297"/>
      <c r="D348" s="2297"/>
      <c r="E348" s="2297"/>
      <c r="F348" s="2297"/>
      <c r="G348" s="2297"/>
      <c r="H348" s="2297"/>
      <c r="I348" s="2297"/>
      <c r="J348" s="2297"/>
      <c r="K348" s="2297"/>
      <c r="L348" s="2297"/>
      <c r="M348" s="2297"/>
      <c r="N348" s="2297"/>
      <c r="O348" s="2297"/>
      <c r="P348" s="2297"/>
      <c r="Q348" s="2297"/>
      <c r="R348" s="99"/>
      <c r="S348" s="99"/>
      <c r="T348" s="99"/>
      <c r="U348" s="99"/>
      <c r="V348" s="99"/>
      <c r="AF348" s="2297"/>
      <c r="AG348" s="1208"/>
      <c r="AH348" s="1208"/>
      <c r="AI348" s="1223"/>
      <c r="AJ348" s="1223"/>
      <c r="AK348" s="1223"/>
      <c r="AL348" s="1223"/>
      <c r="AM348" s="1223"/>
      <c r="AN348" s="1223"/>
      <c r="AO348" s="1208"/>
      <c r="AP348" s="1223"/>
      <c r="AQ348" s="1208"/>
      <c r="AR348" s="1208"/>
      <c r="AS348" s="1223"/>
      <c r="AT348" s="1223"/>
      <c r="AU348" s="1208"/>
      <c r="AV348" s="1208"/>
      <c r="AW348" s="2297"/>
      <c r="BE348" s="1224"/>
      <c r="BF348" s="1225"/>
      <c r="BR348" s="1224"/>
      <c r="BS348" s="1224"/>
    </row>
    <row r="349" spans="2:71" s="491" customFormat="1">
      <c r="B349" s="2297"/>
      <c r="C349" s="2297"/>
      <c r="D349" s="2297"/>
      <c r="E349" s="2297"/>
      <c r="F349" s="2297"/>
      <c r="G349" s="2297"/>
      <c r="H349" s="2297"/>
      <c r="I349" s="2297"/>
      <c r="J349" s="2297"/>
      <c r="K349" s="2297"/>
      <c r="L349" s="2297"/>
      <c r="M349" s="2297"/>
      <c r="N349" s="2297"/>
      <c r="O349" s="2297"/>
      <c r="P349" s="2297"/>
      <c r="Q349" s="2297"/>
      <c r="R349" s="99"/>
      <c r="S349" s="99"/>
      <c r="T349" s="99"/>
      <c r="U349" s="99"/>
      <c r="V349" s="99"/>
      <c r="AF349" s="2297"/>
      <c r="AG349" s="1208"/>
      <c r="AH349" s="1208"/>
      <c r="AI349" s="1223"/>
      <c r="AJ349" s="1223"/>
      <c r="AK349" s="1223"/>
      <c r="AL349" s="1223"/>
      <c r="AM349" s="1223"/>
      <c r="AN349" s="1223"/>
      <c r="AO349" s="1208"/>
      <c r="AP349" s="1223"/>
      <c r="AQ349" s="1208"/>
      <c r="AR349" s="1208"/>
      <c r="AS349" s="1223"/>
      <c r="AT349" s="1223"/>
      <c r="AU349" s="1208"/>
      <c r="AV349" s="1208"/>
      <c r="AW349" s="2297"/>
      <c r="BE349" s="1224"/>
      <c r="BF349" s="1225"/>
      <c r="BR349" s="1224"/>
      <c r="BS349" s="1224"/>
    </row>
    <row r="350" spans="2:71" s="491" customFormat="1">
      <c r="B350" s="2297"/>
      <c r="C350" s="2297"/>
      <c r="D350" s="2297"/>
      <c r="E350" s="2297"/>
      <c r="F350" s="2297"/>
      <c r="G350" s="2297"/>
      <c r="H350" s="2297"/>
      <c r="I350" s="2297"/>
      <c r="J350" s="2297"/>
      <c r="K350" s="2297"/>
      <c r="L350" s="2297"/>
      <c r="M350" s="2297"/>
      <c r="N350" s="2297"/>
      <c r="O350" s="2297"/>
      <c r="P350" s="2297"/>
      <c r="Q350" s="2297"/>
      <c r="R350" s="99"/>
      <c r="S350" s="99"/>
      <c r="T350" s="99"/>
      <c r="U350" s="99"/>
      <c r="V350" s="99"/>
      <c r="AF350" s="2297"/>
      <c r="AG350" s="1208"/>
      <c r="AH350" s="1208"/>
      <c r="AI350" s="1223"/>
      <c r="AJ350" s="1223"/>
      <c r="AK350" s="1223"/>
      <c r="AL350" s="1223"/>
      <c r="AM350" s="1223"/>
      <c r="AN350" s="1223"/>
      <c r="AO350" s="1208"/>
      <c r="AP350" s="1223"/>
      <c r="AQ350" s="1208"/>
      <c r="AR350" s="1208"/>
      <c r="AS350" s="1223"/>
      <c r="AT350" s="1223"/>
      <c r="AU350" s="1208"/>
      <c r="AV350" s="1208"/>
      <c r="AW350" s="2297"/>
      <c r="BE350" s="1224"/>
      <c r="BF350" s="1225"/>
      <c r="BR350" s="1224"/>
      <c r="BS350" s="1224"/>
    </row>
    <row r="351" spans="2:71" s="491" customFormat="1">
      <c r="B351" s="2297"/>
      <c r="C351" s="2297"/>
      <c r="D351" s="2297"/>
      <c r="E351" s="2297"/>
      <c r="F351" s="2297"/>
      <c r="G351" s="2297"/>
      <c r="H351" s="2297"/>
      <c r="I351" s="2297"/>
      <c r="J351" s="2297"/>
      <c r="K351" s="2297"/>
      <c r="L351" s="2297"/>
      <c r="M351" s="2297"/>
      <c r="N351" s="2297"/>
      <c r="O351" s="2297"/>
      <c r="P351" s="2297"/>
      <c r="Q351" s="2297"/>
      <c r="R351" s="99"/>
      <c r="S351" s="99"/>
      <c r="T351" s="99"/>
      <c r="U351" s="99"/>
      <c r="V351" s="99"/>
      <c r="AF351" s="2297"/>
      <c r="AG351" s="1208"/>
      <c r="AH351" s="1208"/>
      <c r="AI351" s="1223"/>
      <c r="AJ351" s="1223"/>
      <c r="AK351" s="1223"/>
      <c r="AL351" s="1223"/>
      <c r="AM351" s="1223"/>
      <c r="AN351" s="1223"/>
      <c r="AO351" s="1208"/>
      <c r="AP351" s="1223"/>
      <c r="AQ351" s="1208"/>
      <c r="AR351" s="1208"/>
      <c r="AS351" s="1223"/>
      <c r="AT351" s="1223"/>
      <c r="AU351" s="1208"/>
      <c r="AV351" s="1208"/>
      <c r="AW351" s="2297"/>
      <c r="BE351" s="1224"/>
      <c r="BF351" s="1225"/>
      <c r="BR351" s="1224"/>
      <c r="BS351" s="1224"/>
    </row>
    <row r="352" spans="2:71" s="491" customFormat="1">
      <c r="B352" s="2297"/>
      <c r="C352" s="2297"/>
      <c r="D352" s="2297"/>
      <c r="E352" s="2297"/>
      <c r="F352" s="2297"/>
      <c r="G352" s="2297"/>
      <c r="H352" s="2297"/>
      <c r="I352" s="2297"/>
      <c r="J352" s="2297"/>
      <c r="K352" s="2297"/>
      <c r="L352" s="2297"/>
      <c r="M352" s="2297"/>
      <c r="N352" s="2297"/>
      <c r="O352" s="2297"/>
      <c r="P352" s="2297"/>
      <c r="Q352" s="2297"/>
      <c r="R352" s="99"/>
      <c r="S352" s="99"/>
      <c r="T352" s="99"/>
      <c r="U352" s="99"/>
      <c r="V352" s="99"/>
      <c r="AF352" s="2297"/>
      <c r="AG352" s="1208"/>
      <c r="AH352" s="1208"/>
      <c r="AI352" s="1223"/>
      <c r="AJ352" s="1223"/>
      <c r="AK352" s="1223"/>
      <c r="AL352" s="1223"/>
      <c r="AM352" s="1223"/>
      <c r="AN352" s="1223"/>
      <c r="AO352" s="1208"/>
      <c r="AP352" s="1223"/>
      <c r="AQ352" s="1208"/>
      <c r="AR352" s="1208"/>
      <c r="AS352" s="1223"/>
      <c r="AT352" s="1223"/>
      <c r="AU352" s="1208"/>
      <c r="AV352" s="1208"/>
      <c r="AW352" s="2297"/>
      <c r="BE352" s="1224"/>
      <c r="BF352" s="1225"/>
      <c r="BR352" s="1224"/>
      <c r="BS352" s="1224"/>
    </row>
    <row r="353" spans="2:71" s="491" customFormat="1">
      <c r="B353" s="2297"/>
      <c r="C353" s="2297"/>
      <c r="D353" s="2297"/>
      <c r="E353" s="2297"/>
      <c r="F353" s="2297"/>
      <c r="G353" s="2297"/>
      <c r="H353" s="2297"/>
      <c r="I353" s="2297"/>
      <c r="J353" s="2297"/>
      <c r="K353" s="2297"/>
      <c r="L353" s="2297"/>
      <c r="M353" s="2297"/>
      <c r="N353" s="2297"/>
      <c r="O353" s="2297"/>
      <c r="P353" s="2297"/>
      <c r="Q353" s="2297"/>
      <c r="R353" s="99"/>
      <c r="S353" s="99"/>
      <c r="T353" s="99"/>
      <c r="U353" s="99"/>
      <c r="V353" s="99"/>
      <c r="AF353" s="2297"/>
      <c r="AG353" s="1208"/>
      <c r="AH353" s="1208"/>
      <c r="AI353" s="1223"/>
      <c r="AJ353" s="1223"/>
      <c r="AK353" s="1223"/>
      <c r="AL353" s="1223"/>
      <c r="AM353" s="1223"/>
      <c r="AN353" s="1223"/>
      <c r="AO353" s="1208"/>
      <c r="AP353" s="1223"/>
      <c r="AQ353" s="1208"/>
      <c r="AR353" s="1208"/>
      <c r="AS353" s="1223"/>
      <c r="AT353" s="1223"/>
      <c r="AU353" s="1208"/>
      <c r="AV353" s="1208"/>
      <c r="AW353" s="2297"/>
      <c r="BE353" s="1224"/>
      <c r="BF353" s="1225"/>
      <c r="BR353" s="1224"/>
      <c r="BS353" s="1224"/>
    </row>
    <row r="354" spans="2:71" s="491" customFormat="1">
      <c r="B354" s="2297"/>
      <c r="C354" s="2297"/>
      <c r="D354" s="2297"/>
      <c r="E354" s="2297"/>
      <c r="F354" s="2297"/>
      <c r="G354" s="2297"/>
      <c r="H354" s="2297"/>
      <c r="I354" s="2297"/>
      <c r="J354" s="2297"/>
      <c r="K354" s="2297"/>
      <c r="L354" s="2297"/>
      <c r="M354" s="2297"/>
      <c r="N354" s="2297"/>
      <c r="O354" s="2297"/>
      <c r="P354" s="2297"/>
      <c r="Q354" s="2297"/>
      <c r="R354" s="99"/>
      <c r="S354" s="99"/>
      <c r="T354" s="99"/>
      <c r="U354" s="99"/>
      <c r="V354" s="99"/>
      <c r="AF354" s="2297"/>
      <c r="AG354" s="1208"/>
      <c r="AH354" s="1208"/>
      <c r="AI354" s="1223"/>
      <c r="AJ354" s="1223"/>
      <c r="AK354" s="1223"/>
      <c r="AL354" s="1223"/>
      <c r="AM354" s="1223"/>
      <c r="AN354" s="1223"/>
      <c r="AO354" s="1208"/>
      <c r="AP354" s="1223"/>
      <c r="AQ354" s="1208"/>
      <c r="AR354" s="1208"/>
      <c r="AS354" s="1223"/>
      <c r="AT354" s="1223"/>
      <c r="AU354" s="1208"/>
      <c r="AV354" s="1208"/>
      <c r="AW354" s="2297"/>
      <c r="BE354" s="1224"/>
      <c r="BF354" s="1225"/>
      <c r="BR354" s="1224"/>
      <c r="BS354" s="1224"/>
    </row>
    <row r="355" spans="2:71" s="491" customFormat="1">
      <c r="B355" s="2297"/>
      <c r="C355" s="2297"/>
      <c r="D355" s="2297"/>
      <c r="E355" s="2297"/>
      <c r="F355" s="2297"/>
      <c r="G355" s="2297"/>
      <c r="H355" s="2297"/>
      <c r="I355" s="2297"/>
      <c r="J355" s="2297"/>
      <c r="K355" s="2297"/>
      <c r="L355" s="2297"/>
      <c r="M355" s="2297"/>
      <c r="N355" s="2297"/>
      <c r="O355" s="2297"/>
      <c r="P355" s="2297"/>
      <c r="Q355" s="2297"/>
      <c r="R355" s="99"/>
      <c r="S355" s="99"/>
      <c r="T355" s="99"/>
      <c r="U355" s="99"/>
      <c r="V355" s="99"/>
      <c r="AF355" s="2297"/>
      <c r="AG355" s="1208"/>
      <c r="AH355" s="1208"/>
      <c r="AI355" s="1223"/>
      <c r="AJ355" s="1223"/>
      <c r="AK355" s="1223"/>
      <c r="AL355" s="1223"/>
      <c r="AM355" s="1223"/>
      <c r="AN355" s="1223"/>
      <c r="AO355" s="1208"/>
      <c r="AP355" s="1223"/>
      <c r="AQ355" s="1208"/>
      <c r="AR355" s="1208"/>
      <c r="AS355" s="1223"/>
      <c r="AT355" s="1223"/>
      <c r="AU355" s="1208"/>
      <c r="AV355" s="1208"/>
      <c r="AW355" s="2297"/>
      <c r="BE355" s="1224"/>
      <c r="BF355" s="1225"/>
      <c r="BR355" s="1224"/>
      <c r="BS355" s="1224"/>
    </row>
    <row r="356" spans="2:71" s="491" customFormat="1">
      <c r="B356" s="2297"/>
      <c r="C356" s="2297"/>
      <c r="D356" s="2297"/>
      <c r="E356" s="2297"/>
      <c r="F356" s="2297"/>
      <c r="G356" s="2297"/>
      <c r="H356" s="2297"/>
      <c r="I356" s="2297"/>
      <c r="J356" s="2297"/>
      <c r="K356" s="2297"/>
      <c r="L356" s="2297"/>
      <c r="M356" s="2297"/>
      <c r="N356" s="2297"/>
      <c r="O356" s="2297"/>
      <c r="P356" s="2297"/>
      <c r="Q356" s="2297"/>
      <c r="R356" s="99"/>
      <c r="S356" s="99"/>
      <c r="T356" s="99"/>
      <c r="U356" s="99"/>
      <c r="V356" s="99"/>
      <c r="AF356" s="2297"/>
      <c r="AG356" s="1208"/>
      <c r="AH356" s="1208"/>
      <c r="AI356" s="1223"/>
      <c r="AJ356" s="1223"/>
      <c r="AK356" s="1223"/>
      <c r="AL356" s="1223"/>
      <c r="AM356" s="1223"/>
      <c r="AN356" s="1223"/>
      <c r="AO356" s="1208"/>
      <c r="AP356" s="1223"/>
      <c r="AQ356" s="1208"/>
      <c r="AR356" s="1208"/>
      <c r="AS356" s="1223"/>
      <c r="AT356" s="1223"/>
      <c r="AU356" s="1208"/>
      <c r="AV356" s="1208"/>
      <c r="AW356" s="2297"/>
      <c r="BE356" s="1224"/>
      <c r="BF356" s="1225"/>
      <c r="BR356" s="1224"/>
      <c r="BS356" s="1224"/>
    </row>
    <row r="357" spans="2:71" s="491" customFormat="1">
      <c r="B357" s="2297"/>
      <c r="C357" s="2297"/>
      <c r="D357" s="2297"/>
      <c r="E357" s="2297"/>
      <c r="F357" s="2297"/>
      <c r="G357" s="2297"/>
      <c r="H357" s="2297"/>
      <c r="I357" s="2297"/>
      <c r="J357" s="2297"/>
      <c r="K357" s="2297"/>
      <c r="L357" s="2297"/>
      <c r="M357" s="2297"/>
      <c r="N357" s="2297"/>
      <c r="O357" s="2297"/>
      <c r="P357" s="2297"/>
      <c r="Q357" s="2297"/>
      <c r="R357" s="99"/>
      <c r="S357" s="99"/>
      <c r="T357" s="99"/>
      <c r="U357" s="99"/>
      <c r="V357" s="99"/>
      <c r="AF357" s="2297"/>
      <c r="AG357" s="1208"/>
      <c r="AH357" s="1208"/>
      <c r="AI357" s="1223"/>
      <c r="AJ357" s="1223"/>
      <c r="AK357" s="1223"/>
      <c r="AL357" s="1223"/>
      <c r="AM357" s="1223"/>
      <c r="AN357" s="1223"/>
      <c r="AO357" s="1208"/>
      <c r="AP357" s="1223"/>
      <c r="AQ357" s="1208"/>
      <c r="AR357" s="1208"/>
      <c r="AS357" s="1223"/>
      <c r="AT357" s="1223"/>
      <c r="AU357" s="1208"/>
      <c r="AV357" s="1208"/>
      <c r="AW357" s="2297"/>
      <c r="BE357" s="1224"/>
      <c r="BF357" s="1225"/>
      <c r="BR357" s="1224"/>
      <c r="BS357" s="1224"/>
    </row>
    <row r="358" spans="2:71" s="491" customFormat="1">
      <c r="B358" s="2297"/>
      <c r="C358" s="2297"/>
      <c r="D358" s="2297"/>
      <c r="E358" s="2297"/>
      <c r="F358" s="2297"/>
      <c r="G358" s="2297"/>
      <c r="H358" s="2297"/>
      <c r="I358" s="2297"/>
      <c r="J358" s="2297"/>
      <c r="K358" s="2297"/>
      <c r="L358" s="2297"/>
      <c r="M358" s="2297"/>
      <c r="N358" s="2297"/>
      <c r="O358" s="2297"/>
      <c r="P358" s="2297"/>
      <c r="Q358" s="2297"/>
      <c r="R358" s="99"/>
      <c r="S358" s="99"/>
      <c r="T358" s="99"/>
      <c r="U358" s="99"/>
      <c r="V358" s="99"/>
      <c r="AF358" s="2297"/>
      <c r="AG358" s="1208"/>
      <c r="AH358" s="1208"/>
      <c r="AI358" s="1223"/>
      <c r="AJ358" s="1223"/>
      <c r="AK358" s="1223"/>
      <c r="AL358" s="1223"/>
      <c r="AM358" s="1223"/>
      <c r="AN358" s="1223"/>
      <c r="AO358" s="1208"/>
      <c r="AP358" s="1223"/>
      <c r="AQ358" s="1208"/>
      <c r="AR358" s="1208"/>
      <c r="AS358" s="1223"/>
      <c r="AT358" s="1223"/>
      <c r="AU358" s="1208"/>
      <c r="AV358" s="1208"/>
      <c r="AW358" s="2297"/>
      <c r="BE358" s="1224"/>
      <c r="BF358" s="1225"/>
      <c r="BR358" s="1224"/>
      <c r="BS358" s="1224"/>
    </row>
    <row r="359" spans="2:71" s="491" customFormat="1">
      <c r="B359" s="2297"/>
      <c r="C359" s="2297"/>
      <c r="D359" s="2297"/>
      <c r="E359" s="2297"/>
      <c r="F359" s="2297"/>
      <c r="G359" s="2297"/>
      <c r="H359" s="2297"/>
      <c r="I359" s="2297"/>
      <c r="J359" s="2297"/>
      <c r="K359" s="2297"/>
      <c r="L359" s="2297"/>
      <c r="M359" s="2297"/>
      <c r="N359" s="2297"/>
      <c r="O359" s="2297"/>
      <c r="P359" s="2297"/>
      <c r="Q359" s="2297"/>
      <c r="R359" s="99"/>
      <c r="S359" s="99"/>
      <c r="T359" s="99"/>
      <c r="U359" s="99"/>
      <c r="V359" s="99"/>
      <c r="AF359" s="2297"/>
      <c r="AG359" s="1208"/>
      <c r="AH359" s="1208"/>
      <c r="AI359" s="1223"/>
      <c r="AJ359" s="1223"/>
      <c r="AK359" s="1223"/>
      <c r="AL359" s="1223"/>
      <c r="AM359" s="1223"/>
      <c r="AN359" s="1223"/>
      <c r="AO359" s="1208"/>
      <c r="AP359" s="1223"/>
      <c r="AQ359" s="1208"/>
      <c r="AR359" s="1208"/>
      <c r="AS359" s="1223"/>
      <c r="AT359" s="1223"/>
      <c r="AU359" s="1208"/>
      <c r="AV359" s="1208"/>
      <c r="AW359" s="2297"/>
      <c r="BE359" s="1224"/>
      <c r="BF359" s="1225"/>
      <c r="BR359" s="1224"/>
      <c r="BS359" s="1224"/>
    </row>
    <row r="360" spans="2:71" s="491" customFormat="1">
      <c r="B360" s="2297"/>
      <c r="C360" s="2297"/>
      <c r="D360" s="2297"/>
      <c r="E360" s="2297"/>
      <c r="F360" s="2297"/>
      <c r="G360" s="2297"/>
      <c r="H360" s="2297"/>
      <c r="I360" s="2297"/>
      <c r="J360" s="2297"/>
      <c r="K360" s="2297"/>
      <c r="L360" s="2297"/>
      <c r="M360" s="2297"/>
      <c r="N360" s="2297"/>
      <c r="O360" s="2297"/>
      <c r="P360" s="2297"/>
      <c r="Q360" s="2297"/>
      <c r="R360" s="99"/>
      <c r="S360" s="99"/>
      <c r="T360" s="99"/>
      <c r="U360" s="99"/>
      <c r="V360" s="99"/>
      <c r="AF360" s="2297"/>
      <c r="AG360" s="1208"/>
      <c r="AH360" s="1208"/>
      <c r="AI360" s="1223"/>
      <c r="AJ360" s="1223"/>
      <c r="AK360" s="1223"/>
      <c r="AL360" s="1223"/>
      <c r="AM360" s="1223"/>
      <c r="AN360" s="1223"/>
      <c r="AO360" s="1208"/>
      <c r="AP360" s="1223"/>
      <c r="AQ360" s="1208"/>
      <c r="AR360" s="1208"/>
      <c r="AS360" s="1223"/>
      <c r="AT360" s="1223"/>
      <c r="AU360" s="1208"/>
      <c r="AV360" s="1208"/>
      <c r="AW360" s="2297"/>
      <c r="BE360" s="1224"/>
      <c r="BF360" s="1225"/>
      <c r="BR360" s="1224"/>
      <c r="BS360" s="1224"/>
    </row>
    <row r="361" spans="2:71" s="491" customFormat="1">
      <c r="B361" s="2297"/>
      <c r="C361" s="2297"/>
      <c r="D361" s="2297"/>
      <c r="E361" s="2297"/>
      <c r="F361" s="2297"/>
      <c r="G361" s="2297"/>
      <c r="H361" s="2297"/>
      <c r="I361" s="2297"/>
      <c r="J361" s="2297"/>
      <c r="K361" s="2297"/>
      <c r="L361" s="2297"/>
      <c r="M361" s="2297"/>
      <c r="N361" s="2297"/>
      <c r="O361" s="2297"/>
      <c r="P361" s="2297"/>
      <c r="Q361" s="2297"/>
      <c r="R361" s="99"/>
      <c r="S361" s="99"/>
      <c r="T361" s="99"/>
      <c r="U361" s="99"/>
      <c r="V361" s="99"/>
      <c r="AF361" s="2297"/>
      <c r="AG361" s="1208"/>
      <c r="AH361" s="1208"/>
      <c r="AI361" s="1223"/>
      <c r="AJ361" s="1223"/>
      <c r="AK361" s="1223"/>
      <c r="AL361" s="1223"/>
      <c r="AM361" s="1223"/>
      <c r="AN361" s="1223"/>
      <c r="AO361" s="1208"/>
      <c r="AP361" s="1223"/>
      <c r="AQ361" s="1208"/>
      <c r="AR361" s="1208"/>
      <c r="AS361" s="1223"/>
      <c r="AT361" s="1223"/>
      <c r="AU361" s="1208"/>
      <c r="AV361" s="1208"/>
      <c r="AW361" s="2297"/>
      <c r="BE361" s="1224"/>
      <c r="BF361" s="1225"/>
      <c r="BR361" s="1224"/>
      <c r="BS361" s="1224"/>
    </row>
    <row r="362" spans="2:71" s="491" customFormat="1">
      <c r="B362" s="2297"/>
      <c r="C362" s="2297"/>
      <c r="D362" s="2297"/>
      <c r="E362" s="2297"/>
      <c r="F362" s="2297"/>
      <c r="G362" s="2297"/>
      <c r="H362" s="2297"/>
      <c r="I362" s="2297"/>
      <c r="J362" s="2297"/>
      <c r="K362" s="2297"/>
      <c r="L362" s="2297"/>
      <c r="M362" s="2297"/>
      <c r="N362" s="2297"/>
      <c r="O362" s="2297"/>
      <c r="P362" s="2297"/>
      <c r="Q362" s="2297"/>
      <c r="R362" s="99"/>
      <c r="S362" s="99"/>
      <c r="T362" s="99"/>
      <c r="U362" s="99"/>
      <c r="V362" s="99"/>
      <c r="AF362" s="2297"/>
      <c r="AG362" s="1208"/>
      <c r="AH362" s="1208"/>
      <c r="AI362" s="1223"/>
      <c r="AJ362" s="1223"/>
      <c r="AK362" s="1223"/>
      <c r="AL362" s="1223"/>
      <c r="AM362" s="1223"/>
      <c r="AN362" s="1223"/>
      <c r="AO362" s="1208"/>
      <c r="AP362" s="1223"/>
      <c r="AQ362" s="1208"/>
      <c r="AR362" s="1208"/>
      <c r="AS362" s="1223"/>
      <c r="AT362" s="1223"/>
      <c r="AU362" s="1208"/>
      <c r="AV362" s="1208"/>
      <c r="AW362" s="2297"/>
      <c r="BE362" s="1224"/>
      <c r="BF362" s="1225"/>
      <c r="BR362" s="1224"/>
      <c r="BS362" s="1224"/>
    </row>
    <row r="363" spans="2:71" s="491" customFormat="1">
      <c r="B363" s="2297"/>
      <c r="C363" s="2297"/>
      <c r="D363" s="2297"/>
      <c r="E363" s="2297"/>
      <c r="F363" s="2297"/>
      <c r="G363" s="2297"/>
      <c r="H363" s="2297"/>
      <c r="I363" s="2297"/>
      <c r="J363" s="2297"/>
      <c r="K363" s="2297"/>
      <c r="L363" s="2297"/>
      <c r="M363" s="2297"/>
      <c r="N363" s="2297"/>
      <c r="O363" s="2297"/>
      <c r="P363" s="2297"/>
      <c r="Q363" s="2297"/>
      <c r="R363" s="99"/>
      <c r="S363" s="99"/>
      <c r="T363" s="99"/>
      <c r="U363" s="99"/>
      <c r="V363" s="99"/>
      <c r="AF363" s="2297"/>
      <c r="AG363" s="1208"/>
      <c r="AH363" s="1208"/>
      <c r="AI363" s="1223"/>
      <c r="AJ363" s="1223"/>
      <c r="AK363" s="1223"/>
      <c r="AL363" s="1223"/>
      <c r="AM363" s="1223"/>
      <c r="AN363" s="1223"/>
      <c r="AO363" s="1208"/>
      <c r="AP363" s="1223"/>
      <c r="AQ363" s="1208"/>
      <c r="AR363" s="1208"/>
      <c r="AS363" s="1223"/>
      <c r="AT363" s="1223"/>
      <c r="AU363" s="1208"/>
      <c r="AV363" s="1208"/>
      <c r="AW363" s="2297"/>
      <c r="BE363" s="1224"/>
      <c r="BF363" s="1225"/>
      <c r="BR363" s="1224"/>
      <c r="BS363" s="1224"/>
    </row>
    <row r="364" spans="2:71" s="491" customFormat="1">
      <c r="B364" s="2297"/>
      <c r="C364" s="2297"/>
      <c r="D364" s="2297"/>
      <c r="E364" s="2297"/>
      <c r="F364" s="2297"/>
      <c r="G364" s="2297"/>
      <c r="H364" s="2297"/>
      <c r="I364" s="2297"/>
      <c r="J364" s="2297"/>
      <c r="K364" s="2297"/>
      <c r="L364" s="2297"/>
      <c r="M364" s="2297"/>
      <c r="N364" s="2297"/>
      <c r="O364" s="2297"/>
      <c r="P364" s="2297"/>
      <c r="Q364" s="2297"/>
      <c r="R364" s="99"/>
      <c r="S364" s="99"/>
      <c r="T364" s="99"/>
      <c r="U364" s="99"/>
      <c r="V364" s="99"/>
      <c r="AF364" s="2297"/>
      <c r="AG364" s="1208"/>
      <c r="AH364" s="1208"/>
      <c r="AI364" s="1223"/>
      <c r="AJ364" s="1223"/>
      <c r="AK364" s="1223"/>
      <c r="AL364" s="1223"/>
      <c r="AM364" s="1223"/>
      <c r="AN364" s="1223"/>
      <c r="AO364" s="1208"/>
      <c r="AP364" s="1223"/>
      <c r="AQ364" s="1208"/>
      <c r="AR364" s="1208"/>
      <c r="AS364" s="1223"/>
      <c r="AT364" s="1223"/>
      <c r="AU364" s="1208"/>
      <c r="AV364" s="1208"/>
      <c r="AW364" s="2297"/>
      <c r="BE364" s="1224"/>
      <c r="BF364" s="1225"/>
      <c r="BR364" s="1224"/>
      <c r="BS364" s="1224"/>
    </row>
    <row r="365" spans="2:71" s="491" customFormat="1">
      <c r="B365" s="2297"/>
      <c r="C365" s="2297"/>
      <c r="D365" s="2297"/>
      <c r="E365" s="2297"/>
      <c r="F365" s="2297"/>
      <c r="G365" s="2297"/>
      <c r="H365" s="2297"/>
      <c r="I365" s="2297"/>
      <c r="J365" s="2297"/>
      <c r="K365" s="2297"/>
      <c r="L365" s="2297"/>
      <c r="M365" s="2297"/>
      <c r="N365" s="2297"/>
      <c r="O365" s="2297"/>
      <c r="P365" s="2297"/>
      <c r="Q365" s="2297"/>
      <c r="R365" s="99"/>
      <c r="S365" s="99"/>
      <c r="T365" s="99"/>
      <c r="U365" s="99"/>
      <c r="V365" s="99"/>
      <c r="AF365" s="2297"/>
      <c r="AG365" s="1208"/>
      <c r="AH365" s="1208"/>
      <c r="AI365" s="1223"/>
      <c r="AJ365" s="1223"/>
      <c r="AK365" s="1223"/>
      <c r="AL365" s="1223"/>
      <c r="AM365" s="1223"/>
      <c r="AN365" s="1223"/>
      <c r="AO365" s="1208"/>
      <c r="AP365" s="1223"/>
      <c r="AQ365" s="1208"/>
      <c r="AR365" s="1208"/>
      <c r="AS365" s="1223"/>
      <c r="AT365" s="1223"/>
      <c r="AU365" s="1208"/>
      <c r="AV365" s="1208"/>
      <c r="AW365" s="2297"/>
      <c r="BE365" s="1224"/>
      <c r="BF365" s="1225"/>
      <c r="BR365" s="1224"/>
      <c r="BS365" s="1224"/>
    </row>
    <row r="366" spans="2:71" s="491" customFormat="1">
      <c r="B366" s="2297"/>
      <c r="C366" s="2297"/>
      <c r="D366" s="2297"/>
      <c r="E366" s="2297"/>
      <c r="F366" s="2297"/>
      <c r="G366" s="2297"/>
      <c r="H366" s="2297"/>
      <c r="I366" s="2297"/>
      <c r="J366" s="2297"/>
      <c r="K366" s="2297"/>
      <c r="L366" s="2297"/>
      <c r="M366" s="2297"/>
      <c r="N366" s="2297"/>
      <c r="O366" s="2297"/>
      <c r="P366" s="2297"/>
      <c r="Q366" s="2297"/>
      <c r="R366" s="99"/>
      <c r="S366" s="99"/>
      <c r="T366" s="99"/>
      <c r="U366" s="99"/>
      <c r="V366" s="99"/>
      <c r="AF366" s="2297"/>
      <c r="AG366" s="1208"/>
      <c r="AH366" s="1208"/>
      <c r="AI366" s="1223"/>
      <c r="AJ366" s="1223"/>
      <c r="AK366" s="1223"/>
      <c r="AL366" s="1223"/>
      <c r="AM366" s="1223"/>
      <c r="AN366" s="1223"/>
      <c r="AO366" s="1208"/>
      <c r="AP366" s="1223"/>
      <c r="AQ366" s="1208"/>
      <c r="AR366" s="1208"/>
      <c r="AS366" s="1223"/>
      <c r="AT366" s="1223"/>
      <c r="AU366" s="1208"/>
      <c r="AV366" s="1208"/>
      <c r="AW366" s="2297"/>
      <c r="BE366" s="1224"/>
      <c r="BF366" s="1225"/>
      <c r="BR366" s="1224"/>
      <c r="BS366" s="1224"/>
    </row>
    <row r="367" spans="2:71" s="491" customFormat="1">
      <c r="B367" s="2297"/>
      <c r="C367" s="2297"/>
      <c r="D367" s="2297"/>
      <c r="E367" s="2297"/>
      <c r="F367" s="2297"/>
      <c r="G367" s="2297"/>
      <c r="H367" s="2297"/>
      <c r="I367" s="2297"/>
      <c r="J367" s="2297"/>
      <c r="K367" s="2297"/>
      <c r="L367" s="2297"/>
      <c r="M367" s="2297"/>
      <c r="N367" s="2297"/>
      <c r="O367" s="2297"/>
      <c r="P367" s="2297"/>
      <c r="Q367" s="2297"/>
      <c r="R367" s="99"/>
      <c r="S367" s="99"/>
      <c r="T367" s="99"/>
      <c r="U367" s="99"/>
      <c r="V367" s="99"/>
      <c r="AF367" s="2297"/>
      <c r="AG367" s="1208"/>
      <c r="AH367" s="1208"/>
      <c r="AI367" s="1223"/>
      <c r="AJ367" s="1223"/>
      <c r="AK367" s="1223"/>
      <c r="AL367" s="1223"/>
      <c r="AM367" s="1223"/>
      <c r="AN367" s="1223"/>
      <c r="AO367" s="1208"/>
      <c r="AP367" s="1223"/>
      <c r="AQ367" s="1208"/>
      <c r="AR367" s="1208"/>
      <c r="AS367" s="1223"/>
      <c r="AT367" s="1223"/>
      <c r="AU367" s="1208"/>
      <c r="AV367" s="1208"/>
      <c r="AW367" s="2297"/>
      <c r="BE367" s="1224"/>
      <c r="BF367" s="1225"/>
      <c r="BR367" s="1224"/>
      <c r="BS367" s="1224"/>
    </row>
    <row r="368" spans="2:71" s="491" customFormat="1">
      <c r="B368" s="2297"/>
      <c r="C368" s="2297"/>
      <c r="D368" s="2297"/>
      <c r="E368" s="2297"/>
      <c r="F368" s="2297"/>
      <c r="G368" s="2297"/>
      <c r="H368" s="2297"/>
      <c r="I368" s="2297"/>
      <c r="J368" s="2297"/>
      <c r="K368" s="2297"/>
      <c r="L368" s="2297"/>
      <c r="M368" s="2297"/>
      <c r="N368" s="2297"/>
      <c r="O368" s="2297"/>
      <c r="P368" s="2297"/>
      <c r="Q368" s="2297"/>
      <c r="R368" s="99"/>
      <c r="S368" s="99"/>
      <c r="T368" s="99"/>
      <c r="U368" s="99"/>
      <c r="V368" s="99"/>
      <c r="AF368" s="2297"/>
      <c r="AG368" s="1208"/>
      <c r="AH368" s="1208"/>
      <c r="AI368" s="1223"/>
      <c r="AJ368" s="1223"/>
      <c r="AK368" s="1223"/>
      <c r="AL368" s="1223"/>
      <c r="AM368" s="1223"/>
      <c r="AN368" s="1223"/>
      <c r="AO368" s="1208"/>
      <c r="AP368" s="1223"/>
      <c r="AQ368" s="1208"/>
      <c r="AR368" s="1208"/>
      <c r="AS368" s="1223"/>
      <c r="AT368" s="1223"/>
      <c r="AU368" s="1208"/>
      <c r="AV368" s="1208"/>
      <c r="AW368" s="2297"/>
      <c r="BE368" s="1224"/>
      <c r="BF368" s="1225"/>
      <c r="BR368" s="1224"/>
      <c r="BS368" s="1224"/>
    </row>
    <row r="369" spans="2:71" s="491" customFormat="1">
      <c r="B369" s="2297"/>
      <c r="C369" s="2297"/>
      <c r="D369" s="2297"/>
      <c r="E369" s="2297"/>
      <c r="F369" s="2297"/>
      <c r="G369" s="2297"/>
      <c r="H369" s="2297"/>
      <c r="I369" s="2297"/>
      <c r="J369" s="2297"/>
      <c r="K369" s="2297"/>
      <c r="L369" s="2297"/>
      <c r="M369" s="2297"/>
      <c r="N369" s="2297"/>
      <c r="O369" s="2297"/>
      <c r="P369" s="2297"/>
      <c r="Q369" s="2297"/>
      <c r="R369" s="99"/>
      <c r="S369" s="99"/>
      <c r="T369" s="99"/>
      <c r="U369" s="99"/>
      <c r="V369" s="99"/>
      <c r="AF369" s="2297"/>
      <c r="AG369" s="1208"/>
      <c r="AH369" s="1208"/>
      <c r="AI369" s="1223"/>
      <c r="AJ369" s="1223"/>
      <c r="AK369" s="1223"/>
      <c r="AL369" s="1223"/>
      <c r="AM369" s="1223"/>
      <c r="AN369" s="1223"/>
      <c r="AO369" s="1208"/>
      <c r="AP369" s="1223"/>
      <c r="AQ369" s="1208"/>
      <c r="AR369" s="1208"/>
      <c r="AS369" s="1223"/>
      <c r="AT369" s="1223"/>
      <c r="AU369" s="1208"/>
      <c r="AV369" s="1208"/>
      <c r="AW369" s="2297"/>
      <c r="BE369" s="1224"/>
      <c r="BF369" s="1225"/>
      <c r="BR369" s="1224"/>
      <c r="BS369" s="1224"/>
    </row>
    <row r="370" spans="2:71" s="491" customFormat="1">
      <c r="B370" s="2297"/>
      <c r="C370" s="2297"/>
      <c r="D370" s="2297"/>
      <c r="E370" s="2297"/>
      <c r="F370" s="2297"/>
      <c r="G370" s="2297"/>
      <c r="H370" s="2297"/>
      <c r="I370" s="2297"/>
      <c r="J370" s="2297"/>
      <c r="K370" s="2297"/>
      <c r="L370" s="2297"/>
      <c r="M370" s="2297"/>
      <c r="N370" s="2297"/>
      <c r="O370" s="2297"/>
      <c r="P370" s="2297"/>
      <c r="Q370" s="2297"/>
      <c r="R370" s="99"/>
      <c r="S370" s="99"/>
      <c r="T370" s="99"/>
      <c r="U370" s="99"/>
      <c r="V370" s="99"/>
      <c r="AF370" s="2297"/>
      <c r="AG370" s="1208"/>
      <c r="AH370" s="1208"/>
      <c r="AI370" s="1223"/>
      <c r="AJ370" s="1223"/>
      <c r="AK370" s="1223"/>
      <c r="AL370" s="1223"/>
      <c r="AM370" s="1223"/>
      <c r="AN370" s="1223"/>
      <c r="AO370" s="1208"/>
      <c r="AP370" s="1223"/>
      <c r="AQ370" s="1208"/>
      <c r="AR370" s="1208"/>
      <c r="AS370" s="1223"/>
      <c r="AT370" s="1223"/>
      <c r="AU370" s="1208"/>
      <c r="AV370" s="1208"/>
      <c r="AW370" s="2297"/>
      <c r="BE370" s="1224"/>
      <c r="BF370" s="1225"/>
      <c r="BR370" s="1224"/>
      <c r="BS370" s="1224"/>
    </row>
    <row r="371" spans="2:71" s="491" customFormat="1">
      <c r="B371" s="2297"/>
      <c r="C371" s="2297"/>
      <c r="D371" s="2297"/>
      <c r="E371" s="2297"/>
      <c r="F371" s="2297"/>
      <c r="G371" s="2297"/>
      <c r="H371" s="2297"/>
      <c r="I371" s="2297"/>
      <c r="J371" s="2297"/>
      <c r="K371" s="2297"/>
      <c r="L371" s="2297"/>
      <c r="M371" s="2297"/>
      <c r="N371" s="2297"/>
      <c r="O371" s="2297"/>
      <c r="P371" s="2297"/>
      <c r="Q371" s="2297"/>
      <c r="R371" s="99"/>
      <c r="S371" s="99"/>
      <c r="T371" s="99"/>
      <c r="U371" s="99"/>
      <c r="V371" s="99"/>
      <c r="AF371" s="2297"/>
      <c r="AG371" s="1208"/>
      <c r="AH371" s="1208"/>
      <c r="AI371" s="1223"/>
      <c r="AJ371" s="1223"/>
      <c r="AK371" s="1223"/>
      <c r="AL371" s="1223"/>
      <c r="AM371" s="1223"/>
      <c r="AN371" s="1223"/>
      <c r="AO371" s="1208"/>
      <c r="AP371" s="1223"/>
      <c r="AQ371" s="1208"/>
      <c r="AR371" s="1208"/>
      <c r="AS371" s="1223"/>
      <c r="AT371" s="1223"/>
      <c r="AU371" s="1208"/>
      <c r="AV371" s="1208"/>
      <c r="AW371" s="2297"/>
      <c r="BE371" s="1224"/>
      <c r="BF371" s="1225"/>
      <c r="BR371" s="1224"/>
      <c r="BS371" s="1224"/>
    </row>
    <row r="372" spans="2:71" s="491" customFormat="1">
      <c r="B372" s="2297"/>
      <c r="C372" s="2297"/>
      <c r="D372" s="2297"/>
      <c r="E372" s="2297"/>
      <c r="F372" s="2297"/>
      <c r="G372" s="2297"/>
      <c r="H372" s="2297"/>
      <c r="I372" s="2297"/>
      <c r="J372" s="2297"/>
      <c r="K372" s="2297"/>
      <c r="L372" s="2297"/>
      <c r="M372" s="2297"/>
      <c r="N372" s="2297"/>
      <c r="O372" s="2297"/>
      <c r="P372" s="2297"/>
      <c r="Q372" s="2297"/>
      <c r="R372" s="99"/>
      <c r="S372" s="99"/>
      <c r="T372" s="99"/>
      <c r="U372" s="99"/>
      <c r="V372" s="99"/>
      <c r="AF372" s="2297"/>
      <c r="AG372" s="1208"/>
      <c r="AH372" s="1208"/>
      <c r="AI372" s="1223"/>
      <c r="AJ372" s="1223"/>
      <c r="AK372" s="1223"/>
      <c r="AL372" s="1223"/>
      <c r="AM372" s="1223"/>
      <c r="AN372" s="1223"/>
      <c r="AO372" s="1208"/>
      <c r="AP372" s="1223"/>
      <c r="AQ372" s="1208"/>
      <c r="AR372" s="1208"/>
      <c r="AS372" s="1223"/>
      <c r="AT372" s="1223"/>
      <c r="AU372" s="1208"/>
      <c r="AV372" s="1208"/>
      <c r="AW372" s="2297"/>
      <c r="BE372" s="1224"/>
      <c r="BF372" s="1225"/>
      <c r="BR372" s="1224"/>
      <c r="BS372" s="1224"/>
    </row>
    <row r="373" spans="2:71" s="491" customFormat="1">
      <c r="B373" s="2297"/>
      <c r="C373" s="2297"/>
      <c r="D373" s="2297"/>
      <c r="E373" s="2297"/>
      <c r="F373" s="2297"/>
      <c r="G373" s="2297"/>
      <c r="H373" s="2297"/>
      <c r="I373" s="2297"/>
      <c r="J373" s="2297"/>
      <c r="K373" s="2297"/>
      <c r="L373" s="2297"/>
      <c r="M373" s="2297"/>
      <c r="N373" s="2297"/>
      <c r="O373" s="2297"/>
      <c r="P373" s="2297"/>
      <c r="Q373" s="2297"/>
      <c r="R373" s="99"/>
      <c r="S373" s="99"/>
      <c r="T373" s="99"/>
      <c r="U373" s="99"/>
      <c r="V373" s="99"/>
      <c r="AF373" s="2297"/>
      <c r="AG373" s="1208"/>
      <c r="AH373" s="1208"/>
      <c r="AI373" s="1223"/>
      <c r="AJ373" s="1223"/>
      <c r="AK373" s="1223"/>
      <c r="AL373" s="1223"/>
      <c r="AM373" s="1223"/>
      <c r="AN373" s="1223"/>
      <c r="AO373" s="1208"/>
      <c r="AP373" s="1223"/>
      <c r="AQ373" s="1208"/>
      <c r="AR373" s="1208"/>
      <c r="AS373" s="1223"/>
      <c r="AT373" s="1223"/>
      <c r="AU373" s="1208"/>
      <c r="AV373" s="1208"/>
      <c r="AW373" s="2297"/>
      <c r="BE373" s="1224"/>
      <c r="BF373" s="1225"/>
      <c r="BR373" s="1224"/>
      <c r="BS373" s="1224"/>
    </row>
    <row r="374" spans="2:71" s="491" customFormat="1">
      <c r="B374" s="2297"/>
      <c r="C374" s="2297"/>
      <c r="D374" s="2297"/>
      <c r="E374" s="2297"/>
      <c r="F374" s="2297"/>
      <c r="G374" s="2297"/>
      <c r="H374" s="2297"/>
      <c r="I374" s="2297"/>
      <c r="J374" s="2297"/>
      <c r="K374" s="2297"/>
      <c r="L374" s="2297"/>
      <c r="M374" s="2297"/>
      <c r="N374" s="2297"/>
      <c r="O374" s="2297"/>
      <c r="P374" s="2297"/>
      <c r="Q374" s="2297"/>
      <c r="R374" s="99"/>
      <c r="S374" s="99"/>
      <c r="T374" s="99"/>
      <c r="U374" s="99"/>
      <c r="V374" s="99"/>
      <c r="AF374" s="2297"/>
      <c r="AG374" s="1208"/>
      <c r="AH374" s="1208"/>
      <c r="AI374" s="1223"/>
      <c r="AJ374" s="1223"/>
      <c r="AK374" s="1223"/>
      <c r="AL374" s="1223"/>
      <c r="AM374" s="1223"/>
      <c r="AN374" s="1223"/>
      <c r="AO374" s="1208"/>
      <c r="AP374" s="1223"/>
      <c r="AQ374" s="1208"/>
      <c r="AR374" s="1208"/>
      <c r="AS374" s="1223"/>
      <c r="AT374" s="1223"/>
      <c r="AU374" s="1208"/>
      <c r="AV374" s="1208"/>
      <c r="AW374" s="2297"/>
      <c r="BE374" s="1224"/>
      <c r="BF374" s="1225"/>
      <c r="BR374" s="1224"/>
      <c r="BS374" s="1224"/>
    </row>
    <row r="375" spans="2:71" s="491" customFormat="1">
      <c r="B375" s="2297"/>
      <c r="C375" s="2297"/>
      <c r="D375" s="2297"/>
      <c r="E375" s="2297"/>
      <c r="F375" s="2297"/>
      <c r="G375" s="2297"/>
      <c r="H375" s="2297"/>
      <c r="I375" s="2297"/>
      <c r="J375" s="2297"/>
      <c r="K375" s="2297"/>
      <c r="L375" s="2297"/>
      <c r="M375" s="2297"/>
      <c r="N375" s="2297"/>
      <c r="O375" s="2297"/>
      <c r="P375" s="2297"/>
      <c r="Q375" s="2297"/>
      <c r="R375" s="99"/>
      <c r="S375" s="99"/>
      <c r="T375" s="99"/>
      <c r="U375" s="99"/>
      <c r="V375" s="99"/>
      <c r="AF375" s="2297"/>
      <c r="AG375" s="1208"/>
      <c r="AH375" s="1208"/>
      <c r="AI375" s="1223"/>
      <c r="AJ375" s="1223"/>
      <c r="AK375" s="1223"/>
      <c r="AL375" s="1223"/>
      <c r="AM375" s="1223"/>
      <c r="AN375" s="1223"/>
      <c r="AO375" s="1208"/>
      <c r="AP375" s="1223"/>
      <c r="AQ375" s="1208"/>
      <c r="AR375" s="1208"/>
      <c r="AS375" s="1223"/>
      <c r="AT375" s="1223"/>
      <c r="AU375" s="1208"/>
      <c r="AV375" s="1208"/>
      <c r="AW375" s="2297"/>
      <c r="BE375" s="1224"/>
      <c r="BF375" s="1225"/>
      <c r="BR375" s="1224"/>
      <c r="BS375" s="1224"/>
    </row>
    <row r="376" spans="2:71" s="491" customFormat="1">
      <c r="B376" s="2297"/>
      <c r="C376" s="2297"/>
      <c r="D376" s="2297"/>
      <c r="E376" s="2297"/>
      <c r="F376" s="2297"/>
      <c r="G376" s="2297"/>
      <c r="H376" s="2297"/>
      <c r="I376" s="2297"/>
      <c r="J376" s="2297"/>
      <c r="K376" s="2297"/>
      <c r="L376" s="2297"/>
      <c r="M376" s="2297"/>
      <c r="N376" s="2297"/>
      <c r="O376" s="2297"/>
      <c r="P376" s="2297"/>
      <c r="Q376" s="2297"/>
      <c r="R376" s="99"/>
      <c r="S376" s="99"/>
      <c r="T376" s="99"/>
      <c r="U376" s="99"/>
      <c r="V376" s="99"/>
      <c r="AF376" s="2297"/>
      <c r="AG376" s="1208"/>
      <c r="AH376" s="1208"/>
      <c r="AI376" s="1223"/>
      <c r="AJ376" s="1223"/>
      <c r="AK376" s="1223"/>
      <c r="AL376" s="1223"/>
      <c r="AM376" s="1223"/>
      <c r="AN376" s="1223"/>
      <c r="AO376" s="1208"/>
      <c r="AP376" s="1223"/>
      <c r="AQ376" s="1208"/>
      <c r="AR376" s="1208"/>
      <c r="AS376" s="1223"/>
      <c r="AT376" s="1223"/>
      <c r="AU376" s="1208"/>
      <c r="AV376" s="1208"/>
      <c r="AW376" s="2297"/>
      <c r="BE376" s="1224"/>
      <c r="BF376" s="1225"/>
      <c r="BR376" s="1224"/>
      <c r="BS376" s="1224"/>
    </row>
    <row r="377" spans="2:71" s="491" customFormat="1">
      <c r="B377" s="2297"/>
      <c r="C377" s="2297"/>
      <c r="D377" s="2297"/>
      <c r="E377" s="2297"/>
      <c r="F377" s="2297"/>
      <c r="G377" s="2297"/>
      <c r="H377" s="2297"/>
      <c r="I377" s="2297"/>
      <c r="J377" s="2297"/>
      <c r="K377" s="2297"/>
      <c r="L377" s="2297"/>
      <c r="M377" s="2297"/>
      <c r="N377" s="2297"/>
      <c r="O377" s="2297"/>
      <c r="P377" s="2297"/>
      <c r="Q377" s="2297"/>
      <c r="R377" s="99"/>
      <c r="S377" s="99"/>
      <c r="T377" s="99"/>
      <c r="U377" s="99"/>
      <c r="V377" s="99"/>
      <c r="AF377" s="2297"/>
      <c r="AG377" s="1208"/>
      <c r="AH377" s="1208"/>
      <c r="AI377" s="1223"/>
      <c r="AJ377" s="1223"/>
      <c r="AK377" s="1223"/>
      <c r="AL377" s="1223"/>
      <c r="AM377" s="1223"/>
      <c r="AN377" s="1223"/>
      <c r="AO377" s="1208"/>
      <c r="AP377" s="1223"/>
      <c r="AQ377" s="1208"/>
      <c r="AR377" s="1208"/>
      <c r="AS377" s="1223"/>
      <c r="AT377" s="1223"/>
      <c r="AU377" s="1208"/>
      <c r="AV377" s="1208"/>
      <c r="AW377" s="2297"/>
      <c r="BE377" s="1224"/>
      <c r="BF377" s="1225"/>
      <c r="BR377" s="1224"/>
      <c r="BS377" s="1224"/>
    </row>
    <row r="378" spans="2:71" s="491" customFormat="1">
      <c r="B378" s="2297"/>
      <c r="C378" s="2297"/>
      <c r="D378" s="2297"/>
      <c r="E378" s="2297"/>
      <c r="F378" s="2297"/>
      <c r="G378" s="2297"/>
      <c r="H378" s="2297"/>
      <c r="I378" s="2297"/>
      <c r="J378" s="2297"/>
      <c r="K378" s="2297"/>
      <c r="L378" s="2297"/>
      <c r="M378" s="2297"/>
      <c r="N378" s="2297"/>
      <c r="O378" s="2297"/>
      <c r="P378" s="2297"/>
      <c r="Q378" s="2297"/>
      <c r="R378" s="99"/>
      <c r="S378" s="99"/>
      <c r="T378" s="99"/>
      <c r="U378" s="99"/>
      <c r="V378" s="99"/>
      <c r="AF378" s="2297"/>
      <c r="AG378" s="1208"/>
      <c r="AH378" s="1208"/>
      <c r="AI378" s="1223"/>
      <c r="AJ378" s="1223"/>
      <c r="AK378" s="1223"/>
      <c r="AL378" s="1223"/>
      <c r="AM378" s="1223"/>
      <c r="AN378" s="1223"/>
      <c r="AO378" s="1208"/>
      <c r="AP378" s="1223"/>
      <c r="AQ378" s="1208"/>
      <c r="AR378" s="1208"/>
      <c r="AS378" s="1223"/>
      <c r="AT378" s="1223"/>
      <c r="AU378" s="1208"/>
      <c r="AV378" s="1208"/>
      <c r="AW378" s="2297"/>
      <c r="BE378" s="1224"/>
      <c r="BF378" s="1225"/>
      <c r="BR378" s="1224"/>
      <c r="BS378" s="1224"/>
    </row>
    <row r="379" spans="2:71" s="491" customFormat="1">
      <c r="B379" s="2297"/>
      <c r="C379" s="2297"/>
      <c r="D379" s="2297"/>
      <c r="E379" s="2297"/>
      <c r="F379" s="2297"/>
      <c r="G379" s="2297"/>
      <c r="H379" s="2297"/>
      <c r="I379" s="2297"/>
      <c r="J379" s="2297"/>
      <c r="K379" s="2297"/>
      <c r="L379" s="2297"/>
      <c r="M379" s="2297"/>
      <c r="N379" s="2297"/>
      <c r="O379" s="2297"/>
      <c r="P379" s="2297"/>
      <c r="Q379" s="2297"/>
      <c r="R379" s="99"/>
      <c r="S379" s="99"/>
      <c r="T379" s="99"/>
      <c r="U379" s="99"/>
      <c r="V379" s="99"/>
      <c r="AF379" s="2297"/>
      <c r="AG379" s="1208"/>
      <c r="AH379" s="1208"/>
      <c r="AI379" s="1223"/>
      <c r="AJ379" s="1223"/>
      <c r="AK379" s="1223"/>
      <c r="AL379" s="1223"/>
      <c r="AM379" s="1223"/>
      <c r="AN379" s="1223"/>
      <c r="AO379" s="1208"/>
      <c r="AP379" s="1223"/>
      <c r="AQ379" s="1208"/>
      <c r="AR379" s="1208"/>
      <c r="AS379" s="1223"/>
      <c r="AT379" s="1223"/>
      <c r="AU379" s="1208"/>
      <c r="AV379" s="1208"/>
      <c r="AW379" s="2297"/>
      <c r="BE379" s="1224"/>
      <c r="BF379" s="1225"/>
      <c r="BR379" s="1224"/>
      <c r="BS379" s="1224"/>
    </row>
    <row r="380" spans="2:71" s="491" customFormat="1">
      <c r="B380" s="2297"/>
      <c r="C380" s="2297"/>
      <c r="D380" s="2297"/>
      <c r="E380" s="2297"/>
      <c r="F380" s="2297"/>
      <c r="G380" s="2297"/>
      <c r="H380" s="2297"/>
      <c r="I380" s="2297"/>
      <c r="J380" s="2297"/>
      <c r="K380" s="2297"/>
      <c r="L380" s="2297"/>
      <c r="M380" s="2297"/>
      <c r="N380" s="2297"/>
      <c r="O380" s="2297"/>
      <c r="P380" s="2297"/>
      <c r="Q380" s="2297"/>
      <c r="R380" s="99"/>
      <c r="S380" s="99"/>
      <c r="T380" s="99"/>
      <c r="U380" s="99"/>
      <c r="V380" s="99"/>
      <c r="AF380" s="2297"/>
      <c r="AG380" s="1208"/>
      <c r="AH380" s="1208"/>
      <c r="AI380" s="1223"/>
      <c r="AJ380" s="1223"/>
      <c r="AK380" s="1223"/>
      <c r="AL380" s="1223"/>
      <c r="AM380" s="1223"/>
      <c r="AN380" s="1223"/>
      <c r="AO380" s="1208"/>
      <c r="AP380" s="1223"/>
      <c r="AQ380" s="1208"/>
      <c r="AR380" s="1208"/>
      <c r="AS380" s="1223"/>
      <c r="AT380" s="1223"/>
      <c r="AU380" s="1208"/>
      <c r="AV380" s="1208"/>
      <c r="AW380" s="2297"/>
      <c r="BE380" s="1224"/>
      <c r="BF380" s="1225"/>
      <c r="BR380" s="1224"/>
      <c r="BS380" s="1224"/>
    </row>
    <row r="381" spans="2:71" s="491" customFormat="1">
      <c r="B381" s="2297"/>
      <c r="C381" s="2297"/>
      <c r="D381" s="2297"/>
      <c r="E381" s="2297"/>
      <c r="F381" s="2297"/>
      <c r="G381" s="2297"/>
      <c r="H381" s="2297"/>
      <c r="I381" s="2297"/>
      <c r="J381" s="2297"/>
      <c r="K381" s="2297"/>
      <c r="L381" s="2297"/>
      <c r="M381" s="2297"/>
      <c r="N381" s="2297"/>
      <c r="O381" s="2297"/>
      <c r="P381" s="2297"/>
      <c r="Q381" s="2297"/>
      <c r="R381" s="99"/>
      <c r="S381" s="99"/>
      <c r="T381" s="99"/>
      <c r="U381" s="99"/>
      <c r="V381" s="99"/>
      <c r="AF381" s="2297"/>
      <c r="AG381" s="1208"/>
      <c r="AH381" s="1208"/>
      <c r="AI381" s="1223"/>
      <c r="AJ381" s="1223"/>
      <c r="AK381" s="1223"/>
      <c r="AL381" s="1223"/>
      <c r="AM381" s="1223"/>
      <c r="AN381" s="1223"/>
      <c r="AO381" s="1208"/>
      <c r="AP381" s="1223"/>
      <c r="AQ381" s="1208"/>
      <c r="AR381" s="1208"/>
      <c r="AS381" s="1223"/>
      <c r="AT381" s="1223"/>
      <c r="AU381" s="1208"/>
      <c r="AV381" s="1208"/>
      <c r="AW381" s="2297"/>
      <c r="BE381" s="1224"/>
      <c r="BF381" s="1225"/>
      <c r="BR381" s="1224"/>
      <c r="BS381" s="1224"/>
    </row>
    <row r="382" spans="2:71" s="491" customFormat="1">
      <c r="B382" s="2297"/>
      <c r="C382" s="2297"/>
      <c r="D382" s="2297"/>
      <c r="E382" s="2297"/>
      <c r="F382" s="2297"/>
      <c r="G382" s="2297"/>
      <c r="H382" s="2297"/>
      <c r="I382" s="2297"/>
      <c r="J382" s="2297"/>
      <c r="K382" s="2297"/>
      <c r="L382" s="2297"/>
      <c r="M382" s="2297"/>
      <c r="N382" s="2297"/>
      <c r="O382" s="2297"/>
      <c r="P382" s="2297"/>
      <c r="Q382" s="2297"/>
      <c r="R382" s="99"/>
      <c r="S382" s="99"/>
      <c r="T382" s="99"/>
      <c r="U382" s="99"/>
      <c r="V382" s="99"/>
      <c r="AF382" s="2297"/>
      <c r="AG382" s="1208"/>
      <c r="AH382" s="1208"/>
      <c r="AI382" s="1223"/>
      <c r="AJ382" s="1223"/>
      <c r="AK382" s="1223"/>
      <c r="AL382" s="1223"/>
      <c r="AM382" s="1223"/>
      <c r="AN382" s="1223"/>
      <c r="AO382" s="1208"/>
      <c r="AP382" s="1223"/>
      <c r="AQ382" s="1208"/>
      <c r="AR382" s="1208"/>
      <c r="AS382" s="1223"/>
      <c r="AT382" s="1223"/>
      <c r="AU382" s="1208"/>
      <c r="AV382" s="1208"/>
      <c r="AW382" s="2297"/>
      <c r="BE382" s="1224"/>
      <c r="BF382" s="1225"/>
      <c r="BR382" s="1224"/>
      <c r="BS382" s="1224"/>
    </row>
    <row r="383" spans="2:71" s="491" customFormat="1">
      <c r="B383" s="2297"/>
      <c r="C383" s="2297"/>
      <c r="D383" s="2297"/>
      <c r="E383" s="2297"/>
      <c r="F383" s="2297"/>
      <c r="G383" s="2297"/>
      <c r="H383" s="2297"/>
      <c r="I383" s="2297"/>
      <c r="J383" s="2297"/>
      <c r="K383" s="2297"/>
      <c r="L383" s="2297"/>
      <c r="M383" s="2297"/>
      <c r="N383" s="2297"/>
      <c r="O383" s="2297"/>
      <c r="P383" s="2297"/>
      <c r="Q383" s="2297"/>
      <c r="R383" s="99"/>
      <c r="S383" s="99"/>
      <c r="T383" s="99"/>
      <c r="U383" s="99"/>
      <c r="V383" s="99"/>
      <c r="AF383" s="2297"/>
      <c r="AG383" s="1208"/>
      <c r="AH383" s="1208"/>
      <c r="AI383" s="1223"/>
      <c r="AJ383" s="1223"/>
      <c r="AK383" s="1223"/>
      <c r="AL383" s="1223"/>
      <c r="AM383" s="1223"/>
      <c r="AN383" s="1223"/>
      <c r="AO383" s="1208"/>
      <c r="AP383" s="1223"/>
      <c r="AQ383" s="1208"/>
      <c r="AR383" s="1208"/>
      <c r="AS383" s="1223"/>
      <c r="AT383" s="1223"/>
      <c r="AU383" s="1208"/>
      <c r="AV383" s="1208"/>
      <c r="AW383" s="2297"/>
      <c r="BE383" s="1224"/>
      <c r="BF383" s="1225"/>
      <c r="BR383" s="1224"/>
      <c r="BS383" s="1224"/>
    </row>
    <row r="384" spans="2:71" s="491" customFormat="1">
      <c r="B384" s="2297"/>
      <c r="C384" s="2297"/>
      <c r="D384" s="2297"/>
      <c r="E384" s="2297"/>
      <c r="F384" s="2297"/>
      <c r="G384" s="2297"/>
      <c r="H384" s="2297"/>
      <c r="I384" s="2297"/>
      <c r="J384" s="2297"/>
      <c r="K384" s="2297"/>
      <c r="L384" s="2297"/>
      <c r="M384" s="2297"/>
      <c r="N384" s="2297"/>
      <c r="O384" s="2297"/>
      <c r="P384" s="2297"/>
      <c r="Q384" s="2297"/>
      <c r="R384" s="99"/>
      <c r="S384" s="99"/>
      <c r="T384" s="99"/>
      <c r="U384" s="99"/>
      <c r="V384" s="99"/>
      <c r="AF384" s="2297"/>
      <c r="AG384" s="1208"/>
      <c r="AH384" s="1208"/>
      <c r="AI384" s="1223"/>
      <c r="AJ384" s="1223"/>
      <c r="AK384" s="1223"/>
      <c r="AL384" s="1223"/>
      <c r="AM384" s="1223"/>
      <c r="AN384" s="1223"/>
      <c r="AO384" s="1208"/>
      <c r="AP384" s="1223"/>
      <c r="AQ384" s="1208"/>
      <c r="AR384" s="1208"/>
      <c r="AS384" s="1223"/>
      <c r="AT384" s="1223"/>
      <c r="AU384" s="1208"/>
      <c r="AV384" s="1208"/>
      <c r="AW384" s="2297"/>
      <c r="BE384" s="1224"/>
      <c r="BF384" s="1225"/>
      <c r="BR384" s="1224"/>
      <c r="BS384" s="1224"/>
    </row>
    <row r="385" spans="2:71" s="491" customFormat="1">
      <c r="B385" s="2297"/>
      <c r="C385" s="2297"/>
      <c r="D385" s="2297"/>
      <c r="E385" s="2297"/>
      <c r="F385" s="2297"/>
      <c r="G385" s="2297"/>
      <c r="H385" s="2297"/>
      <c r="I385" s="2297"/>
      <c r="J385" s="2297"/>
      <c r="K385" s="2297"/>
      <c r="L385" s="2297"/>
      <c r="M385" s="2297"/>
      <c r="N385" s="2297"/>
      <c r="O385" s="2297"/>
      <c r="P385" s="2297"/>
      <c r="Q385" s="2297"/>
      <c r="R385" s="99"/>
      <c r="S385" s="99"/>
      <c r="T385" s="99"/>
      <c r="U385" s="99"/>
      <c r="V385" s="99"/>
      <c r="AF385" s="2297"/>
      <c r="AG385" s="1208"/>
      <c r="AH385" s="1208"/>
      <c r="AI385" s="1223"/>
      <c r="AJ385" s="1223"/>
      <c r="AK385" s="1223"/>
      <c r="AL385" s="1223"/>
      <c r="AM385" s="1223"/>
      <c r="AN385" s="1223"/>
      <c r="AO385" s="1208"/>
      <c r="AP385" s="1223"/>
      <c r="AQ385" s="1208"/>
      <c r="AR385" s="1208"/>
      <c r="AS385" s="1223"/>
      <c r="AT385" s="1223"/>
      <c r="AU385" s="1208"/>
      <c r="AV385" s="1208"/>
      <c r="AW385" s="2297"/>
      <c r="BE385" s="1224"/>
      <c r="BF385" s="1225"/>
      <c r="BR385" s="1224"/>
      <c r="BS385" s="1224"/>
    </row>
    <row r="386" spans="2:71" s="491" customFormat="1">
      <c r="B386" s="2297"/>
      <c r="C386" s="2297"/>
      <c r="D386" s="2297"/>
      <c r="E386" s="2297"/>
      <c r="F386" s="2297"/>
      <c r="G386" s="2297"/>
      <c r="H386" s="2297"/>
      <c r="I386" s="2297"/>
      <c r="J386" s="2297"/>
      <c r="K386" s="2297"/>
      <c r="L386" s="2297"/>
      <c r="M386" s="2297"/>
      <c r="N386" s="2297"/>
      <c r="O386" s="2297"/>
      <c r="P386" s="2297"/>
      <c r="Q386" s="2297"/>
      <c r="R386" s="99"/>
      <c r="S386" s="99"/>
      <c r="T386" s="99"/>
      <c r="U386" s="99"/>
      <c r="V386" s="99"/>
      <c r="AF386" s="2297"/>
      <c r="AG386" s="1208"/>
      <c r="AH386" s="1208"/>
      <c r="AI386" s="1223"/>
      <c r="AJ386" s="1223"/>
      <c r="AK386" s="1223"/>
      <c r="AL386" s="1223"/>
      <c r="AM386" s="1223"/>
      <c r="AN386" s="1223"/>
      <c r="AO386" s="1208"/>
      <c r="AP386" s="1223"/>
      <c r="AQ386" s="1208"/>
      <c r="AR386" s="1208"/>
      <c r="AS386" s="1223"/>
      <c r="AT386" s="1223"/>
      <c r="AU386" s="1208"/>
      <c r="AV386" s="1208"/>
      <c r="AW386" s="2297"/>
      <c r="BE386" s="1224"/>
      <c r="BF386" s="1225"/>
      <c r="BR386" s="1224"/>
      <c r="BS386" s="1224"/>
    </row>
    <row r="387" spans="2:71" s="491" customFormat="1">
      <c r="B387" s="2297"/>
      <c r="C387" s="2297"/>
      <c r="D387" s="2297"/>
      <c r="E387" s="2297"/>
      <c r="F387" s="2297"/>
      <c r="G387" s="2297"/>
      <c r="H387" s="2297"/>
      <c r="I387" s="2297"/>
      <c r="J387" s="2297"/>
      <c r="K387" s="2297"/>
      <c r="L387" s="2297"/>
      <c r="M387" s="2297"/>
      <c r="N387" s="2297"/>
      <c r="O387" s="2297"/>
      <c r="P387" s="2297"/>
      <c r="Q387" s="2297"/>
      <c r="R387" s="99"/>
      <c r="S387" s="99"/>
      <c r="T387" s="99"/>
      <c r="U387" s="99"/>
      <c r="V387" s="99"/>
      <c r="AF387" s="2297"/>
      <c r="AG387" s="1208"/>
      <c r="AH387" s="1208"/>
      <c r="AI387" s="1223"/>
      <c r="AJ387" s="1223"/>
      <c r="AK387" s="1223"/>
      <c r="AL387" s="1223"/>
      <c r="AM387" s="1223"/>
      <c r="AN387" s="1223"/>
      <c r="AO387" s="1208"/>
      <c r="AP387" s="1223"/>
      <c r="AQ387" s="1208"/>
      <c r="AR387" s="1208"/>
      <c r="AS387" s="1223"/>
      <c r="AT387" s="1223"/>
      <c r="AU387" s="1208"/>
      <c r="AV387" s="1208"/>
      <c r="AW387" s="2297"/>
      <c r="BE387" s="1224"/>
      <c r="BF387" s="1225"/>
      <c r="BR387" s="1224"/>
      <c r="BS387" s="1224"/>
    </row>
    <row r="388" spans="2:71" s="491" customFormat="1">
      <c r="B388" s="2297"/>
      <c r="C388" s="2297"/>
      <c r="D388" s="2297"/>
      <c r="E388" s="2297"/>
      <c r="F388" s="2297"/>
      <c r="G388" s="2297"/>
      <c r="H388" s="2297"/>
      <c r="I388" s="2297"/>
      <c r="J388" s="2297"/>
      <c r="K388" s="2297"/>
      <c r="L388" s="2297"/>
      <c r="M388" s="2297"/>
      <c r="N388" s="2297"/>
      <c r="O388" s="2297"/>
      <c r="P388" s="2297"/>
      <c r="Q388" s="2297"/>
      <c r="R388" s="99"/>
      <c r="S388" s="99"/>
      <c r="T388" s="99"/>
      <c r="U388" s="99"/>
      <c r="V388" s="99"/>
      <c r="AF388" s="2297"/>
      <c r="AG388" s="1208"/>
      <c r="AH388" s="1208"/>
      <c r="AI388" s="1223"/>
      <c r="AJ388" s="1223"/>
      <c r="AK388" s="1223"/>
      <c r="AL388" s="1223"/>
      <c r="AM388" s="1223"/>
      <c r="AN388" s="1223"/>
      <c r="AO388" s="1208"/>
      <c r="AP388" s="1223"/>
      <c r="AQ388" s="1208"/>
      <c r="AR388" s="1208"/>
      <c r="AS388" s="1223"/>
      <c r="AT388" s="1223"/>
      <c r="AU388" s="1208"/>
      <c r="AV388" s="1208"/>
      <c r="AW388" s="2297"/>
      <c r="BE388" s="1224"/>
      <c r="BF388" s="1225"/>
      <c r="BR388" s="1224"/>
      <c r="BS388" s="1224"/>
    </row>
    <row r="389" spans="2:71" s="491" customFormat="1">
      <c r="B389" s="2297"/>
      <c r="C389" s="2297"/>
      <c r="D389" s="2297"/>
      <c r="E389" s="2297"/>
      <c r="F389" s="2297"/>
      <c r="G389" s="2297"/>
      <c r="H389" s="2297"/>
      <c r="I389" s="2297"/>
      <c r="J389" s="2297"/>
      <c r="K389" s="2297"/>
      <c r="L389" s="2297"/>
      <c r="M389" s="2297"/>
      <c r="N389" s="2297"/>
      <c r="O389" s="2297"/>
      <c r="P389" s="2297"/>
      <c r="Q389" s="2297"/>
      <c r="R389" s="99"/>
      <c r="S389" s="99"/>
      <c r="T389" s="99"/>
      <c r="U389" s="99"/>
      <c r="V389" s="99"/>
      <c r="AF389" s="2297"/>
      <c r="AG389" s="1208"/>
      <c r="AH389" s="1208"/>
      <c r="AI389" s="1223"/>
      <c r="AJ389" s="1223"/>
      <c r="AK389" s="1223"/>
      <c r="AL389" s="1223"/>
      <c r="AM389" s="1223"/>
      <c r="AN389" s="1223"/>
      <c r="AO389" s="1208"/>
      <c r="AP389" s="1223"/>
      <c r="AQ389" s="1208"/>
      <c r="AR389" s="1208"/>
      <c r="AS389" s="1223"/>
      <c r="AT389" s="1223"/>
      <c r="AU389" s="1208"/>
      <c r="AV389" s="1208"/>
      <c r="AW389" s="2297"/>
      <c r="BE389" s="1224"/>
      <c r="BF389" s="1225"/>
      <c r="BR389" s="1224"/>
      <c r="BS389" s="1224"/>
    </row>
    <row r="390" spans="2:71" s="491" customFormat="1">
      <c r="B390" s="2297"/>
      <c r="C390" s="2297"/>
      <c r="D390" s="2297"/>
      <c r="E390" s="2297"/>
      <c r="F390" s="2297"/>
      <c r="G390" s="2297"/>
      <c r="H390" s="2297"/>
      <c r="I390" s="2297"/>
      <c r="J390" s="2297"/>
      <c r="K390" s="2297"/>
      <c r="L390" s="2297"/>
      <c r="M390" s="2297"/>
      <c r="N390" s="2297"/>
      <c r="O390" s="2297"/>
      <c r="P390" s="2297"/>
      <c r="Q390" s="2297"/>
      <c r="R390" s="99"/>
      <c r="S390" s="99"/>
      <c r="T390" s="99"/>
      <c r="U390" s="99"/>
      <c r="V390" s="99"/>
      <c r="AF390" s="2297"/>
      <c r="AG390" s="1208"/>
      <c r="AH390" s="1208"/>
      <c r="AI390" s="1223"/>
      <c r="AJ390" s="1223"/>
      <c r="AK390" s="1223"/>
      <c r="AL390" s="1223"/>
      <c r="AM390" s="1223"/>
      <c r="AN390" s="1223"/>
      <c r="AO390" s="1208"/>
      <c r="AP390" s="1223"/>
      <c r="AQ390" s="1208"/>
      <c r="AR390" s="1208"/>
      <c r="AS390" s="1223"/>
      <c r="AT390" s="1223"/>
      <c r="AU390" s="1208"/>
      <c r="AV390" s="1208"/>
      <c r="AW390" s="2297"/>
      <c r="BE390" s="1224"/>
      <c r="BF390" s="1225"/>
      <c r="BR390" s="1224"/>
      <c r="BS390" s="1224"/>
    </row>
    <row r="391" spans="2:71" s="491" customFormat="1">
      <c r="B391" s="2297"/>
      <c r="C391" s="2297"/>
      <c r="D391" s="2297"/>
      <c r="E391" s="2297"/>
      <c r="F391" s="2297"/>
      <c r="G391" s="2297"/>
      <c r="H391" s="2297"/>
      <c r="I391" s="2297"/>
      <c r="J391" s="2297"/>
      <c r="K391" s="2297"/>
      <c r="L391" s="2297"/>
      <c r="M391" s="2297"/>
      <c r="N391" s="2297"/>
      <c r="O391" s="2297"/>
      <c r="P391" s="2297"/>
      <c r="Q391" s="2297"/>
      <c r="R391" s="99"/>
      <c r="S391" s="99"/>
      <c r="T391" s="99"/>
      <c r="U391" s="99"/>
      <c r="V391" s="99"/>
      <c r="AF391" s="2297"/>
      <c r="AG391" s="1208"/>
      <c r="AH391" s="1208"/>
      <c r="AI391" s="1223"/>
      <c r="AJ391" s="1223"/>
      <c r="AK391" s="1223"/>
      <c r="AL391" s="1223"/>
      <c r="AM391" s="1223"/>
      <c r="AN391" s="1223"/>
      <c r="AO391" s="1208"/>
      <c r="AP391" s="1223"/>
      <c r="AQ391" s="1208"/>
      <c r="AR391" s="1208"/>
      <c r="AS391" s="1223"/>
      <c r="AT391" s="1223"/>
      <c r="AU391" s="1208"/>
      <c r="AV391" s="1208"/>
      <c r="AW391" s="2297"/>
      <c r="BE391" s="1224"/>
      <c r="BF391" s="1225"/>
      <c r="BR391" s="1224"/>
      <c r="BS391" s="1224"/>
    </row>
    <row r="392" spans="2:71" s="491" customFormat="1">
      <c r="B392" s="2297"/>
      <c r="C392" s="2297"/>
      <c r="D392" s="2297"/>
      <c r="E392" s="2297"/>
      <c r="F392" s="2297"/>
      <c r="G392" s="2297"/>
      <c r="H392" s="2297"/>
      <c r="I392" s="2297"/>
      <c r="J392" s="2297"/>
      <c r="K392" s="2297"/>
      <c r="L392" s="2297"/>
      <c r="M392" s="2297"/>
      <c r="N392" s="2297"/>
      <c r="O392" s="2297"/>
      <c r="P392" s="2297"/>
      <c r="Q392" s="2297"/>
      <c r="R392" s="99"/>
      <c r="S392" s="99"/>
      <c r="T392" s="99"/>
      <c r="U392" s="99"/>
      <c r="V392" s="99"/>
      <c r="AF392" s="2297"/>
      <c r="AG392" s="1208"/>
      <c r="AH392" s="1208"/>
      <c r="AI392" s="1223"/>
      <c r="AJ392" s="1223"/>
      <c r="AK392" s="1223"/>
      <c r="AL392" s="1223"/>
      <c r="AM392" s="1223"/>
      <c r="AN392" s="1223"/>
      <c r="AO392" s="1208"/>
      <c r="AP392" s="1223"/>
      <c r="AQ392" s="1208"/>
      <c r="AR392" s="1208"/>
      <c r="AS392" s="1223"/>
      <c r="AT392" s="1223"/>
      <c r="AU392" s="1208"/>
      <c r="AV392" s="1208"/>
      <c r="AW392" s="2297"/>
      <c r="BE392" s="1224"/>
      <c r="BF392" s="1225"/>
      <c r="BR392" s="1224"/>
      <c r="BS392" s="1224"/>
    </row>
    <row r="393" spans="2:71" s="491" customFormat="1">
      <c r="B393" s="2297"/>
      <c r="C393" s="2297"/>
      <c r="D393" s="2297"/>
      <c r="E393" s="2297"/>
      <c r="F393" s="2297"/>
      <c r="G393" s="2297"/>
      <c r="H393" s="2297"/>
      <c r="I393" s="2297"/>
      <c r="J393" s="2297"/>
      <c r="K393" s="2297"/>
      <c r="L393" s="2297"/>
      <c r="M393" s="2297"/>
      <c r="N393" s="2297"/>
      <c r="O393" s="2297"/>
      <c r="P393" s="2297"/>
      <c r="Q393" s="2297"/>
      <c r="R393" s="99"/>
      <c r="S393" s="99"/>
      <c r="T393" s="99"/>
      <c r="U393" s="99"/>
      <c r="V393" s="99"/>
      <c r="AF393" s="2297"/>
      <c r="AG393" s="1208"/>
      <c r="AH393" s="1208"/>
      <c r="AI393" s="1223"/>
      <c r="AJ393" s="1223"/>
      <c r="AK393" s="1223"/>
      <c r="AL393" s="1223"/>
      <c r="AM393" s="1223"/>
      <c r="AN393" s="1223"/>
      <c r="AO393" s="1208"/>
      <c r="AP393" s="1223"/>
      <c r="AQ393" s="1208"/>
      <c r="AR393" s="1208"/>
      <c r="AS393" s="1223"/>
      <c r="AT393" s="1223"/>
      <c r="AU393" s="1208"/>
      <c r="AV393" s="1208"/>
      <c r="AW393" s="2297"/>
      <c r="BE393" s="1224"/>
      <c r="BF393" s="1225"/>
      <c r="BR393" s="1224"/>
      <c r="BS393" s="1224"/>
    </row>
    <row r="394" spans="2:71" s="491" customFormat="1">
      <c r="B394" s="2297"/>
      <c r="C394" s="2297"/>
      <c r="D394" s="2297"/>
      <c r="E394" s="2297"/>
      <c r="F394" s="2297"/>
      <c r="G394" s="2297"/>
      <c r="H394" s="2297"/>
      <c r="I394" s="2297"/>
      <c r="J394" s="2297"/>
      <c r="K394" s="2297"/>
      <c r="L394" s="2297"/>
      <c r="M394" s="2297"/>
      <c r="N394" s="2297"/>
      <c r="O394" s="2297"/>
      <c r="P394" s="2297"/>
      <c r="Q394" s="2297"/>
      <c r="R394" s="99"/>
      <c r="S394" s="99"/>
      <c r="T394" s="99"/>
      <c r="U394" s="99"/>
      <c r="V394" s="99"/>
      <c r="AF394" s="2297"/>
      <c r="AG394" s="1208"/>
      <c r="AH394" s="1208"/>
      <c r="AI394" s="1223"/>
      <c r="AJ394" s="1223"/>
      <c r="AK394" s="1223"/>
      <c r="AL394" s="1223"/>
      <c r="AM394" s="1223"/>
      <c r="AN394" s="1223"/>
      <c r="AO394" s="1208"/>
      <c r="AP394" s="1223"/>
      <c r="AQ394" s="1208"/>
      <c r="AR394" s="1208"/>
      <c r="AS394" s="1223"/>
      <c r="AT394" s="1223"/>
      <c r="AU394" s="1208"/>
      <c r="AV394" s="1208"/>
      <c r="AW394" s="2297"/>
      <c r="BE394" s="1224"/>
      <c r="BF394" s="1225"/>
      <c r="BR394" s="1224"/>
      <c r="BS394" s="1224"/>
    </row>
    <row r="395" spans="2:71" s="491" customFormat="1">
      <c r="B395" s="2297"/>
      <c r="C395" s="2297"/>
      <c r="D395" s="2297"/>
      <c r="E395" s="2297"/>
      <c r="F395" s="2297"/>
      <c r="G395" s="2297"/>
      <c r="H395" s="2297"/>
      <c r="I395" s="2297"/>
      <c r="J395" s="2297"/>
      <c r="K395" s="2297"/>
      <c r="L395" s="2297"/>
      <c r="M395" s="2297"/>
      <c r="N395" s="2297"/>
      <c r="O395" s="2297"/>
      <c r="P395" s="2297"/>
      <c r="Q395" s="2297"/>
      <c r="R395" s="99"/>
      <c r="S395" s="99"/>
      <c r="T395" s="99"/>
      <c r="U395" s="99"/>
      <c r="V395" s="99"/>
      <c r="AF395" s="2297"/>
      <c r="AG395" s="1208"/>
      <c r="AH395" s="1208"/>
      <c r="AI395" s="1223"/>
      <c r="AJ395" s="1223"/>
      <c r="AK395" s="1223"/>
      <c r="AL395" s="1223"/>
      <c r="AM395" s="1223"/>
      <c r="AN395" s="1223"/>
      <c r="AO395" s="1208"/>
      <c r="AP395" s="1223"/>
      <c r="AQ395" s="1208"/>
      <c r="AR395" s="1208"/>
      <c r="AS395" s="1223"/>
      <c r="AT395" s="1223"/>
      <c r="AU395" s="1208"/>
      <c r="AV395" s="1208"/>
      <c r="AW395" s="2297"/>
      <c r="BE395" s="1224"/>
      <c r="BF395" s="1225"/>
      <c r="BR395" s="1224"/>
      <c r="BS395" s="1224"/>
    </row>
    <row r="396" spans="2:71" s="491" customFormat="1">
      <c r="B396" s="2297"/>
      <c r="C396" s="2297"/>
      <c r="D396" s="2297"/>
      <c r="E396" s="2297"/>
      <c r="F396" s="2297"/>
      <c r="G396" s="2297"/>
      <c r="H396" s="2297"/>
      <c r="I396" s="2297"/>
      <c r="J396" s="2297"/>
      <c r="K396" s="2297"/>
      <c r="L396" s="2297"/>
      <c r="M396" s="2297"/>
      <c r="N396" s="2297"/>
      <c r="O396" s="2297"/>
      <c r="P396" s="2297"/>
      <c r="Q396" s="2297"/>
      <c r="R396" s="99"/>
      <c r="S396" s="99"/>
      <c r="T396" s="99"/>
      <c r="U396" s="99"/>
      <c r="V396" s="99"/>
      <c r="AF396" s="2297"/>
      <c r="AG396" s="1208"/>
      <c r="AH396" s="1208"/>
      <c r="AI396" s="1223"/>
      <c r="AJ396" s="1223"/>
      <c r="AK396" s="1223"/>
      <c r="AL396" s="1223"/>
      <c r="AM396" s="1223"/>
      <c r="AN396" s="1223"/>
      <c r="AO396" s="1208"/>
      <c r="AP396" s="1223"/>
      <c r="AQ396" s="1208"/>
      <c r="AR396" s="1208"/>
      <c r="AS396" s="1223"/>
      <c r="AT396" s="1223"/>
      <c r="AU396" s="1208"/>
      <c r="AV396" s="1208"/>
      <c r="AW396" s="2297"/>
      <c r="BE396" s="1224"/>
      <c r="BF396" s="1225"/>
      <c r="BR396" s="1224"/>
      <c r="BS396" s="1224"/>
    </row>
    <row r="397" spans="2:71" s="491" customFormat="1">
      <c r="B397" s="2297"/>
      <c r="C397" s="2297"/>
      <c r="D397" s="2297"/>
      <c r="E397" s="2297"/>
      <c r="F397" s="2297"/>
      <c r="G397" s="2297"/>
      <c r="H397" s="2297"/>
      <c r="I397" s="2297"/>
      <c r="J397" s="2297"/>
      <c r="K397" s="2297"/>
      <c r="L397" s="2297"/>
      <c r="M397" s="2297"/>
      <c r="N397" s="2297"/>
      <c r="O397" s="2297"/>
      <c r="P397" s="2297"/>
      <c r="Q397" s="2297"/>
      <c r="R397" s="99"/>
      <c r="S397" s="99"/>
      <c r="T397" s="99"/>
      <c r="U397" s="99"/>
      <c r="V397" s="99"/>
      <c r="AF397" s="2297"/>
      <c r="AG397" s="1208"/>
      <c r="AH397" s="1208"/>
      <c r="AI397" s="1223"/>
      <c r="AJ397" s="1223"/>
      <c r="AK397" s="1223"/>
      <c r="AL397" s="1223"/>
      <c r="AM397" s="1223"/>
      <c r="AN397" s="1223"/>
      <c r="AO397" s="1208"/>
      <c r="AP397" s="1223"/>
      <c r="AQ397" s="1208"/>
      <c r="AR397" s="1208"/>
      <c r="AS397" s="1223"/>
      <c r="AT397" s="1223"/>
      <c r="AU397" s="1208"/>
      <c r="AV397" s="1208"/>
      <c r="AW397" s="2297"/>
      <c r="BE397" s="1224"/>
      <c r="BF397" s="1225"/>
      <c r="BR397" s="1224"/>
      <c r="BS397" s="1224"/>
    </row>
    <row r="398" spans="2:71" s="491" customFormat="1">
      <c r="B398" s="2297"/>
      <c r="C398" s="2297"/>
      <c r="D398" s="2297"/>
      <c r="E398" s="2297"/>
      <c r="F398" s="2297"/>
      <c r="G398" s="2297"/>
      <c r="H398" s="2297"/>
      <c r="I398" s="2297"/>
      <c r="J398" s="2297"/>
      <c r="K398" s="2297"/>
      <c r="L398" s="2297"/>
      <c r="M398" s="2297"/>
      <c r="N398" s="2297"/>
      <c r="O398" s="2297"/>
      <c r="P398" s="2297"/>
      <c r="Q398" s="2297"/>
      <c r="R398" s="99"/>
      <c r="S398" s="99"/>
      <c r="T398" s="99"/>
      <c r="U398" s="99"/>
      <c r="V398" s="99"/>
      <c r="AF398" s="2297"/>
      <c r="AG398" s="1208"/>
      <c r="AH398" s="1208"/>
      <c r="AI398" s="1223"/>
      <c r="AJ398" s="1223"/>
      <c r="AK398" s="1223"/>
      <c r="AL398" s="1223"/>
      <c r="AM398" s="1223"/>
      <c r="AN398" s="1223"/>
      <c r="AO398" s="1208"/>
      <c r="AP398" s="1223"/>
      <c r="AQ398" s="1208"/>
      <c r="AR398" s="1208"/>
      <c r="AS398" s="1223"/>
      <c r="AT398" s="1223"/>
      <c r="AU398" s="1208"/>
      <c r="AV398" s="1208"/>
      <c r="AW398" s="2297"/>
      <c r="BE398" s="1224"/>
      <c r="BF398" s="1225"/>
      <c r="BR398" s="1224"/>
      <c r="BS398" s="1224"/>
    </row>
    <row r="399" spans="2:71" s="491" customFormat="1">
      <c r="B399" s="2297"/>
      <c r="C399" s="2297"/>
      <c r="D399" s="2297"/>
      <c r="E399" s="2297"/>
      <c r="F399" s="2297"/>
      <c r="G399" s="2297"/>
      <c r="H399" s="2297"/>
      <c r="I399" s="2297"/>
      <c r="J399" s="2297"/>
      <c r="K399" s="2297"/>
      <c r="L399" s="2297"/>
      <c r="M399" s="2297"/>
      <c r="N399" s="2297"/>
      <c r="O399" s="2297"/>
      <c r="P399" s="2297"/>
      <c r="Q399" s="2297"/>
      <c r="R399" s="99"/>
      <c r="S399" s="99"/>
      <c r="T399" s="99"/>
      <c r="U399" s="99"/>
      <c r="V399" s="99"/>
      <c r="AF399" s="2297"/>
      <c r="AG399" s="1208"/>
      <c r="AH399" s="1208"/>
      <c r="AI399" s="1223"/>
      <c r="AJ399" s="1223"/>
      <c r="AK399" s="1223"/>
      <c r="AL399" s="1223"/>
      <c r="AM399" s="1223"/>
      <c r="AN399" s="1223"/>
      <c r="AO399" s="1208"/>
      <c r="AP399" s="1223"/>
      <c r="AQ399" s="1208"/>
      <c r="AR399" s="1208"/>
      <c r="AS399" s="1223"/>
      <c r="AT399" s="1223"/>
      <c r="AU399" s="1208"/>
      <c r="AV399" s="1208"/>
      <c r="AW399" s="2297"/>
      <c r="BE399" s="1224"/>
      <c r="BF399" s="1225"/>
      <c r="BR399" s="1224"/>
      <c r="BS399" s="1224"/>
    </row>
    <row r="400" spans="2:71" s="491" customFormat="1">
      <c r="B400" s="2297"/>
      <c r="C400" s="2297"/>
      <c r="D400" s="2297"/>
      <c r="E400" s="2297"/>
      <c r="F400" s="2297"/>
      <c r="G400" s="2297"/>
      <c r="H400" s="2297"/>
      <c r="I400" s="2297"/>
      <c r="J400" s="2297"/>
      <c r="K400" s="2297"/>
      <c r="L400" s="2297"/>
      <c r="M400" s="2297"/>
      <c r="N400" s="2297"/>
      <c r="O400" s="2297"/>
      <c r="P400" s="2297"/>
      <c r="Q400" s="2297"/>
      <c r="R400" s="99"/>
      <c r="S400" s="99"/>
      <c r="T400" s="99"/>
      <c r="U400" s="99"/>
      <c r="V400" s="99"/>
      <c r="AF400" s="2297"/>
      <c r="AG400" s="1208"/>
      <c r="AH400" s="1208"/>
      <c r="AI400" s="1223"/>
      <c r="AJ400" s="1223"/>
      <c r="AK400" s="1223"/>
      <c r="AL400" s="1223"/>
      <c r="AM400" s="1223"/>
      <c r="AN400" s="1223"/>
      <c r="AO400" s="1208"/>
      <c r="AP400" s="1223"/>
      <c r="AQ400" s="1208"/>
      <c r="AR400" s="1208"/>
      <c r="AS400" s="1223"/>
      <c r="AT400" s="1223"/>
      <c r="AU400" s="1208"/>
      <c r="AV400" s="1208"/>
      <c r="AW400" s="2297"/>
      <c r="BE400" s="1224"/>
      <c r="BF400" s="1225"/>
      <c r="BR400" s="1224"/>
      <c r="BS400" s="1224"/>
    </row>
    <row r="401" spans="2:71" s="491" customFormat="1">
      <c r="B401" s="2297"/>
      <c r="C401" s="2297"/>
      <c r="D401" s="2297"/>
      <c r="E401" s="2297"/>
      <c r="F401" s="2297"/>
      <c r="G401" s="2297"/>
      <c r="H401" s="2297"/>
      <c r="I401" s="2297"/>
      <c r="J401" s="2297"/>
      <c r="K401" s="2297"/>
      <c r="L401" s="2297"/>
      <c r="M401" s="2297"/>
      <c r="N401" s="2297"/>
      <c r="O401" s="2297"/>
      <c r="P401" s="2297"/>
      <c r="Q401" s="2297"/>
      <c r="R401" s="99"/>
      <c r="S401" s="99"/>
      <c r="T401" s="99"/>
      <c r="U401" s="99"/>
      <c r="V401" s="99"/>
      <c r="AF401" s="2297"/>
      <c r="AG401" s="1208"/>
      <c r="AH401" s="1208"/>
      <c r="AI401" s="1223"/>
      <c r="AJ401" s="1223"/>
      <c r="AK401" s="1223"/>
      <c r="AL401" s="1223"/>
      <c r="AM401" s="1223"/>
      <c r="AN401" s="1223"/>
      <c r="AO401" s="1208"/>
      <c r="AP401" s="1223"/>
      <c r="AQ401" s="1208"/>
      <c r="AR401" s="1208"/>
      <c r="AS401" s="1223"/>
      <c r="AT401" s="1223"/>
      <c r="AU401" s="1208"/>
      <c r="AV401" s="1208"/>
      <c r="AW401" s="2297"/>
      <c r="BE401" s="1224"/>
      <c r="BF401" s="1225"/>
      <c r="BR401" s="1224"/>
      <c r="BS401" s="1224"/>
    </row>
    <row r="402" spans="2:71" s="491" customFormat="1">
      <c r="B402" s="2297"/>
      <c r="C402" s="2297"/>
      <c r="D402" s="2297"/>
      <c r="E402" s="2297"/>
      <c r="F402" s="2297"/>
      <c r="G402" s="2297"/>
      <c r="H402" s="2297"/>
      <c r="I402" s="2297"/>
      <c r="J402" s="2297"/>
      <c r="K402" s="2297"/>
      <c r="L402" s="2297"/>
      <c r="M402" s="2297"/>
      <c r="N402" s="2297"/>
      <c r="O402" s="2297"/>
      <c r="P402" s="2297"/>
      <c r="Q402" s="2297"/>
      <c r="R402" s="99"/>
      <c r="S402" s="99"/>
      <c r="T402" s="99"/>
      <c r="U402" s="99"/>
      <c r="V402" s="99"/>
      <c r="AF402" s="2297"/>
      <c r="AG402" s="1208"/>
      <c r="AH402" s="1208"/>
      <c r="AI402" s="1223"/>
      <c r="AJ402" s="1223"/>
      <c r="AK402" s="1223"/>
      <c r="AL402" s="1223"/>
      <c r="AM402" s="1223"/>
      <c r="AN402" s="1223"/>
      <c r="AO402" s="1208"/>
      <c r="AP402" s="1223"/>
      <c r="AQ402" s="1208"/>
      <c r="AR402" s="1208"/>
      <c r="AS402" s="1223"/>
      <c r="AT402" s="1223"/>
      <c r="AU402" s="1208"/>
      <c r="AV402" s="1208"/>
      <c r="AW402" s="2297"/>
      <c r="BE402" s="1224"/>
      <c r="BF402" s="1225"/>
      <c r="BR402" s="1224"/>
      <c r="BS402" s="1224"/>
    </row>
    <row r="403" spans="2:71" s="491" customFormat="1">
      <c r="B403" s="2297"/>
      <c r="C403" s="2297"/>
      <c r="D403" s="2297"/>
      <c r="E403" s="2297"/>
      <c r="F403" s="2297"/>
      <c r="G403" s="2297"/>
      <c r="H403" s="2297"/>
      <c r="I403" s="2297"/>
      <c r="J403" s="2297"/>
      <c r="K403" s="2297"/>
      <c r="L403" s="2297"/>
      <c r="M403" s="2297"/>
      <c r="N403" s="2297"/>
      <c r="O403" s="2297"/>
      <c r="P403" s="2297"/>
      <c r="Q403" s="2297"/>
      <c r="R403" s="99"/>
      <c r="S403" s="99"/>
      <c r="T403" s="99"/>
      <c r="U403" s="99"/>
      <c r="V403" s="99"/>
      <c r="AF403" s="2297"/>
      <c r="AG403" s="1208"/>
      <c r="AH403" s="1208"/>
      <c r="AI403" s="1223"/>
      <c r="AJ403" s="1223"/>
      <c r="AK403" s="1223"/>
      <c r="AL403" s="1223"/>
      <c r="AM403" s="1223"/>
      <c r="AN403" s="1223"/>
      <c r="AO403" s="1208"/>
      <c r="AP403" s="1223"/>
      <c r="AQ403" s="1208"/>
      <c r="AR403" s="1208"/>
      <c r="AS403" s="1223"/>
      <c r="AT403" s="1223"/>
      <c r="AU403" s="1208"/>
      <c r="AV403" s="1208"/>
      <c r="AW403" s="2297"/>
      <c r="BE403" s="1224"/>
      <c r="BF403" s="1225"/>
      <c r="BR403" s="1224"/>
      <c r="BS403" s="1224"/>
    </row>
    <row r="404" spans="2:71" s="491" customFormat="1">
      <c r="B404" s="2297"/>
      <c r="C404" s="2297"/>
      <c r="D404" s="2297"/>
      <c r="E404" s="2297"/>
      <c r="F404" s="2297"/>
      <c r="G404" s="2297"/>
      <c r="H404" s="2297"/>
      <c r="I404" s="2297"/>
      <c r="J404" s="2297"/>
      <c r="K404" s="2297"/>
      <c r="L404" s="2297"/>
      <c r="M404" s="2297"/>
      <c r="N404" s="2297"/>
      <c r="O404" s="2297"/>
      <c r="P404" s="2297"/>
      <c r="Q404" s="2297"/>
      <c r="R404" s="99"/>
      <c r="S404" s="99"/>
      <c r="T404" s="99"/>
      <c r="U404" s="99"/>
      <c r="V404" s="99"/>
      <c r="AF404" s="2297"/>
      <c r="AG404" s="1208"/>
      <c r="AH404" s="1208"/>
      <c r="AI404" s="1223"/>
      <c r="AJ404" s="1223"/>
      <c r="AK404" s="1223"/>
      <c r="AL404" s="1223"/>
      <c r="AM404" s="1223"/>
      <c r="AN404" s="1223"/>
      <c r="AO404" s="1208"/>
      <c r="AP404" s="1223"/>
      <c r="AQ404" s="1208"/>
      <c r="AR404" s="1208"/>
      <c r="AS404" s="1223"/>
      <c r="AT404" s="1223"/>
      <c r="AU404" s="1208"/>
      <c r="AV404" s="1208"/>
      <c r="AW404" s="2297"/>
      <c r="BE404" s="1224"/>
      <c r="BF404" s="1225"/>
      <c r="BR404" s="1224"/>
      <c r="BS404" s="1224"/>
    </row>
    <row r="405" spans="2:71" s="491" customFormat="1">
      <c r="B405" s="2297"/>
      <c r="C405" s="2297"/>
      <c r="D405" s="2297"/>
      <c r="E405" s="2297"/>
      <c r="F405" s="2297"/>
      <c r="G405" s="2297"/>
      <c r="H405" s="2297"/>
      <c r="I405" s="2297"/>
      <c r="J405" s="2297"/>
      <c r="K405" s="2297"/>
      <c r="L405" s="2297"/>
      <c r="M405" s="2297"/>
      <c r="N405" s="2297"/>
      <c r="O405" s="2297"/>
      <c r="P405" s="2297"/>
      <c r="Q405" s="2297"/>
      <c r="R405" s="99"/>
      <c r="S405" s="99"/>
      <c r="T405" s="99"/>
      <c r="U405" s="99"/>
      <c r="V405" s="99"/>
      <c r="AF405" s="2297"/>
      <c r="AG405" s="1208"/>
      <c r="AH405" s="1208"/>
      <c r="AI405" s="1223"/>
      <c r="AJ405" s="1223"/>
      <c r="AK405" s="1223"/>
      <c r="AL405" s="1223"/>
      <c r="AM405" s="1223"/>
      <c r="AN405" s="1223"/>
      <c r="AO405" s="1208"/>
      <c r="AP405" s="1223"/>
      <c r="AQ405" s="1208"/>
      <c r="AR405" s="1208"/>
      <c r="AS405" s="1223"/>
      <c r="AT405" s="1223"/>
      <c r="AU405" s="1208"/>
      <c r="AV405" s="1208"/>
      <c r="AW405" s="2297"/>
      <c r="BE405" s="1224"/>
      <c r="BF405" s="1225"/>
      <c r="BR405" s="1224"/>
      <c r="BS405" s="1224"/>
    </row>
    <row r="406" spans="2:71" s="491" customFormat="1">
      <c r="B406" s="2297"/>
      <c r="C406" s="2297"/>
      <c r="D406" s="2297"/>
      <c r="E406" s="2297"/>
      <c r="F406" s="2297"/>
      <c r="G406" s="2297"/>
      <c r="H406" s="2297"/>
      <c r="I406" s="2297"/>
      <c r="J406" s="2297"/>
      <c r="K406" s="2297"/>
      <c r="L406" s="2297"/>
      <c r="M406" s="2297"/>
      <c r="N406" s="2297"/>
      <c r="O406" s="2297"/>
      <c r="P406" s="2297"/>
      <c r="Q406" s="2297"/>
      <c r="R406" s="99"/>
      <c r="S406" s="99"/>
      <c r="T406" s="99"/>
      <c r="U406" s="99"/>
      <c r="V406" s="99"/>
      <c r="AF406" s="2297"/>
      <c r="AG406" s="1208"/>
      <c r="AH406" s="1208"/>
      <c r="AI406" s="1223"/>
      <c r="AJ406" s="1223"/>
      <c r="AK406" s="1223"/>
      <c r="AL406" s="1223"/>
      <c r="AM406" s="1223"/>
      <c r="AN406" s="1223"/>
      <c r="AO406" s="1208"/>
      <c r="AP406" s="1223"/>
      <c r="AQ406" s="1208"/>
      <c r="AR406" s="1208"/>
      <c r="AS406" s="1223"/>
      <c r="AT406" s="1223"/>
      <c r="AU406" s="1208"/>
      <c r="AV406" s="1208"/>
      <c r="AW406" s="2297"/>
      <c r="BE406" s="1224"/>
      <c r="BF406" s="1225"/>
      <c r="BR406" s="1224"/>
      <c r="BS406" s="1224"/>
    </row>
    <row r="407" spans="2:71" s="491" customFormat="1">
      <c r="B407" s="2297"/>
      <c r="C407" s="2297"/>
      <c r="D407" s="2297"/>
      <c r="E407" s="2297"/>
      <c r="F407" s="2297"/>
      <c r="G407" s="2297"/>
      <c r="H407" s="2297"/>
      <c r="I407" s="2297"/>
      <c r="J407" s="2297"/>
      <c r="K407" s="2297"/>
      <c r="L407" s="2297"/>
      <c r="M407" s="2297"/>
      <c r="N407" s="2297"/>
      <c r="O407" s="2297"/>
      <c r="P407" s="2297"/>
      <c r="Q407" s="2297"/>
      <c r="R407" s="99"/>
      <c r="S407" s="99"/>
      <c r="T407" s="99"/>
      <c r="U407" s="99"/>
      <c r="V407" s="99"/>
      <c r="AF407" s="2297"/>
      <c r="AG407" s="1208"/>
      <c r="AH407" s="1208"/>
      <c r="AI407" s="1223"/>
      <c r="AJ407" s="1223"/>
      <c r="AK407" s="1223"/>
      <c r="AL407" s="1223"/>
      <c r="AM407" s="1223"/>
      <c r="AN407" s="1223"/>
      <c r="AO407" s="1208"/>
      <c r="AP407" s="1223"/>
      <c r="AQ407" s="1208"/>
      <c r="AR407" s="1208"/>
      <c r="AS407" s="1223"/>
      <c r="AT407" s="1223"/>
      <c r="AU407" s="1208"/>
      <c r="AV407" s="1208"/>
      <c r="AW407" s="2297"/>
      <c r="BE407" s="1224"/>
      <c r="BF407" s="1225"/>
      <c r="BR407" s="1224"/>
      <c r="BS407" s="1224"/>
    </row>
    <row r="408" spans="2:71" s="491" customFormat="1">
      <c r="B408" s="2297"/>
      <c r="C408" s="2297"/>
      <c r="D408" s="2297"/>
      <c r="E408" s="2297"/>
      <c r="F408" s="2297"/>
      <c r="G408" s="2297"/>
      <c r="H408" s="2297"/>
      <c r="I408" s="2297"/>
      <c r="J408" s="2297"/>
      <c r="K408" s="2297"/>
      <c r="L408" s="2297"/>
      <c r="M408" s="2297"/>
      <c r="N408" s="2297"/>
      <c r="O408" s="2297"/>
      <c r="P408" s="2297"/>
      <c r="Q408" s="2297"/>
      <c r="R408" s="99"/>
      <c r="S408" s="99"/>
      <c r="T408" s="99"/>
      <c r="U408" s="99"/>
      <c r="V408" s="99"/>
      <c r="AF408" s="2297"/>
      <c r="AG408" s="1208"/>
      <c r="AH408" s="1208"/>
      <c r="AI408" s="1223"/>
      <c r="AJ408" s="1223"/>
      <c r="AK408" s="1223"/>
      <c r="AL408" s="1223"/>
      <c r="AM408" s="1223"/>
      <c r="AN408" s="1223"/>
      <c r="AO408" s="1208"/>
      <c r="AP408" s="1223"/>
      <c r="AQ408" s="1208"/>
      <c r="AR408" s="1208"/>
      <c r="AS408" s="1223"/>
      <c r="AT408" s="1223"/>
      <c r="AU408" s="1208"/>
      <c r="AV408" s="1208"/>
      <c r="AW408" s="2297"/>
      <c r="BE408" s="1224"/>
      <c r="BF408" s="1225"/>
      <c r="BR408" s="1224"/>
      <c r="BS408" s="1224"/>
    </row>
    <row r="409" spans="2:71" s="491" customFormat="1">
      <c r="B409" s="2297"/>
      <c r="C409" s="2297"/>
      <c r="D409" s="2297"/>
      <c r="E409" s="2297"/>
      <c r="F409" s="2297"/>
      <c r="G409" s="2297"/>
      <c r="H409" s="2297"/>
      <c r="I409" s="2297"/>
      <c r="J409" s="2297"/>
      <c r="K409" s="2297"/>
      <c r="L409" s="2297"/>
      <c r="M409" s="2297"/>
      <c r="N409" s="2297"/>
      <c r="O409" s="2297"/>
      <c r="P409" s="2297"/>
      <c r="Q409" s="2297"/>
      <c r="R409" s="99"/>
      <c r="S409" s="99"/>
      <c r="T409" s="99"/>
      <c r="U409" s="99"/>
      <c r="V409" s="99"/>
      <c r="AF409" s="2297"/>
      <c r="AG409" s="1208"/>
      <c r="AH409" s="1208"/>
      <c r="AI409" s="1223"/>
      <c r="AJ409" s="1223"/>
      <c r="AK409" s="1223"/>
      <c r="AL409" s="1223"/>
      <c r="AM409" s="1223"/>
      <c r="AN409" s="1223"/>
      <c r="AO409" s="1208"/>
      <c r="AP409" s="1223"/>
      <c r="AQ409" s="1208"/>
      <c r="AR409" s="1208"/>
      <c r="AS409" s="1223"/>
      <c r="AT409" s="1223"/>
      <c r="AU409" s="1208"/>
      <c r="AV409" s="1208"/>
      <c r="AW409" s="2297"/>
      <c r="BE409" s="1224"/>
      <c r="BF409" s="1225"/>
      <c r="BR409" s="1224"/>
      <c r="BS409" s="1224"/>
    </row>
    <row r="410" spans="2:71" s="491" customFormat="1">
      <c r="B410" s="2297"/>
      <c r="C410" s="2297"/>
      <c r="D410" s="2297"/>
      <c r="E410" s="2297"/>
      <c r="F410" s="2297"/>
      <c r="G410" s="2297"/>
      <c r="H410" s="2297"/>
      <c r="I410" s="2297"/>
      <c r="J410" s="2297"/>
      <c r="K410" s="2297"/>
      <c r="L410" s="2297"/>
      <c r="M410" s="2297"/>
      <c r="N410" s="2297"/>
      <c r="O410" s="2297"/>
      <c r="P410" s="2297"/>
      <c r="Q410" s="2297"/>
      <c r="R410" s="99"/>
      <c r="S410" s="99"/>
      <c r="T410" s="99"/>
      <c r="U410" s="99"/>
      <c r="V410" s="99"/>
      <c r="AF410" s="2297"/>
      <c r="AG410" s="1208"/>
      <c r="AH410" s="1208"/>
      <c r="AI410" s="1223"/>
      <c r="AJ410" s="1223"/>
      <c r="AK410" s="1223"/>
      <c r="AL410" s="1223"/>
      <c r="AM410" s="1223"/>
      <c r="AN410" s="1223"/>
      <c r="AO410" s="1208"/>
      <c r="AP410" s="1223"/>
      <c r="AQ410" s="1208"/>
      <c r="AR410" s="1208"/>
      <c r="AS410" s="1223"/>
      <c r="AT410" s="1223"/>
      <c r="AU410" s="1208"/>
      <c r="AV410" s="1208"/>
      <c r="AW410" s="2297"/>
      <c r="BE410" s="1224"/>
      <c r="BF410" s="1225"/>
      <c r="BR410" s="1224"/>
      <c r="BS410" s="1224"/>
    </row>
    <row r="411" spans="2:71" s="491" customFormat="1">
      <c r="B411" s="2297"/>
      <c r="C411" s="2297"/>
      <c r="D411" s="2297"/>
      <c r="E411" s="2297"/>
      <c r="F411" s="2297"/>
      <c r="G411" s="2297"/>
      <c r="H411" s="2297"/>
      <c r="I411" s="2297"/>
      <c r="J411" s="2297"/>
      <c r="K411" s="2297"/>
      <c r="L411" s="2297"/>
      <c r="M411" s="2297"/>
      <c r="N411" s="2297"/>
      <c r="O411" s="2297"/>
      <c r="P411" s="2297"/>
      <c r="Q411" s="2297"/>
      <c r="R411" s="99"/>
      <c r="S411" s="99"/>
      <c r="T411" s="99"/>
      <c r="U411" s="99"/>
      <c r="V411" s="99"/>
      <c r="AF411" s="2297"/>
      <c r="AG411" s="1208"/>
      <c r="AH411" s="1208"/>
      <c r="AI411" s="1223"/>
      <c r="AJ411" s="1223"/>
      <c r="AK411" s="1223"/>
      <c r="AL411" s="1223"/>
      <c r="AM411" s="1223"/>
      <c r="AN411" s="1223"/>
      <c r="AO411" s="1208"/>
      <c r="AP411" s="1223"/>
      <c r="AQ411" s="1208"/>
      <c r="AR411" s="1208"/>
      <c r="AS411" s="1223"/>
      <c r="AT411" s="1223"/>
      <c r="AU411" s="1208"/>
      <c r="AV411" s="1208"/>
      <c r="AW411" s="2297"/>
      <c r="BE411" s="1224"/>
      <c r="BF411" s="1225"/>
      <c r="BR411" s="1224"/>
      <c r="BS411" s="1224"/>
    </row>
    <row r="412" spans="2:71" s="491" customFormat="1">
      <c r="B412" s="2297"/>
      <c r="C412" s="2297"/>
      <c r="D412" s="2297"/>
      <c r="E412" s="2297"/>
      <c r="F412" s="2297"/>
      <c r="G412" s="2297"/>
      <c r="H412" s="2297"/>
      <c r="I412" s="2297"/>
      <c r="J412" s="2297"/>
      <c r="K412" s="2297"/>
      <c r="L412" s="2297"/>
      <c r="M412" s="2297"/>
      <c r="N412" s="2297"/>
      <c r="O412" s="2297"/>
      <c r="P412" s="2297"/>
      <c r="Q412" s="2297"/>
      <c r="R412" s="99"/>
      <c r="S412" s="99"/>
      <c r="T412" s="99"/>
      <c r="U412" s="99"/>
      <c r="V412" s="99"/>
      <c r="AF412" s="2297"/>
      <c r="AG412" s="1208"/>
      <c r="AH412" s="1208"/>
      <c r="AI412" s="1223"/>
      <c r="AJ412" s="1223"/>
      <c r="AK412" s="1223"/>
      <c r="AL412" s="1223"/>
      <c r="AM412" s="1223"/>
      <c r="AN412" s="1223"/>
      <c r="AO412" s="1208"/>
      <c r="AP412" s="1223"/>
      <c r="AQ412" s="1208"/>
      <c r="AR412" s="1208"/>
      <c r="AS412" s="1223"/>
      <c r="AT412" s="1223"/>
      <c r="AU412" s="1208"/>
      <c r="AV412" s="1208"/>
      <c r="AW412" s="2297"/>
      <c r="BE412" s="1224"/>
      <c r="BF412" s="1225"/>
      <c r="BR412" s="1224"/>
      <c r="BS412" s="1224"/>
    </row>
    <row r="413" spans="2:71" s="491" customFormat="1">
      <c r="B413" s="2297"/>
      <c r="C413" s="2297"/>
      <c r="D413" s="2297"/>
      <c r="E413" s="2297"/>
      <c r="F413" s="2297"/>
      <c r="G413" s="2297"/>
      <c r="H413" s="2297"/>
      <c r="I413" s="2297"/>
      <c r="J413" s="2297"/>
      <c r="K413" s="2297"/>
      <c r="L413" s="2297"/>
      <c r="M413" s="2297"/>
      <c r="N413" s="2297"/>
      <c r="O413" s="2297"/>
      <c r="P413" s="2297"/>
      <c r="Q413" s="2297"/>
      <c r="R413" s="99"/>
      <c r="S413" s="99"/>
      <c r="T413" s="99"/>
      <c r="U413" s="99"/>
      <c r="V413" s="99"/>
      <c r="AF413" s="2297"/>
      <c r="AG413" s="1208"/>
      <c r="AH413" s="1208"/>
      <c r="AI413" s="1223"/>
      <c r="AJ413" s="1223"/>
      <c r="AK413" s="1223"/>
      <c r="AL413" s="1223"/>
      <c r="AM413" s="1223"/>
      <c r="AN413" s="1223"/>
      <c r="AO413" s="1208"/>
      <c r="AP413" s="1223"/>
      <c r="AQ413" s="1208"/>
      <c r="AR413" s="1208"/>
      <c r="AS413" s="1223"/>
      <c r="AT413" s="1223"/>
      <c r="AU413" s="1208"/>
      <c r="AV413" s="1208"/>
      <c r="AW413" s="2297"/>
      <c r="BE413" s="1224"/>
      <c r="BF413" s="1225"/>
      <c r="BR413" s="1224"/>
      <c r="BS413" s="1224"/>
    </row>
    <row r="414" spans="2:71" s="491" customFormat="1">
      <c r="B414" s="2297"/>
      <c r="C414" s="2297"/>
      <c r="D414" s="2297"/>
      <c r="E414" s="2297"/>
      <c r="F414" s="2297"/>
      <c r="G414" s="2297"/>
      <c r="H414" s="2297"/>
      <c r="I414" s="2297"/>
      <c r="J414" s="2297"/>
      <c r="K414" s="2297"/>
      <c r="L414" s="2297"/>
      <c r="M414" s="2297"/>
      <c r="N414" s="2297"/>
      <c r="O414" s="2297"/>
      <c r="P414" s="2297"/>
      <c r="Q414" s="2297"/>
      <c r="R414" s="99"/>
      <c r="S414" s="99"/>
      <c r="T414" s="99"/>
      <c r="U414" s="99"/>
      <c r="V414" s="99"/>
      <c r="AF414" s="2297"/>
      <c r="AG414" s="1208"/>
      <c r="AH414" s="1208"/>
      <c r="AI414" s="1223"/>
      <c r="AJ414" s="1223"/>
      <c r="AK414" s="1223"/>
      <c r="AL414" s="1223"/>
      <c r="AM414" s="1223"/>
      <c r="AN414" s="1223"/>
      <c r="AO414" s="1208"/>
      <c r="AP414" s="1223"/>
      <c r="AQ414" s="1208"/>
      <c r="AR414" s="1208"/>
      <c r="AS414" s="1223"/>
      <c r="AT414" s="1223"/>
      <c r="AU414" s="1208"/>
      <c r="AV414" s="1208"/>
      <c r="AW414" s="2297"/>
      <c r="BE414" s="1224"/>
      <c r="BF414" s="1225"/>
      <c r="BR414" s="1224"/>
      <c r="BS414" s="1224"/>
    </row>
    <row r="415" spans="2:71" s="491" customFormat="1">
      <c r="B415" s="2297"/>
      <c r="C415" s="2297"/>
      <c r="D415" s="2297"/>
      <c r="E415" s="2297"/>
      <c r="F415" s="2297"/>
      <c r="G415" s="2297"/>
      <c r="H415" s="2297"/>
      <c r="I415" s="2297"/>
      <c r="J415" s="2297"/>
      <c r="K415" s="2297"/>
      <c r="L415" s="2297"/>
      <c r="M415" s="2297"/>
      <c r="N415" s="2297"/>
      <c r="O415" s="2297"/>
      <c r="P415" s="2297"/>
      <c r="Q415" s="2297"/>
      <c r="R415" s="99"/>
      <c r="S415" s="99"/>
      <c r="T415" s="99"/>
      <c r="U415" s="99"/>
      <c r="V415" s="99"/>
      <c r="AF415" s="2297"/>
      <c r="AG415" s="1208"/>
      <c r="AH415" s="1208"/>
      <c r="AI415" s="1223"/>
      <c r="AJ415" s="1223"/>
      <c r="AK415" s="1223"/>
      <c r="AL415" s="1223"/>
      <c r="AM415" s="1223"/>
      <c r="AN415" s="1223"/>
      <c r="AO415" s="1208"/>
      <c r="AP415" s="1223"/>
      <c r="AQ415" s="1208"/>
      <c r="AR415" s="1208"/>
      <c r="AS415" s="1223"/>
      <c r="AT415" s="1223"/>
      <c r="AU415" s="1208"/>
      <c r="AV415" s="1208"/>
      <c r="AW415" s="2297"/>
      <c r="BE415" s="1224"/>
      <c r="BF415" s="1225"/>
      <c r="BR415" s="1224"/>
      <c r="BS415" s="1224"/>
    </row>
    <row r="416" spans="2:71" s="491" customFormat="1">
      <c r="B416" s="2297"/>
      <c r="C416" s="2297"/>
      <c r="D416" s="2297"/>
      <c r="E416" s="2297"/>
      <c r="F416" s="2297"/>
      <c r="G416" s="2297"/>
      <c r="H416" s="2297"/>
      <c r="I416" s="2297"/>
      <c r="J416" s="2297"/>
      <c r="K416" s="2297"/>
      <c r="L416" s="2297"/>
      <c r="M416" s="2297"/>
      <c r="N416" s="2297"/>
      <c r="O416" s="2297"/>
      <c r="P416" s="2297"/>
      <c r="Q416" s="2297"/>
      <c r="R416" s="99"/>
      <c r="S416" s="99"/>
      <c r="T416" s="99"/>
      <c r="U416" s="99"/>
      <c r="V416" s="99"/>
      <c r="AF416" s="2297"/>
      <c r="AG416" s="1208"/>
      <c r="AH416" s="1208"/>
      <c r="AI416" s="1223"/>
      <c r="AJ416" s="1223"/>
      <c r="AK416" s="1223"/>
      <c r="AL416" s="1223"/>
      <c r="AM416" s="1223"/>
      <c r="AN416" s="1223"/>
      <c r="AO416" s="1208"/>
      <c r="AP416" s="1223"/>
      <c r="AQ416" s="1208"/>
      <c r="AR416" s="1208"/>
      <c r="AS416" s="1223"/>
      <c r="AT416" s="1223"/>
      <c r="AU416" s="1208"/>
      <c r="AV416" s="1208"/>
      <c r="AW416" s="2297"/>
      <c r="BE416" s="1224"/>
      <c r="BF416" s="1225"/>
      <c r="BR416" s="1224"/>
      <c r="BS416" s="1224"/>
    </row>
    <row r="417" spans="2:71" s="491" customFormat="1">
      <c r="B417" s="2297"/>
      <c r="C417" s="2297"/>
      <c r="D417" s="2297"/>
      <c r="E417" s="2297"/>
      <c r="F417" s="2297"/>
      <c r="G417" s="2297"/>
      <c r="H417" s="2297"/>
      <c r="I417" s="2297"/>
      <c r="J417" s="2297"/>
      <c r="K417" s="2297"/>
      <c r="L417" s="2297"/>
      <c r="M417" s="2297"/>
      <c r="N417" s="2297"/>
      <c r="O417" s="2297"/>
      <c r="P417" s="2297"/>
      <c r="Q417" s="2297"/>
      <c r="R417" s="99"/>
      <c r="S417" s="99"/>
      <c r="T417" s="99"/>
      <c r="U417" s="99"/>
      <c r="V417" s="99"/>
      <c r="AF417" s="2297"/>
      <c r="AG417" s="1208"/>
      <c r="AH417" s="1208"/>
      <c r="AI417" s="1223"/>
      <c r="AJ417" s="1223"/>
      <c r="AK417" s="1223"/>
      <c r="AL417" s="1223"/>
      <c r="AM417" s="1223"/>
      <c r="AN417" s="1223"/>
      <c r="AO417" s="1208"/>
      <c r="AP417" s="1223"/>
      <c r="AQ417" s="1208"/>
      <c r="AR417" s="1208"/>
      <c r="AS417" s="1223"/>
      <c r="AT417" s="1223"/>
      <c r="AU417" s="1208"/>
      <c r="AV417" s="1208"/>
      <c r="AW417" s="2297"/>
      <c r="BE417" s="1224"/>
      <c r="BF417" s="1225"/>
      <c r="BR417" s="1224"/>
      <c r="BS417" s="1224"/>
    </row>
    <row r="418" spans="2:71" s="491" customFormat="1">
      <c r="B418" s="2297"/>
      <c r="C418" s="2297"/>
      <c r="D418" s="2297"/>
      <c r="E418" s="2297"/>
      <c r="F418" s="2297"/>
      <c r="G418" s="2297"/>
      <c r="H418" s="2297"/>
      <c r="I418" s="2297"/>
      <c r="J418" s="2297"/>
      <c r="K418" s="2297"/>
      <c r="L418" s="2297"/>
      <c r="M418" s="2297"/>
      <c r="N418" s="2297"/>
      <c r="O418" s="2297"/>
      <c r="P418" s="2297"/>
      <c r="Q418" s="2297"/>
      <c r="R418" s="99"/>
      <c r="S418" s="99"/>
      <c r="T418" s="99"/>
      <c r="U418" s="99"/>
      <c r="V418" s="99"/>
      <c r="AF418" s="2297"/>
      <c r="AG418" s="1208"/>
      <c r="AH418" s="1208"/>
      <c r="AI418" s="1223"/>
      <c r="AJ418" s="1223"/>
      <c r="AK418" s="1223"/>
      <c r="AL418" s="1223"/>
      <c r="AM418" s="1223"/>
      <c r="AN418" s="1223"/>
      <c r="AO418" s="1208"/>
      <c r="AP418" s="1223"/>
      <c r="AQ418" s="1208"/>
      <c r="AR418" s="1208"/>
      <c r="AS418" s="1223"/>
      <c r="AT418" s="1223"/>
      <c r="AU418" s="1208"/>
      <c r="AV418" s="1208"/>
      <c r="AW418" s="2297"/>
      <c r="BE418" s="1224"/>
      <c r="BF418" s="1225"/>
      <c r="BR418" s="1224"/>
      <c r="BS418" s="1224"/>
    </row>
    <row r="419" spans="2:71" s="491" customFormat="1">
      <c r="B419" s="2297"/>
      <c r="C419" s="2297"/>
      <c r="D419" s="2297"/>
      <c r="E419" s="2297"/>
      <c r="F419" s="2297"/>
      <c r="G419" s="2297"/>
      <c r="H419" s="2297"/>
      <c r="I419" s="2297"/>
      <c r="J419" s="2297"/>
      <c r="K419" s="2297"/>
      <c r="L419" s="2297"/>
      <c r="M419" s="2297"/>
      <c r="N419" s="2297"/>
      <c r="O419" s="2297"/>
      <c r="P419" s="2297"/>
      <c r="Q419" s="2297"/>
      <c r="R419" s="99"/>
      <c r="S419" s="99"/>
      <c r="T419" s="99"/>
      <c r="U419" s="99"/>
      <c r="V419" s="99"/>
      <c r="AF419" s="2297"/>
      <c r="AG419" s="1208"/>
      <c r="AH419" s="1208"/>
      <c r="AI419" s="1223"/>
      <c r="AJ419" s="1223"/>
      <c r="AK419" s="1223"/>
      <c r="AL419" s="1223"/>
      <c r="AM419" s="1223"/>
      <c r="AN419" s="1223"/>
      <c r="AO419" s="1208"/>
      <c r="AP419" s="1223"/>
      <c r="AQ419" s="1208"/>
      <c r="AR419" s="1208"/>
      <c r="AS419" s="1223"/>
      <c r="AT419" s="1223"/>
      <c r="AU419" s="1208"/>
      <c r="AV419" s="1208"/>
      <c r="AW419" s="2297"/>
      <c r="BE419" s="1224"/>
      <c r="BF419" s="1225"/>
      <c r="BR419" s="1224"/>
      <c r="BS419" s="1224"/>
    </row>
    <row r="420" spans="2:71" s="491" customFormat="1">
      <c r="B420" s="2297"/>
      <c r="C420" s="2297"/>
      <c r="D420" s="2297"/>
      <c r="E420" s="2297"/>
      <c r="F420" s="2297"/>
      <c r="G420" s="2297"/>
      <c r="H420" s="2297"/>
      <c r="I420" s="2297"/>
      <c r="J420" s="2297"/>
      <c r="K420" s="2297"/>
      <c r="L420" s="2297"/>
      <c r="M420" s="2297"/>
      <c r="N420" s="2297"/>
      <c r="O420" s="2297"/>
      <c r="P420" s="2297"/>
      <c r="Q420" s="2297"/>
      <c r="R420" s="99"/>
      <c r="S420" s="99"/>
      <c r="T420" s="99"/>
      <c r="U420" s="99"/>
      <c r="V420" s="99"/>
      <c r="AF420" s="2297"/>
      <c r="AG420" s="1208"/>
      <c r="AH420" s="1208"/>
      <c r="AI420" s="1223"/>
      <c r="AJ420" s="1223"/>
      <c r="AK420" s="1223"/>
      <c r="AL420" s="1223"/>
      <c r="AM420" s="1223"/>
      <c r="AN420" s="1223"/>
      <c r="AO420" s="1208"/>
      <c r="AP420" s="1223"/>
      <c r="AQ420" s="1208"/>
      <c r="AR420" s="1208"/>
      <c r="AS420" s="1223"/>
      <c r="AT420" s="1223"/>
      <c r="AU420" s="1208"/>
      <c r="AV420" s="1208"/>
      <c r="AW420" s="2297"/>
      <c r="BE420" s="1224"/>
      <c r="BF420" s="1225"/>
      <c r="BR420" s="1224"/>
      <c r="BS420" s="1224"/>
    </row>
    <row r="421" spans="2:71" s="491" customFormat="1">
      <c r="B421" s="2297"/>
      <c r="C421" s="2297"/>
      <c r="D421" s="2297"/>
      <c r="E421" s="2297"/>
      <c r="F421" s="2297"/>
      <c r="G421" s="2297"/>
      <c r="H421" s="2297"/>
      <c r="I421" s="2297"/>
      <c r="J421" s="2297"/>
      <c r="K421" s="2297"/>
      <c r="L421" s="2297"/>
      <c r="M421" s="2297"/>
      <c r="N421" s="2297"/>
      <c r="O421" s="2297"/>
      <c r="P421" s="2297"/>
      <c r="Q421" s="2297"/>
      <c r="R421" s="99"/>
      <c r="S421" s="99"/>
      <c r="T421" s="99"/>
      <c r="U421" s="99"/>
      <c r="V421" s="99"/>
      <c r="AF421" s="2297"/>
      <c r="AG421" s="1208"/>
      <c r="AH421" s="1208"/>
      <c r="AI421" s="1223"/>
      <c r="AJ421" s="1223"/>
      <c r="AK421" s="1223"/>
      <c r="AL421" s="1223"/>
      <c r="AM421" s="1223"/>
      <c r="AN421" s="1223"/>
      <c r="AO421" s="1208"/>
      <c r="AP421" s="1223"/>
      <c r="AQ421" s="1208"/>
      <c r="AR421" s="1208"/>
      <c r="AS421" s="1223"/>
      <c r="AT421" s="1223"/>
      <c r="AU421" s="1208"/>
      <c r="AV421" s="1208"/>
      <c r="AW421" s="2297"/>
      <c r="BE421" s="1224"/>
      <c r="BF421" s="1225"/>
      <c r="BR421" s="1224"/>
      <c r="BS421" s="1224"/>
    </row>
    <row r="422" spans="2:71" s="491" customFormat="1">
      <c r="B422" s="2297"/>
      <c r="C422" s="2297"/>
      <c r="D422" s="2297"/>
      <c r="E422" s="2297"/>
      <c r="F422" s="2297"/>
      <c r="G422" s="2297"/>
      <c r="H422" s="2297"/>
      <c r="I422" s="2297"/>
      <c r="J422" s="2297"/>
      <c r="K422" s="2297"/>
      <c r="L422" s="2297"/>
      <c r="M422" s="2297"/>
      <c r="N422" s="2297"/>
      <c r="O422" s="2297"/>
      <c r="P422" s="2297"/>
      <c r="Q422" s="2297"/>
      <c r="R422" s="99"/>
      <c r="S422" s="99"/>
      <c r="T422" s="99"/>
      <c r="U422" s="99"/>
      <c r="V422" s="99"/>
      <c r="AF422" s="2297"/>
      <c r="AG422" s="1208"/>
      <c r="AH422" s="1208"/>
      <c r="AI422" s="1223"/>
      <c r="AJ422" s="1223"/>
      <c r="AK422" s="1223"/>
      <c r="AL422" s="1223"/>
      <c r="AM422" s="1223"/>
      <c r="AN422" s="1223"/>
      <c r="AO422" s="1208"/>
      <c r="AP422" s="1223"/>
      <c r="AQ422" s="1208"/>
      <c r="AR422" s="1208"/>
      <c r="AS422" s="1223"/>
      <c r="AT422" s="1223"/>
      <c r="AU422" s="1208"/>
      <c r="AV422" s="1208"/>
      <c r="AW422" s="2297"/>
      <c r="BE422" s="1224"/>
      <c r="BF422" s="1225"/>
      <c r="BR422" s="1224"/>
      <c r="BS422" s="1224"/>
    </row>
    <row r="423" spans="2:71" s="491" customFormat="1">
      <c r="B423" s="2297"/>
      <c r="C423" s="2297"/>
      <c r="D423" s="2297"/>
      <c r="E423" s="2297"/>
      <c r="F423" s="2297"/>
      <c r="G423" s="2297"/>
      <c r="H423" s="2297"/>
      <c r="I423" s="2297"/>
      <c r="J423" s="2297"/>
      <c r="K423" s="2297"/>
      <c r="L423" s="2297"/>
      <c r="M423" s="2297"/>
      <c r="N423" s="2297"/>
      <c r="O423" s="2297"/>
      <c r="P423" s="2297"/>
      <c r="Q423" s="2297"/>
      <c r="R423" s="99"/>
      <c r="S423" s="99"/>
      <c r="T423" s="99"/>
      <c r="U423" s="99"/>
      <c r="V423" s="99"/>
      <c r="AF423" s="2297"/>
      <c r="AG423" s="1208"/>
      <c r="AH423" s="1208"/>
      <c r="AI423" s="1223"/>
      <c r="AJ423" s="1223"/>
      <c r="AK423" s="1223"/>
      <c r="AL423" s="1223"/>
      <c r="AM423" s="1223"/>
      <c r="AN423" s="1223"/>
      <c r="AO423" s="1208"/>
      <c r="AP423" s="1223"/>
      <c r="AQ423" s="1208"/>
      <c r="AR423" s="1208"/>
      <c r="AS423" s="1223"/>
      <c r="AT423" s="1223"/>
      <c r="AU423" s="1208"/>
      <c r="AV423" s="1208"/>
      <c r="AW423" s="2297"/>
      <c r="BE423" s="1224"/>
      <c r="BF423" s="1225"/>
      <c r="BR423" s="1224"/>
      <c r="BS423" s="1224"/>
    </row>
    <row r="424" spans="2:71" s="491" customFormat="1">
      <c r="B424" s="2297"/>
      <c r="C424" s="2297"/>
      <c r="D424" s="2297"/>
      <c r="E424" s="2297"/>
      <c r="F424" s="2297"/>
      <c r="G424" s="2297"/>
      <c r="H424" s="2297"/>
      <c r="I424" s="2297"/>
      <c r="J424" s="2297"/>
      <c r="K424" s="2297"/>
      <c r="L424" s="2297"/>
      <c r="M424" s="2297"/>
      <c r="N424" s="2297"/>
      <c r="O424" s="2297"/>
      <c r="P424" s="2297"/>
      <c r="Q424" s="2297"/>
      <c r="R424" s="99"/>
      <c r="S424" s="99"/>
      <c r="T424" s="99"/>
      <c r="U424" s="99"/>
      <c r="V424" s="99"/>
      <c r="AF424" s="2297"/>
      <c r="AG424" s="1208"/>
      <c r="AH424" s="1208"/>
      <c r="AI424" s="1223"/>
      <c r="AJ424" s="1223"/>
      <c r="AK424" s="1223"/>
      <c r="AL424" s="1223"/>
      <c r="AM424" s="1223"/>
      <c r="AN424" s="1223"/>
      <c r="AO424" s="1208"/>
      <c r="AP424" s="1223"/>
      <c r="AQ424" s="1208"/>
      <c r="AR424" s="1208"/>
      <c r="AS424" s="1223"/>
      <c r="AT424" s="1223"/>
      <c r="AU424" s="1208"/>
      <c r="AV424" s="1208"/>
      <c r="AW424" s="2297"/>
      <c r="BE424" s="1224"/>
      <c r="BF424" s="1225"/>
      <c r="BR424" s="1224"/>
      <c r="BS424" s="1224"/>
    </row>
    <row r="425" spans="2:71" s="491" customFormat="1">
      <c r="B425" s="2297"/>
      <c r="C425" s="2297"/>
      <c r="D425" s="2297"/>
      <c r="E425" s="2297"/>
      <c r="F425" s="2297"/>
      <c r="G425" s="2297"/>
      <c r="H425" s="2297"/>
      <c r="I425" s="2297"/>
      <c r="J425" s="2297"/>
      <c r="K425" s="2297"/>
      <c r="L425" s="2297"/>
      <c r="M425" s="2297"/>
      <c r="N425" s="2297"/>
      <c r="O425" s="2297"/>
      <c r="P425" s="2297"/>
      <c r="Q425" s="2297"/>
      <c r="R425" s="99"/>
      <c r="S425" s="99"/>
      <c r="T425" s="99"/>
      <c r="U425" s="99"/>
      <c r="V425" s="99"/>
      <c r="AF425" s="2297"/>
      <c r="AG425" s="1208"/>
      <c r="AH425" s="1208"/>
      <c r="AI425" s="1223"/>
      <c r="AJ425" s="1223"/>
      <c r="AK425" s="1223"/>
      <c r="AL425" s="1223"/>
      <c r="AM425" s="1223"/>
      <c r="AN425" s="1223"/>
      <c r="AO425" s="1208"/>
      <c r="AP425" s="1223"/>
      <c r="AQ425" s="1208"/>
      <c r="AR425" s="1208"/>
      <c r="AS425" s="1223"/>
      <c r="AT425" s="1223"/>
      <c r="AU425" s="1208"/>
      <c r="AV425" s="1208"/>
      <c r="AW425" s="2297"/>
      <c r="BE425" s="1224"/>
      <c r="BF425" s="1225"/>
      <c r="BR425" s="1224"/>
      <c r="BS425" s="1224"/>
    </row>
    <row r="426" spans="2:71" s="491" customFormat="1">
      <c r="B426" s="2297"/>
      <c r="C426" s="2297"/>
      <c r="D426" s="2297"/>
      <c r="E426" s="2297"/>
      <c r="F426" s="2297"/>
      <c r="G426" s="2297"/>
      <c r="H426" s="2297"/>
      <c r="I426" s="2297"/>
      <c r="J426" s="2297"/>
      <c r="K426" s="2297"/>
      <c r="L426" s="2297"/>
      <c r="M426" s="2297"/>
      <c r="N426" s="2297"/>
      <c r="O426" s="2297"/>
      <c r="P426" s="2297"/>
      <c r="Q426" s="2297"/>
      <c r="R426" s="99"/>
      <c r="S426" s="99"/>
      <c r="T426" s="99"/>
      <c r="U426" s="99"/>
      <c r="V426" s="99"/>
      <c r="AF426" s="2297"/>
      <c r="AG426" s="1208"/>
      <c r="AH426" s="1208"/>
      <c r="AI426" s="1223"/>
      <c r="AJ426" s="1223"/>
      <c r="AK426" s="1223"/>
      <c r="AL426" s="1223"/>
      <c r="AM426" s="1223"/>
      <c r="AN426" s="1223"/>
      <c r="AO426" s="1208"/>
      <c r="AP426" s="1223"/>
      <c r="AQ426" s="1208"/>
      <c r="AR426" s="1208"/>
      <c r="AS426" s="1223"/>
      <c r="AT426" s="1223"/>
      <c r="AU426" s="1208"/>
      <c r="AV426" s="1208"/>
      <c r="AW426" s="2297"/>
      <c r="BE426" s="1224"/>
      <c r="BF426" s="1225"/>
      <c r="BR426" s="1224"/>
      <c r="BS426" s="1224"/>
    </row>
    <row r="427" spans="2:71" s="491" customFormat="1">
      <c r="B427" s="2297"/>
      <c r="C427" s="2297"/>
      <c r="D427" s="2297"/>
      <c r="E427" s="2297"/>
      <c r="F427" s="2297"/>
      <c r="G427" s="2297"/>
      <c r="H427" s="2297"/>
      <c r="I427" s="2297"/>
      <c r="J427" s="2297"/>
      <c r="K427" s="2297"/>
      <c r="L427" s="2297"/>
      <c r="M427" s="2297"/>
      <c r="N427" s="2297"/>
      <c r="O427" s="2297"/>
      <c r="P427" s="2297"/>
      <c r="Q427" s="2297"/>
      <c r="R427" s="99"/>
      <c r="S427" s="99"/>
      <c r="T427" s="99"/>
      <c r="U427" s="99"/>
      <c r="V427" s="99"/>
      <c r="AF427" s="2297"/>
      <c r="AG427" s="1208"/>
      <c r="AH427" s="1208"/>
      <c r="AI427" s="1223"/>
      <c r="AJ427" s="1223"/>
      <c r="AK427" s="1223"/>
      <c r="AL427" s="1223"/>
      <c r="AM427" s="1223"/>
      <c r="AN427" s="1223"/>
      <c r="AO427" s="1208"/>
      <c r="AP427" s="1223"/>
      <c r="AQ427" s="1208"/>
      <c r="AR427" s="1208"/>
      <c r="AS427" s="1223"/>
      <c r="AT427" s="1223"/>
      <c r="AU427" s="1208"/>
      <c r="AV427" s="1208"/>
      <c r="AW427" s="2297"/>
      <c r="BE427" s="1224"/>
      <c r="BF427" s="1225"/>
      <c r="BR427" s="1224"/>
      <c r="BS427" s="1224"/>
    </row>
    <row r="428" spans="2:71" s="491" customFormat="1">
      <c r="B428" s="2297"/>
      <c r="C428" s="2297"/>
      <c r="D428" s="2297"/>
      <c r="E428" s="2297"/>
      <c r="F428" s="2297"/>
      <c r="G428" s="2297"/>
      <c r="H428" s="2297"/>
      <c r="I428" s="2297"/>
      <c r="J428" s="2297"/>
      <c r="K428" s="2297"/>
      <c r="L428" s="2297"/>
      <c r="M428" s="2297"/>
      <c r="N428" s="2297"/>
      <c r="O428" s="2297"/>
      <c r="P428" s="2297"/>
      <c r="Q428" s="2297"/>
      <c r="R428" s="99"/>
      <c r="S428" s="99"/>
      <c r="T428" s="99"/>
      <c r="U428" s="99"/>
      <c r="V428" s="99"/>
      <c r="AF428" s="2297"/>
      <c r="AG428" s="1208"/>
      <c r="AH428" s="1208"/>
      <c r="AI428" s="1223"/>
      <c r="AJ428" s="1223"/>
      <c r="AK428" s="1223"/>
      <c r="AL428" s="1223"/>
      <c r="AM428" s="1223"/>
      <c r="AN428" s="1223"/>
      <c r="AO428" s="1208"/>
      <c r="AP428" s="1223"/>
      <c r="AQ428" s="1208"/>
      <c r="AR428" s="1208"/>
      <c r="AS428" s="1223"/>
      <c r="AT428" s="1223"/>
      <c r="AU428" s="1208"/>
      <c r="AV428" s="1208"/>
      <c r="AW428" s="2297"/>
      <c r="BE428" s="1224"/>
      <c r="BF428" s="1225"/>
      <c r="BR428" s="1224"/>
      <c r="BS428" s="1224"/>
    </row>
    <row r="429" spans="2:71" s="491" customFormat="1">
      <c r="B429" s="2297"/>
      <c r="C429" s="2297"/>
      <c r="D429" s="2297"/>
      <c r="E429" s="2297"/>
      <c r="F429" s="2297"/>
      <c r="G429" s="2297"/>
      <c r="H429" s="2297"/>
      <c r="I429" s="2297"/>
      <c r="J429" s="2297"/>
      <c r="K429" s="2297"/>
      <c r="L429" s="2297"/>
      <c r="M429" s="2297"/>
      <c r="N429" s="2297"/>
      <c r="O429" s="2297"/>
      <c r="P429" s="2297"/>
      <c r="Q429" s="2297"/>
      <c r="R429" s="99"/>
      <c r="S429" s="99"/>
      <c r="T429" s="99"/>
      <c r="U429" s="99"/>
      <c r="V429" s="99"/>
      <c r="AF429" s="2297"/>
      <c r="AG429" s="1208"/>
      <c r="AH429" s="1208"/>
      <c r="AI429" s="1223"/>
      <c r="AJ429" s="1223"/>
      <c r="AK429" s="1223"/>
      <c r="AL429" s="1223"/>
      <c r="AM429" s="1223"/>
      <c r="AN429" s="1223"/>
      <c r="AO429" s="1208"/>
      <c r="AP429" s="1223"/>
      <c r="AQ429" s="1208"/>
      <c r="AR429" s="1208"/>
      <c r="AS429" s="1223"/>
      <c r="AT429" s="1223"/>
      <c r="AU429" s="1208"/>
      <c r="AV429" s="1208"/>
      <c r="AW429" s="2297"/>
      <c r="BE429" s="1224"/>
      <c r="BF429" s="1225"/>
      <c r="BR429" s="1224"/>
      <c r="BS429" s="1224"/>
    </row>
    <row r="430" spans="2:71" s="491" customFormat="1">
      <c r="B430" s="2297"/>
      <c r="C430" s="2297"/>
      <c r="D430" s="2297"/>
      <c r="E430" s="2297"/>
      <c r="F430" s="2297"/>
      <c r="G430" s="2297"/>
      <c r="H430" s="2297"/>
      <c r="I430" s="2297"/>
      <c r="J430" s="2297"/>
      <c r="K430" s="2297"/>
      <c r="L430" s="2297"/>
      <c r="M430" s="2297"/>
      <c r="N430" s="2297"/>
      <c r="O430" s="2297"/>
      <c r="P430" s="2297"/>
      <c r="Q430" s="2297"/>
      <c r="R430" s="99"/>
      <c r="S430" s="99"/>
      <c r="T430" s="99"/>
      <c r="U430" s="99"/>
      <c r="V430" s="99"/>
      <c r="AF430" s="2297"/>
      <c r="AG430" s="1208"/>
      <c r="AH430" s="1208"/>
      <c r="AI430" s="1223"/>
      <c r="AJ430" s="1223"/>
      <c r="AK430" s="1223"/>
      <c r="AL430" s="1223"/>
      <c r="AM430" s="1223"/>
      <c r="AN430" s="1223"/>
      <c r="AO430" s="1208"/>
      <c r="AP430" s="1223"/>
      <c r="AQ430" s="1208"/>
      <c r="AR430" s="1208"/>
      <c r="AS430" s="1223"/>
      <c r="AT430" s="1223"/>
      <c r="AU430" s="1208"/>
      <c r="AV430" s="1208"/>
      <c r="AW430" s="2297"/>
      <c r="BE430" s="1224"/>
      <c r="BF430" s="1225"/>
      <c r="BR430" s="1224"/>
      <c r="BS430" s="1224"/>
    </row>
    <row r="431" spans="2:71" s="491" customFormat="1">
      <c r="B431" s="2297"/>
      <c r="C431" s="2297"/>
      <c r="D431" s="2297"/>
      <c r="E431" s="2297"/>
      <c r="F431" s="2297"/>
      <c r="G431" s="2297"/>
      <c r="H431" s="2297"/>
      <c r="I431" s="2297"/>
      <c r="J431" s="2297"/>
      <c r="K431" s="2297"/>
      <c r="L431" s="2297"/>
      <c r="M431" s="2297"/>
      <c r="N431" s="2297"/>
      <c r="O431" s="2297"/>
      <c r="P431" s="2297"/>
      <c r="Q431" s="2297"/>
      <c r="R431" s="99"/>
      <c r="S431" s="99"/>
      <c r="T431" s="99"/>
      <c r="U431" s="99"/>
      <c r="V431" s="99"/>
      <c r="AF431" s="2297"/>
      <c r="AG431" s="1208"/>
      <c r="AH431" s="1208"/>
      <c r="AI431" s="1223"/>
      <c r="AJ431" s="1223"/>
      <c r="AK431" s="1223"/>
      <c r="AL431" s="1223"/>
      <c r="AM431" s="1223"/>
      <c r="AN431" s="1223"/>
      <c r="AO431" s="1208"/>
      <c r="AP431" s="1223"/>
      <c r="AQ431" s="1208"/>
      <c r="AR431" s="1208"/>
      <c r="AS431" s="1223"/>
      <c r="AT431" s="1223"/>
      <c r="AU431" s="1208"/>
      <c r="AV431" s="1208"/>
      <c r="AW431" s="2297"/>
      <c r="BE431" s="1224"/>
      <c r="BF431" s="1225"/>
      <c r="BR431" s="1224"/>
      <c r="BS431" s="1224"/>
    </row>
    <row r="432" spans="2:71" s="491" customFormat="1">
      <c r="B432" s="2297"/>
      <c r="C432" s="2297"/>
      <c r="D432" s="2297"/>
      <c r="E432" s="2297"/>
      <c r="F432" s="2297"/>
      <c r="G432" s="2297"/>
      <c r="H432" s="2297"/>
      <c r="I432" s="2297"/>
      <c r="J432" s="2297"/>
      <c r="K432" s="2297"/>
      <c r="L432" s="2297"/>
      <c r="M432" s="2297"/>
      <c r="N432" s="2297"/>
      <c r="O432" s="2297"/>
      <c r="P432" s="2297"/>
      <c r="Q432" s="2297"/>
      <c r="R432" s="99"/>
      <c r="S432" s="99"/>
      <c r="T432" s="99"/>
      <c r="U432" s="99"/>
      <c r="V432" s="99"/>
      <c r="AF432" s="2297"/>
      <c r="AG432" s="1208"/>
      <c r="AH432" s="1208"/>
      <c r="AI432" s="1223"/>
      <c r="AJ432" s="1223"/>
      <c r="AK432" s="1223"/>
      <c r="AL432" s="1223"/>
      <c r="AM432" s="1223"/>
      <c r="AN432" s="1223"/>
      <c r="AO432" s="1208"/>
      <c r="AP432" s="1223"/>
      <c r="AQ432" s="1208"/>
      <c r="AR432" s="1208"/>
      <c r="AS432" s="1223"/>
      <c r="AT432" s="1223"/>
      <c r="AU432" s="1208"/>
      <c r="AV432" s="1208"/>
      <c r="AW432" s="2297"/>
      <c r="BE432" s="1224"/>
      <c r="BF432" s="1225"/>
      <c r="BR432" s="1224"/>
      <c r="BS432" s="1224"/>
    </row>
    <row r="433" spans="2:71" s="491" customFormat="1">
      <c r="B433" s="2297"/>
      <c r="C433" s="2297"/>
      <c r="D433" s="2297"/>
      <c r="E433" s="2297"/>
      <c r="F433" s="2297"/>
      <c r="G433" s="2297"/>
      <c r="H433" s="2297"/>
      <c r="I433" s="2297"/>
      <c r="J433" s="2297"/>
      <c r="K433" s="2297"/>
      <c r="L433" s="2297"/>
      <c r="M433" s="2297"/>
      <c r="N433" s="2297"/>
      <c r="O433" s="2297"/>
      <c r="P433" s="2297"/>
      <c r="Q433" s="2297"/>
      <c r="R433" s="99"/>
      <c r="S433" s="99"/>
      <c r="T433" s="99"/>
      <c r="U433" s="99"/>
      <c r="V433" s="99"/>
      <c r="AF433" s="2297"/>
      <c r="AG433" s="1208"/>
      <c r="AH433" s="1208"/>
      <c r="AI433" s="1223"/>
      <c r="AJ433" s="1223"/>
      <c r="AK433" s="1223"/>
      <c r="AL433" s="1223"/>
      <c r="AM433" s="1223"/>
      <c r="AN433" s="1223"/>
      <c r="AO433" s="1208"/>
      <c r="AP433" s="1223"/>
      <c r="AQ433" s="1208"/>
      <c r="AR433" s="1208"/>
      <c r="AS433" s="1223"/>
      <c r="AT433" s="1223"/>
      <c r="AU433" s="1208"/>
      <c r="AV433" s="1208"/>
      <c r="AW433" s="2297"/>
      <c r="BE433" s="1224"/>
      <c r="BF433" s="1225"/>
      <c r="BR433" s="1224"/>
      <c r="BS433" s="1224"/>
    </row>
    <row r="434" spans="2:71" s="491" customFormat="1">
      <c r="B434" s="2297"/>
      <c r="C434" s="2297"/>
      <c r="D434" s="2297"/>
      <c r="E434" s="2297"/>
      <c r="F434" s="2297"/>
      <c r="G434" s="2297"/>
      <c r="H434" s="2297"/>
      <c r="I434" s="2297"/>
      <c r="J434" s="2297"/>
      <c r="K434" s="2297"/>
      <c r="L434" s="2297"/>
      <c r="M434" s="2297"/>
      <c r="N434" s="2297"/>
      <c r="O434" s="2297"/>
      <c r="P434" s="2297"/>
      <c r="Q434" s="2297"/>
      <c r="R434" s="99"/>
      <c r="S434" s="99"/>
      <c r="T434" s="99"/>
      <c r="U434" s="99"/>
      <c r="V434" s="99"/>
      <c r="AF434" s="2297"/>
      <c r="AG434" s="1208"/>
      <c r="AH434" s="1208"/>
      <c r="AI434" s="1223"/>
      <c r="AJ434" s="1223"/>
      <c r="AK434" s="1223"/>
      <c r="AL434" s="1223"/>
      <c r="AM434" s="1223"/>
      <c r="AN434" s="1223"/>
      <c r="AO434" s="1208"/>
      <c r="AP434" s="1223"/>
      <c r="AQ434" s="1208"/>
      <c r="AR434" s="1208"/>
      <c r="AS434" s="1223"/>
      <c r="AT434" s="1223"/>
      <c r="AU434" s="1208"/>
      <c r="AV434" s="1208"/>
      <c r="AW434" s="2297"/>
      <c r="BE434" s="1224"/>
      <c r="BF434" s="1225"/>
      <c r="BR434" s="1224"/>
      <c r="BS434" s="1224"/>
    </row>
    <row r="435" spans="2:71" s="491" customFormat="1">
      <c r="B435" s="2297"/>
      <c r="C435" s="2297"/>
      <c r="D435" s="2297"/>
      <c r="E435" s="2297"/>
      <c r="F435" s="2297"/>
      <c r="G435" s="2297"/>
      <c r="H435" s="2297"/>
      <c r="I435" s="2297"/>
      <c r="J435" s="2297"/>
      <c r="K435" s="2297"/>
      <c r="L435" s="2297"/>
      <c r="M435" s="2297"/>
      <c r="N435" s="2297"/>
      <c r="O435" s="2297"/>
      <c r="P435" s="2297"/>
      <c r="Q435" s="2297"/>
      <c r="R435" s="99"/>
      <c r="S435" s="99"/>
      <c r="T435" s="99"/>
      <c r="U435" s="99"/>
      <c r="V435" s="99"/>
      <c r="AF435" s="2297"/>
      <c r="AG435" s="1208"/>
      <c r="AH435" s="1208"/>
      <c r="AI435" s="1223"/>
      <c r="AJ435" s="1223"/>
      <c r="AK435" s="1223"/>
      <c r="AL435" s="1223"/>
      <c r="AM435" s="1223"/>
      <c r="AN435" s="1223"/>
      <c r="AO435" s="1208"/>
      <c r="AP435" s="1223"/>
      <c r="AQ435" s="1208"/>
      <c r="AR435" s="1208"/>
      <c r="AS435" s="1223"/>
      <c r="AT435" s="1223"/>
      <c r="AU435" s="1208"/>
      <c r="AV435" s="1208"/>
      <c r="AW435" s="2297"/>
      <c r="BE435" s="1224"/>
      <c r="BF435" s="1225"/>
      <c r="BR435" s="1224"/>
      <c r="BS435" s="1224"/>
    </row>
    <row r="436" spans="2:71" s="491" customFormat="1">
      <c r="B436" s="2297"/>
      <c r="C436" s="2297"/>
      <c r="D436" s="2297"/>
      <c r="E436" s="2297"/>
      <c r="F436" s="2297"/>
      <c r="G436" s="2297"/>
      <c r="H436" s="2297"/>
      <c r="I436" s="2297"/>
      <c r="J436" s="2297"/>
      <c r="K436" s="2297"/>
      <c r="L436" s="2297"/>
      <c r="M436" s="2297"/>
      <c r="N436" s="2297"/>
      <c r="O436" s="2297"/>
      <c r="P436" s="2297"/>
      <c r="Q436" s="2297"/>
      <c r="R436" s="99"/>
      <c r="S436" s="99"/>
      <c r="T436" s="99"/>
      <c r="U436" s="99"/>
      <c r="V436" s="99"/>
      <c r="AF436" s="2297"/>
      <c r="AG436" s="1208"/>
      <c r="AH436" s="1208"/>
      <c r="AI436" s="1223"/>
      <c r="AJ436" s="1223"/>
      <c r="AK436" s="1223"/>
      <c r="AL436" s="1223"/>
      <c r="AM436" s="1223"/>
      <c r="AN436" s="1223"/>
      <c r="AO436" s="1208"/>
      <c r="AP436" s="1223"/>
      <c r="AQ436" s="1208"/>
      <c r="AR436" s="1208"/>
      <c r="AS436" s="1223"/>
      <c r="AT436" s="1223"/>
      <c r="AU436" s="1208"/>
      <c r="AV436" s="1208"/>
      <c r="AW436" s="2297"/>
      <c r="BE436" s="1224"/>
      <c r="BF436" s="1225"/>
      <c r="BR436" s="1224"/>
      <c r="BS436" s="1224"/>
    </row>
    <row r="437" spans="2:71" s="491" customFormat="1">
      <c r="B437" s="2297"/>
      <c r="C437" s="2297"/>
      <c r="D437" s="2297"/>
      <c r="E437" s="2297"/>
      <c r="F437" s="2297"/>
      <c r="G437" s="2297"/>
      <c r="H437" s="2297"/>
      <c r="I437" s="2297"/>
      <c r="J437" s="2297"/>
      <c r="K437" s="2297"/>
      <c r="L437" s="2297"/>
      <c r="M437" s="2297"/>
      <c r="N437" s="2297"/>
      <c r="O437" s="2297"/>
      <c r="P437" s="2297"/>
      <c r="Q437" s="2297"/>
      <c r="R437" s="99"/>
      <c r="S437" s="99"/>
      <c r="T437" s="99"/>
      <c r="U437" s="99"/>
      <c r="V437" s="99"/>
      <c r="AF437" s="2297"/>
      <c r="AG437" s="1208"/>
      <c r="AH437" s="1208"/>
      <c r="AI437" s="1223"/>
      <c r="AJ437" s="1223"/>
      <c r="AK437" s="1223"/>
      <c r="AL437" s="1223"/>
      <c r="AM437" s="1223"/>
      <c r="AN437" s="1223"/>
      <c r="AO437" s="1208"/>
      <c r="AP437" s="1223"/>
      <c r="AQ437" s="1208"/>
      <c r="AR437" s="1208"/>
      <c r="AS437" s="1223"/>
      <c r="AT437" s="1223"/>
      <c r="AU437" s="1208"/>
      <c r="AV437" s="1208"/>
      <c r="AW437" s="2297"/>
      <c r="BE437" s="1224"/>
      <c r="BF437" s="1225"/>
      <c r="BR437" s="1224"/>
      <c r="BS437" s="1224"/>
    </row>
    <row r="438" spans="2:71" s="491" customFormat="1">
      <c r="B438" s="2297"/>
      <c r="C438" s="2297"/>
      <c r="D438" s="2297"/>
      <c r="E438" s="2297"/>
      <c r="F438" s="2297"/>
      <c r="G438" s="2297"/>
      <c r="H438" s="2297"/>
      <c r="I438" s="2297"/>
      <c r="J438" s="2297"/>
      <c r="K438" s="2297"/>
      <c r="L438" s="2297"/>
      <c r="M438" s="2297"/>
      <c r="N438" s="2297"/>
      <c r="O438" s="2297"/>
      <c r="P438" s="2297"/>
      <c r="Q438" s="2297"/>
      <c r="R438" s="99"/>
      <c r="S438" s="99"/>
      <c r="T438" s="99"/>
      <c r="U438" s="99"/>
      <c r="V438" s="99"/>
      <c r="AF438" s="2297"/>
      <c r="AG438" s="1208"/>
      <c r="AH438" s="1208"/>
      <c r="AI438" s="1223"/>
      <c r="AJ438" s="1223"/>
      <c r="AK438" s="1223"/>
      <c r="AL438" s="1223"/>
      <c r="AM438" s="1223"/>
      <c r="AN438" s="1223"/>
      <c r="AO438" s="1208"/>
      <c r="AP438" s="1223"/>
      <c r="AQ438" s="1208"/>
      <c r="AR438" s="1208"/>
      <c r="AS438" s="1223"/>
      <c r="AT438" s="1223"/>
      <c r="AU438" s="1208"/>
      <c r="AV438" s="1208"/>
      <c r="AW438" s="2297"/>
      <c r="BE438" s="1224"/>
      <c r="BF438" s="1225"/>
      <c r="BR438" s="1224"/>
      <c r="BS438" s="1224"/>
    </row>
    <row r="439" spans="2:71" s="491" customFormat="1">
      <c r="B439" s="2297"/>
      <c r="C439" s="2297"/>
      <c r="D439" s="2297"/>
      <c r="E439" s="2297"/>
      <c r="F439" s="2297"/>
      <c r="G439" s="2297"/>
      <c r="H439" s="2297"/>
      <c r="I439" s="2297"/>
      <c r="J439" s="2297"/>
      <c r="K439" s="2297"/>
      <c r="L439" s="2297"/>
      <c r="M439" s="2297"/>
      <c r="N439" s="2297"/>
      <c r="O439" s="2297"/>
      <c r="P439" s="2297"/>
      <c r="Q439" s="2297"/>
      <c r="R439" s="99"/>
      <c r="S439" s="99"/>
      <c r="T439" s="99"/>
      <c r="U439" s="99"/>
      <c r="V439" s="99"/>
      <c r="AF439" s="2297"/>
      <c r="AG439" s="1208"/>
      <c r="AH439" s="1208"/>
      <c r="AI439" s="1223"/>
      <c r="AJ439" s="1223"/>
      <c r="AK439" s="1223"/>
      <c r="AL439" s="1223"/>
      <c r="AM439" s="1223"/>
      <c r="AN439" s="1223"/>
      <c r="AO439" s="1208"/>
      <c r="AP439" s="1223"/>
      <c r="AQ439" s="1208"/>
      <c r="AR439" s="1208"/>
      <c r="AS439" s="1223"/>
      <c r="AT439" s="1223"/>
      <c r="AU439" s="1208"/>
      <c r="AV439" s="1208"/>
      <c r="AW439" s="2297"/>
      <c r="BE439" s="1224"/>
      <c r="BF439" s="1225"/>
      <c r="BR439" s="1224"/>
      <c r="BS439" s="1224"/>
    </row>
    <row r="440" spans="2:71" s="491" customFormat="1">
      <c r="B440" s="2297"/>
      <c r="C440" s="2297"/>
      <c r="D440" s="2297"/>
      <c r="E440" s="2297"/>
      <c r="F440" s="2297"/>
      <c r="G440" s="2297"/>
      <c r="H440" s="2297"/>
      <c r="I440" s="2297"/>
      <c r="J440" s="2297"/>
      <c r="K440" s="2297"/>
      <c r="L440" s="2297"/>
      <c r="M440" s="2297"/>
      <c r="N440" s="2297"/>
      <c r="O440" s="2297"/>
      <c r="P440" s="2297"/>
      <c r="Q440" s="2297"/>
      <c r="R440" s="99"/>
      <c r="S440" s="99"/>
      <c r="T440" s="99"/>
      <c r="U440" s="99"/>
      <c r="V440" s="99"/>
      <c r="AF440" s="2297"/>
      <c r="AG440" s="1208"/>
      <c r="AH440" s="1208"/>
      <c r="AI440" s="1223"/>
      <c r="AJ440" s="1223"/>
      <c r="AK440" s="1223"/>
      <c r="AL440" s="1223"/>
      <c r="AM440" s="1223"/>
      <c r="AN440" s="1223"/>
      <c r="AO440" s="1208"/>
      <c r="AP440" s="1223"/>
      <c r="AQ440" s="1208"/>
      <c r="AR440" s="1208"/>
      <c r="AS440" s="1223"/>
      <c r="AT440" s="1223"/>
      <c r="AU440" s="1208"/>
      <c r="AV440" s="1208"/>
      <c r="AW440" s="2297"/>
      <c r="BE440" s="1224"/>
      <c r="BF440" s="1225"/>
      <c r="BR440" s="1224"/>
      <c r="BS440" s="1224"/>
    </row>
    <row r="441" spans="2:71" s="491" customFormat="1">
      <c r="B441" s="2297"/>
      <c r="C441" s="2297"/>
      <c r="D441" s="2297"/>
      <c r="E441" s="2297"/>
      <c r="F441" s="2297"/>
      <c r="G441" s="2297"/>
      <c r="H441" s="2297"/>
      <c r="I441" s="2297"/>
      <c r="J441" s="2297"/>
      <c r="K441" s="2297"/>
      <c r="L441" s="2297"/>
      <c r="M441" s="2297"/>
      <c r="N441" s="2297"/>
      <c r="O441" s="2297"/>
      <c r="P441" s="2297"/>
      <c r="Q441" s="2297"/>
      <c r="R441" s="99"/>
      <c r="S441" s="99"/>
      <c r="T441" s="99"/>
      <c r="U441" s="99"/>
      <c r="V441" s="99"/>
      <c r="AF441" s="2297"/>
      <c r="AG441" s="1208"/>
      <c r="AH441" s="1208"/>
      <c r="AI441" s="1223"/>
      <c r="AJ441" s="1223"/>
      <c r="AK441" s="1223"/>
      <c r="AL441" s="1223"/>
      <c r="AM441" s="1223"/>
      <c r="AN441" s="1223"/>
      <c r="AO441" s="1208"/>
      <c r="AP441" s="1223"/>
      <c r="AQ441" s="1208"/>
      <c r="AR441" s="1208"/>
      <c r="AS441" s="1223"/>
      <c r="AT441" s="1223"/>
      <c r="AU441" s="1208"/>
      <c r="AV441" s="1208"/>
      <c r="AW441" s="2297"/>
      <c r="BE441" s="1224"/>
      <c r="BF441" s="1225"/>
      <c r="BR441" s="1224"/>
      <c r="BS441" s="1224"/>
    </row>
    <row r="442" spans="2:71" s="491" customFormat="1">
      <c r="B442" s="2297"/>
      <c r="C442" s="2297"/>
      <c r="D442" s="2297"/>
      <c r="E442" s="2297"/>
      <c r="F442" s="2297"/>
      <c r="G442" s="2297"/>
      <c r="H442" s="2297"/>
      <c r="I442" s="2297"/>
      <c r="J442" s="2297"/>
      <c r="K442" s="2297"/>
      <c r="L442" s="2297"/>
      <c r="M442" s="2297"/>
      <c r="N442" s="2297"/>
      <c r="O442" s="2297"/>
      <c r="P442" s="2297"/>
      <c r="Q442" s="2297"/>
      <c r="R442" s="99"/>
      <c r="S442" s="99"/>
      <c r="T442" s="99"/>
      <c r="U442" s="99"/>
      <c r="V442" s="99"/>
      <c r="AF442" s="2297"/>
      <c r="AG442" s="1208"/>
      <c r="AH442" s="1208"/>
      <c r="AI442" s="1223"/>
      <c r="AJ442" s="1223"/>
      <c r="AK442" s="1223"/>
      <c r="AL442" s="1223"/>
      <c r="AM442" s="1223"/>
      <c r="AN442" s="1223"/>
      <c r="AO442" s="1208"/>
      <c r="AP442" s="1223"/>
      <c r="AQ442" s="1208"/>
      <c r="AR442" s="1208"/>
      <c r="AS442" s="1223"/>
      <c r="AT442" s="1223"/>
      <c r="AU442" s="1208"/>
      <c r="AV442" s="1208"/>
      <c r="AW442" s="2297"/>
      <c r="BE442" s="1224"/>
      <c r="BF442" s="1225"/>
      <c r="BR442" s="1224"/>
      <c r="BS442" s="1224"/>
    </row>
    <row r="443" spans="2:71" s="491" customFormat="1">
      <c r="B443" s="2297"/>
      <c r="C443" s="2297"/>
      <c r="D443" s="2297"/>
      <c r="E443" s="2297"/>
      <c r="F443" s="2297"/>
      <c r="G443" s="2297"/>
      <c r="H443" s="2297"/>
      <c r="I443" s="2297"/>
      <c r="J443" s="2297"/>
      <c r="K443" s="2297"/>
      <c r="L443" s="2297"/>
      <c r="M443" s="2297"/>
      <c r="N443" s="2297"/>
      <c r="O443" s="2297"/>
      <c r="P443" s="2297"/>
      <c r="Q443" s="2297"/>
      <c r="R443" s="99"/>
      <c r="S443" s="99"/>
      <c r="T443" s="99"/>
      <c r="U443" s="99"/>
      <c r="V443" s="99"/>
      <c r="AF443" s="2297"/>
      <c r="AG443" s="1208"/>
      <c r="AH443" s="1208"/>
      <c r="AI443" s="1223"/>
      <c r="AJ443" s="1223"/>
      <c r="AK443" s="1223"/>
      <c r="AL443" s="1223"/>
      <c r="AM443" s="1223"/>
      <c r="AN443" s="1223"/>
      <c r="AO443" s="1208"/>
      <c r="AP443" s="1223"/>
      <c r="AQ443" s="1208"/>
      <c r="AR443" s="1208"/>
      <c r="AS443" s="1223"/>
      <c r="AT443" s="1223"/>
      <c r="AU443" s="1208"/>
      <c r="AV443" s="1208"/>
      <c r="AW443" s="2297"/>
      <c r="BE443" s="1224"/>
      <c r="BF443" s="1225"/>
      <c r="BR443" s="1224"/>
      <c r="BS443" s="1224"/>
    </row>
    <row r="444" spans="2:71" s="491" customFormat="1">
      <c r="B444" s="2297"/>
      <c r="C444" s="2297"/>
      <c r="D444" s="2297"/>
      <c r="E444" s="2297"/>
      <c r="F444" s="2297"/>
      <c r="G444" s="2297"/>
      <c r="H444" s="2297"/>
      <c r="I444" s="2297"/>
      <c r="J444" s="2297"/>
      <c r="K444" s="2297"/>
      <c r="L444" s="2297"/>
      <c r="M444" s="2297"/>
      <c r="N444" s="2297"/>
      <c r="O444" s="2297"/>
      <c r="P444" s="2297"/>
      <c r="Q444" s="2297"/>
      <c r="R444" s="99"/>
      <c r="S444" s="99"/>
      <c r="T444" s="99"/>
      <c r="U444" s="99"/>
      <c r="V444" s="99"/>
      <c r="AF444" s="2297"/>
      <c r="AG444" s="1208"/>
      <c r="AH444" s="1208"/>
      <c r="AI444" s="1223"/>
      <c r="AJ444" s="1223"/>
      <c r="AK444" s="1223"/>
      <c r="AL444" s="1223"/>
      <c r="AM444" s="1223"/>
      <c r="AN444" s="1223"/>
      <c r="AO444" s="1208"/>
      <c r="AP444" s="1223"/>
      <c r="AQ444" s="1208"/>
      <c r="AR444" s="1208"/>
      <c r="AS444" s="1223"/>
      <c r="AT444" s="1223"/>
      <c r="AU444" s="1208"/>
      <c r="AV444" s="1208"/>
      <c r="AW444" s="2297"/>
      <c r="BE444" s="1224"/>
      <c r="BF444" s="1225"/>
      <c r="BR444" s="1224"/>
      <c r="BS444" s="1224"/>
    </row>
    <row r="445" spans="2:71" s="491" customFormat="1">
      <c r="B445" s="2297"/>
      <c r="C445" s="2297"/>
      <c r="D445" s="2297"/>
      <c r="E445" s="2297"/>
      <c r="F445" s="2297"/>
      <c r="G445" s="2297"/>
      <c r="H445" s="2297"/>
      <c r="I445" s="2297"/>
      <c r="J445" s="2297"/>
      <c r="K445" s="2297"/>
      <c r="L445" s="2297"/>
      <c r="M445" s="2297"/>
      <c r="N445" s="2297"/>
      <c r="O445" s="2297"/>
      <c r="P445" s="2297"/>
      <c r="Q445" s="2297"/>
      <c r="R445" s="99"/>
      <c r="S445" s="99"/>
      <c r="T445" s="99"/>
      <c r="U445" s="99"/>
      <c r="V445" s="99"/>
      <c r="AF445" s="2297"/>
      <c r="AG445" s="1208"/>
      <c r="AH445" s="1208"/>
      <c r="AI445" s="1223"/>
      <c r="AJ445" s="1223"/>
      <c r="AK445" s="1223"/>
      <c r="AL445" s="1223"/>
      <c r="AM445" s="1223"/>
      <c r="AN445" s="1223"/>
      <c r="AO445" s="1208"/>
      <c r="AP445" s="1223"/>
      <c r="AQ445" s="1208"/>
      <c r="AR445" s="1208"/>
      <c r="AS445" s="1223"/>
      <c r="AT445" s="1223"/>
      <c r="AU445" s="1208"/>
      <c r="AV445" s="1208"/>
      <c r="AW445" s="2297"/>
      <c r="BE445" s="1224"/>
      <c r="BF445" s="1225"/>
      <c r="BR445" s="1224"/>
      <c r="BS445" s="1224"/>
    </row>
    <row r="446" spans="2:71" s="491" customFormat="1">
      <c r="B446" s="2297"/>
      <c r="C446" s="2297"/>
      <c r="D446" s="2297"/>
      <c r="E446" s="2297"/>
      <c r="F446" s="2297"/>
      <c r="G446" s="2297"/>
      <c r="H446" s="2297"/>
      <c r="I446" s="2297"/>
      <c r="J446" s="2297"/>
      <c r="K446" s="2297"/>
      <c r="L446" s="2297"/>
      <c r="M446" s="2297"/>
      <c r="N446" s="2297"/>
      <c r="O446" s="2297"/>
      <c r="P446" s="2297"/>
      <c r="Q446" s="2297"/>
      <c r="R446" s="99"/>
      <c r="S446" s="99"/>
      <c r="T446" s="99"/>
      <c r="U446" s="99"/>
      <c r="V446" s="99"/>
      <c r="AF446" s="2297"/>
      <c r="AG446" s="1208"/>
      <c r="AH446" s="1208"/>
      <c r="AI446" s="1223"/>
      <c r="AJ446" s="1223"/>
      <c r="AK446" s="1223"/>
      <c r="AL446" s="1223"/>
      <c r="AM446" s="1223"/>
      <c r="AN446" s="1223"/>
      <c r="AO446" s="1208"/>
      <c r="AP446" s="1223"/>
      <c r="AQ446" s="1208"/>
      <c r="AR446" s="1208"/>
      <c r="AS446" s="1223"/>
      <c r="AT446" s="1223"/>
      <c r="AU446" s="1208"/>
      <c r="AV446" s="1208"/>
      <c r="AW446" s="2297"/>
      <c r="BE446" s="1224"/>
      <c r="BF446" s="1225"/>
      <c r="BR446" s="1224"/>
      <c r="BS446" s="1224"/>
    </row>
    <row r="447" spans="2:71" s="491" customFormat="1">
      <c r="B447" s="2297"/>
      <c r="C447" s="2297"/>
      <c r="D447" s="2297"/>
      <c r="E447" s="2297"/>
      <c r="F447" s="2297"/>
      <c r="G447" s="2297"/>
      <c r="H447" s="2297"/>
      <c r="I447" s="2297"/>
      <c r="J447" s="2297"/>
      <c r="K447" s="2297"/>
      <c r="L447" s="2297"/>
      <c r="M447" s="2297"/>
      <c r="N447" s="2297"/>
      <c r="O447" s="2297"/>
      <c r="P447" s="2297"/>
      <c r="Q447" s="2297"/>
      <c r="R447" s="99"/>
      <c r="S447" s="99"/>
      <c r="T447" s="99"/>
      <c r="U447" s="99"/>
      <c r="V447" s="99"/>
      <c r="AF447" s="2297"/>
      <c r="AG447" s="1208"/>
      <c r="AH447" s="1208"/>
      <c r="AI447" s="1223"/>
      <c r="AJ447" s="1223"/>
      <c r="AK447" s="1223"/>
      <c r="AL447" s="1223"/>
      <c r="AM447" s="1223"/>
      <c r="AN447" s="1223"/>
      <c r="AO447" s="1208"/>
      <c r="AP447" s="1223"/>
      <c r="AQ447" s="1208"/>
      <c r="AR447" s="1208"/>
      <c r="AS447" s="1223"/>
      <c r="AT447" s="1223"/>
      <c r="AU447" s="1208"/>
      <c r="AV447" s="1208"/>
      <c r="AW447" s="2297"/>
      <c r="BE447" s="1224"/>
      <c r="BF447" s="1225"/>
      <c r="BR447" s="1224"/>
      <c r="BS447" s="1224"/>
    </row>
    <row r="448" spans="2:71" s="491" customFormat="1">
      <c r="B448" s="2297"/>
      <c r="C448" s="2297"/>
      <c r="D448" s="2297"/>
      <c r="E448" s="2297"/>
      <c r="F448" s="2297"/>
      <c r="G448" s="2297"/>
      <c r="H448" s="2297"/>
      <c r="I448" s="2297"/>
      <c r="J448" s="2297"/>
      <c r="K448" s="2297"/>
      <c r="L448" s="2297"/>
      <c r="M448" s="2297"/>
      <c r="N448" s="2297"/>
      <c r="O448" s="2297"/>
      <c r="P448" s="2297"/>
      <c r="Q448" s="2297"/>
      <c r="R448" s="99"/>
      <c r="S448" s="99"/>
      <c r="T448" s="99"/>
      <c r="U448" s="99"/>
      <c r="V448" s="99"/>
      <c r="AF448" s="2297"/>
      <c r="AG448" s="1208"/>
      <c r="AH448" s="1208"/>
      <c r="AI448" s="1223"/>
      <c r="AJ448" s="1223"/>
      <c r="AK448" s="1223"/>
      <c r="AL448" s="1223"/>
      <c r="AM448" s="1223"/>
      <c r="AN448" s="1223"/>
      <c r="AO448" s="1208"/>
      <c r="AP448" s="1223"/>
      <c r="AQ448" s="1208"/>
      <c r="AR448" s="1208"/>
      <c r="AS448" s="1223"/>
      <c r="AT448" s="1223"/>
      <c r="AU448" s="1208"/>
      <c r="AV448" s="1208"/>
      <c r="AW448" s="2297"/>
      <c r="BE448" s="1224"/>
      <c r="BF448" s="1225"/>
      <c r="BR448" s="1224"/>
      <c r="BS448" s="1224"/>
    </row>
    <row r="449" spans="2:71" s="491" customFormat="1">
      <c r="B449" s="2297"/>
      <c r="C449" s="2297"/>
      <c r="D449" s="2297"/>
      <c r="E449" s="2297"/>
      <c r="F449" s="2297"/>
      <c r="G449" s="2297"/>
      <c r="H449" s="2297"/>
      <c r="I449" s="2297"/>
      <c r="J449" s="2297"/>
      <c r="K449" s="2297"/>
      <c r="L449" s="2297"/>
      <c r="M449" s="2297"/>
      <c r="N449" s="2297"/>
      <c r="O449" s="2297"/>
      <c r="P449" s="2297"/>
      <c r="Q449" s="2297"/>
      <c r="R449" s="99"/>
      <c r="S449" s="99"/>
      <c r="T449" s="99"/>
      <c r="U449" s="99"/>
      <c r="V449" s="99"/>
      <c r="AF449" s="2297"/>
      <c r="AG449" s="1208"/>
      <c r="AH449" s="1208"/>
      <c r="AI449" s="1223"/>
      <c r="AJ449" s="1223"/>
      <c r="AK449" s="1223"/>
      <c r="AL449" s="1223"/>
      <c r="AM449" s="1223"/>
      <c r="AN449" s="1223"/>
      <c r="AO449" s="1208"/>
      <c r="AP449" s="1223"/>
      <c r="AQ449" s="1208"/>
      <c r="AR449" s="1208"/>
      <c r="AS449" s="1223"/>
      <c r="AT449" s="1223"/>
      <c r="AU449" s="1208"/>
      <c r="AV449" s="1208"/>
      <c r="AW449" s="2297"/>
      <c r="BE449" s="1224"/>
      <c r="BF449" s="1225"/>
      <c r="BR449" s="1224"/>
      <c r="BS449" s="1224"/>
    </row>
    <row r="450" spans="2:71" s="491" customFormat="1">
      <c r="B450" s="2297"/>
      <c r="C450" s="2297"/>
      <c r="D450" s="2297"/>
      <c r="E450" s="2297"/>
      <c r="F450" s="2297"/>
      <c r="G450" s="2297"/>
      <c r="H450" s="2297"/>
      <c r="I450" s="2297"/>
      <c r="J450" s="2297"/>
      <c r="K450" s="2297"/>
      <c r="L450" s="2297"/>
      <c r="M450" s="2297"/>
      <c r="N450" s="2297"/>
      <c r="O450" s="2297"/>
      <c r="P450" s="2297"/>
      <c r="Q450" s="2297"/>
      <c r="R450" s="99"/>
      <c r="S450" s="99"/>
      <c r="T450" s="99"/>
      <c r="U450" s="99"/>
      <c r="V450" s="99"/>
      <c r="AF450" s="2297"/>
      <c r="AG450" s="1208"/>
      <c r="AH450" s="1208"/>
      <c r="AI450" s="1223"/>
      <c r="AJ450" s="1223"/>
      <c r="AK450" s="1223"/>
      <c r="AL450" s="1223"/>
      <c r="AM450" s="1223"/>
      <c r="AN450" s="1223"/>
      <c r="AO450" s="1208"/>
      <c r="AP450" s="1223"/>
      <c r="AQ450" s="1208"/>
      <c r="AR450" s="1208"/>
      <c r="AS450" s="1223"/>
      <c r="AT450" s="1223"/>
      <c r="AU450" s="1208"/>
      <c r="AV450" s="1208"/>
      <c r="AW450" s="2297"/>
      <c r="BE450" s="1224"/>
      <c r="BF450" s="1225"/>
      <c r="BR450" s="1224"/>
      <c r="BS450" s="1224"/>
    </row>
    <row r="451" spans="2:71" s="491" customFormat="1">
      <c r="B451" s="2297"/>
      <c r="C451" s="2297"/>
      <c r="D451" s="2297"/>
      <c r="E451" s="2297"/>
      <c r="F451" s="2297"/>
      <c r="G451" s="2297"/>
      <c r="H451" s="2297"/>
      <c r="I451" s="2297"/>
      <c r="J451" s="2297"/>
      <c r="K451" s="2297"/>
      <c r="L451" s="2297"/>
      <c r="M451" s="2297"/>
      <c r="N451" s="2297"/>
      <c r="O451" s="2297"/>
      <c r="P451" s="2297"/>
      <c r="Q451" s="2297"/>
      <c r="R451" s="99"/>
      <c r="S451" s="99"/>
      <c r="T451" s="99"/>
      <c r="U451" s="99"/>
      <c r="V451" s="99"/>
      <c r="AF451" s="2297"/>
      <c r="AG451" s="1208"/>
      <c r="AH451" s="1208"/>
      <c r="AI451" s="1223"/>
      <c r="AJ451" s="1223"/>
      <c r="AK451" s="1223"/>
      <c r="AL451" s="1223"/>
      <c r="AM451" s="1223"/>
      <c r="AN451" s="1223"/>
      <c r="AO451" s="1208"/>
      <c r="AP451" s="1223"/>
      <c r="AQ451" s="1208"/>
      <c r="AR451" s="1208"/>
      <c r="AS451" s="1223"/>
      <c r="AT451" s="1223"/>
      <c r="AU451" s="1208"/>
      <c r="AV451" s="1208"/>
      <c r="AW451" s="2297"/>
      <c r="BE451" s="1224"/>
      <c r="BF451" s="1225"/>
      <c r="BR451" s="1224"/>
      <c r="BS451" s="1224"/>
    </row>
    <row r="452" spans="2:71" s="491" customFormat="1">
      <c r="B452" s="2297"/>
      <c r="C452" s="2297"/>
      <c r="D452" s="2297"/>
      <c r="E452" s="2297"/>
      <c r="F452" s="2297"/>
      <c r="G452" s="2297"/>
      <c r="H452" s="2297"/>
      <c r="I452" s="2297"/>
      <c r="J452" s="2297"/>
      <c r="K452" s="2297"/>
      <c r="L452" s="2297"/>
      <c r="M452" s="2297"/>
      <c r="N452" s="2297"/>
      <c r="O452" s="2297"/>
      <c r="P452" s="2297"/>
      <c r="Q452" s="2297"/>
      <c r="R452" s="99"/>
      <c r="S452" s="99"/>
      <c r="T452" s="99"/>
      <c r="U452" s="99"/>
      <c r="V452" s="99"/>
      <c r="AF452" s="2297"/>
      <c r="AG452" s="1208"/>
      <c r="AH452" s="1208"/>
      <c r="AI452" s="1223"/>
      <c r="AJ452" s="1223"/>
      <c r="AK452" s="1223"/>
      <c r="AL452" s="1223"/>
      <c r="AM452" s="1223"/>
      <c r="AN452" s="1223"/>
      <c r="AO452" s="1208"/>
      <c r="AP452" s="1223"/>
      <c r="AQ452" s="1208"/>
      <c r="AR452" s="1208"/>
      <c r="AS452" s="1223"/>
      <c r="AT452" s="1223"/>
      <c r="AU452" s="1208"/>
      <c r="AV452" s="1208"/>
      <c r="AW452" s="2297"/>
      <c r="BE452" s="1224"/>
      <c r="BF452" s="1225"/>
      <c r="BR452" s="1224"/>
      <c r="BS452" s="1224"/>
    </row>
    <row r="453" spans="2:71" s="491" customFormat="1">
      <c r="B453" s="2297"/>
      <c r="C453" s="2297"/>
      <c r="D453" s="2297"/>
      <c r="E453" s="2297"/>
      <c r="F453" s="2297"/>
      <c r="G453" s="2297"/>
      <c r="H453" s="2297"/>
      <c r="I453" s="2297"/>
      <c r="J453" s="2297"/>
      <c r="K453" s="2297"/>
      <c r="L453" s="2297"/>
      <c r="M453" s="2297"/>
      <c r="N453" s="2297"/>
      <c r="O453" s="2297"/>
      <c r="P453" s="2297"/>
      <c r="Q453" s="2297"/>
      <c r="R453" s="99"/>
      <c r="S453" s="99"/>
      <c r="T453" s="99"/>
      <c r="U453" s="99"/>
      <c r="V453" s="99"/>
      <c r="AF453" s="2297"/>
      <c r="AG453" s="1208"/>
      <c r="AH453" s="1208"/>
      <c r="AI453" s="1223"/>
      <c r="AJ453" s="1223"/>
      <c r="AK453" s="1223"/>
      <c r="AL453" s="1223"/>
      <c r="AM453" s="1223"/>
      <c r="AN453" s="1223"/>
      <c r="AO453" s="1208"/>
      <c r="AP453" s="1223"/>
      <c r="AQ453" s="1208"/>
      <c r="AR453" s="1208"/>
      <c r="AS453" s="1223"/>
      <c r="AT453" s="1223"/>
      <c r="AU453" s="1208"/>
      <c r="AV453" s="1208"/>
      <c r="AW453" s="2297"/>
      <c r="BE453" s="1224"/>
      <c r="BF453" s="1225"/>
      <c r="BR453" s="1224"/>
      <c r="BS453" s="1224"/>
    </row>
    <row r="454" spans="2:71" s="491" customFormat="1">
      <c r="B454" s="2297"/>
      <c r="C454" s="2297"/>
      <c r="D454" s="2297"/>
      <c r="E454" s="2297"/>
      <c r="F454" s="2297"/>
      <c r="G454" s="2297"/>
      <c r="H454" s="2297"/>
      <c r="I454" s="2297"/>
      <c r="J454" s="2297"/>
      <c r="K454" s="2297"/>
      <c r="L454" s="2297"/>
      <c r="M454" s="2297"/>
      <c r="N454" s="2297"/>
      <c r="O454" s="2297"/>
      <c r="P454" s="2297"/>
      <c r="Q454" s="2297"/>
      <c r="R454" s="99"/>
      <c r="S454" s="99"/>
      <c r="T454" s="99"/>
      <c r="U454" s="99"/>
      <c r="V454" s="99"/>
      <c r="AF454" s="2297"/>
      <c r="AG454" s="1208"/>
      <c r="AH454" s="1208"/>
      <c r="AI454" s="1223"/>
      <c r="AJ454" s="1223"/>
      <c r="AK454" s="1223"/>
      <c r="AL454" s="1223"/>
      <c r="AM454" s="1223"/>
      <c r="AN454" s="1223"/>
      <c r="AO454" s="1208"/>
      <c r="AP454" s="1223"/>
      <c r="AQ454" s="1208"/>
      <c r="AR454" s="1208"/>
      <c r="AS454" s="1223"/>
      <c r="AT454" s="1223"/>
      <c r="AU454" s="1208"/>
      <c r="AV454" s="1208"/>
      <c r="AW454" s="2297"/>
      <c r="BE454" s="1224"/>
      <c r="BF454" s="1225"/>
      <c r="BR454" s="1224"/>
      <c r="BS454" s="1224"/>
    </row>
    <row r="455" spans="2:71" s="491" customFormat="1">
      <c r="B455" s="2297"/>
      <c r="C455" s="2297"/>
      <c r="D455" s="2297"/>
      <c r="E455" s="2297"/>
      <c r="F455" s="2297"/>
      <c r="G455" s="2297"/>
      <c r="H455" s="2297"/>
      <c r="I455" s="2297"/>
      <c r="J455" s="2297"/>
      <c r="K455" s="2297"/>
      <c r="L455" s="2297"/>
      <c r="M455" s="2297"/>
      <c r="N455" s="2297"/>
      <c r="O455" s="2297"/>
      <c r="P455" s="2297"/>
      <c r="Q455" s="2297"/>
      <c r="R455" s="99"/>
      <c r="S455" s="99"/>
      <c r="T455" s="99"/>
      <c r="U455" s="99"/>
      <c r="V455" s="99"/>
      <c r="AF455" s="2297"/>
      <c r="AG455" s="1208"/>
      <c r="AH455" s="1208"/>
      <c r="AI455" s="1223"/>
      <c r="AJ455" s="1223"/>
      <c r="AK455" s="1223"/>
      <c r="AL455" s="1223"/>
      <c r="AM455" s="1223"/>
      <c r="AN455" s="1223"/>
      <c r="AO455" s="1208"/>
      <c r="AP455" s="1223"/>
      <c r="AQ455" s="1208"/>
      <c r="AR455" s="1208"/>
      <c r="AS455" s="1223"/>
      <c r="AT455" s="1223"/>
      <c r="AU455" s="1208"/>
      <c r="AV455" s="1208"/>
      <c r="AW455" s="2297"/>
      <c r="BE455" s="1224"/>
      <c r="BF455" s="1225"/>
      <c r="BR455" s="1224"/>
      <c r="BS455" s="1224"/>
    </row>
    <row r="456" spans="2:71" s="491" customFormat="1">
      <c r="B456" s="2297"/>
      <c r="C456" s="2297"/>
      <c r="D456" s="2297"/>
      <c r="E456" s="2297"/>
      <c r="F456" s="2297"/>
      <c r="G456" s="2297"/>
      <c r="H456" s="2297"/>
      <c r="I456" s="2297"/>
      <c r="J456" s="2297"/>
      <c r="K456" s="2297"/>
      <c r="L456" s="2297"/>
      <c r="M456" s="2297"/>
      <c r="N456" s="2297"/>
      <c r="O456" s="2297"/>
      <c r="P456" s="2297"/>
      <c r="Q456" s="2297"/>
      <c r="R456" s="99"/>
      <c r="S456" s="99"/>
      <c r="T456" s="99"/>
      <c r="U456" s="99"/>
      <c r="V456" s="99"/>
      <c r="AF456" s="2297"/>
      <c r="AG456" s="1208"/>
      <c r="AH456" s="1208"/>
      <c r="AI456" s="1223"/>
      <c r="AJ456" s="1223"/>
      <c r="AK456" s="1223"/>
      <c r="AL456" s="1223"/>
      <c r="AM456" s="1223"/>
      <c r="AN456" s="1223"/>
      <c r="AO456" s="1208"/>
      <c r="AP456" s="1223"/>
      <c r="AQ456" s="1208"/>
      <c r="AR456" s="1208"/>
      <c r="AS456" s="1223"/>
      <c r="AT456" s="1223"/>
      <c r="AU456" s="1208"/>
      <c r="AV456" s="1208"/>
      <c r="AW456" s="2297"/>
      <c r="BE456" s="1224"/>
      <c r="BF456" s="1225"/>
      <c r="BR456" s="1224"/>
      <c r="BS456" s="1224"/>
    </row>
    <row r="457" spans="2:71" s="491" customFormat="1">
      <c r="B457" s="2297"/>
      <c r="C457" s="2297"/>
      <c r="D457" s="2297"/>
      <c r="E457" s="2297"/>
      <c r="F457" s="2297"/>
      <c r="G457" s="2297"/>
      <c r="H457" s="2297"/>
      <c r="I457" s="2297"/>
      <c r="J457" s="2297"/>
      <c r="K457" s="2297"/>
      <c r="L457" s="2297"/>
      <c r="M457" s="2297"/>
      <c r="N457" s="2297"/>
      <c r="O457" s="2297"/>
      <c r="P457" s="2297"/>
      <c r="Q457" s="2297"/>
      <c r="R457" s="99"/>
      <c r="S457" s="99"/>
      <c r="T457" s="99"/>
      <c r="U457" s="99"/>
      <c r="V457" s="99"/>
      <c r="AF457" s="2297"/>
      <c r="AG457" s="1208"/>
      <c r="AH457" s="1208"/>
      <c r="AI457" s="1223"/>
      <c r="AJ457" s="1223"/>
      <c r="AK457" s="1223"/>
      <c r="AL457" s="1223"/>
      <c r="AM457" s="1223"/>
      <c r="AN457" s="1223"/>
      <c r="AO457" s="1208"/>
      <c r="AP457" s="1223"/>
      <c r="AQ457" s="1208"/>
      <c r="AR457" s="1208"/>
      <c r="AS457" s="1223"/>
      <c r="AT457" s="1223"/>
      <c r="AU457" s="1208"/>
      <c r="AV457" s="1208"/>
      <c r="AW457" s="2297"/>
      <c r="BE457" s="1224"/>
      <c r="BF457" s="1225"/>
      <c r="BR457" s="1224"/>
      <c r="BS457" s="1224"/>
    </row>
    <row r="458" spans="2:71" s="491" customFormat="1">
      <c r="B458" s="2297"/>
      <c r="C458" s="2297"/>
      <c r="D458" s="2297"/>
      <c r="E458" s="2297"/>
      <c r="F458" s="2297"/>
      <c r="G458" s="2297"/>
      <c r="H458" s="2297"/>
      <c r="I458" s="2297"/>
      <c r="J458" s="2297"/>
      <c r="K458" s="2297"/>
      <c r="L458" s="2297"/>
      <c r="M458" s="2297"/>
      <c r="N458" s="2297"/>
      <c r="O458" s="2297"/>
      <c r="P458" s="2297"/>
      <c r="Q458" s="2297"/>
      <c r="R458" s="99"/>
      <c r="S458" s="99"/>
      <c r="T458" s="99"/>
      <c r="U458" s="99"/>
      <c r="V458" s="99"/>
      <c r="AF458" s="2297"/>
      <c r="AG458" s="1208"/>
      <c r="AH458" s="1208"/>
      <c r="AI458" s="1223"/>
      <c r="AJ458" s="1223"/>
      <c r="AK458" s="1223"/>
      <c r="AL458" s="1223"/>
      <c r="AM458" s="1223"/>
      <c r="AN458" s="1223"/>
      <c r="AO458" s="1208"/>
      <c r="AP458" s="1223"/>
      <c r="AQ458" s="1208"/>
      <c r="AR458" s="1208"/>
      <c r="AS458" s="1223"/>
      <c r="AT458" s="1223"/>
      <c r="AU458" s="1208"/>
      <c r="AV458" s="1208"/>
      <c r="AW458" s="2297"/>
      <c r="BE458" s="1224"/>
      <c r="BF458" s="1225"/>
      <c r="BR458" s="1224"/>
      <c r="BS458" s="1224"/>
    </row>
    <row r="459" spans="2:71" s="491" customFormat="1">
      <c r="B459" s="2297"/>
      <c r="C459" s="2297"/>
      <c r="D459" s="2297"/>
      <c r="E459" s="2297"/>
      <c r="F459" s="2297"/>
      <c r="G459" s="2297"/>
      <c r="H459" s="2297"/>
      <c r="I459" s="2297"/>
      <c r="J459" s="2297"/>
      <c r="K459" s="2297"/>
      <c r="L459" s="2297"/>
      <c r="M459" s="2297"/>
      <c r="N459" s="2297"/>
      <c r="O459" s="2297"/>
      <c r="P459" s="2297"/>
      <c r="Q459" s="2297"/>
      <c r="R459" s="99"/>
      <c r="S459" s="99"/>
      <c r="T459" s="99"/>
      <c r="U459" s="99"/>
      <c r="V459" s="99"/>
      <c r="AF459" s="2297"/>
      <c r="AG459" s="1208"/>
      <c r="AH459" s="1208"/>
      <c r="AI459" s="1223"/>
      <c r="AJ459" s="1223"/>
      <c r="AK459" s="1223"/>
      <c r="AL459" s="1223"/>
      <c r="AM459" s="1223"/>
      <c r="AN459" s="1223"/>
      <c r="AO459" s="1208"/>
      <c r="AP459" s="1223"/>
      <c r="AQ459" s="1208"/>
      <c r="AR459" s="1208"/>
      <c r="AS459" s="1223"/>
      <c r="AT459" s="1223"/>
      <c r="AU459" s="1208"/>
      <c r="AV459" s="1208"/>
      <c r="AW459" s="2297"/>
      <c r="BE459" s="1224"/>
      <c r="BF459" s="1225"/>
      <c r="BR459" s="1224"/>
      <c r="BS459" s="1224"/>
    </row>
    <row r="460" spans="2:71" s="491" customFormat="1">
      <c r="B460" s="2297"/>
      <c r="C460" s="2297"/>
      <c r="D460" s="2297"/>
      <c r="E460" s="2297"/>
      <c r="F460" s="2297"/>
      <c r="G460" s="2297"/>
      <c r="H460" s="2297"/>
      <c r="I460" s="2297"/>
      <c r="J460" s="2297"/>
      <c r="K460" s="2297"/>
      <c r="L460" s="2297"/>
      <c r="M460" s="2297"/>
      <c r="N460" s="2297"/>
      <c r="O460" s="2297"/>
      <c r="P460" s="2297"/>
      <c r="Q460" s="2297"/>
      <c r="R460" s="99"/>
      <c r="S460" s="99"/>
      <c r="T460" s="99"/>
      <c r="U460" s="99"/>
      <c r="V460" s="99"/>
      <c r="AF460" s="2297"/>
      <c r="AG460" s="1208"/>
      <c r="AH460" s="1208"/>
      <c r="AI460" s="1223"/>
      <c r="AJ460" s="1223"/>
      <c r="AK460" s="1223"/>
      <c r="AL460" s="1223"/>
      <c r="AM460" s="1223"/>
      <c r="AN460" s="1223"/>
      <c r="AO460" s="1208"/>
      <c r="AP460" s="1223"/>
      <c r="AQ460" s="1208"/>
      <c r="AR460" s="1208"/>
      <c r="AS460" s="1223"/>
      <c r="AT460" s="1223"/>
      <c r="AU460" s="1208"/>
      <c r="AV460" s="1208"/>
      <c r="AW460" s="2297"/>
      <c r="BE460" s="1224"/>
      <c r="BF460" s="1225"/>
      <c r="BR460" s="1224"/>
      <c r="BS460" s="1224"/>
    </row>
    <row r="461" spans="2:71" s="491" customFormat="1">
      <c r="B461" s="2297"/>
      <c r="C461" s="2297"/>
      <c r="D461" s="2297"/>
      <c r="E461" s="2297"/>
      <c r="F461" s="2297"/>
      <c r="G461" s="2297"/>
      <c r="H461" s="2297"/>
      <c r="I461" s="2297"/>
      <c r="J461" s="2297"/>
      <c r="K461" s="2297"/>
      <c r="L461" s="2297"/>
      <c r="M461" s="2297"/>
      <c r="N461" s="2297"/>
      <c r="O461" s="2297"/>
      <c r="P461" s="2297"/>
      <c r="Q461" s="2297"/>
      <c r="R461" s="99"/>
      <c r="S461" s="99"/>
      <c r="T461" s="99"/>
      <c r="U461" s="99"/>
      <c r="V461" s="99"/>
      <c r="AF461" s="2297"/>
      <c r="AG461" s="1208"/>
      <c r="AH461" s="1208"/>
      <c r="AI461" s="1223"/>
      <c r="AJ461" s="1223"/>
      <c r="AK461" s="1223"/>
      <c r="AL461" s="1223"/>
      <c r="AM461" s="1223"/>
      <c r="AN461" s="1223"/>
      <c r="AO461" s="1208"/>
      <c r="AP461" s="1223"/>
      <c r="AQ461" s="1208"/>
      <c r="AR461" s="1208"/>
      <c r="AS461" s="1223"/>
      <c r="AT461" s="1223"/>
      <c r="AU461" s="1208"/>
      <c r="AV461" s="1208"/>
      <c r="AW461" s="2297"/>
      <c r="BE461" s="1224"/>
      <c r="BF461" s="1225"/>
      <c r="BR461" s="1224"/>
      <c r="BS461" s="1224"/>
    </row>
    <row r="462" spans="2:71" s="491" customFormat="1">
      <c r="B462" s="2297"/>
      <c r="C462" s="2297"/>
      <c r="D462" s="2297"/>
      <c r="E462" s="2297"/>
      <c r="F462" s="2297"/>
      <c r="G462" s="2297"/>
      <c r="H462" s="2297"/>
      <c r="I462" s="2297"/>
      <c r="J462" s="2297"/>
      <c r="K462" s="2297"/>
      <c r="L462" s="2297"/>
      <c r="M462" s="2297"/>
      <c r="N462" s="2297"/>
      <c r="O462" s="2297"/>
      <c r="P462" s="2297"/>
      <c r="Q462" s="2297"/>
      <c r="R462" s="99"/>
      <c r="S462" s="99"/>
      <c r="T462" s="99"/>
      <c r="U462" s="99"/>
      <c r="V462" s="99"/>
      <c r="AF462" s="2297"/>
      <c r="AG462" s="1208"/>
      <c r="AH462" s="1208"/>
      <c r="AI462" s="1223"/>
      <c r="AJ462" s="1223"/>
      <c r="AK462" s="1223"/>
      <c r="AL462" s="1223"/>
      <c r="AM462" s="1223"/>
      <c r="AN462" s="1223"/>
      <c r="AO462" s="1208"/>
      <c r="AP462" s="1223"/>
      <c r="AQ462" s="1208"/>
      <c r="AR462" s="1208"/>
      <c r="AS462" s="1223"/>
      <c r="AT462" s="1223"/>
      <c r="AU462" s="1208"/>
      <c r="AV462" s="1208"/>
      <c r="AW462" s="2297"/>
      <c r="BE462" s="1224"/>
      <c r="BF462" s="1225"/>
      <c r="BR462" s="1224"/>
      <c r="BS462" s="1224"/>
    </row>
    <row r="463" spans="2:71" s="491" customFormat="1">
      <c r="B463" s="2297"/>
      <c r="C463" s="2297"/>
      <c r="D463" s="2297"/>
      <c r="E463" s="2297"/>
      <c r="F463" s="2297"/>
      <c r="G463" s="2297"/>
      <c r="H463" s="2297"/>
      <c r="I463" s="2297"/>
      <c r="J463" s="2297"/>
      <c r="K463" s="2297"/>
      <c r="L463" s="2297"/>
      <c r="M463" s="2297"/>
      <c r="N463" s="2297"/>
      <c r="O463" s="2297"/>
      <c r="P463" s="2297"/>
      <c r="Q463" s="2297"/>
      <c r="R463" s="99"/>
      <c r="S463" s="99"/>
      <c r="T463" s="99"/>
      <c r="U463" s="99"/>
      <c r="V463" s="99"/>
      <c r="AF463" s="2297"/>
      <c r="AG463" s="1208"/>
      <c r="AH463" s="1208"/>
      <c r="AI463" s="1223"/>
      <c r="AJ463" s="1223"/>
      <c r="AK463" s="1223"/>
      <c r="AL463" s="1223"/>
      <c r="AM463" s="1223"/>
      <c r="AN463" s="1223"/>
      <c r="AO463" s="1208"/>
      <c r="AP463" s="1223"/>
      <c r="AQ463" s="1208"/>
      <c r="AR463" s="1208"/>
      <c r="AS463" s="1223"/>
      <c r="AT463" s="1223"/>
      <c r="AU463" s="1208"/>
      <c r="AV463" s="1208"/>
      <c r="AW463" s="2297"/>
      <c r="BE463" s="1224"/>
      <c r="BF463" s="1225"/>
      <c r="BR463" s="1224"/>
      <c r="BS463" s="1224"/>
    </row>
    <row r="464" spans="2:71" s="491" customFormat="1">
      <c r="B464" s="2297"/>
      <c r="C464" s="2297"/>
      <c r="D464" s="2297"/>
      <c r="E464" s="2297"/>
      <c r="F464" s="2297"/>
      <c r="G464" s="2297"/>
      <c r="H464" s="2297"/>
      <c r="I464" s="2297"/>
      <c r="J464" s="2297"/>
      <c r="K464" s="2297"/>
      <c r="L464" s="2297"/>
      <c r="M464" s="2297"/>
      <c r="N464" s="2297"/>
      <c r="O464" s="2297"/>
      <c r="P464" s="2297"/>
      <c r="Q464" s="2297"/>
      <c r="R464" s="99"/>
      <c r="S464" s="99"/>
      <c r="T464" s="99"/>
      <c r="U464" s="99"/>
      <c r="V464" s="99"/>
      <c r="AF464" s="2297"/>
      <c r="AG464" s="1208"/>
      <c r="AH464" s="1208"/>
      <c r="AI464" s="1223"/>
      <c r="AJ464" s="1223"/>
      <c r="AK464" s="1223"/>
      <c r="AL464" s="1223"/>
      <c r="AM464" s="1223"/>
      <c r="AN464" s="1223"/>
      <c r="AO464" s="1208"/>
      <c r="AP464" s="1223"/>
      <c r="AQ464" s="1208"/>
      <c r="AR464" s="1208"/>
      <c r="AS464" s="1223"/>
      <c r="AT464" s="1223"/>
      <c r="AU464" s="1208"/>
      <c r="AV464" s="1208"/>
      <c r="AW464" s="2297"/>
      <c r="BE464" s="1224"/>
      <c r="BF464" s="1225"/>
      <c r="BR464" s="1224"/>
      <c r="BS464" s="1224"/>
    </row>
    <row r="465" spans="2:71" s="491" customFormat="1">
      <c r="B465" s="2297"/>
      <c r="C465" s="2297"/>
      <c r="D465" s="2297"/>
      <c r="E465" s="2297"/>
      <c r="F465" s="2297"/>
      <c r="G465" s="2297"/>
      <c r="H465" s="2297"/>
      <c r="I465" s="2297"/>
      <c r="J465" s="2297"/>
      <c r="K465" s="2297"/>
      <c r="L465" s="2297"/>
      <c r="M465" s="2297"/>
      <c r="N465" s="2297"/>
      <c r="O465" s="2297"/>
      <c r="P465" s="2297"/>
      <c r="Q465" s="2297"/>
      <c r="R465" s="99"/>
      <c r="S465" s="99"/>
      <c r="T465" s="99"/>
      <c r="U465" s="99"/>
      <c r="V465" s="99"/>
      <c r="AF465" s="2297"/>
      <c r="AG465" s="1208"/>
      <c r="AH465" s="1208"/>
      <c r="AI465" s="1223"/>
      <c r="AJ465" s="1223"/>
      <c r="AK465" s="1223"/>
      <c r="AL465" s="1223"/>
      <c r="AM465" s="1223"/>
      <c r="AN465" s="1223"/>
      <c r="AO465" s="1208"/>
      <c r="AP465" s="1223"/>
      <c r="AQ465" s="1208"/>
      <c r="AR465" s="1208"/>
      <c r="AS465" s="1223"/>
      <c r="AT465" s="1223"/>
      <c r="AU465" s="1208"/>
      <c r="AV465" s="1208"/>
      <c r="AW465" s="2297"/>
      <c r="BE465" s="1224"/>
      <c r="BF465" s="1225"/>
      <c r="BR465" s="1224"/>
      <c r="BS465" s="1224"/>
    </row>
    <row r="466" spans="2:71" s="491" customFormat="1">
      <c r="B466" s="2297"/>
      <c r="C466" s="2297"/>
      <c r="D466" s="2297"/>
      <c r="E466" s="2297"/>
      <c r="F466" s="2297"/>
      <c r="G466" s="2297"/>
      <c r="H466" s="2297"/>
      <c r="I466" s="2297"/>
      <c r="J466" s="2297"/>
      <c r="K466" s="2297"/>
      <c r="L466" s="2297"/>
      <c r="M466" s="2297"/>
      <c r="N466" s="2297"/>
      <c r="O466" s="2297"/>
      <c r="P466" s="2297"/>
      <c r="Q466" s="2297"/>
      <c r="R466" s="99"/>
      <c r="S466" s="99"/>
      <c r="T466" s="99"/>
      <c r="U466" s="99"/>
      <c r="V466" s="99"/>
      <c r="AF466" s="2297"/>
      <c r="AG466" s="1208"/>
      <c r="AH466" s="1208"/>
      <c r="AI466" s="1223"/>
      <c r="AJ466" s="1223"/>
      <c r="AK466" s="1223"/>
      <c r="AL466" s="1223"/>
      <c r="AM466" s="1223"/>
      <c r="AN466" s="1223"/>
      <c r="AO466" s="1208"/>
      <c r="AP466" s="1223"/>
      <c r="AQ466" s="1208"/>
      <c r="AR466" s="1208"/>
      <c r="AS466" s="1223"/>
      <c r="AT466" s="1223"/>
      <c r="AU466" s="1208"/>
      <c r="AV466" s="1208"/>
      <c r="AW466" s="2297"/>
      <c r="BE466" s="1224"/>
      <c r="BF466" s="1225"/>
      <c r="BR466" s="1224"/>
      <c r="BS466" s="1224"/>
    </row>
    <row r="467" spans="2:71" s="491" customFormat="1">
      <c r="B467" s="2297"/>
      <c r="C467" s="2297"/>
      <c r="D467" s="2297"/>
      <c r="E467" s="2297"/>
      <c r="F467" s="2297"/>
      <c r="G467" s="2297"/>
      <c r="H467" s="2297"/>
      <c r="I467" s="2297"/>
      <c r="J467" s="2297"/>
      <c r="K467" s="2297"/>
      <c r="L467" s="2297"/>
      <c r="M467" s="2297"/>
      <c r="N467" s="2297"/>
      <c r="O467" s="2297"/>
      <c r="P467" s="2297"/>
      <c r="Q467" s="2297"/>
      <c r="R467" s="99"/>
      <c r="S467" s="99"/>
      <c r="T467" s="99"/>
      <c r="U467" s="99"/>
      <c r="V467" s="99"/>
      <c r="AF467" s="2297"/>
      <c r="AG467" s="1208"/>
      <c r="AH467" s="1208"/>
      <c r="AI467" s="1223"/>
      <c r="AJ467" s="1223"/>
      <c r="AK467" s="1223"/>
      <c r="AL467" s="1223"/>
      <c r="AM467" s="1223"/>
      <c r="AN467" s="1223"/>
      <c r="AO467" s="1208"/>
      <c r="AP467" s="1223"/>
      <c r="AQ467" s="1208"/>
      <c r="AR467" s="1208"/>
      <c r="AS467" s="1223"/>
      <c r="AT467" s="1223"/>
      <c r="AU467" s="1208"/>
      <c r="AV467" s="1208"/>
      <c r="AW467" s="2297"/>
      <c r="BE467" s="1224"/>
      <c r="BF467" s="1225"/>
      <c r="BR467" s="1224"/>
      <c r="BS467" s="1224"/>
    </row>
    <row r="468" spans="2:71" s="491" customFormat="1">
      <c r="B468" s="2297"/>
      <c r="C468" s="2297"/>
      <c r="D468" s="2297"/>
      <c r="E468" s="2297"/>
      <c r="F468" s="2297"/>
      <c r="G468" s="2297"/>
      <c r="H468" s="2297"/>
      <c r="I468" s="2297"/>
      <c r="J468" s="2297"/>
      <c r="K468" s="2297"/>
      <c r="L468" s="2297"/>
      <c r="M468" s="2297"/>
      <c r="N468" s="2297"/>
      <c r="O468" s="2297"/>
      <c r="P468" s="2297"/>
      <c r="Q468" s="2297"/>
      <c r="R468" s="99"/>
      <c r="S468" s="99"/>
      <c r="T468" s="99"/>
      <c r="U468" s="99"/>
      <c r="V468" s="99"/>
      <c r="AF468" s="2297"/>
      <c r="AG468" s="1208"/>
      <c r="AH468" s="1208"/>
      <c r="AI468" s="1223"/>
      <c r="AJ468" s="1223"/>
      <c r="AK468" s="1223"/>
      <c r="AL468" s="1223"/>
      <c r="AM468" s="1223"/>
      <c r="AN468" s="1223"/>
      <c r="AO468" s="1208"/>
      <c r="AP468" s="1223"/>
      <c r="AQ468" s="1208"/>
      <c r="AR468" s="1208"/>
      <c r="AS468" s="1223"/>
      <c r="AT468" s="1223"/>
      <c r="AU468" s="1208"/>
      <c r="AV468" s="1208"/>
      <c r="AW468" s="2297"/>
      <c r="BE468" s="1224"/>
      <c r="BF468" s="1225"/>
      <c r="BR468" s="1224"/>
      <c r="BS468" s="1224"/>
    </row>
    <row r="469" spans="2:71" s="491" customFormat="1">
      <c r="B469" s="2297"/>
      <c r="C469" s="2297"/>
      <c r="D469" s="2297"/>
      <c r="E469" s="2297"/>
      <c r="F469" s="2297"/>
      <c r="G469" s="2297"/>
      <c r="H469" s="2297"/>
      <c r="I469" s="2297"/>
      <c r="J469" s="2297"/>
      <c r="K469" s="2297"/>
      <c r="L469" s="2297"/>
      <c r="M469" s="2297"/>
      <c r="N469" s="2297"/>
      <c r="O469" s="2297"/>
      <c r="P469" s="2297"/>
      <c r="Q469" s="2297"/>
      <c r="R469" s="99"/>
      <c r="S469" s="99"/>
      <c r="T469" s="99"/>
      <c r="U469" s="99"/>
      <c r="V469" s="99"/>
      <c r="AF469" s="2297"/>
      <c r="AG469" s="1208"/>
      <c r="AH469" s="1208"/>
      <c r="AI469" s="1223"/>
      <c r="AJ469" s="1223"/>
      <c r="AK469" s="1223"/>
      <c r="AL469" s="1223"/>
      <c r="AM469" s="1223"/>
      <c r="AN469" s="1223"/>
      <c r="AO469" s="1208"/>
      <c r="AP469" s="1223"/>
      <c r="AQ469" s="1208"/>
      <c r="AR469" s="1208"/>
      <c r="AS469" s="1223"/>
      <c r="AT469" s="1223"/>
      <c r="AU469" s="1208"/>
      <c r="AV469" s="1208"/>
      <c r="AW469" s="2297"/>
      <c r="BE469" s="1224"/>
      <c r="BF469" s="1225"/>
      <c r="BR469" s="1224"/>
      <c r="BS469" s="1224"/>
    </row>
    <row r="470" spans="2:71" s="491" customFormat="1">
      <c r="B470" s="2297"/>
      <c r="C470" s="2297"/>
      <c r="D470" s="2297"/>
      <c r="E470" s="2297"/>
      <c r="F470" s="2297"/>
      <c r="G470" s="2297"/>
      <c r="H470" s="2297"/>
      <c r="I470" s="2297"/>
      <c r="J470" s="2297"/>
      <c r="K470" s="2297"/>
      <c r="L470" s="2297"/>
      <c r="M470" s="2297"/>
      <c r="N470" s="2297"/>
      <c r="O470" s="2297"/>
      <c r="P470" s="2297"/>
      <c r="Q470" s="2297"/>
      <c r="R470" s="99"/>
      <c r="S470" s="99"/>
      <c r="T470" s="99"/>
      <c r="U470" s="99"/>
      <c r="V470" s="99"/>
      <c r="AF470" s="2297"/>
      <c r="AG470" s="1208"/>
      <c r="AH470" s="1208"/>
      <c r="AI470" s="1223"/>
      <c r="AJ470" s="1223"/>
      <c r="AK470" s="1223"/>
      <c r="AL470" s="1223"/>
      <c r="AM470" s="1223"/>
      <c r="AN470" s="1223"/>
      <c r="AO470" s="1208"/>
      <c r="AP470" s="1223"/>
      <c r="AQ470" s="1208"/>
      <c r="AR470" s="1208"/>
      <c r="AS470" s="1223"/>
      <c r="AT470" s="1223"/>
      <c r="AU470" s="1208"/>
      <c r="AV470" s="1208"/>
      <c r="AW470" s="2297"/>
      <c r="BE470" s="1224"/>
      <c r="BF470" s="1225"/>
      <c r="BR470" s="1224"/>
      <c r="BS470" s="1224"/>
    </row>
    <row r="471" spans="2:71" s="491" customFormat="1">
      <c r="B471" s="2297"/>
      <c r="C471" s="2297"/>
      <c r="D471" s="2297"/>
      <c r="E471" s="2297"/>
      <c r="F471" s="2297"/>
      <c r="G471" s="2297"/>
      <c r="H471" s="2297"/>
      <c r="I471" s="2297"/>
      <c r="J471" s="2297"/>
      <c r="K471" s="2297"/>
      <c r="L471" s="2297"/>
      <c r="M471" s="2297"/>
      <c r="N471" s="2297"/>
      <c r="O471" s="2297"/>
      <c r="P471" s="2297"/>
      <c r="Q471" s="2297"/>
      <c r="R471" s="99"/>
      <c r="S471" s="99"/>
      <c r="T471" s="99"/>
      <c r="U471" s="99"/>
      <c r="V471" s="99"/>
      <c r="AF471" s="2297"/>
      <c r="AG471" s="1208"/>
      <c r="AH471" s="1208"/>
      <c r="AI471" s="1223"/>
      <c r="AJ471" s="1223"/>
      <c r="AK471" s="1223"/>
      <c r="AL471" s="1223"/>
      <c r="AM471" s="1223"/>
      <c r="AN471" s="1223"/>
      <c r="AO471" s="1208"/>
      <c r="AP471" s="1223"/>
      <c r="AQ471" s="1208"/>
      <c r="AR471" s="1208"/>
      <c r="AS471" s="1223"/>
      <c r="AT471" s="1223"/>
      <c r="AU471" s="1208"/>
      <c r="AV471" s="1208"/>
      <c r="AW471" s="2297"/>
      <c r="BE471" s="1224"/>
      <c r="BF471" s="1225"/>
      <c r="BR471" s="1224"/>
      <c r="BS471" s="1224"/>
    </row>
    <row r="472" spans="2:71" s="491" customFormat="1">
      <c r="B472" s="2297"/>
      <c r="C472" s="2297"/>
      <c r="D472" s="2297"/>
      <c r="E472" s="2297"/>
      <c r="F472" s="2297"/>
      <c r="G472" s="2297"/>
      <c r="H472" s="2297"/>
      <c r="I472" s="2297"/>
      <c r="J472" s="2297"/>
      <c r="K472" s="2297"/>
      <c r="L472" s="2297"/>
      <c r="M472" s="2297"/>
      <c r="N472" s="2297"/>
      <c r="O472" s="2297"/>
      <c r="P472" s="2297"/>
      <c r="Q472" s="2297"/>
      <c r="R472" s="99"/>
      <c r="S472" s="99"/>
      <c r="T472" s="99"/>
      <c r="U472" s="99"/>
      <c r="V472" s="99"/>
      <c r="AF472" s="2297"/>
      <c r="AG472" s="1208"/>
      <c r="AH472" s="1208"/>
      <c r="AI472" s="1223"/>
      <c r="AJ472" s="1223"/>
      <c r="AK472" s="1223"/>
      <c r="AL472" s="1223"/>
      <c r="AM472" s="1223"/>
      <c r="AN472" s="1223"/>
      <c r="AO472" s="1208"/>
      <c r="AP472" s="1223"/>
      <c r="AQ472" s="1208"/>
      <c r="AR472" s="1208"/>
      <c r="AS472" s="1223"/>
      <c r="AT472" s="1223"/>
      <c r="AU472" s="1208"/>
      <c r="AV472" s="1208"/>
      <c r="AW472" s="2297"/>
      <c r="BE472" s="1224"/>
      <c r="BF472" s="1225"/>
      <c r="BR472" s="1224"/>
      <c r="BS472" s="1224"/>
    </row>
    <row r="473" spans="2:71" s="491" customFormat="1">
      <c r="B473" s="2297"/>
      <c r="C473" s="2297"/>
      <c r="D473" s="2297"/>
      <c r="E473" s="2297"/>
      <c r="F473" s="2297"/>
      <c r="G473" s="2297"/>
      <c r="H473" s="2297"/>
      <c r="I473" s="2297"/>
      <c r="J473" s="2297"/>
      <c r="K473" s="2297"/>
      <c r="L473" s="2297"/>
      <c r="M473" s="2297"/>
      <c r="N473" s="2297"/>
      <c r="O473" s="2297"/>
      <c r="P473" s="2297"/>
      <c r="Q473" s="2297"/>
      <c r="R473" s="99"/>
      <c r="S473" s="99"/>
      <c r="T473" s="99"/>
      <c r="U473" s="99"/>
      <c r="V473" s="99"/>
      <c r="AF473" s="2297"/>
      <c r="AG473" s="1208"/>
      <c r="AH473" s="1208"/>
      <c r="AI473" s="1223"/>
      <c r="AJ473" s="1223"/>
      <c r="AK473" s="1223"/>
      <c r="AL473" s="1223"/>
      <c r="AM473" s="1223"/>
      <c r="AN473" s="1223"/>
      <c r="AO473" s="1208"/>
      <c r="AP473" s="1223"/>
      <c r="AQ473" s="1208"/>
      <c r="AR473" s="1208"/>
      <c r="AS473" s="1223"/>
      <c r="AT473" s="1223"/>
      <c r="AU473" s="1208"/>
      <c r="AV473" s="1208"/>
      <c r="AW473" s="2297"/>
      <c r="BE473" s="1224"/>
      <c r="BF473" s="1225"/>
      <c r="BR473" s="1224"/>
      <c r="BS473" s="1224"/>
    </row>
    <row r="474" spans="2:71" s="491" customFormat="1">
      <c r="B474" s="2297"/>
      <c r="C474" s="2297"/>
      <c r="D474" s="2297"/>
      <c r="E474" s="2297"/>
      <c r="F474" s="2297"/>
      <c r="G474" s="2297"/>
      <c r="H474" s="2297"/>
      <c r="I474" s="2297"/>
      <c r="J474" s="2297"/>
      <c r="K474" s="2297"/>
      <c r="L474" s="2297"/>
      <c r="M474" s="2297"/>
      <c r="N474" s="2297"/>
      <c r="O474" s="2297"/>
      <c r="P474" s="2297"/>
      <c r="Q474" s="2297"/>
      <c r="R474" s="99"/>
      <c r="S474" s="99"/>
      <c r="T474" s="99"/>
      <c r="U474" s="99"/>
      <c r="V474" s="99"/>
      <c r="AF474" s="2297"/>
      <c r="AG474" s="1208"/>
      <c r="AH474" s="1208"/>
      <c r="AI474" s="1223"/>
      <c r="AJ474" s="1223"/>
      <c r="AK474" s="1223"/>
      <c r="AL474" s="1223"/>
      <c r="AM474" s="1223"/>
      <c r="AN474" s="1223"/>
      <c r="AO474" s="1208"/>
      <c r="AP474" s="1223"/>
      <c r="AQ474" s="1208"/>
      <c r="AR474" s="1208"/>
      <c r="AS474" s="1223"/>
      <c r="AT474" s="1223"/>
      <c r="AU474" s="1208"/>
      <c r="AV474" s="1208"/>
      <c r="AW474" s="2297"/>
      <c r="BE474" s="1224"/>
      <c r="BF474" s="1225"/>
      <c r="BR474" s="1224"/>
      <c r="BS474" s="1224"/>
    </row>
    <row r="475" spans="2:71" s="491" customFormat="1">
      <c r="B475" s="2297"/>
      <c r="C475" s="2297"/>
      <c r="D475" s="2297"/>
      <c r="E475" s="2297"/>
      <c r="F475" s="2297"/>
      <c r="G475" s="2297"/>
      <c r="H475" s="2297"/>
      <c r="I475" s="2297"/>
      <c r="J475" s="2297"/>
      <c r="K475" s="2297"/>
      <c r="L475" s="2297"/>
      <c r="M475" s="2297"/>
      <c r="N475" s="2297"/>
      <c r="O475" s="2297"/>
      <c r="P475" s="2297"/>
      <c r="Q475" s="2297"/>
      <c r="R475" s="99"/>
      <c r="S475" s="99"/>
      <c r="T475" s="99"/>
      <c r="U475" s="99"/>
      <c r="V475" s="99"/>
      <c r="AF475" s="2297"/>
      <c r="AG475" s="1208"/>
      <c r="AH475" s="1208"/>
      <c r="AI475" s="1223"/>
      <c r="AJ475" s="1223"/>
      <c r="AK475" s="1223"/>
      <c r="AL475" s="1223"/>
      <c r="AM475" s="1223"/>
      <c r="AN475" s="1223"/>
      <c r="AO475" s="1208"/>
      <c r="AP475" s="1223"/>
      <c r="AQ475" s="1208"/>
      <c r="AR475" s="1208"/>
      <c r="AS475" s="1223"/>
      <c r="AT475" s="1223"/>
      <c r="AU475" s="1208"/>
      <c r="AV475" s="1208"/>
      <c r="AW475" s="2297"/>
      <c r="BE475" s="1224"/>
      <c r="BF475" s="1225"/>
      <c r="BR475" s="1224"/>
      <c r="BS475" s="1224"/>
    </row>
    <row r="476" spans="2:71" s="491" customFormat="1">
      <c r="B476" s="2297"/>
      <c r="C476" s="2297"/>
      <c r="D476" s="2297"/>
      <c r="E476" s="2297"/>
      <c r="F476" s="2297"/>
      <c r="G476" s="2297"/>
      <c r="H476" s="2297"/>
      <c r="I476" s="2297"/>
      <c r="J476" s="2297"/>
      <c r="K476" s="2297"/>
      <c r="L476" s="2297"/>
      <c r="M476" s="2297"/>
      <c r="N476" s="2297"/>
      <c r="O476" s="2297"/>
      <c r="P476" s="2297"/>
      <c r="Q476" s="2297"/>
      <c r="R476" s="99"/>
      <c r="S476" s="99"/>
      <c r="T476" s="99"/>
      <c r="U476" s="99"/>
      <c r="V476" s="99"/>
      <c r="AF476" s="2297"/>
      <c r="AG476" s="1208"/>
      <c r="AH476" s="1208"/>
      <c r="AI476" s="1223"/>
      <c r="AJ476" s="1223"/>
      <c r="AK476" s="1223"/>
      <c r="AL476" s="1223"/>
      <c r="AM476" s="1223"/>
      <c r="AN476" s="1223"/>
      <c r="AO476" s="1208"/>
      <c r="AP476" s="1223"/>
      <c r="AQ476" s="1208"/>
      <c r="AR476" s="1208"/>
      <c r="AS476" s="1223"/>
      <c r="AT476" s="1223"/>
      <c r="AU476" s="1208"/>
      <c r="AV476" s="1208"/>
      <c r="AW476" s="2297"/>
      <c r="BE476" s="1224"/>
      <c r="BF476" s="1225"/>
      <c r="BR476" s="1224"/>
      <c r="BS476" s="1224"/>
    </row>
    <row r="477" spans="2:71" s="491" customFormat="1">
      <c r="B477" s="2297"/>
      <c r="C477" s="2297"/>
      <c r="D477" s="2297"/>
      <c r="E477" s="2297"/>
      <c r="F477" s="2297"/>
      <c r="G477" s="2297"/>
      <c r="H477" s="2297"/>
      <c r="I477" s="2297"/>
      <c r="J477" s="2297"/>
      <c r="K477" s="2297"/>
      <c r="L477" s="2297"/>
      <c r="M477" s="2297"/>
      <c r="N477" s="2297"/>
      <c r="O477" s="2297"/>
      <c r="P477" s="2297"/>
      <c r="Q477" s="2297"/>
      <c r="R477" s="99"/>
      <c r="S477" s="99"/>
      <c r="T477" s="99"/>
      <c r="U477" s="99"/>
      <c r="V477" s="99"/>
      <c r="AF477" s="2297"/>
      <c r="AG477" s="1208"/>
      <c r="AH477" s="1208"/>
      <c r="AI477" s="1223"/>
      <c r="AJ477" s="1223"/>
      <c r="AK477" s="1223"/>
      <c r="AL477" s="1223"/>
      <c r="AM477" s="1223"/>
      <c r="AN477" s="1223"/>
      <c r="AO477" s="1208"/>
      <c r="AP477" s="1223"/>
      <c r="AQ477" s="1208"/>
      <c r="AR477" s="1208"/>
      <c r="AS477" s="1223"/>
      <c r="AT477" s="1223"/>
      <c r="AU477" s="1208"/>
      <c r="AV477" s="1208"/>
      <c r="AW477" s="2297"/>
      <c r="BE477" s="1224"/>
      <c r="BF477" s="1225"/>
      <c r="BR477" s="1224"/>
      <c r="BS477" s="1224"/>
    </row>
    <row r="478" spans="2:71" s="491" customFormat="1">
      <c r="B478" s="2297"/>
      <c r="C478" s="2297"/>
      <c r="D478" s="2297"/>
      <c r="E478" s="2297"/>
      <c r="F478" s="2297"/>
      <c r="G478" s="2297"/>
      <c r="H478" s="2297"/>
      <c r="I478" s="2297"/>
      <c r="J478" s="2297"/>
      <c r="K478" s="2297"/>
      <c r="L478" s="2297"/>
      <c r="M478" s="2297"/>
      <c r="N478" s="2297"/>
      <c r="O478" s="2297"/>
      <c r="P478" s="2297"/>
      <c r="Q478" s="2297"/>
      <c r="R478" s="99"/>
      <c r="S478" s="99"/>
      <c r="T478" s="99"/>
      <c r="U478" s="99"/>
      <c r="V478" s="99"/>
      <c r="AF478" s="2297"/>
      <c r="AG478" s="1208"/>
      <c r="AH478" s="1208"/>
      <c r="AI478" s="1223"/>
      <c r="AJ478" s="1223"/>
      <c r="AK478" s="1223"/>
      <c r="AL478" s="1223"/>
      <c r="AM478" s="1223"/>
      <c r="AN478" s="1223"/>
      <c r="AO478" s="1208"/>
      <c r="AP478" s="1223"/>
      <c r="AQ478" s="1208"/>
      <c r="AR478" s="1208"/>
      <c r="AS478" s="1223"/>
      <c r="AT478" s="1223"/>
      <c r="AU478" s="1208"/>
      <c r="AV478" s="1208"/>
      <c r="AW478" s="2297"/>
      <c r="BE478" s="1224"/>
      <c r="BF478" s="1225"/>
      <c r="BR478" s="1224"/>
      <c r="BS478" s="1224"/>
    </row>
    <row r="479" spans="2:71" s="491" customFormat="1">
      <c r="B479" s="2297"/>
      <c r="C479" s="2297"/>
      <c r="D479" s="2297"/>
      <c r="E479" s="2297"/>
      <c r="F479" s="2297"/>
      <c r="G479" s="2297"/>
      <c r="H479" s="2297"/>
      <c r="I479" s="2297"/>
      <c r="J479" s="2297"/>
      <c r="K479" s="2297"/>
      <c r="L479" s="2297"/>
      <c r="M479" s="2297"/>
      <c r="N479" s="2297"/>
      <c r="O479" s="2297"/>
      <c r="P479" s="2297"/>
      <c r="Q479" s="2297"/>
      <c r="R479" s="99"/>
      <c r="S479" s="99"/>
      <c r="T479" s="99"/>
      <c r="U479" s="99"/>
      <c r="V479" s="99"/>
      <c r="AF479" s="2297"/>
      <c r="AG479" s="1208"/>
      <c r="AH479" s="1208"/>
      <c r="AI479" s="1223"/>
      <c r="AJ479" s="1223"/>
      <c r="AK479" s="1223"/>
      <c r="AL479" s="1223"/>
      <c r="AM479" s="1223"/>
      <c r="AN479" s="1223"/>
      <c r="AO479" s="1208"/>
      <c r="AP479" s="1223"/>
      <c r="AQ479" s="1208"/>
      <c r="AR479" s="1208"/>
      <c r="AS479" s="1223"/>
      <c r="AT479" s="1223"/>
      <c r="AU479" s="1208"/>
      <c r="AV479" s="1208"/>
      <c r="AW479" s="2297"/>
      <c r="BE479" s="1224"/>
      <c r="BF479" s="1225"/>
      <c r="BR479" s="1224"/>
      <c r="BS479" s="1224"/>
    </row>
    <row r="480" spans="2:71" s="491" customFormat="1">
      <c r="B480" s="2297"/>
      <c r="C480" s="2297"/>
      <c r="D480" s="2297"/>
      <c r="E480" s="2297"/>
      <c r="F480" s="2297"/>
      <c r="G480" s="2297"/>
      <c r="H480" s="2297"/>
      <c r="I480" s="2297"/>
      <c r="J480" s="2297"/>
      <c r="K480" s="2297"/>
      <c r="L480" s="2297"/>
      <c r="M480" s="2297"/>
      <c r="N480" s="2297"/>
      <c r="O480" s="2297"/>
      <c r="P480" s="2297"/>
      <c r="Q480" s="2297"/>
      <c r="R480" s="99"/>
      <c r="S480" s="99"/>
      <c r="T480" s="99"/>
      <c r="U480" s="99"/>
      <c r="V480" s="99"/>
      <c r="AF480" s="2297"/>
      <c r="AG480" s="1208"/>
      <c r="AH480" s="1208"/>
      <c r="AI480" s="1223"/>
      <c r="AJ480" s="1223"/>
      <c r="AK480" s="1223"/>
      <c r="AL480" s="1223"/>
      <c r="AM480" s="1223"/>
      <c r="AN480" s="1223"/>
      <c r="AO480" s="1208"/>
      <c r="AP480" s="1223"/>
      <c r="AQ480" s="1208"/>
      <c r="AR480" s="1208"/>
      <c r="AS480" s="1223"/>
      <c r="AT480" s="1223"/>
      <c r="AU480" s="1208"/>
      <c r="AV480" s="1208"/>
      <c r="AW480" s="2297"/>
      <c r="BE480" s="1224"/>
      <c r="BF480" s="1225"/>
      <c r="BR480" s="1224"/>
      <c r="BS480" s="1224"/>
    </row>
    <row r="481" spans="2:71" s="491" customFormat="1">
      <c r="B481" s="2297"/>
      <c r="C481" s="2297"/>
      <c r="D481" s="2297"/>
      <c r="E481" s="2297"/>
      <c r="F481" s="2297"/>
      <c r="G481" s="2297"/>
      <c r="H481" s="2297"/>
      <c r="I481" s="2297"/>
      <c r="J481" s="2297"/>
      <c r="K481" s="2297"/>
      <c r="L481" s="2297"/>
      <c r="M481" s="2297"/>
      <c r="N481" s="2297"/>
      <c r="O481" s="2297"/>
      <c r="P481" s="2297"/>
      <c r="Q481" s="2297"/>
      <c r="R481" s="99"/>
      <c r="S481" s="99"/>
      <c r="T481" s="99"/>
      <c r="U481" s="99"/>
      <c r="V481" s="99"/>
      <c r="AF481" s="2297"/>
      <c r="AG481" s="1208"/>
      <c r="AH481" s="1208"/>
      <c r="AI481" s="1223"/>
      <c r="AJ481" s="1223"/>
      <c r="AK481" s="1223"/>
      <c r="AL481" s="1223"/>
      <c r="AM481" s="1223"/>
      <c r="AN481" s="1223"/>
      <c r="AO481" s="1208"/>
      <c r="AP481" s="1223"/>
      <c r="AQ481" s="1208"/>
      <c r="AR481" s="1208"/>
      <c r="AS481" s="1223"/>
      <c r="AT481" s="1223"/>
      <c r="AU481" s="1208"/>
      <c r="AV481" s="1208"/>
      <c r="AW481" s="2297"/>
      <c r="BE481" s="1224"/>
      <c r="BF481" s="1225"/>
      <c r="BR481" s="1224"/>
      <c r="BS481" s="1224"/>
    </row>
    <row r="482" spans="2:71" s="491" customFormat="1">
      <c r="B482" s="2297"/>
      <c r="C482" s="2297"/>
      <c r="D482" s="2297"/>
      <c r="E482" s="2297"/>
      <c r="F482" s="2297"/>
      <c r="G482" s="2297"/>
      <c r="H482" s="2297"/>
      <c r="I482" s="2297"/>
      <c r="J482" s="2297"/>
      <c r="K482" s="2297"/>
      <c r="L482" s="2297"/>
      <c r="M482" s="2297"/>
      <c r="N482" s="2297"/>
      <c r="O482" s="2297"/>
      <c r="P482" s="2297"/>
      <c r="Q482" s="2297"/>
      <c r="R482" s="99"/>
      <c r="S482" s="99"/>
      <c r="T482" s="99"/>
      <c r="U482" s="99"/>
      <c r="V482" s="99"/>
      <c r="AF482" s="2297"/>
      <c r="AG482" s="1208"/>
      <c r="AH482" s="1208"/>
      <c r="AI482" s="1223"/>
      <c r="AJ482" s="1223"/>
      <c r="AK482" s="1223"/>
      <c r="AL482" s="1223"/>
      <c r="AM482" s="1223"/>
      <c r="AN482" s="1223"/>
      <c r="AO482" s="1208"/>
      <c r="AP482" s="1223"/>
      <c r="AQ482" s="1208"/>
      <c r="AR482" s="1208"/>
      <c r="AS482" s="1223"/>
      <c r="AT482" s="1223"/>
      <c r="AU482" s="1208"/>
      <c r="AV482" s="1208"/>
      <c r="AW482" s="2297"/>
      <c r="BE482" s="1224"/>
      <c r="BF482" s="1225"/>
      <c r="BR482" s="1224"/>
      <c r="BS482" s="1224"/>
    </row>
    <row r="483" spans="2:71" s="491" customFormat="1">
      <c r="B483" s="2297"/>
      <c r="C483" s="2297"/>
      <c r="D483" s="2297"/>
      <c r="E483" s="2297"/>
      <c r="F483" s="2297"/>
      <c r="G483" s="2297"/>
      <c r="H483" s="2297"/>
      <c r="I483" s="2297"/>
      <c r="J483" s="2297"/>
      <c r="K483" s="2297"/>
      <c r="L483" s="2297"/>
      <c r="M483" s="2297"/>
      <c r="N483" s="2297"/>
      <c r="O483" s="2297"/>
      <c r="P483" s="2297"/>
      <c r="Q483" s="2297"/>
      <c r="R483" s="99"/>
      <c r="S483" s="99"/>
      <c r="T483" s="99"/>
      <c r="U483" s="99"/>
      <c r="V483" s="99"/>
      <c r="AF483" s="2297"/>
      <c r="AG483" s="1208"/>
      <c r="AH483" s="1208"/>
      <c r="AI483" s="1223"/>
      <c r="AJ483" s="1223"/>
      <c r="AK483" s="1223"/>
      <c r="AL483" s="1223"/>
      <c r="AM483" s="1223"/>
      <c r="AN483" s="1223"/>
      <c r="AO483" s="1208"/>
      <c r="AP483" s="1223"/>
      <c r="AQ483" s="1208"/>
      <c r="AR483" s="1208"/>
      <c r="AS483" s="1223"/>
      <c r="AT483" s="1223"/>
      <c r="AU483" s="1208"/>
      <c r="AV483" s="1208"/>
      <c r="AW483" s="2297"/>
      <c r="BE483" s="1224"/>
      <c r="BF483" s="1225"/>
      <c r="BR483" s="1224"/>
      <c r="BS483" s="1224"/>
    </row>
    <row r="484" spans="2:71" s="491" customFormat="1">
      <c r="B484" s="2297"/>
      <c r="C484" s="2297"/>
      <c r="D484" s="2297"/>
      <c r="E484" s="2297"/>
      <c r="F484" s="2297"/>
      <c r="G484" s="2297"/>
      <c r="H484" s="2297"/>
      <c r="I484" s="2297"/>
      <c r="J484" s="2297"/>
      <c r="K484" s="2297"/>
      <c r="L484" s="2297"/>
      <c r="M484" s="2297"/>
      <c r="N484" s="2297"/>
      <c r="O484" s="2297"/>
      <c r="P484" s="2297"/>
      <c r="Q484" s="2297"/>
      <c r="R484" s="99"/>
      <c r="S484" s="99"/>
      <c r="T484" s="99"/>
      <c r="U484" s="99"/>
      <c r="V484" s="99"/>
      <c r="AF484" s="2297"/>
      <c r="AG484" s="1208"/>
      <c r="AH484" s="1208"/>
      <c r="AI484" s="1223"/>
      <c r="AJ484" s="1223"/>
      <c r="AK484" s="1223"/>
      <c r="AL484" s="1223"/>
      <c r="AM484" s="1223"/>
      <c r="AN484" s="1223"/>
      <c r="AO484" s="1208"/>
      <c r="AP484" s="1223"/>
      <c r="AQ484" s="1208"/>
      <c r="AR484" s="1208"/>
      <c r="AS484" s="1223"/>
      <c r="AT484" s="1223"/>
      <c r="AU484" s="1208"/>
      <c r="AV484" s="1208"/>
      <c r="AW484" s="2297"/>
      <c r="BE484" s="1224"/>
      <c r="BF484" s="1225"/>
      <c r="BR484" s="1224"/>
      <c r="BS484" s="1224"/>
    </row>
    <row r="485" spans="2:71" s="491" customFormat="1">
      <c r="B485" s="2297"/>
      <c r="C485" s="2297"/>
      <c r="D485" s="2297"/>
      <c r="E485" s="2297"/>
      <c r="F485" s="2297"/>
      <c r="G485" s="2297"/>
      <c r="H485" s="2297"/>
      <c r="I485" s="2297"/>
      <c r="J485" s="2297"/>
      <c r="K485" s="2297"/>
      <c r="L485" s="2297"/>
      <c r="M485" s="2297"/>
      <c r="N485" s="2297"/>
      <c r="O485" s="2297"/>
      <c r="P485" s="2297"/>
      <c r="Q485" s="2297"/>
      <c r="R485" s="99"/>
      <c r="S485" s="99"/>
      <c r="T485" s="99"/>
      <c r="U485" s="99"/>
      <c r="V485" s="99"/>
      <c r="AF485" s="2297"/>
      <c r="AG485" s="1208"/>
      <c r="AH485" s="1208"/>
      <c r="AI485" s="1223"/>
      <c r="AJ485" s="1223"/>
      <c r="AK485" s="1223"/>
      <c r="AL485" s="1223"/>
      <c r="AM485" s="1223"/>
      <c r="AN485" s="1223"/>
      <c r="AO485" s="1208"/>
      <c r="AP485" s="1223"/>
      <c r="AQ485" s="1208"/>
      <c r="AR485" s="1208"/>
      <c r="AS485" s="1223"/>
      <c r="AT485" s="1223"/>
      <c r="AU485" s="1208"/>
      <c r="AV485" s="1208"/>
      <c r="AW485" s="2297"/>
      <c r="BE485" s="1224"/>
      <c r="BF485" s="1225"/>
      <c r="BR485" s="1224"/>
      <c r="BS485" s="1224"/>
    </row>
    <row r="486" spans="2:71" s="491" customFormat="1">
      <c r="B486" s="2297"/>
      <c r="C486" s="2297"/>
      <c r="D486" s="2297"/>
      <c r="E486" s="2297"/>
      <c r="F486" s="2297"/>
      <c r="G486" s="2297"/>
      <c r="H486" s="2297"/>
      <c r="I486" s="2297"/>
      <c r="J486" s="2297"/>
      <c r="K486" s="2297"/>
      <c r="L486" s="2297"/>
      <c r="M486" s="2297"/>
      <c r="N486" s="2297"/>
      <c r="O486" s="2297"/>
      <c r="P486" s="2297"/>
      <c r="Q486" s="2297"/>
      <c r="R486" s="99"/>
      <c r="S486" s="99"/>
      <c r="T486" s="99"/>
      <c r="U486" s="99"/>
      <c r="V486" s="99"/>
      <c r="AF486" s="2297"/>
      <c r="AG486" s="1208"/>
      <c r="AH486" s="1208"/>
      <c r="AI486" s="1223"/>
      <c r="AJ486" s="1223"/>
      <c r="AK486" s="1223"/>
      <c r="AL486" s="1223"/>
      <c r="AM486" s="1223"/>
      <c r="AN486" s="1223"/>
      <c r="AO486" s="1208"/>
      <c r="AP486" s="1223"/>
      <c r="AQ486" s="1208"/>
      <c r="AR486" s="1208"/>
      <c r="AS486" s="1223"/>
      <c r="AT486" s="1223"/>
      <c r="AU486" s="1208"/>
      <c r="AV486" s="1208"/>
      <c r="AW486" s="2297"/>
      <c r="BE486" s="1224"/>
      <c r="BF486" s="1225"/>
      <c r="BR486" s="1224"/>
      <c r="BS486" s="1224"/>
    </row>
    <row r="487" spans="2:71" s="491" customFormat="1">
      <c r="B487" s="2297"/>
      <c r="C487" s="2297"/>
      <c r="D487" s="2297"/>
      <c r="E487" s="2297"/>
      <c r="F487" s="2297"/>
      <c r="G487" s="2297"/>
      <c r="H487" s="2297"/>
      <c r="I487" s="2297"/>
      <c r="J487" s="2297"/>
      <c r="K487" s="2297"/>
      <c r="L487" s="2297"/>
      <c r="M487" s="2297"/>
      <c r="N487" s="2297"/>
      <c r="O487" s="2297"/>
      <c r="P487" s="2297"/>
      <c r="Q487" s="2297"/>
      <c r="R487" s="99"/>
      <c r="S487" s="99"/>
      <c r="T487" s="99"/>
      <c r="U487" s="99"/>
      <c r="V487" s="99"/>
      <c r="AF487" s="2297"/>
      <c r="AG487" s="1208"/>
      <c r="AH487" s="1208"/>
      <c r="AI487" s="1223"/>
      <c r="AJ487" s="1223"/>
      <c r="AK487" s="1223"/>
      <c r="AL487" s="1223"/>
      <c r="AM487" s="1223"/>
      <c r="AN487" s="1223"/>
      <c r="AO487" s="1208"/>
      <c r="AP487" s="1223"/>
      <c r="AQ487" s="1208"/>
      <c r="AR487" s="1208"/>
      <c r="AS487" s="1223"/>
      <c r="AT487" s="1223"/>
      <c r="AU487" s="1208"/>
      <c r="AV487" s="1208"/>
      <c r="AW487" s="2297"/>
      <c r="BE487" s="1224"/>
      <c r="BF487" s="1225"/>
      <c r="BR487" s="1224"/>
      <c r="BS487" s="1224"/>
    </row>
    <row r="488" spans="2:71" s="491" customFormat="1">
      <c r="B488" s="2297"/>
      <c r="C488" s="2297"/>
      <c r="D488" s="2297"/>
      <c r="E488" s="2297"/>
      <c r="F488" s="2297"/>
      <c r="G488" s="2297"/>
      <c r="H488" s="2297"/>
      <c r="I488" s="2297"/>
      <c r="J488" s="2297"/>
      <c r="K488" s="2297"/>
      <c r="L488" s="2297"/>
      <c r="M488" s="2297"/>
      <c r="N488" s="2297"/>
      <c r="O488" s="2297"/>
      <c r="P488" s="2297"/>
      <c r="Q488" s="2297"/>
      <c r="R488" s="99"/>
      <c r="S488" s="99"/>
      <c r="T488" s="99"/>
      <c r="U488" s="99"/>
      <c r="V488" s="99"/>
      <c r="AF488" s="2297"/>
      <c r="AG488" s="1208"/>
      <c r="AH488" s="1208"/>
      <c r="AI488" s="1223"/>
      <c r="AJ488" s="1223"/>
      <c r="AK488" s="1223"/>
      <c r="AL488" s="1223"/>
      <c r="AM488" s="1223"/>
      <c r="AN488" s="1223"/>
      <c r="AO488" s="1208"/>
      <c r="AP488" s="1223"/>
      <c r="AQ488" s="1208"/>
      <c r="AR488" s="1208"/>
      <c r="AS488" s="1223"/>
      <c r="AT488" s="1223"/>
      <c r="AU488" s="1208"/>
      <c r="AV488" s="1208"/>
      <c r="AW488" s="2297"/>
      <c r="BE488" s="1224"/>
      <c r="BF488" s="1225"/>
      <c r="BR488" s="1224"/>
      <c r="BS488" s="1224"/>
    </row>
    <row r="489" spans="2:71" s="491" customFormat="1">
      <c r="B489" s="2297"/>
      <c r="C489" s="2297"/>
      <c r="D489" s="2297"/>
      <c r="E489" s="2297"/>
      <c r="F489" s="2297"/>
      <c r="G489" s="2297"/>
      <c r="H489" s="2297"/>
      <c r="I489" s="2297"/>
      <c r="J489" s="2297"/>
      <c r="K489" s="2297"/>
      <c r="L489" s="2297"/>
      <c r="M489" s="2297"/>
      <c r="N489" s="2297"/>
      <c r="O489" s="2297"/>
      <c r="P489" s="2297"/>
      <c r="Q489" s="2297"/>
      <c r="R489" s="99"/>
      <c r="S489" s="99"/>
      <c r="T489" s="99"/>
      <c r="U489" s="99"/>
      <c r="V489" s="99"/>
      <c r="AF489" s="2297"/>
      <c r="AG489" s="1208"/>
      <c r="AH489" s="1208"/>
      <c r="AI489" s="1223"/>
      <c r="AJ489" s="1223"/>
      <c r="AK489" s="1223"/>
      <c r="AL489" s="1223"/>
      <c r="AM489" s="1223"/>
      <c r="AN489" s="1223"/>
      <c r="AO489" s="1208"/>
      <c r="AP489" s="1223"/>
      <c r="AQ489" s="1208"/>
      <c r="AR489" s="1208"/>
      <c r="AS489" s="1223"/>
      <c r="AT489" s="1223"/>
      <c r="AU489" s="1208"/>
      <c r="AV489" s="1208"/>
      <c r="AW489" s="2297"/>
      <c r="BE489" s="1224"/>
      <c r="BF489" s="1225"/>
      <c r="BR489" s="1224"/>
      <c r="BS489" s="1224"/>
    </row>
    <row r="490" spans="2:71" s="491" customFormat="1">
      <c r="B490" s="2297"/>
      <c r="C490" s="2297"/>
      <c r="D490" s="2297"/>
      <c r="E490" s="2297"/>
      <c r="F490" s="2297"/>
      <c r="G490" s="2297"/>
      <c r="H490" s="2297"/>
      <c r="I490" s="2297"/>
      <c r="J490" s="2297"/>
      <c r="K490" s="2297"/>
      <c r="L490" s="2297"/>
      <c r="M490" s="2297"/>
      <c r="N490" s="2297"/>
      <c r="O490" s="2297"/>
      <c r="P490" s="2297"/>
      <c r="Q490" s="2297"/>
      <c r="R490" s="99"/>
      <c r="S490" s="99"/>
      <c r="T490" s="99"/>
      <c r="U490" s="99"/>
      <c r="V490" s="99"/>
      <c r="AF490" s="2297"/>
      <c r="AG490" s="1208"/>
      <c r="AH490" s="1208"/>
      <c r="AI490" s="1223"/>
      <c r="AJ490" s="1223"/>
      <c r="AK490" s="1223"/>
      <c r="AL490" s="1223"/>
      <c r="AM490" s="1223"/>
      <c r="AN490" s="1223"/>
      <c r="AO490" s="1208"/>
      <c r="AP490" s="1223"/>
      <c r="AQ490" s="1208"/>
      <c r="AR490" s="1208"/>
      <c r="AS490" s="1223"/>
      <c r="AT490" s="1223"/>
      <c r="AU490" s="1208"/>
      <c r="AV490" s="1208"/>
      <c r="AW490" s="2297"/>
      <c r="BE490" s="1224"/>
      <c r="BF490" s="1225"/>
      <c r="BR490" s="1224"/>
      <c r="BS490" s="1224"/>
    </row>
    <row r="491" spans="2:71" s="491" customFormat="1">
      <c r="B491" s="2297"/>
      <c r="C491" s="2297"/>
      <c r="D491" s="2297"/>
      <c r="E491" s="2297"/>
      <c r="F491" s="2297"/>
      <c r="G491" s="2297"/>
      <c r="H491" s="2297"/>
      <c r="I491" s="2297"/>
      <c r="J491" s="2297"/>
      <c r="K491" s="2297"/>
      <c r="L491" s="2297"/>
      <c r="M491" s="2297"/>
      <c r="N491" s="2297"/>
      <c r="O491" s="2297"/>
      <c r="P491" s="2297"/>
      <c r="Q491" s="2297"/>
      <c r="R491" s="99"/>
      <c r="S491" s="99"/>
      <c r="T491" s="99"/>
      <c r="U491" s="99"/>
      <c r="V491" s="99"/>
      <c r="AF491" s="2297"/>
      <c r="AG491" s="1208"/>
      <c r="AH491" s="1208"/>
      <c r="AI491" s="1223"/>
      <c r="AJ491" s="1223"/>
      <c r="AK491" s="1223"/>
      <c r="AL491" s="1223"/>
      <c r="AM491" s="1223"/>
      <c r="AN491" s="1223"/>
      <c r="AO491" s="1208"/>
      <c r="AP491" s="1223"/>
      <c r="AQ491" s="1208"/>
      <c r="AR491" s="1208"/>
      <c r="AS491" s="1223"/>
      <c r="AT491" s="1223"/>
      <c r="AU491" s="1208"/>
      <c r="AV491" s="1208"/>
      <c r="AW491" s="2297"/>
      <c r="BE491" s="1224"/>
      <c r="BF491" s="1225"/>
      <c r="BR491" s="1224"/>
      <c r="BS491" s="1224"/>
    </row>
    <row r="492" spans="2:71" s="491" customFormat="1">
      <c r="B492" s="2297"/>
      <c r="C492" s="2297"/>
      <c r="D492" s="2297"/>
      <c r="E492" s="2297"/>
      <c r="F492" s="2297"/>
      <c r="G492" s="2297"/>
      <c r="H492" s="2297"/>
      <c r="I492" s="2297"/>
      <c r="J492" s="2297"/>
      <c r="K492" s="2297"/>
      <c r="L492" s="2297"/>
      <c r="M492" s="2297"/>
      <c r="N492" s="2297"/>
      <c r="O492" s="2297"/>
      <c r="P492" s="2297"/>
      <c r="Q492" s="2297"/>
      <c r="R492" s="99"/>
      <c r="S492" s="99"/>
      <c r="T492" s="99"/>
      <c r="U492" s="99"/>
      <c r="V492" s="99"/>
      <c r="AF492" s="2297"/>
      <c r="AG492" s="1208"/>
      <c r="AH492" s="1208"/>
      <c r="AI492" s="1223"/>
      <c r="AJ492" s="1223"/>
      <c r="AK492" s="1223"/>
      <c r="AL492" s="1223"/>
      <c r="AM492" s="1223"/>
      <c r="AN492" s="1223"/>
      <c r="AO492" s="1208"/>
      <c r="AP492" s="1223"/>
      <c r="AQ492" s="1208"/>
      <c r="AR492" s="1208"/>
      <c r="AS492" s="1223"/>
      <c r="AT492" s="1223"/>
      <c r="AU492" s="1208"/>
      <c r="AV492" s="1208"/>
      <c r="AW492" s="2297"/>
      <c r="BE492" s="1224"/>
      <c r="BF492" s="1225"/>
      <c r="BR492" s="1224"/>
      <c r="BS492" s="1224"/>
    </row>
    <row r="493" spans="2:71" s="491" customFormat="1">
      <c r="B493" s="2297"/>
      <c r="C493" s="2297"/>
      <c r="D493" s="2297"/>
      <c r="E493" s="2297"/>
      <c r="F493" s="2297"/>
      <c r="G493" s="2297"/>
      <c r="H493" s="2297"/>
      <c r="I493" s="2297"/>
      <c r="J493" s="2297"/>
      <c r="K493" s="2297"/>
      <c r="L493" s="2297"/>
      <c r="M493" s="2297"/>
      <c r="N493" s="2297"/>
      <c r="O493" s="2297"/>
      <c r="P493" s="2297"/>
      <c r="Q493" s="2297"/>
      <c r="R493" s="99"/>
      <c r="S493" s="99"/>
      <c r="T493" s="99"/>
      <c r="U493" s="99"/>
      <c r="V493" s="99"/>
      <c r="AF493" s="2297"/>
      <c r="AG493" s="1208"/>
      <c r="AH493" s="1208"/>
      <c r="AI493" s="1223"/>
      <c r="AJ493" s="1223"/>
      <c r="AK493" s="1223"/>
      <c r="AL493" s="1223"/>
      <c r="AM493" s="1223"/>
      <c r="AN493" s="1223"/>
      <c r="AO493" s="1208"/>
      <c r="AP493" s="1223"/>
      <c r="AQ493" s="1208"/>
      <c r="AR493" s="1208"/>
      <c r="AS493" s="1223"/>
      <c r="AT493" s="1223"/>
      <c r="AU493" s="1208"/>
      <c r="AV493" s="1208"/>
      <c r="AW493" s="2297"/>
      <c r="BE493" s="1224"/>
      <c r="BF493" s="1225"/>
      <c r="BR493" s="1224"/>
      <c r="BS493" s="1224"/>
    </row>
    <row r="494" spans="2:71" s="491" customFormat="1">
      <c r="B494" s="2297"/>
      <c r="C494" s="2297"/>
      <c r="D494" s="2297"/>
      <c r="E494" s="2297"/>
      <c r="F494" s="2297"/>
      <c r="G494" s="2297"/>
      <c r="H494" s="2297"/>
      <c r="I494" s="2297"/>
      <c r="J494" s="2297"/>
      <c r="K494" s="2297"/>
      <c r="L494" s="2297"/>
      <c r="M494" s="2297"/>
      <c r="N494" s="2297"/>
      <c r="O494" s="2297"/>
      <c r="P494" s="2297"/>
      <c r="Q494" s="2297"/>
      <c r="R494" s="99"/>
      <c r="S494" s="99"/>
      <c r="T494" s="99"/>
      <c r="U494" s="99"/>
      <c r="V494" s="99"/>
      <c r="AF494" s="2297"/>
      <c r="AG494" s="1208"/>
      <c r="AH494" s="1208"/>
      <c r="AI494" s="1223"/>
      <c r="AJ494" s="1223"/>
      <c r="AK494" s="1223"/>
      <c r="AL494" s="1223"/>
      <c r="AM494" s="1223"/>
      <c r="AN494" s="1223"/>
      <c r="AO494" s="1208"/>
      <c r="AP494" s="1223"/>
      <c r="AQ494" s="1208"/>
      <c r="AR494" s="1208"/>
      <c r="AS494" s="1223"/>
      <c r="AT494" s="1223"/>
      <c r="AU494" s="1208"/>
      <c r="AV494" s="1208"/>
      <c r="AW494" s="2297"/>
      <c r="BE494" s="1224"/>
      <c r="BF494" s="1225"/>
      <c r="BR494" s="1224"/>
      <c r="BS494" s="1224"/>
    </row>
    <row r="495" spans="2:71" s="491" customFormat="1">
      <c r="B495" s="2297"/>
      <c r="C495" s="2297"/>
      <c r="D495" s="2297"/>
      <c r="E495" s="2297"/>
      <c r="F495" s="2297"/>
      <c r="G495" s="2297"/>
      <c r="H495" s="2297"/>
      <c r="I495" s="2297"/>
      <c r="J495" s="2297"/>
      <c r="K495" s="2297"/>
      <c r="L495" s="2297"/>
      <c r="M495" s="2297"/>
      <c r="N495" s="2297"/>
      <c r="O495" s="2297"/>
      <c r="P495" s="2297"/>
      <c r="Q495" s="2297"/>
      <c r="R495" s="99"/>
      <c r="S495" s="99"/>
      <c r="T495" s="99"/>
      <c r="U495" s="99"/>
      <c r="V495" s="99"/>
      <c r="AF495" s="2297"/>
      <c r="AG495" s="1208"/>
      <c r="AH495" s="1208"/>
      <c r="AI495" s="1223"/>
      <c r="AJ495" s="1223"/>
      <c r="AK495" s="1223"/>
      <c r="AL495" s="1223"/>
      <c r="AM495" s="1223"/>
      <c r="AN495" s="1223"/>
      <c r="AO495" s="1208"/>
      <c r="AP495" s="1223"/>
      <c r="AQ495" s="1208"/>
      <c r="AR495" s="1208"/>
      <c r="AS495" s="1223"/>
      <c r="AT495" s="1223"/>
      <c r="AU495" s="1208"/>
      <c r="AV495" s="1208"/>
      <c r="AW495" s="2297"/>
      <c r="BE495" s="1224"/>
      <c r="BF495" s="1225"/>
      <c r="BR495" s="1224"/>
      <c r="BS495" s="1224"/>
    </row>
    <row r="496" spans="2:71" s="491" customFormat="1">
      <c r="B496" s="2297"/>
      <c r="C496" s="2297"/>
      <c r="D496" s="2297"/>
      <c r="E496" s="2297"/>
      <c r="F496" s="2297"/>
      <c r="G496" s="2297"/>
      <c r="H496" s="2297"/>
      <c r="I496" s="2297"/>
      <c r="J496" s="2297"/>
      <c r="K496" s="2297"/>
      <c r="L496" s="2297"/>
      <c r="M496" s="2297"/>
      <c r="N496" s="2297"/>
      <c r="O496" s="2297"/>
      <c r="P496" s="2297"/>
      <c r="Q496" s="2297"/>
      <c r="R496" s="99"/>
      <c r="S496" s="99"/>
      <c r="T496" s="99"/>
      <c r="U496" s="99"/>
      <c r="V496" s="99"/>
      <c r="AF496" s="2297"/>
      <c r="AG496" s="1208"/>
      <c r="AH496" s="1208"/>
      <c r="AI496" s="1223"/>
      <c r="AJ496" s="1223"/>
      <c r="AK496" s="1223"/>
      <c r="AL496" s="1223"/>
      <c r="AM496" s="1223"/>
      <c r="AN496" s="1223"/>
      <c r="AO496" s="1208"/>
      <c r="AP496" s="1223"/>
      <c r="AQ496" s="1208"/>
      <c r="AR496" s="1208"/>
      <c r="AS496" s="1223"/>
      <c r="AT496" s="1223"/>
      <c r="AU496" s="1208"/>
      <c r="AV496" s="1208"/>
      <c r="AW496" s="2297"/>
      <c r="BE496" s="1224"/>
      <c r="BF496" s="1225"/>
      <c r="BR496" s="1224"/>
      <c r="BS496" s="1224"/>
    </row>
    <row r="497" spans="2:71" s="491" customFormat="1">
      <c r="B497" s="2297"/>
      <c r="C497" s="2297"/>
      <c r="D497" s="2297"/>
      <c r="E497" s="2297"/>
      <c r="F497" s="2297"/>
      <c r="G497" s="2297"/>
      <c r="H497" s="2297"/>
      <c r="I497" s="2297"/>
      <c r="J497" s="2297"/>
      <c r="K497" s="2297"/>
      <c r="L497" s="2297"/>
      <c r="M497" s="2297"/>
      <c r="N497" s="2297"/>
      <c r="O497" s="2297"/>
      <c r="P497" s="2297"/>
      <c r="Q497" s="2297"/>
      <c r="R497" s="99"/>
      <c r="S497" s="99"/>
      <c r="T497" s="99"/>
      <c r="U497" s="99"/>
      <c r="V497" s="99"/>
      <c r="AF497" s="2297"/>
      <c r="AG497" s="1208"/>
      <c r="AH497" s="1208"/>
      <c r="AI497" s="1223"/>
      <c r="AJ497" s="1223"/>
      <c r="AK497" s="1223"/>
      <c r="AL497" s="1223"/>
      <c r="AM497" s="1223"/>
      <c r="AN497" s="1223"/>
      <c r="AO497" s="1208"/>
      <c r="AP497" s="1223"/>
      <c r="AQ497" s="1208"/>
      <c r="AR497" s="1208"/>
      <c r="AS497" s="1223"/>
      <c r="AT497" s="1223"/>
      <c r="AU497" s="1208"/>
      <c r="AV497" s="1208"/>
      <c r="AW497" s="2297"/>
      <c r="BE497" s="1224"/>
      <c r="BF497" s="1225"/>
      <c r="BR497" s="1224"/>
      <c r="BS497" s="1224"/>
    </row>
    <row r="498" spans="2:71" s="491" customFormat="1">
      <c r="B498" s="2297"/>
      <c r="C498" s="2297"/>
      <c r="D498" s="2297"/>
      <c r="E498" s="2297"/>
      <c r="F498" s="2297"/>
      <c r="G498" s="2297"/>
      <c r="H498" s="2297"/>
      <c r="I498" s="2297"/>
      <c r="J498" s="2297"/>
      <c r="K498" s="2297"/>
      <c r="L498" s="2297"/>
      <c r="M498" s="2297"/>
      <c r="N498" s="2297"/>
      <c r="O498" s="2297"/>
      <c r="P498" s="2297"/>
      <c r="Q498" s="2297"/>
      <c r="R498" s="99"/>
      <c r="S498" s="99"/>
      <c r="T498" s="99"/>
      <c r="U498" s="99"/>
      <c r="V498" s="99"/>
      <c r="AF498" s="2297"/>
      <c r="AG498" s="1208"/>
      <c r="AH498" s="1208"/>
      <c r="AI498" s="1223"/>
      <c r="AJ498" s="1223"/>
      <c r="AK498" s="1223"/>
      <c r="AL498" s="1223"/>
      <c r="AM498" s="1223"/>
      <c r="AN498" s="1223"/>
      <c r="AO498" s="1208"/>
      <c r="AP498" s="1223"/>
      <c r="AQ498" s="1208"/>
      <c r="AR498" s="1208"/>
      <c r="AS498" s="1223"/>
      <c r="AT498" s="1223"/>
      <c r="AU498" s="1208"/>
      <c r="AV498" s="1208"/>
      <c r="AW498" s="2297"/>
      <c r="BE498" s="1224"/>
      <c r="BF498" s="1225"/>
      <c r="BR498" s="1224"/>
      <c r="BS498" s="1224"/>
    </row>
    <row r="499" spans="2:71" s="491" customFormat="1">
      <c r="B499" s="2297"/>
      <c r="C499" s="2297"/>
      <c r="D499" s="2297"/>
      <c r="E499" s="2297"/>
      <c r="F499" s="2297"/>
      <c r="G499" s="2297"/>
      <c r="H499" s="2297"/>
      <c r="I499" s="2297"/>
      <c r="J499" s="2297"/>
      <c r="K499" s="2297"/>
      <c r="L499" s="2297"/>
      <c r="M499" s="2297"/>
      <c r="N499" s="2297"/>
      <c r="O499" s="2297"/>
      <c r="P499" s="2297"/>
      <c r="Q499" s="2297"/>
      <c r="R499" s="99"/>
      <c r="S499" s="99"/>
      <c r="T499" s="99"/>
      <c r="U499" s="99"/>
      <c r="V499" s="99"/>
      <c r="AF499" s="2297"/>
      <c r="AG499" s="1208"/>
      <c r="AH499" s="1208"/>
      <c r="AI499" s="1223"/>
      <c r="AJ499" s="1223"/>
      <c r="AK499" s="1223"/>
      <c r="AL499" s="1223"/>
      <c r="AM499" s="1223"/>
      <c r="AN499" s="1223"/>
      <c r="AO499" s="1208"/>
      <c r="AP499" s="1223"/>
      <c r="AQ499" s="1208"/>
      <c r="AR499" s="1208"/>
      <c r="AS499" s="1223"/>
      <c r="AT499" s="1223"/>
      <c r="AU499" s="1208"/>
      <c r="AV499" s="1208"/>
      <c r="AW499" s="2297"/>
      <c r="BE499" s="1224"/>
      <c r="BF499" s="1225"/>
      <c r="BR499" s="1224"/>
      <c r="BS499" s="1224"/>
    </row>
    <row r="500" spans="2:71" s="491" customFormat="1">
      <c r="B500" s="2297"/>
      <c r="C500" s="2297"/>
      <c r="D500" s="2297"/>
      <c r="E500" s="2297"/>
      <c r="F500" s="2297"/>
      <c r="G500" s="2297"/>
      <c r="H500" s="2297"/>
      <c r="I500" s="2297"/>
      <c r="J500" s="2297"/>
      <c r="K500" s="2297"/>
      <c r="L500" s="2297"/>
      <c r="M500" s="2297"/>
      <c r="N500" s="2297"/>
      <c r="O500" s="2297"/>
      <c r="P500" s="2297"/>
      <c r="Q500" s="2297"/>
      <c r="R500" s="99"/>
      <c r="S500" s="99"/>
      <c r="T500" s="99"/>
      <c r="U500" s="99"/>
      <c r="V500" s="99"/>
      <c r="AF500" s="2297"/>
      <c r="AG500" s="1208"/>
      <c r="AH500" s="1208"/>
      <c r="AI500" s="1223"/>
      <c r="AJ500" s="1223"/>
      <c r="AK500" s="1223"/>
      <c r="AL500" s="1223"/>
      <c r="AM500" s="1223"/>
      <c r="AN500" s="1223"/>
      <c r="AO500" s="1208"/>
      <c r="AP500" s="1223"/>
      <c r="AQ500" s="1208"/>
      <c r="AR500" s="1208"/>
      <c r="AS500" s="1223"/>
      <c r="AT500" s="1223"/>
      <c r="AU500" s="1208"/>
      <c r="AV500" s="1208"/>
      <c r="AW500" s="2297"/>
      <c r="BE500" s="1224"/>
      <c r="BF500" s="1225"/>
      <c r="BR500" s="1224"/>
      <c r="BS500" s="1224"/>
    </row>
    <row r="501" spans="2:71" s="491" customFormat="1">
      <c r="B501" s="2297"/>
      <c r="C501" s="2297"/>
      <c r="D501" s="2297"/>
      <c r="E501" s="2297"/>
      <c r="F501" s="2297"/>
      <c r="G501" s="2297"/>
      <c r="H501" s="2297"/>
      <c r="I501" s="2297"/>
      <c r="J501" s="2297"/>
      <c r="K501" s="2297"/>
      <c r="L501" s="2297"/>
      <c r="M501" s="2297"/>
      <c r="N501" s="2297"/>
      <c r="O501" s="2297"/>
      <c r="P501" s="2297"/>
      <c r="Q501" s="2297"/>
      <c r="R501" s="99"/>
      <c r="S501" s="99"/>
      <c r="T501" s="99"/>
      <c r="U501" s="99"/>
      <c r="V501" s="99"/>
      <c r="AF501" s="2297"/>
      <c r="AG501" s="1208"/>
      <c r="AH501" s="1208"/>
      <c r="AI501" s="1223"/>
      <c r="AJ501" s="1223"/>
      <c r="AK501" s="1223"/>
      <c r="AL501" s="1223"/>
      <c r="AM501" s="1223"/>
      <c r="AN501" s="1223"/>
      <c r="AO501" s="1208"/>
      <c r="AP501" s="1223"/>
      <c r="AQ501" s="1208"/>
      <c r="AR501" s="1208"/>
      <c r="AS501" s="1223"/>
      <c r="AT501" s="1223"/>
      <c r="AU501" s="1208"/>
      <c r="AV501" s="1208"/>
      <c r="AW501" s="2297"/>
      <c r="BE501" s="1224"/>
      <c r="BF501" s="1225"/>
      <c r="BR501" s="1224"/>
      <c r="BS501" s="1224"/>
    </row>
    <row r="502" spans="2:71" s="491" customFormat="1">
      <c r="B502" s="2297"/>
      <c r="C502" s="2297"/>
      <c r="D502" s="2297"/>
      <c r="E502" s="2297"/>
      <c r="F502" s="2297"/>
      <c r="G502" s="2297"/>
      <c r="H502" s="2297"/>
      <c r="I502" s="2297"/>
      <c r="J502" s="2297"/>
      <c r="K502" s="2297"/>
      <c r="L502" s="2297"/>
      <c r="M502" s="2297"/>
      <c r="N502" s="2297"/>
      <c r="O502" s="2297"/>
      <c r="P502" s="2297"/>
      <c r="Q502" s="2297"/>
      <c r="R502" s="99"/>
      <c r="S502" s="99"/>
      <c r="T502" s="99"/>
      <c r="U502" s="99"/>
      <c r="V502" s="99"/>
      <c r="AF502" s="2297"/>
      <c r="AG502" s="1208"/>
      <c r="AH502" s="1208"/>
      <c r="AI502" s="1223"/>
      <c r="AJ502" s="1223"/>
      <c r="AK502" s="1223"/>
      <c r="AL502" s="1223"/>
      <c r="AM502" s="1223"/>
      <c r="AN502" s="1223"/>
      <c r="AO502" s="1208"/>
      <c r="AP502" s="1223"/>
      <c r="AQ502" s="1208"/>
      <c r="AR502" s="1208"/>
      <c r="AS502" s="1223"/>
      <c r="AT502" s="1223"/>
      <c r="AU502" s="1208"/>
      <c r="AV502" s="1208"/>
      <c r="AW502" s="2297"/>
      <c r="BE502" s="1224"/>
      <c r="BF502" s="1225"/>
      <c r="BR502" s="1224"/>
      <c r="BS502" s="1224"/>
    </row>
    <row r="503" spans="2:71" s="491" customFormat="1">
      <c r="B503" s="2297"/>
      <c r="C503" s="2297"/>
      <c r="D503" s="2297"/>
      <c r="E503" s="2297"/>
      <c r="F503" s="2297"/>
      <c r="G503" s="2297"/>
      <c r="H503" s="2297"/>
      <c r="I503" s="2297"/>
      <c r="J503" s="2297"/>
      <c r="K503" s="2297"/>
      <c r="L503" s="2297"/>
      <c r="M503" s="2297"/>
      <c r="N503" s="2297"/>
      <c r="O503" s="2297"/>
      <c r="P503" s="2297"/>
      <c r="Q503" s="2297"/>
      <c r="R503" s="99"/>
      <c r="S503" s="99"/>
      <c r="T503" s="99"/>
      <c r="U503" s="99"/>
      <c r="V503" s="99"/>
      <c r="AF503" s="2297"/>
      <c r="AG503" s="1208"/>
      <c r="AH503" s="1208"/>
      <c r="AI503" s="1223"/>
      <c r="AJ503" s="1223"/>
      <c r="AK503" s="1223"/>
      <c r="AL503" s="1223"/>
      <c r="AM503" s="1223"/>
      <c r="AN503" s="1223"/>
      <c r="AO503" s="1208"/>
      <c r="AP503" s="1223"/>
      <c r="AQ503" s="1208"/>
      <c r="AR503" s="1208"/>
      <c r="AS503" s="1223"/>
      <c r="AT503" s="1223"/>
      <c r="AU503" s="1208"/>
      <c r="AV503" s="1208"/>
      <c r="AW503" s="2297"/>
      <c r="BE503" s="1224"/>
      <c r="BF503" s="1225"/>
      <c r="BR503" s="1224"/>
      <c r="BS503" s="1224"/>
    </row>
    <row r="504" spans="2:71" s="491" customFormat="1">
      <c r="B504" s="2297"/>
      <c r="C504" s="2297"/>
      <c r="D504" s="2297"/>
      <c r="E504" s="2297"/>
      <c r="F504" s="2297"/>
      <c r="G504" s="2297"/>
      <c r="H504" s="2297"/>
      <c r="I504" s="2297"/>
      <c r="J504" s="2297"/>
      <c r="K504" s="2297"/>
      <c r="L504" s="2297"/>
      <c r="M504" s="2297"/>
      <c r="N504" s="2297"/>
      <c r="O504" s="2297"/>
      <c r="P504" s="2297"/>
      <c r="Q504" s="2297"/>
      <c r="R504" s="99"/>
      <c r="S504" s="99"/>
      <c r="T504" s="99"/>
      <c r="U504" s="99"/>
      <c r="V504" s="99"/>
      <c r="AF504" s="2297"/>
      <c r="AG504" s="1208"/>
      <c r="AH504" s="1208"/>
      <c r="AI504" s="1223"/>
      <c r="AJ504" s="1223"/>
      <c r="AK504" s="1223"/>
      <c r="AL504" s="1223"/>
      <c r="AM504" s="1223"/>
      <c r="AN504" s="1223"/>
      <c r="AO504" s="1208"/>
      <c r="AP504" s="1223"/>
      <c r="AQ504" s="1208"/>
      <c r="AR504" s="1208"/>
      <c r="AS504" s="1223"/>
      <c r="AT504" s="1223"/>
      <c r="AU504" s="1208"/>
      <c r="AV504" s="1208"/>
      <c r="AW504" s="2297"/>
      <c r="BE504" s="1224"/>
      <c r="BF504" s="1225"/>
      <c r="BR504" s="1224"/>
      <c r="BS504" s="1224"/>
    </row>
    <row r="505" spans="2:71" s="491" customFormat="1">
      <c r="B505" s="2297"/>
      <c r="C505" s="2297"/>
      <c r="D505" s="2297"/>
      <c r="E505" s="2297"/>
      <c r="F505" s="2297"/>
      <c r="G505" s="2297"/>
      <c r="H505" s="2297"/>
      <c r="I505" s="2297"/>
      <c r="J505" s="2297"/>
      <c r="K505" s="2297"/>
      <c r="L505" s="2297"/>
      <c r="M505" s="2297"/>
      <c r="N505" s="2297"/>
      <c r="O505" s="2297"/>
      <c r="P505" s="2297"/>
      <c r="Q505" s="2297"/>
      <c r="R505" s="99"/>
      <c r="S505" s="99"/>
      <c r="T505" s="99"/>
      <c r="U505" s="99"/>
      <c r="V505" s="99"/>
      <c r="AF505" s="2297"/>
      <c r="AG505" s="1208"/>
      <c r="AH505" s="1208"/>
      <c r="AI505" s="1223"/>
      <c r="AJ505" s="1223"/>
      <c r="AK505" s="1223"/>
      <c r="AL505" s="1223"/>
      <c r="AM505" s="1223"/>
      <c r="AN505" s="1223"/>
      <c r="AO505" s="1208"/>
      <c r="AP505" s="1223"/>
      <c r="AQ505" s="1208"/>
      <c r="AR505" s="1208"/>
      <c r="AS505" s="1223"/>
      <c r="AT505" s="1223"/>
      <c r="AU505" s="1208"/>
      <c r="AV505" s="1208"/>
      <c r="AW505" s="2297"/>
      <c r="BE505" s="1224"/>
      <c r="BF505" s="1225"/>
      <c r="BR505" s="1224"/>
      <c r="BS505" s="1224"/>
    </row>
    <row r="506" spans="2:71" s="491" customFormat="1">
      <c r="B506" s="2297"/>
      <c r="C506" s="2297"/>
      <c r="D506" s="2297"/>
      <c r="E506" s="2297"/>
      <c r="F506" s="2297"/>
      <c r="G506" s="2297"/>
      <c r="H506" s="2297"/>
      <c r="I506" s="2297"/>
      <c r="J506" s="2297"/>
      <c r="K506" s="2297"/>
      <c r="L506" s="2297"/>
      <c r="M506" s="2297"/>
      <c r="N506" s="2297"/>
      <c r="O506" s="2297"/>
      <c r="P506" s="2297"/>
      <c r="Q506" s="2297"/>
      <c r="R506" s="99"/>
      <c r="S506" s="99"/>
      <c r="T506" s="99"/>
      <c r="U506" s="99"/>
      <c r="V506" s="99"/>
      <c r="AF506" s="2297"/>
      <c r="AG506" s="1208"/>
      <c r="AH506" s="1208"/>
      <c r="AI506" s="1223"/>
      <c r="AJ506" s="1223"/>
      <c r="AK506" s="1223"/>
      <c r="AL506" s="1223"/>
      <c r="AM506" s="1223"/>
      <c r="AN506" s="1223"/>
      <c r="AO506" s="1208"/>
      <c r="AP506" s="1223"/>
      <c r="AQ506" s="1208"/>
      <c r="AR506" s="1208"/>
      <c r="AS506" s="1223"/>
      <c r="AT506" s="1223"/>
      <c r="AU506" s="1208"/>
      <c r="AV506" s="1208"/>
      <c r="AW506" s="2297"/>
      <c r="BE506" s="1224"/>
      <c r="BF506" s="1225"/>
      <c r="BR506" s="1224"/>
      <c r="BS506" s="1224"/>
    </row>
    <row r="507" spans="2:71" s="491" customFormat="1">
      <c r="B507" s="2297"/>
      <c r="C507" s="2297"/>
      <c r="D507" s="2297"/>
      <c r="E507" s="2297"/>
      <c r="F507" s="2297"/>
      <c r="G507" s="2297"/>
      <c r="H507" s="2297"/>
      <c r="I507" s="2297"/>
      <c r="J507" s="2297"/>
      <c r="K507" s="2297"/>
      <c r="L507" s="2297"/>
      <c r="M507" s="2297"/>
      <c r="N507" s="2297"/>
      <c r="O507" s="2297"/>
      <c r="P507" s="2297"/>
      <c r="Q507" s="2297"/>
      <c r="R507" s="99"/>
      <c r="S507" s="99"/>
      <c r="T507" s="99"/>
      <c r="U507" s="99"/>
      <c r="V507" s="99"/>
      <c r="AF507" s="2297"/>
      <c r="AG507" s="1208"/>
      <c r="AH507" s="1208"/>
      <c r="AI507" s="1223"/>
      <c r="AJ507" s="1223"/>
      <c r="AK507" s="1223"/>
      <c r="AL507" s="1223"/>
      <c r="AM507" s="1223"/>
      <c r="AN507" s="1223"/>
      <c r="AO507" s="1208"/>
      <c r="AP507" s="1223"/>
      <c r="AQ507" s="1208"/>
      <c r="AR507" s="1208"/>
      <c r="AS507" s="1223"/>
      <c r="AT507" s="1223"/>
      <c r="AU507" s="1208"/>
      <c r="AV507" s="1208"/>
      <c r="AW507" s="2297"/>
      <c r="BE507" s="1224"/>
      <c r="BF507" s="1225"/>
      <c r="BR507" s="1224"/>
      <c r="BS507" s="1224"/>
    </row>
    <row r="508" spans="2:71" s="491" customFormat="1">
      <c r="B508" s="2297"/>
      <c r="C508" s="2297"/>
      <c r="D508" s="2297"/>
      <c r="E508" s="2297"/>
      <c r="F508" s="2297"/>
      <c r="G508" s="2297"/>
      <c r="H508" s="2297"/>
      <c r="I508" s="2297"/>
      <c r="J508" s="2297"/>
      <c r="K508" s="2297"/>
      <c r="L508" s="2297"/>
      <c r="M508" s="2297"/>
      <c r="N508" s="2297"/>
      <c r="O508" s="2297"/>
      <c r="P508" s="2297"/>
      <c r="Q508" s="2297"/>
      <c r="R508" s="99"/>
      <c r="S508" s="99"/>
      <c r="T508" s="99"/>
      <c r="U508" s="99"/>
      <c r="V508" s="99"/>
      <c r="AF508" s="2297"/>
      <c r="AG508" s="1208"/>
      <c r="AH508" s="1208"/>
      <c r="AI508" s="1223"/>
      <c r="AJ508" s="1223"/>
      <c r="AK508" s="1223"/>
      <c r="AL508" s="1223"/>
      <c r="AM508" s="1223"/>
      <c r="AN508" s="1223"/>
      <c r="AO508" s="1208"/>
      <c r="AP508" s="1223"/>
      <c r="AQ508" s="1208"/>
      <c r="AR508" s="1208"/>
      <c r="AS508" s="1223"/>
      <c r="AT508" s="1223"/>
      <c r="AU508" s="1208"/>
      <c r="AV508" s="1208"/>
      <c r="AW508" s="2297"/>
      <c r="BE508" s="1224"/>
      <c r="BF508" s="1225"/>
      <c r="BR508" s="1224"/>
      <c r="BS508" s="1224"/>
    </row>
    <row r="509" spans="2:71" s="491" customFormat="1">
      <c r="B509" s="2297"/>
      <c r="C509" s="2297"/>
      <c r="D509" s="2297"/>
      <c r="E509" s="2297"/>
      <c r="F509" s="2297"/>
      <c r="G509" s="2297"/>
      <c r="H509" s="2297"/>
      <c r="I509" s="2297"/>
      <c r="J509" s="2297"/>
      <c r="K509" s="2297"/>
      <c r="L509" s="2297"/>
      <c r="M509" s="2297"/>
      <c r="N509" s="2297"/>
      <c r="O509" s="2297"/>
      <c r="P509" s="2297"/>
      <c r="Q509" s="2297"/>
      <c r="R509" s="99"/>
      <c r="S509" s="99"/>
      <c r="T509" s="99"/>
      <c r="U509" s="99"/>
      <c r="V509" s="99"/>
      <c r="AF509" s="2297"/>
      <c r="AG509" s="1208"/>
      <c r="AH509" s="1208"/>
      <c r="AI509" s="1223"/>
      <c r="AJ509" s="1223"/>
      <c r="AK509" s="1223"/>
      <c r="AL509" s="1223"/>
      <c r="AM509" s="1223"/>
      <c r="AN509" s="1223"/>
      <c r="AO509" s="1208"/>
      <c r="AP509" s="1223"/>
      <c r="AQ509" s="1208"/>
      <c r="AR509" s="1208"/>
      <c r="AS509" s="1223"/>
      <c r="AT509" s="1223"/>
      <c r="AU509" s="1208"/>
      <c r="AV509" s="1208"/>
      <c r="AW509" s="2297"/>
      <c r="BE509" s="1224"/>
      <c r="BF509" s="1225"/>
      <c r="BR509" s="1224"/>
      <c r="BS509" s="1224"/>
    </row>
    <row r="510" spans="2:71" s="491" customFormat="1">
      <c r="B510" s="2297"/>
      <c r="C510" s="2297"/>
      <c r="D510" s="2297"/>
      <c r="E510" s="2297"/>
      <c r="F510" s="2297"/>
      <c r="G510" s="2297"/>
      <c r="H510" s="2297"/>
      <c r="I510" s="2297"/>
      <c r="J510" s="2297"/>
      <c r="K510" s="2297"/>
      <c r="L510" s="2297"/>
      <c r="M510" s="2297"/>
      <c r="N510" s="2297"/>
      <c r="O510" s="2297"/>
      <c r="P510" s="2297"/>
      <c r="Q510" s="2297"/>
      <c r="R510" s="99"/>
      <c r="S510" s="99"/>
      <c r="T510" s="99"/>
      <c r="U510" s="99"/>
      <c r="V510" s="99"/>
      <c r="AF510" s="2297"/>
      <c r="AG510" s="1208"/>
      <c r="AH510" s="1208"/>
      <c r="AI510" s="1223"/>
      <c r="AJ510" s="1223"/>
      <c r="AK510" s="1223"/>
      <c r="AL510" s="1223"/>
      <c r="AM510" s="1223"/>
      <c r="AN510" s="1223"/>
      <c r="AO510" s="1208"/>
      <c r="AP510" s="1223"/>
      <c r="AQ510" s="1208"/>
      <c r="AR510" s="1208"/>
      <c r="AS510" s="1223"/>
      <c r="AT510" s="1223"/>
      <c r="AU510" s="1208"/>
      <c r="AV510" s="1208"/>
      <c r="AW510" s="2297"/>
      <c r="BE510" s="1224"/>
      <c r="BF510" s="1225"/>
      <c r="BR510" s="1224"/>
      <c r="BS510" s="1224"/>
    </row>
    <row r="511" spans="2:71" s="491" customFormat="1">
      <c r="B511" s="2297"/>
      <c r="C511" s="2297"/>
      <c r="D511" s="2297"/>
      <c r="E511" s="2297"/>
      <c r="F511" s="2297"/>
      <c r="G511" s="2297"/>
      <c r="H511" s="2297"/>
      <c r="I511" s="2297"/>
      <c r="J511" s="2297"/>
      <c r="K511" s="2297"/>
      <c r="L511" s="2297"/>
      <c r="M511" s="2297"/>
      <c r="N511" s="2297"/>
      <c r="O511" s="2297"/>
      <c r="P511" s="2297"/>
      <c r="Q511" s="2297"/>
      <c r="R511" s="99"/>
      <c r="S511" s="99"/>
      <c r="T511" s="99"/>
      <c r="U511" s="99"/>
      <c r="V511" s="99"/>
      <c r="AF511" s="2297"/>
      <c r="AG511" s="1208"/>
      <c r="AH511" s="1208"/>
      <c r="AI511" s="1223"/>
      <c r="AJ511" s="1223"/>
      <c r="AK511" s="1223"/>
      <c r="AL511" s="1223"/>
      <c r="AM511" s="1223"/>
      <c r="AN511" s="1223"/>
      <c r="AO511" s="1208"/>
      <c r="AP511" s="1223"/>
      <c r="AQ511" s="1208"/>
      <c r="AR511" s="1208"/>
      <c r="AS511" s="1223"/>
      <c r="AT511" s="1223"/>
      <c r="AU511" s="1208"/>
      <c r="AV511" s="1208"/>
      <c r="AW511" s="2297"/>
      <c r="BE511" s="1224"/>
      <c r="BF511" s="1225"/>
      <c r="BR511" s="1224"/>
      <c r="BS511" s="1224"/>
    </row>
    <row r="512" spans="2:71" s="491" customFormat="1">
      <c r="B512" s="2297"/>
      <c r="C512" s="2297"/>
      <c r="D512" s="2297"/>
      <c r="E512" s="2297"/>
      <c r="F512" s="2297"/>
      <c r="G512" s="2297"/>
      <c r="H512" s="2297"/>
      <c r="I512" s="2297"/>
      <c r="J512" s="2297"/>
      <c r="K512" s="2297"/>
      <c r="L512" s="2297"/>
      <c r="M512" s="2297"/>
      <c r="N512" s="2297"/>
      <c r="O512" s="2297"/>
      <c r="P512" s="2297"/>
      <c r="Q512" s="2297"/>
      <c r="R512" s="99"/>
      <c r="S512" s="99"/>
      <c r="T512" s="99"/>
      <c r="U512" s="99"/>
      <c r="V512" s="99"/>
      <c r="AF512" s="2297"/>
      <c r="AG512" s="1208"/>
      <c r="AH512" s="1208"/>
      <c r="AI512" s="1223"/>
      <c r="AJ512" s="1223"/>
      <c r="AK512" s="1223"/>
      <c r="AL512" s="1223"/>
      <c r="AM512" s="1223"/>
      <c r="AN512" s="1223"/>
      <c r="AO512" s="1208"/>
      <c r="AP512" s="1223"/>
      <c r="AQ512" s="1208"/>
      <c r="AR512" s="1208"/>
      <c r="AS512" s="1223"/>
      <c r="AT512" s="1223"/>
      <c r="AU512" s="1208"/>
      <c r="AV512" s="1208"/>
      <c r="AW512" s="2297"/>
      <c r="BE512" s="1224"/>
      <c r="BF512" s="1225"/>
      <c r="BR512" s="1224"/>
      <c r="BS512" s="1224"/>
    </row>
    <row r="513" spans="2:71" s="491" customFormat="1">
      <c r="B513" s="2297"/>
      <c r="C513" s="2297"/>
      <c r="D513" s="2297"/>
      <c r="E513" s="2297"/>
      <c r="F513" s="2297"/>
      <c r="G513" s="2297"/>
      <c r="H513" s="2297"/>
      <c r="I513" s="2297"/>
      <c r="J513" s="2297"/>
      <c r="K513" s="2297"/>
      <c r="L513" s="2297"/>
      <c r="M513" s="2297"/>
      <c r="N513" s="2297"/>
      <c r="O513" s="2297"/>
      <c r="P513" s="2297"/>
      <c r="Q513" s="2297"/>
      <c r="R513" s="99"/>
      <c r="S513" s="99"/>
      <c r="T513" s="99"/>
      <c r="U513" s="99"/>
      <c r="V513" s="99"/>
      <c r="AF513" s="2297"/>
      <c r="AG513" s="1208"/>
      <c r="AH513" s="1208"/>
      <c r="AI513" s="1223"/>
      <c r="AJ513" s="1223"/>
      <c r="AK513" s="1223"/>
      <c r="AL513" s="1223"/>
      <c r="AM513" s="1223"/>
      <c r="AN513" s="1223"/>
      <c r="AO513" s="1208"/>
      <c r="AP513" s="1223"/>
      <c r="AQ513" s="1208"/>
      <c r="AR513" s="1208"/>
      <c r="AS513" s="1223"/>
      <c r="AT513" s="1223"/>
      <c r="AU513" s="1208"/>
      <c r="AV513" s="1208"/>
      <c r="AW513" s="2297"/>
      <c r="BE513" s="1224"/>
      <c r="BF513" s="1225"/>
      <c r="BR513" s="1224"/>
      <c r="BS513" s="1224"/>
    </row>
    <row r="514" spans="2:71" s="491" customFormat="1">
      <c r="B514" s="2297"/>
      <c r="C514" s="2297"/>
      <c r="D514" s="2297"/>
      <c r="E514" s="2297"/>
      <c r="F514" s="2297"/>
      <c r="G514" s="2297"/>
      <c r="H514" s="2297"/>
      <c r="I514" s="2297"/>
      <c r="J514" s="2297"/>
      <c r="K514" s="2297"/>
      <c r="L514" s="2297"/>
      <c r="M514" s="2297"/>
      <c r="N514" s="2297"/>
      <c r="O514" s="2297"/>
      <c r="P514" s="2297"/>
      <c r="Q514" s="2297"/>
      <c r="R514" s="99"/>
      <c r="S514" s="99"/>
      <c r="T514" s="99"/>
      <c r="U514" s="99"/>
      <c r="V514" s="99"/>
      <c r="AF514" s="2297"/>
      <c r="AG514" s="1208"/>
      <c r="AH514" s="1208"/>
      <c r="AI514" s="1223"/>
      <c r="AJ514" s="1223"/>
      <c r="AK514" s="1223"/>
      <c r="AL514" s="1223"/>
      <c r="AM514" s="1223"/>
      <c r="AN514" s="1223"/>
      <c r="AO514" s="1208"/>
      <c r="AP514" s="1223"/>
      <c r="AQ514" s="1208"/>
      <c r="AR514" s="1208"/>
      <c r="AS514" s="1223"/>
      <c r="AT514" s="1223"/>
      <c r="AU514" s="1208"/>
      <c r="AV514" s="1208"/>
      <c r="AW514" s="2297"/>
      <c r="BE514" s="1224"/>
      <c r="BF514" s="1225"/>
      <c r="BR514" s="1224"/>
      <c r="BS514" s="1224"/>
    </row>
    <row r="515" spans="2:71" s="491" customFormat="1">
      <c r="B515" s="2297"/>
      <c r="C515" s="2297"/>
      <c r="D515" s="2297"/>
      <c r="E515" s="2297"/>
      <c r="F515" s="2297"/>
      <c r="G515" s="2297"/>
      <c r="H515" s="2297"/>
      <c r="I515" s="2297"/>
      <c r="J515" s="2297"/>
      <c r="K515" s="2297"/>
      <c r="L515" s="2297"/>
      <c r="M515" s="2297"/>
      <c r="N515" s="2297"/>
      <c r="O515" s="2297"/>
      <c r="P515" s="2297"/>
      <c r="Q515" s="2297"/>
      <c r="R515" s="99"/>
      <c r="S515" s="99"/>
      <c r="T515" s="99"/>
      <c r="U515" s="99"/>
      <c r="V515" s="99"/>
      <c r="AF515" s="2297"/>
      <c r="AG515" s="1208"/>
      <c r="AH515" s="1208"/>
      <c r="AI515" s="1223"/>
      <c r="AJ515" s="1223"/>
      <c r="AK515" s="1223"/>
      <c r="AL515" s="1223"/>
      <c r="AM515" s="1223"/>
      <c r="AN515" s="1223"/>
      <c r="AO515" s="1208"/>
      <c r="AP515" s="1223"/>
      <c r="AQ515" s="1208"/>
      <c r="AR515" s="1208"/>
      <c r="AS515" s="1223"/>
      <c r="AT515" s="1223"/>
      <c r="AU515" s="1208"/>
      <c r="AV515" s="1208"/>
      <c r="AW515" s="2297"/>
      <c r="BE515" s="1224"/>
      <c r="BF515" s="1225"/>
      <c r="BR515" s="1224"/>
      <c r="BS515" s="1224"/>
    </row>
    <row r="516" spans="2:71" s="491" customFormat="1">
      <c r="B516" s="2297"/>
      <c r="C516" s="2297"/>
      <c r="D516" s="2297"/>
      <c r="E516" s="2297"/>
      <c r="F516" s="2297"/>
      <c r="G516" s="2297"/>
      <c r="H516" s="2297"/>
      <c r="I516" s="2297"/>
      <c r="J516" s="2297"/>
      <c r="K516" s="2297"/>
      <c r="L516" s="2297"/>
      <c r="M516" s="2297"/>
      <c r="N516" s="2297"/>
      <c r="O516" s="2297"/>
      <c r="P516" s="2297"/>
      <c r="Q516" s="2297"/>
      <c r="R516" s="99"/>
      <c r="S516" s="99"/>
      <c r="T516" s="99"/>
      <c r="U516" s="99"/>
      <c r="V516" s="99"/>
      <c r="AF516" s="2297"/>
      <c r="AG516" s="1208"/>
      <c r="AH516" s="1208"/>
      <c r="AI516" s="1223"/>
      <c r="AJ516" s="1223"/>
      <c r="AK516" s="1223"/>
      <c r="AL516" s="1223"/>
      <c r="AM516" s="1223"/>
      <c r="AN516" s="1223"/>
      <c r="AO516" s="1208"/>
      <c r="AP516" s="1223"/>
      <c r="AQ516" s="1208"/>
      <c r="AR516" s="1208"/>
      <c r="AS516" s="1223"/>
      <c r="AT516" s="1223"/>
      <c r="AU516" s="1208"/>
      <c r="AV516" s="1208"/>
      <c r="AW516" s="2297"/>
      <c r="BE516" s="1224"/>
      <c r="BF516" s="1225"/>
      <c r="BR516" s="1224"/>
      <c r="BS516" s="1224"/>
    </row>
    <row r="517" spans="2:71" s="491" customFormat="1">
      <c r="B517" s="2297"/>
      <c r="C517" s="2297"/>
      <c r="D517" s="2297"/>
      <c r="E517" s="2297"/>
      <c r="F517" s="2297"/>
      <c r="G517" s="2297"/>
      <c r="H517" s="2297"/>
      <c r="I517" s="2297"/>
      <c r="J517" s="2297"/>
      <c r="K517" s="2297"/>
      <c r="L517" s="2297"/>
      <c r="M517" s="2297"/>
      <c r="N517" s="2297"/>
      <c r="O517" s="2297"/>
      <c r="P517" s="2297"/>
      <c r="Q517" s="2297"/>
      <c r="R517" s="99"/>
      <c r="S517" s="99"/>
      <c r="T517" s="99"/>
      <c r="U517" s="99"/>
      <c r="V517" s="99"/>
      <c r="AF517" s="2297"/>
      <c r="AG517" s="1208"/>
      <c r="AH517" s="1208"/>
      <c r="AI517" s="1223"/>
      <c r="AJ517" s="1223"/>
      <c r="AK517" s="1223"/>
      <c r="AL517" s="1223"/>
      <c r="AM517" s="1223"/>
      <c r="AN517" s="1223"/>
      <c r="AO517" s="1208"/>
      <c r="AP517" s="1223"/>
      <c r="AQ517" s="1208"/>
      <c r="AR517" s="1208"/>
      <c r="AS517" s="1223"/>
      <c r="AT517" s="1223"/>
      <c r="AU517" s="1208"/>
      <c r="AV517" s="1208"/>
      <c r="AW517" s="2297"/>
      <c r="BE517" s="1224"/>
      <c r="BF517" s="1225"/>
      <c r="BR517" s="1224"/>
      <c r="BS517" s="1224"/>
    </row>
    <row r="518" spans="2:71" s="491" customFormat="1">
      <c r="B518" s="2297"/>
      <c r="C518" s="2297"/>
      <c r="D518" s="2297"/>
      <c r="E518" s="2297"/>
      <c r="F518" s="2297"/>
      <c r="G518" s="2297"/>
      <c r="H518" s="2297"/>
      <c r="I518" s="2297"/>
      <c r="J518" s="2297"/>
      <c r="K518" s="2297"/>
      <c r="L518" s="2297"/>
      <c r="M518" s="2297"/>
      <c r="N518" s="2297"/>
      <c r="O518" s="2297"/>
      <c r="P518" s="2297"/>
      <c r="Q518" s="2297"/>
      <c r="R518" s="99"/>
      <c r="S518" s="99"/>
      <c r="T518" s="99"/>
      <c r="U518" s="99"/>
      <c r="V518" s="99"/>
      <c r="AF518" s="2297"/>
      <c r="AG518" s="1208"/>
      <c r="AH518" s="1208"/>
      <c r="AI518" s="1223"/>
      <c r="AJ518" s="1223"/>
      <c r="AK518" s="1223"/>
      <c r="AL518" s="1223"/>
      <c r="AM518" s="1223"/>
      <c r="AN518" s="1223"/>
      <c r="AO518" s="1208"/>
      <c r="AP518" s="1223"/>
      <c r="AQ518" s="1208"/>
      <c r="AR518" s="1208"/>
      <c r="AS518" s="1223"/>
      <c r="AT518" s="1223"/>
      <c r="AU518" s="1208"/>
      <c r="AV518" s="1208"/>
      <c r="AW518" s="2297"/>
      <c r="BE518" s="1224"/>
      <c r="BF518" s="1225"/>
      <c r="BR518" s="1224"/>
      <c r="BS518" s="1224"/>
    </row>
    <row r="519" spans="2:71" s="491" customFormat="1">
      <c r="B519" s="2297"/>
      <c r="C519" s="2297"/>
      <c r="D519" s="2297"/>
      <c r="E519" s="2297"/>
      <c r="F519" s="2297"/>
      <c r="G519" s="2297"/>
      <c r="H519" s="2297"/>
      <c r="I519" s="2297"/>
      <c r="J519" s="2297"/>
      <c r="K519" s="2297"/>
      <c r="L519" s="2297"/>
      <c r="M519" s="2297"/>
      <c r="N519" s="2297"/>
      <c r="O519" s="2297"/>
      <c r="P519" s="2297"/>
      <c r="Q519" s="2297"/>
      <c r="R519" s="99"/>
      <c r="S519" s="99"/>
      <c r="T519" s="99"/>
      <c r="U519" s="99"/>
      <c r="V519" s="99"/>
      <c r="AF519" s="2297"/>
      <c r="AG519" s="1208"/>
      <c r="AH519" s="1208"/>
      <c r="AI519" s="1223"/>
      <c r="AJ519" s="1223"/>
      <c r="AK519" s="1223"/>
      <c r="AL519" s="1223"/>
      <c r="AM519" s="1223"/>
      <c r="AN519" s="1223"/>
      <c r="AO519" s="1208"/>
      <c r="AP519" s="1223"/>
      <c r="AQ519" s="1208"/>
      <c r="AR519" s="1208"/>
      <c r="AS519" s="1223"/>
      <c r="AT519" s="1223"/>
      <c r="AU519" s="1208"/>
      <c r="AV519" s="1208"/>
      <c r="AW519" s="2297"/>
      <c r="BE519" s="1224"/>
      <c r="BF519" s="1225"/>
      <c r="BR519" s="1224"/>
      <c r="BS519" s="1224"/>
    </row>
    <row r="520" spans="2:71" s="491" customFormat="1">
      <c r="B520" s="2297"/>
      <c r="C520" s="2297"/>
      <c r="D520" s="2297"/>
      <c r="E520" s="2297"/>
      <c r="F520" s="2297"/>
      <c r="G520" s="2297"/>
      <c r="H520" s="2297"/>
      <c r="I520" s="2297"/>
      <c r="J520" s="2297"/>
      <c r="K520" s="2297"/>
      <c r="L520" s="2297"/>
      <c r="M520" s="2297"/>
      <c r="N520" s="2297"/>
      <c r="O520" s="2297"/>
      <c r="P520" s="2297"/>
      <c r="Q520" s="2297"/>
      <c r="R520" s="99"/>
      <c r="S520" s="99"/>
      <c r="T520" s="99"/>
      <c r="U520" s="99"/>
      <c r="V520" s="99"/>
      <c r="AF520" s="2297"/>
      <c r="AG520" s="1208"/>
      <c r="AH520" s="1208"/>
      <c r="AI520" s="1223"/>
      <c r="AJ520" s="1223"/>
      <c r="AK520" s="1223"/>
      <c r="AL520" s="1223"/>
      <c r="AM520" s="1223"/>
      <c r="AN520" s="1223"/>
      <c r="AO520" s="1208"/>
      <c r="AP520" s="1223"/>
      <c r="AQ520" s="1208"/>
      <c r="AR520" s="1208"/>
      <c r="AS520" s="1223"/>
      <c r="AT520" s="1223"/>
      <c r="AU520" s="1208"/>
      <c r="AV520" s="1208"/>
      <c r="AW520" s="2297"/>
      <c r="BE520" s="1224"/>
      <c r="BF520" s="1225"/>
      <c r="BR520" s="1224"/>
      <c r="BS520" s="1224"/>
    </row>
    <row r="521" spans="2:71" s="491" customFormat="1">
      <c r="B521" s="2297"/>
      <c r="C521" s="2297"/>
      <c r="D521" s="2297"/>
      <c r="E521" s="2297"/>
      <c r="F521" s="2297"/>
      <c r="G521" s="2297"/>
      <c r="H521" s="2297"/>
      <c r="I521" s="2297"/>
      <c r="J521" s="2297"/>
      <c r="K521" s="2297"/>
      <c r="L521" s="2297"/>
      <c r="M521" s="2297"/>
      <c r="N521" s="2297"/>
      <c r="O521" s="2297"/>
      <c r="P521" s="2297"/>
      <c r="Q521" s="2297"/>
      <c r="R521" s="99"/>
      <c r="S521" s="99"/>
      <c r="T521" s="99"/>
      <c r="U521" s="99"/>
      <c r="V521" s="99"/>
      <c r="AF521" s="2297"/>
      <c r="AG521" s="1208"/>
      <c r="AH521" s="1208"/>
      <c r="AI521" s="1223"/>
      <c r="AJ521" s="1223"/>
      <c r="AK521" s="1223"/>
      <c r="AL521" s="1223"/>
      <c r="AM521" s="1223"/>
      <c r="AN521" s="1223"/>
      <c r="AO521" s="1208"/>
      <c r="AP521" s="1223"/>
      <c r="AQ521" s="1208"/>
      <c r="AR521" s="1208"/>
      <c r="AS521" s="1223"/>
      <c r="AT521" s="1223"/>
      <c r="AU521" s="1208"/>
      <c r="AV521" s="1208"/>
      <c r="AW521" s="2297"/>
      <c r="BE521" s="1224"/>
      <c r="BF521" s="1225"/>
      <c r="BR521" s="1224"/>
      <c r="BS521" s="1224"/>
    </row>
    <row r="522" spans="2:71" s="491" customFormat="1">
      <c r="B522" s="2297"/>
      <c r="C522" s="2297"/>
      <c r="D522" s="2297"/>
      <c r="E522" s="2297"/>
      <c r="F522" s="2297"/>
      <c r="G522" s="2297"/>
      <c r="H522" s="2297"/>
      <c r="I522" s="2297"/>
      <c r="J522" s="2297"/>
      <c r="K522" s="2297"/>
      <c r="L522" s="2297"/>
      <c r="M522" s="2297"/>
      <c r="N522" s="2297"/>
      <c r="O522" s="2297"/>
      <c r="P522" s="2297"/>
      <c r="Q522" s="2297"/>
      <c r="R522" s="99"/>
      <c r="S522" s="99"/>
      <c r="T522" s="99"/>
      <c r="U522" s="99"/>
      <c r="V522" s="99"/>
      <c r="AF522" s="2297"/>
      <c r="AG522" s="1208"/>
      <c r="AH522" s="1208"/>
      <c r="AI522" s="1223"/>
      <c r="AJ522" s="1223"/>
      <c r="AK522" s="1223"/>
      <c r="AL522" s="1223"/>
      <c r="AM522" s="1223"/>
      <c r="AN522" s="1223"/>
      <c r="AO522" s="1208"/>
      <c r="AP522" s="1223"/>
      <c r="AQ522" s="1208"/>
      <c r="AR522" s="1208"/>
      <c r="AS522" s="1223"/>
      <c r="AT522" s="1223"/>
      <c r="AU522" s="1208"/>
      <c r="AV522" s="1208"/>
      <c r="AW522" s="2297"/>
      <c r="BE522" s="1224"/>
      <c r="BF522" s="1225"/>
      <c r="BR522" s="1224"/>
      <c r="BS522" s="1224"/>
    </row>
    <row r="523" spans="2:71" s="491" customFormat="1">
      <c r="B523" s="2297"/>
      <c r="C523" s="2297"/>
      <c r="D523" s="2297"/>
      <c r="E523" s="2297"/>
      <c r="F523" s="2297"/>
      <c r="G523" s="2297"/>
      <c r="H523" s="2297"/>
      <c r="I523" s="2297"/>
      <c r="J523" s="2297"/>
      <c r="K523" s="2297"/>
      <c r="L523" s="2297"/>
      <c r="M523" s="2297"/>
      <c r="N523" s="2297"/>
      <c r="O523" s="2297"/>
      <c r="P523" s="2297"/>
      <c r="Q523" s="2297"/>
      <c r="R523" s="99"/>
      <c r="S523" s="99"/>
      <c r="T523" s="99"/>
      <c r="U523" s="99"/>
      <c r="V523" s="99"/>
      <c r="AF523" s="2297"/>
      <c r="AG523" s="1208"/>
      <c r="AH523" s="1208"/>
      <c r="AI523" s="1223"/>
      <c r="AJ523" s="1223"/>
      <c r="AK523" s="1223"/>
      <c r="AL523" s="1223"/>
      <c r="AM523" s="1223"/>
      <c r="AN523" s="1223"/>
      <c r="AO523" s="1208"/>
      <c r="AP523" s="1223"/>
      <c r="AQ523" s="1208"/>
      <c r="AR523" s="1208"/>
      <c r="AS523" s="1223"/>
      <c r="AT523" s="1223"/>
      <c r="AU523" s="1208"/>
      <c r="AV523" s="1208"/>
      <c r="AW523" s="2297"/>
      <c r="BE523" s="1224"/>
      <c r="BF523" s="1225"/>
      <c r="BR523" s="1224"/>
      <c r="BS523" s="1224"/>
    </row>
    <row r="524" spans="2:71" s="491" customFormat="1">
      <c r="B524" s="2297"/>
      <c r="C524" s="2297"/>
      <c r="D524" s="2297"/>
      <c r="E524" s="2297"/>
      <c r="F524" s="2297"/>
      <c r="G524" s="2297"/>
      <c r="H524" s="2297"/>
      <c r="I524" s="2297"/>
      <c r="J524" s="2297"/>
      <c r="K524" s="2297"/>
      <c r="L524" s="2297"/>
      <c r="M524" s="2297"/>
      <c r="N524" s="2297"/>
      <c r="O524" s="2297"/>
      <c r="P524" s="2297"/>
      <c r="Q524" s="2297"/>
      <c r="R524" s="99"/>
      <c r="S524" s="99"/>
      <c r="T524" s="99"/>
      <c r="U524" s="99"/>
      <c r="V524" s="99"/>
      <c r="AF524" s="2297"/>
      <c r="AG524" s="1208"/>
      <c r="AH524" s="1208"/>
      <c r="AI524" s="1223"/>
      <c r="AJ524" s="1223"/>
      <c r="AK524" s="1223"/>
      <c r="AL524" s="1223"/>
      <c r="AM524" s="1223"/>
      <c r="AN524" s="1223"/>
      <c r="AO524" s="1208"/>
      <c r="AP524" s="1223"/>
      <c r="AQ524" s="1208"/>
      <c r="AR524" s="1208"/>
      <c r="AS524" s="1223"/>
      <c r="AT524" s="1223"/>
      <c r="AU524" s="1208"/>
      <c r="AV524" s="1208"/>
      <c r="AW524" s="2297"/>
      <c r="BE524" s="1224"/>
      <c r="BF524" s="1225"/>
      <c r="BR524" s="1224"/>
      <c r="BS524" s="1224"/>
    </row>
    <row r="525" spans="2:71" s="491" customFormat="1">
      <c r="B525" s="2297"/>
      <c r="C525" s="2297"/>
      <c r="D525" s="2297"/>
      <c r="E525" s="2297"/>
      <c r="F525" s="2297"/>
      <c r="G525" s="2297"/>
      <c r="H525" s="2297"/>
      <c r="I525" s="2297"/>
      <c r="J525" s="2297"/>
      <c r="K525" s="2297"/>
      <c r="L525" s="2297"/>
      <c r="M525" s="2297"/>
      <c r="N525" s="2297"/>
      <c r="O525" s="2297"/>
      <c r="P525" s="2297"/>
      <c r="Q525" s="2297"/>
      <c r="R525" s="99"/>
      <c r="S525" s="99"/>
      <c r="T525" s="99"/>
      <c r="U525" s="99"/>
      <c r="V525" s="99"/>
      <c r="AF525" s="2297"/>
      <c r="AG525" s="1208"/>
      <c r="AH525" s="1208"/>
      <c r="AI525" s="1223"/>
      <c r="AJ525" s="1223"/>
      <c r="AK525" s="1223"/>
      <c r="AL525" s="1223"/>
      <c r="AM525" s="1223"/>
      <c r="AN525" s="1223"/>
      <c r="AO525" s="1208"/>
      <c r="AP525" s="1223"/>
      <c r="AQ525" s="1208"/>
      <c r="AR525" s="1208"/>
      <c r="AS525" s="1223"/>
      <c r="AT525" s="1223"/>
      <c r="AU525" s="1208"/>
      <c r="AV525" s="1208"/>
      <c r="AW525" s="2297"/>
      <c r="BE525" s="1224"/>
      <c r="BF525" s="1225"/>
      <c r="BR525" s="1224"/>
      <c r="BS525" s="1224"/>
    </row>
    <row r="526" spans="2:71" s="491" customFormat="1">
      <c r="B526" s="2297"/>
      <c r="C526" s="2297"/>
      <c r="D526" s="2297"/>
      <c r="E526" s="2297"/>
      <c r="F526" s="2297"/>
      <c r="G526" s="2297"/>
      <c r="H526" s="2297"/>
      <c r="I526" s="2297"/>
      <c r="J526" s="2297"/>
      <c r="K526" s="2297"/>
      <c r="L526" s="2297"/>
      <c r="M526" s="2297"/>
      <c r="N526" s="2297"/>
      <c r="O526" s="2297"/>
      <c r="P526" s="2297"/>
      <c r="Q526" s="2297"/>
      <c r="R526" s="99"/>
      <c r="S526" s="99"/>
      <c r="T526" s="99"/>
      <c r="U526" s="99"/>
      <c r="V526" s="99"/>
      <c r="AF526" s="2297"/>
      <c r="AG526" s="1208"/>
      <c r="AH526" s="1208"/>
      <c r="AI526" s="1223"/>
      <c r="AJ526" s="1223"/>
      <c r="AK526" s="1223"/>
      <c r="AL526" s="1223"/>
      <c r="AM526" s="1223"/>
      <c r="AN526" s="1223"/>
      <c r="AO526" s="1208"/>
      <c r="AP526" s="1223"/>
      <c r="AQ526" s="1208"/>
      <c r="AR526" s="1208"/>
      <c r="AS526" s="1223"/>
      <c r="AT526" s="1223"/>
      <c r="AU526" s="1208"/>
      <c r="AV526" s="1208"/>
      <c r="AW526" s="2297"/>
      <c r="BE526" s="1224"/>
      <c r="BF526" s="1225"/>
      <c r="BR526" s="1224"/>
      <c r="BS526" s="1224"/>
    </row>
    <row r="527" spans="2:71" s="491" customFormat="1">
      <c r="B527" s="2297"/>
      <c r="C527" s="2297"/>
      <c r="D527" s="2297"/>
      <c r="E527" s="2297"/>
      <c r="F527" s="2297"/>
      <c r="G527" s="2297"/>
      <c r="H527" s="2297"/>
      <c r="I527" s="2297"/>
      <c r="J527" s="2297"/>
      <c r="K527" s="2297"/>
      <c r="L527" s="2297"/>
      <c r="M527" s="2297"/>
      <c r="N527" s="2297"/>
      <c r="O527" s="2297"/>
      <c r="P527" s="2297"/>
      <c r="Q527" s="2297"/>
      <c r="R527" s="99"/>
      <c r="S527" s="99"/>
      <c r="T527" s="99"/>
      <c r="U527" s="99"/>
      <c r="V527" s="99"/>
      <c r="AF527" s="2297"/>
      <c r="AG527" s="1208"/>
      <c r="AH527" s="1208"/>
      <c r="AI527" s="1223"/>
      <c r="AJ527" s="1223"/>
      <c r="AK527" s="1223"/>
      <c r="AL527" s="1223"/>
      <c r="AM527" s="1223"/>
      <c r="AN527" s="1223"/>
      <c r="AO527" s="1208"/>
      <c r="AP527" s="1223"/>
      <c r="AQ527" s="1208"/>
      <c r="AR527" s="1208"/>
      <c r="AS527" s="1223"/>
      <c r="AT527" s="1223"/>
      <c r="AU527" s="1208"/>
      <c r="AV527" s="1208"/>
      <c r="AW527" s="2297"/>
      <c r="BE527" s="1224"/>
      <c r="BF527" s="1225"/>
      <c r="BR527" s="1224"/>
      <c r="BS527" s="1224"/>
    </row>
    <row r="528" spans="2:71" s="491" customFormat="1">
      <c r="B528" s="2297"/>
      <c r="C528" s="2297"/>
      <c r="D528" s="2297"/>
      <c r="E528" s="2297"/>
      <c r="F528" s="2297"/>
      <c r="G528" s="2297"/>
      <c r="H528" s="2297"/>
      <c r="I528" s="2297"/>
      <c r="J528" s="2297"/>
      <c r="K528" s="2297"/>
      <c r="L528" s="2297"/>
      <c r="M528" s="2297"/>
      <c r="N528" s="2297"/>
      <c r="O528" s="2297"/>
      <c r="P528" s="2297"/>
      <c r="Q528" s="2297"/>
      <c r="R528" s="99"/>
      <c r="S528" s="99"/>
      <c r="T528" s="99"/>
      <c r="U528" s="99"/>
      <c r="V528" s="99"/>
      <c r="AF528" s="2297"/>
      <c r="AG528" s="1208"/>
      <c r="AH528" s="1208"/>
      <c r="AI528" s="1223"/>
      <c r="AJ528" s="1223"/>
      <c r="AK528" s="1223"/>
      <c r="AL528" s="1223"/>
      <c r="AM528" s="1223"/>
      <c r="AN528" s="1223"/>
      <c r="AO528" s="1208"/>
      <c r="AP528" s="1223"/>
      <c r="AQ528" s="1208"/>
      <c r="AR528" s="1208"/>
      <c r="AS528" s="1223"/>
      <c r="AT528" s="1223"/>
      <c r="AU528" s="1208"/>
      <c r="AV528" s="1208"/>
      <c r="AW528" s="2297"/>
      <c r="BE528" s="1224"/>
      <c r="BF528" s="1225"/>
      <c r="BR528" s="1224"/>
      <c r="BS528" s="1224"/>
    </row>
    <row r="529" spans="2:71" s="491" customFormat="1">
      <c r="B529" s="2297"/>
      <c r="C529" s="2297"/>
      <c r="D529" s="2297"/>
      <c r="E529" s="2297"/>
      <c r="F529" s="2297"/>
      <c r="G529" s="2297"/>
      <c r="H529" s="2297"/>
      <c r="I529" s="2297"/>
      <c r="J529" s="2297"/>
      <c r="K529" s="2297"/>
      <c r="L529" s="2297"/>
      <c r="M529" s="2297"/>
      <c r="N529" s="2297"/>
      <c r="O529" s="2297"/>
      <c r="P529" s="2297"/>
      <c r="Q529" s="2297"/>
      <c r="R529" s="99"/>
      <c r="S529" s="99"/>
      <c r="T529" s="99"/>
      <c r="U529" s="99"/>
      <c r="V529" s="99"/>
      <c r="AF529" s="2297"/>
      <c r="AG529" s="1208"/>
      <c r="AH529" s="1208"/>
      <c r="AI529" s="1223"/>
      <c r="AJ529" s="1223"/>
      <c r="AK529" s="1223"/>
      <c r="AL529" s="1223"/>
      <c r="AM529" s="1223"/>
      <c r="AN529" s="1223"/>
      <c r="AO529" s="1208"/>
      <c r="AP529" s="1223"/>
      <c r="AQ529" s="1208"/>
      <c r="AR529" s="1208"/>
      <c r="AS529" s="1223"/>
      <c r="AT529" s="1223"/>
      <c r="AU529" s="1208"/>
      <c r="AV529" s="1208"/>
      <c r="AW529" s="2297"/>
      <c r="BE529" s="1224"/>
      <c r="BF529" s="1225"/>
      <c r="BR529" s="1224"/>
      <c r="BS529" s="1224"/>
    </row>
    <row r="530" spans="2:71" s="491" customFormat="1">
      <c r="B530" s="2297"/>
      <c r="C530" s="2297"/>
      <c r="D530" s="2297"/>
      <c r="E530" s="2297"/>
      <c r="F530" s="2297"/>
      <c r="G530" s="2297"/>
      <c r="H530" s="2297"/>
      <c r="I530" s="2297"/>
      <c r="J530" s="2297"/>
      <c r="K530" s="2297"/>
      <c r="L530" s="2297"/>
      <c r="M530" s="2297"/>
      <c r="N530" s="2297"/>
      <c r="O530" s="2297"/>
      <c r="P530" s="2297"/>
      <c r="Q530" s="2297"/>
      <c r="R530" s="99"/>
      <c r="S530" s="99"/>
      <c r="T530" s="99"/>
      <c r="U530" s="99"/>
      <c r="V530" s="99"/>
      <c r="AF530" s="2297"/>
      <c r="AG530" s="1208"/>
      <c r="AH530" s="1208"/>
      <c r="AI530" s="1223"/>
      <c r="AJ530" s="1223"/>
      <c r="AK530" s="1223"/>
      <c r="AL530" s="1223"/>
      <c r="AM530" s="1223"/>
      <c r="AN530" s="1223"/>
      <c r="AO530" s="1208"/>
      <c r="AP530" s="1223"/>
      <c r="AQ530" s="1208"/>
      <c r="AR530" s="1208"/>
      <c r="AS530" s="1223"/>
      <c r="AT530" s="1223"/>
      <c r="AU530" s="1208"/>
      <c r="AV530" s="1208"/>
      <c r="AW530" s="2297"/>
      <c r="BE530" s="1224"/>
      <c r="BF530" s="1225"/>
      <c r="BR530" s="1224"/>
      <c r="BS530" s="1224"/>
    </row>
    <row r="531" spans="2:71" s="491" customFormat="1">
      <c r="B531" s="2297"/>
      <c r="C531" s="2297"/>
      <c r="D531" s="2297"/>
      <c r="E531" s="2297"/>
      <c r="F531" s="2297"/>
      <c r="G531" s="2297"/>
      <c r="H531" s="2297"/>
      <c r="I531" s="2297"/>
      <c r="J531" s="2297"/>
      <c r="K531" s="2297"/>
      <c r="L531" s="2297"/>
      <c r="M531" s="2297"/>
      <c r="N531" s="2297"/>
      <c r="O531" s="2297"/>
      <c r="P531" s="2297"/>
      <c r="Q531" s="2297"/>
      <c r="R531" s="99"/>
      <c r="S531" s="99"/>
      <c r="T531" s="99"/>
      <c r="U531" s="99"/>
      <c r="V531" s="99"/>
      <c r="AF531" s="2297"/>
      <c r="AG531" s="1208"/>
      <c r="AH531" s="1208"/>
      <c r="AI531" s="1223"/>
      <c r="AJ531" s="1223"/>
      <c r="AK531" s="1223"/>
      <c r="AL531" s="1223"/>
      <c r="AM531" s="1223"/>
      <c r="AN531" s="1223"/>
      <c r="AO531" s="1208"/>
      <c r="AP531" s="1223"/>
      <c r="AQ531" s="1208"/>
      <c r="AR531" s="1208"/>
      <c r="AS531" s="1223"/>
      <c r="AT531" s="1223"/>
      <c r="AU531" s="1208"/>
      <c r="AV531" s="1208"/>
      <c r="AW531" s="2297"/>
      <c r="BE531" s="1224"/>
      <c r="BF531" s="1225"/>
      <c r="BR531" s="1224"/>
      <c r="BS531" s="1224"/>
    </row>
    <row r="532" spans="2:71" s="491" customFormat="1">
      <c r="B532" s="2297"/>
      <c r="C532" s="2297"/>
      <c r="D532" s="2297"/>
      <c r="E532" s="2297"/>
      <c r="F532" s="2297"/>
      <c r="G532" s="2297"/>
      <c r="H532" s="2297"/>
      <c r="I532" s="2297"/>
      <c r="J532" s="2297"/>
      <c r="K532" s="2297"/>
      <c r="L532" s="2297"/>
      <c r="M532" s="2297"/>
      <c r="N532" s="2297"/>
      <c r="O532" s="2297"/>
      <c r="P532" s="2297"/>
      <c r="Q532" s="2297"/>
      <c r="R532" s="99"/>
      <c r="S532" s="99"/>
      <c r="T532" s="99"/>
      <c r="U532" s="99"/>
      <c r="V532" s="99"/>
      <c r="AF532" s="2297"/>
      <c r="AG532" s="1208"/>
      <c r="AH532" s="1208"/>
      <c r="AI532" s="1223"/>
      <c r="AJ532" s="1223"/>
      <c r="AK532" s="1223"/>
      <c r="AL532" s="1223"/>
      <c r="AM532" s="1223"/>
      <c r="AN532" s="1223"/>
      <c r="AO532" s="1208"/>
      <c r="AP532" s="1223"/>
      <c r="AQ532" s="1208"/>
      <c r="AR532" s="1208"/>
      <c r="AS532" s="1223"/>
      <c r="AT532" s="1223"/>
      <c r="AU532" s="1208"/>
      <c r="AV532" s="1208"/>
      <c r="AW532" s="2297"/>
      <c r="BE532" s="1224"/>
      <c r="BF532" s="1225"/>
      <c r="BR532" s="1224"/>
      <c r="BS532" s="1224"/>
    </row>
    <row r="533" spans="2:71" s="491" customFormat="1">
      <c r="B533" s="2297"/>
      <c r="C533" s="2297"/>
      <c r="D533" s="2297"/>
      <c r="E533" s="2297"/>
      <c r="F533" s="2297"/>
      <c r="G533" s="2297"/>
      <c r="H533" s="2297"/>
      <c r="I533" s="2297"/>
      <c r="J533" s="2297"/>
      <c r="K533" s="2297"/>
      <c r="L533" s="2297"/>
      <c r="M533" s="2297"/>
      <c r="N533" s="2297"/>
      <c r="O533" s="2297"/>
      <c r="P533" s="2297"/>
      <c r="Q533" s="2297"/>
      <c r="R533" s="99"/>
      <c r="S533" s="99"/>
      <c r="T533" s="99"/>
      <c r="U533" s="99"/>
      <c r="V533" s="99"/>
      <c r="AF533" s="2297"/>
      <c r="AG533" s="1208"/>
      <c r="AH533" s="1208"/>
      <c r="AI533" s="1223"/>
      <c r="AJ533" s="1223"/>
      <c r="AK533" s="1223"/>
      <c r="AL533" s="1223"/>
      <c r="AM533" s="1223"/>
      <c r="AN533" s="1223"/>
      <c r="AO533" s="1208"/>
      <c r="AP533" s="1223"/>
      <c r="AQ533" s="1208"/>
      <c r="AR533" s="1208"/>
      <c r="AS533" s="1223"/>
      <c r="AT533" s="1223"/>
      <c r="AU533" s="1208"/>
      <c r="AV533" s="1208"/>
      <c r="AW533" s="2297"/>
      <c r="BE533" s="1224"/>
      <c r="BF533" s="1225"/>
      <c r="BR533" s="1224"/>
      <c r="BS533" s="1224"/>
    </row>
    <row r="534" spans="2:71" s="491" customFormat="1">
      <c r="B534" s="2297"/>
      <c r="C534" s="2297"/>
      <c r="D534" s="2297"/>
      <c r="E534" s="2297"/>
      <c r="F534" s="2297"/>
      <c r="G534" s="2297"/>
      <c r="H534" s="2297"/>
      <c r="I534" s="2297"/>
      <c r="J534" s="2297"/>
      <c r="K534" s="2297"/>
      <c r="L534" s="2297"/>
      <c r="M534" s="2297"/>
      <c r="N534" s="2297"/>
      <c r="O534" s="2297"/>
      <c r="P534" s="2297"/>
      <c r="Q534" s="2297"/>
      <c r="R534" s="99"/>
      <c r="S534" s="99"/>
      <c r="T534" s="99"/>
      <c r="U534" s="99"/>
      <c r="V534" s="99"/>
      <c r="AF534" s="2297"/>
      <c r="AG534" s="1208"/>
      <c r="AH534" s="1208"/>
      <c r="AI534" s="1223"/>
      <c r="AJ534" s="1223"/>
      <c r="AK534" s="1223"/>
      <c r="AL534" s="1223"/>
      <c r="AM534" s="1223"/>
      <c r="AN534" s="1223"/>
      <c r="AO534" s="1208"/>
      <c r="AP534" s="1223"/>
      <c r="AQ534" s="1208"/>
      <c r="AR534" s="1208"/>
      <c r="AS534" s="1223"/>
      <c r="AT534" s="1223"/>
      <c r="AU534" s="1208"/>
      <c r="AV534" s="1208"/>
      <c r="AW534" s="2297"/>
      <c r="BE534" s="1224"/>
      <c r="BF534" s="1225"/>
      <c r="BR534" s="1224"/>
      <c r="BS534" s="1224"/>
    </row>
    <row r="535" spans="2:71" s="491" customFormat="1">
      <c r="B535" s="2297"/>
      <c r="C535" s="2297"/>
      <c r="D535" s="2297"/>
      <c r="E535" s="2297"/>
      <c r="F535" s="2297"/>
      <c r="G535" s="2297"/>
      <c r="H535" s="2297"/>
      <c r="I535" s="2297"/>
      <c r="J535" s="2297"/>
      <c r="K535" s="2297"/>
      <c r="L535" s="2297"/>
      <c r="M535" s="2297"/>
      <c r="N535" s="2297"/>
      <c r="O535" s="2297"/>
      <c r="P535" s="2297"/>
      <c r="Q535" s="2297"/>
      <c r="R535" s="99"/>
      <c r="S535" s="99"/>
      <c r="T535" s="99"/>
      <c r="U535" s="99"/>
      <c r="V535" s="99"/>
      <c r="AF535" s="2297"/>
      <c r="AG535" s="1208"/>
      <c r="AH535" s="1208"/>
      <c r="AI535" s="1223"/>
      <c r="AJ535" s="1223"/>
      <c r="AK535" s="1223"/>
      <c r="AL535" s="1223"/>
      <c r="AM535" s="1223"/>
      <c r="AN535" s="1223"/>
      <c r="AO535" s="1208"/>
      <c r="AP535" s="1223"/>
      <c r="AQ535" s="1208"/>
      <c r="AR535" s="1208"/>
      <c r="AS535" s="1223"/>
      <c r="AT535" s="1223"/>
      <c r="AU535" s="1208"/>
      <c r="AV535" s="1208"/>
      <c r="AW535" s="2297"/>
      <c r="BE535" s="1224"/>
      <c r="BF535" s="1225"/>
      <c r="BR535" s="1224"/>
      <c r="BS535" s="1224"/>
    </row>
    <row r="536" spans="2:71" s="491" customFormat="1">
      <c r="B536" s="2297"/>
      <c r="C536" s="2297"/>
      <c r="D536" s="2297"/>
      <c r="E536" s="2297"/>
      <c r="F536" s="2297"/>
      <c r="G536" s="2297"/>
      <c r="H536" s="2297"/>
      <c r="I536" s="2297"/>
      <c r="J536" s="2297"/>
      <c r="K536" s="2297"/>
      <c r="L536" s="2297"/>
      <c r="M536" s="2297"/>
      <c r="N536" s="2297"/>
      <c r="O536" s="2297"/>
      <c r="P536" s="2297"/>
      <c r="Q536" s="2297"/>
      <c r="R536" s="99"/>
      <c r="S536" s="99"/>
      <c r="T536" s="99"/>
      <c r="U536" s="99"/>
      <c r="V536" s="99"/>
      <c r="AF536" s="2297"/>
      <c r="AG536" s="1208"/>
      <c r="AH536" s="1208"/>
      <c r="AI536" s="1223"/>
      <c r="AJ536" s="1223"/>
      <c r="AK536" s="1223"/>
      <c r="AL536" s="1223"/>
      <c r="AM536" s="1223"/>
      <c r="AN536" s="1223"/>
      <c r="AO536" s="1208"/>
      <c r="AP536" s="1223"/>
      <c r="AQ536" s="1208"/>
      <c r="AR536" s="1208"/>
      <c r="AS536" s="1223"/>
      <c r="AT536" s="1223"/>
      <c r="AU536" s="1208"/>
      <c r="AV536" s="1208"/>
      <c r="AW536" s="2297"/>
      <c r="BE536" s="1224"/>
      <c r="BF536" s="1225"/>
      <c r="BR536" s="1224"/>
      <c r="BS536" s="1224"/>
    </row>
    <row r="537" spans="2:71" s="491" customFormat="1">
      <c r="B537" s="2297"/>
      <c r="C537" s="2297"/>
      <c r="D537" s="2297"/>
      <c r="E537" s="2297"/>
      <c r="F537" s="2297"/>
      <c r="G537" s="2297"/>
      <c r="H537" s="2297"/>
      <c r="I537" s="2297"/>
      <c r="J537" s="2297"/>
      <c r="K537" s="2297"/>
      <c r="L537" s="2297"/>
      <c r="M537" s="2297"/>
      <c r="N537" s="2297"/>
      <c r="O537" s="2297"/>
      <c r="P537" s="2297"/>
      <c r="Q537" s="2297"/>
      <c r="R537" s="99"/>
      <c r="S537" s="99"/>
      <c r="T537" s="99"/>
      <c r="U537" s="99"/>
      <c r="V537" s="99"/>
      <c r="AF537" s="2297"/>
      <c r="AG537" s="1208"/>
      <c r="AH537" s="1208"/>
      <c r="AI537" s="1223"/>
      <c r="AJ537" s="1223"/>
      <c r="AK537" s="1223"/>
      <c r="AL537" s="1223"/>
      <c r="AM537" s="1223"/>
      <c r="AN537" s="1223"/>
      <c r="AO537" s="1208"/>
      <c r="AP537" s="1223"/>
      <c r="AQ537" s="1208"/>
      <c r="AR537" s="1208"/>
      <c r="AS537" s="1223"/>
      <c r="AT537" s="1223"/>
      <c r="AU537" s="1208"/>
      <c r="AV537" s="1208"/>
      <c r="AW537" s="2297"/>
      <c r="BE537" s="1224"/>
      <c r="BF537" s="1225"/>
      <c r="BR537" s="1224"/>
      <c r="BS537" s="1224"/>
    </row>
    <row r="538" spans="2:71" s="491" customFormat="1">
      <c r="B538" s="2297"/>
      <c r="C538" s="2297"/>
      <c r="D538" s="2297"/>
      <c r="E538" s="2297"/>
      <c r="F538" s="2297"/>
      <c r="G538" s="2297"/>
      <c r="H538" s="2297"/>
      <c r="I538" s="2297"/>
      <c r="J538" s="2297"/>
      <c r="K538" s="2297"/>
      <c r="L538" s="2297"/>
      <c r="M538" s="2297"/>
      <c r="N538" s="2297"/>
      <c r="O538" s="2297"/>
      <c r="P538" s="2297"/>
      <c r="Q538" s="2297"/>
      <c r="R538" s="99"/>
      <c r="S538" s="99"/>
      <c r="T538" s="99"/>
      <c r="U538" s="99"/>
      <c r="V538" s="99"/>
      <c r="AF538" s="2297"/>
      <c r="AG538" s="1208"/>
      <c r="AH538" s="1208"/>
      <c r="AI538" s="1223"/>
      <c r="AJ538" s="1223"/>
      <c r="AK538" s="1223"/>
      <c r="AL538" s="1223"/>
      <c r="AM538" s="1223"/>
      <c r="AN538" s="1223"/>
      <c r="AO538" s="1208"/>
      <c r="AP538" s="1223"/>
      <c r="AQ538" s="1208"/>
      <c r="AR538" s="1208"/>
      <c r="AS538" s="1223"/>
      <c r="AT538" s="1223"/>
      <c r="AU538" s="1208"/>
      <c r="AV538" s="1208"/>
      <c r="AW538" s="2297"/>
      <c r="BE538" s="1224"/>
      <c r="BF538" s="1225"/>
      <c r="BR538" s="1224"/>
      <c r="BS538" s="1224"/>
    </row>
    <row r="539" spans="2:71" s="491" customFormat="1">
      <c r="B539" s="2297"/>
      <c r="C539" s="2297"/>
      <c r="D539" s="2297"/>
      <c r="E539" s="2297"/>
      <c r="F539" s="2297"/>
      <c r="G539" s="2297"/>
      <c r="H539" s="2297"/>
      <c r="I539" s="2297"/>
      <c r="J539" s="2297"/>
      <c r="K539" s="2297"/>
      <c r="L539" s="2297"/>
      <c r="M539" s="2297"/>
      <c r="N539" s="2297"/>
      <c r="O539" s="2297"/>
      <c r="P539" s="2297"/>
      <c r="Q539" s="2297"/>
      <c r="R539" s="99"/>
      <c r="S539" s="99"/>
      <c r="T539" s="99"/>
      <c r="U539" s="99"/>
      <c r="V539" s="99"/>
      <c r="AF539" s="2297"/>
      <c r="AG539" s="1208"/>
      <c r="AH539" s="1208"/>
      <c r="AI539" s="1223"/>
      <c r="AJ539" s="1223"/>
      <c r="AK539" s="1223"/>
      <c r="AL539" s="1223"/>
      <c r="AM539" s="1223"/>
      <c r="AN539" s="1223"/>
      <c r="AO539" s="1208"/>
      <c r="AP539" s="1223"/>
      <c r="AQ539" s="1208"/>
      <c r="AR539" s="1208"/>
      <c r="AS539" s="1223"/>
      <c r="AT539" s="1223"/>
      <c r="AU539" s="1208"/>
      <c r="AV539" s="1208"/>
      <c r="AW539" s="2297"/>
      <c r="BE539" s="1224"/>
      <c r="BF539" s="1225"/>
      <c r="BR539" s="1224"/>
      <c r="BS539" s="1224"/>
    </row>
    <row r="540" spans="2:71" s="491" customFormat="1">
      <c r="B540" s="2297"/>
      <c r="C540" s="2297"/>
      <c r="D540" s="2297"/>
      <c r="E540" s="2297"/>
      <c r="F540" s="2297"/>
      <c r="G540" s="2297"/>
      <c r="H540" s="2297"/>
      <c r="I540" s="2297"/>
      <c r="J540" s="2297"/>
      <c r="K540" s="2297"/>
      <c r="L540" s="2297"/>
      <c r="M540" s="2297"/>
      <c r="N540" s="2297"/>
      <c r="O540" s="2297"/>
      <c r="P540" s="2297"/>
      <c r="Q540" s="2297"/>
      <c r="R540" s="99"/>
      <c r="S540" s="99"/>
      <c r="T540" s="99"/>
      <c r="U540" s="99"/>
      <c r="V540" s="99"/>
      <c r="AF540" s="2297"/>
      <c r="AG540" s="1208"/>
      <c r="AH540" s="1208"/>
      <c r="AI540" s="1223"/>
      <c r="AJ540" s="1223"/>
      <c r="AK540" s="1223"/>
      <c r="AL540" s="1223"/>
      <c r="AM540" s="1223"/>
      <c r="AN540" s="1223"/>
      <c r="AO540" s="1208"/>
      <c r="AP540" s="1223"/>
      <c r="AQ540" s="1208"/>
      <c r="AR540" s="1208"/>
      <c r="AS540" s="1223"/>
      <c r="AT540" s="1223"/>
      <c r="AU540" s="1208"/>
      <c r="AV540" s="1208"/>
      <c r="AW540" s="2297"/>
      <c r="BE540" s="1224"/>
      <c r="BF540" s="1225"/>
      <c r="BR540" s="1224"/>
      <c r="BS540" s="1224"/>
    </row>
    <row r="541" spans="2:71" s="491" customFormat="1">
      <c r="B541" s="2297"/>
      <c r="C541" s="2297"/>
      <c r="D541" s="2297"/>
      <c r="E541" s="2297"/>
      <c r="F541" s="2297"/>
      <c r="G541" s="2297"/>
      <c r="H541" s="2297"/>
      <c r="I541" s="2297"/>
      <c r="J541" s="2297"/>
      <c r="K541" s="2297"/>
      <c r="L541" s="2297"/>
      <c r="M541" s="2297"/>
      <c r="N541" s="2297"/>
      <c r="O541" s="2297"/>
      <c r="P541" s="2297"/>
      <c r="Q541" s="2297"/>
      <c r="R541" s="99"/>
      <c r="S541" s="99"/>
      <c r="T541" s="99"/>
      <c r="U541" s="99"/>
      <c r="V541" s="99"/>
      <c r="AF541" s="2297"/>
      <c r="AG541" s="1208"/>
      <c r="AH541" s="1208"/>
      <c r="AI541" s="1223"/>
      <c r="AJ541" s="1223"/>
      <c r="AK541" s="1223"/>
      <c r="AL541" s="1223"/>
      <c r="AM541" s="1223"/>
      <c r="AN541" s="1223"/>
      <c r="AO541" s="1208"/>
      <c r="AP541" s="1223"/>
      <c r="AQ541" s="1208"/>
      <c r="AR541" s="1208"/>
      <c r="AS541" s="1223"/>
      <c r="AT541" s="1223"/>
      <c r="AU541" s="1208"/>
      <c r="AV541" s="1208"/>
      <c r="AW541" s="2297"/>
      <c r="BE541" s="1224"/>
      <c r="BF541" s="1225"/>
      <c r="BR541" s="1224"/>
      <c r="BS541" s="1224"/>
    </row>
    <row r="542" spans="2:71" s="491" customFormat="1">
      <c r="B542" s="2297"/>
      <c r="C542" s="2297"/>
      <c r="D542" s="2297"/>
      <c r="E542" s="2297"/>
      <c r="F542" s="2297"/>
      <c r="G542" s="2297"/>
      <c r="H542" s="2297"/>
      <c r="I542" s="2297"/>
      <c r="J542" s="2297"/>
      <c r="K542" s="2297"/>
      <c r="L542" s="2297"/>
      <c r="M542" s="2297"/>
      <c r="N542" s="2297"/>
      <c r="O542" s="2297"/>
      <c r="P542" s="2297"/>
      <c r="Q542" s="2297"/>
      <c r="R542" s="99"/>
      <c r="S542" s="99"/>
      <c r="T542" s="99"/>
      <c r="U542" s="99"/>
      <c r="V542" s="99"/>
      <c r="AF542" s="2297"/>
      <c r="AG542" s="1208"/>
      <c r="AH542" s="1208"/>
      <c r="AI542" s="1223"/>
      <c r="AJ542" s="1223"/>
      <c r="AK542" s="1223"/>
      <c r="AL542" s="1223"/>
      <c r="AM542" s="1223"/>
      <c r="AN542" s="1223"/>
      <c r="AO542" s="1208"/>
      <c r="AP542" s="1223"/>
      <c r="AQ542" s="1208"/>
      <c r="AR542" s="1208"/>
      <c r="AS542" s="1223"/>
      <c r="AT542" s="1223"/>
      <c r="AU542" s="1208"/>
      <c r="AV542" s="1208"/>
      <c r="AW542" s="2297"/>
      <c r="BE542" s="1224"/>
      <c r="BF542" s="1225"/>
      <c r="BR542" s="1224"/>
      <c r="BS542" s="1224"/>
    </row>
    <row r="543" spans="2:71" s="491" customFormat="1">
      <c r="B543" s="2297"/>
      <c r="C543" s="2297"/>
      <c r="D543" s="2297"/>
      <c r="E543" s="2297"/>
      <c r="F543" s="2297"/>
      <c r="G543" s="2297"/>
      <c r="H543" s="2297"/>
      <c r="I543" s="2297"/>
      <c r="J543" s="2297"/>
      <c r="K543" s="2297"/>
      <c r="L543" s="2297"/>
      <c r="M543" s="2297"/>
      <c r="N543" s="2297"/>
      <c r="O543" s="2297"/>
      <c r="P543" s="2297"/>
      <c r="Q543" s="2297"/>
      <c r="R543" s="99"/>
      <c r="S543" s="99"/>
      <c r="T543" s="99"/>
      <c r="U543" s="99"/>
      <c r="V543" s="99"/>
      <c r="AF543" s="2297"/>
      <c r="AG543" s="1208"/>
      <c r="AH543" s="1208"/>
      <c r="AI543" s="1223"/>
      <c r="AJ543" s="1223"/>
      <c r="AK543" s="1223"/>
      <c r="AL543" s="1223"/>
      <c r="AM543" s="1223"/>
      <c r="AN543" s="1223"/>
      <c r="AO543" s="1208"/>
      <c r="AP543" s="1223"/>
      <c r="AQ543" s="1208"/>
      <c r="AR543" s="1208"/>
      <c r="AS543" s="1223"/>
      <c r="AT543" s="1223"/>
      <c r="AU543" s="1208"/>
      <c r="AV543" s="1208"/>
      <c r="AW543" s="2297"/>
      <c r="BE543" s="1224"/>
      <c r="BF543" s="1225"/>
      <c r="BR543" s="1224"/>
      <c r="BS543" s="1224"/>
    </row>
    <row r="544" spans="2:71" s="491" customFormat="1">
      <c r="B544" s="2297"/>
      <c r="C544" s="2297"/>
      <c r="D544" s="2297"/>
      <c r="E544" s="2297"/>
      <c r="F544" s="2297"/>
      <c r="G544" s="2297"/>
      <c r="H544" s="2297"/>
      <c r="I544" s="2297"/>
      <c r="J544" s="2297"/>
      <c r="K544" s="2297"/>
      <c r="L544" s="2297"/>
      <c r="M544" s="2297"/>
      <c r="N544" s="2297"/>
      <c r="O544" s="2297"/>
      <c r="P544" s="2297"/>
      <c r="Q544" s="2297"/>
      <c r="R544" s="99"/>
      <c r="S544" s="99"/>
      <c r="T544" s="99"/>
      <c r="U544" s="99"/>
      <c r="V544" s="99"/>
      <c r="AF544" s="2297"/>
      <c r="AG544" s="1208"/>
      <c r="AH544" s="1208"/>
      <c r="AI544" s="1223"/>
      <c r="AJ544" s="1223"/>
      <c r="AK544" s="1223"/>
      <c r="AL544" s="1223"/>
      <c r="AM544" s="1223"/>
      <c r="AN544" s="1223"/>
      <c r="AO544" s="1208"/>
      <c r="AP544" s="1223"/>
      <c r="AQ544" s="1208"/>
      <c r="AR544" s="1208"/>
      <c r="AS544" s="1223"/>
      <c r="AT544" s="1223"/>
      <c r="AU544" s="1208"/>
      <c r="AV544" s="1208"/>
      <c r="AW544" s="2297"/>
      <c r="BE544" s="1224"/>
      <c r="BF544" s="1225"/>
      <c r="BR544" s="1224"/>
      <c r="BS544" s="1224"/>
    </row>
    <row r="545" spans="2:71" s="491" customFormat="1">
      <c r="B545" s="2297"/>
      <c r="C545" s="2297"/>
      <c r="D545" s="2297"/>
      <c r="E545" s="2297"/>
      <c r="F545" s="2297"/>
      <c r="G545" s="2297"/>
      <c r="H545" s="2297"/>
      <c r="I545" s="2297"/>
      <c r="J545" s="2297"/>
      <c r="K545" s="2297"/>
      <c r="L545" s="2297"/>
      <c r="M545" s="2297"/>
      <c r="N545" s="2297"/>
      <c r="O545" s="2297"/>
      <c r="P545" s="2297"/>
      <c r="Q545" s="2297"/>
      <c r="R545" s="99"/>
      <c r="S545" s="99"/>
      <c r="T545" s="99"/>
      <c r="U545" s="99"/>
      <c r="V545" s="99"/>
      <c r="AF545" s="2297"/>
      <c r="AG545" s="1208"/>
      <c r="AH545" s="1208"/>
      <c r="AI545" s="1223"/>
      <c r="AJ545" s="1223"/>
      <c r="AK545" s="1223"/>
      <c r="AL545" s="1223"/>
      <c r="AM545" s="1223"/>
      <c r="AN545" s="1223"/>
      <c r="AO545" s="1208"/>
      <c r="AP545" s="1223"/>
      <c r="AQ545" s="1208"/>
      <c r="AR545" s="1208"/>
      <c r="AS545" s="1223"/>
      <c r="AT545" s="1223"/>
      <c r="AU545" s="1208"/>
      <c r="AV545" s="1208"/>
      <c r="AW545" s="2297"/>
      <c r="BE545" s="1224"/>
      <c r="BF545" s="1225"/>
      <c r="BR545" s="1224"/>
      <c r="BS545" s="1224"/>
    </row>
    <row r="546" spans="2:71" s="491" customFormat="1">
      <c r="B546" s="2297"/>
      <c r="C546" s="2297"/>
      <c r="D546" s="2297"/>
      <c r="E546" s="2297"/>
      <c r="F546" s="2297"/>
      <c r="G546" s="2297"/>
      <c r="H546" s="2297"/>
      <c r="I546" s="2297"/>
      <c r="J546" s="2297"/>
      <c r="K546" s="2297"/>
      <c r="L546" s="2297"/>
      <c r="M546" s="2297"/>
      <c r="N546" s="2297"/>
      <c r="O546" s="2297"/>
      <c r="P546" s="2297"/>
      <c r="Q546" s="2297"/>
      <c r="R546" s="99"/>
      <c r="S546" s="99"/>
      <c r="T546" s="99"/>
      <c r="U546" s="99"/>
      <c r="V546" s="99"/>
      <c r="AF546" s="2297"/>
      <c r="AG546" s="1208"/>
      <c r="AH546" s="1208"/>
      <c r="AI546" s="1223"/>
      <c r="AJ546" s="1223"/>
      <c r="AK546" s="1223"/>
      <c r="AL546" s="1223"/>
      <c r="AM546" s="1223"/>
      <c r="AN546" s="1223"/>
      <c r="AO546" s="1208"/>
      <c r="AP546" s="1223"/>
      <c r="AQ546" s="1208"/>
      <c r="AR546" s="1208"/>
      <c r="AS546" s="1223"/>
      <c r="AT546" s="1223"/>
      <c r="AU546" s="1208"/>
      <c r="AV546" s="1208"/>
      <c r="AW546" s="2297"/>
      <c r="BE546" s="1224"/>
      <c r="BF546" s="1225"/>
      <c r="BR546" s="1224"/>
      <c r="BS546" s="1224"/>
    </row>
    <row r="547" spans="2:71" s="491" customFormat="1">
      <c r="B547" s="2297"/>
      <c r="C547" s="2297"/>
      <c r="D547" s="2297"/>
      <c r="E547" s="2297"/>
      <c r="F547" s="2297"/>
      <c r="G547" s="2297"/>
      <c r="H547" s="2297"/>
      <c r="I547" s="2297"/>
      <c r="J547" s="2297"/>
      <c r="K547" s="2297"/>
      <c r="L547" s="2297"/>
      <c r="M547" s="2297"/>
      <c r="N547" s="2297"/>
      <c r="O547" s="2297"/>
      <c r="P547" s="2297"/>
      <c r="Q547" s="2297"/>
      <c r="R547" s="99"/>
      <c r="S547" s="99"/>
      <c r="T547" s="99"/>
      <c r="U547" s="99"/>
      <c r="V547" s="99"/>
      <c r="AF547" s="2297"/>
      <c r="AG547" s="1208"/>
      <c r="AH547" s="1208"/>
      <c r="AI547" s="1223"/>
      <c r="AJ547" s="1223"/>
      <c r="AK547" s="1223"/>
      <c r="AL547" s="1223"/>
      <c r="AM547" s="1223"/>
      <c r="AN547" s="1223"/>
      <c r="AO547" s="1208"/>
      <c r="AP547" s="1223"/>
      <c r="AQ547" s="1208"/>
      <c r="AR547" s="1208"/>
      <c r="AS547" s="1223"/>
      <c r="AT547" s="1223"/>
      <c r="AU547" s="1208"/>
      <c r="AV547" s="1208"/>
      <c r="AW547" s="2297"/>
      <c r="BE547" s="1224"/>
      <c r="BF547" s="1225"/>
      <c r="BR547" s="1224"/>
      <c r="BS547" s="1224"/>
    </row>
    <row r="548" spans="2:71" s="491" customFormat="1">
      <c r="B548" s="2297"/>
      <c r="C548" s="2297"/>
      <c r="D548" s="2297"/>
      <c r="E548" s="2297"/>
      <c r="F548" s="2297"/>
      <c r="G548" s="2297"/>
      <c r="H548" s="2297"/>
      <c r="I548" s="2297"/>
      <c r="J548" s="2297"/>
      <c r="K548" s="2297"/>
      <c r="L548" s="2297"/>
      <c r="M548" s="2297"/>
      <c r="N548" s="2297"/>
      <c r="O548" s="2297"/>
      <c r="P548" s="2297"/>
      <c r="Q548" s="2297"/>
      <c r="R548" s="99"/>
      <c r="S548" s="99"/>
      <c r="T548" s="99"/>
      <c r="U548" s="99"/>
      <c r="V548" s="99"/>
      <c r="AF548" s="2297"/>
      <c r="AG548" s="1208"/>
      <c r="AH548" s="1208"/>
      <c r="AI548" s="1223"/>
      <c r="AJ548" s="1223"/>
      <c r="AK548" s="1223"/>
      <c r="AL548" s="1223"/>
      <c r="AM548" s="1223"/>
      <c r="AN548" s="1223"/>
      <c r="AO548" s="1208"/>
      <c r="AP548" s="1223"/>
      <c r="AQ548" s="1208"/>
      <c r="AR548" s="1208"/>
      <c r="AS548" s="1223"/>
      <c r="AT548" s="1223"/>
      <c r="AU548" s="1208"/>
      <c r="AV548" s="1208"/>
      <c r="AW548" s="2297"/>
      <c r="BE548" s="1224"/>
      <c r="BF548" s="1225"/>
      <c r="BR548" s="1224"/>
      <c r="BS548" s="1224"/>
    </row>
    <row r="549" spans="2:71" s="491" customFormat="1">
      <c r="B549" s="2297"/>
      <c r="C549" s="2297"/>
      <c r="D549" s="2297"/>
      <c r="E549" s="2297"/>
      <c r="F549" s="2297"/>
      <c r="G549" s="2297"/>
      <c r="H549" s="2297"/>
      <c r="I549" s="2297"/>
      <c r="J549" s="2297"/>
      <c r="K549" s="2297"/>
      <c r="L549" s="2297"/>
      <c r="M549" s="2297"/>
      <c r="N549" s="2297"/>
      <c r="O549" s="2297"/>
      <c r="P549" s="2297"/>
      <c r="Q549" s="2297"/>
      <c r="R549" s="99"/>
      <c r="S549" s="99"/>
      <c r="T549" s="99"/>
      <c r="U549" s="99"/>
      <c r="V549" s="99"/>
      <c r="AF549" s="2297"/>
      <c r="AG549" s="1208"/>
      <c r="AH549" s="1208"/>
      <c r="AI549" s="1223"/>
      <c r="AJ549" s="1223"/>
      <c r="AK549" s="1223"/>
      <c r="AL549" s="1223"/>
      <c r="AM549" s="1223"/>
      <c r="AN549" s="1223"/>
      <c r="AO549" s="1208"/>
      <c r="AP549" s="1223"/>
      <c r="AQ549" s="1208"/>
      <c r="AR549" s="1208"/>
      <c r="AS549" s="1223"/>
      <c r="AT549" s="1223"/>
      <c r="AU549" s="1208"/>
      <c r="AV549" s="1208"/>
      <c r="AW549" s="2297"/>
      <c r="BE549" s="1224"/>
      <c r="BF549" s="1225"/>
      <c r="BR549" s="1224"/>
      <c r="BS549" s="1224"/>
    </row>
    <row r="550" spans="2:71" s="491" customFormat="1">
      <c r="B550" s="2297"/>
      <c r="C550" s="2297"/>
      <c r="D550" s="2297"/>
      <c r="E550" s="2297"/>
      <c r="F550" s="2297"/>
      <c r="G550" s="2297"/>
      <c r="H550" s="2297"/>
      <c r="I550" s="2297"/>
      <c r="J550" s="2297"/>
      <c r="K550" s="2297"/>
      <c r="L550" s="2297"/>
      <c r="M550" s="2297"/>
      <c r="N550" s="2297"/>
      <c r="O550" s="2297"/>
      <c r="P550" s="2297"/>
      <c r="Q550" s="2297"/>
      <c r="R550" s="99"/>
      <c r="S550" s="99"/>
      <c r="T550" s="99"/>
      <c r="U550" s="99"/>
      <c r="V550" s="99"/>
      <c r="AF550" s="2297"/>
      <c r="AG550" s="1208"/>
      <c r="AH550" s="1208"/>
      <c r="AI550" s="1223"/>
      <c r="AJ550" s="1223"/>
      <c r="AK550" s="1223"/>
      <c r="AL550" s="1223"/>
      <c r="AM550" s="1223"/>
      <c r="AN550" s="1223"/>
      <c r="AO550" s="1208"/>
      <c r="AP550" s="1223"/>
      <c r="AQ550" s="1208"/>
      <c r="AR550" s="1208"/>
      <c r="AS550" s="1223"/>
      <c r="AT550" s="1223"/>
      <c r="AU550" s="1208"/>
      <c r="AV550" s="1208"/>
      <c r="AW550" s="2297"/>
      <c r="BE550" s="1224"/>
      <c r="BF550" s="1225"/>
      <c r="BR550" s="1224"/>
      <c r="BS550" s="1224"/>
    </row>
    <row r="551" spans="2:71" s="491" customFormat="1">
      <c r="B551" s="2297"/>
      <c r="C551" s="2297"/>
      <c r="D551" s="2297"/>
      <c r="E551" s="2297"/>
      <c r="F551" s="2297"/>
      <c r="G551" s="2297"/>
      <c r="H551" s="2297"/>
      <c r="I551" s="2297"/>
      <c r="J551" s="2297"/>
      <c r="K551" s="2297"/>
      <c r="L551" s="2297"/>
      <c r="M551" s="2297"/>
      <c r="N551" s="2297"/>
      <c r="O551" s="2297"/>
      <c r="P551" s="2297"/>
      <c r="Q551" s="2297"/>
      <c r="R551" s="99"/>
      <c r="S551" s="99"/>
      <c r="T551" s="99"/>
      <c r="U551" s="99"/>
      <c r="V551" s="99"/>
      <c r="AF551" s="2297"/>
      <c r="AG551" s="1208"/>
      <c r="AH551" s="1208"/>
      <c r="AI551" s="1223"/>
      <c r="AJ551" s="1223"/>
      <c r="AK551" s="1223"/>
      <c r="AL551" s="1223"/>
      <c r="AM551" s="1223"/>
      <c r="AN551" s="1223"/>
      <c r="AO551" s="1208"/>
      <c r="AP551" s="1223"/>
      <c r="AQ551" s="1208"/>
      <c r="AR551" s="1208"/>
      <c r="AS551" s="1223"/>
      <c r="AT551" s="1223"/>
      <c r="AU551" s="1208"/>
      <c r="AV551" s="1208"/>
      <c r="AW551" s="2297"/>
      <c r="BE551" s="1224"/>
      <c r="BF551" s="1225"/>
      <c r="BR551" s="1224"/>
      <c r="BS551" s="1224"/>
    </row>
    <row r="552" spans="2:71" s="491" customFormat="1">
      <c r="B552" s="2297"/>
      <c r="C552" s="2297"/>
      <c r="D552" s="2297"/>
      <c r="E552" s="2297"/>
      <c r="F552" s="2297"/>
      <c r="G552" s="2297"/>
      <c r="H552" s="2297"/>
      <c r="I552" s="2297"/>
      <c r="J552" s="2297"/>
      <c r="K552" s="2297"/>
      <c r="L552" s="2297"/>
      <c r="M552" s="2297"/>
      <c r="N552" s="2297"/>
      <c r="O552" s="2297"/>
      <c r="P552" s="2297"/>
      <c r="Q552" s="2297"/>
      <c r="R552" s="99"/>
      <c r="S552" s="99"/>
      <c r="T552" s="99"/>
      <c r="U552" s="99"/>
      <c r="V552" s="99"/>
      <c r="AF552" s="2297"/>
      <c r="AG552" s="1208"/>
      <c r="AH552" s="1208"/>
      <c r="AI552" s="1223"/>
      <c r="AJ552" s="1223"/>
      <c r="AK552" s="1223"/>
      <c r="AL552" s="1223"/>
      <c r="AM552" s="1223"/>
      <c r="AN552" s="1223"/>
      <c r="AO552" s="1208"/>
      <c r="AP552" s="1223"/>
      <c r="AQ552" s="1208"/>
      <c r="AR552" s="1208"/>
      <c r="AS552" s="1223"/>
      <c r="AT552" s="1223"/>
      <c r="AU552" s="1208"/>
      <c r="AV552" s="1208"/>
      <c r="AW552" s="2297"/>
      <c r="BE552" s="1224"/>
      <c r="BF552" s="1225"/>
      <c r="BR552" s="1224"/>
      <c r="BS552" s="1224"/>
    </row>
    <row r="553" spans="2:71" s="491" customFormat="1">
      <c r="B553" s="2297"/>
      <c r="C553" s="2297"/>
      <c r="D553" s="2297"/>
      <c r="E553" s="2297"/>
      <c r="F553" s="2297"/>
      <c r="G553" s="2297"/>
      <c r="H553" s="2297"/>
      <c r="I553" s="2297"/>
      <c r="J553" s="2297"/>
      <c r="K553" s="2297"/>
      <c r="L553" s="2297"/>
      <c r="M553" s="2297"/>
      <c r="N553" s="2297"/>
      <c r="O553" s="2297"/>
      <c r="P553" s="2297"/>
      <c r="Q553" s="2297"/>
      <c r="R553" s="99"/>
      <c r="S553" s="99"/>
      <c r="T553" s="99"/>
      <c r="U553" s="99"/>
      <c r="V553" s="99"/>
      <c r="AF553" s="2297"/>
      <c r="AG553" s="1208"/>
      <c r="AH553" s="1208"/>
      <c r="AI553" s="1223"/>
      <c r="AJ553" s="1223"/>
      <c r="AK553" s="1223"/>
      <c r="AL553" s="1223"/>
      <c r="AM553" s="1223"/>
      <c r="AN553" s="1223"/>
      <c r="AO553" s="1208"/>
      <c r="AP553" s="1223"/>
      <c r="AQ553" s="1208"/>
      <c r="AR553" s="1208"/>
      <c r="AS553" s="1223"/>
      <c r="AT553" s="1223"/>
      <c r="AU553" s="1208"/>
      <c r="AV553" s="1208"/>
      <c r="AW553" s="2297"/>
      <c r="BE553" s="1224"/>
      <c r="BF553" s="1225"/>
      <c r="BR553" s="1224"/>
      <c r="BS553" s="1224"/>
    </row>
    <row r="554" spans="2:71" s="491" customFormat="1">
      <c r="B554" s="2297"/>
      <c r="C554" s="2297"/>
      <c r="D554" s="2297"/>
      <c r="E554" s="2297"/>
      <c r="F554" s="2297"/>
      <c r="G554" s="2297"/>
      <c r="H554" s="2297"/>
      <c r="I554" s="2297"/>
      <c r="J554" s="2297"/>
      <c r="K554" s="2297"/>
      <c r="L554" s="2297"/>
      <c r="M554" s="2297"/>
      <c r="N554" s="2297"/>
      <c r="O554" s="2297"/>
      <c r="P554" s="2297"/>
      <c r="Q554" s="2297"/>
      <c r="R554" s="99"/>
      <c r="S554" s="99"/>
      <c r="T554" s="99"/>
      <c r="U554" s="99"/>
      <c r="V554" s="99"/>
      <c r="AF554" s="2297"/>
      <c r="AG554" s="1208"/>
      <c r="AH554" s="1208"/>
      <c r="AI554" s="1223"/>
      <c r="AJ554" s="1223"/>
      <c r="AK554" s="1223"/>
      <c r="AL554" s="1223"/>
      <c r="AM554" s="1223"/>
      <c r="AN554" s="1223"/>
      <c r="AO554" s="1208"/>
      <c r="AP554" s="1223"/>
      <c r="AQ554" s="1208"/>
      <c r="AR554" s="1208"/>
      <c r="AS554" s="1223"/>
      <c r="AT554" s="1223"/>
      <c r="AU554" s="1208"/>
      <c r="AV554" s="1208"/>
      <c r="AW554" s="2297"/>
      <c r="BE554" s="1224"/>
      <c r="BF554" s="1225"/>
      <c r="BR554" s="1224"/>
      <c r="BS554" s="1224"/>
    </row>
    <row r="555" spans="2:71" s="491" customFormat="1">
      <c r="B555" s="2297"/>
      <c r="C555" s="2297"/>
      <c r="D555" s="2297"/>
      <c r="E555" s="2297"/>
      <c r="F555" s="2297"/>
      <c r="G555" s="2297"/>
      <c r="H555" s="2297"/>
      <c r="I555" s="2297"/>
      <c r="J555" s="2297"/>
      <c r="K555" s="2297"/>
      <c r="L555" s="2297"/>
      <c r="M555" s="2297"/>
      <c r="N555" s="2297"/>
      <c r="O555" s="2297"/>
      <c r="P555" s="2297"/>
      <c r="Q555" s="2297"/>
      <c r="R555" s="99"/>
      <c r="S555" s="99"/>
      <c r="T555" s="99"/>
      <c r="U555" s="99"/>
      <c r="V555" s="99"/>
      <c r="AF555" s="2297"/>
      <c r="AG555" s="1208"/>
      <c r="AH555" s="1208"/>
      <c r="AI555" s="1223"/>
      <c r="AJ555" s="1223"/>
      <c r="AK555" s="1223"/>
      <c r="AL555" s="1223"/>
      <c r="AM555" s="1223"/>
      <c r="AN555" s="1223"/>
      <c r="AO555" s="1208"/>
      <c r="AP555" s="1223"/>
      <c r="AQ555" s="1208"/>
      <c r="AR555" s="1208"/>
      <c r="AS555" s="1223"/>
      <c r="AT555" s="1223"/>
      <c r="AU555" s="1208"/>
      <c r="AV555" s="1208"/>
      <c r="AW555" s="2297"/>
      <c r="BE555" s="1224"/>
      <c r="BF555" s="1225"/>
      <c r="BR555" s="1224"/>
      <c r="BS555" s="1224"/>
    </row>
    <row r="556" spans="2:71" s="491" customFormat="1">
      <c r="B556" s="2297"/>
      <c r="C556" s="2297"/>
      <c r="D556" s="2297"/>
      <c r="E556" s="2297"/>
      <c r="F556" s="2297"/>
      <c r="G556" s="2297"/>
      <c r="H556" s="2297"/>
      <c r="I556" s="2297"/>
      <c r="J556" s="2297"/>
      <c r="K556" s="2297"/>
      <c r="L556" s="2297"/>
      <c r="M556" s="2297"/>
      <c r="N556" s="2297"/>
      <c r="O556" s="2297"/>
      <c r="P556" s="2297"/>
      <c r="Q556" s="2297"/>
      <c r="R556" s="99"/>
      <c r="S556" s="99"/>
      <c r="T556" s="99"/>
      <c r="U556" s="99"/>
      <c r="V556" s="99"/>
      <c r="AF556" s="2297"/>
      <c r="AG556" s="1208"/>
      <c r="AH556" s="1208"/>
      <c r="AI556" s="1223"/>
      <c r="AJ556" s="1223"/>
      <c r="AK556" s="1223"/>
      <c r="AL556" s="1223"/>
      <c r="AM556" s="1223"/>
      <c r="AN556" s="1223"/>
      <c r="AO556" s="1208"/>
      <c r="AP556" s="1223"/>
      <c r="AQ556" s="1208"/>
      <c r="AR556" s="1208"/>
      <c r="AS556" s="1223"/>
      <c r="AT556" s="1223"/>
      <c r="AU556" s="1208"/>
      <c r="AV556" s="1208"/>
      <c r="AW556" s="2297"/>
      <c r="BE556" s="1224"/>
      <c r="BF556" s="1225"/>
      <c r="BR556" s="1224"/>
      <c r="BS556" s="1224"/>
    </row>
    <row r="557" spans="2:71" s="491" customFormat="1">
      <c r="B557" s="2297"/>
      <c r="C557" s="2297"/>
      <c r="D557" s="2297"/>
      <c r="E557" s="2297"/>
      <c r="F557" s="2297"/>
      <c r="G557" s="2297"/>
      <c r="H557" s="2297"/>
      <c r="I557" s="2297"/>
      <c r="J557" s="2297"/>
      <c r="K557" s="2297"/>
      <c r="L557" s="2297"/>
      <c r="M557" s="2297"/>
      <c r="N557" s="2297"/>
      <c r="O557" s="2297"/>
      <c r="P557" s="2297"/>
      <c r="Q557" s="2297"/>
      <c r="R557" s="99"/>
      <c r="S557" s="99"/>
      <c r="T557" s="99"/>
      <c r="U557" s="99"/>
      <c r="V557" s="99"/>
      <c r="AF557" s="2297"/>
      <c r="AG557" s="1208"/>
      <c r="AH557" s="1208"/>
      <c r="AI557" s="1223"/>
      <c r="AJ557" s="1223"/>
      <c r="AK557" s="1223"/>
      <c r="AL557" s="1223"/>
      <c r="AM557" s="1223"/>
      <c r="AN557" s="1223"/>
      <c r="AO557" s="1208"/>
      <c r="AP557" s="1223"/>
      <c r="AQ557" s="1208"/>
      <c r="AR557" s="1208"/>
      <c r="AS557" s="1223"/>
      <c r="AT557" s="1223"/>
      <c r="AU557" s="1208"/>
      <c r="AV557" s="1208"/>
      <c r="AW557" s="2297"/>
      <c r="BE557" s="1224"/>
      <c r="BF557" s="1225"/>
      <c r="BR557" s="1224"/>
      <c r="BS557" s="1224"/>
    </row>
    <row r="558" spans="2:71" s="491" customFormat="1">
      <c r="B558" s="2297"/>
      <c r="C558" s="2297"/>
      <c r="D558" s="2297"/>
      <c r="E558" s="2297"/>
      <c r="F558" s="2297"/>
      <c r="G558" s="2297"/>
      <c r="H558" s="2297"/>
      <c r="I558" s="2297"/>
      <c r="J558" s="2297"/>
      <c r="K558" s="2297"/>
      <c r="L558" s="2297"/>
      <c r="M558" s="2297"/>
      <c r="N558" s="2297"/>
      <c r="O558" s="2297"/>
      <c r="P558" s="2297"/>
      <c r="Q558" s="2297"/>
      <c r="R558" s="99"/>
      <c r="S558" s="99"/>
      <c r="T558" s="99"/>
      <c r="U558" s="99"/>
      <c r="V558" s="99"/>
      <c r="AF558" s="2297"/>
      <c r="AG558" s="1208"/>
      <c r="AH558" s="1208"/>
      <c r="AI558" s="1223"/>
      <c r="AJ558" s="1223"/>
      <c r="AK558" s="1223"/>
      <c r="AL558" s="1223"/>
      <c r="AM558" s="1223"/>
      <c r="AN558" s="1223"/>
      <c r="AO558" s="1208"/>
      <c r="AP558" s="1223"/>
      <c r="AQ558" s="1208"/>
      <c r="AR558" s="1208"/>
      <c r="AS558" s="1223"/>
      <c r="AT558" s="1223"/>
      <c r="AU558" s="1208"/>
      <c r="AV558" s="1208"/>
      <c r="AW558" s="2297"/>
      <c r="BE558" s="1224"/>
      <c r="BF558" s="1225"/>
      <c r="BR558" s="1224"/>
      <c r="BS558" s="1224"/>
    </row>
    <row r="559" spans="2:71" s="491" customFormat="1">
      <c r="B559" s="2297"/>
      <c r="C559" s="2297"/>
      <c r="D559" s="2297"/>
      <c r="E559" s="2297"/>
      <c r="F559" s="2297"/>
      <c r="G559" s="2297"/>
      <c r="H559" s="2297"/>
      <c r="I559" s="2297"/>
      <c r="J559" s="2297"/>
      <c r="K559" s="2297"/>
      <c r="L559" s="2297"/>
      <c r="M559" s="2297"/>
      <c r="N559" s="2297"/>
      <c r="O559" s="2297"/>
      <c r="P559" s="2297"/>
      <c r="Q559" s="2297"/>
      <c r="R559" s="99"/>
      <c r="S559" s="99"/>
      <c r="T559" s="99"/>
      <c r="U559" s="99"/>
      <c r="V559" s="99"/>
      <c r="AF559" s="2297"/>
      <c r="AG559" s="1208"/>
      <c r="AH559" s="1208"/>
      <c r="AI559" s="1223"/>
      <c r="AJ559" s="1223"/>
      <c r="AK559" s="1223"/>
      <c r="AL559" s="1223"/>
      <c r="AM559" s="1223"/>
      <c r="AN559" s="1223"/>
      <c r="AO559" s="1208"/>
      <c r="AP559" s="1223"/>
      <c r="AQ559" s="1208"/>
      <c r="AR559" s="1208"/>
      <c r="AS559" s="1223"/>
      <c r="AT559" s="1223"/>
      <c r="AU559" s="1208"/>
      <c r="AV559" s="1208"/>
      <c r="AW559" s="2297"/>
      <c r="BE559" s="1224"/>
      <c r="BF559" s="1225"/>
      <c r="BR559" s="1224"/>
      <c r="BS559" s="1224"/>
    </row>
    <row r="560" spans="2:71" s="491" customFormat="1">
      <c r="B560" s="2297"/>
      <c r="C560" s="2297"/>
      <c r="D560" s="2297"/>
      <c r="E560" s="2297"/>
      <c r="F560" s="2297"/>
      <c r="G560" s="2297"/>
      <c r="H560" s="2297"/>
      <c r="I560" s="2297"/>
      <c r="J560" s="2297"/>
      <c r="K560" s="2297"/>
      <c r="L560" s="2297"/>
      <c r="M560" s="2297"/>
      <c r="N560" s="2297"/>
      <c r="O560" s="2297"/>
      <c r="P560" s="2297"/>
      <c r="Q560" s="2297"/>
      <c r="R560" s="99"/>
      <c r="S560" s="99"/>
      <c r="T560" s="99"/>
      <c r="U560" s="99"/>
      <c r="V560" s="99"/>
      <c r="AF560" s="2297"/>
      <c r="AG560" s="1208"/>
      <c r="AH560" s="1208"/>
      <c r="AI560" s="1223"/>
      <c r="AJ560" s="1223"/>
      <c r="AK560" s="1223"/>
      <c r="AL560" s="1223"/>
      <c r="AM560" s="1223"/>
      <c r="AN560" s="1223"/>
      <c r="AO560" s="1208"/>
      <c r="AP560" s="1223"/>
      <c r="AQ560" s="1208"/>
      <c r="AR560" s="1208"/>
      <c r="AS560" s="1223"/>
      <c r="AT560" s="1223"/>
      <c r="AU560" s="1208"/>
      <c r="AV560" s="1208"/>
      <c r="AW560" s="2297"/>
      <c r="BE560" s="1224"/>
      <c r="BF560" s="1225"/>
      <c r="BR560" s="1224"/>
      <c r="BS560" s="1224"/>
    </row>
    <row r="561" spans="2:71" s="491" customFormat="1">
      <c r="B561" s="2297"/>
      <c r="C561" s="2297"/>
      <c r="D561" s="2297"/>
      <c r="E561" s="2297"/>
      <c r="F561" s="2297"/>
      <c r="G561" s="2297"/>
      <c r="H561" s="2297"/>
      <c r="I561" s="2297"/>
      <c r="J561" s="2297"/>
      <c r="K561" s="2297"/>
      <c r="L561" s="2297"/>
      <c r="M561" s="2297"/>
      <c r="N561" s="2297"/>
      <c r="O561" s="2297"/>
      <c r="P561" s="2297"/>
      <c r="Q561" s="2297"/>
      <c r="R561" s="99"/>
      <c r="S561" s="99"/>
      <c r="T561" s="99"/>
      <c r="U561" s="99"/>
      <c r="V561" s="99"/>
      <c r="AF561" s="2297"/>
      <c r="AG561" s="1208"/>
      <c r="AH561" s="1208"/>
      <c r="AI561" s="1223"/>
      <c r="AJ561" s="1223"/>
      <c r="AK561" s="1223"/>
      <c r="AL561" s="1223"/>
      <c r="AM561" s="1223"/>
      <c r="AN561" s="1223"/>
      <c r="AO561" s="1208"/>
      <c r="AP561" s="1223"/>
      <c r="AQ561" s="1208"/>
      <c r="AR561" s="1208"/>
      <c r="AS561" s="1223"/>
      <c r="AT561" s="1223"/>
      <c r="AU561" s="1208"/>
      <c r="AV561" s="1208"/>
      <c r="AW561" s="2297"/>
      <c r="BE561" s="1224"/>
      <c r="BF561" s="1225"/>
      <c r="BR561" s="1224"/>
      <c r="BS561" s="1224"/>
    </row>
    <row r="562" spans="2:71" s="491" customFormat="1">
      <c r="B562" s="2297"/>
      <c r="C562" s="2297"/>
      <c r="D562" s="2297"/>
      <c r="E562" s="2297"/>
      <c r="F562" s="2297"/>
      <c r="G562" s="2297"/>
      <c r="H562" s="2297"/>
      <c r="I562" s="2297"/>
      <c r="J562" s="2297"/>
      <c r="K562" s="2297"/>
      <c r="L562" s="2297"/>
      <c r="M562" s="2297"/>
      <c r="N562" s="2297"/>
      <c r="O562" s="2297"/>
      <c r="P562" s="2297"/>
      <c r="Q562" s="2297"/>
      <c r="R562" s="99"/>
      <c r="S562" s="99"/>
      <c r="T562" s="99"/>
      <c r="U562" s="99"/>
      <c r="V562" s="99"/>
      <c r="AF562" s="2297"/>
      <c r="AG562" s="1208"/>
      <c r="AH562" s="1208"/>
      <c r="AI562" s="1223"/>
      <c r="AJ562" s="1223"/>
      <c r="AK562" s="1223"/>
      <c r="AL562" s="1223"/>
      <c r="AM562" s="1223"/>
      <c r="AN562" s="1223"/>
      <c r="AO562" s="1208"/>
      <c r="AP562" s="1223"/>
      <c r="AQ562" s="1208"/>
      <c r="AR562" s="1208"/>
      <c r="AS562" s="1223"/>
      <c r="AT562" s="1223"/>
      <c r="AU562" s="1208"/>
      <c r="AV562" s="1208"/>
      <c r="AW562" s="2297"/>
      <c r="BE562" s="1224"/>
      <c r="BF562" s="1225"/>
      <c r="BR562" s="1224"/>
      <c r="BS562" s="1224"/>
    </row>
    <row r="563" spans="2:71" s="491" customFormat="1">
      <c r="B563" s="2297"/>
      <c r="C563" s="2297"/>
      <c r="D563" s="2297"/>
      <c r="E563" s="2297"/>
      <c r="F563" s="2297"/>
      <c r="G563" s="2297"/>
      <c r="H563" s="2297"/>
      <c r="I563" s="2297"/>
      <c r="J563" s="2297"/>
      <c r="K563" s="2297"/>
      <c r="L563" s="2297"/>
      <c r="M563" s="2297"/>
      <c r="N563" s="2297"/>
      <c r="O563" s="2297"/>
      <c r="P563" s="2297"/>
      <c r="Q563" s="2297"/>
      <c r="R563" s="99"/>
      <c r="S563" s="99"/>
      <c r="T563" s="99"/>
      <c r="U563" s="99"/>
      <c r="V563" s="99"/>
      <c r="AF563" s="2297"/>
      <c r="AG563" s="1208"/>
      <c r="AH563" s="1208"/>
      <c r="AI563" s="1223"/>
      <c r="AJ563" s="1223"/>
      <c r="AK563" s="1223"/>
      <c r="AL563" s="1223"/>
      <c r="AM563" s="1223"/>
      <c r="AN563" s="1223"/>
      <c r="AO563" s="1208"/>
      <c r="AP563" s="1223"/>
      <c r="AQ563" s="1208"/>
      <c r="AR563" s="1208"/>
      <c r="AS563" s="1223"/>
      <c r="AT563" s="1223"/>
      <c r="AU563" s="1208"/>
      <c r="AV563" s="1208"/>
      <c r="AW563" s="2297"/>
      <c r="BE563" s="1224"/>
      <c r="BF563" s="1225"/>
      <c r="BR563" s="1224"/>
      <c r="BS563" s="1224"/>
    </row>
    <row r="564" spans="2:71" s="491" customFormat="1">
      <c r="B564" s="2297"/>
      <c r="C564" s="2297"/>
      <c r="D564" s="2297"/>
      <c r="E564" s="2297"/>
      <c r="F564" s="2297"/>
      <c r="G564" s="2297"/>
      <c r="H564" s="2297"/>
      <c r="I564" s="2297"/>
      <c r="J564" s="2297"/>
      <c r="K564" s="2297"/>
      <c r="L564" s="2297"/>
      <c r="M564" s="2297"/>
      <c r="N564" s="2297"/>
      <c r="O564" s="2297"/>
      <c r="P564" s="2297"/>
      <c r="Q564" s="2297"/>
      <c r="R564" s="99"/>
      <c r="S564" s="99"/>
      <c r="T564" s="99"/>
      <c r="U564" s="99"/>
      <c r="V564" s="99"/>
      <c r="AF564" s="2297"/>
      <c r="AG564" s="1208"/>
      <c r="AH564" s="1208"/>
      <c r="AI564" s="1223"/>
      <c r="AJ564" s="1223"/>
      <c r="AK564" s="1223"/>
      <c r="AL564" s="1223"/>
      <c r="AM564" s="1223"/>
      <c r="AN564" s="1223"/>
      <c r="AO564" s="1208"/>
      <c r="AP564" s="1223"/>
      <c r="AQ564" s="1208"/>
      <c r="AR564" s="1208"/>
      <c r="AS564" s="1223"/>
      <c r="AT564" s="1223"/>
      <c r="AU564" s="1208"/>
      <c r="AV564" s="1208"/>
      <c r="AW564" s="2297"/>
      <c r="BE564" s="1224"/>
      <c r="BF564" s="1225"/>
      <c r="BR564" s="1224"/>
      <c r="BS564" s="1224"/>
    </row>
    <row r="565" spans="2:71" s="491" customFormat="1">
      <c r="B565" s="2297"/>
      <c r="C565" s="2297"/>
      <c r="D565" s="2297"/>
      <c r="E565" s="2297"/>
      <c r="F565" s="2297"/>
      <c r="G565" s="2297"/>
      <c r="H565" s="2297"/>
      <c r="I565" s="2297"/>
      <c r="J565" s="2297"/>
      <c r="K565" s="2297"/>
      <c r="L565" s="2297"/>
      <c r="M565" s="2297"/>
      <c r="N565" s="2297"/>
      <c r="O565" s="2297"/>
      <c r="P565" s="2297"/>
      <c r="Q565" s="2297"/>
      <c r="R565" s="99"/>
      <c r="S565" s="99"/>
      <c r="T565" s="99"/>
      <c r="U565" s="99"/>
      <c r="V565" s="99"/>
      <c r="AF565" s="2297"/>
      <c r="AG565" s="1208"/>
      <c r="AH565" s="1208"/>
      <c r="AI565" s="1223"/>
      <c r="AJ565" s="1223"/>
      <c r="AK565" s="1223"/>
      <c r="AL565" s="1223"/>
      <c r="AM565" s="1223"/>
      <c r="AN565" s="1223"/>
      <c r="AO565" s="1208"/>
      <c r="AP565" s="1223"/>
      <c r="AQ565" s="1208"/>
      <c r="AR565" s="1208"/>
      <c r="AS565" s="1223"/>
      <c r="AT565" s="1223"/>
      <c r="AU565" s="1208"/>
      <c r="AV565" s="1208"/>
      <c r="AW565" s="2297"/>
      <c r="BE565" s="1224"/>
      <c r="BF565" s="1225"/>
      <c r="BR565" s="1224"/>
      <c r="BS565" s="1224"/>
    </row>
    <row r="566" spans="2:71" s="491" customFormat="1">
      <c r="B566" s="2297"/>
      <c r="C566" s="2297"/>
      <c r="D566" s="2297"/>
      <c r="E566" s="2297"/>
      <c r="F566" s="2297"/>
      <c r="G566" s="2297"/>
      <c r="H566" s="2297"/>
      <c r="I566" s="2297"/>
      <c r="J566" s="2297"/>
      <c r="K566" s="2297"/>
      <c r="L566" s="2297"/>
      <c r="M566" s="2297"/>
      <c r="N566" s="2297"/>
      <c r="O566" s="2297"/>
      <c r="P566" s="2297"/>
      <c r="Q566" s="2297"/>
      <c r="R566" s="99"/>
      <c r="S566" s="99"/>
      <c r="T566" s="99"/>
      <c r="U566" s="99"/>
      <c r="V566" s="99"/>
      <c r="AF566" s="2297"/>
      <c r="AG566" s="1208"/>
      <c r="AH566" s="1208"/>
      <c r="AI566" s="1223"/>
      <c r="AJ566" s="1223"/>
      <c r="AK566" s="1223"/>
      <c r="AL566" s="1223"/>
      <c r="AM566" s="1223"/>
      <c r="AN566" s="1223"/>
      <c r="AO566" s="1208"/>
      <c r="AP566" s="1223"/>
      <c r="AQ566" s="1208"/>
      <c r="AR566" s="1208"/>
      <c r="AS566" s="1223"/>
      <c r="AT566" s="1223"/>
      <c r="AU566" s="1208"/>
      <c r="AV566" s="1208"/>
      <c r="AW566" s="2297"/>
      <c r="BE566" s="1224"/>
      <c r="BF566" s="1225"/>
      <c r="BR566" s="1224"/>
      <c r="BS566" s="1224"/>
    </row>
    <row r="567" spans="2:71" s="491" customFormat="1">
      <c r="B567" s="2297"/>
      <c r="C567" s="2297"/>
      <c r="D567" s="2297"/>
      <c r="E567" s="2297"/>
      <c r="F567" s="2297"/>
      <c r="G567" s="2297"/>
      <c r="H567" s="2297"/>
      <c r="I567" s="2297"/>
      <c r="J567" s="2297"/>
      <c r="K567" s="2297"/>
      <c r="L567" s="2297"/>
      <c r="M567" s="2297"/>
      <c r="N567" s="2297"/>
      <c r="O567" s="2297"/>
      <c r="P567" s="2297"/>
      <c r="Q567" s="2297"/>
      <c r="R567" s="99"/>
      <c r="S567" s="99"/>
      <c r="T567" s="99"/>
      <c r="U567" s="99"/>
      <c r="V567" s="99"/>
      <c r="AF567" s="2297"/>
      <c r="AG567" s="1208"/>
      <c r="AH567" s="1208"/>
      <c r="AI567" s="1223"/>
      <c r="AJ567" s="1223"/>
      <c r="AK567" s="1223"/>
      <c r="AL567" s="1223"/>
      <c r="AM567" s="1223"/>
      <c r="AN567" s="1223"/>
      <c r="AO567" s="1208"/>
      <c r="AP567" s="1223"/>
      <c r="AQ567" s="1208"/>
      <c r="AR567" s="1208"/>
      <c r="AS567" s="1223"/>
      <c r="AT567" s="1223"/>
      <c r="AU567" s="1208"/>
      <c r="AV567" s="1208"/>
      <c r="AW567" s="2297"/>
      <c r="BE567" s="1224"/>
      <c r="BF567" s="1225"/>
      <c r="BR567" s="1224"/>
      <c r="BS567" s="1224"/>
    </row>
    <row r="568" spans="2:71" s="491" customFormat="1">
      <c r="B568" s="2297"/>
      <c r="C568" s="2297"/>
      <c r="D568" s="2297"/>
      <c r="E568" s="2297"/>
      <c r="F568" s="2297"/>
      <c r="G568" s="2297"/>
      <c r="H568" s="2297"/>
      <c r="I568" s="2297"/>
      <c r="J568" s="2297"/>
      <c r="K568" s="2297"/>
      <c r="L568" s="2297"/>
      <c r="M568" s="2297"/>
      <c r="N568" s="2297"/>
      <c r="O568" s="2297"/>
      <c r="P568" s="2297"/>
      <c r="Q568" s="2297"/>
      <c r="R568" s="99"/>
      <c r="S568" s="99"/>
      <c r="T568" s="99"/>
      <c r="U568" s="99"/>
      <c r="V568" s="99"/>
      <c r="AF568" s="2297"/>
      <c r="AG568" s="1208"/>
      <c r="AH568" s="1208"/>
      <c r="AI568" s="1223"/>
      <c r="AJ568" s="1223"/>
      <c r="AK568" s="1223"/>
      <c r="AL568" s="1223"/>
      <c r="AM568" s="1223"/>
      <c r="AN568" s="1223"/>
      <c r="AO568" s="1208"/>
      <c r="AP568" s="1223"/>
      <c r="AQ568" s="1208"/>
      <c r="AR568" s="1208"/>
      <c r="AS568" s="1223"/>
      <c r="AT568" s="1223"/>
      <c r="AU568" s="1208"/>
      <c r="AV568" s="1208"/>
      <c r="AW568" s="2297"/>
      <c r="BE568" s="1224"/>
      <c r="BF568" s="1225"/>
      <c r="BR568" s="1224"/>
      <c r="BS568" s="1224"/>
    </row>
    <row r="569" spans="2:71" s="491" customFormat="1">
      <c r="B569" s="2297"/>
      <c r="C569" s="2297"/>
      <c r="D569" s="2297"/>
      <c r="E569" s="2297"/>
      <c r="F569" s="2297"/>
      <c r="G569" s="2297"/>
      <c r="H569" s="2297"/>
      <c r="I569" s="2297"/>
      <c r="J569" s="2297"/>
      <c r="K569" s="2297"/>
      <c r="L569" s="2297"/>
      <c r="M569" s="2297"/>
      <c r="N569" s="2297"/>
      <c r="O569" s="2297"/>
      <c r="P569" s="2297"/>
      <c r="Q569" s="2297"/>
      <c r="R569" s="99"/>
      <c r="S569" s="99"/>
      <c r="T569" s="99"/>
      <c r="U569" s="99"/>
      <c r="V569" s="99"/>
      <c r="AF569" s="2297"/>
      <c r="AG569" s="1208"/>
      <c r="AH569" s="1208"/>
      <c r="AI569" s="1223"/>
      <c r="AJ569" s="1223"/>
      <c r="AK569" s="1223"/>
      <c r="AL569" s="1223"/>
      <c r="AM569" s="1223"/>
      <c r="AN569" s="1223"/>
      <c r="AO569" s="1208"/>
      <c r="AP569" s="1223"/>
      <c r="AQ569" s="1208"/>
      <c r="AR569" s="1208"/>
      <c r="AS569" s="1223"/>
      <c r="AT569" s="1223"/>
      <c r="AU569" s="1208"/>
      <c r="AV569" s="1208"/>
      <c r="AW569" s="2297"/>
      <c r="BE569" s="1224"/>
      <c r="BF569" s="1225"/>
      <c r="BR569" s="1224"/>
      <c r="BS569" s="1224"/>
    </row>
    <row r="570" spans="2:71" s="491" customFormat="1">
      <c r="B570" s="2297"/>
      <c r="C570" s="2297"/>
      <c r="D570" s="2297"/>
      <c r="E570" s="2297"/>
      <c r="F570" s="2297"/>
      <c r="G570" s="2297"/>
      <c r="H570" s="2297"/>
      <c r="I570" s="2297"/>
      <c r="J570" s="2297"/>
      <c r="K570" s="2297"/>
      <c r="L570" s="2297"/>
      <c r="M570" s="2297"/>
      <c r="N570" s="2297"/>
      <c r="O570" s="2297"/>
      <c r="P570" s="2297"/>
      <c r="Q570" s="2297"/>
      <c r="R570" s="99"/>
      <c r="S570" s="99"/>
      <c r="T570" s="99"/>
      <c r="U570" s="99"/>
      <c r="V570" s="99"/>
      <c r="AF570" s="2297"/>
      <c r="AG570" s="1208"/>
      <c r="AH570" s="1208"/>
      <c r="AI570" s="1223"/>
      <c r="AJ570" s="1223"/>
      <c r="AK570" s="1223"/>
      <c r="AL570" s="1223"/>
      <c r="AM570" s="1223"/>
      <c r="AN570" s="1223"/>
      <c r="AO570" s="1208"/>
      <c r="AP570" s="1223"/>
      <c r="AQ570" s="1208"/>
      <c r="AR570" s="1208"/>
      <c r="AS570" s="1223"/>
      <c r="AT570" s="1223"/>
      <c r="AU570" s="1208"/>
      <c r="AV570" s="1208"/>
      <c r="AW570" s="2297"/>
      <c r="BE570" s="1224"/>
      <c r="BF570" s="1225"/>
      <c r="BR570" s="1224"/>
      <c r="BS570" s="1224"/>
    </row>
    <row r="571" spans="2:71" s="491" customFormat="1">
      <c r="B571" s="2297"/>
      <c r="C571" s="2297"/>
      <c r="D571" s="2297"/>
      <c r="E571" s="2297"/>
      <c r="F571" s="2297"/>
      <c r="G571" s="2297"/>
      <c r="H571" s="2297"/>
      <c r="I571" s="2297"/>
      <c r="J571" s="2297"/>
      <c r="K571" s="2297"/>
      <c r="L571" s="2297"/>
      <c r="M571" s="2297"/>
      <c r="N571" s="2297"/>
      <c r="O571" s="2297"/>
      <c r="P571" s="2297"/>
      <c r="Q571" s="2297"/>
      <c r="R571" s="99"/>
      <c r="S571" s="99"/>
      <c r="T571" s="99"/>
      <c r="U571" s="99"/>
      <c r="V571" s="99"/>
      <c r="AF571" s="2297"/>
      <c r="AG571" s="1208"/>
      <c r="AH571" s="1208"/>
      <c r="AI571" s="1223"/>
      <c r="AJ571" s="1223"/>
      <c r="AK571" s="1223"/>
      <c r="AL571" s="1223"/>
      <c r="AM571" s="1223"/>
      <c r="AN571" s="1223"/>
      <c r="AO571" s="1208"/>
      <c r="AP571" s="1223"/>
      <c r="AQ571" s="1208"/>
      <c r="AR571" s="1208"/>
      <c r="AS571" s="1223"/>
      <c r="AT571" s="1223"/>
      <c r="AU571" s="1208"/>
      <c r="AV571" s="1208"/>
      <c r="AW571" s="2297"/>
      <c r="BE571" s="1224"/>
      <c r="BF571" s="1225"/>
      <c r="BR571" s="1224"/>
      <c r="BS571" s="1224"/>
    </row>
    <row r="572" spans="2:71" s="491" customFormat="1">
      <c r="B572" s="2297"/>
      <c r="C572" s="2297"/>
      <c r="D572" s="2297"/>
      <c r="E572" s="2297"/>
      <c r="F572" s="2297"/>
      <c r="G572" s="2297"/>
      <c r="H572" s="2297"/>
      <c r="I572" s="2297"/>
      <c r="J572" s="2297"/>
      <c r="K572" s="2297"/>
      <c r="L572" s="2297"/>
      <c r="M572" s="2297"/>
      <c r="N572" s="2297"/>
      <c r="O572" s="2297"/>
      <c r="P572" s="2297"/>
      <c r="Q572" s="2297"/>
      <c r="R572" s="99"/>
      <c r="S572" s="99"/>
      <c r="T572" s="99"/>
      <c r="U572" s="99"/>
      <c r="V572" s="99"/>
      <c r="AF572" s="2297"/>
      <c r="AG572" s="1208"/>
      <c r="AH572" s="1208"/>
      <c r="AI572" s="1223"/>
      <c r="AJ572" s="1223"/>
      <c r="AK572" s="1223"/>
      <c r="AL572" s="1223"/>
      <c r="AM572" s="1223"/>
      <c r="AN572" s="1223"/>
      <c r="AO572" s="1208"/>
      <c r="AP572" s="1223"/>
      <c r="AQ572" s="1208"/>
      <c r="AR572" s="1208"/>
      <c r="AS572" s="1223"/>
      <c r="AT572" s="1223"/>
      <c r="AU572" s="1208"/>
      <c r="AV572" s="1208"/>
      <c r="AW572" s="2297"/>
      <c r="BE572" s="1224"/>
      <c r="BF572" s="1225"/>
      <c r="BR572" s="1224"/>
      <c r="BS572" s="1224"/>
    </row>
    <row r="573" spans="2:71" s="491" customFormat="1">
      <c r="B573" s="2297"/>
      <c r="C573" s="2297"/>
      <c r="D573" s="2297"/>
      <c r="E573" s="2297"/>
      <c r="F573" s="2297"/>
      <c r="G573" s="2297"/>
      <c r="H573" s="2297"/>
      <c r="I573" s="2297"/>
      <c r="J573" s="2297"/>
      <c r="K573" s="2297"/>
      <c r="L573" s="2297"/>
      <c r="M573" s="2297"/>
      <c r="N573" s="2297"/>
      <c r="O573" s="2297"/>
      <c r="P573" s="2297"/>
      <c r="Q573" s="2297"/>
      <c r="R573" s="99"/>
      <c r="S573" s="99"/>
      <c r="T573" s="99"/>
      <c r="U573" s="99"/>
      <c r="V573" s="99"/>
      <c r="AF573" s="2297"/>
      <c r="AG573" s="1208"/>
      <c r="AH573" s="1208"/>
      <c r="AI573" s="1223"/>
      <c r="AJ573" s="1223"/>
      <c r="AK573" s="1223"/>
      <c r="AL573" s="1223"/>
      <c r="AM573" s="1223"/>
      <c r="AN573" s="1223"/>
      <c r="AO573" s="1208"/>
      <c r="AP573" s="1223"/>
      <c r="AQ573" s="1208"/>
      <c r="AR573" s="1208"/>
      <c r="AS573" s="1223"/>
      <c r="AT573" s="1223"/>
      <c r="AU573" s="1208"/>
      <c r="AV573" s="1208"/>
      <c r="AW573" s="2297"/>
      <c r="BE573" s="1224"/>
      <c r="BF573" s="1225"/>
      <c r="BR573" s="1224"/>
      <c r="BS573" s="1224"/>
    </row>
    <row r="574" spans="2:71" s="491" customFormat="1">
      <c r="B574" s="2297"/>
      <c r="C574" s="2297"/>
      <c r="D574" s="2297"/>
      <c r="E574" s="2297"/>
      <c r="F574" s="2297"/>
      <c r="G574" s="2297"/>
      <c r="H574" s="2297"/>
      <c r="I574" s="2297"/>
      <c r="J574" s="2297"/>
      <c r="K574" s="2297"/>
      <c r="L574" s="2297"/>
      <c r="M574" s="2297"/>
      <c r="N574" s="2297"/>
      <c r="O574" s="2297"/>
      <c r="P574" s="2297"/>
      <c r="Q574" s="2297"/>
      <c r="R574" s="99"/>
      <c r="S574" s="99"/>
      <c r="T574" s="99"/>
      <c r="U574" s="99"/>
      <c r="V574" s="99"/>
      <c r="AF574" s="2297"/>
      <c r="AG574" s="1208"/>
      <c r="AH574" s="1208"/>
      <c r="AI574" s="1223"/>
      <c r="AJ574" s="1223"/>
      <c r="AK574" s="1223"/>
      <c r="AL574" s="1223"/>
      <c r="AM574" s="1223"/>
      <c r="AN574" s="1223"/>
      <c r="AO574" s="1208"/>
      <c r="AP574" s="1223"/>
      <c r="AQ574" s="1208"/>
      <c r="AR574" s="1208"/>
      <c r="AS574" s="1223"/>
      <c r="AT574" s="1223"/>
      <c r="AU574" s="1208"/>
      <c r="AV574" s="1208"/>
      <c r="AW574" s="2297"/>
      <c r="BE574" s="1224"/>
      <c r="BF574" s="1225"/>
      <c r="BR574" s="1224"/>
      <c r="BS574" s="1224"/>
    </row>
    <row r="575" spans="2:71" s="491" customFormat="1">
      <c r="B575" s="2297"/>
      <c r="C575" s="2297"/>
      <c r="D575" s="2297"/>
      <c r="E575" s="2297"/>
      <c r="F575" s="2297"/>
      <c r="G575" s="2297"/>
      <c r="H575" s="2297"/>
      <c r="I575" s="2297"/>
      <c r="J575" s="2297"/>
      <c r="K575" s="2297"/>
      <c r="L575" s="2297"/>
      <c r="M575" s="2297"/>
      <c r="N575" s="2297"/>
      <c r="O575" s="2297"/>
      <c r="P575" s="2297"/>
      <c r="Q575" s="2297"/>
      <c r="R575" s="99"/>
      <c r="S575" s="99"/>
      <c r="T575" s="99"/>
      <c r="U575" s="99"/>
      <c r="V575" s="99"/>
      <c r="AF575" s="2297"/>
      <c r="AG575" s="1208"/>
      <c r="AH575" s="1208"/>
      <c r="AI575" s="1223"/>
      <c r="AJ575" s="1223"/>
      <c r="AK575" s="1223"/>
      <c r="AL575" s="1223"/>
      <c r="AM575" s="1223"/>
      <c r="AN575" s="1223"/>
      <c r="AO575" s="1208"/>
      <c r="AP575" s="1223"/>
      <c r="AQ575" s="1208"/>
      <c r="AR575" s="1208"/>
      <c r="AS575" s="1223"/>
      <c r="AT575" s="1223"/>
      <c r="AU575" s="1208"/>
      <c r="AV575" s="1208"/>
      <c r="AW575" s="2297"/>
      <c r="BE575" s="1224"/>
      <c r="BF575" s="1225"/>
      <c r="BR575" s="1224"/>
      <c r="BS575" s="1224"/>
    </row>
    <row r="576" spans="2:71" s="491" customFormat="1">
      <c r="B576" s="2297"/>
      <c r="C576" s="2297"/>
      <c r="D576" s="2297"/>
      <c r="E576" s="2297"/>
      <c r="F576" s="2297"/>
      <c r="G576" s="2297"/>
      <c r="H576" s="2297"/>
      <c r="I576" s="2297"/>
      <c r="J576" s="2297"/>
      <c r="K576" s="2297"/>
      <c r="L576" s="2297"/>
      <c r="M576" s="2297"/>
      <c r="N576" s="2297"/>
      <c r="O576" s="2297"/>
      <c r="P576" s="2297"/>
      <c r="Q576" s="2297"/>
      <c r="R576" s="99"/>
      <c r="S576" s="99"/>
      <c r="T576" s="99"/>
      <c r="U576" s="99"/>
      <c r="V576" s="99"/>
      <c r="AF576" s="2297"/>
      <c r="AG576" s="1208"/>
      <c r="AH576" s="1208"/>
      <c r="AI576" s="1223"/>
      <c r="AJ576" s="1223"/>
      <c r="AK576" s="1223"/>
      <c r="AL576" s="1223"/>
      <c r="AM576" s="1223"/>
      <c r="AN576" s="1223"/>
      <c r="AO576" s="1208"/>
      <c r="AP576" s="1223"/>
      <c r="AQ576" s="1208"/>
      <c r="AR576" s="1208"/>
      <c r="AS576" s="1223"/>
      <c r="AT576" s="1223"/>
      <c r="AU576" s="1208"/>
      <c r="AV576" s="1208"/>
      <c r="AW576" s="2297"/>
      <c r="BE576" s="1224"/>
      <c r="BF576" s="1225"/>
      <c r="BR576" s="1224"/>
      <c r="BS576" s="1224"/>
    </row>
    <row r="577" spans="2:71" s="491" customFormat="1">
      <c r="B577" s="2297"/>
      <c r="C577" s="2297"/>
      <c r="D577" s="2297"/>
      <c r="E577" s="2297"/>
      <c r="F577" s="2297"/>
      <c r="G577" s="2297"/>
      <c r="H577" s="2297"/>
      <c r="I577" s="2297"/>
      <c r="J577" s="2297"/>
      <c r="K577" s="2297"/>
      <c r="L577" s="2297"/>
      <c r="M577" s="2297"/>
      <c r="N577" s="2297"/>
      <c r="O577" s="2297"/>
      <c r="P577" s="2297"/>
      <c r="Q577" s="2297"/>
      <c r="R577" s="99"/>
      <c r="S577" s="99"/>
      <c r="T577" s="99"/>
      <c r="U577" s="99"/>
      <c r="V577" s="99"/>
      <c r="AF577" s="2297"/>
      <c r="AG577" s="1208"/>
      <c r="AH577" s="1208"/>
      <c r="AI577" s="1223"/>
      <c r="AJ577" s="1223"/>
      <c r="AK577" s="1223"/>
      <c r="AL577" s="1223"/>
      <c r="AM577" s="1223"/>
      <c r="AN577" s="1223"/>
      <c r="AO577" s="1208"/>
      <c r="AP577" s="1223"/>
      <c r="AQ577" s="1208"/>
      <c r="AR577" s="1208"/>
      <c r="AS577" s="1223"/>
      <c r="AT577" s="1223"/>
      <c r="AU577" s="1208"/>
      <c r="AV577" s="1208"/>
      <c r="AW577" s="2297"/>
      <c r="BE577" s="1224"/>
      <c r="BF577" s="1225"/>
      <c r="BR577" s="1224"/>
      <c r="BS577" s="1224"/>
    </row>
    <row r="578" spans="2:71" s="491" customFormat="1">
      <c r="B578" s="2297"/>
      <c r="C578" s="2297"/>
      <c r="D578" s="2297"/>
      <c r="E578" s="2297"/>
      <c r="F578" s="2297"/>
      <c r="G578" s="2297"/>
      <c r="H578" s="2297"/>
      <c r="I578" s="2297"/>
      <c r="J578" s="2297"/>
      <c r="K578" s="2297"/>
      <c r="L578" s="2297"/>
      <c r="M578" s="2297"/>
      <c r="N578" s="2297"/>
      <c r="O578" s="2297"/>
      <c r="P578" s="2297"/>
      <c r="Q578" s="2297"/>
      <c r="R578" s="99"/>
      <c r="S578" s="99"/>
      <c r="T578" s="99"/>
      <c r="U578" s="99"/>
      <c r="V578" s="99"/>
      <c r="AF578" s="2297"/>
      <c r="AG578" s="1208"/>
      <c r="AH578" s="1208"/>
      <c r="AI578" s="1223"/>
      <c r="AJ578" s="1223"/>
      <c r="AK578" s="1223"/>
      <c r="AL578" s="1223"/>
      <c r="AM578" s="1223"/>
      <c r="AN578" s="1223"/>
      <c r="AO578" s="1208"/>
      <c r="AP578" s="1223"/>
      <c r="AQ578" s="1208"/>
      <c r="AR578" s="1208"/>
      <c r="AS578" s="1223"/>
      <c r="AT578" s="1223"/>
      <c r="AU578" s="1208"/>
      <c r="AV578" s="1208"/>
      <c r="AW578" s="2297"/>
      <c r="BE578" s="1224"/>
      <c r="BF578" s="1225"/>
      <c r="BR578" s="1224"/>
      <c r="BS578" s="1224"/>
    </row>
    <row r="579" spans="2:71" s="491" customFormat="1">
      <c r="B579" s="2297"/>
      <c r="C579" s="2297"/>
      <c r="D579" s="2297"/>
      <c r="E579" s="2297"/>
      <c r="F579" s="2297"/>
      <c r="G579" s="2297"/>
      <c r="H579" s="2297"/>
      <c r="I579" s="2297"/>
      <c r="J579" s="2297"/>
      <c r="K579" s="2297"/>
      <c r="L579" s="2297"/>
      <c r="M579" s="2297"/>
      <c r="N579" s="2297"/>
      <c r="O579" s="2297"/>
      <c r="P579" s="2297"/>
      <c r="Q579" s="2297"/>
      <c r="R579" s="99"/>
      <c r="S579" s="99"/>
      <c r="T579" s="99"/>
      <c r="U579" s="99"/>
      <c r="V579" s="99"/>
      <c r="AF579" s="2297"/>
      <c r="AG579" s="1208"/>
      <c r="AH579" s="1208"/>
      <c r="AI579" s="1223"/>
      <c r="AJ579" s="1223"/>
      <c r="AK579" s="1223"/>
      <c r="AL579" s="1223"/>
      <c r="AM579" s="1223"/>
      <c r="AN579" s="1223"/>
      <c r="AO579" s="1208"/>
      <c r="AP579" s="1223"/>
      <c r="AQ579" s="1208"/>
      <c r="AR579" s="1208"/>
      <c r="AS579" s="1223"/>
      <c r="AT579" s="1223"/>
      <c r="AU579" s="1208"/>
      <c r="AV579" s="1208"/>
      <c r="AW579" s="2297"/>
      <c r="BE579" s="1224"/>
      <c r="BF579" s="1225"/>
      <c r="BR579" s="1224"/>
      <c r="BS579" s="1224"/>
    </row>
    <row r="580" spans="2:71" s="491" customFormat="1">
      <c r="B580" s="2297"/>
      <c r="C580" s="2297"/>
      <c r="D580" s="2297"/>
      <c r="E580" s="2297"/>
      <c r="F580" s="2297"/>
      <c r="G580" s="2297"/>
      <c r="H580" s="2297"/>
      <c r="I580" s="2297"/>
      <c r="J580" s="2297"/>
      <c r="K580" s="2297"/>
      <c r="L580" s="2297"/>
      <c r="M580" s="2297"/>
      <c r="N580" s="2297"/>
      <c r="O580" s="2297"/>
      <c r="P580" s="2297"/>
      <c r="Q580" s="2297"/>
      <c r="R580" s="99"/>
      <c r="S580" s="99"/>
      <c r="T580" s="99"/>
      <c r="U580" s="99"/>
      <c r="V580" s="99"/>
      <c r="AF580" s="2297"/>
      <c r="AG580" s="1208"/>
      <c r="AH580" s="1208"/>
      <c r="AI580" s="1223"/>
      <c r="AJ580" s="1223"/>
      <c r="AK580" s="1223"/>
      <c r="AL580" s="1223"/>
      <c r="AM580" s="1223"/>
      <c r="AN580" s="1223"/>
      <c r="AO580" s="1208"/>
      <c r="AP580" s="1223"/>
      <c r="AQ580" s="1208"/>
      <c r="AR580" s="1208"/>
      <c r="AS580" s="1223"/>
      <c r="AT580" s="1223"/>
      <c r="AU580" s="1208"/>
      <c r="AV580" s="1208"/>
      <c r="AW580" s="2297"/>
      <c r="BE580" s="1224"/>
      <c r="BF580" s="1225"/>
      <c r="BR580" s="1224"/>
      <c r="BS580" s="1224"/>
    </row>
    <row r="581" spans="2:71" s="491" customFormat="1">
      <c r="B581" s="2297"/>
      <c r="C581" s="2297"/>
      <c r="D581" s="2297"/>
      <c r="E581" s="2297"/>
      <c r="F581" s="2297"/>
      <c r="G581" s="2297"/>
      <c r="H581" s="2297"/>
      <c r="I581" s="2297"/>
      <c r="J581" s="2297"/>
      <c r="K581" s="2297"/>
      <c r="L581" s="2297"/>
      <c r="M581" s="2297"/>
      <c r="N581" s="2297"/>
      <c r="O581" s="2297"/>
      <c r="P581" s="2297"/>
      <c r="Q581" s="2297"/>
      <c r="R581" s="99"/>
      <c r="S581" s="99"/>
      <c r="T581" s="99"/>
      <c r="U581" s="99"/>
      <c r="V581" s="99"/>
      <c r="AF581" s="2297"/>
      <c r="AG581" s="1208"/>
      <c r="AH581" s="1208"/>
      <c r="AI581" s="1223"/>
      <c r="AJ581" s="1223"/>
      <c r="AK581" s="1223"/>
      <c r="AL581" s="1223"/>
      <c r="AM581" s="1223"/>
      <c r="AN581" s="1223"/>
      <c r="AO581" s="1208"/>
      <c r="AP581" s="1223"/>
      <c r="AQ581" s="1208"/>
      <c r="AR581" s="1208"/>
      <c r="AS581" s="1223"/>
      <c r="AT581" s="1223"/>
      <c r="AU581" s="1208"/>
      <c r="AV581" s="1208"/>
      <c r="AW581" s="2297"/>
      <c r="BE581" s="1224"/>
      <c r="BF581" s="1225"/>
      <c r="BR581" s="1224"/>
      <c r="BS581" s="1224"/>
    </row>
    <row r="582" spans="2:71" s="491" customFormat="1">
      <c r="B582" s="2297"/>
      <c r="C582" s="2297"/>
      <c r="D582" s="2297"/>
      <c r="E582" s="2297"/>
      <c r="F582" s="2297"/>
      <c r="G582" s="2297"/>
      <c r="H582" s="2297"/>
      <c r="I582" s="2297"/>
      <c r="J582" s="2297"/>
      <c r="K582" s="2297"/>
      <c r="L582" s="2297"/>
      <c r="M582" s="2297"/>
      <c r="N582" s="2297"/>
      <c r="O582" s="2297"/>
      <c r="P582" s="2297"/>
      <c r="Q582" s="2297"/>
      <c r="R582" s="99"/>
      <c r="S582" s="99"/>
      <c r="T582" s="99"/>
      <c r="U582" s="99"/>
      <c r="V582" s="99"/>
      <c r="AF582" s="2297"/>
      <c r="AG582" s="1208"/>
      <c r="AH582" s="1208"/>
      <c r="AI582" s="1223"/>
      <c r="AJ582" s="1223"/>
      <c r="AK582" s="1223"/>
      <c r="AL582" s="1223"/>
      <c r="AM582" s="1223"/>
      <c r="AN582" s="1223"/>
      <c r="AO582" s="1208"/>
      <c r="AP582" s="1223"/>
      <c r="AQ582" s="1208"/>
      <c r="AR582" s="1208"/>
      <c r="AS582" s="1223"/>
      <c r="AT582" s="1223"/>
      <c r="AU582" s="1208"/>
      <c r="AV582" s="1208"/>
      <c r="AW582" s="2297"/>
      <c r="BE582" s="1224"/>
      <c r="BF582" s="1225"/>
      <c r="BR582" s="1224"/>
      <c r="BS582" s="1224"/>
    </row>
    <row r="583" spans="2:71" s="491" customFormat="1">
      <c r="B583" s="2297"/>
      <c r="C583" s="2297"/>
      <c r="D583" s="2297"/>
      <c r="E583" s="2297"/>
      <c r="F583" s="2297"/>
      <c r="G583" s="2297"/>
      <c r="H583" s="2297"/>
      <c r="I583" s="2297"/>
      <c r="J583" s="2297"/>
      <c r="K583" s="2297"/>
      <c r="L583" s="2297"/>
      <c r="M583" s="2297"/>
      <c r="N583" s="2297"/>
      <c r="O583" s="2297"/>
      <c r="P583" s="2297"/>
      <c r="Q583" s="2297"/>
      <c r="R583" s="99"/>
      <c r="S583" s="99"/>
      <c r="T583" s="99"/>
      <c r="U583" s="99"/>
      <c r="V583" s="99"/>
      <c r="AF583" s="2297"/>
      <c r="AG583" s="1208"/>
      <c r="AH583" s="1208"/>
      <c r="AI583" s="1223"/>
      <c r="AJ583" s="1223"/>
      <c r="AK583" s="1223"/>
      <c r="AL583" s="1223"/>
      <c r="AM583" s="1223"/>
      <c r="AN583" s="1223"/>
      <c r="AO583" s="1208"/>
      <c r="AP583" s="1223"/>
      <c r="AQ583" s="1208"/>
      <c r="AR583" s="1208"/>
      <c r="AS583" s="1223"/>
      <c r="AT583" s="1223"/>
      <c r="AU583" s="1208"/>
      <c r="AV583" s="1208"/>
      <c r="AW583" s="2297"/>
      <c r="BE583" s="1224"/>
      <c r="BF583" s="1225"/>
      <c r="BR583" s="1224"/>
      <c r="BS583" s="1224"/>
    </row>
    <row r="584" spans="2:71" s="491" customFormat="1">
      <c r="B584" s="2297"/>
      <c r="C584" s="2297"/>
      <c r="D584" s="2297"/>
      <c r="E584" s="2297"/>
      <c r="F584" s="2297"/>
      <c r="G584" s="2297"/>
      <c r="H584" s="2297"/>
      <c r="I584" s="2297"/>
      <c r="J584" s="2297"/>
      <c r="K584" s="2297"/>
      <c r="L584" s="2297"/>
      <c r="M584" s="2297"/>
      <c r="N584" s="2297"/>
      <c r="O584" s="2297"/>
      <c r="P584" s="2297"/>
      <c r="Q584" s="2297"/>
      <c r="R584" s="99"/>
      <c r="S584" s="99"/>
      <c r="T584" s="99"/>
      <c r="U584" s="99"/>
      <c r="V584" s="99"/>
      <c r="AF584" s="2297"/>
      <c r="AG584" s="1208"/>
      <c r="AH584" s="1208"/>
      <c r="AI584" s="1223"/>
      <c r="AJ584" s="1223"/>
      <c r="AK584" s="1223"/>
      <c r="AL584" s="1223"/>
      <c r="AM584" s="1223"/>
      <c r="AN584" s="1223"/>
      <c r="AO584" s="1208"/>
      <c r="AP584" s="1223"/>
      <c r="AQ584" s="1208"/>
      <c r="AR584" s="1208"/>
      <c r="AS584" s="1223"/>
      <c r="AT584" s="1223"/>
      <c r="AU584" s="1208"/>
      <c r="AV584" s="1208"/>
      <c r="AW584" s="2297"/>
      <c r="BE584" s="1224"/>
      <c r="BF584" s="1225"/>
      <c r="BR584" s="1224"/>
      <c r="BS584" s="1224"/>
    </row>
    <row r="585" spans="2:71" s="491" customFormat="1">
      <c r="B585" s="2297"/>
      <c r="C585" s="2297"/>
      <c r="D585" s="2297"/>
      <c r="E585" s="2297"/>
      <c r="F585" s="2297"/>
      <c r="G585" s="2297"/>
      <c r="H585" s="2297"/>
      <c r="I585" s="2297"/>
      <c r="J585" s="2297"/>
      <c r="K585" s="2297"/>
      <c r="L585" s="2297"/>
      <c r="M585" s="2297"/>
      <c r="N585" s="2297"/>
      <c r="O585" s="2297"/>
      <c r="P585" s="2297"/>
      <c r="Q585" s="2297"/>
      <c r="R585" s="99"/>
      <c r="S585" s="99"/>
      <c r="T585" s="99"/>
      <c r="U585" s="99"/>
      <c r="V585" s="99"/>
      <c r="AF585" s="2297"/>
      <c r="AG585" s="1208"/>
      <c r="AH585" s="1208"/>
      <c r="AI585" s="1223"/>
      <c r="AJ585" s="1223"/>
      <c r="AK585" s="1223"/>
      <c r="AL585" s="1223"/>
      <c r="AM585" s="1223"/>
      <c r="AN585" s="1223"/>
      <c r="AO585" s="1208"/>
      <c r="AP585" s="1223"/>
      <c r="AQ585" s="1208"/>
      <c r="AR585" s="1208"/>
      <c r="AS585" s="1223"/>
      <c r="AT585" s="1223"/>
      <c r="AU585" s="1208"/>
      <c r="AV585" s="1208"/>
      <c r="AW585" s="2297"/>
      <c r="BE585" s="1224"/>
      <c r="BF585" s="1225"/>
      <c r="BR585" s="1224"/>
      <c r="BS585" s="1224"/>
    </row>
    <row r="586" spans="2:71" s="491" customFormat="1">
      <c r="B586" s="2297"/>
      <c r="C586" s="2297"/>
      <c r="D586" s="2297"/>
      <c r="E586" s="2297"/>
      <c r="F586" s="2297"/>
      <c r="G586" s="2297"/>
      <c r="H586" s="2297"/>
      <c r="I586" s="2297"/>
      <c r="J586" s="2297"/>
      <c r="K586" s="2297"/>
      <c r="L586" s="2297"/>
      <c r="M586" s="2297"/>
      <c r="N586" s="2297"/>
      <c r="O586" s="2297"/>
      <c r="P586" s="2297"/>
      <c r="Q586" s="2297"/>
      <c r="R586" s="99"/>
      <c r="S586" s="99"/>
      <c r="T586" s="99"/>
      <c r="U586" s="99"/>
      <c r="V586" s="99"/>
      <c r="AF586" s="2297"/>
      <c r="AG586" s="1208"/>
      <c r="AH586" s="1208"/>
      <c r="AI586" s="1223"/>
      <c r="AJ586" s="1223"/>
      <c r="AK586" s="1223"/>
      <c r="AL586" s="1223"/>
      <c r="AM586" s="1223"/>
      <c r="AN586" s="1223"/>
      <c r="AO586" s="1208"/>
      <c r="AP586" s="1223"/>
      <c r="AQ586" s="1208"/>
      <c r="AR586" s="1208"/>
      <c r="AS586" s="1223"/>
      <c r="AT586" s="1223"/>
      <c r="AU586" s="1208"/>
      <c r="AV586" s="1208"/>
      <c r="AW586" s="2297"/>
      <c r="BE586" s="1224"/>
      <c r="BF586" s="1225"/>
      <c r="BR586" s="1224"/>
      <c r="BS586" s="1224"/>
    </row>
    <row r="587" spans="2:71" s="491" customFormat="1">
      <c r="B587" s="2297"/>
      <c r="C587" s="2297"/>
      <c r="D587" s="2297"/>
      <c r="E587" s="2297"/>
      <c r="F587" s="2297"/>
      <c r="G587" s="2297"/>
      <c r="H587" s="2297"/>
      <c r="I587" s="2297"/>
      <c r="J587" s="2297"/>
      <c r="K587" s="2297"/>
      <c r="L587" s="2297"/>
      <c r="M587" s="2297"/>
      <c r="N587" s="2297"/>
      <c r="O587" s="2297"/>
      <c r="P587" s="2297"/>
      <c r="Q587" s="2297"/>
      <c r="R587" s="99"/>
      <c r="S587" s="99"/>
      <c r="T587" s="99"/>
      <c r="U587" s="99"/>
      <c r="V587" s="99"/>
      <c r="AF587" s="2297"/>
      <c r="AG587" s="1208"/>
      <c r="AH587" s="1208"/>
      <c r="AI587" s="1223"/>
      <c r="AJ587" s="1223"/>
      <c r="AK587" s="1223"/>
      <c r="AL587" s="1223"/>
      <c r="AM587" s="1223"/>
      <c r="AN587" s="1223"/>
      <c r="AO587" s="1208"/>
      <c r="AP587" s="1223"/>
      <c r="AQ587" s="1208"/>
      <c r="AR587" s="1208"/>
      <c r="AS587" s="1223"/>
      <c r="AT587" s="1223"/>
      <c r="AU587" s="1208"/>
      <c r="AV587" s="1208"/>
      <c r="AW587" s="2297"/>
      <c r="BE587" s="1224"/>
      <c r="BF587" s="1225"/>
      <c r="BR587" s="1224"/>
      <c r="BS587" s="1224"/>
    </row>
    <row r="588" spans="2:71" s="491" customFormat="1">
      <c r="B588" s="2297"/>
      <c r="C588" s="2297"/>
      <c r="D588" s="2297"/>
      <c r="E588" s="2297"/>
      <c r="F588" s="2297"/>
      <c r="G588" s="2297"/>
      <c r="H588" s="2297"/>
      <c r="I588" s="2297"/>
      <c r="J588" s="2297"/>
      <c r="K588" s="2297"/>
      <c r="L588" s="2297"/>
      <c r="M588" s="2297"/>
      <c r="N588" s="2297"/>
      <c r="O588" s="2297"/>
      <c r="P588" s="2297"/>
      <c r="Q588" s="2297"/>
      <c r="R588" s="99"/>
      <c r="S588" s="99"/>
      <c r="T588" s="99"/>
      <c r="U588" s="99"/>
      <c r="V588" s="99"/>
      <c r="AF588" s="2297"/>
      <c r="AG588" s="1208"/>
      <c r="AH588" s="1208"/>
      <c r="AI588" s="1223"/>
      <c r="AJ588" s="1223"/>
      <c r="AK588" s="1223"/>
      <c r="AL588" s="1223"/>
      <c r="AM588" s="1223"/>
      <c r="AN588" s="1223"/>
      <c r="AO588" s="1208"/>
      <c r="AP588" s="1223"/>
      <c r="AQ588" s="1208"/>
      <c r="AR588" s="1208"/>
      <c r="AS588" s="1223"/>
      <c r="AT588" s="1223"/>
      <c r="AU588" s="1208"/>
      <c r="AV588" s="1208"/>
      <c r="AW588" s="2297"/>
      <c r="BE588" s="1224"/>
      <c r="BF588" s="1225"/>
      <c r="BR588" s="1224"/>
      <c r="BS588" s="1224"/>
    </row>
    <row r="589" spans="2:71" s="491" customFormat="1">
      <c r="B589" s="2297"/>
      <c r="C589" s="2297"/>
      <c r="D589" s="2297"/>
      <c r="E589" s="2297"/>
      <c r="F589" s="2297"/>
      <c r="G589" s="2297"/>
      <c r="H589" s="2297"/>
      <c r="I589" s="2297"/>
      <c r="J589" s="2297"/>
      <c r="K589" s="2297"/>
      <c r="L589" s="2297"/>
      <c r="M589" s="2297"/>
      <c r="N589" s="2297"/>
      <c r="O589" s="2297"/>
      <c r="P589" s="2297"/>
      <c r="Q589" s="2297"/>
      <c r="R589" s="99"/>
      <c r="S589" s="99"/>
      <c r="T589" s="99"/>
      <c r="U589" s="99"/>
      <c r="V589" s="99"/>
      <c r="AF589" s="2297"/>
      <c r="AG589" s="1208"/>
      <c r="AH589" s="1208"/>
      <c r="AI589" s="1223"/>
      <c r="AJ589" s="1223"/>
      <c r="AK589" s="1223"/>
      <c r="AL589" s="1223"/>
      <c r="AM589" s="1223"/>
      <c r="AN589" s="1223"/>
      <c r="AO589" s="1208"/>
      <c r="AP589" s="1223"/>
      <c r="AQ589" s="1208"/>
      <c r="AR589" s="1208"/>
      <c r="AS589" s="1223"/>
      <c r="AT589" s="1223"/>
      <c r="AU589" s="1208"/>
      <c r="AV589" s="1208"/>
      <c r="AW589" s="2297"/>
      <c r="BE589" s="1224"/>
      <c r="BF589" s="1225"/>
      <c r="BR589" s="1224"/>
      <c r="BS589" s="1224"/>
    </row>
    <row r="590" spans="2:71" s="491" customFormat="1">
      <c r="B590" s="2297"/>
      <c r="C590" s="2297"/>
      <c r="D590" s="2297"/>
      <c r="E590" s="2297"/>
      <c r="F590" s="2297"/>
      <c r="G590" s="2297"/>
      <c r="H590" s="2297"/>
      <c r="I590" s="2297"/>
      <c r="J590" s="2297"/>
      <c r="K590" s="2297"/>
      <c r="L590" s="2297"/>
      <c r="M590" s="2297"/>
      <c r="N590" s="2297"/>
      <c r="O590" s="2297"/>
      <c r="P590" s="2297"/>
      <c r="Q590" s="2297"/>
      <c r="R590" s="99"/>
      <c r="S590" s="99"/>
      <c r="T590" s="99"/>
      <c r="U590" s="99"/>
      <c r="V590" s="99"/>
      <c r="AF590" s="2297"/>
      <c r="AG590" s="1208"/>
      <c r="AH590" s="1208"/>
      <c r="AI590" s="1223"/>
      <c r="AJ590" s="1223"/>
      <c r="AK590" s="1223"/>
      <c r="AL590" s="1223"/>
      <c r="AM590" s="1223"/>
      <c r="AN590" s="1223"/>
      <c r="AO590" s="1208"/>
      <c r="AP590" s="1223"/>
      <c r="AQ590" s="1208"/>
      <c r="AR590" s="1208"/>
      <c r="AS590" s="1223"/>
      <c r="AT590" s="1223"/>
      <c r="AU590" s="1208"/>
      <c r="AV590" s="1208"/>
      <c r="AW590" s="2297"/>
      <c r="BE590" s="1224"/>
      <c r="BF590" s="1225"/>
      <c r="BR590" s="1224"/>
      <c r="BS590" s="1224"/>
    </row>
    <row r="591" spans="2:71" s="491" customFormat="1">
      <c r="B591" s="2297"/>
      <c r="C591" s="2297"/>
      <c r="D591" s="2297"/>
      <c r="E591" s="2297"/>
      <c r="F591" s="2297"/>
      <c r="G591" s="2297"/>
      <c r="H591" s="2297"/>
      <c r="I591" s="2297"/>
      <c r="J591" s="2297"/>
      <c r="K591" s="2297"/>
      <c r="L591" s="2297"/>
      <c r="M591" s="2297"/>
      <c r="N591" s="2297"/>
      <c r="O591" s="2297"/>
      <c r="P591" s="2297"/>
      <c r="Q591" s="2297"/>
      <c r="R591" s="99"/>
      <c r="S591" s="99"/>
      <c r="T591" s="99"/>
      <c r="U591" s="99"/>
      <c r="V591" s="99"/>
      <c r="AF591" s="2297"/>
      <c r="AG591" s="1208"/>
      <c r="AH591" s="1208"/>
      <c r="AI591" s="1223"/>
      <c r="AJ591" s="1223"/>
      <c r="AK591" s="1223"/>
      <c r="AL591" s="1223"/>
      <c r="AM591" s="1223"/>
      <c r="AN591" s="1223"/>
      <c r="AO591" s="1208"/>
      <c r="AP591" s="1223"/>
      <c r="AQ591" s="1208"/>
      <c r="AR591" s="1208"/>
      <c r="AS591" s="1223"/>
      <c r="AT591" s="1223"/>
      <c r="AU591" s="1208"/>
      <c r="AV591" s="1208"/>
      <c r="AW591" s="2297"/>
      <c r="BE591" s="1224"/>
      <c r="BF591" s="1225"/>
      <c r="BR591" s="1224"/>
      <c r="BS591" s="1224"/>
    </row>
    <row r="592" spans="2:71" s="491" customFormat="1">
      <c r="B592" s="2297"/>
      <c r="C592" s="2297"/>
      <c r="D592" s="2297"/>
      <c r="E592" s="2297"/>
      <c r="F592" s="2297"/>
      <c r="G592" s="2297"/>
      <c r="H592" s="2297"/>
      <c r="I592" s="2297"/>
      <c r="J592" s="2297"/>
      <c r="K592" s="2297"/>
      <c r="L592" s="2297"/>
      <c r="M592" s="2297"/>
      <c r="N592" s="2297"/>
      <c r="O592" s="2297"/>
      <c r="P592" s="2297"/>
      <c r="Q592" s="2297"/>
      <c r="R592" s="99"/>
      <c r="S592" s="99"/>
      <c r="T592" s="99"/>
      <c r="U592" s="99"/>
      <c r="V592" s="99"/>
      <c r="AF592" s="2297"/>
      <c r="AG592" s="1208"/>
      <c r="AH592" s="1208"/>
      <c r="AI592" s="1223"/>
      <c r="AJ592" s="1223"/>
      <c r="AK592" s="1223"/>
      <c r="AL592" s="1223"/>
      <c r="AM592" s="1223"/>
      <c r="AN592" s="1223"/>
      <c r="AO592" s="1208"/>
      <c r="AP592" s="1223"/>
      <c r="AQ592" s="1208"/>
      <c r="AR592" s="1208"/>
      <c r="AS592" s="1223"/>
      <c r="AT592" s="1223"/>
      <c r="AU592" s="1208"/>
      <c r="AV592" s="1208"/>
      <c r="AW592" s="2297"/>
      <c r="BE592" s="1224"/>
      <c r="BF592" s="1225"/>
      <c r="BR592" s="1224"/>
      <c r="BS592" s="1224"/>
    </row>
    <row r="593" spans="2:71" s="491" customFormat="1">
      <c r="B593" s="2297"/>
      <c r="C593" s="2297"/>
      <c r="D593" s="2297"/>
      <c r="E593" s="2297"/>
      <c r="F593" s="2297"/>
      <c r="G593" s="2297"/>
      <c r="H593" s="2297"/>
      <c r="I593" s="2297"/>
      <c r="J593" s="2297"/>
      <c r="K593" s="2297"/>
      <c r="L593" s="2297"/>
      <c r="M593" s="2297"/>
      <c r="N593" s="2297"/>
      <c r="O593" s="2297"/>
      <c r="P593" s="2297"/>
      <c r="Q593" s="2297"/>
      <c r="R593" s="99"/>
      <c r="S593" s="99"/>
      <c r="T593" s="99"/>
      <c r="U593" s="99"/>
      <c r="V593" s="99"/>
      <c r="AF593" s="2297"/>
      <c r="AG593" s="1208"/>
      <c r="AH593" s="1208"/>
      <c r="AI593" s="1223"/>
      <c r="AJ593" s="1223"/>
      <c r="AK593" s="1223"/>
      <c r="AL593" s="1223"/>
      <c r="AM593" s="1223"/>
      <c r="AN593" s="1223"/>
      <c r="AO593" s="1208"/>
      <c r="AP593" s="1223"/>
      <c r="AQ593" s="1208"/>
      <c r="AR593" s="1208"/>
      <c r="AS593" s="1223"/>
      <c r="AT593" s="1223"/>
      <c r="AU593" s="1208"/>
      <c r="AV593" s="1208"/>
      <c r="AW593" s="2297"/>
      <c r="BE593" s="1224"/>
      <c r="BF593" s="1225"/>
      <c r="BR593" s="1224"/>
      <c r="BS593" s="1224"/>
    </row>
    <row r="594" spans="2:71" s="491" customFormat="1">
      <c r="B594" s="2297"/>
      <c r="C594" s="2297"/>
      <c r="D594" s="2297"/>
      <c r="E594" s="2297"/>
      <c r="F594" s="2297"/>
      <c r="G594" s="2297"/>
      <c r="H594" s="2297"/>
      <c r="I594" s="2297"/>
      <c r="J594" s="2297"/>
      <c r="K594" s="2297"/>
      <c r="L594" s="2297"/>
      <c r="M594" s="2297"/>
      <c r="N594" s="2297"/>
      <c r="O594" s="2297"/>
      <c r="P594" s="2297"/>
      <c r="Q594" s="2297"/>
      <c r="R594" s="99"/>
      <c r="S594" s="99"/>
      <c r="T594" s="99"/>
      <c r="U594" s="99"/>
      <c r="V594" s="99"/>
      <c r="AF594" s="2297"/>
      <c r="AG594" s="1208"/>
      <c r="AH594" s="1208"/>
      <c r="AI594" s="1223"/>
      <c r="AJ594" s="1223"/>
      <c r="AK594" s="1223"/>
      <c r="AL594" s="1223"/>
      <c r="AM594" s="1223"/>
      <c r="AN594" s="1223"/>
      <c r="AO594" s="1208"/>
      <c r="AP594" s="1223"/>
      <c r="AQ594" s="1208"/>
      <c r="AR594" s="1208"/>
      <c r="AS594" s="1223"/>
      <c r="AT594" s="1223"/>
      <c r="AU594" s="1208"/>
      <c r="AV594" s="1208"/>
      <c r="AW594" s="2297"/>
      <c r="BE594" s="1224"/>
      <c r="BF594" s="1225"/>
      <c r="BR594" s="1224"/>
      <c r="BS594" s="1224"/>
    </row>
    <row r="595" spans="2:71" s="491" customFormat="1">
      <c r="B595" s="2297"/>
      <c r="C595" s="2297"/>
      <c r="D595" s="2297"/>
      <c r="E595" s="2297"/>
      <c r="F595" s="2297"/>
      <c r="G595" s="2297"/>
      <c r="H595" s="2297"/>
      <c r="I595" s="2297"/>
      <c r="J595" s="2297"/>
      <c r="K595" s="2297"/>
      <c r="L595" s="2297"/>
      <c r="M595" s="2297"/>
      <c r="N595" s="2297"/>
      <c r="O595" s="2297"/>
      <c r="P595" s="2297"/>
      <c r="Q595" s="2297"/>
      <c r="R595" s="99"/>
      <c r="S595" s="99"/>
      <c r="T595" s="99"/>
      <c r="U595" s="99"/>
      <c r="V595" s="99"/>
      <c r="AF595" s="2297"/>
      <c r="AG595" s="1208"/>
      <c r="AH595" s="1208"/>
      <c r="AI595" s="1223"/>
      <c r="AJ595" s="1223"/>
      <c r="AK595" s="1223"/>
      <c r="AL595" s="1223"/>
      <c r="AM595" s="1223"/>
      <c r="AN595" s="1223"/>
      <c r="AO595" s="1208"/>
      <c r="AP595" s="1223"/>
      <c r="AQ595" s="1208"/>
      <c r="AR595" s="1208"/>
      <c r="AS595" s="1223"/>
      <c r="AT595" s="1223"/>
      <c r="AU595" s="1208"/>
      <c r="AV595" s="1208"/>
      <c r="AW595" s="2297"/>
      <c r="BE595" s="1224"/>
      <c r="BF595" s="1225"/>
      <c r="BR595" s="1224"/>
      <c r="BS595" s="1224"/>
    </row>
    <row r="596" spans="2:71" s="491" customFormat="1">
      <c r="B596" s="2297"/>
      <c r="C596" s="2297"/>
      <c r="D596" s="2297"/>
      <c r="E596" s="2297"/>
      <c r="F596" s="2297"/>
      <c r="G596" s="2297"/>
      <c r="H596" s="2297"/>
      <c r="I596" s="2297"/>
      <c r="J596" s="2297"/>
      <c r="K596" s="2297"/>
      <c r="L596" s="2297"/>
      <c r="M596" s="2297"/>
      <c r="N596" s="2297"/>
      <c r="O596" s="2297"/>
      <c r="P596" s="2297"/>
      <c r="Q596" s="2297"/>
      <c r="R596" s="99"/>
      <c r="S596" s="99"/>
      <c r="T596" s="99"/>
      <c r="U596" s="99"/>
      <c r="V596" s="99"/>
      <c r="AF596" s="2297"/>
      <c r="AG596" s="1208"/>
      <c r="AH596" s="1208"/>
      <c r="AI596" s="1223"/>
      <c r="AJ596" s="1223"/>
      <c r="AK596" s="1223"/>
      <c r="AL596" s="1223"/>
      <c r="AM596" s="1223"/>
      <c r="AN596" s="1223"/>
      <c r="AO596" s="1208"/>
      <c r="AP596" s="1223"/>
      <c r="AQ596" s="1208"/>
      <c r="AR596" s="1208"/>
      <c r="AS596" s="1223"/>
      <c r="AT596" s="1223"/>
      <c r="AU596" s="1208"/>
      <c r="AV596" s="1208"/>
      <c r="AW596" s="2297"/>
      <c r="BE596" s="1224"/>
      <c r="BF596" s="1225"/>
      <c r="BR596" s="1224"/>
      <c r="BS596" s="1224"/>
    </row>
    <row r="597" spans="2:71" s="491" customFormat="1">
      <c r="B597" s="2297"/>
      <c r="C597" s="2297"/>
      <c r="D597" s="2297"/>
      <c r="E597" s="2297"/>
      <c r="F597" s="2297"/>
      <c r="G597" s="2297"/>
      <c r="H597" s="2297"/>
      <c r="I597" s="2297"/>
      <c r="J597" s="2297"/>
      <c r="K597" s="2297"/>
      <c r="L597" s="2297"/>
      <c r="M597" s="2297"/>
      <c r="N597" s="2297"/>
      <c r="O597" s="2297"/>
      <c r="P597" s="2297"/>
      <c r="Q597" s="2297"/>
      <c r="R597" s="99"/>
      <c r="S597" s="99"/>
      <c r="T597" s="99"/>
      <c r="U597" s="99"/>
      <c r="V597" s="99"/>
      <c r="AF597" s="2297"/>
      <c r="AG597" s="1208"/>
      <c r="AH597" s="1208"/>
      <c r="AI597" s="1223"/>
      <c r="AJ597" s="1223"/>
      <c r="AK597" s="1223"/>
      <c r="AL597" s="1223"/>
      <c r="AM597" s="1223"/>
      <c r="AN597" s="1223"/>
      <c r="AO597" s="1208"/>
      <c r="AP597" s="1223"/>
      <c r="AQ597" s="1208"/>
      <c r="AR597" s="1208"/>
      <c r="AS597" s="1223"/>
      <c r="AT597" s="1223"/>
      <c r="AU597" s="1208"/>
      <c r="AV597" s="1208"/>
      <c r="AW597" s="2297"/>
      <c r="BE597" s="1224"/>
      <c r="BF597" s="1225"/>
      <c r="BR597" s="1224"/>
      <c r="BS597" s="1224"/>
    </row>
    <row r="598" spans="2:71" s="491" customFormat="1">
      <c r="B598" s="2297"/>
      <c r="C598" s="2297"/>
      <c r="D598" s="2297"/>
      <c r="E598" s="2297"/>
      <c r="F598" s="2297"/>
      <c r="G598" s="2297"/>
      <c r="H598" s="2297"/>
      <c r="I598" s="2297"/>
      <c r="J598" s="2297"/>
      <c r="K598" s="2297"/>
      <c r="L598" s="2297"/>
      <c r="M598" s="2297"/>
      <c r="N598" s="2297"/>
      <c r="O598" s="2297"/>
      <c r="P598" s="2297"/>
      <c r="Q598" s="2297"/>
      <c r="R598" s="99"/>
      <c r="S598" s="99"/>
      <c r="T598" s="99"/>
      <c r="U598" s="99"/>
      <c r="V598" s="99"/>
      <c r="AF598" s="2297"/>
      <c r="AG598" s="1208"/>
      <c r="AH598" s="1208"/>
      <c r="AI598" s="1223"/>
      <c r="AJ598" s="1223"/>
      <c r="AK598" s="1223"/>
      <c r="AL598" s="1223"/>
      <c r="AM598" s="1223"/>
      <c r="AN598" s="1223"/>
      <c r="AO598" s="1208"/>
      <c r="AP598" s="1223"/>
      <c r="AQ598" s="1208"/>
      <c r="AR598" s="1208"/>
      <c r="AS598" s="1223"/>
      <c r="AT598" s="1223"/>
      <c r="AU598" s="1208"/>
      <c r="AV598" s="1208"/>
      <c r="AW598" s="2297"/>
      <c r="BE598" s="1224"/>
      <c r="BF598" s="1225"/>
      <c r="BR598" s="1224"/>
      <c r="BS598" s="1224"/>
    </row>
    <row r="599" spans="2:71" s="491" customFormat="1">
      <c r="B599" s="2297"/>
      <c r="C599" s="2297"/>
      <c r="D599" s="2297"/>
      <c r="E599" s="2297"/>
      <c r="F599" s="2297"/>
      <c r="G599" s="2297"/>
      <c r="H599" s="2297"/>
      <c r="I599" s="2297"/>
      <c r="J599" s="2297"/>
      <c r="K599" s="2297"/>
      <c r="L599" s="2297"/>
      <c r="M599" s="2297"/>
      <c r="N599" s="2297"/>
      <c r="O599" s="2297"/>
      <c r="P599" s="2297"/>
      <c r="Q599" s="2297"/>
      <c r="R599" s="99"/>
      <c r="S599" s="99"/>
      <c r="T599" s="99"/>
      <c r="U599" s="99"/>
      <c r="V599" s="99"/>
      <c r="AF599" s="2297"/>
      <c r="AG599" s="1208"/>
      <c r="AH599" s="1208"/>
      <c r="AI599" s="1223"/>
      <c r="AJ599" s="1223"/>
      <c r="AK599" s="1223"/>
      <c r="AL599" s="1223"/>
      <c r="AM599" s="1223"/>
      <c r="AN599" s="1223"/>
      <c r="AO599" s="1208"/>
      <c r="AP599" s="1223"/>
      <c r="AQ599" s="1208"/>
      <c r="AR599" s="1208"/>
      <c r="AS599" s="1223"/>
      <c r="AT599" s="1223"/>
      <c r="AU599" s="1208"/>
      <c r="AV599" s="1208"/>
      <c r="AW599" s="2297"/>
      <c r="BE599" s="1224"/>
      <c r="BF599" s="1225"/>
      <c r="BR599" s="1224"/>
      <c r="BS599" s="1224"/>
    </row>
    <row r="600" spans="2:71" s="491" customFormat="1">
      <c r="B600" s="2297"/>
      <c r="C600" s="2297"/>
      <c r="D600" s="2297"/>
      <c r="E600" s="2297"/>
      <c r="F600" s="2297"/>
      <c r="G600" s="2297"/>
      <c r="H600" s="2297"/>
      <c r="I600" s="2297"/>
      <c r="J600" s="2297"/>
      <c r="K600" s="2297"/>
      <c r="L600" s="2297"/>
      <c r="M600" s="2297"/>
      <c r="N600" s="2297"/>
      <c r="O600" s="2297"/>
      <c r="P600" s="2297"/>
      <c r="Q600" s="2297"/>
      <c r="R600" s="99"/>
      <c r="S600" s="99"/>
      <c r="T600" s="99"/>
      <c r="U600" s="99"/>
      <c r="V600" s="99"/>
      <c r="AF600" s="2297"/>
      <c r="AG600" s="1208"/>
      <c r="AH600" s="1208"/>
      <c r="AI600" s="1223"/>
      <c r="AJ600" s="1223"/>
      <c r="AK600" s="1223"/>
      <c r="AL600" s="1223"/>
      <c r="AM600" s="1223"/>
      <c r="AN600" s="1223"/>
      <c r="AO600" s="1208"/>
      <c r="AP600" s="1223"/>
      <c r="AQ600" s="1208"/>
      <c r="AR600" s="1208"/>
      <c r="AS600" s="1223"/>
      <c r="AT600" s="1223"/>
      <c r="AU600" s="1208"/>
      <c r="AV600" s="1208"/>
      <c r="AW600" s="2297"/>
      <c r="BE600" s="1224"/>
      <c r="BF600" s="1225"/>
      <c r="BR600" s="1224"/>
      <c r="BS600" s="1224"/>
    </row>
    <row r="601" spans="2:71" s="491" customFormat="1">
      <c r="B601" s="2297"/>
      <c r="C601" s="2297"/>
      <c r="D601" s="2297"/>
      <c r="E601" s="2297"/>
      <c r="F601" s="2297"/>
      <c r="G601" s="2297"/>
      <c r="H601" s="2297"/>
      <c r="I601" s="2297"/>
      <c r="J601" s="2297"/>
      <c r="K601" s="2297"/>
      <c r="L601" s="2297"/>
      <c r="M601" s="2297"/>
      <c r="N601" s="2297"/>
      <c r="O601" s="2297"/>
      <c r="P601" s="2297"/>
      <c r="Q601" s="2297"/>
      <c r="R601" s="99"/>
      <c r="S601" s="99"/>
      <c r="T601" s="99"/>
      <c r="U601" s="99"/>
      <c r="V601" s="99"/>
      <c r="AF601" s="2297"/>
      <c r="AG601" s="1208"/>
      <c r="AH601" s="1208"/>
      <c r="AI601" s="1223"/>
      <c r="AJ601" s="1223"/>
      <c r="AK601" s="1223"/>
      <c r="AL601" s="1223"/>
      <c r="AM601" s="1223"/>
      <c r="AN601" s="1223"/>
      <c r="AO601" s="1208"/>
      <c r="AP601" s="1223"/>
      <c r="AQ601" s="1208"/>
      <c r="AR601" s="1208"/>
      <c r="AS601" s="1223"/>
      <c r="AT601" s="1223"/>
      <c r="AU601" s="1208"/>
      <c r="AV601" s="1208"/>
      <c r="AW601" s="2297"/>
      <c r="BE601" s="1224"/>
      <c r="BF601" s="1225"/>
      <c r="BR601" s="1224"/>
      <c r="BS601" s="1224"/>
    </row>
    <row r="602" spans="2:71" s="491" customFormat="1">
      <c r="B602" s="2297"/>
      <c r="C602" s="2297"/>
      <c r="D602" s="2297"/>
      <c r="E602" s="2297"/>
      <c r="F602" s="2297"/>
      <c r="G602" s="2297"/>
      <c r="H602" s="2297"/>
      <c r="I602" s="2297"/>
      <c r="J602" s="2297"/>
      <c r="K602" s="2297"/>
      <c r="L602" s="2297"/>
      <c r="M602" s="2297"/>
      <c r="N602" s="2297"/>
      <c r="O602" s="2297"/>
      <c r="P602" s="2297"/>
      <c r="Q602" s="2297"/>
      <c r="R602" s="99"/>
      <c r="S602" s="99"/>
      <c r="T602" s="99"/>
      <c r="U602" s="99"/>
      <c r="V602" s="99"/>
      <c r="AF602" s="2297"/>
      <c r="AG602" s="1208"/>
      <c r="AH602" s="1208"/>
      <c r="AI602" s="1223"/>
      <c r="AJ602" s="1223"/>
      <c r="AK602" s="1223"/>
      <c r="AL602" s="1223"/>
      <c r="AM602" s="1223"/>
      <c r="AN602" s="1223"/>
      <c r="AO602" s="1208"/>
      <c r="AP602" s="1223"/>
      <c r="AQ602" s="1208"/>
      <c r="AR602" s="1208"/>
      <c r="AS602" s="1223"/>
      <c r="AT602" s="1223"/>
      <c r="AU602" s="1208"/>
      <c r="AV602" s="1208"/>
      <c r="AW602" s="2297"/>
      <c r="BE602" s="1224"/>
      <c r="BF602" s="1225"/>
      <c r="BR602" s="1224"/>
      <c r="BS602" s="1224"/>
    </row>
    <row r="603" spans="2:71" s="491" customFormat="1">
      <c r="B603" s="2297"/>
      <c r="C603" s="2297"/>
      <c r="D603" s="2297"/>
      <c r="E603" s="2297"/>
      <c r="F603" s="2297"/>
      <c r="G603" s="2297"/>
      <c r="H603" s="2297"/>
      <c r="I603" s="2297"/>
      <c r="J603" s="2297"/>
      <c r="K603" s="2297"/>
      <c r="L603" s="2297"/>
      <c r="M603" s="2297"/>
      <c r="N603" s="2297"/>
      <c r="O603" s="2297"/>
      <c r="P603" s="2297"/>
      <c r="Q603" s="2297"/>
      <c r="R603" s="99"/>
      <c r="S603" s="99"/>
      <c r="T603" s="99"/>
      <c r="U603" s="99"/>
      <c r="V603" s="99"/>
      <c r="AF603" s="2297"/>
      <c r="AG603" s="1208"/>
      <c r="AH603" s="1208"/>
      <c r="AI603" s="1223"/>
      <c r="AJ603" s="1223"/>
      <c r="AK603" s="1223"/>
      <c r="AL603" s="1223"/>
      <c r="AM603" s="1223"/>
      <c r="AN603" s="1223"/>
      <c r="AO603" s="1208"/>
      <c r="AP603" s="1223"/>
      <c r="AQ603" s="1208"/>
      <c r="AR603" s="1208"/>
      <c r="AS603" s="1223"/>
      <c r="AT603" s="1223"/>
      <c r="AU603" s="1208"/>
      <c r="AV603" s="1208"/>
      <c r="AW603" s="2297"/>
      <c r="BE603" s="1224"/>
      <c r="BF603" s="1225"/>
      <c r="BR603" s="1224"/>
      <c r="BS603" s="1224"/>
    </row>
    <row r="604" spans="2:71" s="491" customFormat="1">
      <c r="B604" s="2297"/>
      <c r="C604" s="2297"/>
      <c r="D604" s="2297"/>
      <c r="E604" s="2297"/>
      <c r="F604" s="2297"/>
      <c r="G604" s="2297"/>
      <c r="H604" s="2297"/>
      <c r="I604" s="2297"/>
      <c r="J604" s="2297"/>
      <c r="K604" s="2297"/>
      <c r="L604" s="2297"/>
      <c r="M604" s="2297"/>
      <c r="N604" s="2297"/>
      <c r="O604" s="2297"/>
      <c r="P604" s="2297"/>
      <c r="Q604" s="2297"/>
      <c r="R604" s="99"/>
      <c r="S604" s="99"/>
      <c r="T604" s="99"/>
      <c r="U604" s="99"/>
      <c r="V604" s="99"/>
      <c r="AF604" s="2297"/>
      <c r="AG604" s="1208"/>
      <c r="AH604" s="1208"/>
      <c r="AI604" s="1223"/>
      <c r="AJ604" s="1223"/>
      <c r="AK604" s="1223"/>
      <c r="AL604" s="1223"/>
      <c r="AM604" s="1223"/>
      <c r="AN604" s="1223"/>
      <c r="AO604" s="1208"/>
      <c r="AP604" s="1223"/>
      <c r="AQ604" s="1208"/>
      <c r="AR604" s="1208"/>
      <c r="AS604" s="1223"/>
      <c r="AT604" s="1223"/>
      <c r="AU604" s="1208"/>
      <c r="AV604" s="1208"/>
      <c r="AW604" s="2297"/>
      <c r="BE604" s="1224"/>
      <c r="BF604" s="1225"/>
      <c r="BR604" s="1224"/>
      <c r="BS604" s="1224"/>
    </row>
    <row r="605" spans="2:71" s="491" customFormat="1">
      <c r="B605" s="2297"/>
      <c r="C605" s="2297"/>
      <c r="D605" s="2297"/>
      <c r="E605" s="2297"/>
      <c r="F605" s="2297"/>
      <c r="G605" s="2297"/>
      <c r="H605" s="2297"/>
      <c r="I605" s="2297"/>
      <c r="J605" s="2297"/>
      <c r="K605" s="2297"/>
      <c r="L605" s="2297"/>
      <c r="M605" s="2297"/>
      <c r="N605" s="2297"/>
      <c r="O605" s="2297"/>
      <c r="P605" s="2297"/>
      <c r="Q605" s="2297"/>
      <c r="R605" s="99"/>
      <c r="S605" s="99"/>
      <c r="T605" s="99"/>
      <c r="U605" s="99"/>
      <c r="V605" s="99"/>
      <c r="AF605" s="2297"/>
      <c r="AG605" s="1208"/>
      <c r="AH605" s="1208"/>
      <c r="AI605" s="1223"/>
      <c r="AJ605" s="1223"/>
      <c r="AK605" s="1223"/>
      <c r="AL605" s="1223"/>
      <c r="AM605" s="1223"/>
      <c r="AN605" s="1223"/>
      <c r="AO605" s="1208"/>
      <c r="AP605" s="1223"/>
      <c r="AQ605" s="1208"/>
      <c r="AR605" s="1208"/>
      <c r="AS605" s="1223"/>
      <c r="AT605" s="1223"/>
      <c r="AU605" s="1208"/>
      <c r="AV605" s="1208"/>
      <c r="AW605" s="2297"/>
      <c r="BE605" s="1224"/>
      <c r="BF605" s="1225"/>
      <c r="BR605" s="1224"/>
      <c r="BS605" s="1224"/>
    </row>
    <row r="606" spans="2:71" s="491" customFormat="1">
      <c r="B606" s="2297"/>
      <c r="C606" s="2297"/>
      <c r="D606" s="2297"/>
      <c r="E606" s="2297"/>
      <c r="F606" s="2297"/>
      <c r="G606" s="2297"/>
      <c r="H606" s="2297"/>
      <c r="I606" s="2297"/>
      <c r="J606" s="2297"/>
      <c r="K606" s="2297"/>
      <c r="L606" s="2297"/>
      <c r="M606" s="2297"/>
      <c r="N606" s="2297"/>
      <c r="O606" s="2297"/>
      <c r="P606" s="2297"/>
      <c r="Q606" s="2297"/>
      <c r="R606" s="99"/>
      <c r="S606" s="99"/>
      <c r="T606" s="99"/>
      <c r="U606" s="99"/>
      <c r="V606" s="99"/>
      <c r="AF606" s="2297"/>
      <c r="AG606" s="1208"/>
      <c r="AH606" s="1208"/>
      <c r="AI606" s="1223"/>
      <c r="AJ606" s="1223"/>
      <c r="AK606" s="1223"/>
      <c r="AL606" s="1223"/>
      <c r="AM606" s="1223"/>
      <c r="AN606" s="1223"/>
      <c r="AO606" s="1208"/>
      <c r="AP606" s="1223"/>
      <c r="AQ606" s="1208"/>
      <c r="AR606" s="1208"/>
      <c r="AS606" s="1223"/>
      <c r="AT606" s="1223"/>
      <c r="AU606" s="1208"/>
      <c r="AV606" s="1208"/>
      <c r="AW606" s="2297"/>
      <c r="BE606" s="1224"/>
      <c r="BF606" s="1225"/>
      <c r="BR606" s="1224"/>
      <c r="BS606" s="1224"/>
    </row>
    <row r="607" spans="2:71" s="491" customFormat="1">
      <c r="B607" s="2297"/>
      <c r="C607" s="2297"/>
      <c r="D607" s="2297"/>
      <c r="E607" s="2297"/>
      <c r="F607" s="2297"/>
      <c r="G607" s="2297"/>
      <c r="H607" s="2297"/>
      <c r="I607" s="2297"/>
      <c r="J607" s="2297"/>
      <c r="K607" s="2297"/>
      <c r="L607" s="2297"/>
      <c r="M607" s="2297"/>
      <c r="N607" s="2297"/>
      <c r="O607" s="2297"/>
      <c r="P607" s="2297"/>
      <c r="Q607" s="2297"/>
      <c r="R607" s="99"/>
      <c r="S607" s="99"/>
      <c r="T607" s="99"/>
      <c r="U607" s="99"/>
      <c r="V607" s="99"/>
      <c r="AF607" s="2297"/>
      <c r="AG607" s="1208"/>
      <c r="AH607" s="1208"/>
      <c r="AI607" s="1223"/>
      <c r="AJ607" s="1223"/>
      <c r="AK607" s="1223"/>
      <c r="AL607" s="1223"/>
      <c r="AM607" s="1223"/>
      <c r="AN607" s="1223"/>
      <c r="AO607" s="1208"/>
      <c r="AP607" s="1223"/>
      <c r="AQ607" s="1208"/>
      <c r="AR607" s="1208"/>
      <c r="AS607" s="1223"/>
      <c r="AT607" s="1223"/>
      <c r="AU607" s="1208"/>
      <c r="AV607" s="1208"/>
      <c r="AW607" s="2297"/>
      <c r="BE607" s="1224"/>
      <c r="BF607" s="1225"/>
      <c r="BR607" s="1224"/>
      <c r="BS607" s="1224"/>
    </row>
    <row r="608" spans="2:71" s="491" customFormat="1">
      <c r="B608" s="2297"/>
      <c r="C608" s="2297"/>
      <c r="D608" s="2297"/>
      <c r="E608" s="2297"/>
      <c r="F608" s="2297"/>
      <c r="G608" s="2297"/>
      <c r="H608" s="2297"/>
      <c r="I608" s="2297"/>
      <c r="J608" s="2297"/>
      <c r="K608" s="2297"/>
      <c r="L608" s="2297"/>
      <c r="M608" s="2297"/>
      <c r="N608" s="2297"/>
      <c r="O608" s="2297"/>
      <c r="P608" s="2297"/>
      <c r="Q608" s="2297"/>
      <c r="R608" s="99"/>
      <c r="S608" s="99"/>
      <c r="T608" s="99"/>
      <c r="U608" s="99"/>
      <c r="V608" s="99"/>
      <c r="AF608" s="2297"/>
      <c r="AG608" s="1208"/>
      <c r="AH608" s="1208"/>
      <c r="AI608" s="1223"/>
      <c r="AJ608" s="1223"/>
      <c r="AK608" s="1223"/>
      <c r="AL608" s="1223"/>
      <c r="AM608" s="1223"/>
      <c r="AN608" s="1223"/>
      <c r="AO608" s="1208"/>
      <c r="AP608" s="1223"/>
      <c r="AQ608" s="1208"/>
      <c r="AR608" s="1208"/>
      <c r="AS608" s="1223"/>
      <c r="AT608" s="1223"/>
      <c r="AU608" s="1208"/>
      <c r="AV608" s="1208"/>
      <c r="AW608" s="2297"/>
      <c r="BE608" s="1224"/>
      <c r="BF608" s="1225"/>
      <c r="BR608" s="1224"/>
      <c r="BS608" s="1224"/>
    </row>
    <row r="609" spans="2:71" s="491" customFormat="1">
      <c r="B609" s="2297"/>
      <c r="C609" s="2297"/>
      <c r="D609" s="2297"/>
      <c r="E609" s="2297"/>
      <c r="F609" s="2297"/>
      <c r="G609" s="2297"/>
      <c r="H609" s="2297"/>
      <c r="I609" s="2297"/>
      <c r="J609" s="2297"/>
      <c r="K609" s="2297"/>
      <c r="L609" s="2297"/>
      <c r="M609" s="2297"/>
      <c r="N609" s="2297"/>
      <c r="O609" s="2297"/>
      <c r="P609" s="2297"/>
      <c r="Q609" s="2297"/>
      <c r="R609" s="99"/>
      <c r="S609" s="99"/>
      <c r="T609" s="99"/>
      <c r="U609" s="99"/>
      <c r="V609" s="99"/>
      <c r="AF609" s="2297"/>
      <c r="AG609" s="1208"/>
      <c r="AH609" s="1208"/>
      <c r="AI609" s="1223"/>
      <c r="AJ609" s="1223"/>
      <c r="AK609" s="1223"/>
      <c r="AL609" s="1223"/>
      <c r="AM609" s="1223"/>
      <c r="AN609" s="1223"/>
      <c r="AO609" s="1208"/>
      <c r="AP609" s="1223"/>
      <c r="AQ609" s="1208"/>
      <c r="AR609" s="1208"/>
      <c r="AS609" s="1223"/>
      <c r="AT609" s="1223"/>
      <c r="AU609" s="1208"/>
      <c r="AV609" s="1208"/>
      <c r="AW609" s="2297"/>
      <c r="BE609" s="1224"/>
      <c r="BF609" s="1225"/>
      <c r="BR609" s="1224"/>
      <c r="BS609" s="1224"/>
    </row>
    <row r="610" spans="2:71" s="491" customFormat="1">
      <c r="B610" s="2297"/>
      <c r="C610" s="2297"/>
      <c r="D610" s="2297"/>
      <c r="E610" s="2297"/>
      <c r="F610" s="2297"/>
      <c r="G610" s="2297"/>
      <c r="H610" s="2297"/>
      <c r="I610" s="2297"/>
      <c r="J610" s="2297"/>
      <c r="K610" s="2297"/>
      <c r="L610" s="2297"/>
      <c r="M610" s="2297"/>
      <c r="N610" s="2297"/>
      <c r="O610" s="2297"/>
      <c r="P610" s="2297"/>
      <c r="Q610" s="2297"/>
      <c r="R610" s="99"/>
      <c r="S610" s="99"/>
      <c r="T610" s="99"/>
      <c r="U610" s="99"/>
      <c r="V610" s="99"/>
      <c r="AF610" s="2297"/>
      <c r="AG610" s="1208"/>
      <c r="AH610" s="1208"/>
      <c r="AI610" s="1223"/>
      <c r="AJ610" s="1223"/>
      <c r="AK610" s="1223"/>
      <c r="AL610" s="1223"/>
      <c r="AM610" s="1223"/>
      <c r="AN610" s="1223"/>
      <c r="AO610" s="1208"/>
      <c r="AP610" s="1223"/>
      <c r="AQ610" s="1208"/>
      <c r="AR610" s="1208"/>
      <c r="AS610" s="1223"/>
      <c r="AT610" s="1223"/>
      <c r="AU610" s="1208"/>
      <c r="AV610" s="1208"/>
      <c r="AW610" s="2297"/>
      <c r="BE610" s="1224"/>
      <c r="BF610" s="1225"/>
      <c r="BR610" s="1224"/>
      <c r="BS610" s="1224"/>
    </row>
    <row r="611" spans="2:71" s="491" customFormat="1">
      <c r="B611" s="2297"/>
      <c r="C611" s="2297"/>
      <c r="D611" s="2297"/>
      <c r="E611" s="2297"/>
      <c r="F611" s="2297"/>
      <c r="G611" s="2297"/>
      <c r="H611" s="2297"/>
      <c r="I611" s="2297"/>
      <c r="J611" s="2297"/>
      <c r="K611" s="2297"/>
      <c r="L611" s="2297"/>
      <c r="M611" s="2297"/>
      <c r="N611" s="2297"/>
      <c r="O611" s="2297"/>
      <c r="P611" s="2297"/>
      <c r="Q611" s="2297"/>
      <c r="R611" s="99"/>
      <c r="S611" s="99"/>
      <c r="T611" s="99"/>
      <c r="U611" s="99"/>
      <c r="V611" s="99"/>
      <c r="AF611" s="2297"/>
      <c r="AG611" s="1208"/>
      <c r="AH611" s="1208"/>
      <c r="AI611" s="1223"/>
      <c r="AJ611" s="1223"/>
      <c r="AK611" s="1223"/>
      <c r="AL611" s="1223"/>
      <c r="AM611" s="1223"/>
      <c r="AN611" s="1223"/>
      <c r="AO611" s="1208"/>
      <c r="AP611" s="1223"/>
      <c r="AQ611" s="1208"/>
      <c r="AR611" s="1208"/>
      <c r="AS611" s="1223"/>
      <c r="AT611" s="1223"/>
      <c r="AU611" s="1208"/>
      <c r="AV611" s="1208"/>
      <c r="AW611" s="2297"/>
      <c r="BE611" s="1224"/>
      <c r="BF611" s="1225"/>
      <c r="BR611" s="1224"/>
      <c r="BS611" s="1224"/>
    </row>
    <row r="612" spans="2:71" s="491" customFormat="1">
      <c r="B612" s="2297"/>
      <c r="C612" s="2297"/>
      <c r="D612" s="2297"/>
      <c r="E612" s="2297"/>
      <c r="F612" s="2297"/>
      <c r="G612" s="2297"/>
      <c r="H612" s="2297"/>
      <c r="I612" s="2297"/>
      <c r="J612" s="2297"/>
      <c r="K612" s="2297"/>
      <c r="L612" s="2297"/>
      <c r="M612" s="2297"/>
      <c r="N612" s="2297"/>
      <c r="O612" s="2297"/>
      <c r="P612" s="2297"/>
      <c r="Q612" s="2297"/>
      <c r="R612" s="99"/>
      <c r="S612" s="99"/>
      <c r="T612" s="99"/>
      <c r="U612" s="99"/>
      <c r="V612" s="99"/>
      <c r="AF612" s="2297"/>
      <c r="AG612" s="1208"/>
      <c r="AH612" s="1208"/>
      <c r="AI612" s="1223"/>
      <c r="AJ612" s="1223"/>
      <c r="AK612" s="1223"/>
      <c r="AL612" s="1223"/>
      <c r="AM612" s="1223"/>
      <c r="AN612" s="1223"/>
      <c r="AO612" s="1208"/>
      <c r="AP612" s="1223"/>
      <c r="AQ612" s="1208"/>
      <c r="AR612" s="1208"/>
      <c r="AS612" s="1223"/>
      <c r="AT612" s="1223"/>
      <c r="AU612" s="1208"/>
      <c r="AV612" s="1208"/>
      <c r="AW612" s="2297"/>
      <c r="BE612" s="1224"/>
      <c r="BF612" s="1225"/>
      <c r="BR612" s="1224"/>
      <c r="BS612" s="1224"/>
    </row>
    <row r="613" spans="2:71" s="491" customFormat="1">
      <c r="B613" s="2297"/>
      <c r="C613" s="2297"/>
      <c r="D613" s="2297"/>
      <c r="E613" s="2297"/>
      <c r="F613" s="2297"/>
      <c r="G613" s="2297"/>
      <c r="H613" s="2297"/>
      <c r="I613" s="2297"/>
      <c r="J613" s="2297"/>
      <c r="K613" s="2297"/>
      <c r="L613" s="2297"/>
      <c r="M613" s="2297"/>
      <c r="N613" s="2297"/>
      <c r="O613" s="2297"/>
      <c r="P613" s="2297"/>
      <c r="Q613" s="2297"/>
      <c r="R613" s="99"/>
      <c r="S613" s="99"/>
      <c r="T613" s="99"/>
      <c r="U613" s="99"/>
      <c r="V613" s="99"/>
      <c r="AF613" s="2297"/>
      <c r="AG613" s="1208"/>
      <c r="AH613" s="1208"/>
      <c r="AI613" s="1223"/>
      <c r="AJ613" s="1223"/>
      <c r="AK613" s="1223"/>
      <c r="AL613" s="1223"/>
      <c r="AM613" s="1223"/>
      <c r="AN613" s="1223"/>
      <c r="AO613" s="1208"/>
      <c r="AP613" s="1223"/>
      <c r="AQ613" s="1208"/>
      <c r="AR613" s="1208"/>
      <c r="AS613" s="1223"/>
      <c r="AT613" s="1223"/>
      <c r="AU613" s="1208"/>
      <c r="AV613" s="1208"/>
      <c r="AW613" s="2297"/>
      <c r="BE613" s="1224"/>
      <c r="BF613" s="1225"/>
      <c r="BR613" s="1224"/>
      <c r="BS613" s="1224"/>
    </row>
    <row r="614" spans="2:71" s="491" customFormat="1">
      <c r="B614" s="2297"/>
      <c r="C614" s="2297"/>
      <c r="D614" s="2297"/>
      <c r="E614" s="2297"/>
      <c r="F614" s="2297"/>
      <c r="G614" s="2297"/>
      <c r="H614" s="2297"/>
      <c r="I614" s="2297"/>
      <c r="J614" s="2297"/>
      <c r="K614" s="2297"/>
      <c r="L614" s="2297"/>
      <c r="M614" s="2297"/>
      <c r="N614" s="2297"/>
      <c r="O614" s="2297"/>
      <c r="P614" s="2297"/>
      <c r="Q614" s="2297"/>
      <c r="R614" s="99"/>
      <c r="S614" s="99"/>
      <c r="T614" s="99"/>
      <c r="U614" s="99"/>
      <c r="V614" s="99"/>
      <c r="AF614" s="2297"/>
      <c r="AG614" s="1208"/>
      <c r="AH614" s="1208"/>
      <c r="AI614" s="1223"/>
      <c r="AJ614" s="1223"/>
      <c r="AK614" s="1223"/>
      <c r="AL614" s="1223"/>
      <c r="AM614" s="1223"/>
      <c r="AN614" s="1223"/>
      <c r="AO614" s="1208"/>
      <c r="AP614" s="1223"/>
      <c r="AQ614" s="1208"/>
      <c r="AR614" s="1208"/>
      <c r="AS614" s="1223"/>
      <c r="AT614" s="1223"/>
      <c r="AU614" s="1208"/>
      <c r="AV614" s="1208"/>
      <c r="AW614" s="2297"/>
      <c r="BE614" s="1224"/>
      <c r="BF614" s="1225"/>
      <c r="BR614" s="1224"/>
      <c r="BS614" s="1224"/>
    </row>
    <row r="615" spans="2:71" s="491" customFormat="1">
      <c r="B615" s="2297"/>
      <c r="C615" s="2297"/>
      <c r="D615" s="2297"/>
      <c r="E615" s="2297"/>
      <c r="F615" s="2297"/>
      <c r="G615" s="2297"/>
      <c r="H615" s="2297"/>
      <c r="I615" s="2297"/>
      <c r="J615" s="2297"/>
      <c r="K615" s="2297"/>
      <c r="L615" s="2297"/>
      <c r="M615" s="2297"/>
      <c r="N615" s="2297"/>
      <c r="O615" s="2297"/>
      <c r="P615" s="2297"/>
      <c r="Q615" s="2297"/>
      <c r="R615" s="99"/>
      <c r="S615" s="99"/>
      <c r="T615" s="99"/>
      <c r="U615" s="99"/>
      <c r="V615" s="99"/>
      <c r="AF615" s="2297"/>
      <c r="AG615" s="1208"/>
      <c r="AH615" s="1208"/>
      <c r="AI615" s="1223"/>
      <c r="AJ615" s="1223"/>
      <c r="AK615" s="1223"/>
      <c r="AL615" s="1223"/>
      <c r="AM615" s="1223"/>
      <c r="AN615" s="1223"/>
      <c r="AO615" s="1208"/>
      <c r="AP615" s="1223"/>
      <c r="AQ615" s="1208"/>
      <c r="AR615" s="1208"/>
      <c r="AS615" s="1223"/>
      <c r="AT615" s="1223"/>
      <c r="AU615" s="1208"/>
      <c r="AV615" s="1208"/>
      <c r="AW615" s="2297"/>
      <c r="BE615" s="1224"/>
      <c r="BF615" s="1225"/>
      <c r="BR615" s="1224"/>
      <c r="BS615" s="1224"/>
    </row>
    <row r="616" spans="2:71" s="491" customFormat="1">
      <c r="B616" s="2297"/>
      <c r="C616" s="2297"/>
      <c r="D616" s="2297"/>
      <c r="E616" s="2297"/>
      <c r="F616" s="2297"/>
      <c r="G616" s="2297"/>
      <c r="H616" s="2297"/>
      <c r="I616" s="2297"/>
      <c r="J616" s="2297"/>
      <c r="K616" s="2297"/>
      <c r="L616" s="2297"/>
      <c r="M616" s="2297"/>
      <c r="N616" s="2297"/>
      <c r="O616" s="2297"/>
      <c r="P616" s="2297"/>
      <c r="Q616" s="2297"/>
      <c r="R616" s="99"/>
      <c r="S616" s="99"/>
      <c r="T616" s="99"/>
      <c r="U616" s="99"/>
      <c r="V616" s="99"/>
      <c r="AF616" s="2297"/>
      <c r="AG616" s="1208"/>
      <c r="AH616" s="1208"/>
      <c r="AI616" s="1223"/>
      <c r="AJ616" s="1223"/>
      <c r="AK616" s="1223"/>
      <c r="AL616" s="1223"/>
      <c r="AM616" s="1223"/>
      <c r="AN616" s="1223"/>
      <c r="AO616" s="1208"/>
      <c r="AP616" s="1223"/>
      <c r="AQ616" s="1208"/>
      <c r="AR616" s="1208"/>
      <c r="AS616" s="1223"/>
      <c r="AT616" s="1223"/>
      <c r="AU616" s="1208"/>
      <c r="AV616" s="1208"/>
      <c r="AW616" s="2297"/>
      <c r="BE616" s="1224"/>
      <c r="BF616" s="1225"/>
      <c r="BR616" s="1224"/>
      <c r="BS616" s="1224"/>
    </row>
    <row r="617" spans="2:71" s="491" customFormat="1">
      <c r="B617" s="2297"/>
      <c r="C617" s="2297"/>
      <c r="D617" s="2297"/>
      <c r="E617" s="2297"/>
      <c r="F617" s="2297"/>
      <c r="G617" s="2297"/>
      <c r="H617" s="2297"/>
      <c r="I617" s="2297"/>
      <c r="J617" s="2297"/>
      <c r="K617" s="2297"/>
      <c r="L617" s="2297"/>
      <c r="M617" s="2297"/>
      <c r="N617" s="2297"/>
      <c r="O617" s="2297"/>
      <c r="P617" s="2297"/>
      <c r="Q617" s="2297"/>
      <c r="R617" s="99"/>
      <c r="S617" s="99"/>
      <c r="T617" s="99"/>
      <c r="U617" s="99"/>
      <c r="V617" s="99"/>
      <c r="AF617" s="2297"/>
      <c r="AG617" s="1208"/>
      <c r="AH617" s="1208"/>
      <c r="AI617" s="1223"/>
      <c r="AJ617" s="1223"/>
      <c r="AK617" s="1223"/>
      <c r="AL617" s="1223"/>
      <c r="AM617" s="1223"/>
      <c r="AN617" s="1223"/>
      <c r="AO617" s="1208"/>
      <c r="AP617" s="1223"/>
      <c r="AQ617" s="1208"/>
      <c r="AR617" s="1208"/>
      <c r="AS617" s="1223"/>
      <c r="AT617" s="1223"/>
      <c r="AU617" s="1208"/>
      <c r="AV617" s="1208"/>
      <c r="AW617" s="2297"/>
      <c r="BE617" s="1224"/>
      <c r="BF617" s="1225"/>
      <c r="BR617" s="1224"/>
      <c r="BS617" s="1224"/>
    </row>
    <row r="618" spans="2:71" s="491" customFormat="1">
      <c r="B618" s="2297"/>
      <c r="C618" s="2297"/>
      <c r="D618" s="2297"/>
      <c r="E618" s="2297"/>
      <c r="F618" s="2297"/>
      <c r="G618" s="2297"/>
      <c r="H618" s="2297"/>
      <c r="I618" s="2297"/>
      <c r="J618" s="2297"/>
      <c r="K618" s="2297"/>
      <c r="L618" s="2297"/>
      <c r="M618" s="2297"/>
      <c r="N618" s="2297"/>
      <c r="O618" s="2297"/>
      <c r="P618" s="2297"/>
      <c r="Q618" s="2297"/>
      <c r="R618" s="99"/>
      <c r="S618" s="99"/>
      <c r="T618" s="99"/>
      <c r="U618" s="99"/>
      <c r="V618" s="99"/>
      <c r="AF618" s="2297"/>
      <c r="AG618" s="1208"/>
      <c r="AH618" s="1208"/>
      <c r="AI618" s="1223"/>
      <c r="AJ618" s="1223"/>
      <c r="AK618" s="1223"/>
      <c r="AL618" s="1223"/>
      <c r="AM618" s="1223"/>
      <c r="AN618" s="1223"/>
      <c r="AO618" s="1208"/>
      <c r="AP618" s="1223"/>
      <c r="AQ618" s="1208"/>
      <c r="AR618" s="1208"/>
      <c r="AS618" s="1223"/>
      <c r="AT618" s="1223"/>
      <c r="AU618" s="1208"/>
      <c r="AV618" s="1208"/>
      <c r="AW618" s="2297"/>
      <c r="BE618" s="1224"/>
      <c r="BF618" s="1225"/>
      <c r="BR618" s="1224"/>
      <c r="BS618" s="1224"/>
    </row>
    <row r="619" spans="2:71" s="491" customFormat="1">
      <c r="B619" s="2297"/>
      <c r="C619" s="2297"/>
      <c r="D619" s="2297"/>
      <c r="E619" s="2297"/>
      <c r="F619" s="2297"/>
      <c r="G619" s="2297"/>
      <c r="H619" s="2297"/>
      <c r="I619" s="2297"/>
      <c r="J619" s="2297"/>
      <c r="K619" s="2297"/>
      <c r="L619" s="2297"/>
      <c r="M619" s="2297"/>
      <c r="N619" s="2297"/>
      <c r="O619" s="2297"/>
      <c r="P619" s="2297"/>
      <c r="Q619" s="2297"/>
      <c r="R619" s="99"/>
      <c r="S619" s="99"/>
      <c r="T619" s="99"/>
      <c r="U619" s="99"/>
      <c r="V619" s="99"/>
      <c r="AF619" s="2297"/>
      <c r="AG619" s="1208"/>
      <c r="AH619" s="1208"/>
      <c r="AI619" s="1223"/>
      <c r="AJ619" s="1223"/>
      <c r="AK619" s="1223"/>
      <c r="AL619" s="1223"/>
      <c r="AM619" s="1223"/>
      <c r="AN619" s="1223"/>
      <c r="AO619" s="1208"/>
      <c r="AP619" s="1223"/>
      <c r="AQ619" s="1208"/>
      <c r="AR619" s="1208"/>
      <c r="AS619" s="1223"/>
      <c r="AT619" s="1223"/>
      <c r="AU619" s="1208"/>
      <c r="AV619" s="1208"/>
      <c r="AW619" s="2297"/>
      <c r="BE619" s="1224"/>
      <c r="BF619" s="1225"/>
      <c r="BR619" s="1224"/>
      <c r="BS619" s="1224"/>
    </row>
    <row r="620" spans="2:71" s="491" customFormat="1">
      <c r="B620" s="2297"/>
      <c r="C620" s="2297"/>
      <c r="D620" s="2297"/>
      <c r="E620" s="2297"/>
      <c r="F620" s="2297"/>
      <c r="G620" s="2297"/>
      <c r="H620" s="2297"/>
      <c r="I620" s="2297"/>
      <c r="J620" s="2297"/>
      <c r="K620" s="2297"/>
      <c r="L620" s="2297"/>
      <c r="M620" s="2297"/>
      <c r="N620" s="2297"/>
      <c r="O620" s="2297"/>
      <c r="P620" s="2297"/>
      <c r="Q620" s="2297"/>
      <c r="R620" s="99"/>
      <c r="S620" s="99"/>
      <c r="T620" s="99"/>
      <c r="U620" s="99"/>
      <c r="V620" s="99"/>
      <c r="AF620" s="2297"/>
      <c r="AG620" s="1208"/>
      <c r="AH620" s="1208"/>
      <c r="AI620" s="1223"/>
      <c r="AJ620" s="1223"/>
      <c r="AK620" s="1223"/>
      <c r="AL620" s="1223"/>
      <c r="AM620" s="1223"/>
      <c r="AN620" s="1223"/>
      <c r="AO620" s="1208"/>
      <c r="AP620" s="1223"/>
      <c r="AQ620" s="1208"/>
      <c r="AR620" s="1208"/>
      <c r="AS620" s="1223"/>
      <c r="AT620" s="1223"/>
      <c r="AU620" s="1208"/>
      <c r="AV620" s="1208"/>
      <c r="AW620" s="2297"/>
      <c r="BE620" s="1224"/>
      <c r="BF620" s="1225"/>
      <c r="BR620" s="1224"/>
      <c r="BS620" s="1224"/>
    </row>
    <row r="621" spans="2:71" s="491" customFormat="1">
      <c r="B621" s="2297"/>
      <c r="C621" s="2297"/>
      <c r="D621" s="2297"/>
      <c r="E621" s="2297"/>
      <c r="F621" s="2297"/>
      <c r="G621" s="2297"/>
      <c r="H621" s="2297"/>
      <c r="I621" s="2297"/>
      <c r="J621" s="2297"/>
      <c r="K621" s="2297"/>
      <c r="L621" s="2297"/>
      <c r="M621" s="2297"/>
      <c r="N621" s="2297"/>
      <c r="O621" s="2297"/>
      <c r="P621" s="2297"/>
      <c r="Q621" s="2297"/>
      <c r="R621" s="99"/>
      <c r="S621" s="99"/>
      <c r="T621" s="99"/>
      <c r="U621" s="99"/>
      <c r="V621" s="99"/>
      <c r="AF621" s="2297"/>
      <c r="AG621" s="1208"/>
      <c r="AH621" s="1208"/>
      <c r="AI621" s="1223"/>
      <c r="AJ621" s="1223"/>
      <c r="AK621" s="1223"/>
      <c r="AL621" s="1223"/>
      <c r="AM621" s="1223"/>
      <c r="AN621" s="1223"/>
      <c r="AO621" s="1208"/>
      <c r="AP621" s="1223"/>
      <c r="AQ621" s="1208"/>
      <c r="AR621" s="1208"/>
      <c r="AS621" s="1223"/>
      <c r="AT621" s="1223"/>
      <c r="AU621" s="1208"/>
      <c r="AV621" s="1208"/>
      <c r="AW621" s="2297"/>
      <c r="BE621" s="1224"/>
      <c r="BF621" s="1225"/>
      <c r="BR621" s="1224"/>
      <c r="BS621" s="1224"/>
    </row>
    <row r="622" spans="2:71" s="491" customFormat="1">
      <c r="B622" s="2297"/>
      <c r="C622" s="2297"/>
      <c r="D622" s="2297"/>
      <c r="E622" s="2297"/>
      <c r="F622" s="2297"/>
      <c r="G622" s="2297"/>
      <c r="H622" s="2297"/>
      <c r="I622" s="2297"/>
      <c r="J622" s="2297"/>
      <c r="K622" s="2297"/>
      <c r="L622" s="2297"/>
      <c r="M622" s="2297"/>
      <c r="N622" s="2297"/>
      <c r="O622" s="2297"/>
      <c r="P622" s="2297"/>
      <c r="Q622" s="2297"/>
      <c r="R622" s="99"/>
      <c r="S622" s="99"/>
      <c r="T622" s="99"/>
      <c r="U622" s="99"/>
      <c r="V622" s="99"/>
      <c r="AF622" s="2297"/>
      <c r="AG622" s="1208"/>
      <c r="AH622" s="1208"/>
      <c r="AI622" s="1223"/>
      <c r="AJ622" s="1223"/>
      <c r="AK622" s="1223"/>
      <c r="AL622" s="1223"/>
      <c r="AM622" s="1223"/>
      <c r="AN622" s="1223"/>
      <c r="AO622" s="1208"/>
      <c r="AP622" s="1223"/>
      <c r="AQ622" s="1208"/>
      <c r="AR622" s="1208"/>
      <c r="AS622" s="1223"/>
      <c r="AT622" s="1223"/>
      <c r="AU622" s="1208"/>
      <c r="AV622" s="1208"/>
      <c r="AW622" s="2297"/>
      <c r="BE622" s="1224"/>
      <c r="BF622" s="1225"/>
      <c r="BR622" s="1224"/>
      <c r="BS622" s="1224"/>
    </row>
    <row r="623" spans="2:71" s="491" customFormat="1">
      <c r="B623" s="2297"/>
      <c r="C623" s="2297"/>
      <c r="D623" s="2297"/>
      <c r="E623" s="2297"/>
      <c r="F623" s="2297"/>
      <c r="G623" s="2297"/>
      <c r="H623" s="2297"/>
      <c r="I623" s="2297"/>
      <c r="J623" s="2297"/>
      <c r="K623" s="2297"/>
      <c r="L623" s="2297"/>
      <c r="M623" s="2297"/>
      <c r="N623" s="2297"/>
      <c r="O623" s="2297"/>
      <c r="P623" s="2297"/>
      <c r="Q623" s="2297"/>
      <c r="R623" s="99"/>
      <c r="S623" s="99"/>
      <c r="T623" s="99"/>
      <c r="U623" s="99"/>
      <c r="V623" s="99"/>
      <c r="AF623" s="2297"/>
      <c r="AG623" s="1208"/>
      <c r="AH623" s="1208"/>
      <c r="AI623" s="1223"/>
      <c r="AJ623" s="1223"/>
      <c r="AK623" s="1223"/>
      <c r="AL623" s="1223"/>
      <c r="AM623" s="1223"/>
      <c r="AN623" s="1223"/>
      <c r="AO623" s="1208"/>
      <c r="AP623" s="1223"/>
      <c r="AQ623" s="1208"/>
      <c r="AR623" s="1208"/>
      <c r="AS623" s="1223"/>
      <c r="AT623" s="1223"/>
      <c r="AU623" s="1208"/>
      <c r="AV623" s="1208"/>
      <c r="AW623" s="2297"/>
      <c r="BE623" s="1224"/>
      <c r="BF623" s="1225"/>
      <c r="BR623" s="1224"/>
      <c r="BS623" s="1224"/>
    </row>
    <row r="624" spans="2:71" s="491" customFormat="1">
      <c r="B624" s="2297"/>
      <c r="C624" s="2297"/>
      <c r="D624" s="2297"/>
      <c r="E624" s="2297"/>
      <c r="F624" s="2297"/>
      <c r="G624" s="2297"/>
      <c r="H624" s="2297"/>
      <c r="I624" s="2297"/>
      <c r="J624" s="2297"/>
      <c r="K624" s="2297"/>
      <c r="L624" s="2297"/>
      <c r="M624" s="2297"/>
      <c r="N624" s="2297"/>
      <c r="O624" s="2297"/>
      <c r="P624" s="2297"/>
      <c r="Q624" s="2297"/>
      <c r="R624" s="99"/>
      <c r="S624" s="99"/>
      <c r="T624" s="99"/>
      <c r="U624" s="99"/>
      <c r="V624" s="99"/>
      <c r="AF624" s="2297"/>
      <c r="AG624" s="1208"/>
      <c r="AH624" s="1208"/>
      <c r="AI624" s="1223"/>
      <c r="AJ624" s="1223"/>
      <c r="AK624" s="1223"/>
      <c r="AL624" s="1223"/>
      <c r="AM624" s="1223"/>
      <c r="AN624" s="1223"/>
      <c r="AO624" s="1208"/>
      <c r="AP624" s="1223"/>
      <c r="AQ624" s="1208"/>
      <c r="AR624" s="1208"/>
      <c r="AS624" s="1223"/>
      <c r="AT624" s="1223"/>
      <c r="AU624" s="1208"/>
      <c r="AV624" s="1208"/>
      <c r="AW624" s="2297"/>
      <c r="BE624" s="1224"/>
      <c r="BF624" s="1225"/>
      <c r="BR624" s="1224"/>
      <c r="BS624" s="1224"/>
    </row>
    <row r="625" spans="2:71" s="491" customFormat="1">
      <c r="B625" s="2297"/>
      <c r="C625" s="2297"/>
      <c r="D625" s="2297"/>
      <c r="E625" s="2297"/>
      <c r="F625" s="2297"/>
      <c r="G625" s="2297"/>
      <c r="H625" s="2297"/>
      <c r="I625" s="2297"/>
      <c r="J625" s="2297"/>
      <c r="K625" s="2297"/>
      <c r="L625" s="2297"/>
      <c r="M625" s="2297"/>
      <c r="N625" s="2297"/>
      <c r="O625" s="2297"/>
      <c r="P625" s="2297"/>
      <c r="Q625" s="2297"/>
      <c r="R625" s="99"/>
      <c r="S625" s="99"/>
      <c r="T625" s="99"/>
      <c r="U625" s="99"/>
      <c r="V625" s="99"/>
      <c r="AF625" s="2297"/>
      <c r="AG625" s="1208"/>
      <c r="AH625" s="1208"/>
      <c r="AI625" s="1223"/>
      <c r="AJ625" s="1223"/>
      <c r="AK625" s="1223"/>
      <c r="AL625" s="1223"/>
      <c r="AM625" s="1223"/>
      <c r="AN625" s="1223"/>
      <c r="AO625" s="1208"/>
      <c r="AP625" s="1223"/>
      <c r="AQ625" s="1208"/>
      <c r="AR625" s="1208"/>
      <c r="AS625" s="1223"/>
      <c r="AT625" s="1223"/>
      <c r="AU625" s="1208"/>
      <c r="AV625" s="1208"/>
      <c r="AW625" s="2297"/>
      <c r="BE625" s="1224"/>
      <c r="BF625" s="1225"/>
      <c r="BR625" s="1224"/>
      <c r="BS625" s="1224"/>
    </row>
    <row r="626" spans="2:71" s="491" customFormat="1">
      <c r="B626" s="2297"/>
      <c r="C626" s="2297"/>
      <c r="D626" s="2297"/>
      <c r="E626" s="2297"/>
      <c r="F626" s="2297"/>
      <c r="G626" s="2297"/>
      <c r="H626" s="2297"/>
      <c r="I626" s="2297"/>
      <c r="J626" s="2297"/>
      <c r="K626" s="2297"/>
      <c r="L626" s="2297"/>
      <c r="M626" s="2297"/>
      <c r="N626" s="2297"/>
      <c r="O626" s="2297"/>
      <c r="P626" s="2297"/>
      <c r="Q626" s="2297"/>
      <c r="R626" s="99"/>
      <c r="S626" s="99"/>
      <c r="T626" s="99"/>
      <c r="U626" s="99"/>
      <c r="V626" s="99"/>
      <c r="AF626" s="2297"/>
      <c r="AG626" s="1208"/>
      <c r="AH626" s="1208"/>
      <c r="AI626" s="1223"/>
      <c r="AJ626" s="1223"/>
      <c r="AK626" s="1223"/>
      <c r="AL626" s="1223"/>
      <c r="AM626" s="1223"/>
      <c r="AN626" s="1223"/>
      <c r="AO626" s="1208"/>
      <c r="AP626" s="1223"/>
      <c r="AQ626" s="1208"/>
      <c r="AR626" s="1208"/>
      <c r="AS626" s="1223"/>
      <c r="AT626" s="1223"/>
      <c r="AU626" s="1208"/>
      <c r="AV626" s="1208"/>
      <c r="AW626" s="2297"/>
      <c r="BE626" s="1224"/>
      <c r="BF626" s="1225"/>
      <c r="BR626" s="1224"/>
      <c r="BS626" s="1224"/>
    </row>
    <row r="627" spans="2:71" s="491" customFormat="1">
      <c r="B627" s="2297"/>
      <c r="C627" s="2297"/>
      <c r="D627" s="2297"/>
      <c r="E627" s="2297"/>
      <c r="F627" s="2297"/>
      <c r="G627" s="2297"/>
      <c r="H627" s="2297"/>
      <c r="I627" s="2297"/>
      <c r="J627" s="2297"/>
      <c r="K627" s="2297"/>
      <c r="L627" s="2297"/>
      <c r="M627" s="2297"/>
      <c r="N627" s="2297"/>
      <c r="O627" s="2297"/>
      <c r="P627" s="2297"/>
      <c r="Q627" s="2297"/>
      <c r="R627" s="99"/>
      <c r="S627" s="99"/>
      <c r="T627" s="99"/>
      <c r="U627" s="99"/>
      <c r="V627" s="99"/>
      <c r="AF627" s="2297"/>
      <c r="AG627" s="1208"/>
      <c r="AH627" s="1208"/>
      <c r="AI627" s="1223"/>
      <c r="AJ627" s="1223"/>
      <c r="AK627" s="1223"/>
      <c r="AL627" s="1223"/>
      <c r="AM627" s="1223"/>
      <c r="AN627" s="1223"/>
      <c r="AO627" s="1208"/>
      <c r="AP627" s="1223"/>
      <c r="AQ627" s="1208"/>
      <c r="AR627" s="1208"/>
      <c r="AS627" s="1223"/>
      <c r="AT627" s="1223"/>
      <c r="AU627" s="1208"/>
      <c r="AV627" s="1208"/>
      <c r="AW627" s="2297"/>
      <c r="BE627" s="1224"/>
      <c r="BF627" s="1225"/>
      <c r="BR627" s="1224"/>
      <c r="BS627" s="1224"/>
    </row>
    <row r="628" spans="2:71" s="491" customFormat="1">
      <c r="B628" s="2297"/>
      <c r="C628" s="2297"/>
      <c r="D628" s="2297"/>
      <c r="E628" s="2297"/>
      <c r="F628" s="2297"/>
      <c r="G628" s="2297"/>
      <c r="H628" s="2297"/>
      <c r="I628" s="2297"/>
      <c r="J628" s="2297"/>
      <c r="K628" s="2297"/>
      <c r="L628" s="2297"/>
      <c r="M628" s="2297"/>
      <c r="N628" s="2297"/>
      <c r="O628" s="2297"/>
      <c r="P628" s="2297"/>
      <c r="Q628" s="2297"/>
      <c r="R628" s="99"/>
      <c r="S628" s="99"/>
      <c r="T628" s="99"/>
      <c r="U628" s="99"/>
      <c r="V628" s="99"/>
      <c r="AF628" s="2297"/>
      <c r="AG628" s="1208"/>
      <c r="AH628" s="1208"/>
      <c r="AI628" s="1223"/>
      <c r="AJ628" s="1223"/>
      <c r="AK628" s="1223"/>
      <c r="AL628" s="1223"/>
      <c r="AM628" s="1223"/>
      <c r="AN628" s="1223"/>
      <c r="AO628" s="1208"/>
      <c r="AP628" s="1223"/>
      <c r="AQ628" s="1208"/>
      <c r="AR628" s="1208"/>
      <c r="AS628" s="1223"/>
      <c r="AT628" s="1223"/>
      <c r="AU628" s="1208"/>
      <c r="AV628" s="1208"/>
      <c r="AW628" s="2297"/>
      <c r="BE628" s="1224"/>
      <c r="BF628" s="1225"/>
      <c r="BR628" s="1224"/>
      <c r="BS628" s="1224"/>
    </row>
    <row r="629" spans="2:71" s="491" customFormat="1">
      <c r="B629" s="2297"/>
      <c r="C629" s="2297"/>
      <c r="D629" s="2297"/>
      <c r="E629" s="2297"/>
      <c r="F629" s="2297"/>
      <c r="G629" s="2297"/>
      <c r="H629" s="2297"/>
      <c r="I629" s="2297"/>
      <c r="J629" s="2297"/>
      <c r="K629" s="2297"/>
      <c r="L629" s="2297"/>
      <c r="M629" s="2297"/>
      <c r="N629" s="2297"/>
      <c r="O629" s="2297"/>
      <c r="P629" s="2297"/>
      <c r="Q629" s="2297"/>
      <c r="R629" s="99"/>
      <c r="S629" s="99"/>
      <c r="T629" s="99"/>
      <c r="U629" s="99"/>
      <c r="V629" s="99"/>
      <c r="AF629" s="2297"/>
      <c r="AG629" s="1208"/>
      <c r="AH629" s="1208"/>
      <c r="AI629" s="1223"/>
      <c r="AJ629" s="1223"/>
      <c r="AK629" s="1223"/>
      <c r="AL629" s="1223"/>
      <c r="AM629" s="1223"/>
      <c r="AN629" s="1223"/>
      <c r="AO629" s="1208"/>
      <c r="AP629" s="1223"/>
      <c r="AQ629" s="1208"/>
      <c r="AR629" s="1208"/>
      <c r="AS629" s="1223"/>
      <c r="AT629" s="1223"/>
      <c r="AU629" s="1208"/>
      <c r="AV629" s="1208"/>
      <c r="AW629" s="2297"/>
      <c r="BE629" s="1224"/>
      <c r="BF629" s="1225"/>
      <c r="BR629" s="1224"/>
      <c r="BS629" s="1224"/>
    </row>
    <row r="630" spans="2:71" s="491" customFormat="1">
      <c r="B630" s="2297"/>
      <c r="C630" s="2297"/>
      <c r="D630" s="2297"/>
      <c r="E630" s="2297"/>
      <c r="F630" s="2297"/>
      <c r="G630" s="2297"/>
      <c r="H630" s="2297"/>
      <c r="I630" s="2297"/>
      <c r="J630" s="2297"/>
      <c r="K630" s="2297"/>
      <c r="L630" s="2297"/>
      <c r="M630" s="2297"/>
      <c r="N630" s="2297"/>
      <c r="O630" s="2297"/>
      <c r="P630" s="2297"/>
      <c r="Q630" s="2297"/>
      <c r="R630" s="99"/>
      <c r="S630" s="99"/>
      <c r="T630" s="99"/>
      <c r="U630" s="99"/>
      <c r="V630" s="99"/>
      <c r="AF630" s="2297"/>
      <c r="AG630" s="1208"/>
      <c r="AH630" s="1208"/>
      <c r="AI630" s="1223"/>
      <c r="AJ630" s="1223"/>
      <c r="AK630" s="1223"/>
      <c r="AL630" s="1223"/>
      <c r="AM630" s="1223"/>
      <c r="AN630" s="1223"/>
      <c r="AO630" s="1208"/>
      <c r="AP630" s="1223"/>
      <c r="AQ630" s="1208"/>
      <c r="AR630" s="1208"/>
      <c r="AS630" s="1223"/>
      <c r="AT630" s="1223"/>
      <c r="AU630" s="1208"/>
      <c r="AV630" s="1208"/>
      <c r="AW630" s="2297"/>
      <c r="BE630" s="1224"/>
      <c r="BF630" s="1225"/>
      <c r="BR630" s="1224"/>
      <c r="BS630" s="1224"/>
    </row>
    <row r="631" spans="2:71" s="491" customFormat="1">
      <c r="B631" s="2297"/>
      <c r="C631" s="2297"/>
      <c r="D631" s="2297"/>
      <c r="E631" s="2297"/>
      <c r="F631" s="2297"/>
      <c r="G631" s="2297"/>
      <c r="H631" s="2297"/>
      <c r="I631" s="2297"/>
      <c r="J631" s="2297"/>
      <c r="K631" s="2297"/>
      <c r="L631" s="2297"/>
      <c r="M631" s="2297"/>
      <c r="N631" s="2297"/>
      <c r="O631" s="2297"/>
      <c r="P631" s="2297"/>
      <c r="Q631" s="2297"/>
      <c r="R631" s="99"/>
      <c r="S631" s="99"/>
      <c r="T631" s="99"/>
      <c r="U631" s="99"/>
      <c r="V631" s="99"/>
      <c r="AF631" s="2297"/>
      <c r="AG631" s="1208"/>
      <c r="AH631" s="1208"/>
      <c r="AI631" s="1223"/>
      <c r="AJ631" s="1223"/>
      <c r="AK631" s="1223"/>
      <c r="AL631" s="1223"/>
      <c r="AM631" s="1223"/>
      <c r="AN631" s="1223"/>
      <c r="AO631" s="1208"/>
      <c r="AP631" s="1223"/>
      <c r="AQ631" s="1208"/>
      <c r="AR631" s="1208"/>
      <c r="AS631" s="1223"/>
      <c r="AT631" s="1223"/>
      <c r="AU631" s="1208"/>
      <c r="AV631" s="1208"/>
      <c r="AW631" s="2297"/>
      <c r="BE631" s="1224"/>
      <c r="BF631" s="1225"/>
      <c r="BR631" s="1224"/>
      <c r="BS631" s="1224"/>
    </row>
    <row r="632" spans="2:71" s="491" customFormat="1">
      <c r="B632" s="2297"/>
      <c r="C632" s="2297"/>
      <c r="D632" s="2297"/>
      <c r="E632" s="2297"/>
      <c r="F632" s="2297"/>
      <c r="G632" s="2297"/>
      <c r="H632" s="2297"/>
      <c r="I632" s="2297"/>
      <c r="J632" s="2297"/>
      <c r="K632" s="2297"/>
      <c r="L632" s="2297"/>
      <c r="M632" s="2297"/>
      <c r="N632" s="2297"/>
      <c r="O632" s="2297"/>
      <c r="P632" s="2297"/>
      <c r="Q632" s="2297"/>
      <c r="R632" s="99"/>
      <c r="S632" s="99"/>
      <c r="T632" s="99"/>
      <c r="U632" s="99"/>
      <c r="V632" s="99"/>
      <c r="AF632" s="2297"/>
      <c r="AG632" s="1208"/>
      <c r="AH632" s="1208"/>
      <c r="AI632" s="1223"/>
      <c r="AJ632" s="1223"/>
      <c r="AK632" s="1223"/>
      <c r="AL632" s="1223"/>
      <c r="AM632" s="1223"/>
      <c r="AN632" s="1223"/>
      <c r="AO632" s="1208"/>
      <c r="AP632" s="1223"/>
      <c r="AQ632" s="1208"/>
      <c r="AR632" s="1208"/>
      <c r="AS632" s="1223"/>
      <c r="AT632" s="1223"/>
      <c r="AU632" s="1208"/>
      <c r="AV632" s="1208"/>
      <c r="AW632" s="2297"/>
      <c r="BE632" s="1224"/>
      <c r="BF632" s="1225"/>
      <c r="BR632" s="1224"/>
      <c r="BS632" s="1224"/>
    </row>
    <row r="633" spans="2:71" s="491" customFormat="1">
      <c r="B633" s="2297"/>
      <c r="C633" s="2297"/>
      <c r="D633" s="2297"/>
      <c r="E633" s="2297"/>
      <c r="F633" s="2297"/>
      <c r="G633" s="2297"/>
      <c r="H633" s="2297"/>
      <c r="I633" s="2297"/>
      <c r="J633" s="2297"/>
      <c r="K633" s="2297"/>
      <c r="L633" s="2297"/>
      <c r="M633" s="2297"/>
      <c r="N633" s="2297"/>
      <c r="O633" s="2297"/>
      <c r="P633" s="2297"/>
      <c r="Q633" s="2297"/>
      <c r="R633" s="99"/>
      <c r="S633" s="99"/>
      <c r="T633" s="99"/>
      <c r="U633" s="99"/>
      <c r="V633" s="99"/>
      <c r="AF633" s="2297"/>
      <c r="AG633" s="1208"/>
      <c r="AH633" s="1208"/>
      <c r="AI633" s="1223"/>
      <c r="AJ633" s="1223"/>
      <c r="AK633" s="1223"/>
      <c r="AL633" s="1223"/>
      <c r="AM633" s="1223"/>
      <c r="AN633" s="1223"/>
      <c r="AO633" s="1208"/>
      <c r="AP633" s="1223"/>
      <c r="AQ633" s="1208"/>
      <c r="AR633" s="1208"/>
      <c r="AS633" s="1223"/>
      <c r="AT633" s="1223"/>
      <c r="AU633" s="1208"/>
      <c r="AV633" s="1208"/>
      <c r="AW633" s="2297"/>
      <c r="BE633" s="1224"/>
      <c r="BF633" s="1225"/>
      <c r="BR633" s="1224"/>
      <c r="BS633" s="1224"/>
    </row>
    <row r="634" spans="2:71" s="491" customFormat="1">
      <c r="B634" s="2297"/>
      <c r="C634" s="2297"/>
      <c r="D634" s="2297"/>
      <c r="E634" s="2297"/>
      <c r="F634" s="2297"/>
      <c r="G634" s="2297"/>
      <c r="H634" s="2297"/>
      <c r="I634" s="2297"/>
      <c r="J634" s="2297"/>
      <c r="K634" s="2297"/>
      <c r="L634" s="2297"/>
      <c r="M634" s="2297"/>
      <c r="N634" s="2297"/>
      <c r="O634" s="2297"/>
      <c r="P634" s="2297"/>
      <c r="Q634" s="2297"/>
      <c r="R634" s="99"/>
      <c r="S634" s="99"/>
      <c r="T634" s="99"/>
      <c r="U634" s="99"/>
      <c r="V634" s="99"/>
      <c r="AF634" s="2297"/>
      <c r="AG634" s="1208"/>
      <c r="AH634" s="1208"/>
      <c r="AI634" s="1223"/>
      <c r="AJ634" s="1223"/>
      <c r="AK634" s="1223"/>
      <c r="AL634" s="1223"/>
      <c r="AM634" s="1223"/>
      <c r="AN634" s="1223"/>
      <c r="AO634" s="1208"/>
      <c r="AP634" s="1223"/>
      <c r="AQ634" s="1208"/>
      <c r="AR634" s="1208"/>
      <c r="AS634" s="1223"/>
      <c r="AT634" s="1223"/>
      <c r="AU634" s="1208"/>
      <c r="AV634" s="1208"/>
      <c r="AW634" s="2297"/>
      <c r="BE634" s="1224"/>
      <c r="BF634" s="1225"/>
      <c r="BR634" s="1224"/>
      <c r="BS634" s="1224"/>
    </row>
    <row r="635" spans="2:71" s="491" customFormat="1">
      <c r="B635" s="2297"/>
      <c r="C635" s="2297"/>
      <c r="D635" s="2297"/>
      <c r="E635" s="2297"/>
      <c r="F635" s="2297"/>
      <c r="G635" s="2297"/>
      <c r="H635" s="2297"/>
      <c r="I635" s="2297"/>
      <c r="J635" s="2297"/>
      <c r="K635" s="2297"/>
      <c r="L635" s="2297"/>
      <c r="M635" s="2297"/>
      <c r="N635" s="2297"/>
      <c r="O635" s="2297"/>
      <c r="P635" s="2297"/>
      <c r="Q635" s="2297"/>
      <c r="R635" s="99"/>
      <c r="S635" s="99"/>
      <c r="T635" s="99"/>
      <c r="U635" s="99"/>
      <c r="V635" s="99"/>
      <c r="AF635" s="2297"/>
      <c r="AG635" s="1208"/>
      <c r="AH635" s="1208"/>
      <c r="AI635" s="1223"/>
      <c r="AJ635" s="1223"/>
      <c r="AK635" s="1223"/>
      <c r="AL635" s="1223"/>
      <c r="AM635" s="1223"/>
      <c r="AN635" s="1223"/>
      <c r="AO635" s="1208"/>
      <c r="AP635" s="1223"/>
      <c r="AQ635" s="1208"/>
      <c r="AR635" s="1208"/>
      <c r="AS635" s="1223"/>
      <c r="AT635" s="1223"/>
      <c r="AU635" s="1208"/>
      <c r="AV635" s="1208"/>
      <c r="AW635" s="2297"/>
      <c r="BE635" s="1224"/>
      <c r="BF635" s="1225"/>
      <c r="BR635" s="1224"/>
      <c r="BS635" s="1224"/>
    </row>
    <row r="636" spans="2:71" s="491" customFormat="1">
      <c r="B636" s="2297"/>
      <c r="C636" s="2297"/>
      <c r="D636" s="2297"/>
      <c r="E636" s="2297"/>
      <c r="F636" s="2297"/>
      <c r="G636" s="2297"/>
      <c r="H636" s="2297"/>
      <c r="I636" s="2297"/>
      <c r="J636" s="2297"/>
      <c r="K636" s="2297"/>
      <c r="L636" s="2297"/>
      <c r="M636" s="2297"/>
      <c r="N636" s="2297"/>
      <c r="O636" s="2297"/>
      <c r="P636" s="2297"/>
      <c r="Q636" s="2297"/>
      <c r="R636" s="99"/>
      <c r="S636" s="99"/>
      <c r="T636" s="99"/>
      <c r="U636" s="99"/>
      <c r="V636" s="99"/>
      <c r="AF636" s="2297"/>
      <c r="AG636" s="1208"/>
      <c r="AH636" s="1208"/>
      <c r="AI636" s="1223"/>
      <c r="AJ636" s="1223"/>
      <c r="AK636" s="1223"/>
      <c r="AL636" s="1223"/>
      <c r="AM636" s="1223"/>
      <c r="AN636" s="1223"/>
      <c r="AO636" s="1208"/>
      <c r="AP636" s="1223"/>
      <c r="AQ636" s="1208"/>
      <c r="AR636" s="1208"/>
      <c r="AS636" s="1223"/>
      <c r="AT636" s="1223"/>
      <c r="AU636" s="1208"/>
      <c r="AV636" s="1208"/>
      <c r="AW636" s="2297"/>
      <c r="BE636" s="1224"/>
      <c r="BF636" s="1225"/>
      <c r="BR636" s="1224"/>
      <c r="BS636" s="1224"/>
    </row>
    <row r="637" spans="2:71" s="491" customFormat="1">
      <c r="B637" s="2297"/>
      <c r="C637" s="2297"/>
      <c r="D637" s="2297"/>
      <c r="E637" s="2297"/>
      <c r="F637" s="2297"/>
      <c r="G637" s="2297"/>
      <c r="H637" s="2297"/>
      <c r="I637" s="2297"/>
      <c r="J637" s="2297"/>
      <c r="K637" s="2297"/>
      <c r="L637" s="2297"/>
      <c r="M637" s="2297"/>
      <c r="N637" s="2297"/>
      <c r="O637" s="2297"/>
      <c r="P637" s="2297"/>
      <c r="Q637" s="2297"/>
      <c r="R637" s="99"/>
      <c r="S637" s="99"/>
      <c r="T637" s="99"/>
      <c r="U637" s="99"/>
      <c r="V637" s="99"/>
      <c r="AF637" s="2297"/>
      <c r="AG637" s="1208"/>
      <c r="AH637" s="1208"/>
      <c r="AI637" s="1223"/>
      <c r="AJ637" s="1223"/>
      <c r="AK637" s="1223"/>
      <c r="AL637" s="1223"/>
      <c r="AM637" s="1223"/>
      <c r="AN637" s="1223"/>
      <c r="AO637" s="1208"/>
      <c r="AP637" s="1223"/>
      <c r="AQ637" s="1208"/>
      <c r="AR637" s="1208"/>
      <c r="AS637" s="1223"/>
      <c r="AT637" s="1223"/>
      <c r="AU637" s="1208"/>
      <c r="AV637" s="1208"/>
      <c r="AW637" s="2297"/>
      <c r="BE637" s="1224"/>
      <c r="BF637" s="1225"/>
      <c r="BR637" s="1224"/>
      <c r="BS637" s="1224"/>
    </row>
    <row r="638" spans="2:71" s="491" customFormat="1">
      <c r="B638" s="2297"/>
      <c r="C638" s="2297"/>
      <c r="D638" s="2297"/>
      <c r="E638" s="2297"/>
      <c r="F638" s="2297"/>
      <c r="G638" s="2297"/>
      <c r="H638" s="2297"/>
      <c r="I638" s="2297"/>
      <c r="J638" s="2297"/>
      <c r="K638" s="2297"/>
      <c r="L638" s="2297"/>
      <c r="M638" s="2297"/>
      <c r="N638" s="2297"/>
      <c r="O638" s="2297"/>
      <c r="P638" s="2297"/>
      <c r="Q638" s="2297"/>
      <c r="R638" s="99"/>
      <c r="S638" s="99"/>
      <c r="T638" s="99"/>
      <c r="U638" s="99"/>
      <c r="V638" s="99"/>
      <c r="AF638" s="2297"/>
      <c r="AG638" s="1208"/>
      <c r="AH638" s="1208"/>
      <c r="AI638" s="1223"/>
      <c r="AJ638" s="1223"/>
      <c r="AK638" s="1223"/>
      <c r="AL638" s="1223"/>
      <c r="AM638" s="1223"/>
      <c r="AN638" s="1223"/>
      <c r="AO638" s="1208"/>
      <c r="AP638" s="1223"/>
      <c r="AQ638" s="1208"/>
      <c r="AR638" s="1208"/>
      <c r="AS638" s="1223"/>
      <c r="AT638" s="1223"/>
      <c r="AU638" s="1208"/>
      <c r="AV638" s="1208"/>
      <c r="AW638" s="2297"/>
      <c r="BE638" s="1224"/>
      <c r="BF638" s="1225"/>
      <c r="BR638" s="1224"/>
      <c r="BS638" s="1224"/>
    </row>
    <row r="639" spans="2:71" s="491" customFormat="1">
      <c r="B639" s="2297"/>
      <c r="C639" s="2297"/>
      <c r="D639" s="2297"/>
      <c r="E639" s="2297"/>
      <c r="F639" s="2297"/>
      <c r="G639" s="2297"/>
      <c r="H639" s="2297"/>
      <c r="I639" s="2297"/>
      <c r="J639" s="2297"/>
      <c r="K639" s="2297"/>
      <c r="L639" s="2297"/>
      <c r="M639" s="2297"/>
      <c r="N639" s="2297"/>
      <c r="O639" s="2297"/>
      <c r="P639" s="2297"/>
      <c r="Q639" s="2297"/>
      <c r="R639" s="99"/>
      <c r="S639" s="99"/>
      <c r="T639" s="99"/>
      <c r="U639" s="99"/>
      <c r="V639" s="99"/>
      <c r="AF639" s="2297"/>
      <c r="AG639" s="1208"/>
      <c r="AH639" s="1208"/>
      <c r="AI639" s="1223"/>
      <c r="AJ639" s="1223"/>
      <c r="AK639" s="1223"/>
      <c r="AL639" s="1223"/>
      <c r="AM639" s="1223"/>
      <c r="AN639" s="1223"/>
      <c r="AO639" s="1208"/>
      <c r="AP639" s="1223"/>
      <c r="AQ639" s="1208"/>
      <c r="AR639" s="1208"/>
      <c r="AS639" s="1223"/>
      <c r="AT639" s="1223"/>
      <c r="AU639" s="1208"/>
      <c r="AV639" s="1208"/>
      <c r="AW639" s="2297"/>
      <c r="BE639" s="1224"/>
      <c r="BF639" s="1225"/>
      <c r="BR639" s="1224"/>
      <c r="BS639" s="1224"/>
    </row>
    <row r="640" spans="2:71" s="491" customFormat="1">
      <c r="B640" s="2297"/>
      <c r="C640" s="2297"/>
      <c r="D640" s="2297"/>
      <c r="E640" s="2297"/>
      <c r="F640" s="2297"/>
      <c r="G640" s="2297"/>
      <c r="H640" s="2297"/>
      <c r="I640" s="2297"/>
      <c r="J640" s="2297"/>
      <c r="K640" s="2297"/>
      <c r="L640" s="2297"/>
      <c r="M640" s="2297"/>
      <c r="N640" s="2297"/>
      <c r="O640" s="2297"/>
      <c r="P640" s="2297"/>
      <c r="Q640" s="2297"/>
      <c r="R640" s="99"/>
      <c r="S640" s="99"/>
      <c r="T640" s="99"/>
      <c r="U640" s="99"/>
      <c r="V640" s="99"/>
      <c r="AF640" s="2297"/>
      <c r="AG640" s="1208"/>
      <c r="AH640" s="1208"/>
      <c r="AI640" s="1223"/>
      <c r="AJ640" s="1223"/>
      <c r="AK640" s="1223"/>
      <c r="AL640" s="1223"/>
      <c r="AM640" s="1223"/>
      <c r="AN640" s="1223"/>
      <c r="AO640" s="1208"/>
      <c r="AP640" s="1223"/>
      <c r="AQ640" s="1208"/>
      <c r="AR640" s="1208"/>
      <c r="AS640" s="1223"/>
      <c r="AT640" s="1223"/>
      <c r="AU640" s="1208"/>
      <c r="AV640" s="1208"/>
      <c r="AW640" s="2297"/>
      <c r="BE640" s="1224"/>
      <c r="BF640" s="1225"/>
      <c r="BR640" s="1224"/>
      <c r="BS640" s="1224"/>
    </row>
    <row r="641" spans="2:71" s="491" customFormat="1">
      <c r="B641" s="2297"/>
      <c r="C641" s="2297"/>
      <c r="D641" s="2297"/>
      <c r="E641" s="2297"/>
      <c r="F641" s="2297"/>
      <c r="G641" s="2297"/>
      <c r="H641" s="2297"/>
      <c r="I641" s="2297"/>
      <c r="J641" s="2297"/>
      <c r="K641" s="2297"/>
      <c r="L641" s="2297"/>
      <c r="M641" s="2297"/>
      <c r="N641" s="2297"/>
      <c r="O641" s="2297"/>
      <c r="P641" s="2297"/>
      <c r="Q641" s="2297"/>
      <c r="R641" s="99"/>
      <c r="S641" s="99"/>
      <c r="T641" s="99"/>
      <c r="U641" s="99"/>
      <c r="V641" s="99"/>
      <c r="AF641" s="2297"/>
      <c r="AG641" s="1208"/>
      <c r="AH641" s="1208"/>
      <c r="AI641" s="1223"/>
      <c r="AJ641" s="1223"/>
      <c r="AK641" s="1223"/>
      <c r="AL641" s="1223"/>
      <c r="AM641" s="1223"/>
      <c r="AN641" s="1223"/>
      <c r="AO641" s="1208"/>
      <c r="AP641" s="1223"/>
      <c r="AQ641" s="1208"/>
      <c r="AR641" s="1208"/>
      <c r="AS641" s="1223"/>
      <c r="AT641" s="1223"/>
      <c r="AU641" s="1208"/>
      <c r="AV641" s="1208"/>
      <c r="AW641" s="2297"/>
      <c r="BE641" s="1224"/>
      <c r="BF641" s="1225"/>
      <c r="BR641" s="1224"/>
      <c r="BS641" s="1224"/>
    </row>
    <row r="642" spans="2:71" s="491" customFormat="1">
      <c r="B642" s="2297"/>
      <c r="C642" s="2297"/>
      <c r="D642" s="2297"/>
      <c r="E642" s="2297"/>
      <c r="F642" s="2297"/>
      <c r="G642" s="2297"/>
      <c r="H642" s="2297"/>
      <c r="I642" s="2297"/>
      <c r="J642" s="2297"/>
      <c r="K642" s="2297"/>
      <c r="L642" s="2297"/>
      <c r="M642" s="2297"/>
      <c r="N642" s="2297"/>
      <c r="O642" s="2297"/>
      <c r="P642" s="2297"/>
      <c r="Q642" s="2297"/>
      <c r="R642" s="99"/>
      <c r="S642" s="99"/>
      <c r="T642" s="99"/>
      <c r="U642" s="99"/>
      <c r="V642" s="99"/>
      <c r="AF642" s="2297"/>
      <c r="AG642" s="1208"/>
      <c r="AH642" s="1208"/>
      <c r="AI642" s="1223"/>
      <c r="AJ642" s="1223"/>
      <c r="AK642" s="1223"/>
      <c r="AL642" s="1223"/>
      <c r="AM642" s="1223"/>
      <c r="AN642" s="1223"/>
      <c r="AO642" s="1208"/>
      <c r="AP642" s="1223"/>
      <c r="AQ642" s="1208"/>
      <c r="AR642" s="1208"/>
      <c r="AS642" s="1223"/>
      <c r="AT642" s="1223"/>
      <c r="AU642" s="1208"/>
      <c r="AV642" s="1208"/>
      <c r="AW642" s="2297"/>
      <c r="BE642" s="1224"/>
      <c r="BF642" s="1225"/>
      <c r="BR642" s="1224"/>
      <c r="BS642" s="1224"/>
    </row>
    <row r="643" spans="2:71" s="491" customFormat="1">
      <c r="B643" s="2297"/>
      <c r="C643" s="2297"/>
      <c r="D643" s="2297"/>
      <c r="E643" s="2297"/>
      <c r="F643" s="2297"/>
      <c r="G643" s="2297"/>
      <c r="H643" s="2297"/>
      <c r="I643" s="2297"/>
      <c r="J643" s="2297"/>
      <c r="K643" s="2297"/>
      <c r="L643" s="2297"/>
      <c r="M643" s="2297"/>
      <c r="N643" s="2297"/>
      <c r="O643" s="2297"/>
      <c r="P643" s="2297"/>
      <c r="Q643" s="2297"/>
      <c r="R643" s="99"/>
      <c r="S643" s="99"/>
      <c r="T643" s="99"/>
      <c r="U643" s="99"/>
      <c r="V643" s="99"/>
      <c r="AF643" s="2297"/>
      <c r="AG643" s="1208"/>
      <c r="AH643" s="1208"/>
      <c r="AI643" s="1223"/>
      <c r="AJ643" s="1223"/>
      <c r="AK643" s="1223"/>
      <c r="AL643" s="1223"/>
      <c r="AM643" s="1223"/>
      <c r="AN643" s="1223"/>
      <c r="AO643" s="1208"/>
      <c r="AP643" s="1223"/>
      <c r="AQ643" s="1208"/>
      <c r="AR643" s="1208"/>
      <c r="AS643" s="1223"/>
      <c r="AT643" s="1223"/>
      <c r="AU643" s="1208"/>
      <c r="AV643" s="1208"/>
      <c r="AW643" s="2297"/>
      <c r="BE643" s="1224"/>
      <c r="BF643" s="1225"/>
      <c r="BR643" s="1224"/>
      <c r="BS643" s="1224"/>
    </row>
    <row r="644" spans="2:71" s="491" customFormat="1">
      <c r="B644" s="2297"/>
      <c r="C644" s="2297"/>
      <c r="D644" s="2297"/>
      <c r="E644" s="2297"/>
      <c r="F644" s="2297"/>
      <c r="G644" s="2297"/>
      <c r="H644" s="2297"/>
      <c r="I644" s="2297"/>
      <c r="J644" s="2297"/>
      <c r="K644" s="2297"/>
      <c r="L644" s="2297"/>
      <c r="M644" s="2297"/>
      <c r="N644" s="2297"/>
      <c r="O644" s="2297"/>
      <c r="P644" s="2297"/>
      <c r="Q644" s="2297"/>
      <c r="R644" s="99"/>
      <c r="S644" s="99"/>
      <c r="T644" s="99"/>
      <c r="U644" s="99"/>
      <c r="V644" s="99"/>
      <c r="AF644" s="2297"/>
      <c r="AG644" s="1208"/>
      <c r="AH644" s="1208"/>
      <c r="AI644" s="1223"/>
      <c r="AJ644" s="1223"/>
      <c r="AK644" s="1223"/>
      <c r="AL644" s="1223"/>
      <c r="AM644" s="1223"/>
      <c r="AN644" s="1223"/>
      <c r="AO644" s="1208"/>
      <c r="AP644" s="1223"/>
      <c r="AQ644" s="1208"/>
      <c r="AR644" s="1208"/>
      <c r="AS644" s="1223"/>
      <c r="AT644" s="1223"/>
      <c r="AU644" s="1208"/>
      <c r="AV644" s="1208"/>
      <c r="AW644" s="2297"/>
      <c r="BE644" s="1224"/>
      <c r="BF644" s="1225"/>
      <c r="BR644" s="1224"/>
      <c r="BS644" s="1224"/>
    </row>
    <row r="645" spans="2:71" s="491" customFormat="1">
      <c r="B645" s="2297"/>
      <c r="C645" s="2297"/>
      <c r="D645" s="2297"/>
      <c r="E645" s="2297"/>
      <c r="F645" s="2297"/>
      <c r="G645" s="2297"/>
      <c r="H645" s="2297"/>
      <c r="I645" s="2297"/>
      <c r="J645" s="2297"/>
      <c r="K645" s="2297"/>
      <c r="L645" s="2297"/>
      <c r="M645" s="2297"/>
      <c r="N645" s="2297"/>
      <c r="O645" s="2297"/>
      <c r="P645" s="2297"/>
      <c r="Q645" s="2297"/>
      <c r="R645" s="99"/>
      <c r="S645" s="99"/>
      <c r="T645" s="99"/>
      <c r="U645" s="99"/>
      <c r="V645" s="99"/>
      <c r="AF645" s="2297"/>
      <c r="AG645" s="1208"/>
      <c r="AH645" s="1208"/>
      <c r="AI645" s="1223"/>
      <c r="AJ645" s="1223"/>
      <c r="AK645" s="1223"/>
      <c r="AL645" s="1223"/>
      <c r="AM645" s="1223"/>
      <c r="AN645" s="1223"/>
      <c r="AO645" s="1208"/>
      <c r="AP645" s="1223"/>
      <c r="AQ645" s="1208"/>
      <c r="AR645" s="1208"/>
      <c r="AS645" s="1223"/>
      <c r="AT645" s="1223"/>
      <c r="AU645" s="1208"/>
      <c r="AV645" s="1208"/>
      <c r="AW645" s="2297"/>
      <c r="BE645" s="1224"/>
      <c r="BF645" s="1225"/>
      <c r="BR645" s="1224"/>
      <c r="BS645" s="1224"/>
    </row>
    <row r="646" spans="2:71" s="491" customFormat="1">
      <c r="B646" s="2297"/>
      <c r="C646" s="2297"/>
      <c r="D646" s="2297"/>
      <c r="E646" s="2297"/>
      <c r="F646" s="2297"/>
      <c r="G646" s="2297"/>
      <c r="H646" s="2297"/>
      <c r="I646" s="2297"/>
      <c r="J646" s="2297"/>
      <c r="K646" s="2297"/>
      <c r="L646" s="2297"/>
      <c r="M646" s="2297"/>
      <c r="N646" s="2297"/>
      <c r="O646" s="2297"/>
      <c r="P646" s="2297"/>
      <c r="Q646" s="2297"/>
      <c r="R646" s="99"/>
      <c r="S646" s="99"/>
      <c r="T646" s="99"/>
      <c r="U646" s="99"/>
      <c r="V646" s="99"/>
      <c r="AF646" s="2297"/>
      <c r="AG646" s="1208"/>
      <c r="AH646" s="1208"/>
      <c r="AI646" s="1223"/>
      <c r="AJ646" s="1223"/>
      <c r="AK646" s="1223"/>
      <c r="AL646" s="1223"/>
      <c r="AM646" s="1223"/>
      <c r="AN646" s="1223"/>
      <c r="AO646" s="1208"/>
      <c r="AP646" s="1223"/>
      <c r="AQ646" s="1208"/>
      <c r="AR646" s="1208"/>
      <c r="AS646" s="1223"/>
      <c r="AT646" s="1223"/>
      <c r="AU646" s="1208"/>
      <c r="AV646" s="1208"/>
      <c r="AW646" s="2297"/>
      <c r="BE646" s="1224"/>
      <c r="BF646" s="1225"/>
      <c r="BR646" s="1224"/>
      <c r="BS646" s="1224"/>
    </row>
    <row r="647" spans="2:71" s="491" customFormat="1">
      <c r="B647" s="2297"/>
      <c r="C647" s="2297"/>
      <c r="D647" s="2297"/>
      <c r="E647" s="2297"/>
      <c r="F647" s="2297"/>
      <c r="G647" s="2297"/>
      <c r="H647" s="2297"/>
      <c r="I647" s="2297"/>
      <c r="J647" s="2297"/>
      <c r="K647" s="2297"/>
      <c r="L647" s="2297"/>
      <c r="M647" s="2297"/>
      <c r="N647" s="2297"/>
      <c r="O647" s="2297"/>
      <c r="P647" s="2297"/>
      <c r="Q647" s="2297"/>
      <c r="R647" s="99"/>
      <c r="S647" s="99"/>
      <c r="T647" s="99"/>
      <c r="U647" s="99"/>
      <c r="V647" s="99"/>
      <c r="AF647" s="2297"/>
      <c r="AG647" s="1208"/>
      <c r="AH647" s="1208"/>
      <c r="AI647" s="1223"/>
      <c r="AJ647" s="1223"/>
      <c r="AK647" s="1223"/>
      <c r="AL647" s="1223"/>
      <c r="AM647" s="1223"/>
      <c r="AN647" s="1223"/>
      <c r="AO647" s="1208"/>
      <c r="AP647" s="1223"/>
      <c r="AQ647" s="1208"/>
      <c r="AR647" s="1208"/>
      <c r="AS647" s="1223"/>
      <c r="AT647" s="1223"/>
      <c r="AU647" s="1208"/>
      <c r="AV647" s="1208"/>
      <c r="AW647" s="2297"/>
      <c r="BE647" s="1224"/>
      <c r="BF647" s="1225"/>
      <c r="BR647" s="1224"/>
      <c r="BS647" s="1224"/>
    </row>
    <row r="648" spans="2:71" s="491" customFormat="1">
      <c r="B648" s="2297"/>
      <c r="C648" s="2297"/>
      <c r="D648" s="2297"/>
      <c r="E648" s="2297"/>
      <c r="F648" s="2297"/>
      <c r="G648" s="2297"/>
      <c r="H648" s="2297"/>
      <c r="I648" s="2297"/>
      <c r="J648" s="2297"/>
      <c r="K648" s="2297"/>
      <c r="L648" s="2297"/>
      <c r="M648" s="2297"/>
      <c r="N648" s="2297"/>
      <c r="O648" s="2297"/>
      <c r="P648" s="2297"/>
      <c r="Q648" s="2297"/>
      <c r="R648" s="99"/>
      <c r="S648" s="99"/>
      <c r="T648" s="99"/>
      <c r="U648" s="99"/>
      <c r="V648" s="99"/>
      <c r="AF648" s="2297"/>
      <c r="AG648" s="1208"/>
      <c r="AH648" s="1208"/>
      <c r="AI648" s="1223"/>
      <c r="AJ648" s="1223"/>
      <c r="AK648" s="1223"/>
      <c r="AL648" s="1223"/>
      <c r="AM648" s="1223"/>
      <c r="AN648" s="1223"/>
      <c r="AO648" s="1208"/>
      <c r="AP648" s="1223"/>
      <c r="AQ648" s="1208"/>
      <c r="AR648" s="1208"/>
      <c r="AS648" s="1223"/>
      <c r="AT648" s="1223"/>
      <c r="AU648" s="1208"/>
      <c r="AV648" s="1208"/>
      <c r="AW648" s="2297"/>
      <c r="BE648" s="1224"/>
      <c r="BF648" s="1225"/>
      <c r="BR648" s="1224"/>
      <c r="BS648" s="1224"/>
    </row>
    <row r="649" spans="2:71" s="491" customFormat="1">
      <c r="B649" s="2297"/>
      <c r="C649" s="2297"/>
      <c r="D649" s="2297"/>
      <c r="E649" s="2297"/>
      <c r="F649" s="2297"/>
      <c r="G649" s="2297"/>
      <c r="H649" s="2297"/>
      <c r="I649" s="2297"/>
      <c r="J649" s="2297"/>
      <c r="K649" s="2297"/>
      <c r="L649" s="2297"/>
      <c r="M649" s="2297"/>
      <c r="N649" s="2297"/>
      <c r="O649" s="2297"/>
      <c r="P649" s="2297"/>
      <c r="Q649" s="2297"/>
      <c r="R649" s="99"/>
      <c r="S649" s="99"/>
      <c r="T649" s="99"/>
      <c r="U649" s="99"/>
      <c r="V649" s="99"/>
      <c r="AF649" s="2297"/>
      <c r="AG649" s="1208"/>
      <c r="AH649" s="1208"/>
      <c r="AI649" s="1223"/>
      <c r="AJ649" s="1223"/>
      <c r="AK649" s="1223"/>
      <c r="AL649" s="1223"/>
      <c r="AM649" s="1223"/>
      <c r="AN649" s="1223"/>
      <c r="AO649" s="1208"/>
      <c r="AP649" s="1223"/>
      <c r="AQ649" s="1208"/>
      <c r="AR649" s="1208"/>
      <c r="AS649" s="1223"/>
      <c r="AT649" s="1223"/>
      <c r="AU649" s="1208"/>
      <c r="AV649" s="1208"/>
      <c r="AW649" s="2297"/>
      <c r="BE649" s="1224"/>
      <c r="BF649" s="1225"/>
      <c r="BR649" s="1224"/>
      <c r="BS649" s="1224"/>
    </row>
    <row r="650" spans="2:71" s="491" customFormat="1">
      <c r="B650" s="2297"/>
      <c r="C650" s="2297"/>
      <c r="D650" s="2297"/>
      <c r="E650" s="2297"/>
      <c r="F650" s="2297"/>
      <c r="G650" s="2297"/>
      <c r="H650" s="2297"/>
      <c r="I650" s="2297"/>
      <c r="J650" s="2297"/>
      <c r="K650" s="2297"/>
      <c r="L650" s="2297"/>
      <c r="M650" s="2297"/>
      <c r="N650" s="2297"/>
      <c r="O650" s="2297"/>
      <c r="P650" s="2297"/>
      <c r="Q650" s="2297"/>
      <c r="R650" s="99"/>
      <c r="S650" s="99"/>
      <c r="T650" s="99"/>
      <c r="U650" s="99"/>
      <c r="V650" s="99"/>
      <c r="AF650" s="2297"/>
      <c r="AG650" s="1208"/>
      <c r="AH650" s="1208"/>
      <c r="AI650" s="1223"/>
      <c r="AJ650" s="1223"/>
      <c r="AK650" s="1223"/>
      <c r="AL650" s="1223"/>
      <c r="AM650" s="1223"/>
      <c r="AN650" s="1223"/>
      <c r="AO650" s="1208"/>
      <c r="AP650" s="1223"/>
      <c r="AQ650" s="1208"/>
      <c r="AR650" s="1208"/>
      <c r="AS650" s="1223"/>
      <c r="AT650" s="1223"/>
      <c r="AU650" s="1208"/>
      <c r="AV650" s="1208"/>
      <c r="AW650" s="2297"/>
      <c r="BE650" s="1224"/>
      <c r="BF650" s="1225"/>
      <c r="BR650" s="1224"/>
      <c r="BS650" s="1224"/>
    </row>
    <row r="651" spans="2:71" s="491" customFormat="1">
      <c r="B651" s="2297"/>
      <c r="C651" s="2297"/>
      <c r="D651" s="2297"/>
      <c r="E651" s="2297"/>
      <c r="F651" s="2297"/>
      <c r="G651" s="2297"/>
      <c r="H651" s="2297"/>
      <c r="I651" s="2297"/>
      <c r="J651" s="2297"/>
      <c r="K651" s="2297"/>
      <c r="L651" s="2297"/>
      <c r="M651" s="2297"/>
      <c r="N651" s="2297"/>
      <c r="O651" s="2297"/>
      <c r="P651" s="2297"/>
      <c r="Q651" s="2297"/>
      <c r="R651" s="99"/>
      <c r="S651" s="99"/>
      <c r="T651" s="99"/>
      <c r="U651" s="99"/>
      <c r="V651" s="99"/>
      <c r="AF651" s="2297"/>
      <c r="AG651" s="1208"/>
      <c r="AH651" s="1208"/>
      <c r="AI651" s="1223"/>
      <c r="AJ651" s="1223"/>
      <c r="AK651" s="1223"/>
      <c r="AL651" s="1223"/>
      <c r="AM651" s="1223"/>
      <c r="AN651" s="1223"/>
      <c r="AO651" s="1208"/>
      <c r="AP651" s="1223"/>
      <c r="AQ651" s="1208"/>
      <c r="AR651" s="1208"/>
      <c r="AS651" s="1223"/>
      <c r="AT651" s="1223"/>
      <c r="AU651" s="1208"/>
      <c r="AV651" s="1208"/>
      <c r="AW651" s="2297"/>
      <c r="BE651" s="1224"/>
      <c r="BF651" s="1225"/>
      <c r="BR651" s="1224"/>
      <c r="BS651" s="1224"/>
    </row>
    <row r="652" spans="2:71" s="491" customFormat="1">
      <c r="B652" s="2297"/>
      <c r="C652" s="2297"/>
      <c r="D652" s="2297"/>
      <c r="E652" s="2297"/>
      <c r="F652" s="2297"/>
      <c r="G652" s="2297"/>
      <c r="H652" s="2297"/>
      <c r="I652" s="2297"/>
      <c r="J652" s="2297"/>
      <c r="K652" s="2297"/>
      <c r="L652" s="2297"/>
      <c r="M652" s="2297"/>
      <c r="N652" s="2297"/>
      <c r="O652" s="2297"/>
      <c r="P652" s="2297"/>
      <c r="Q652" s="2297"/>
      <c r="R652" s="99"/>
      <c r="S652" s="99"/>
      <c r="T652" s="99"/>
      <c r="U652" s="99"/>
      <c r="V652" s="99"/>
      <c r="AF652" s="2297"/>
      <c r="AG652" s="1208"/>
      <c r="AH652" s="1208"/>
      <c r="AI652" s="1223"/>
      <c r="AJ652" s="1223"/>
      <c r="AK652" s="1223"/>
      <c r="AL652" s="1223"/>
      <c r="AM652" s="1223"/>
      <c r="AN652" s="1223"/>
      <c r="AO652" s="1208"/>
      <c r="AP652" s="1223"/>
      <c r="AQ652" s="1208"/>
      <c r="AR652" s="1208"/>
      <c r="AS652" s="1223"/>
      <c r="AT652" s="1223"/>
      <c r="AU652" s="1208"/>
      <c r="AV652" s="1208"/>
      <c r="AW652" s="2297"/>
      <c r="BE652" s="1224"/>
      <c r="BF652" s="1225"/>
      <c r="BR652" s="1224"/>
      <c r="BS652" s="1224"/>
    </row>
    <row r="653" spans="2:71" s="491" customFormat="1">
      <c r="B653" s="2297"/>
      <c r="C653" s="2297"/>
      <c r="D653" s="2297"/>
      <c r="E653" s="2297"/>
      <c r="F653" s="2297"/>
      <c r="G653" s="2297"/>
      <c r="H653" s="2297"/>
      <c r="I653" s="2297"/>
      <c r="J653" s="2297"/>
      <c r="K653" s="2297"/>
      <c r="L653" s="2297"/>
      <c r="M653" s="2297"/>
      <c r="N653" s="2297"/>
      <c r="O653" s="2297"/>
      <c r="P653" s="2297"/>
      <c r="Q653" s="2297"/>
      <c r="R653" s="99"/>
      <c r="S653" s="99"/>
      <c r="T653" s="99"/>
      <c r="U653" s="99"/>
      <c r="V653" s="99"/>
      <c r="AF653" s="2297"/>
      <c r="AG653" s="1208"/>
      <c r="AH653" s="1208"/>
      <c r="AI653" s="1223"/>
      <c r="AJ653" s="1223"/>
      <c r="AK653" s="1223"/>
      <c r="AL653" s="1223"/>
      <c r="AM653" s="1223"/>
      <c r="AN653" s="1223"/>
      <c r="AO653" s="1208"/>
      <c r="AP653" s="1223"/>
      <c r="AQ653" s="1208"/>
      <c r="AR653" s="1208"/>
      <c r="AS653" s="1223"/>
      <c r="AT653" s="1223"/>
      <c r="AU653" s="1208"/>
      <c r="AV653" s="1208"/>
      <c r="AW653" s="2297"/>
      <c r="BE653" s="1224"/>
      <c r="BF653" s="1225"/>
      <c r="BR653" s="1224"/>
      <c r="BS653" s="1224"/>
    </row>
    <row r="654" spans="2:71" s="491" customFormat="1">
      <c r="B654" s="2297"/>
      <c r="C654" s="2297"/>
      <c r="D654" s="2297"/>
      <c r="E654" s="2297"/>
      <c r="F654" s="2297"/>
      <c r="G654" s="2297"/>
      <c r="H654" s="2297"/>
      <c r="I654" s="2297"/>
      <c r="J654" s="2297"/>
      <c r="K654" s="2297"/>
      <c r="L654" s="2297"/>
      <c r="M654" s="2297"/>
      <c r="N654" s="2297"/>
      <c r="O654" s="2297"/>
      <c r="P654" s="2297"/>
      <c r="Q654" s="2297"/>
      <c r="R654" s="99"/>
      <c r="S654" s="99"/>
      <c r="T654" s="99"/>
      <c r="U654" s="99"/>
      <c r="V654" s="99"/>
      <c r="AF654" s="2297"/>
      <c r="AG654" s="1208"/>
      <c r="AH654" s="1208"/>
      <c r="AI654" s="1223"/>
      <c r="AJ654" s="1223"/>
      <c r="AK654" s="1223"/>
      <c r="AL654" s="1223"/>
      <c r="AM654" s="1223"/>
      <c r="AN654" s="1223"/>
      <c r="AO654" s="1208"/>
      <c r="AP654" s="1223"/>
      <c r="AQ654" s="1208"/>
      <c r="AR654" s="1208"/>
      <c r="AS654" s="1223"/>
      <c r="AT654" s="1223"/>
      <c r="AU654" s="1208"/>
      <c r="AV654" s="1208"/>
      <c r="AW654" s="2297"/>
      <c r="BE654" s="1224"/>
      <c r="BF654" s="1225"/>
      <c r="BR654" s="1224"/>
      <c r="BS654" s="1224"/>
    </row>
    <row r="655" spans="2:71" s="491" customFormat="1">
      <c r="B655" s="2297"/>
      <c r="C655" s="2297"/>
      <c r="D655" s="2297"/>
      <c r="E655" s="2297"/>
      <c r="F655" s="2297"/>
      <c r="G655" s="2297"/>
      <c r="H655" s="2297"/>
      <c r="I655" s="2297"/>
      <c r="J655" s="2297"/>
      <c r="K655" s="2297"/>
      <c r="L655" s="2297"/>
      <c r="M655" s="2297"/>
      <c r="N655" s="2297"/>
      <c r="O655" s="2297"/>
      <c r="P655" s="2297"/>
      <c r="Q655" s="2297"/>
      <c r="R655" s="99"/>
      <c r="S655" s="99"/>
      <c r="T655" s="99"/>
      <c r="U655" s="99"/>
      <c r="V655" s="99"/>
      <c r="AF655" s="2297"/>
      <c r="AG655" s="1208"/>
      <c r="AH655" s="1208"/>
      <c r="AI655" s="1223"/>
      <c r="AJ655" s="1223"/>
      <c r="AK655" s="1223"/>
      <c r="AL655" s="1223"/>
      <c r="AM655" s="1223"/>
      <c r="AN655" s="1223"/>
      <c r="AO655" s="1208"/>
      <c r="AP655" s="1223"/>
      <c r="AQ655" s="1208"/>
      <c r="AR655" s="1208"/>
      <c r="AS655" s="1223"/>
      <c r="AT655" s="1223"/>
      <c r="AU655" s="1208"/>
      <c r="AV655" s="1208"/>
      <c r="AW655" s="2297"/>
      <c r="BE655" s="1224"/>
      <c r="BF655" s="1225"/>
      <c r="BR655" s="1224"/>
      <c r="BS655" s="1224"/>
    </row>
    <row r="656" spans="2:71" s="491" customFormat="1">
      <c r="B656" s="2297"/>
      <c r="C656" s="2297"/>
      <c r="D656" s="2297"/>
      <c r="E656" s="2297"/>
      <c r="F656" s="2297"/>
      <c r="G656" s="2297"/>
      <c r="H656" s="2297"/>
      <c r="I656" s="2297"/>
      <c r="J656" s="2297"/>
      <c r="K656" s="2297"/>
      <c r="L656" s="2297"/>
      <c r="M656" s="2297"/>
      <c r="N656" s="2297"/>
      <c r="O656" s="2297"/>
      <c r="P656" s="2297"/>
      <c r="Q656" s="2297"/>
      <c r="R656" s="99"/>
      <c r="S656" s="99"/>
      <c r="T656" s="99"/>
      <c r="U656" s="99"/>
      <c r="V656" s="99"/>
      <c r="AF656" s="2297"/>
      <c r="AG656" s="1208"/>
      <c r="AH656" s="1208"/>
      <c r="AI656" s="1223"/>
      <c r="AJ656" s="1223"/>
      <c r="AK656" s="1223"/>
      <c r="AL656" s="1223"/>
      <c r="AM656" s="1223"/>
      <c r="AN656" s="1223"/>
      <c r="AO656" s="1208"/>
      <c r="AP656" s="1223"/>
      <c r="AQ656" s="1208"/>
      <c r="AR656" s="1208"/>
      <c r="AS656" s="1223"/>
      <c r="AT656" s="1223"/>
      <c r="AU656" s="1208"/>
      <c r="AV656" s="1208"/>
      <c r="AW656" s="2297"/>
      <c r="BE656" s="1224"/>
      <c r="BF656" s="1225"/>
      <c r="BR656" s="1224"/>
      <c r="BS656" s="1224"/>
    </row>
    <row r="657" spans="2:71" s="491" customFormat="1">
      <c r="B657" s="2297"/>
      <c r="C657" s="2297"/>
      <c r="D657" s="2297"/>
      <c r="E657" s="2297"/>
      <c r="F657" s="2297"/>
      <c r="G657" s="2297"/>
      <c r="H657" s="2297"/>
      <c r="I657" s="2297"/>
      <c r="J657" s="2297"/>
      <c r="K657" s="2297"/>
      <c r="L657" s="2297"/>
      <c r="M657" s="2297"/>
      <c r="N657" s="2297"/>
      <c r="O657" s="2297"/>
      <c r="P657" s="2297"/>
      <c r="Q657" s="2297"/>
      <c r="R657" s="99"/>
      <c r="S657" s="99"/>
      <c r="T657" s="99"/>
      <c r="U657" s="99"/>
      <c r="V657" s="99"/>
      <c r="AF657" s="2297"/>
      <c r="AG657" s="1208"/>
      <c r="AH657" s="1208"/>
      <c r="AI657" s="1223"/>
      <c r="AJ657" s="1223"/>
      <c r="AK657" s="1223"/>
      <c r="AL657" s="1223"/>
      <c r="AM657" s="1223"/>
      <c r="AN657" s="1223"/>
      <c r="AO657" s="1208"/>
      <c r="AP657" s="1223"/>
      <c r="AQ657" s="1208"/>
      <c r="AR657" s="1208"/>
      <c r="AS657" s="1223"/>
      <c r="AT657" s="1223"/>
      <c r="AU657" s="1208"/>
      <c r="AV657" s="1208"/>
      <c r="AW657" s="2297"/>
      <c r="BE657" s="1224"/>
      <c r="BF657" s="1225"/>
      <c r="BR657" s="1224"/>
      <c r="BS657" s="1224"/>
    </row>
    <row r="658" spans="2:71" s="491" customFormat="1">
      <c r="B658" s="2297"/>
      <c r="C658" s="2297"/>
      <c r="D658" s="2297"/>
      <c r="E658" s="2297"/>
      <c r="F658" s="2297"/>
      <c r="G658" s="2297"/>
      <c r="H658" s="2297"/>
      <c r="I658" s="2297"/>
      <c r="J658" s="2297"/>
      <c r="K658" s="2297"/>
      <c r="L658" s="2297"/>
      <c r="M658" s="2297"/>
      <c r="N658" s="2297"/>
      <c r="O658" s="2297"/>
      <c r="P658" s="2297"/>
      <c r="Q658" s="2297"/>
      <c r="R658" s="99"/>
      <c r="S658" s="99"/>
      <c r="T658" s="99"/>
      <c r="U658" s="99"/>
      <c r="V658" s="99"/>
      <c r="AF658" s="2297"/>
      <c r="AG658" s="1208"/>
      <c r="AH658" s="1208"/>
      <c r="AI658" s="1223"/>
      <c r="AJ658" s="1223"/>
      <c r="AK658" s="1223"/>
      <c r="AL658" s="1223"/>
      <c r="AM658" s="1223"/>
      <c r="AN658" s="1223"/>
      <c r="AO658" s="1208"/>
      <c r="AP658" s="1223"/>
      <c r="AQ658" s="1208"/>
      <c r="AR658" s="1208"/>
      <c r="AS658" s="1223"/>
      <c r="AT658" s="1223"/>
      <c r="AU658" s="1208"/>
      <c r="AV658" s="1208"/>
      <c r="AW658" s="2297"/>
      <c r="BE658" s="1224"/>
      <c r="BF658" s="1225"/>
      <c r="BR658" s="1224"/>
      <c r="BS658" s="1224"/>
    </row>
    <row r="659" spans="2:71" s="491" customFormat="1">
      <c r="B659" s="2297"/>
      <c r="C659" s="2297"/>
      <c r="D659" s="2297"/>
      <c r="E659" s="2297"/>
      <c r="F659" s="2297"/>
      <c r="G659" s="2297"/>
      <c r="H659" s="2297"/>
      <c r="I659" s="2297"/>
      <c r="J659" s="2297"/>
      <c r="K659" s="2297"/>
      <c r="L659" s="2297"/>
      <c r="M659" s="2297"/>
      <c r="N659" s="2297"/>
      <c r="O659" s="2297"/>
      <c r="P659" s="2297"/>
      <c r="Q659" s="2297"/>
      <c r="R659" s="99"/>
      <c r="S659" s="99"/>
      <c r="T659" s="99"/>
      <c r="U659" s="99"/>
      <c r="V659" s="99"/>
      <c r="AF659" s="2297"/>
      <c r="AG659" s="1208"/>
      <c r="AH659" s="1208"/>
      <c r="AI659" s="1223"/>
      <c r="AJ659" s="1223"/>
      <c r="AK659" s="1223"/>
      <c r="AL659" s="1223"/>
      <c r="AM659" s="1223"/>
      <c r="AN659" s="1223"/>
      <c r="AO659" s="1208"/>
      <c r="AP659" s="1223"/>
      <c r="AQ659" s="1208"/>
      <c r="AR659" s="1208"/>
      <c r="AS659" s="1223"/>
      <c r="AT659" s="1223"/>
      <c r="AU659" s="1208"/>
      <c r="AV659" s="1208"/>
      <c r="AW659" s="2297"/>
      <c r="BE659" s="1224"/>
      <c r="BF659" s="1225"/>
      <c r="BR659" s="1224"/>
      <c r="BS659" s="1224"/>
    </row>
    <row r="660" spans="2:71" s="491" customFormat="1">
      <c r="B660" s="2297"/>
      <c r="C660" s="2297"/>
      <c r="D660" s="2297"/>
      <c r="E660" s="2297"/>
      <c r="F660" s="2297"/>
      <c r="G660" s="2297"/>
      <c r="H660" s="2297"/>
      <c r="I660" s="2297"/>
      <c r="J660" s="2297"/>
      <c r="K660" s="2297"/>
      <c r="L660" s="2297"/>
      <c r="M660" s="2297"/>
      <c r="N660" s="2297"/>
      <c r="O660" s="2297"/>
      <c r="P660" s="2297"/>
      <c r="Q660" s="2297"/>
      <c r="R660" s="99"/>
      <c r="S660" s="99"/>
      <c r="T660" s="99"/>
      <c r="U660" s="99"/>
      <c r="V660" s="99"/>
      <c r="AF660" s="2297"/>
      <c r="AG660" s="1208"/>
      <c r="AH660" s="1208"/>
      <c r="AI660" s="1223"/>
      <c r="AJ660" s="1223"/>
      <c r="AK660" s="1223"/>
      <c r="AL660" s="1223"/>
      <c r="AM660" s="1223"/>
      <c r="AN660" s="1223"/>
      <c r="AO660" s="1208"/>
      <c r="AP660" s="1223"/>
      <c r="AQ660" s="1208"/>
      <c r="AR660" s="1208"/>
      <c r="AS660" s="1223"/>
      <c r="AT660" s="1223"/>
      <c r="AU660" s="1208"/>
      <c r="AV660" s="1208"/>
      <c r="AW660" s="2297"/>
      <c r="BE660" s="1224"/>
      <c r="BF660" s="1225"/>
      <c r="BR660" s="1224"/>
      <c r="BS660" s="1224"/>
    </row>
    <row r="661" spans="2:71" s="491" customFormat="1">
      <c r="B661" s="2297"/>
      <c r="C661" s="2297"/>
      <c r="D661" s="2297"/>
      <c r="E661" s="2297"/>
      <c r="F661" s="2297"/>
      <c r="G661" s="2297"/>
      <c r="H661" s="2297"/>
      <c r="I661" s="2297"/>
      <c r="J661" s="2297"/>
      <c r="K661" s="2297"/>
      <c r="L661" s="2297"/>
      <c r="M661" s="2297"/>
      <c r="N661" s="2297"/>
      <c r="O661" s="2297"/>
      <c r="P661" s="2297"/>
      <c r="Q661" s="2297"/>
      <c r="R661" s="99"/>
      <c r="S661" s="99"/>
      <c r="T661" s="99"/>
      <c r="U661" s="99"/>
      <c r="V661" s="99"/>
      <c r="AF661" s="2297"/>
      <c r="AG661" s="1208"/>
      <c r="AH661" s="1208"/>
      <c r="AI661" s="1223"/>
      <c r="AJ661" s="1223"/>
      <c r="AK661" s="1223"/>
      <c r="AL661" s="1223"/>
      <c r="AM661" s="1223"/>
      <c r="AN661" s="1223"/>
      <c r="AO661" s="1208"/>
      <c r="AP661" s="1223"/>
      <c r="AQ661" s="1208"/>
      <c r="AR661" s="1208"/>
      <c r="AS661" s="1223"/>
      <c r="AT661" s="1223"/>
      <c r="AU661" s="1208"/>
      <c r="AV661" s="1208"/>
      <c r="AW661" s="2297"/>
      <c r="BE661" s="1224"/>
      <c r="BF661" s="1225"/>
      <c r="BR661" s="1224"/>
      <c r="BS661" s="1224"/>
    </row>
    <row r="662" spans="2:71" s="491" customFormat="1">
      <c r="B662" s="2297"/>
      <c r="C662" s="2297"/>
      <c r="D662" s="2297"/>
      <c r="E662" s="2297"/>
      <c r="F662" s="2297"/>
      <c r="G662" s="2297"/>
      <c r="H662" s="2297"/>
      <c r="I662" s="2297"/>
      <c r="J662" s="2297"/>
      <c r="K662" s="2297"/>
      <c r="L662" s="2297"/>
      <c r="M662" s="2297"/>
      <c r="N662" s="2297"/>
      <c r="O662" s="2297"/>
      <c r="P662" s="2297"/>
      <c r="Q662" s="2297"/>
      <c r="R662" s="99"/>
      <c r="S662" s="99"/>
      <c r="T662" s="99"/>
      <c r="U662" s="99"/>
      <c r="V662" s="99"/>
      <c r="AF662" s="2297"/>
      <c r="AG662" s="1208"/>
      <c r="AH662" s="1208"/>
      <c r="AI662" s="1223"/>
      <c r="AJ662" s="1223"/>
      <c r="AK662" s="1223"/>
      <c r="AL662" s="1223"/>
      <c r="AM662" s="1223"/>
      <c r="AN662" s="1223"/>
      <c r="AO662" s="1208"/>
      <c r="AP662" s="1223"/>
      <c r="AQ662" s="1208"/>
      <c r="AR662" s="1208"/>
      <c r="AS662" s="1223"/>
      <c r="AT662" s="1223"/>
      <c r="AU662" s="1208"/>
      <c r="AV662" s="1208"/>
      <c r="AW662" s="2297"/>
      <c r="BE662" s="1224"/>
      <c r="BF662" s="1225"/>
      <c r="BR662" s="1224"/>
      <c r="BS662" s="1224"/>
    </row>
    <row r="663" spans="2:71" s="491" customFormat="1">
      <c r="B663" s="2297"/>
      <c r="C663" s="2297"/>
      <c r="D663" s="2297"/>
      <c r="E663" s="2297"/>
      <c r="F663" s="2297"/>
      <c r="G663" s="2297"/>
      <c r="H663" s="2297"/>
      <c r="I663" s="2297"/>
      <c r="J663" s="2297"/>
      <c r="K663" s="2297"/>
      <c r="L663" s="2297"/>
      <c r="M663" s="2297"/>
      <c r="N663" s="2297"/>
      <c r="O663" s="2297"/>
      <c r="P663" s="2297"/>
      <c r="Q663" s="2297"/>
      <c r="R663" s="99"/>
      <c r="S663" s="99"/>
      <c r="T663" s="99"/>
      <c r="U663" s="99"/>
      <c r="V663" s="99"/>
      <c r="AF663" s="2297"/>
      <c r="AG663" s="1208"/>
      <c r="AH663" s="1208"/>
      <c r="AI663" s="1223"/>
      <c r="AJ663" s="1223"/>
      <c r="AK663" s="1223"/>
      <c r="AL663" s="1223"/>
      <c r="AM663" s="1223"/>
      <c r="AN663" s="1223"/>
      <c r="AO663" s="1208"/>
      <c r="AP663" s="1223"/>
      <c r="AQ663" s="1208"/>
      <c r="AR663" s="1208"/>
      <c r="AS663" s="1223"/>
      <c r="AT663" s="1223"/>
      <c r="AU663" s="1208"/>
      <c r="AV663" s="1208"/>
      <c r="AW663" s="2297"/>
      <c r="BE663" s="1224"/>
      <c r="BF663" s="1225"/>
      <c r="BR663" s="1224"/>
      <c r="BS663" s="1224"/>
    </row>
    <row r="664" spans="2:71" s="491" customFormat="1">
      <c r="B664" s="2297"/>
      <c r="C664" s="2297"/>
      <c r="D664" s="2297"/>
      <c r="E664" s="2297"/>
      <c r="F664" s="2297"/>
      <c r="G664" s="2297"/>
      <c r="H664" s="2297"/>
      <c r="I664" s="2297"/>
      <c r="J664" s="2297"/>
      <c r="K664" s="2297"/>
      <c r="L664" s="2297"/>
      <c r="M664" s="2297"/>
      <c r="N664" s="2297"/>
      <c r="O664" s="2297"/>
      <c r="P664" s="2297"/>
      <c r="Q664" s="2297"/>
      <c r="R664" s="99"/>
      <c r="S664" s="99"/>
      <c r="T664" s="99"/>
      <c r="U664" s="99"/>
      <c r="V664" s="99"/>
      <c r="AF664" s="2297"/>
      <c r="AG664" s="1208"/>
      <c r="AH664" s="1208"/>
      <c r="AI664" s="1223"/>
      <c r="AJ664" s="1223"/>
      <c r="AK664" s="1223"/>
      <c r="AL664" s="1223"/>
      <c r="AM664" s="1223"/>
      <c r="AN664" s="1223"/>
      <c r="AO664" s="1208"/>
      <c r="AP664" s="1223"/>
      <c r="AQ664" s="1208"/>
      <c r="AR664" s="1208"/>
      <c r="AS664" s="1223"/>
      <c r="AT664" s="1223"/>
      <c r="AU664" s="1208"/>
      <c r="AV664" s="1208"/>
      <c r="AW664" s="2297"/>
      <c r="BE664" s="1224"/>
      <c r="BF664" s="1225"/>
      <c r="BR664" s="1224"/>
      <c r="BS664" s="1224"/>
    </row>
    <row r="665" spans="2:71" s="491" customFormat="1">
      <c r="B665" s="2297"/>
      <c r="C665" s="2297"/>
      <c r="D665" s="2297"/>
      <c r="E665" s="2297"/>
      <c r="F665" s="2297"/>
      <c r="G665" s="2297"/>
      <c r="H665" s="2297"/>
      <c r="I665" s="2297"/>
      <c r="J665" s="2297"/>
      <c r="K665" s="2297"/>
      <c r="L665" s="2297"/>
      <c r="M665" s="2297"/>
      <c r="N665" s="2297"/>
      <c r="O665" s="2297"/>
      <c r="P665" s="2297"/>
      <c r="Q665" s="2297"/>
      <c r="R665" s="99"/>
      <c r="S665" s="99"/>
      <c r="T665" s="99"/>
      <c r="U665" s="99"/>
      <c r="V665" s="99"/>
      <c r="AF665" s="2297"/>
      <c r="AG665" s="1208"/>
      <c r="AH665" s="1208"/>
      <c r="AI665" s="1223"/>
      <c r="AJ665" s="1223"/>
      <c r="AK665" s="1223"/>
      <c r="AL665" s="1223"/>
      <c r="AM665" s="1223"/>
      <c r="AN665" s="1223"/>
      <c r="AO665" s="1208"/>
      <c r="AP665" s="1223"/>
      <c r="AQ665" s="1208"/>
      <c r="AR665" s="1208"/>
      <c r="AS665" s="1223"/>
      <c r="AT665" s="1223"/>
      <c r="AU665" s="1208"/>
      <c r="AV665" s="1208"/>
      <c r="AW665" s="2297"/>
      <c r="BE665" s="1224"/>
      <c r="BF665" s="1225"/>
      <c r="BR665" s="1224"/>
      <c r="BS665" s="1224"/>
    </row>
    <row r="666" spans="2:71" s="491" customFormat="1">
      <c r="B666" s="2297"/>
      <c r="C666" s="2297"/>
      <c r="D666" s="2297"/>
      <c r="E666" s="2297"/>
      <c r="F666" s="2297"/>
      <c r="G666" s="2297"/>
      <c r="H666" s="2297"/>
      <c r="I666" s="2297"/>
      <c r="J666" s="2297"/>
      <c r="K666" s="2297"/>
      <c r="L666" s="2297"/>
      <c r="M666" s="2297"/>
      <c r="N666" s="2297"/>
      <c r="O666" s="2297"/>
      <c r="P666" s="2297"/>
      <c r="Q666" s="2297"/>
      <c r="R666" s="99"/>
      <c r="S666" s="99"/>
      <c r="T666" s="99"/>
      <c r="U666" s="99"/>
      <c r="V666" s="99"/>
      <c r="AF666" s="2297"/>
      <c r="AG666" s="1208"/>
      <c r="AH666" s="1208"/>
      <c r="AI666" s="1223"/>
      <c r="AJ666" s="1223"/>
      <c r="AK666" s="1223"/>
      <c r="AL666" s="1223"/>
      <c r="AM666" s="1223"/>
      <c r="AN666" s="1223"/>
      <c r="AO666" s="1208"/>
      <c r="AP666" s="1223"/>
      <c r="AQ666" s="1208"/>
      <c r="AR666" s="1208"/>
      <c r="AS666" s="1223"/>
      <c r="AT666" s="1223"/>
      <c r="AU666" s="1208"/>
      <c r="AV666" s="1208"/>
      <c r="AW666" s="2297"/>
      <c r="BE666" s="1224"/>
      <c r="BF666" s="1225"/>
      <c r="BR666" s="1224"/>
      <c r="BS666" s="1224"/>
    </row>
    <row r="667" spans="2:71" s="491" customFormat="1">
      <c r="B667" s="2297"/>
      <c r="C667" s="2297"/>
      <c r="D667" s="2297"/>
      <c r="E667" s="2297"/>
      <c r="F667" s="2297"/>
      <c r="G667" s="2297"/>
      <c r="H667" s="2297"/>
      <c r="I667" s="2297"/>
      <c r="J667" s="2297"/>
      <c r="K667" s="2297"/>
      <c r="L667" s="2297"/>
      <c r="M667" s="2297"/>
      <c r="N667" s="2297"/>
      <c r="O667" s="2297"/>
      <c r="P667" s="2297"/>
      <c r="Q667" s="2297"/>
      <c r="R667" s="99"/>
      <c r="S667" s="99"/>
      <c r="T667" s="99"/>
      <c r="U667" s="99"/>
      <c r="V667" s="99"/>
      <c r="AF667" s="2297"/>
      <c r="AG667" s="1208"/>
      <c r="AH667" s="1208"/>
      <c r="AI667" s="1223"/>
      <c r="AJ667" s="1223"/>
      <c r="AK667" s="1223"/>
      <c r="AL667" s="1223"/>
      <c r="AM667" s="1223"/>
      <c r="AN667" s="1223"/>
      <c r="AO667" s="1208"/>
      <c r="AP667" s="1223"/>
      <c r="AQ667" s="1208"/>
      <c r="AR667" s="1208"/>
      <c r="AS667" s="1223"/>
      <c r="AT667" s="1223"/>
      <c r="AU667" s="1208"/>
      <c r="AV667" s="1208"/>
      <c r="AW667" s="2297"/>
      <c r="BE667" s="1224"/>
      <c r="BF667" s="1225"/>
      <c r="BR667" s="1224"/>
      <c r="BS667" s="1224"/>
    </row>
    <row r="668" spans="2:71" s="491" customFormat="1">
      <c r="B668" s="2297"/>
      <c r="C668" s="2297"/>
      <c r="D668" s="2297"/>
      <c r="E668" s="2297"/>
      <c r="F668" s="2297"/>
      <c r="G668" s="2297"/>
      <c r="H668" s="2297"/>
      <c r="I668" s="2297"/>
      <c r="J668" s="2297"/>
      <c r="K668" s="2297"/>
      <c r="L668" s="2297"/>
      <c r="M668" s="2297"/>
      <c r="N668" s="2297"/>
      <c r="O668" s="2297"/>
      <c r="P668" s="2297"/>
      <c r="Q668" s="2297"/>
      <c r="R668" s="99"/>
      <c r="S668" s="99"/>
      <c r="T668" s="99"/>
      <c r="U668" s="99"/>
      <c r="V668" s="99"/>
      <c r="AF668" s="2297"/>
      <c r="AG668" s="1208"/>
      <c r="AH668" s="1208"/>
      <c r="AI668" s="1223"/>
      <c r="AJ668" s="1223"/>
      <c r="AK668" s="1223"/>
      <c r="AL668" s="1223"/>
      <c r="AM668" s="1223"/>
      <c r="AN668" s="1223"/>
      <c r="AO668" s="1208"/>
      <c r="AP668" s="1223"/>
      <c r="AQ668" s="1208"/>
      <c r="AR668" s="1208"/>
      <c r="AS668" s="1223"/>
      <c r="AT668" s="1223"/>
      <c r="AU668" s="1208"/>
      <c r="AV668" s="1208"/>
      <c r="AW668" s="2297"/>
      <c r="BE668" s="1224"/>
      <c r="BF668" s="1225"/>
      <c r="BR668" s="1224"/>
      <c r="BS668" s="1224"/>
    </row>
    <row r="669" spans="2:71" s="491" customFormat="1">
      <c r="B669" s="2297"/>
      <c r="C669" s="2297"/>
      <c r="D669" s="2297"/>
      <c r="E669" s="2297"/>
      <c r="F669" s="2297"/>
      <c r="G669" s="2297"/>
      <c r="H669" s="2297"/>
      <c r="I669" s="2297"/>
      <c r="J669" s="2297"/>
      <c r="K669" s="2297"/>
      <c r="L669" s="2297"/>
      <c r="M669" s="2297"/>
      <c r="N669" s="2297"/>
      <c r="O669" s="2297"/>
      <c r="P669" s="2297"/>
      <c r="Q669" s="2297"/>
      <c r="R669" s="99"/>
      <c r="S669" s="99"/>
      <c r="T669" s="99"/>
      <c r="U669" s="99"/>
      <c r="V669" s="99"/>
      <c r="AF669" s="2297"/>
      <c r="AG669" s="1208"/>
      <c r="AH669" s="1208"/>
      <c r="AI669" s="1223"/>
      <c r="AJ669" s="1223"/>
      <c r="AK669" s="1223"/>
      <c r="AL669" s="1223"/>
      <c r="AM669" s="1223"/>
      <c r="AN669" s="1223"/>
      <c r="AO669" s="1208"/>
      <c r="AP669" s="1223"/>
      <c r="AQ669" s="1208"/>
      <c r="AR669" s="1208"/>
      <c r="AS669" s="1223"/>
      <c r="AT669" s="1223"/>
      <c r="AU669" s="1208"/>
      <c r="AV669" s="1208"/>
      <c r="AW669" s="2297"/>
      <c r="BE669" s="1224"/>
      <c r="BF669" s="1225"/>
      <c r="BR669" s="1224"/>
      <c r="BS669" s="1224"/>
    </row>
    <row r="670" spans="2:71" s="491" customFormat="1">
      <c r="B670" s="2297"/>
      <c r="C670" s="2297"/>
      <c r="D670" s="2297"/>
      <c r="E670" s="2297"/>
      <c r="F670" s="2297"/>
      <c r="G670" s="2297"/>
      <c r="H670" s="2297"/>
      <c r="I670" s="2297"/>
      <c r="J670" s="2297"/>
      <c r="K670" s="2297"/>
      <c r="L670" s="2297"/>
      <c r="M670" s="2297"/>
      <c r="N670" s="2297"/>
      <c r="O670" s="2297"/>
      <c r="P670" s="2297"/>
      <c r="Q670" s="2297"/>
      <c r="R670" s="99"/>
      <c r="S670" s="99"/>
      <c r="T670" s="99"/>
      <c r="U670" s="99"/>
      <c r="V670" s="99"/>
      <c r="AF670" s="2297"/>
      <c r="AG670" s="1208"/>
      <c r="AH670" s="1208"/>
      <c r="AI670" s="1223"/>
      <c r="AJ670" s="1223"/>
      <c r="AK670" s="1223"/>
      <c r="AL670" s="1223"/>
      <c r="AM670" s="1223"/>
      <c r="AN670" s="1223"/>
      <c r="AO670" s="1208"/>
      <c r="AP670" s="1223"/>
      <c r="AQ670" s="1208"/>
      <c r="AR670" s="1208"/>
      <c r="AS670" s="1223"/>
      <c r="AT670" s="1223"/>
      <c r="AU670" s="1208"/>
      <c r="AV670" s="1208"/>
      <c r="AW670" s="2297"/>
      <c r="BE670" s="1224"/>
      <c r="BF670" s="1225"/>
      <c r="BR670" s="1224"/>
      <c r="BS670" s="1224"/>
    </row>
    <row r="671" spans="2:71" s="491" customFormat="1">
      <c r="B671" s="2297"/>
      <c r="C671" s="2297"/>
      <c r="D671" s="2297"/>
      <c r="E671" s="2297"/>
      <c r="F671" s="2297"/>
      <c r="G671" s="2297"/>
      <c r="H671" s="2297"/>
      <c r="I671" s="2297"/>
      <c r="J671" s="2297"/>
      <c r="K671" s="2297"/>
      <c r="L671" s="2297"/>
      <c r="M671" s="2297"/>
      <c r="N671" s="2297"/>
      <c r="O671" s="2297"/>
      <c r="P671" s="2297"/>
      <c r="Q671" s="2297"/>
      <c r="R671" s="99"/>
      <c r="S671" s="99"/>
      <c r="T671" s="99"/>
      <c r="U671" s="99"/>
      <c r="V671" s="99"/>
      <c r="AF671" s="2297"/>
      <c r="AG671" s="1208"/>
      <c r="AH671" s="1208"/>
      <c r="AI671" s="1223"/>
      <c r="AJ671" s="1223"/>
      <c r="AK671" s="1223"/>
      <c r="AL671" s="1223"/>
      <c r="AM671" s="1223"/>
      <c r="AN671" s="1223"/>
      <c r="AO671" s="1208"/>
      <c r="AP671" s="1223"/>
      <c r="AQ671" s="1208"/>
      <c r="AR671" s="1208"/>
      <c r="AS671" s="1223"/>
      <c r="AT671" s="1223"/>
      <c r="AU671" s="1208"/>
      <c r="AV671" s="1208"/>
      <c r="AW671" s="2297"/>
      <c r="BE671" s="1224"/>
      <c r="BF671" s="1225"/>
      <c r="BR671" s="1224"/>
      <c r="BS671" s="1224"/>
    </row>
    <row r="672" spans="2:71" s="491" customFormat="1">
      <c r="B672" s="2297"/>
      <c r="C672" s="2297"/>
      <c r="D672" s="2297"/>
      <c r="E672" s="2297"/>
      <c r="F672" s="2297"/>
      <c r="G672" s="2297"/>
      <c r="H672" s="2297"/>
      <c r="I672" s="2297"/>
      <c r="J672" s="2297"/>
      <c r="K672" s="2297"/>
      <c r="L672" s="2297"/>
      <c r="M672" s="2297"/>
      <c r="N672" s="2297"/>
      <c r="O672" s="2297"/>
      <c r="P672" s="2297"/>
      <c r="Q672" s="2297"/>
      <c r="R672" s="99"/>
      <c r="S672" s="99"/>
      <c r="T672" s="99"/>
      <c r="U672" s="99"/>
      <c r="V672" s="99"/>
      <c r="AF672" s="2297"/>
      <c r="AG672" s="1208"/>
      <c r="AH672" s="1208"/>
      <c r="AI672" s="1223"/>
      <c r="AJ672" s="1223"/>
      <c r="AK672" s="1223"/>
      <c r="AL672" s="1223"/>
      <c r="AM672" s="1223"/>
      <c r="AN672" s="1223"/>
      <c r="AO672" s="1208"/>
      <c r="AP672" s="1223"/>
      <c r="AQ672" s="1208"/>
      <c r="AR672" s="1208"/>
      <c r="AS672" s="1223"/>
      <c r="AT672" s="1223"/>
      <c r="AU672" s="1208"/>
      <c r="AV672" s="1208"/>
      <c r="AW672" s="2297"/>
      <c r="BE672" s="1224"/>
      <c r="BF672" s="1225"/>
      <c r="BR672" s="1224"/>
      <c r="BS672" s="1224"/>
    </row>
    <row r="673" spans="2:71" s="491" customFormat="1">
      <c r="B673" s="2297"/>
      <c r="C673" s="2297"/>
      <c r="D673" s="2297"/>
      <c r="E673" s="2297"/>
      <c r="F673" s="2297"/>
      <c r="G673" s="2297"/>
      <c r="H673" s="2297"/>
      <c r="I673" s="2297"/>
      <c r="J673" s="2297"/>
      <c r="K673" s="2297"/>
      <c r="L673" s="2297"/>
      <c r="M673" s="2297"/>
      <c r="N673" s="2297"/>
      <c r="O673" s="2297"/>
      <c r="P673" s="2297"/>
      <c r="Q673" s="2297"/>
      <c r="R673" s="99"/>
      <c r="S673" s="99"/>
      <c r="T673" s="99"/>
      <c r="U673" s="99"/>
      <c r="V673" s="99"/>
      <c r="AF673" s="2297"/>
      <c r="AG673" s="1208"/>
      <c r="AH673" s="1208"/>
      <c r="AI673" s="1223"/>
      <c r="AJ673" s="1223"/>
      <c r="AK673" s="1223"/>
      <c r="AL673" s="1223"/>
      <c r="AM673" s="1223"/>
      <c r="AN673" s="1223"/>
      <c r="AO673" s="1208"/>
      <c r="AP673" s="1223"/>
      <c r="AQ673" s="1208"/>
      <c r="AR673" s="1208"/>
      <c r="AS673" s="1223"/>
      <c r="AT673" s="1223"/>
      <c r="AU673" s="1208"/>
      <c r="AV673" s="1208"/>
      <c r="AW673" s="2297"/>
      <c r="BE673" s="1224"/>
      <c r="BF673" s="1225"/>
      <c r="BR673" s="1224"/>
      <c r="BS673" s="1224"/>
    </row>
    <row r="674" spans="2:71" s="491" customFormat="1">
      <c r="B674" s="2297"/>
      <c r="C674" s="2297"/>
      <c r="D674" s="2297"/>
      <c r="E674" s="2297"/>
      <c r="F674" s="2297"/>
      <c r="G674" s="2297"/>
      <c r="H674" s="2297"/>
      <c r="I674" s="2297"/>
      <c r="J674" s="2297"/>
      <c r="K674" s="2297"/>
      <c r="L674" s="2297"/>
      <c r="M674" s="2297"/>
      <c r="N674" s="2297"/>
      <c r="O674" s="2297"/>
      <c r="P674" s="2297"/>
      <c r="Q674" s="2297"/>
      <c r="R674" s="99"/>
      <c r="S674" s="99"/>
      <c r="T674" s="99"/>
      <c r="U674" s="99"/>
      <c r="V674" s="99"/>
      <c r="AF674" s="2297"/>
      <c r="AG674" s="1208"/>
      <c r="AH674" s="1208"/>
      <c r="AI674" s="1223"/>
      <c r="AJ674" s="1223"/>
      <c r="AK674" s="1223"/>
      <c r="AL674" s="1223"/>
      <c r="AM674" s="1223"/>
      <c r="AN674" s="1223"/>
      <c r="AO674" s="1208"/>
      <c r="AP674" s="1223"/>
      <c r="AQ674" s="1208"/>
      <c r="AR674" s="1208"/>
      <c r="AS674" s="1223"/>
      <c r="AT674" s="1223"/>
      <c r="AU674" s="1208"/>
      <c r="AV674" s="1208"/>
      <c r="AW674" s="2297"/>
      <c r="BE674" s="1224"/>
      <c r="BF674" s="1225"/>
      <c r="BR674" s="1224"/>
      <c r="BS674" s="1224"/>
    </row>
    <row r="675" spans="2:71" s="491" customFormat="1">
      <c r="B675" s="2297"/>
      <c r="C675" s="2297"/>
      <c r="D675" s="2297"/>
      <c r="E675" s="2297"/>
      <c r="F675" s="2297"/>
      <c r="G675" s="2297"/>
      <c r="H675" s="2297"/>
      <c r="I675" s="2297"/>
      <c r="J675" s="2297"/>
      <c r="K675" s="2297"/>
      <c r="L675" s="2297"/>
      <c r="M675" s="2297"/>
      <c r="N675" s="2297"/>
      <c r="O675" s="2297"/>
      <c r="P675" s="2297"/>
      <c r="Q675" s="2297"/>
      <c r="R675" s="99"/>
      <c r="S675" s="99"/>
      <c r="T675" s="99"/>
      <c r="U675" s="99"/>
      <c r="V675" s="99"/>
      <c r="AF675" s="2297"/>
      <c r="AG675" s="1208"/>
      <c r="AH675" s="1208"/>
      <c r="AI675" s="1223"/>
      <c r="AJ675" s="1223"/>
      <c r="AK675" s="1223"/>
      <c r="AL675" s="1223"/>
      <c r="AM675" s="1223"/>
      <c r="AN675" s="1223"/>
      <c r="AO675" s="1208"/>
      <c r="AP675" s="1223"/>
      <c r="AQ675" s="1208"/>
      <c r="AR675" s="1208"/>
      <c r="AS675" s="1223"/>
      <c r="AT675" s="1223"/>
      <c r="AU675" s="1208"/>
      <c r="AV675" s="1208"/>
      <c r="AW675" s="2297"/>
      <c r="BE675" s="1224"/>
      <c r="BF675" s="1225"/>
      <c r="BR675" s="1224"/>
      <c r="BS675" s="1224"/>
    </row>
    <row r="676" spans="2:71" s="491" customFormat="1">
      <c r="B676" s="2297"/>
      <c r="C676" s="2297"/>
      <c r="D676" s="2297"/>
      <c r="E676" s="2297"/>
      <c r="F676" s="2297"/>
      <c r="G676" s="2297"/>
      <c r="H676" s="2297"/>
      <c r="I676" s="2297"/>
      <c r="J676" s="2297"/>
      <c r="K676" s="2297"/>
      <c r="L676" s="2297"/>
      <c r="M676" s="2297"/>
      <c r="N676" s="2297"/>
      <c r="O676" s="2297"/>
      <c r="P676" s="2297"/>
      <c r="Q676" s="2297"/>
      <c r="R676" s="99"/>
      <c r="S676" s="99"/>
      <c r="T676" s="99"/>
      <c r="U676" s="99"/>
      <c r="V676" s="99"/>
      <c r="AF676" s="2297"/>
      <c r="AG676" s="1208"/>
      <c r="AH676" s="1208"/>
      <c r="AI676" s="1223"/>
      <c r="AJ676" s="1223"/>
      <c r="AK676" s="1223"/>
      <c r="AL676" s="1223"/>
      <c r="AM676" s="1223"/>
      <c r="AN676" s="1223"/>
      <c r="AO676" s="1208"/>
      <c r="AP676" s="1223"/>
      <c r="AQ676" s="1208"/>
      <c r="AR676" s="1208"/>
      <c r="AS676" s="1223"/>
      <c r="AT676" s="1223"/>
      <c r="AU676" s="1208"/>
      <c r="AV676" s="1208"/>
      <c r="AW676" s="2297"/>
      <c r="BE676" s="1224"/>
      <c r="BF676" s="1225"/>
      <c r="BR676" s="1224"/>
      <c r="BS676" s="1224"/>
    </row>
    <row r="677" spans="2:71" s="491" customFormat="1">
      <c r="B677" s="2297"/>
      <c r="C677" s="2297"/>
      <c r="D677" s="2297"/>
      <c r="E677" s="2297"/>
      <c r="F677" s="2297"/>
      <c r="G677" s="2297"/>
      <c r="H677" s="2297"/>
      <c r="I677" s="2297"/>
      <c r="J677" s="2297"/>
      <c r="K677" s="2297"/>
      <c r="L677" s="2297"/>
      <c r="M677" s="2297"/>
      <c r="N677" s="2297"/>
      <c r="O677" s="2297"/>
      <c r="P677" s="2297"/>
      <c r="Q677" s="2297"/>
      <c r="R677" s="99"/>
      <c r="S677" s="99"/>
      <c r="T677" s="99"/>
      <c r="U677" s="99"/>
      <c r="V677" s="99"/>
      <c r="AF677" s="2297"/>
      <c r="AG677" s="1208"/>
      <c r="AH677" s="1208"/>
      <c r="AI677" s="1223"/>
      <c r="AJ677" s="1223"/>
      <c r="AK677" s="1223"/>
      <c r="AL677" s="1223"/>
      <c r="AM677" s="1223"/>
      <c r="AN677" s="1223"/>
      <c r="AO677" s="1208"/>
      <c r="AP677" s="1223"/>
      <c r="AQ677" s="1208"/>
      <c r="AR677" s="1208"/>
      <c r="AS677" s="1223"/>
      <c r="AT677" s="1223"/>
      <c r="AU677" s="1208"/>
      <c r="AV677" s="1208"/>
      <c r="AW677" s="2297"/>
      <c r="BE677" s="1224"/>
      <c r="BF677" s="1225"/>
      <c r="BR677" s="1224"/>
      <c r="BS677" s="1224"/>
    </row>
    <row r="678" spans="2:71" s="491" customFormat="1">
      <c r="B678" s="2297"/>
      <c r="C678" s="2297"/>
      <c r="D678" s="2297"/>
      <c r="E678" s="2297"/>
      <c r="F678" s="2297"/>
      <c r="G678" s="2297"/>
      <c r="H678" s="2297"/>
      <c r="I678" s="2297"/>
      <c r="J678" s="2297"/>
      <c r="K678" s="2297"/>
      <c r="L678" s="2297"/>
      <c r="M678" s="2297"/>
      <c r="N678" s="2297"/>
      <c r="O678" s="2297"/>
      <c r="P678" s="2297"/>
      <c r="Q678" s="2297"/>
      <c r="R678" s="99"/>
      <c r="S678" s="99"/>
      <c r="T678" s="99"/>
      <c r="U678" s="99"/>
      <c r="V678" s="99"/>
      <c r="AF678" s="2297"/>
      <c r="AG678" s="1208"/>
      <c r="AH678" s="1208"/>
      <c r="AI678" s="1223"/>
      <c r="AJ678" s="1223"/>
      <c r="AK678" s="1223"/>
      <c r="AL678" s="1223"/>
      <c r="AM678" s="1223"/>
      <c r="AN678" s="1223"/>
      <c r="AO678" s="1208"/>
      <c r="AP678" s="1223"/>
      <c r="AQ678" s="1208"/>
      <c r="AR678" s="1208"/>
      <c r="AS678" s="1223"/>
      <c r="AT678" s="1223"/>
      <c r="AU678" s="1208"/>
      <c r="AV678" s="1208"/>
      <c r="AW678" s="2297"/>
      <c r="BE678" s="1224"/>
      <c r="BF678" s="1225"/>
      <c r="BR678" s="1224"/>
      <c r="BS678" s="1224"/>
    </row>
    <row r="679" spans="2:71" s="491" customFormat="1">
      <c r="B679" s="2297"/>
      <c r="C679" s="2297"/>
      <c r="D679" s="2297"/>
      <c r="E679" s="2297"/>
      <c r="F679" s="2297"/>
      <c r="G679" s="2297"/>
      <c r="H679" s="2297"/>
      <c r="I679" s="2297"/>
      <c r="J679" s="2297"/>
      <c r="K679" s="2297"/>
      <c r="L679" s="2297"/>
      <c r="M679" s="2297"/>
      <c r="N679" s="2297"/>
      <c r="O679" s="2297"/>
      <c r="P679" s="2297"/>
      <c r="Q679" s="2297"/>
      <c r="R679" s="99"/>
      <c r="S679" s="99"/>
      <c r="T679" s="99"/>
      <c r="U679" s="99"/>
      <c r="V679" s="99"/>
      <c r="AF679" s="2297"/>
      <c r="AG679" s="1208"/>
      <c r="AH679" s="1208"/>
      <c r="AI679" s="1223"/>
      <c r="AJ679" s="1223"/>
      <c r="AK679" s="1223"/>
      <c r="AL679" s="1223"/>
      <c r="AM679" s="1223"/>
      <c r="AN679" s="1223"/>
      <c r="AO679" s="1208"/>
      <c r="AP679" s="1223"/>
      <c r="AQ679" s="1208"/>
      <c r="AR679" s="1208"/>
      <c r="AS679" s="1223"/>
      <c r="AT679" s="1223"/>
      <c r="AU679" s="1208"/>
      <c r="AV679" s="1208"/>
      <c r="AW679" s="2297"/>
      <c r="BE679" s="1224"/>
      <c r="BF679" s="1225"/>
      <c r="BR679" s="1224"/>
      <c r="BS679" s="1224"/>
    </row>
    <row r="680" spans="2:71" s="491" customFormat="1">
      <c r="B680" s="2297"/>
      <c r="C680" s="2297"/>
      <c r="D680" s="2297"/>
      <c r="E680" s="2297"/>
      <c r="F680" s="2297"/>
      <c r="G680" s="2297"/>
      <c r="H680" s="2297"/>
      <c r="I680" s="2297"/>
      <c r="J680" s="2297"/>
      <c r="K680" s="2297"/>
      <c r="L680" s="2297"/>
      <c r="M680" s="2297"/>
      <c r="N680" s="2297"/>
      <c r="O680" s="2297"/>
      <c r="P680" s="2297"/>
      <c r="Q680" s="2297"/>
      <c r="R680" s="99"/>
      <c r="S680" s="99"/>
      <c r="T680" s="99"/>
      <c r="U680" s="99"/>
      <c r="V680" s="99"/>
      <c r="AF680" s="2297"/>
      <c r="AG680" s="1208"/>
      <c r="AH680" s="1208"/>
      <c r="AI680" s="1223"/>
      <c r="AJ680" s="1223"/>
      <c r="AK680" s="1223"/>
      <c r="AL680" s="1223"/>
      <c r="AM680" s="1223"/>
      <c r="AN680" s="1223"/>
      <c r="AO680" s="1208"/>
      <c r="AP680" s="1223"/>
      <c r="AQ680" s="1208"/>
      <c r="AR680" s="1208"/>
      <c r="AS680" s="1223"/>
      <c r="AT680" s="1223"/>
      <c r="AU680" s="1208"/>
      <c r="AV680" s="1208"/>
      <c r="AW680" s="2297"/>
      <c r="BE680" s="1224"/>
      <c r="BF680" s="1225"/>
      <c r="BR680" s="1224"/>
      <c r="BS680" s="1224"/>
    </row>
    <row r="681" spans="2:71" s="491" customFormat="1">
      <c r="B681" s="2297"/>
      <c r="C681" s="2297"/>
      <c r="D681" s="2297"/>
      <c r="E681" s="2297"/>
      <c r="F681" s="2297"/>
      <c r="G681" s="2297"/>
      <c r="H681" s="2297"/>
      <c r="I681" s="2297"/>
      <c r="J681" s="2297"/>
      <c r="K681" s="2297"/>
      <c r="L681" s="2297"/>
      <c r="M681" s="2297"/>
      <c r="N681" s="2297"/>
      <c r="O681" s="2297"/>
      <c r="P681" s="2297"/>
      <c r="Q681" s="2297"/>
      <c r="R681" s="99"/>
      <c r="S681" s="99"/>
      <c r="T681" s="99"/>
      <c r="U681" s="99"/>
      <c r="V681" s="99"/>
      <c r="AF681" s="2297"/>
      <c r="AG681" s="1208"/>
      <c r="AH681" s="1208"/>
      <c r="AI681" s="1223"/>
      <c r="AJ681" s="1223"/>
      <c r="AK681" s="1223"/>
      <c r="AL681" s="1223"/>
      <c r="AM681" s="1223"/>
      <c r="AN681" s="1223"/>
      <c r="AO681" s="1208"/>
      <c r="AP681" s="1223"/>
      <c r="AQ681" s="1208"/>
      <c r="AR681" s="1208"/>
      <c r="AS681" s="1223"/>
      <c r="AT681" s="1223"/>
      <c r="AU681" s="1208"/>
      <c r="AV681" s="1208"/>
      <c r="AW681" s="2297"/>
      <c r="BE681" s="1224"/>
      <c r="BF681" s="1225"/>
      <c r="BR681" s="1224"/>
      <c r="BS681" s="1224"/>
    </row>
    <row r="682" spans="2:71" s="491" customFormat="1">
      <c r="B682" s="2297"/>
      <c r="C682" s="2297"/>
      <c r="D682" s="2297"/>
      <c r="E682" s="2297"/>
      <c r="F682" s="2297"/>
      <c r="G682" s="2297"/>
      <c r="H682" s="2297"/>
      <c r="I682" s="2297"/>
      <c r="J682" s="2297"/>
      <c r="K682" s="2297"/>
      <c r="L682" s="2297"/>
      <c r="M682" s="2297"/>
      <c r="N682" s="2297"/>
      <c r="O682" s="2297"/>
      <c r="P682" s="2297"/>
      <c r="Q682" s="2297"/>
      <c r="R682" s="99"/>
      <c r="S682" s="99"/>
      <c r="T682" s="99"/>
      <c r="U682" s="99"/>
      <c r="V682" s="99"/>
      <c r="AF682" s="2297"/>
      <c r="AG682" s="1208"/>
      <c r="AH682" s="1208"/>
      <c r="AI682" s="1223"/>
      <c r="AJ682" s="1223"/>
      <c r="AK682" s="1223"/>
      <c r="AL682" s="1223"/>
      <c r="AM682" s="1223"/>
      <c r="AN682" s="1223"/>
      <c r="AO682" s="1208"/>
      <c r="AP682" s="1223"/>
      <c r="AQ682" s="1208"/>
      <c r="AR682" s="1208"/>
      <c r="AS682" s="1223"/>
      <c r="AT682" s="1223"/>
      <c r="AU682" s="1208"/>
      <c r="AV682" s="1208"/>
      <c r="AW682" s="2297"/>
      <c r="BE682" s="1224"/>
      <c r="BF682" s="1225"/>
      <c r="BR682" s="1224"/>
      <c r="BS682" s="1224"/>
    </row>
    <row r="683" spans="2:71" s="491" customFormat="1">
      <c r="B683" s="2297"/>
      <c r="C683" s="2297"/>
      <c r="D683" s="2297"/>
      <c r="E683" s="2297"/>
      <c r="F683" s="2297"/>
      <c r="G683" s="2297"/>
      <c r="H683" s="2297"/>
      <c r="I683" s="2297"/>
      <c r="J683" s="2297"/>
      <c r="K683" s="2297"/>
      <c r="L683" s="2297"/>
      <c r="M683" s="2297"/>
      <c r="N683" s="2297"/>
      <c r="O683" s="2297"/>
      <c r="P683" s="2297"/>
      <c r="Q683" s="2297"/>
      <c r="R683" s="99"/>
      <c r="S683" s="99"/>
      <c r="T683" s="99"/>
      <c r="U683" s="99"/>
      <c r="V683" s="99"/>
      <c r="AF683" s="2297"/>
      <c r="AG683" s="1208"/>
      <c r="AH683" s="1208"/>
      <c r="AI683" s="1223"/>
      <c r="AJ683" s="1223"/>
      <c r="AK683" s="1223"/>
      <c r="AL683" s="1223"/>
      <c r="AM683" s="1223"/>
      <c r="AN683" s="1223"/>
      <c r="AO683" s="1208"/>
      <c r="AP683" s="1223"/>
      <c r="AQ683" s="1208"/>
      <c r="AR683" s="1208"/>
      <c r="AS683" s="1223"/>
      <c r="AT683" s="1223"/>
      <c r="AU683" s="1208"/>
      <c r="AV683" s="1208"/>
      <c r="AW683" s="2297"/>
      <c r="BE683" s="1224"/>
      <c r="BF683" s="1225"/>
      <c r="BR683" s="1224"/>
      <c r="BS683" s="1224"/>
    </row>
    <row r="684" spans="2:71" s="491" customFormat="1">
      <c r="B684" s="2297"/>
      <c r="C684" s="2297"/>
      <c r="D684" s="2297"/>
      <c r="E684" s="2297"/>
      <c r="F684" s="2297"/>
      <c r="G684" s="2297"/>
      <c r="H684" s="2297"/>
      <c r="I684" s="2297"/>
      <c r="J684" s="2297"/>
      <c r="K684" s="2297"/>
      <c r="L684" s="2297"/>
      <c r="M684" s="2297"/>
      <c r="N684" s="2297"/>
      <c r="O684" s="2297"/>
      <c r="P684" s="2297"/>
      <c r="Q684" s="2297"/>
      <c r="R684" s="99"/>
      <c r="S684" s="99"/>
      <c r="T684" s="99"/>
      <c r="U684" s="99"/>
      <c r="V684" s="99"/>
      <c r="AF684" s="2297"/>
      <c r="AG684" s="1208"/>
      <c r="AH684" s="1208"/>
      <c r="AI684" s="1223"/>
      <c r="AJ684" s="1223"/>
      <c r="AK684" s="1223"/>
      <c r="AL684" s="1223"/>
      <c r="AM684" s="1223"/>
      <c r="AN684" s="1223"/>
      <c r="AO684" s="1208"/>
      <c r="AP684" s="1223"/>
      <c r="AQ684" s="1208"/>
      <c r="AR684" s="1208"/>
      <c r="AS684" s="1223"/>
      <c r="AT684" s="1223"/>
      <c r="AU684" s="1208"/>
      <c r="AV684" s="1208"/>
      <c r="AW684" s="2297"/>
      <c r="BE684" s="1224"/>
      <c r="BF684" s="1225"/>
      <c r="BR684" s="1224"/>
      <c r="BS684" s="1224"/>
    </row>
    <row r="685" spans="2:71" s="491" customFormat="1">
      <c r="B685" s="2297"/>
      <c r="C685" s="2297"/>
      <c r="D685" s="2297"/>
      <c r="E685" s="2297"/>
      <c r="F685" s="2297"/>
      <c r="G685" s="2297"/>
      <c r="H685" s="2297"/>
      <c r="I685" s="2297"/>
      <c r="J685" s="2297"/>
      <c r="K685" s="2297"/>
      <c r="L685" s="2297"/>
      <c r="M685" s="2297"/>
      <c r="N685" s="2297"/>
      <c r="O685" s="2297"/>
      <c r="P685" s="2297"/>
      <c r="Q685" s="2297"/>
      <c r="R685" s="99"/>
      <c r="S685" s="99"/>
      <c r="T685" s="99"/>
      <c r="U685" s="99"/>
      <c r="V685" s="99"/>
      <c r="AF685" s="2297"/>
      <c r="AG685" s="1208"/>
      <c r="AH685" s="1208"/>
      <c r="AI685" s="1223"/>
      <c r="AJ685" s="1223"/>
      <c r="AK685" s="1223"/>
      <c r="AL685" s="1223"/>
      <c r="AM685" s="1223"/>
      <c r="AN685" s="1223"/>
      <c r="AO685" s="1208"/>
      <c r="AP685" s="1223"/>
      <c r="AQ685" s="1208"/>
      <c r="AR685" s="1208"/>
      <c r="AS685" s="1223"/>
      <c r="AT685" s="1223"/>
      <c r="AU685" s="1208"/>
      <c r="AV685" s="1208"/>
      <c r="AW685" s="2297"/>
      <c r="BE685" s="1224"/>
      <c r="BF685" s="1225"/>
      <c r="BR685" s="1224"/>
      <c r="BS685" s="1224"/>
    </row>
    <row r="686" spans="2:71" s="491" customFormat="1">
      <c r="B686" s="2297"/>
      <c r="C686" s="2297"/>
      <c r="D686" s="2297"/>
      <c r="E686" s="2297"/>
      <c r="F686" s="2297"/>
      <c r="G686" s="2297"/>
      <c r="H686" s="2297"/>
      <c r="I686" s="2297"/>
      <c r="J686" s="2297"/>
      <c r="K686" s="2297"/>
      <c r="L686" s="2297"/>
      <c r="M686" s="2297"/>
      <c r="N686" s="2297"/>
      <c r="O686" s="2297"/>
      <c r="P686" s="2297"/>
      <c r="Q686" s="2297"/>
      <c r="R686" s="99"/>
      <c r="S686" s="99"/>
      <c r="T686" s="99"/>
      <c r="U686" s="99"/>
      <c r="V686" s="99"/>
      <c r="AF686" s="2297"/>
      <c r="AG686" s="1208"/>
      <c r="AH686" s="1208"/>
      <c r="AI686" s="1223"/>
      <c r="AJ686" s="1223"/>
      <c r="AK686" s="1223"/>
      <c r="AL686" s="1223"/>
      <c r="AM686" s="1223"/>
      <c r="AN686" s="1223"/>
      <c r="AO686" s="1208"/>
      <c r="AP686" s="1223"/>
      <c r="AQ686" s="1208"/>
      <c r="AR686" s="1208"/>
      <c r="AS686" s="1223"/>
      <c r="AT686" s="1223"/>
      <c r="AU686" s="1208"/>
      <c r="AV686" s="1208"/>
      <c r="AW686" s="2297"/>
      <c r="BE686" s="1224"/>
      <c r="BF686" s="1225"/>
      <c r="BR686" s="1224"/>
      <c r="BS686" s="1224"/>
    </row>
    <row r="687" spans="2:71" s="491" customFormat="1">
      <c r="B687" s="2297"/>
      <c r="C687" s="2297"/>
      <c r="D687" s="2297"/>
      <c r="E687" s="2297"/>
      <c r="F687" s="2297"/>
      <c r="G687" s="2297"/>
      <c r="H687" s="2297"/>
      <c r="I687" s="2297"/>
      <c r="J687" s="2297"/>
      <c r="K687" s="2297"/>
      <c r="L687" s="2297"/>
      <c r="M687" s="2297"/>
      <c r="N687" s="2297"/>
      <c r="O687" s="2297"/>
      <c r="P687" s="2297"/>
      <c r="Q687" s="2297"/>
      <c r="R687" s="99"/>
      <c r="S687" s="99"/>
      <c r="T687" s="99"/>
      <c r="U687" s="99"/>
      <c r="V687" s="99"/>
      <c r="AF687" s="2297"/>
      <c r="AG687" s="1208"/>
      <c r="AH687" s="1208"/>
      <c r="AI687" s="1223"/>
      <c r="AJ687" s="1223"/>
      <c r="AK687" s="1223"/>
      <c r="AL687" s="1223"/>
      <c r="AM687" s="1223"/>
      <c r="AN687" s="1223"/>
      <c r="AO687" s="1208"/>
      <c r="AP687" s="1223"/>
      <c r="AQ687" s="1208"/>
      <c r="AR687" s="1208"/>
      <c r="AS687" s="1223"/>
      <c r="AT687" s="1223"/>
      <c r="AU687" s="1208"/>
      <c r="AV687" s="1208"/>
      <c r="AW687" s="2297"/>
      <c r="BE687" s="1224"/>
      <c r="BF687" s="1225"/>
      <c r="BR687" s="1224"/>
      <c r="BS687" s="1224"/>
    </row>
    <row r="688" spans="2:71" s="491" customFormat="1">
      <c r="B688" s="2297"/>
      <c r="C688" s="2297"/>
      <c r="D688" s="2297"/>
      <c r="E688" s="2297"/>
      <c r="F688" s="2297"/>
      <c r="G688" s="2297"/>
      <c r="H688" s="2297"/>
      <c r="I688" s="2297"/>
      <c r="J688" s="2297"/>
      <c r="K688" s="2297"/>
      <c r="L688" s="2297"/>
      <c r="M688" s="2297"/>
      <c r="N688" s="2297"/>
      <c r="O688" s="2297"/>
      <c r="P688" s="2297"/>
      <c r="Q688" s="2297"/>
      <c r="R688" s="99"/>
      <c r="S688" s="99"/>
      <c r="T688" s="99"/>
      <c r="U688" s="99"/>
      <c r="V688" s="99"/>
      <c r="AF688" s="2297"/>
      <c r="AG688" s="1208"/>
      <c r="AH688" s="1208"/>
      <c r="AI688" s="1223"/>
      <c r="AJ688" s="1223"/>
      <c r="AK688" s="1223"/>
      <c r="AL688" s="1223"/>
      <c r="AM688" s="1223"/>
      <c r="AN688" s="1223"/>
      <c r="AO688" s="1208"/>
      <c r="AP688" s="1223"/>
      <c r="AQ688" s="1208"/>
      <c r="AR688" s="1208"/>
      <c r="AS688" s="1223"/>
      <c r="AT688" s="1223"/>
      <c r="AU688" s="1208"/>
      <c r="AV688" s="1208"/>
      <c r="AW688" s="2297"/>
      <c r="BE688" s="1224"/>
      <c r="BF688" s="1225"/>
      <c r="BR688" s="1224"/>
      <c r="BS688" s="1224"/>
    </row>
    <row r="689" spans="2:71" s="491" customFormat="1">
      <c r="B689" s="2297"/>
      <c r="C689" s="2297"/>
      <c r="D689" s="2297"/>
      <c r="E689" s="2297"/>
      <c r="F689" s="2297"/>
      <c r="G689" s="2297"/>
      <c r="H689" s="2297"/>
      <c r="I689" s="2297"/>
      <c r="J689" s="2297"/>
      <c r="K689" s="2297"/>
      <c r="L689" s="2297"/>
      <c r="M689" s="2297"/>
      <c r="N689" s="2297"/>
      <c r="O689" s="2297"/>
      <c r="P689" s="2297"/>
      <c r="Q689" s="2297"/>
      <c r="R689" s="99"/>
      <c r="S689" s="99"/>
      <c r="T689" s="99"/>
      <c r="U689" s="99"/>
      <c r="V689" s="99"/>
      <c r="AF689" s="2297"/>
      <c r="AG689" s="1208"/>
      <c r="AH689" s="1208"/>
      <c r="AI689" s="1223"/>
      <c r="AJ689" s="1223"/>
      <c r="AK689" s="1223"/>
      <c r="AL689" s="1223"/>
      <c r="AM689" s="1223"/>
      <c r="AN689" s="1223"/>
      <c r="AO689" s="1208"/>
      <c r="AP689" s="1223"/>
      <c r="AQ689" s="1208"/>
      <c r="AR689" s="1208"/>
      <c r="AS689" s="1223"/>
      <c r="AT689" s="1223"/>
      <c r="AU689" s="1208"/>
      <c r="AV689" s="1208"/>
      <c r="AW689" s="2297"/>
      <c r="BE689" s="1224"/>
      <c r="BF689" s="1225"/>
      <c r="BR689" s="1224"/>
      <c r="BS689" s="1224"/>
    </row>
    <row r="690" spans="2:71" s="491" customFormat="1">
      <c r="B690" s="2297"/>
      <c r="C690" s="2297"/>
      <c r="D690" s="2297"/>
      <c r="E690" s="2297"/>
      <c r="F690" s="2297"/>
      <c r="G690" s="2297"/>
      <c r="H690" s="2297"/>
      <c r="I690" s="2297"/>
      <c r="J690" s="2297"/>
      <c r="K690" s="2297"/>
      <c r="L690" s="2297"/>
      <c r="M690" s="2297"/>
      <c r="N690" s="2297"/>
      <c r="O690" s="2297"/>
      <c r="P690" s="2297"/>
      <c r="Q690" s="2297"/>
      <c r="R690" s="99"/>
      <c r="S690" s="99"/>
      <c r="T690" s="99"/>
      <c r="U690" s="99"/>
      <c r="V690" s="99"/>
      <c r="AF690" s="2297"/>
      <c r="AG690" s="1208"/>
      <c r="AH690" s="1208"/>
      <c r="AI690" s="1223"/>
      <c r="AJ690" s="1223"/>
      <c r="AK690" s="1223"/>
      <c r="AL690" s="1223"/>
      <c r="AM690" s="1223"/>
      <c r="AN690" s="1223"/>
      <c r="AO690" s="1208"/>
      <c r="AP690" s="1223"/>
      <c r="AQ690" s="1208"/>
      <c r="AR690" s="1208"/>
      <c r="AS690" s="1223"/>
      <c r="AT690" s="1223"/>
      <c r="AU690" s="1208"/>
      <c r="AV690" s="1208"/>
      <c r="AW690" s="2297"/>
      <c r="BE690" s="1224"/>
      <c r="BF690" s="1225"/>
      <c r="BR690" s="1224"/>
      <c r="BS690" s="1224"/>
    </row>
    <row r="691" spans="2:71" s="491" customFormat="1">
      <c r="B691" s="2297"/>
      <c r="C691" s="2297"/>
      <c r="D691" s="2297"/>
      <c r="E691" s="2297"/>
      <c r="F691" s="2297"/>
      <c r="G691" s="2297"/>
      <c r="H691" s="2297"/>
      <c r="I691" s="2297"/>
      <c r="J691" s="2297"/>
      <c r="K691" s="2297"/>
      <c r="L691" s="2297"/>
      <c r="M691" s="2297"/>
      <c r="N691" s="2297"/>
      <c r="O691" s="2297"/>
      <c r="P691" s="2297"/>
      <c r="Q691" s="2297"/>
      <c r="R691" s="99"/>
      <c r="S691" s="99"/>
      <c r="T691" s="99"/>
      <c r="U691" s="99"/>
      <c r="V691" s="99"/>
      <c r="AF691" s="2297"/>
      <c r="AG691" s="1208"/>
      <c r="AH691" s="1208"/>
      <c r="AI691" s="1223"/>
      <c r="AJ691" s="1223"/>
      <c r="AK691" s="1223"/>
      <c r="AL691" s="1223"/>
      <c r="AM691" s="1223"/>
      <c r="AN691" s="1223"/>
      <c r="AO691" s="1208"/>
      <c r="AP691" s="1223"/>
      <c r="AQ691" s="1208"/>
      <c r="AR691" s="1208"/>
      <c r="AS691" s="1223"/>
      <c r="AT691" s="1223"/>
      <c r="AU691" s="1208"/>
      <c r="AV691" s="1208"/>
      <c r="AW691" s="2297"/>
      <c r="BE691" s="1224"/>
      <c r="BF691" s="1225"/>
      <c r="BR691" s="1224"/>
      <c r="BS691" s="1224"/>
    </row>
    <row r="692" spans="2:71" s="491" customFormat="1">
      <c r="B692" s="2297"/>
      <c r="C692" s="2297"/>
      <c r="D692" s="2297"/>
      <c r="E692" s="2297"/>
      <c r="F692" s="2297"/>
      <c r="G692" s="2297"/>
      <c r="H692" s="2297"/>
      <c r="I692" s="2297"/>
      <c r="J692" s="2297"/>
      <c r="K692" s="2297"/>
      <c r="L692" s="2297"/>
      <c r="M692" s="2297"/>
      <c r="N692" s="2297"/>
      <c r="O692" s="2297"/>
      <c r="P692" s="2297"/>
      <c r="Q692" s="2297"/>
      <c r="R692" s="99"/>
      <c r="S692" s="99"/>
      <c r="T692" s="99"/>
      <c r="U692" s="99"/>
      <c r="V692" s="99"/>
      <c r="AF692" s="2297"/>
      <c r="AG692" s="1208"/>
      <c r="AH692" s="1208"/>
      <c r="AI692" s="1223"/>
      <c r="AJ692" s="1223"/>
      <c r="AK692" s="1223"/>
      <c r="AL692" s="1223"/>
      <c r="AM692" s="1223"/>
      <c r="AN692" s="1223"/>
      <c r="AO692" s="1208"/>
      <c r="AP692" s="1223"/>
      <c r="AQ692" s="1208"/>
      <c r="AR692" s="1208"/>
      <c r="AS692" s="1223"/>
      <c r="AT692" s="1223"/>
      <c r="AU692" s="1208"/>
      <c r="AV692" s="1208"/>
      <c r="AW692" s="2297"/>
      <c r="BE692" s="1224"/>
      <c r="BF692" s="1225"/>
      <c r="BR692" s="1224"/>
      <c r="BS692" s="1224"/>
    </row>
    <row r="693" spans="2:71" s="491" customFormat="1">
      <c r="B693" s="2297"/>
      <c r="C693" s="2297"/>
      <c r="D693" s="2297"/>
      <c r="E693" s="2297"/>
      <c r="F693" s="2297"/>
      <c r="G693" s="2297"/>
      <c r="H693" s="2297"/>
      <c r="I693" s="2297"/>
      <c r="J693" s="2297"/>
      <c r="K693" s="2297"/>
      <c r="L693" s="2297"/>
      <c r="M693" s="2297"/>
      <c r="N693" s="2297"/>
      <c r="O693" s="2297"/>
      <c r="P693" s="2297"/>
      <c r="Q693" s="2297"/>
      <c r="R693" s="99"/>
      <c r="S693" s="99"/>
      <c r="T693" s="99"/>
      <c r="U693" s="99"/>
      <c r="V693" s="99"/>
      <c r="AF693" s="2297"/>
      <c r="AG693" s="1208"/>
      <c r="AH693" s="1208"/>
      <c r="AI693" s="1223"/>
      <c r="AJ693" s="1223"/>
      <c r="AK693" s="1223"/>
      <c r="AL693" s="1223"/>
      <c r="AM693" s="1223"/>
      <c r="AN693" s="1223"/>
      <c r="AO693" s="1208"/>
      <c r="AP693" s="1223"/>
      <c r="AQ693" s="1208"/>
      <c r="AR693" s="1208"/>
      <c r="AS693" s="1223"/>
      <c r="AT693" s="1223"/>
      <c r="AU693" s="1208"/>
      <c r="AV693" s="1208"/>
      <c r="AW693" s="2297"/>
      <c r="BE693" s="1224"/>
      <c r="BF693" s="1225"/>
      <c r="BR693" s="1224"/>
      <c r="BS693" s="1224"/>
    </row>
    <row r="694" spans="2:71" s="491" customFormat="1">
      <c r="B694" s="2297"/>
      <c r="C694" s="2297"/>
      <c r="D694" s="2297"/>
      <c r="E694" s="2297"/>
      <c r="F694" s="2297"/>
      <c r="G694" s="2297"/>
      <c r="H694" s="2297"/>
      <c r="I694" s="2297"/>
      <c r="J694" s="2297"/>
      <c r="K694" s="2297"/>
      <c r="L694" s="2297"/>
      <c r="M694" s="2297"/>
      <c r="N694" s="2297"/>
      <c r="O694" s="2297"/>
      <c r="P694" s="2297"/>
      <c r="Q694" s="2297"/>
      <c r="R694" s="99"/>
      <c r="S694" s="99"/>
      <c r="T694" s="99"/>
      <c r="U694" s="99"/>
      <c r="V694" s="99"/>
      <c r="AF694" s="2297"/>
      <c r="AG694" s="1208"/>
      <c r="AH694" s="1208"/>
      <c r="AI694" s="1223"/>
      <c r="AJ694" s="1223"/>
      <c r="AK694" s="1223"/>
      <c r="AL694" s="1223"/>
      <c r="AM694" s="1223"/>
      <c r="AN694" s="1223"/>
      <c r="AO694" s="1208"/>
      <c r="AP694" s="1223"/>
      <c r="AQ694" s="1208"/>
      <c r="AR694" s="1208"/>
      <c r="AS694" s="1223"/>
      <c r="AT694" s="1223"/>
      <c r="AU694" s="1208"/>
      <c r="AV694" s="1208"/>
      <c r="AW694" s="2297"/>
      <c r="BE694" s="1224"/>
      <c r="BF694" s="1225"/>
      <c r="BR694" s="1224"/>
      <c r="BS694" s="1224"/>
    </row>
    <row r="695" spans="2:71" s="491" customFormat="1">
      <c r="B695" s="2297"/>
      <c r="C695" s="2297"/>
      <c r="D695" s="2297"/>
      <c r="E695" s="2297"/>
      <c r="F695" s="2297"/>
      <c r="G695" s="2297"/>
      <c r="H695" s="2297"/>
      <c r="I695" s="2297"/>
      <c r="J695" s="2297"/>
      <c r="K695" s="2297"/>
      <c r="L695" s="2297"/>
      <c r="M695" s="2297"/>
      <c r="N695" s="2297"/>
      <c r="O695" s="2297"/>
      <c r="P695" s="2297"/>
      <c r="Q695" s="2297"/>
      <c r="R695" s="99"/>
      <c r="S695" s="99"/>
      <c r="T695" s="99"/>
      <c r="U695" s="99"/>
      <c r="V695" s="99"/>
      <c r="AF695" s="2297"/>
      <c r="AG695" s="1208"/>
      <c r="AH695" s="1208"/>
      <c r="AI695" s="1223"/>
      <c r="AJ695" s="1223"/>
      <c r="AK695" s="1223"/>
      <c r="AL695" s="1223"/>
      <c r="AM695" s="1223"/>
      <c r="AN695" s="1223"/>
      <c r="AO695" s="1208"/>
      <c r="AP695" s="1223"/>
      <c r="AQ695" s="1208"/>
      <c r="AR695" s="1208"/>
      <c r="AS695" s="1223"/>
      <c r="AT695" s="1223"/>
      <c r="AU695" s="1208"/>
      <c r="AV695" s="1208"/>
      <c r="AW695" s="2297"/>
      <c r="BE695" s="1224"/>
      <c r="BF695" s="1225"/>
      <c r="BR695" s="1224"/>
      <c r="BS695" s="1224"/>
    </row>
    <row r="696" spans="2:71" s="491" customFormat="1">
      <c r="B696" s="2297"/>
      <c r="C696" s="2297"/>
      <c r="D696" s="2297"/>
      <c r="E696" s="2297"/>
      <c r="F696" s="2297"/>
      <c r="G696" s="2297"/>
      <c r="H696" s="2297"/>
      <c r="I696" s="2297"/>
      <c r="J696" s="2297"/>
      <c r="K696" s="2297"/>
      <c r="L696" s="2297"/>
      <c r="M696" s="2297"/>
      <c r="N696" s="2297"/>
      <c r="O696" s="2297"/>
      <c r="P696" s="2297"/>
      <c r="Q696" s="2297"/>
      <c r="R696" s="99"/>
      <c r="S696" s="99"/>
      <c r="T696" s="99"/>
      <c r="U696" s="99"/>
      <c r="V696" s="99"/>
      <c r="AF696" s="2297"/>
      <c r="AG696" s="1208"/>
      <c r="AH696" s="1208"/>
      <c r="AI696" s="1223"/>
      <c r="AJ696" s="1223"/>
      <c r="AK696" s="1223"/>
      <c r="AL696" s="1223"/>
      <c r="AM696" s="1223"/>
      <c r="AN696" s="1223"/>
      <c r="AO696" s="1208"/>
      <c r="AP696" s="1223"/>
      <c r="AQ696" s="1208"/>
      <c r="AR696" s="1208"/>
      <c r="AS696" s="1223"/>
      <c r="AT696" s="1223"/>
      <c r="AU696" s="1208"/>
      <c r="AV696" s="1208"/>
      <c r="AW696" s="2297"/>
      <c r="BE696" s="1224"/>
      <c r="BF696" s="1225"/>
      <c r="BR696" s="1224"/>
      <c r="BS696" s="1224"/>
    </row>
    <row r="697" spans="2:71" s="491" customFormat="1">
      <c r="B697" s="2297"/>
      <c r="C697" s="2297"/>
      <c r="D697" s="2297"/>
      <c r="E697" s="2297"/>
      <c r="F697" s="2297"/>
      <c r="G697" s="2297"/>
      <c r="H697" s="2297"/>
      <c r="I697" s="2297"/>
      <c r="J697" s="2297"/>
      <c r="K697" s="2297"/>
      <c r="L697" s="2297"/>
      <c r="M697" s="2297"/>
      <c r="N697" s="2297"/>
      <c r="O697" s="2297"/>
      <c r="P697" s="2297"/>
      <c r="Q697" s="2297"/>
      <c r="R697" s="99"/>
      <c r="S697" s="99"/>
      <c r="T697" s="99"/>
      <c r="U697" s="99"/>
      <c r="V697" s="99"/>
      <c r="AF697" s="2297"/>
      <c r="AG697" s="1208"/>
      <c r="AH697" s="1208"/>
      <c r="AI697" s="1223"/>
      <c r="AJ697" s="1223"/>
      <c r="AK697" s="1223"/>
      <c r="AL697" s="1223"/>
      <c r="AM697" s="1223"/>
      <c r="AN697" s="1223"/>
      <c r="AO697" s="1208"/>
      <c r="AP697" s="1223"/>
      <c r="AQ697" s="1208"/>
      <c r="AR697" s="1208"/>
      <c r="AS697" s="1223"/>
      <c r="AT697" s="1223"/>
      <c r="AU697" s="1208"/>
      <c r="AV697" s="1208"/>
      <c r="AW697" s="2297"/>
      <c r="BE697" s="1224"/>
      <c r="BF697" s="1225"/>
      <c r="BR697" s="1224"/>
      <c r="BS697" s="1224"/>
    </row>
    <row r="698" spans="2:71" s="491" customFormat="1">
      <c r="B698" s="2297"/>
      <c r="C698" s="2297"/>
      <c r="D698" s="2297"/>
      <c r="E698" s="2297"/>
      <c r="F698" s="2297"/>
      <c r="G698" s="2297"/>
      <c r="H698" s="2297"/>
      <c r="I698" s="2297"/>
      <c r="J698" s="2297"/>
      <c r="K698" s="2297"/>
      <c r="L698" s="2297"/>
      <c r="M698" s="2297"/>
      <c r="N698" s="2297"/>
      <c r="O698" s="2297"/>
      <c r="P698" s="2297"/>
      <c r="Q698" s="2297"/>
      <c r="R698" s="99"/>
      <c r="S698" s="99"/>
      <c r="T698" s="99"/>
      <c r="U698" s="99"/>
      <c r="V698" s="99"/>
      <c r="AF698" s="2297"/>
      <c r="AG698" s="1208"/>
      <c r="AH698" s="1208"/>
      <c r="AI698" s="1223"/>
      <c r="AJ698" s="1223"/>
      <c r="AK698" s="1223"/>
      <c r="AL698" s="1223"/>
      <c r="AM698" s="1223"/>
      <c r="AN698" s="1223"/>
      <c r="AO698" s="1208"/>
      <c r="AP698" s="1223"/>
      <c r="AQ698" s="1208"/>
      <c r="AR698" s="1208"/>
      <c r="AS698" s="1223"/>
      <c r="AT698" s="1223"/>
      <c r="AU698" s="1208"/>
      <c r="AV698" s="1208"/>
      <c r="AW698" s="2297"/>
      <c r="BE698" s="1224"/>
      <c r="BF698" s="1225"/>
      <c r="BR698" s="1224"/>
      <c r="BS698" s="1224"/>
    </row>
    <row r="699" spans="2:71" s="491" customFormat="1">
      <c r="B699" s="2297"/>
      <c r="C699" s="2297"/>
      <c r="D699" s="2297"/>
      <c r="E699" s="2297"/>
      <c r="F699" s="2297"/>
      <c r="G699" s="2297"/>
      <c r="H699" s="2297"/>
      <c r="I699" s="2297"/>
      <c r="J699" s="2297"/>
      <c r="K699" s="2297"/>
      <c r="L699" s="2297"/>
      <c r="M699" s="2297"/>
      <c r="N699" s="2297"/>
      <c r="O699" s="2297"/>
      <c r="P699" s="2297"/>
      <c r="Q699" s="2297"/>
      <c r="R699" s="99"/>
      <c r="S699" s="99"/>
      <c r="T699" s="99"/>
      <c r="U699" s="99"/>
      <c r="V699" s="99"/>
      <c r="AF699" s="2297"/>
      <c r="AG699" s="1208"/>
      <c r="AH699" s="1208"/>
      <c r="AI699" s="1223"/>
      <c r="AJ699" s="1223"/>
      <c r="AK699" s="1223"/>
      <c r="AL699" s="1223"/>
      <c r="AM699" s="1223"/>
      <c r="AN699" s="1223"/>
      <c r="AO699" s="1208"/>
      <c r="AP699" s="1223"/>
      <c r="AQ699" s="1208"/>
      <c r="AR699" s="1208"/>
      <c r="AS699" s="1223"/>
      <c r="AT699" s="1223"/>
      <c r="AU699" s="1208"/>
      <c r="AV699" s="1208"/>
      <c r="AW699" s="2297"/>
      <c r="BE699" s="1224"/>
      <c r="BF699" s="1225"/>
      <c r="BR699" s="1224"/>
      <c r="BS699" s="1224"/>
    </row>
    <row r="700" spans="2:71" s="491" customFormat="1">
      <c r="B700" s="2297"/>
      <c r="C700" s="2297"/>
      <c r="D700" s="2297"/>
      <c r="E700" s="2297"/>
      <c r="F700" s="2297"/>
      <c r="G700" s="2297"/>
      <c r="H700" s="2297"/>
      <c r="I700" s="2297"/>
      <c r="J700" s="2297"/>
      <c r="K700" s="2297"/>
      <c r="L700" s="2297"/>
      <c r="M700" s="2297"/>
      <c r="N700" s="2297"/>
      <c r="O700" s="2297"/>
      <c r="P700" s="2297"/>
      <c r="Q700" s="2297"/>
      <c r="R700" s="99"/>
      <c r="S700" s="99"/>
      <c r="T700" s="99"/>
      <c r="U700" s="99"/>
      <c r="V700" s="99"/>
      <c r="AF700" s="2297"/>
      <c r="AG700" s="1208"/>
      <c r="AH700" s="1208"/>
      <c r="AI700" s="1223"/>
      <c r="AJ700" s="1223"/>
      <c r="AK700" s="1223"/>
      <c r="AL700" s="1223"/>
      <c r="AM700" s="1223"/>
      <c r="AN700" s="1223"/>
      <c r="AO700" s="1208"/>
      <c r="AP700" s="1223"/>
      <c r="AQ700" s="1208"/>
      <c r="AR700" s="1208"/>
      <c r="AS700" s="1223"/>
      <c r="AT700" s="1223"/>
      <c r="AU700" s="1208"/>
      <c r="AV700" s="1208"/>
      <c r="AW700" s="2297"/>
      <c r="BE700" s="1224"/>
      <c r="BF700" s="1225"/>
      <c r="BR700" s="1224"/>
      <c r="BS700" s="1224"/>
    </row>
    <row r="701" spans="2:71" s="491" customFormat="1">
      <c r="B701" s="2297"/>
      <c r="C701" s="2297"/>
      <c r="D701" s="2297"/>
      <c r="E701" s="2297"/>
      <c r="F701" s="2297"/>
      <c r="G701" s="2297"/>
      <c r="H701" s="2297"/>
      <c r="I701" s="2297"/>
      <c r="J701" s="2297"/>
      <c r="K701" s="2297"/>
      <c r="L701" s="2297"/>
      <c r="M701" s="2297"/>
      <c r="N701" s="2297"/>
      <c r="O701" s="2297"/>
      <c r="P701" s="2297"/>
      <c r="Q701" s="2297"/>
      <c r="R701" s="99"/>
      <c r="S701" s="99"/>
      <c r="T701" s="99"/>
      <c r="U701" s="99"/>
      <c r="V701" s="99"/>
      <c r="AF701" s="2297"/>
      <c r="AG701" s="1208"/>
      <c r="AH701" s="1208"/>
      <c r="AI701" s="1223"/>
      <c r="AJ701" s="1223"/>
      <c r="AK701" s="1223"/>
      <c r="AL701" s="1223"/>
      <c r="AM701" s="1223"/>
      <c r="AN701" s="1223"/>
      <c r="AO701" s="1208"/>
      <c r="AP701" s="1223"/>
      <c r="AQ701" s="1208"/>
      <c r="AR701" s="1208"/>
      <c r="AS701" s="1223"/>
      <c r="AT701" s="1223"/>
      <c r="AU701" s="1208"/>
      <c r="AV701" s="1208"/>
      <c r="AW701" s="2297"/>
      <c r="BE701" s="1224"/>
      <c r="BF701" s="1225"/>
      <c r="BR701" s="1224"/>
      <c r="BS701" s="1224"/>
    </row>
    <row r="702" spans="2:71" s="491" customFormat="1">
      <c r="B702" s="2297"/>
      <c r="C702" s="2297"/>
      <c r="D702" s="2297"/>
      <c r="E702" s="2297"/>
      <c r="F702" s="2297"/>
      <c r="G702" s="2297"/>
      <c r="H702" s="2297"/>
      <c r="I702" s="2297"/>
      <c r="J702" s="2297"/>
      <c r="K702" s="2297"/>
      <c r="L702" s="2297"/>
      <c r="M702" s="2297"/>
      <c r="N702" s="2297"/>
      <c r="O702" s="2297"/>
      <c r="P702" s="2297"/>
      <c r="Q702" s="2297"/>
      <c r="R702" s="99"/>
      <c r="S702" s="99"/>
      <c r="T702" s="99"/>
      <c r="U702" s="99"/>
      <c r="V702" s="99"/>
      <c r="AF702" s="2297"/>
      <c r="AG702" s="1208"/>
      <c r="AH702" s="1208"/>
      <c r="AI702" s="1223"/>
      <c r="AJ702" s="1223"/>
      <c r="AK702" s="1223"/>
      <c r="AL702" s="1223"/>
      <c r="AM702" s="1223"/>
      <c r="AN702" s="1223"/>
      <c r="AO702" s="1208"/>
      <c r="AP702" s="1223"/>
      <c r="AQ702" s="1208"/>
      <c r="AR702" s="1208"/>
      <c r="AS702" s="1223"/>
      <c r="AT702" s="1223"/>
      <c r="AU702" s="1208"/>
      <c r="AV702" s="1208"/>
      <c r="AW702" s="2297"/>
      <c r="BE702" s="1224"/>
      <c r="BF702" s="1225"/>
      <c r="BR702" s="1224"/>
      <c r="BS702" s="1224"/>
    </row>
    <row r="703" spans="2:71" s="491" customFormat="1">
      <c r="B703" s="2297"/>
      <c r="C703" s="2297"/>
      <c r="D703" s="2297"/>
      <c r="E703" s="2297"/>
      <c r="F703" s="2297"/>
      <c r="G703" s="2297"/>
      <c r="H703" s="2297"/>
      <c r="I703" s="2297"/>
      <c r="J703" s="2297"/>
      <c r="K703" s="2297"/>
      <c r="L703" s="2297"/>
      <c r="M703" s="2297"/>
      <c r="N703" s="2297"/>
      <c r="O703" s="2297"/>
      <c r="P703" s="2297"/>
      <c r="Q703" s="2297"/>
      <c r="R703" s="99"/>
      <c r="S703" s="99"/>
      <c r="T703" s="99"/>
      <c r="U703" s="99"/>
      <c r="V703" s="99"/>
      <c r="AF703" s="2297"/>
      <c r="AG703" s="1208"/>
      <c r="AH703" s="1208"/>
      <c r="AI703" s="1223"/>
      <c r="AJ703" s="1223"/>
      <c r="AK703" s="1223"/>
      <c r="AL703" s="1223"/>
      <c r="AM703" s="1223"/>
      <c r="AN703" s="1223"/>
      <c r="AO703" s="1208"/>
      <c r="AP703" s="1223"/>
      <c r="AQ703" s="1208"/>
      <c r="AR703" s="1208"/>
      <c r="AS703" s="1223"/>
      <c r="AT703" s="1223"/>
      <c r="AU703" s="1208"/>
      <c r="AV703" s="1208"/>
      <c r="AW703" s="2297"/>
      <c r="BE703" s="1224"/>
      <c r="BF703" s="1225"/>
      <c r="BR703" s="1224"/>
      <c r="BS703" s="1224"/>
    </row>
    <row r="704" spans="2:71" s="491" customFormat="1">
      <c r="B704" s="2297"/>
      <c r="C704" s="2297"/>
      <c r="D704" s="2297"/>
      <c r="E704" s="2297"/>
      <c r="F704" s="2297"/>
      <c r="G704" s="2297"/>
      <c r="H704" s="2297"/>
      <c r="I704" s="2297"/>
      <c r="J704" s="2297"/>
      <c r="K704" s="2297"/>
      <c r="L704" s="2297"/>
      <c r="M704" s="2297"/>
      <c r="N704" s="2297"/>
      <c r="O704" s="2297"/>
      <c r="P704" s="2297"/>
      <c r="Q704" s="2297"/>
      <c r="R704" s="99"/>
      <c r="S704" s="99"/>
      <c r="T704" s="99"/>
      <c r="U704" s="99"/>
      <c r="V704" s="99"/>
      <c r="AF704" s="2297"/>
      <c r="AG704" s="1208"/>
      <c r="AH704" s="1208"/>
      <c r="AI704" s="1223"/>
      <c r="AJ704" s="1223"/>
      <c r="AK704" s="1223"/>
      <c r="AL704" s="1223"/>
      <c r="AM704" s="1223"/>
      <c r="AN704" s="1223"/>
      <c r="AO704" s="1208"/>
      <c r="AP704" s="1223"/>
      <c r="AQ704" s="1208"/>
      <c r="AR704" s="1208"/>
      <c r="AS704" s="1223"/>
      <c r="AT704" s="1223"/>
      <c r="AU704" s="1208"/>
      <c r="AV704" s="1208"/>
      <c r="AW704" s="2297"/>
      <c r="BE704" s="1224"/>
      <c r="BF704" s="1225"/>
      <c r="BR704" s="1224"/>
      <c r="BS704" s="1224"/>
    </row>
    <row r="705" spans="2:71" s="491" customFormat="1">
      <c r="B705" s="2297"/>
      <c r="C705" s="2297"/>
      <c r="D705" s="2297"/>
      <c r="E705" s="2297"/>
      <c r="F705" s="2297"/>
      <c r="G705" s="2297"/>
      <c r="H705" s="2297"/>
      <c r="I705" s="2297"/>
      <c r="J705" s="2297"/>
      <c r="K705" s="2297"/>
      <c r="L705" s="2297"/>
      <c r="M705" s="2297"/>
      <c r="N705" s="2297"/>
      <c r="O705" s="2297"/>
      <c r="P705" s="2297"/>
      <c r="Q705" s="2297"/>
      <c r="R705" s="99"/>
      <c r="S705" s="99"/>
      <c r="T705" s="99"/>
      <c r="U705" s="99"/>
      <c r="V705" s="99"/>
      <c r="AF705" s="2297"/>
      <c r="AG705" s="1208"/>
      <c r="AH705" s="1208"/>
      <c r="AI705" s="1223"/>
      <c r="AJ705" s="1223"/>
      <c r="AK705" s="1223"/>
      <c r="AL705" s="1223"/>
      <c r="AM705" s="1223"/>
      <c r="AN705" s="1223"/>
      <c r="AO705" s="1208"/>
      <c r="AP705" s="1223"/>
      <c r="AQ705" s="1208"/>
      <c r="AR705" s="1208"/>
      <c r="AS705" s="1223"/>
      <c r="AT705" s="1223"/>
      <c r="AU705" s="1208"/>
      <c r="AV705" s="1208"/>
      <c r="AW705" s="2297"/>
      <c r="BE705" s="1224"/>
      <c r="BF705" s="1225"/>
      <c r="BR705" s="1224"/>
      <c r="BS705" s="1224"/>
    </row>
    <row r="706" spans="2:71" s="491" customFormat="1">
      <c r="B706" s="2297"/>
      <c r="C706" s="2297"/>
      <c r="D706" s="2297"/>
      <c r="E706" s="2297"/>
      <c r="F706" s="2297"/>
      <c r="G706" s="2297"/>
      <c r="H706" s="2297"/>
      <c r="I706" s="2297"/>
      <c r="J706" s="2297"/>
      <c r="K706" s="2297"/>
      <c r="L706" s="2297"/>
      <c r="M706" s="2297"/>
      <c r="N706" s="2297"/>
      <c r="O706" s="2297"/>
      <c r="P706" s="2297"/>
      <c r="Q706" s="2297"/>
      <c r="R706" s="99"/>
      <c r="S706" s="99"/>
      <c r="T706" s="99"/>
      <c r="U706" s="99"/>
      <c r="V706" s="99"/>
      <c r="AF706" s="2297"/>
      <c r="AG706" s="1208"/>
      <c r="AH706" s="1208"/>
      <c r="AI706" s="1223"/>
      <c r="AJ706" s="1223"/>
      <c r="AK706" s="1223"/>
      <c r="AL706" s="1223"/>
      <c r="AM706" s="1223"/>
      <c r="AN706" s="1223"/>
      <c r="AO706" s="1208"/>
      <c r="AP706" s="1223"/>
      <c r="AQ706" s="1208"/>
      <c r="AR706" s="1208"/>
      <c r="AS706" s="1223"/>
      <c r="AT706" s="1223"/>
      <c r="AU706" s="1208"/>
      <c r="AV706" s="1208"/>
      <c r="AW706" s="2297"/>
      <c r="BE706" s="1224"/>
      <c r="BF706" s="1225"/>
      <c r="BR706" s="1224"/>
      <c r="BS706" s="1224"/>
    </row>
    <row r="707" spans="2:71" s="491" customFormat="1">
      <c r="B707" s="2297"/>
      <c r="C707" s="2297"/>
      <c r="D707" s="2297"/>
      <c r="E707" s="2297"/>
      <c r="F707" s="2297"/>
      <c r="G707" s="2297"/>
      <c r="H707" s="2297"/>
      <c r="I707" s="2297"/>
      <c r="J707" s="2297"/>
      <c r="K707" s="2297"/>
      <c r="L707" s="2297"/>
      <c r="M707" s="2297"/>
      <c r="N707" s="2297"/>
      <c r="O707" s="2297"/>
      <c r="P707" s="2297"/>
      <c r="Q707" s="2297"/>
      <c r="R707" s="99"/>
      <c r="S707" s="99"/>
      <c r="T707" s="99"/>
      <c r="U707" s="99"/>
      <c r="V707" s="99"/>
      <c r="AF707" s="2297"/>
      <c r="AG707" s="1208"/>
      <c r="AH707" s="1208"/>
      <c r="AI707" s="1223"/>
      <c r="AJ707" s="1223"/>
      <c r="AK707" s="1223"/>
      <c r="AL707" s="1223"/>
      <c r="AM707" s="1223"/>
      <c r="AN707" s="1223"/>
      <c r="AO707" s="1208"/>
      <c r="AP707" s="1223"/>
      <c r="AQ707" s="1208"/>
      <c r="AR707" s="1208"/>
      <c r="AS707" s="1223"/>
      <c r="AT707" s="1223"/>
      <c r="AU707" s="1208"/>
      <c r="AV707" s="1208"/>
      <c r="AW707" s="2297"/>
      <c r="BE707" s="1224"/>
      <c r="BF707" s="1225"/>
      <c r="BR707" s="1224"/>
      <c r="BS707" s="1224"/>
    </row>
    <row r="708" spans="2:71" s="491" customFormat="1">
      <c r="B708" s="2297"/>
      <c r="C708" s="2297"/>
      <c r="D708" s="2297"/>
      <c r="E708" s="2297"/>
      <c r="F708" s="2297"/>
      <c r="G708" s="2297"/>
      <c r="H708" s="2297"/>
      <c r="I708" s="2297"/>
      <c r="J708" s="2297"/>
      <c r="K708" s="2297"/>
      <c r="L708" s="2297"/>
      <c r="M708" s="2297"/>
      <c r="N708" s="2297"/>
      <c r="O708" s="2297"/>
      <c r="P708" s="2297"/>
      <c r="Q708" s="2297"/>
      <c r="R708" s="99"/>
      <c r="S708" s="99"/>
      <c r="T708" s="99"/>
      <c r="U708" s="99"/>
      <c r="V708" s="99"/>
      <c r="AF708" s="2297"/>
      <c r="AG708" s="1208"/>
      <c r="AH708" s="1208"/>
      <c r="AI708" s="1223"/>
      <c r="AJ708" s="1223"/>
      <c r="AK708" s="1223"/>
      <c r="AL708" s="1223"/>
      <c r="AM708" s="1223"/>
      <c r="AN708" s="1223"/>
      <c r="AO708" s="1208"/>
      <c r="AP708" s="1223"/>
      <c r="AQ708" s="1208"/>
      <c r="AR708" s="1208"/>
      <c r="AS708" s="1223"/>
      <c r="AT708" s="1223"/>
      <c r="AU708" s="1208"/>
      <c r="AV708" s="1208"/>
      <c r="AW708" s="2297"/>
      <c r="BE708" s="1224"/>
      <c r="BF708" s="1225"/>
      <c r="BR708" s="1224"/>
      <c r="BS708" s="1224"/>
    </row>
    <row r="709" spans="2:71" s="491" customFormat="1">
      <c r="B709" s="2297"/>
      <c r="C709" s="2297"/>
      <c r="D709" s="2297"/>
      <c r="E709" s="2297"/>
      <c r="F709" s="2297"/>
      <c r="G709" s="2297"/>
      <c r="H709" s="2297"/>
      <c r="I709" s="2297"/>
      <c r="J709" s="2297"/>
      <c r="K709" s="2297"/>
      <c r="L709" s="2297"/>
      <c r="M709" s="2297"/>
      <c r="N709" s="2297"/>
      <c r="O709" s="2297"/>
      <c r="P709" s="2297"/>
      <c r="Q709" s="2297"/>
      <c r="R709" s="99"/>
      <c r="S709" s="99"/>
      <c r="T709" s="99"/>
      <c r="U709" s="99"/>
      <c r="V709" s="99"/>
      <c r="AF709" s="2297"/>
      <c r="AG709" s="1208"/>
      <c r="AH709" s="1208"/>
      <c r="AI709" s="1223"/>
      <c r="AJ709" s="1223"/>
      <c r="AK709" s="1223"/>
      <c r="AL709" s="1223"/>
      <c r="AM709" s="1223"/>
      <c r="AN709" s="1223"/>
      <c r="AO709" s="1208"/>
      <c r="AP709" s="1223"/>
      <c r="AQ709" s="1208"/>
      <c r="AR709" s="1208"/>
      <c r="AS709" s="1223"/>
      <c r="AT709" s="1223"/>
      <c r="AU709" s="1208"/>
      <c r="AV709" s="1208"/>
      <c r="AW709" s="2297"/>
      <c r="BE709" s="1224"/>
      <c r="BF709" s="1225"/>
      <c r="BR709" s="1224"/>
      <c r="BS709" s="1224"/>
    </row>
    <row r="710" spans="2:71" s="491" customFormat="1">
      <c r="B710" s="2297"/>
      <c r="C710" s="2297"/>
      <c r="D710" s="2297"/>
      <c r="E710" s="2297"/>
      <c r="F710" s="2297"/>
      <c r="G710" s="2297"/>
      <c r="H710" s="2297"/>
      <c r="I710" s="2297"/>
      <c r="J710" s="2297"/>
      <c r="K710" s="2297"/>
      <c r="L710" s="2297"/>
      <c r="M710" s="2297"/>
      <c r="N710" s="2297"/>
      <c r="O710" s="2297"/>
      <c r="P710" s="2297"/>
      <c r="Q710" s="2297"/>
      <c r="R710" s="99"/>
      <c r="S710" s="99"/>
      <c r="T710" s="99"/>
      <c r="U710" s="99"/>
      <c r="V710" s="99"/>
      <c r="AF710" s="2297"/>
      <c r="AG710" s="1208"/>
      <c r="AH710" s="1208"/>
      <c r="AI710" s="1223"/>
      <c r="AJ710" s="1223"/>
      <c r="AK710" s="1223"/>
      <c r="AL710" s="1223"/>
      <c r="AM710" s="1223"/>
      <c r="AN710" s="1223"/>
      <c r="AO710" s="1208"/>
      <c r="AP710" s="1223"/>
      <c r="AQ710" s="1208"/>
      <c r="AR710" s="1208"/>
      <c r="AS710" s="1223"/>
      <c r="AT710" s="1223"/>
      <c r="AU710" s="1208"/>
      <c r="AV710" s="1208"/>
      <c r="AW710" s="2297"/>
      <c r="BE710" s="1224"/>
      <c r="BF710" s="1225"/>
      <c r="BR710" s="1224"/>
      <c r="BS710" s="1224"/>
    </row>
    <row r="711" spans="2:71" s="491" customFormat="1">
      <c r="B711" s="2297"/>
      <c r="C711" s="2297"/>
      <c r="D711" s="2297"/>
      <c r="E711" s="2297"/>
      <c r="F711" s="2297"/>
      <c r="G711" s="2297"/>
      <c r="H711" s="2297"/>
      <c r="I711" s="2297"/>
      <c r="J711" s="2297"/>
      <c r="K711" s="2297"/>
      <c r="L711" s="2297"/>
      <c r="M711" s="2297"/>
      <c r="N711" s="2297"/>
      <c r="O711" s="2297"/>
      <c r="P711" s="2297"/>
      <c r="Q711" s="2297"/>
      <c r="R711" s="99"/>
      <c r="S711" s="99"/>
      <c r="T711" s="99"/>
      <c r="U711" s="99"/>
      <c r="V711" s="99"/>
      <c r="AF711" s="2297"/>
      <c r="AG711" s="1208"/>
      <c r="AH711" s="1208"/>
      <c r="AI711" s="1223"/>
      <c r="AJ711" s="1223"/>
      <c r="AK711" s="1223"/>
      <c r="AL711" s="1223"/>
      <c r="AM711" s="1223"/>
      <c r="AN711" s="1223"/>
      <c r="AO711" s="1208"/>
      <c r="AP711" s="1223"/>
      <c r="AQ711" s="1208"/>
      <c r="AR711" s="1208"/>
      <c r="AS711" s="1223"/>
      <c r="AT711" s="1223"/>
      <c r="AU711" s="1208"/>
      <c r="AV711" s="1208"/>
      <c r="AW711" s="2297"/>
      <c r="BE711" s="1224"/>
      <c r="BF711" s="1225"/>
      <c r="BR711" s="1224"/>
      <c r="BS711" s="1224"/>
    </row>
    <row r="712" spans="2:71" s="491" customFormat="1">
      <c r="B712" s="2297"/>
      <c r="C712" s="2297"/>
      <c r="D712" s="2297"/>
      <c r="E712" s="2297"/>
      <c r="F712" s="2297"/>
      <c r="G712" s="2297"/>
      <c r="H712" s="2297"/>
      <c r="I712" s="2297"/>
      <c r="J712" s="2297"/>
      <c r="K712" s="2297"/>
      <c r="L712" s="2297"/>
      <c r="M712" s="2297"/>
      <c r="N712" s="2297"/>
      <c r="O712" s="2297"/>
      <c r="P712" s="2297"/>
      <c r="Q712" s="2297"/>
      <c r="R712" s="99"/>
      <c r="S712" s="99"/>
      <c r="T712" s="99"/>
      <c r="U712" s="99"/>
      <c r="V712" s="99"/>
      <c r="AF712" s="2297"/>
      <c r="AG712" s="1208"/>
      <c r="AH712" s="1208"/>
      <c r="AI712" s="1223"/>
      <c r="AJ712" s="1223"/>
      <c r="AK712" s="1223"/>
      <c r="AL712" s="1223"/>
      <c r="AM712" s="1223"/>
      <c r="AN712" s="1223"/>
      <c r="AO712" s="1208"/>
      <c r="AP712" s="1223"/>
      <c r="AQ712" s="1208"/>
      <c r="AR712" s="1208"/>
      <c r="AS712" s="1223"/>
      <c r="AT712" s="1223"/>
      <c r="AU712" s="1208"/>
      <c r="AV712" s="1208"/>
      <c r="AW712" s="2297"/>
      <c r="BE712" s="1224"/>
      <c r="BF712" s="1225"/>
      <c r="BR712" s="1224"/>
      <c r="BS712" s="1224"/>
    </row>
    <row r="713" spans="2:71" s="491" customFormat="1">
      <c r="B713" s="2297"/>
      <c r="C713" s="2297"/>
      <c r="D713" s="2297"/>
      <c r="E713" s="2297"/>
      <c r="F713" s="2297"/>
      <c r="G713" s="2297"/>
      <c r="H713" s="2297"/>
      <c r="I713" s="2297"/>
      <c r="J713" s="2297"/>
      <c r="K713" s="2297"/>
      <c r="L713" s="2297"/>
      <c r="M713" s="2297"/>
      <c r="N713" s="2297"/>
      <c r="O713" s="2297"/>
      <c r="P713" s="2297"/>
      <c r="Q713" s="2297"/>
      <c r="R713" s="99"/>
      <c r="S713" s="99"/>
      <c r="T713" s="99"/>
      <c r="U713" s="99"/>
      <c r="V713" s="99"/>
      <c r="AF713" s="2297"/>
      <c r="AG713" s="1208"/>
      <c r="AH713" s="1208"/>
      <c r="AI713" s="1223"/>
      <c r="AJ713" s="1223"/>
      <c r="AK713" s="1223"/>
      <c r="AL713" s="1223"/>
      <c r="AM713" s="1223"/>
      <c r="AN713" s="1223"/>
      <c r="AO713" s="1208"/>
      <c r="AP713" s="1223"/>
      <c r="AQ713" s="1208"/>
      <c r="AR713" s="1208"/>
      <c r="AS713" s="1223"/>
      <c r="AT713" s="1223"/>
      <c r="AU713" s="1208"/>
      <c r="AV713" s="1208"/>
      <c r="AW713" s="2297"/>
      <c r="BE713" s="1224"/>
      <c r="BF713" s="1225"/>
      <c r="BR713" s="1224"/>
      <c r="BS713" s="1224"/>
    </row>
    <row r="714" spans="2:71" s="491" customFormat="1">
      <c r="B714" s="2297"/>
      <c r="C714" s="2297"/>
      <c r="D714" s="2297"/>
      <c r="E714" s="2297"/>
      <c r="F714" s="2297"/>
      <c r="G714" s="2297"/>
      <c r="H714" s="2297"/>
      <c r="I714" s="2297"/>
      <c r="J714" s="2297"/>
      <c r="K714" s="2297"/>
      <c r="L714" s="2297"/>
      <c r="M714" s="2297"/>
      <c r="N714" s="2297"/>
      <c r="O714" s="2297"/>
      <c r="P714" s="2297"/>
      <c r="Q714" s="2297"/>
      <c r="R714" s="99"/>
      <c r="S714" s="99"/>
      <c r="T714" s="99"/>
      <c r="U714" s="99"/>
      <c r="V714" s="99"/>
      <c r="AF714" s="2297"/>
      <c r="AG714" s="1208"/>
      <c r="AH714" s="1208"/>
      <c r="AI714" s="1223"/>
      <c r="AJ714" s="1223"/>
      <c r="AK714" s="1223"/>
      <c r="AL714" s="1223"/>
      <c r="AM714" s="1223"/>
      <c r="AN714" s="1223"/>
      <c r="AO714" s="1208"/>
      <c r="AP714" s="1223"/>
      <c r="AQ714" s="1208"/>
      <c r="AR714" s="1208"/>
      <c r="AS714" s="1223"/>
      <c r="AT714" s="1223"/>
      <c r="AU714" s="1208"/>
      <c r="AV714" s="1208"/>
      <c r="AW714" s="2297"/>
      <c r="BE714" s="1224"/>
      <c r="BF714" s="1225"/>
      <c r="BR714" s="1224"/>
      <c r="BS714" s="1224"/>
    </row>
    <row r="715" spans="2:71" s="491" customFormat="1">
      <c r="B715" s="2297"/>
      <c r="C715" s="2297"/>
      <c r="D715" s="2297"/>
      <c r="E715" s="2297"/>
      <c r="F715" s="2297"/>
      <c r="G715" s="2297"/>
      <c r="H715" s="2297"/>
      <c r="I715" s="2297"/>
      <c r="J715" s="2297"/>
      <c r="K715" s="2297"/>
      <c r="L715" s="2297"/>
      <c r="M715" s="2297"/>
      <c r="N715" s="2297"/>
      <c r="O715" s="2297"/>
      <c r="P715" s="2297"/>
      <c r="Q715" s="2297"/>
      <c r="R715" s="99"/>
      <c r="S715" s="99"/>
      <c r="T715" s="99"/>
      <c r="U715" s="99"/>
      <c r="V715" s="99"/>
      <c r="AF715" s="2297"/>
      <c r="AG715" s="1208"/>
      <c r="AH715" s="1208"/>
      <c r="AI715" s="1223"/>
      <c r="AJ715" s="1223"/>
      <c r="AK715" s="1223"/>
      <c r="AL715" s="1223"/>
      <c r="AM715" s="1223"/>
      <c r="AN715" s="1223"/>
      <c r="AO715" s="1208"/>
      <c r="AP715" s="1223"/>
      <c r="AQ715" s="1208"/>
      <c r="AR715" s="1208"/>
      <c r="AS715" s="1223"/>
      <c r="AT715" s="1223"/>
      <c r="AU715" s="1208"/>
      <c r="AV715" s="1208"/>
      <c r="AW715" s="2297"/>
      <c r="BE715" s="1224"/>
      <c r="BF715" s="1225"/>
      <c r="BR715" s="1224"/>
      <c r="BS715" s="1224"/>
    </row>
    <row r="716" spans="2:71" s="491" customFormat="1">
      <c r="B716" s="2297"/>
      <c r="C716" s="2297"/>
      <c r="D716" s="2297"/>
      <c r="E716" s="2297"/>
      <c r="F716" s="2297"/>
      <c r="G716" s="2297"/>
      <c r="H716" s="2297"/>
      <c r="I716" s="2297"/>
      <c r="J716" s="2297"/>
      <c r="K716" s="2297"/>
      <c r="L716" s="2297"/>
      <c r="M716" s="2297"/>
      <c r="N716" s="2297"/>
      <c r="O716" s="2297"/>
      <c r="P716" s="2297"/>
      <c r="Q716" s="2297"/>
      <c r="R716" s="99"/>
      <c r="S716" s="99"/>
      <c r="T716" s="99"/>
      <c r="U716" s="99"/>
      <c r="V716" s="99"/>
      <c r="AF716" s="2297"/>
      <c r="AG716" s="1208"/>
      <c r="AH716" s="1208"/>
      <c r="AI716" s="1223"/>
      <c r="AJ716" s="1223"/>
      <c r="AK716" s="1223"/>
      <c r="AL716" s="1223"/>
      <c r="AM716" s="1223"/>
      <c r="AN716" s="1223"/>
      <c r="AO716" s="1208"/>
      <c r="AP716" s="1223"/>
      <c r="AQ716" s="1208"/>
      <c r="AR716" s="1208"/>
      <c r="AS716" s="1223"/>
      <c r="AT716" s="1223"/>
      <c r="AU716" s="1208"/>
      <c r="AV716" s="1208"/>
      <c r="AW716" s="2297"/>
      <c r="BE716" s="1224"/>
      <c r="BF716" s="1225"/>
      <c r="BR716" s="1224"/>
      <c r="BS716" s="1224"/>
    </row>
    <row r="717" spans="2:71" s="491" customFormat="1">
      <c r="B717" s="2297"/>
      <c r="C717" s="2297"/>
      <c r="D717" s="2297"/>
      <c r="E717" s="2297"/>
      <c r="F717" s="2297"/>
      <c r="G717" s="2297"/>
      <c r="H717" s="2297"/>
      <c r="I717" s="2297"/>
      <c r="J717" s="2297"/>
      <c r="K717" s="2297"/>
      <c r="L717" s="2297"/>
      <c r="M717" s="2297"/>
      <c r="N717" s="2297"/>
      <c r="O717" s="2297"/>
      <c r="P717" s="2297"/>
      <c r="Q717" s="2297"/>
      <c r="R717" s="99"/>
      <c r="S717" s="99"/>
      <c r="T717" s="99"/>
      <c r="U717" s="99"/>
      <c r="V717" s="99"/>
      <c r="AF717" s="2297"/>
      <c r="AG717" s="1208"/>
      <c r="AH717" s="1208"/>
      <c r="AI717" s="1223"/>
      <c r="AJ717" s="1223"/>
      <c r="AK717" s="1223"/>
      <c r="AL717" s="1223"/>
      <c r="AM717" s="1223"/>
      <c r="AN717" s="1223"/>
      <c r="AO717" s="1208"/>
      <c r="AP717" s="1223"/>
      <c r="AQ717" s="1208"/>
      <c r="AR717" s="1208"/>
      <c r="AS717" s="1223"/>
      <c r="AT717" s="1223"/>
      <c r="AU717" s="1208"/>
      <c r="AV717" s="1208"/>
      <c r="AW717" s="2297"/>
      <c r="BE717" s="1224"/>
      <c r="BF717" s="1225"/>
      <c r="BR717" s="1224"/>
      <c r="BS717" s="1224"/>
    </row>
    <row r="718" spans="2:71" s="491" customFormat="1">
      <c r="B718" s="2297"/>
      <c r="C718" s="2297"/>
      <c r="D718" s="2297"/>
      <c r="E718" s="2297"/>
      <c r="F718" s="2297"/>
      <c r="G718" s="2297"/>
      <c r="H718" s="2297"/>
      <c r="I718" s="2297"/>
      <c r="J718" s="2297"/>
      <c r="K718" s="2297"/>
      <c r="L718" s="2297"/>
      <c r="M718" s="2297"/>
      <c r="N718" s="2297"/>
      <c r="O718" s="2297"/>
      <c r="P718" s="2297"/>
      <c r="Q718" s="2297"/>
      <c r="R718" s="99"/>
      <c r="S718" s="99"/>
      <c r="T718" s="99"/>
      <c r="U718" s="99"/>
      <c r="V718" s="99"/>
      <c r="AF718" s="2297"/>
      <c r="AG718" s="1208"/>
      <c r="AH718" s="1208"/>
      <c r="AI718" s="1223"/>
      <c r="AJ718" s="1223"/>
      <c r="AK718" s="1223"/>
      <c r="AL718" s="1223"/>
      <c r="AM718" s="1223"/>
      <c r="AN718" s="1223"/>
      <c r="AO718" s="1208"/>
      <c r="AP718" s="1223"/>
      <c r="AQ718" s="1208"/>
      <c r="AR718" s="1208"/>
      <c r="AS718" s="1223"/>
      <c r="AT718" s="1223"/>
      <c r="AU718" s="1208"/>
      <c r="AV718" s="1208"/>
      <c r="AW718" s="2297"/>
      <c r="BE718" s="1224"/>
      <c r="BF718" s="1225"/>
      <c r="BR718" s="1224"/>
      <c r="BS718" s="1224"/>
    </row>
    <row r="719" spans="2:71" s="491" customFormat="1">
      <c r="B719" s="2297"/>
      <c r="C719" s="2297"/>
      <c r="D719" s="2297"/>
      <c r="E719" s="2297"/>
      <c r="F719" s="2297"/>
      <c r="G719" s="2297"/>
      <c r="H719" s="2297"/>
      <c r="I719" s="2297"/>
      <c r="J719" s="2297"/>
      <c r="K719" s="2297"/>
      <c r="L719" s="2297"/>
      <c r="M719" s="2297"/>
      <c r="N719" s="2297"/>
      <c r="O719" s="2297"/>
      <c r="P719" s="2297"/>
      <c r="Q719" s="2297"/>
      <c r="R719" s="99"/>
      <c r="S719" s="99"/>
      <c r="T719" s="99"/>
      <c r="U719" s="99"/>
      <c r="V719" s="99"/>
      <c r="AF719" s="2297"/>
      <c r="AG719" s="1208"/>
      <c r="AH719" s="1208"/>
      <c r="AI719" s="1223"/>
      <c r="AJ719" s="1223"/>
      <c r="AK719" s="1223"/>
      <c r="AL719" s="1223"/>
      <c r="AM719" s="1223"/>
      <c r="AN719" s="1223"/>
      <c r="AO719" s="1208"/>
      <c r="AP719" s="1223"/>
      <c r="AQ719" s="1208"/>
      <c r="AR719" s="1208"/>
      <c r="AS719" s="1223"/>
      <c r="AT719" s="1223"/>
      <c r="AU719" s="1208"/>
      <c r="AV719" s="1208"/>
      <c r="AW719" s="2297"/>
      <c r="BE719" s="1224"/>
      <c r="BF719" s="1225"/>
      <c r="BR719" s="1224"/>
      <c r="BS719" s="1224"/>
    </row>
    <row r="720" spans="2:71" s="491" customFormat="1">
      <c r="B720" s="2297"/>
      <c r="C720" s="2297"/>
      <c r="D720" s="2297"/>
      <c r="E720" s="2297"/>
      <c r="F720" s="2297"/>
      <c r="G720" s="2297"/>
      <c r="H720" s="2297"/>
      <c r="I720" s="2297"/>
      <c r="J720" s="2297"/>
      <c r="K720" s="2297"/>
      <c r="L720" s="2297"/>
      <c r="M720" s="2297"/>
      <c r="N720" s="2297"/>
      <c r="O720" s="2297"/>
      <c r="P720" s="2297"/>
      <c r="Q720" s="2297"/>
      <c r="R720" s="99"/>
      <c r="S720" s="99"/>
      <c r="T720" s="99"/>
      <c r="U720" s="99"/>
      <c r="V720" s="99"/>
      <c r="AF720" s="2297"/>
      <c r="AG720" s="1208"/>
      <c r="AH720" s="1208"/>
      <c r="AI720" s="1223"/>
      <c r="AJ720" s="1223"/>
      <c r="AK720" s="1223"/>
      <c r="AL720" s="1223"/>
      <c r="AM720" s="1223"/>
      <c r="AN720" s="1223"/>
      <c r="AO720" s="1208"/>
      <c r="AP720" s="1223"/>
      <c r="AQ720" s="1208"/>
      <c r="AR720" s="1208"/>
      <c r="AS720" s="1223"/>
      <c r="AT720" s="1223"/>
      <c r="AU720" s="1208"/>
      <c r="AV720" s="1208"/>
      <c r="AW720" s="2297"/>
      <c r="BE720" s="1224"/>
      <c r="BF720" s="1225"/>
      <c r="BR720" s="1224"/>
      <c r="BS720" s="1224"/>
    </row>
    <row r="721" spans="2:71" s="491" customFormat="1">
      <c r="B721" s="2297"/>
      <c r="C721" s="2297"/>
      <c r="D721" s="2297"/>
      <c r="E721" s="2297"/>
      <c r="F721" s="2297"/>
      <c r="G721" s="2297"/>
      <c r="H721" s="2297"/>
      <c r="I721" s="2297"/>
      <c r="J721" s="2297"/>
      <c r="K721" s="2297"/>
      <c r="L721" s="2297"/>
      <c r="M721" s="2297"/>
      <c r="N721" s="2297"/>
      <c r="O721" s="2297"/>
      <c r="P721" s="2297"/>
      <c r="Q721" s="2297"/>
      <c r="R721" s="99"/>
      <c r="S721" s="99"/>
      <c r="T721" s="99"/>
      <c r="U721" s="99"/>
      <c r="V721" s="99"/>
      <c r="AF721" s="2297"/>
      <c r="AG721" s="1208"/>
      <c r="AH721" s="1208"/>
      <c r="AI721" s="1223"/>
      <c r="AJ721" s="1223"/>
      <c r="AK721" s="1223"/>
      <c r="AL721" s="1223"/>
      <c r="AM721" s="1223"/>
      <c r="AN721" s="1223"/>
      <c r="AO721" s="1208"/>
      <c r="AP721" s="1223"/>
      <c r="AQ721" s="1208"/>
      <c r="AR721" s="1208"/>
      <c r="AS721" s="1223"/>
      <c r="AT721" s="1223"/>
      <c r="AU721" s="1208"/>
      <c r="AV721" s="1208"/>
      <c r="AW721" s="2297"/>
      <c r="BE721" s="1224"/>
      <c r="BF721" s="1225"/>
      <c r="BR721" s="1224"/>
      <c r="BS721" s="1224"/>
    </row>
    <row r="722" spans="2:71" s="491" customFormat="1">
      <c r="B722" s="2297"/>
      <c r="C722" s="2297"/>
      <c r="D722" s="2297"/>
      <c r="E722" s="2297"/>
      <c r="F722" s="2297"/>
      <c r="G722" s="2297"/>
      <c r="H722" s="2297"/>
      <c r="I722" s="2297"/>
      <c r="J722" s="2297"/>
      <c r="K722" s="2297"/>
      <c r="L722" s="2297"/>
      <c r="M722" s="2297"/>
      <c r="N722" s="2297"/>
      <c r="O722" s="2297"/>
      <c r="P722" s="2297"/>
      <c r="Q722" s="2297"/>
      <c r="R722" s="99"/>
      <c r="S722" s="99"/>
      <c r="T722" s="99"/>
      <c r="U722" s="99"/>
      <c r="V722" s="99"/>
      <c r="AF722" s="2297"/>
      <c r="AG722" s="1208"/>
      <c r="AH722" s="1208"/>
      <c r="AI722" s="1223"/>
      <c r="AJ722" s="1223"/>
      <c r="AK722" s="1223"/>
      <c r="AL722" s="1223"/>
      <c r="AM722" s="1223"/>
      <c r="AN722" s="1223"/>
      <c r="AO722" s="1208"/>
      <c r="AP722" s="1223"/>
      <c r="AQ722" s="1208"/>
      <c r="AR722" s="1208"/>
      <c r="AS722" s="1223"/>
      <c r="AT722" s="1223"/>
      <c r="AU722" s="1208"/>
      <c r="AV722" s="1208"/>
      <c r="AW722" s="2297"/>
      <c r="BE722" s="1224"/>
      <c r="BF722" s="1225"/>
      <c r="BR722" s="1224"/>
      <c r="BS722" s="1224"/>
    </row>
    <row r="723" spans="2:71" s="491" customFormat="1">
      <c r="B723" s="2297"/>
      <c r="C723" s="2297"/>
      <c r="D723" s="2297"/>
      <c r="E723" s="2297"/>
      <c r="F723" s="2297"/>
      <c r="G723" s="2297"/>
      <c r="H723" s="2297"/>
      <c r="I723" s="2297"/>
      <c r="J723" s="2297"/>
      <c r="K723" s="2297"/>
      <c r="L723" s="2297"/>
      <c r="M723" s="2297"/>
      <c r="N723" s="2297"/>
      <c r="O723" s="2297"/>
      <c r="P723" s="2297"/>
      <c r="Q723" s="2297"/>
      <c r="R723" s="99"/>
      <c r="S723" s="99"/>
      <c r="T723" s="99"/>
      <c r="U723" s="99"/>
      <c r="V723" s="99"/>
      <c r="AF723" s="2297"/>
      <c r="AG723" s="1208"/>
      <c r="AH723" s="1208"/>
      <c r="AI723" s="1223"/>
      <c r="AJ723" s="1223"/>
      <c r="AK723" s="1223"/>
      <c r="AL723" s="1223"/>
      <c r="AM723" s="1223"/>
      <c r="AN723" s="1223"/>
      <c r="AO723" s="1208"/>
      <c r="AP723" s="1223"/>
      <c r="AQ723" s="1208"/>
      <c r="AR723" s="1208"/>
      <c r="AS723" s="1223"/>
      <c r="AT723" s="1223"/>
      <c r="AU723" s="1208"/>
      <c r="AV723" s="1208"/>
      <c r="AW723" s="2297"/>
      <c r="BE723" s="1224"/>
      <c r="BF723" s="1225"/>
      <c r="BR723" s="1224"/>
      <c r="BS723" s="1224"/>
    </row>
    <row r="724" spans="2:71" s="491" customFormat="1">
      <c r="B724" s="2297"/>
      <c r="C724" s="2297"/>
      <c r="D724" s="2297"/>
      <c r="E724" s="2297"/>
      <c r="F724" s="2297"/>
      <c r="G724" s="2297"/>
      <c r="H724" s="2297"/>
      <c r="I724" s="2297"/>
      <c r="J724" s="2297"/>
      <c r="K724" s="2297"/>
      <c r="L724" s="2297"/>
      <c r="M724" s="2297"/>
      <c r="N724" s="2297"/>
      <c r="O724" s="2297"/>
      <c r="P724" s="2297"/>
      <c r="Q724" s="2297"/>
      <c r="R724" s="99"/>
      <c r="S724" s="99"/>
      <c r="T724" s="99"/>
      <c r="U724" s="99"/>
      <c r="V724" s="99"/>
      <c r="AF724" s="2297"/>
      <c r="AG724" s="1208"/>
      <c r="AH724" s="1208"/>
      <c r="AI724" s="1223"/>
      <c r="AJ724" s="1223"/>
      <c r="AK724" s="1223"/>
      <c r="AL724" s="1223"/>
      <c r="AM724" s="1223"/>
      <c r="AN724" s="1223"/>
      <c r="AO724" s="1208"/>
      <c r="AP724" s="1223"/>
      <c r="AQ724" s="1208"/>
      <c r="AR724" s="1208"/>
      <c r="AS724" s="1223"/>
      <c r="AT724" s="1223"/>
      <c r="AU724" s="1208"/>
      <c r="AV724" s="1208"/>
      <c r="AW724" s="2297"/>
      <c r="BE724" s="1224"/>
      <c r="BF724" s="1225"/>
      <c r="BR724" s="1224"/>
      <c r="BS724" s="1224"/>
    </row>
    <row r="725" spans="2:71" s="491" customFormat="1">
      <c r="B725" s="2297"/>
      <c r="C725" s="2297"/>
      <c r="D725" s="2297"/>
      <c r="E725" s="2297"/>
      <c r="F725" s="2297"/>
      <c r="G725" s="2297"/>
      <c r="H725" s="2297"/>
      <c r="I725" s="2297"/>
      <c r="J725" s="2297"/>
      <c r="K725" s="2297"/>
      <c r="L725" s="2297"/>
      <c r="M725" s="2297"/>
      <c r="N725" s="2297"/>
      <c r="O725" s="2297"/>
      <c r="P725" s="2297"/>
      <c r="Q725" s="2297"/>
      <c r="R725" s="99"/>
      <c r="S725" s="99"/>
      <c r="T725" s="99"/>
      <c r="U725" s="99"/>
      <c r="V725" s="99"/>
      <c r="AF725" s="2297"/>
      <c r="AG725" s="1208"/>
      <c r="AH725" s="1208"/>
      <c r="AI725" s="1223"/>
      <c r="AJ725" s="1223"/>
      <c r="AK725" s="1223"/>
      <c r="AL725" s="1223"/>
      <c r="AM725" s="1223"/>
      <c r="AN725" s="1223"/>
      <c r="AO725" s="1208"/>
      <c r="AP725" s="1223"/>
      <c r="AQ725" s="1208"/>
      <c r="AR725" s="1208"/>
      <c r="AS725" s="1223"/>
      <c r="AT725" s="1223"/>
      <c r="AU725" s="1208"/>
      <c r="AV725" s="1208"/>
      <c r="AW725" s="2297"/>
      <c r="BE725" s="1224"/>
      <c r="BF725" s="1225"/>
      <c r="BR725" s="1224"/>
      <c r="BS725" s="1224"/>
    </row>
    <row r="726" spans="2:71" s="491" customFormat="1">
      <c r="B726" s="2297"/>
      <c r="C726" s="2297"/>
      <c r="D726" s="2297"/>
      <c r="E726" s="2297"/>
      <c r="F726" s="2297"/>
      <c r="G726" s="2297"/>
      <c r="H726" s="2297"/>
      <c r="I726" s="2297"/>
      <c r="J726" s="2297"/>
      <c r="K726" s="2297"/>
      <c r="L726" s="2297"/>
      <c r="M726" s="2297"/>
      <c r="N726" s="2297"/>
      <c r="O726" s="2297"/>
      <c r="P726" s="2297"/>
      <c r="Q726" s="2297"/>
      <c r="R726" s="99"/>
      <c r="S726" s="99"/>
      <c r="T726" s="99"/>
      <c r="U726" s="99"/>
      <c r="V726" s="99"/>
      <c r="AF726" s="2297"/>
      <c r="AG726" s="1208"/>
      <c r="AH726" s="1208"/>
      <c r="AI726" s="1223"/>
      <c r="AJ726" s="1223"/>
      <c r="AK726" s="1223"/>
      <c r="AL726" s="1223"/>
      <c r="AM726" s="1223"/>
      <c r="AN726" s="1223"/>
      <c r="AO726" s="1208"/>
      <c r="AP726" s="1223"/>
      <c r="AQ726" s="1208"/>
      <c r="AR726" s="1208"/>
      <c r="AS726" s="1223"/>
      <c r="AT726" s="1223"/>
      <c r="AU726" s="1208"/>
      <c r="AV726" s="1208"/>
      <c r="AW726" s="2297"/>
      <c r="BE726" s="1224"/>
      <c r="BF726" s="1225"/>
      <c r="BR726" s="1224"/>
      <c r="BS726" s="1224"/>
    </row>
    <row r="727" spans="2:71" s="491" customFormat="1">
      <c r="B727" s="2297"/>
      <c r="C727" s="2297"/>
      <c r="D727" s="2297"/>
      <c r="E727" s="2297"/>
      <c r="F727" s="2297"/>
      <c r="G727" s="2297"/>
      <c r="H727" s="2297"/>
      <c r="I727" s="2297"/>
      <c r="J727" s="2297"/>
      <c r="K727" s="2297"/>
      <c r="L727" s="2297"/>
      <c r="M727" s="2297"/>
      <c r="N727" s="2297"/>
      <c r="O727" s="2297"/>
      <c r="P727" s="2297"/>
      <c r="Q727" s="2297"/>
      <c r="R727" s="99"/>
      <c r="S727" s="99"/>
      <c r="T727" s="99"/>
      <c r="U727" s="99"/>
      <c r="V727" s="99"/>
      <c r="AF727" s="2297"/>
      <c r="AG727" s="1208"/>
      <c r="AH727" s="1208"/>
      <c r="AI727" s="1223"/>
      <c r="AJ727" s="1223"/>
      <c r="AK727" s="1223"/>
      <c r="AL727" s="1223"/>
      <c r="AM727" s="1223"/>
      <c r="AN727" s="1223"/>
      <c r="AO727" s="1208"/>
      <c r="AP727" s="1223"/>
      <c r="AQ727" s="1208"/>
      <c r="AR727" s="1208"/>
      <c r="AS727" s="1223"/>
      <c r="AT727" s="1223"/>
      <c r="AU727" s="1208"/>
      <c r="AV727" s="1208"/>
      <c r="AW727" s="2297"/>
      <c r="BE727" s="1224"/>
      <c r="BF727" s="1225"/>
      <c r="BR727" s="1224"/>
      <c r="BS727" s="1224"/>
    </row>
    <row r="728" spans="2:71" s="491" customFormat="1">
      <c r="B728" s="2297"/>
      <c r="C728" s="2297"/>
      <c r="D728" s="2297"/>
      <c r="E728" s="2297"/>
      <c r="F728" s="2297"/>
      <c r="G728" s="2297"/>
      <c r="H728" s="2297"/>
      <c r="I728" s="2297"/>
      <c r="J728" s="2297"/>
      <c r="K728" s="2297"/>
      <c r="L728" s="2297"/>
      <c r="M728" s="2297"/>
      <c r="N728" s="2297"/>
      <c r="O728" s="2297"/>
      <c r="P728" s="2297"/>
      <c r="Q728" s="2297"/>
      <c r="R728" s="99"/>
      <c r="S728" s="99"/>
      <c r="T728" s="99"/>
      <c r="U728" s="99"/>
      <c r="V728" s="99"/>
      <c r="AF728" s="2297"/>
      <c r="AG728" s="1208"/>
      <c r="AH728" s="1208"/>
      <c r="AI728" s="1223"/>
      <c r="AJ728" s="1223"/>
      <c r="AK728" s="1223"/>
      <c r="AL728" s="1223"/>
      <c r="AM728" s="1223"/>
      <c r="AN728" s="1223"/>
      <c r="AO728" s="1208"/>
      <c r="AP728" s="1223"/>
      <c r="AQ728" s="1208"/>
      <c r="AR728" s="1208"/>
      <c r="AS728" s="1223"/>
      <c r="AT728" s="1223"/>
      <c r="AU728" s="1208"/>
      <c r="AV728" s="1208"/>
      <c r="AW728" s="2297"/>
      <c r="BE728" s="1224"/>
      <c r="BF728" s="1225"/>
      <c r="BR728" s="1224"/>
      <c r="BS728" s="1224"/>
    </row>
    <row r="729" spans="2:71" s="491" customFormat="1">
      <c r="B729" s="2297"/>
      <c r="C729" s="2297"/>
      <c r="D729" s="2297"/>
      <c r="E729" s="2297"/>
      <c r="F729" s="2297"/>
      <c r="G729" s="2297"/>
      <c r="H729" s="2297"/>
      <c r="I729" s="2297"/>
      <c r="J729" s="2297"/>
      <c r="K729" s="2297"/>
      <c r="L729" s="2297"/>
      <c r="M729" s="2297"/>
      <c r="N729" s="2297"/>
      <c r="O729" s="2297"/>
      <c r="P729" s="2297"/>
      <c r="Q729" s="2297"/>
      <c r="R729" s="99"/>
      <c r="S729" s="99"/>
      <c r="T729" s="99"/>
      <c r="U729" s="99"/>
      <c r="V729" s="99"/>
      <c r="AF729" s="2297"/>
      <c r="AG729" s="1208"/>
      <c r="AH729" s="1208"/>
      <c r="AI729" s="1223"/>
      <c r="AJ729" s="1223"/>
      <c r="AK729" s="1223"/>
      <c r="AL729" s="1223"/>
      <c r="AM729" s="1223"/>
      <c r="AN729" s="1223"/>
      <c r="AO729" s="1208"/>
      <c r="AP729" s="1223"/>
      <c r="AQ729" s="1208"/>
      <c r="AR729" s="1208"/>
      <c r="AS729" s="1223"/>
      <c r="AT729" s="1223"/>
      <c r="AU729" s="1208"/>
      <c r="AV729" s="1208"/>
      <c r="AW729" s="2297"/>
      <c r="BE729" s="1224"/>
      <c r="BF729" s="1225"/>
      <c r="BR729" s="1224"/>
      <c r="BS729" s="1224"/>
    </row>
    <row r="730" spans="2:71" s="491" customFormat="1">
      <c r="B730" s="2297"/>
      <c r="C730" s="2297"/>
      <c r="D730" s="2297"/>
      <c r="E730" s="2297"/>
      <c r="F730" s="2297"/>
      <c r="G730" s="2297"/>
      <c r="H730" s="2297"/>
      <c r="I730" s="2297"/>
      <c r="J730" s="2297"/>
      <c r="K730" s="2297"/>
      <c r="L730" s="2297"/>
      <c r="M730" s="2297"/>
      <c r="N730" s="2297"/>
      <c r="O730" s="2297"/>
      <c r="P730" s="2297"/>
      <c r="Q730" s="2297"/>
      <c r="R730" s="99"/>
      <c r="S730" s="99"/>
      <c r="T730" s="99"/>
      <c r="U730" s="99"/>
      <c r="V730" s="99"/>
      <c r="AF730" s="2297"/>
      <c r="AG730" s="1208"/>
      <c r="AH730" s="1208"/>
      <c r="AI730" s="1223"/>
      <c r="AJ730" s="1223"/>
      <c r="AK730" s="1223"/>
      <c r="AL730" s="1223"/>
      <c r="AM730" s="1223"/>
      <c r="AN730" s="1223"/>
      <c r="AO730" s="1208"/>
      <c r="AP730" s="1223"/>
      <c r="AQ730" s="1208"/>
      <c r="AR730" s="1208"/>
      <c r="AS730" s="1223"/>
      <c r="AT730" s="1223"/>
      <c r="AU730" s="1208"/>
      <c r="AV730" s="1208"/>
      <c r="AW730" s="2297"/>
      <c r="BE730" s="1224"/>
      <c r="BF730" s="1225"/>
      <c r="BR730" s="1224"/>
      <c r="BS730" s="1224"/>
    </row>
    <row r="731" spans="2:71" s="491" customFormat="1">
      <c r="B731" s="2297"/>
      <c r="C731" s="2297"/>
      <c r="D731" s="2297"/>
      <c r="E731" s="2297"/>
      <c r="F731" s="2297"/>
      <c r="G731" s="2297"/>
      <c r="H731" s="2297"/>
      <c r="I731" s="2297"/>
      <c r="J731" s="2297"/>
      <c r="K731" s="2297"/>
      <c r="L731" s="2297"/>
      <c r="M731" s="2297"/>
      <c r="N731" s="2297"/>
      <c r="O731" s="2297"/>
      <c r="P731" s="2297"/>
      <c r="Q731" s="2297"/>
      <c r="R731" s="99"/>
      <c r="S731" s="99"/>
      <c r="T731" s="99"/>
      <c r="U731" s="99"/>
      <c r="V731" s="99"/>
      <c r="AF731" s="2297"/>
      <c r="AG731" s="1208"/>
      <c r="AH731" s="1208"/>
      <c r="AI731" s="1223"/>
      <c r="AJ731" s="1223"/>
      <c r="AK731" s="1223"/>
      <c r="AL731" s="1223"/>
      <c r="AM731" s="1223"/>
      <c r="AN731" s="1223"/>
      <c r="AO731" s="1208"/>
      <c r="AP731" s="1223"/>
      <c r="AQ731" s="1208"/>
      <c r="AR731" s="1208"/>
      <c r="AS731" s="1223"/>
      <c r="AT731" s="1223"/>
      <c r="AU731" s="1208"/>
      <c r="AV731" s="1208"/>
      <c r="AW731" s="2297"/>
      <c r="BE731" s="1224"/>
      <c r="BF731" s="1225"/>
      <c r="BR731" s="1224"/>
      <c r="BS731" s="1224"/>
    </row>
    <row r="732" spans="2:71" s="491" customFormat="1">
      <c r="B732" s="2297"/>
      <c r="C732" s="2297"/>
      <c r="D732" s="2297"/>
      <c r="E732" s="2297"/>
      <c r="F732" s="2297"/>
      <c r="G732" s="2297"/>
      <c r="H732" s="2297"/>
      <c r="I732" s="2297"/>
      <c r="J732" s="2297"/>
      <c r="K732" s="2297"/>
      <c r="L732" s="2297"/>
      <c r="M732" s="2297"/>
      <c r="N732" s="2297"/>
      <c r="O732" s="2297"/>
      <c r="P732" s="2297"/>
      <c r="Q732" s="2297"/>
      <c r="R732" s="99"/>
      <c r="S732" s="99"/>
      <c r="T732" s="99"/>
      <c r="U732" s="99"/>
      <c r="V732" s="99"/>
      <c r="AF732" s="2297"/>
      <c r="AG732" s="1208"/>
      <c r="AH732" s="1208"/>
      <c r="AI732" s="1223"/>
      <c r="AJ732" s="1223"/>
      <c r="AK732" s="1223"/>
      <c r="AL732" s="1223"/>
      <c r="AM732" s="1223"/>
      <c r="AN732" s="1223"/>
      <c r="AO732" s="1208"/>
      <c r="AP732" s="1223"/>
      <c r="AQ732" s="1208"/>
      <c r="AR732" s="1208"/>
      <c r="AS732" s="1223"/>
      <c r="AT732" s="1223"/>
      <c r="AU732" s="1208"/>
      <c r="AV732" s="1208"/>
      <c r="AW732" s="2297"/>
      <c r="BE732" s="1224"/>
      <c r="BF732" s="1225"/>
      <c r="BR732" s="1224"/>
      <c r="BS732" s="1224"/>
    </row>
    <row r="733" spans="2:71" s="491" customFormat="1">
      <c r="B733" s="2297"/>
      <c r="C733" s="2297"/>
      <c r="D733" s="2297"/>
      <c r="E733" s="2297"/>
      <c r="F733" s="2297"/>
      <c r="G733" s="2297"/>
      <c r="H733" s="2297"/>
      <c r="I733" s="2297"/>
      <c r="J733" s="2297"/>
      <c r="K733" s="2297"/>
      <c r="L733" s="2297"/>
      <c r="M733" s="2297"/>
      <c r="N733" s="2297"/>
      <c r="O733" s="2297"/>
      <c r="P733" s="2297"/>
      <c r="Q733" s="2297"/>
      <c r="R733" s="99"/>
      <c r="S733" s="99"/>
      <c r="T733" s="99"/>
      <c r="U733" s="99"/>
      <c r="V733" s="99"/>
      <c r="AF733" s="2297"/>
      <c r="AG733" s="1208"/>
      <c r="AH733" s="1208"/>
      <c r="AI733" s="1223"/>
      <c r="AJ733" s="1223"/>
      <c r="AK733" s="1223"/>
      <c r="AL733" s="1223"/>
      <c r="AM733" s="1223"/>
      <c r="AN733" s="1223"/>
      <c r="AO733" s="1208"/>
      <c r="AP733" s="1223"/>
      <c r="AQ733" s="1208"/>
      <c r="AR733" s="1208"/>
      <c r="AS733" s="1223"/>
      <c r="AT733" s="1223"/>
      <c r="AU733" s="1208"/>
      <c r="AV733" s="1208"/>
      <c r="AW733" s="2297"/>
      <c r="BE733" s="1224"/>
      <c r="BF733" s="1225"/>
      <c r="BR733" s="1224"/>
      <c r="BS733" s="1224"/>
    </row>
    <row r="734" spans="2:71" s="491" customFormat="1">
      <c r="B734" s="2297"/>
      <c r="C734" s="2297"/>
      <c r="D734" s="2297"/>
      <c r="E734" s="2297"/>
      <c r="F734" s="2297"/>
      <c r="G734" s="2297"/>
      <c r="H734" s="2297"/>
      <c r="I734" s="2297"/>
      <c r="J734" s="2297"/>
      <c r="K734" s="2297"/>
      <c r="L734" s="2297"/>
      <c r="M734" s="2297"/>
      <c r="N734" s="2297"/>
      <c r="O734" s="2297"/>
      <c r="P734" s="2297"/>
      <c r="Q734" s="2297"/>
      <c r="R734" s="99"/>
      <c r="S734" s="99"/>
      <c r="T734" s="99"/>
      <c r="U734" s="99"/>
      <c r="V734" s="99"/>
      <c r="AF734" s="2297"/>
      <c r="AG734" s="1208"/>
      <c r="AH734" s="1208"/>
      <c r="AI734" s="1223"/>
      <c r="AJ734" s="1223"/>
      <c r="AK734" s="1223"/>
      <c r="AL734" s="1223"/>
      <c r="AM734" s="1223"/>
      <c r="AN734" s="1223"/>
      <c r="AO734" s="1208"/>
      <c r="AP734" s="1223"/>
      <c r="AQ734" s="1208"/>
      <c r="AR734" s="1208"/>
      <c r="AS734" s="1223"/>
      <c r="AT734" s="1223"/>
      <c r="AU734" s="1208"/>
      <c r="AV734" s="1208"/>
      <c r="AW734" s="2297"/>
      <c r="BE734" s="1224"/>
      <c r="BF734" s="1225"/>
      <c r="BR734" s="1224"/>
      <c r="BS734" s="1224"/>
    </row>
    <row r="735" spans="2:71" s="491" customFormat="1">
      <c r="B735" s="2297"/>
      <c r="C735" s="2297"/>
      <c r="D735" s="2297"/>
      <c r="E735" s="2297"/>
      <c r="F735" s="2297"/>
      <c r="G735" s="2297"/>
      <c r="H735" s="2297"/>
      <c r="I735" s="2297"/>
      <c r="J735" s="2297"/>
      <c r="K735" s="2297"/>
      <c r="L735" s="2297"/>
      <c r="M735" s="2297"/>
      <c r="N735" s="2297"/>
      <c r="O735" s="2297"/>
      <c r="P735" s="2297"/>
      <c r="Q735" s="2297"/>
      <c r="R735" s="99"/>
      <c r="S735" s="99"/>
      <c r="T735" s="99"/>
      <c r="U735" s="99"/>
      <c r="V735" s="99"/>
      <c r="AF735" s="2297"/>
      <c r="AG735" s="1208"/>
      <c r="AH735" s="1208"/>
      <c r="AI735" s="1223"/>
      <c r="AJ735" s="1223"/>
      <c r="AK735" s="1223"/>
      <c r="AL735" s="1223"/>
      <c r="AM735" s="1223"/>
      <c r="AN735" s="1223"/>
      <c r="AO735" s="1208"/>
      <c r="AP735" s="1223"/>
      <c r="AQ735" s="1208"/>
      <c r="AR735" s="1208"/>
      <c r="AS735" s="1223"/>
      <c r="AT735" s="1223"/>
      <c r="AU735" s="1208"/>
      <c r="AV735" s="1208"/>
      <c r="AW735" s="2297"/>
      <c r="BE735" s="1224"/>
      <c r="BF735" s="1225"/>
      <c r="BR735" s="1224"/>
      <c r="BS735" s="1224"/>
    </row>
    <row r="736" spans="2:71" s="491" customFormat="1">
      <c r="B736" s="2297"/>
      <c r="C736" s="2297"/>
      <c r="D736" s="2297"/>
      <c r="E736" s="2297"/>
      <c r="F736" s="2297"/>
      <c r="G736" s="2297"/>
      <c r="H736" s="2297"/>
      <c r="I736" s="2297"/>
      <c r="J736" s="2297"/>
      <c r="K736" s="2297"/>
      <c r="L736" s="2297"/>
      <c r="M736" s="2297"/>
      <c r="N736" s="2297"/>
      <c r="O736" s="2297"/>
      <c r="P736" s="2297"/>
      <c r="Q736" s="2297"/>
      <c r="R736" s="99"/>
      <c r="S736" s="99"/>
      <c r="T736" s="99"/>
      <c r="U736" s="99"/>
      <c r="V736" s="99"/>
      <c r="AF736" s="2297"/>
      <c r="AG736" s="1208"/>
      <c r="AH736" s="1208"/>
      <c r="AI736" s="1223"/>
      <c r="AJ736" s="1223"/>
      <c r="AK736" s="1223"/>
      <c r="AL736" s="1223"/>
      <c r="AM736" s="1223"/>
      <c r="AN736" s="1223"/>
      <c r="AO736" s="1208"/>
      <c r="AP736" s="1223"/>
      <c r="AQ736" s="1208"/>
      <c r="AR736" s="1208"/>
      <c r="AS736" s="1223"/>
      <c r="AT736" s="1223"/>
      <c r="AU736" s="1208"/>
      <c r="AV736" s="1208"/>
      <c r="AW736" s="2297"/>
      <c r="BE736" s="1224"/>
      <c r="BF736" s="1225"/>
      <c r="BR736" s="1224"/>
      <c r="BS736" s="1224"/>
    </row>
    <row r="737" spans="2:71" s="491" customFormat="1">
      <c r="B737" s="2297"/>
      <c r="C737" s="2297"/>
      <c r="D737" s="2297"/>
      <c r="E737" s="2297"/>
      <c r="F737" s="2297"/>
      <c r="G737" s="2297"/>
      <c r="H737" s="2297"/>
      <c r="I737" s="2297"/>
      <c r="J737" s="2297"/>
      <c r="K737" s="2297"/>
      <c r="L737" s="2297"/>
      <c r="M737" s="2297"/>
      <c r="N737" s="2297"/>
      <c r="O737" s="2297"/>
      <c r="P737" s="2297"/>
      <c r="Q737" s="2297"/>
      <c r="R737" s="99"/>
      <c r="S737" s="99"/>
      <c r="T737" s="99"/>
      <c r="U737" s="99"/>
      <c r="V737" s="99"/>
      <c r="AF737" s="2297"/>
      <c r="AG737" s="1208"/>
      <c r="AH737" s="1208"/>
      <c r="AI737" s="1223"/>
      <c r="AJ737" s="1223"/>
      <c r="AK737" s="1223"/>
      <c r="AL737" s="1223"/>
      <c r="AM737" s="1223"/>
      <c r="AN737" s="1223"/>
      <c r="AO737" s="1208"/>
      <c r="AP737" s="1223"/>
      <c r="AQ737" s="1208"/>
      <c r="AR737" s="1208"/>
      <c r="AS737" s="1223"/>
      <c r="AT737" s="1223"/>
      <c r="AU737" s="1208"/>
      <c r="AV737" s="1208"/>
      <c r="AW737" s="2297"/>
      <c r="BE737" s="1224"/>
      <c r="BF737" s="1225"/>
      <c r="BR737" s="1224"/>
      <c r="BS737" s="1224"/>
    </row>
    <row r="738" spans="2:71" s="491" customFormat="1">
      <c r="B738" s="2297"/>
      <c r="C738" s="2297"/>
      <c r="D738" s="2297"/>
      <c r="E738" s="2297"/>
      <c r="F738" s="2297"/>
      <c r="G738" s="2297"/>
      <c r="H738" s="2297"/>
      <c r="I738" s="2297"/>
      <c r="J738" s="2297"/>
      <c r="K738" s="2297"/>
      <c r="L738" s="2297"/>
      <c r="M738" s="2297"/>
      <c r="N738" s="2297"/>
      <c r="O738" s="2297"/>
      <c r="P738" s="2297"/>
      <c r="Q738" s="2297"/>
      <c r="R738" s="99"/>
      <c r="S738" s="99"/>
      <c r="T738" s="99"/>
      <c r="U738" s="99"/>
      <c r="V738" s="99"/>
      <c r="AF738" s="2297"/>
      <c r="AG738" s="1208"/>
      <c r="AH738" s="1208"/>
      <c r="AI738" s="1223"/>
      <c r="AJ738" s="1223"/>
      <c r="AK738" s="1223"/>
      <c r="AL738" s="1223"/>
      <c r="AM738" s="1223"/>
      <c r="AN738" s="1223"/>
      <c r="AO738" s="1208"/>
      <c r="AP738" s="1223"/>
      <c r="AQ738" s="1208"/>
      <c r="AR738" s="1208"/>
      <c r="AS738" s="1223"/>
      <c r="AT738" s="1223"/>
      <c r="AU738" s="1208"/>
      <c r="AV738" s="1208"/>
      <c r="AW738" s="2297"/>
      <c r="BE738" s="1224"/>
      <c r="BF738" s="1225"/>
      <c r="BR738" s="1224"/>
      <c r="BS738" s="1224"/>
    </row>
    <row r="739" spans="2:71" s="491" customFormat="1">
      <c r="B739" s="2297"/>
      <c r="C739" s="2297"/>
      <c r="D739" s="2297"/>
      <c r="E739" s="2297"/>
      <c r="F739" s="2297"/>
      <c r="G739" s="2297"/>
      <c r="H739" s="2297"/>
      <c r="I739" s="2297"/>
      <c r="J739" s="2297"/>
      <c r="K739" s="2297"/>
      <c r="L739" s="2297"/>
      <c r="M739" s="2297"/>
      <c r="N739" s="2297"/>
      <c r="O739" s="2297"/>
      <c r="P739" s="2297"/>
      <c r="Q739" s="2297"/>
      <c r="R739" s="99"/>
      <c r="S739" s="99"/>
      <c r="T739" s="99"/>
      <c r="U739" s="99"/>
      <c r="V739" s="99"/>
      <c r="AF739" s="2297"/>
      <c r="AG739" s="1208"/>
      <c r="AH739" s="1208"/>
      <c r="AI739" s="1223"/>
      <c r="AJ739" s="1223"/>
      <c r="AK739" s="1223"/>
      <c r="AL739" s="1223"/>
      <c r="AM739" s="1223"/>
      <c r="AN739" s="1223"/>
      <c r="AO739" s="1208"/>
      <c r="AP739" s="1223"/>
      <c r="AQ739" s="1208"/>
      <c r="AR739" s="1208"/>
      <c r="AS739" s="1223"/>
      <c r="AT739" s="1223"/>
      <c r="AU739" s="1208"/>
      <c r="AV739" s="1208"/>
      <c r="AW739" s="2297"/>
      <c r="BE739" s="1224"/>
      <c r="BF739" s="1225"/>
      <c r="BR739" s="1224"/>
      <c r="BS739" s="1224"/>
    </row>
    <row r="740" spans="2:71" s="491" customFormat="1">
      <c r="B740" s="2297"/>
      <c r="C740" s="2297"/>
      <c r="D740" s="2297"/>
      <c r="E740" s="2297"/>
      <c r="F740" s="2297"/>
      <c r="G740" s="2297"/>
      <c r="H740" s="2297"/>
      <c r="I740" s="2297"/>
      <c r="J740" s="2297"/>
      <c r="K740" s="2297"/>
      <c r="L740" s="2297"/>
      <c r="M740" s="2297"/>
      <c r="N740" s="2297"/>
      <c r="O740" s="2297"/>
      <c r="P740" s="2297"/>
      <c r="Q740" s="2297"/>
      <c r="R740" s="99"/>
      <c r="S740" s="99"/>
      <c r="T740" s="99"/>
      <c r="U740" s="99"/>
      <c r="V740" s="99"/>
      <c r="AF740" s="2297"/>
      <c r="AG740" s="1208"/>
      <c r="AH740" s="1208"/>
      <c r="AI740" s="1223"/>
      <c r="AJ740" s="1223"/>
      <c r="AK740" s="1223"/>
      <c r="AL740" s="1223"/>
      <c r="AM740" s="1223"/>
      <c r="AN740" s="1223"/>
      <c r="AO740" s="1208"/>
      <c r="AP740" s="1223"/>
      <c r="AQ740" s="1208"/>
      <c r="AR740" s="1208"/>
      <c r="AS740" s="1223"/>
      <c r="AT740" s="1223"/>
      <c r="AU740" s="1208"/>
      <c r="AV740" s="1208"/>
      <c r="AW740" s="2297"/>
      <c r="BE740" s="1224"/>
      <c r="BF740" s="1225"/>
      <c r="BR740" s="1224"/>
      <c r="BS740" s="1224"/>
    </row>
    <row r="741" spans="2:71" s="491" customFormat="1">
      <c r="B741" s="2297"/>
      <c r="C741" s="2297"/>
      <c r="D741" s="2297"/>
      <c r="E741" s="2297"/>
      <c r="F741" s="2297"/>
      <c r="G741" s="2297"/>
      <c r="H741" s="2297"/>
      <c r="I741" s="2297"/>
      <c r="J741" s="2297"/>
      <c r="K741" s="2297"/>
      <c r="L741" s="2297"/>
      <c r="M741" s="2297"/>
      <c r="N741" s="2297"/>
      <c r="O741" s="2297"/>
      <c r="P741" s="2297"/>
      <c r="Q741" s="2297"/>
      <c r="R741" s="99"/>
      <c r="S741" s="99"/>
      <c r="T741" s="99"/>
      <c r="U741" s="99"/>
      <c r="V741" s="99"/>
      <c r="AF741" s="2297"/>
      <c r="AG741" s="1208"/>
      <c r="AH741" s="1208"/>
      <c r="AI741" s="1223"/>
      <c r="AJ741" s="1223"/>
      <c r="AK741" s="1223"/>
      <c r="AL741" s="1223"/>
      <c r="AM741" s="1223"/>
      <c r="AN741" s="1223"/>
      <c r="AO741" s="1208"/>
      <c r="AP741" s="1223"/>
      <c r="AQ741" s="1208"/>
      <c r="AR741" s="1208"/>
      <c r="AS741" s="1223"/>
      <c r="AT741" s="1223"/>
      <c r="AU741" s="1208"/>
      <c r="AV741" s="1208"/>
      <c r="AW741" s="2297"/>
      <c r="BE741" s="1224"/>
      <c r="BF741" s="1225"/>
      <c r="BR741" s="1224"/>
      <c r="BS741" s="1224"/>
    </row>
    <row r="742" spans="2:71" s="491" customFormat="1">
      <c r="B742" s="2297"/>
      <c r="C742" s="2297"/>
      <c r="D742" s="2297"/>
      <c r="E742" s="2297"/>
      <c r="F742" s="2297"/>
      <c r="G742" s="2297"/>
      <c r="H742" s="2297"/>
      <c r="I742" s="2297"/>
      <c r="J742" s="2297"/>
      <c r="K742" s="2297"/>
      <c r="L742" s="2297"/>
      <c r="M742" s="2297"/>
      <c r="N742" s="2297"/>
      <c r="O742" s="2297"/>
      <c r="P742" s="2297"/>
      <c r="Q742" s="2297"/>
      <c r="R742" s="99"/>
      <c r="S742" s="99"/>
      <c r="T742" s="99"/>
      <c r="U742" s="99"/>
      <c r="V742" s="99"/>
      <c r="AF742" s="2297"/>
      <c r="AG742" s="1208"/>
      <c r="AH742" s="1208"/>
      <c r="AI742" s="1223"/>
      <c r="AJ742" s="1223"/>
      <c r="AK742" s="1223"/>
      <c r="AL742" s="1223"/>
      <c r="AM742" s="1223"/>
      <c r="AN742" s="1223"/>
      <c r="AO742" s="1208"/>
      <c r="AP742" s="1223"/>
      <c r="AQ742" s="1208"/>
      <c r="AR742" s="1208"/>
      <c r="AS742" s="1223"/>
      <c r="AT742" s="1223"/>
      <c r="AU742" s="1208"/>
      <c r="AV742" s="1208"/>
      <c r="AW742" s="2297"/>
      <c r="BE742" s="1224"/>
      <c r="BF742" s="1225"/>
      <c r="BR742" s="1224"/>
      <c r="BS742" s="1224"/>
    </row>
    <row r="743" spans="2:71" s="491" customFormat="1">
      <c r="B743" s="2297"/>
      <c r="C743" s="2297"/>
      <c r="D743" s="2297"/>
      <c r="E743" s="2297"/>
      <c r="F743" s="2297"/>
      <c r="G743" s="2297"/>
      <c r="H743" s="2297"/>
      <c r="I743" s="2297"/>
      <c r="J743" s="2297"/>
      <c r="K743" s="2297"/>
      <c r="L743" s="2297"/>
      <c r="M743" s="2297"/>
      <c r="N743" s="2297"/>
      <c r="O743" s="2297"/>
      <c r="P743" s="2297"/>
      <c r="Q743" s="2297"/>
      <c r="R743" s="99"/>
      <c r="S743" s="99"/>
      <c r="T743" s="99"/>
      <c r="U743" s="99"/>
      <c r="V743" s="99"/>
      <c r="AF743" s="2297"/>
      <c r="AG743" s="1208"/>
      <c r="AH743" s="1208"/>
      <c r="AI743" s="1223"/>
      <c r="AJ743" s="1223"/>
      <c r="AK743" s="1223"/>
      <c r="AL743" s="1223"/>
      <c r="AM743" s="1223"/>
      <c r="AN743" s="1223"/>
      <c r="AO743" s="1208"/>
      <c r="AP743" s="1223"/>
      <c r="AQ743" s="1208"/>
      <c r="AR743" s="1208"/>
      <c r="AS743" s="1223"/>
      <c r="AT743" s="1223"/>
      <c r="AU743" s="1208"/>
      <c r="AV743" s="1208"/>
      <c r="AW743" s="2297"/>
      <c r="BE743" s="1224"/>
      <c r="BF743" s="1225"/>
      <c r="BR743" s="1224"/>
      <c r="BS743" s="1224"/>
    </row>
    <row r="744" spans="2:71" s="491" customFormat="1">
      <c r="B744" s="2297"/>
      <c r="C744" s="2297"/>
      <c r="D744" s="2297"/>
      <c r="E744" s="2297"/>
      <c r="F744" s="2297"/>
      <c r="G744" s="2297"/>
      <c r="H744" s="2297"/>
      <c r="I744" s="2297"/>
      <c r="J744" s="2297"/>
      <c r="K744" s="2297"/>
      <c r="L744" s="2297"/>
      <c r="M744" s="2297"/>
      <c r="N744" s="2297"/>
      <c r="O744" s="2297"/>
      <c r="P744" s="2297"/>
      <c r="Q744" s="2297"/>
      <c r="R744" s="99"/>
      <c r="S744" s="99"/>
      <c r="T744" s="99"/>
      <c r="U744" s="99"/>
      <c r="V744" s="99"/>
      <c r="AF744" s="2297"/>
      <c r="AG744" s="1208"/>
      <c r="AH744" s="1208"/>
      <c r="AI744" s="1223"/>
      <c r="AJ744" s="1223"/>
      <c r="AK744" s="1223"/>
      <c r="AL744" s="1223"/>
      <c r="AM744" s="1223"/>
      <c r="AN744" s="1223"/>
      <c r="AO744" s="1208"/>
      <c r="AP744" s="1223"/>
      <c r="AQ744" s="1208"/>
      <c r="AR744" s="1208"/>
      <c r="AS744" s="1223"/>
      <c r="AT744" s="1223"/>
      <c r="AU744" s="1208"/>
      <c r="AV744" s="1208"/>
      <c r="AW744" s="2297"/>
      <c r="BE744" s="1224"/>
      <c r="BF744" s="1225"/>
      <c r="BR744" s="1224"/>
      <c r="BS744" s="1224"/>
    </row>
    <row r="745" spans="2:71" s="491" customFormat="1">
      <c r="B745" s="2297"/>
      <c r="C745" s="2297"/>
      <c r="D745" s="2297"/>
      <c r="E745" s="2297"/>
      <c r="F745" s="2297"/>
      <c r="G745" s="2297"/>
      <c r="H745" s="2297"/>
      <c r="I745" s="2297"/>
      <c r="J745" s="2297"/>
      <c r="K745" s="2297"/>
      <c r="L745" s="2297"/>
      <c r="M745" s="2297"/>
      <c r="N745" s="2297"/>
      <c r="O745" s="2297"/>
      <c r="P745" s="2297"/>
      <c r="Q745" s="2297"/>
      <c r="R745" s="99"/>
      <c r="S745" s="99"/>
      <c r="T745" s="99"/>
      <c r="U745" s="99"/>
      <c r="V745" s="99"/>
      <c r="AF745" s="2297"/>
      <c r="AG745" s="1208"/>
      <c r="AH745" s="1208"/>
      <c r="AI745" s="1223"/>
      <c r="AJ745" s="1223"/>
      <c r="AK745" s="1223"/>
      <c r="AL745" s="1223"/>
      <c r="AM745" s="1223"/>
      <c r="AN745" s="1223"/>
      <c r="AO745" s="1208"/>
      <c r="AP745" s="1223"/>
      <c r="AQ745" s="1208"/>
      <c r="AR745" s="1208"/>
      <c r="AS745" s="1223"/>
      <c r="AT745" s="1223"/>
      <c r="AU745" s="1208"/>
      <c r="AV745" s="1208"/>
      <c r="AW745" s="2297"/>
      <c r="BE745" s="1224"/>
      <c r="BF745" s="1225"/>
      <c r="BR745" s="1224"/>
      <c r="BS745" s="1224"/>
    </row>
    <row r="746" spans="2:71" s="491" customFormat="1">
      <c r="B746" s="2297"/>
      <c r="C746" s="2297"/>
      <c r="D746" s="2297"/>
      <c r="E746" s="2297"/>
      <c r="F746" s="2297"/>
      <c r="G746" s="2297"/>
      <c r="H746" s="2297"/>
      <c r="I746" s="2297"/>
      <c r="J746" s="2297"/>
      <c r="K746" s="2297"/>
      <c r="L746" s="2297"/>
      <c r="M746" s="2297"/>
      <c r="N746" s="2297"/>
      <c r="O746" s="2297"/>
      <c r="P746" s="2297"/>
      <c r="Q746" s="2297"/>
      <c r="R746" s="99"/>
      <c r="S746" s="99"/>
      <c r="T746" s="99"/>
      <c r="U746" s="99"/>
      <c r="V746" s="99"/>
      <c r="AF746" s="2297"/>
      <c r="AG746" s="1208"/>
      <c r="AH746" s="1208"/>
      <c r="AI746" s="1223"/>
      <c r="AJ746" s="1223"/>
      <c r="AK746" s="1223"/>
      <c r="AL746" s="1223"/>
      <c r="AM746" s="1223"/>
      <c r="AN746" s="1223"/>
      <c r="AO746" s="1208"/>
      <c r="AP746" s="1223"/>
      <c r="AQ746" s="1208"/>
      <c r="AR746" s="1208"/>
      <c r="AS746" s="1223"/>
      <c r="AT746" s="1223"/>
      <c r="AU746" s="1208"/>
      <c r="AV746" s="1208"/>
      <c r="AW746" s="2297"/>
      <c r="BE746" s="1224"/>
      <c r="BF746" s="1225"/>
      <c r="BR746" s="1224"/>
      <c r="BS746" s="1224"/>
    </row>
    <row r="747" spans="2:71" s="491" customFormat="1">
      <c r="B747" s="2297"/>
      <c r="C747" s="2297"/>
      <c r="D747" s="2297"/>
      <c r="E747" s="2297"/>
      <c r="F747" s="2297"/>
      <c r="G747" s="2297"/>
      <c r="H747" s="2297"/>
      <c r="I747" s="2297"/>
      <c r="J747" s="2297"/>
      <c r="K747" s="2297"/>
      <c r="L747" s="2297"/>
      <c r="M747" s="2297"/>
      <c r="N747" s="2297"/>
      <c r="O747" s="2297"/>
      <c r="P747" s="2297"/>
      <c r="Q747" s="2297"/>
      <c r="R747" s="99"/>
      <c r="S747" s="99"/>
      <c r="T747" s="99"/>
      <c r="U747" s="99"/>
      <c r="V747" s="99"/>
      <c r="AF747" s="2297"/>
      <c r="AG747" s="1208"/>
      <c r="AH747" s="1208"/>
      <c r="AI747" s="1223"/>
      <c r="AJ747" s="1223"/>
      <c r="AK747" s="1223"/>
      <c r="AL747" s="1223"/>
      <c r="AM747" s="1223"/>
      <c r="AN747" s="1223"/>
      <c r="AO747" s="1208"/>
      <c r="AP747" s="1223"/>
      <c r="AQ747" s="1208"/>
      <c r="AR747" s="1208"/>
      <c r="AS747" s="1223"/>
      <c r="AT747" s="1223"/>
      <c r="AU747" s="1208"/>
      <c r="AV747" s="1208"/>
      <c r="AW747" s="2297"/>
      <c r="BE747" s="1224"/>
      <c r="BF747" s="1225"/>
      <c r="BR747" s="1224"/>
      <c r="BS747" s="1224"/>
    </row>
    <row r="748" spans="2:71" s="491" customFormat="1">
      <c r="B748" s="2297"/>
      <c r="C748" s="2297"/>
      <c r="D748" s="2297"/>
      <c r="E748" s="2297"/>
      <c r="F748" s="2297"/>
      <c r="G748" s="2297"/>
      <c r="H748" s="2297"/>
      <c r="I748" s="2297"/>
      <c r="J748" s="2297"/>
      <c r="K748" s="2297"/>
      <c r="L748" s="2297"/>
      <c r="M748" s="2297"/>
      <c r="N748" s="2297"/>
      <c r="O748" s="2297"/>
      <c r="P748" s="2297"/>
      <c r="Q748" s="2297"/>
      <c r="R748" s="99"/>
      <c r="S748" s="99"/>
      <c r="T748" s="99"/>
      <c r="U748" s="99"/>
      <c r="V748" s="99"/>
      <c r="AF748" s="2297"/>
      <c r="AG748" s="1208"/>
      <c r="AH748" s="1208"/>
      <c r="AI748" s="1223"/>
      <c r="AJ748" s="1223"/>
      <c r="AK748" s="1223"/>
      <c r="AL748" s="1223"/>
      <c r="AM748" s="1223"/>
      <c r="AN748" s="1223"/>
      <c r="AO748" s="1208"/>
      <c r="AP748" s="1223"/>
      <c r="AQ748" s="1208"/>
      <c r="AR748" s="1208"/>
      <c r="AS748" s="1223"/>
      <c r="AT748" s="1223"/>
      <c r="AU748" s="1208"/>
      <c r="AV748" s="1208"/>
      <c r="AW748" s="2297"/>
      <c r="BE748" s="1224"/>
      <c r="BF748" s="1225"/>
      <c r="BR748" s="1224"/>
      <c r="BS748" s="1224"/>
    </row>
    <row r="749" spans="2:71" s="491" customFormat="1">
      <c r="B749" s="2297"/>
      <c r="C749" s="2297"/>
      <c r="D749" s="2297"/>
      <c r="E749" s="2297"/>
      <c r="F749" s="2297"/>
      <c r="G749" s="2297"/>
      <c r="H749" s="2297"/>
      <c r="I749" s="2297"/>
      <c r="J749" s="2297"/>
      <c r="K749" s="2297"/>
      <c r="L749" s="2297"/>
      <c r="M749" s="2297"/>
      <c r="N749" s="2297"/>
      <c r="O749" s="2297"/>
      <c r="P749" s="2297"/>
      <c r="Q749" s="2297"/>
      <c r="R749" s="99"/>
      <c r="S749" s="99"/>
      <c r="T749" s="99"/>
      <c r="U749" s="99"/>
      <c r="V749" s="99"/>
      <c r="AF749" s="2297"/>
      <c r="AG749" s="1208"/>
      <c r="AH749" s="1208"/>
      <c r="AI749" s="1223"/>
      <c r="AJ749" s="1223"/>
      <c r="AK749" s="1223"/>
      <c r="AL749" s="1223"/>
      <c r="AM749" s="1223"/>
      <c r="AN749" s="1223"/>
      <c r="AO749" s="1208"/>
      <c r="AP749" s="1223"/>
      <c r="AQ749" s="1208"/>
      <c r="AR749" s="1208"/>
      <c r="AS749" s="1223"/>
      <c r="AT749" s="1223"/>
      <c r="AU749" s="1208"/>
      <c r="AV749" s="1208"/>
      <c r="AW749" s="2297"/>
      <c r="BE749" s="1224"/>
      <c r="BF749" s="1225"/>
      <c r="BR749" s="1224"/>
      <c r="BS749" s="1224"/>
    </row>
    <row r="750" spans="2:71" s="491" customFormat="1">
      <c r="B750" s="2297"/>
      <c r="C750" s="2297"/>
      <c r="D750" s="2297"/>
      <c r="E750" s="2297"/>
      <c r="F750" s="2297"/>
      <c r="G750" s="2297"/>
      <c r="H750" s="2297"/>
      <c r="I750" s="2297"/>
      <c r="J750" s="2297"/>
      <c r="K750" s="2297"/>
      <c r="L750" s="2297"/>
      <c r="M750" s="2297"/>
      <c r="N750" s="2297"/>
      <c r="O750" s="2297"/>
      <c r="P750" s="2297"/>
      <c r="Q750" s="2297"/>
      <c r="R750" s="99"/>
      <c r="S750" s="99"/>
      <c r="T750" s="99"/>
      <c r="U750" s="99"/>
      <c r="V750" s="99"/>
      <c r="AF750" s="2297"/>
      <c r="AG750" s="1208"/>
      <c r="AH750" s="1208"/>
      <c r="AI750" s="1223"/>
      <c r="AJ750" s="1223"/>
      <c r="AK750" s="1223"/>
      <c r="AL750" s="1223"/>
      <c r="AM750" s="1223"/>
      <c r="AN750" s="1223"/>
      <c r="AO750" s="1208"/>
      <c r="AP750" s="1223"/>
      <c r="AQ750" s="1208"/>
      <c r="AR750" s="1208"/>
      <c r="AS750" s="1223"/>
      <c r="AT750" s="1223"/>
      <c r="AU750" s="1208"/>
      <c r="AV750" s="1208"/>
      <c r="AW750" s="2297"/>
      <c r="BE750" s="1224"/>
      <c r="BF750" s="1225"/>
      <c r="BR750" s="1224"/>
      <c r="BS750" s="1224"/>
    </row>
    <row r="751" spans="2:71" s="491" customFormat="1">
      <c r="B751" s="2297"/>
      <c r="C751" s="2297"/>
      <c r="D751" s="2297"/>
      <c r="E751" s="2297"/>
      <c r="F751" s="2297"/>
      <c r="G751" s="2297"/>
      <c r="H751" s="2297"/>
      <c r="I751" s="2297"/>
      <c r="J751" s="2297"/>
      <c r="K751" s="2297"/>
      <c r="L751" s="2297"/>
      <c r="M751" s="2297"/>
      <c r="N751" s="2297"/>
      <c r="O751" s="2297"/>
      <c r="P751" s="2297"/>
      <c r="Q751" s="2297"/>
      <c r="R751" s="99"/>
      <c r="S751" s="99"/>
      <c r="T751" s="99"/>
      <c r="U751" s="99"/>
      <c r="V751" s="99"/>
      <c r="AF751" s="2297"/>
      <c r="AG751" s="1208"/>
      <c r="AH751" s="1208"/>
      <c r="AI751" s="1223"/>
      <c r="AJ751" s="1223"/>
      <c r="AK751" s="1223"/>
      <c r="AL751" s="1223"/>
      <c r="AM751" s="1223"/>
      <c r="AN751" s="1223"/>
      <c r="AO751" s="1208"/>
      <c r="AP751" s="1223"/>
      <c r="AQ751" s="1208"/>
      <c r="AR751" s="1208"/>
      <c r="AS751" s="1223"/>
      <c r="AT751" s="1223"/>
      <c r="AU751" s="1208"/>
      <c r="AV751" s="1208"/>
      <c r="AW751" s="2297"/>
      <c r="BE751" s="1224"/>
      <c r="BF751" s="1225"/>
      <c r="BR751" s="1224"/>
      <c r="BS751" s="1224"/>
    </row>
    <row r="752" spans="2:71" s="491" customFormat="1">
      <c r="B752" s="2297"/>
      <c r="C752" s="2297"/>
      <c r="D752" s="2297"/>
      <c r="E752" s="2297"/>
      <c r="F752" s="2297"/>
      <c r="G752" s="2297"/>
      <c r="H752" s="2297"/>
      <c r="I752" s="2297"/>
      <c r="J752" s="2297"/>
      <c r="K752" s="2297"/>
      <c r="L752" s="2297"/>
      <c r="M752" s="2297"/>
      <c r="N752" s="2297"/>
      <c r="O752" s="2297"/>
      <c r="P752" s="2297"/>
      <c r="Q752" s="2297"/>
      <c r="R752" s="99"/>
      <c r="S752" s="99"/>
      <c r="T752" s="99"/>
      <c r="U752" s="99"/>
      <c r="V752" s="99"/>
      <c r="AF752" s="2297"/>
      <c r="AG752" s="1208"/>
      <c r="AH752" s="1208"/>
      <c r="AI752" s="1223"/>
      <c r="AJ752" s="1223"/>
      <c r="AK752" s="1223"/>
      <c r="AL752" s="1223"/>
      <c r="AM752" s="1223"/>
      <c r="AN752" s="1223"/>
      <c r="AO752" s="1208"/>
      <c r="AP752" s="1223"/>
      <c r="AQ752" s="1208"/>
      <c r="AR752" s="1208"/>
      <c r="AS752" s="1223"/>
      <c r="AT752" s="1223"/>
      <c r="AU752" s="1208"/>
      <c r="AV752" s="1208"/>
      <c r="AW752" s="2297"/>
      <c r="BE752" s="1224"/>
      <c r="BF752" s="1225"/>
      <c r="BR752" s="1224"/>
      <c r="BS752" s="1224"/>
    </row>
    <row r="753" spans="2:71" s="491" customFormat="1">
      <c r="B753" s="2297"/>
      <c r="C753" s="2297"/>
      <c r="D753" s="2297"/>
      <c r="E753" s="2297"/>
      <c r="F753" s="2297"/>
      <c r="G753" s="2297"/>
      <c r="H753" s="2297"/>
      <c r="I753" s="2297"/>
      <c r="J753" s="2297"/>
      <c r="K753" s="2297"/>
      <c r="L753" s="2297"/>
      <c r="M753" s="2297"/>
      <c r="N753" s="2297"/>
      <c r="O753" s="2297"/>
      <c r="P753" s="2297"/>
      <c r="Q753" s="2297"/>
      <c r="R753" s="99"/>
      <c r="S753" s="99"/>
      <c r="T753" s="99"/>
      <c r="U753" s="99"/>
      <c r="V753" s="99"/>
      <c r="AF753" s="2297"/>
      <c r="AG753" s="1208"/>
      <c r="AH753" s="1208"/>
      <c r="AI753" s="1223"/>
      <c r="AJ753" s="1223"/>
      <c r="AK753" s="1223"/>
      <c r="AL753" s="1223"/>
      <c r="AM753" s="1223"/>
      <c r="AN753" s="1223"/>
      <c r="AO753" s="1208"/>
      <c r="AP753" s="1223"/>
      <c r="AQ753" s="1208"/>
      <c r="AR753" s="1208"/>
      <c r="AS753" s="1223"/>
      <c r="AT753" s="1223"/>
      <c r="AU753" s="1208"/>
      <c r="AV753" s="1208"/>
      <c r="AW753" s="2297"/>
      <c r="BE753" s="1224"/>
      <c r="BF753" s="1225"/>
      <c r="BR753" s="1224"/>
      <c r="BS753" s="1224"/>
    </row>
    <row r="754" spans="2:71" s="491" customFormat="1">
      <c r="B754" s="2297"/>
      <c r="C754" s="2297"/>
      <c r="D754" s="2297"/>
      <c r="E754" s="2297"/>
      <c r="F754" s="2297"/>
      <c r="G754" s="2297"/>
      <c r="H754" s="2297"/>
      <c r="I754" s="2297"/>
      <c r="J754" s="2297"/>
      <c r="K754" s="2297"/>
      <c r="L754" s="2297"/>
      <c r="M754" s="2297"/>
      <c r="N754" s="2297"/>
      <c r="O754" s="2297"/>
      <c r="P754" s="2297"/>
      <c r="Q754" s="2297"/>
      <c r="R754" s="99"/>
      <c r="S754" s="99"/>
      <c r="T754" s="99"/>
      <c r="U754" s="99"/>
      <c r="V754" s="99"/>
      <c r="AF754" s="2297"/>
      <c r="AG754" s="1208"/>
      <c r="AH754" s="1208"/>
      <c r="AI754" s="1223"/>
      <c r="AJ754" s="1223"/>
      <c r="AK754" s="1223"/>
      <c r="AL754" s="1223"/>
      <c r="AM754" s="1223"/>
      <c r="AN754" s="1223"/>
      <c r="AO754" s="1208"/>
      <c r="AP754" s="1223"/>
      <c r="AQ754" s="1208"/>
      <c r="AR754" s="1208"/>
      <c r="AS754" s="1223"/>
      <c r="AT754" s="1223"/>
      <c r="AU754" s="1208"/>
      <c r="AV754" s="1208"/>
      <c r="AW754" s="2297"/>
      <c r="BE754" s="1224"/>
      <c r="BF754" s="1225"/>
      <c r="BR754" s="1224"/>
      <c r="BS754" s="1224"/>
    </row>
    <row r="755" spans="2:71" s="491" customFormat="1">
      <c r="B755" s="2297"/>
      <c r="C755" s="2297"/>
      <c r="D755" s="2297"/>
      <c r="E755" s="2297"/>
      <c r="F755" s="2297"/>
      <c r="G755" s="2297"/>
      <c r="H755" s="2297"/>
      <c r="I755" s="2297"/>
      <c r="J755" s="2297"/>
      <c r="K755" s="2297"/>
      <c r="L755" s="2297"/>
      <c r="M755" s="2297"/>
      <c r="N755" s="2297"/>
      <c r="O755" s="2297"/>
      <c r="P755" s="2297"/>
      <c r="Q755" s="2297"/>
      <c r="R755" s="99"/>
      <c r="S755" s="99"/>
      <c r="T755" s="99"/>
      <c r="U755" s="99"/>
      <c r="V755" s="99"/>
      <c r="AF755" s="2297"/>
      <c r="AG755" s="1208"/>
      <c r="AH755" s="1208"/>
      <c r="AI755" s="1223"/>
      <c r="AJ755" s="1223"/>
      <c r="AK755" s="1223"/>
      <c r="AL755" s="1223"/>
      <c r="AM755" s="1223"/>
      <c r="AN755" s="1223"/>
      <c r="AO755" s="1208"/>
      <c r="AP755" s="1223"/>
      <c r="AQ755" s="1208"/>
      <c r="AR755" s="1208"/>
      <c r="AS755" s="1223"/>
      <c r="AT755" s="1223"/>
      <c r="AU755" s="1208"/>
      <c r="AV755" s="1208"/>
      <c r="AW755" s="2297"/>
      <c r="BE755" s="1224"/>
      <c r="BF755" s="1225"/>
      <c r="BR755" s="1224"/>
      <c r="BS755" s="1224"/>
    </row>
    <row r="756" spans="2:71" s="491" customFormat="1">
      <c r="B756" s="2297"/>
      <c r="C756" s="2297"/>
      <c r="D756" s="2297"/>
      <c r="E756" s="2297"/>
      <c r="F756" s="2297"/>
      <c r="G756" s="2297"/>
      <c r="H756" s="2297"/>
      <c r="I756" s="2297"/>
      <c r="J756" s="2297"/>
      <c r="K756" s="2297"/>
      <c r="L756" s="2297"/>
      <c r="M756" s="2297"/>
      <c r="N756" s="2297"/>
      <c r="O756" s="2297"/>
      <c r="P756" s="2297"/>
      <c r="Q756" s="2297"/>
      <c r="R756" s="99"/>
      <c r="S756" s="99"/>
      <c r="T756" s="99"/>
      <c r="U756" s="99"/>
      <c r="V756" s="99"/>
      <c r="AF756" s="2297"/>
      <c r="AG756" s="1208"/>
      <c r="AH756" s="1208"/>
      <c r="AI756" s="1223"/>
      <c r="AJ756" s="1223"/>
      <c r="AK756" s="1223"/>
      <c r="AL756" s="1223"/>
      <c r="AM756" s="1223"/>
      <c r="AN756" s="1223"/>
      <c r="AO756" s="1208"/>
      <c r="AP756" s="1223"/>
      <c r="AQ756" s="1208"/>
      <c r="AR756" s="1208"/>
      <c r="AS756" s="1223"/>
      <c r="AT756" s="1223"/>
      <c r="AU756" s="1208"/>
      <c r="AV756" s="1208"/>
      <c r="AW756" s="2297"/>
      <c r="BE756" s="1224"/>
      <c r="BF756" s="1225"/>
      <c r="BR756" s="1224"/>
      <c r="BS756" s="1224"/>
    </row>
    <row r="757" spans="2:71" s="491" customFormat="1">
      <c r="B757" s="2297"/>
      <c r="C757" s="2297"/>
      <c r="D757" s="2297"/>
      <c r="E757" s="2297"/>
      <c r="F757" s="2297"/>
      <c r="G757" s="2297"/>
      <c r="H757" s="2297"/>
      <c r="I757" s="2297"/>
      <c r="J757" s="2297"/>
      <c r="K757" s="2297"/>
      <c r="L757" s="2297"/>
      <c r="M757" s="2297"/>
      <c r="N757" s="2297"/>
      <c r="O757" s="2297"/>
      <c r="P757" s="2297"/>
      <c r="Q757" s="2297"/>
      <c r="R757" s="99"/>
      <c r="S757" s="99"/>
      <c r="T757" s="99"/>
      <c r="U757" s="99"/>
      <c r="V757" s="99"/>
      <c r="AF757" s="2297"/>
      <c r="AG757" s="1208"/>
      <c r="AH757" s="1208"/>
      <c r="AI757" s="1223"/>
      <c r="AJ757" s="1223"/>
      <c r="AK757" s="1223"/>
      <c r="AL757" s="1223"/>
      <c r="AM757" s="1223"/>
      <c r="AN757" s="1223"/>
      <c r="AO757" s="1208"/>
      <c r="AP757" s="1223"/>
      <c r="AQ757" s="1208"/>
      <c r="AR757" s="1208"/>
      <c r="AS757" s="1223"/>
      <c r="AT757" s="1223"/>
      <c r="AU757" s="1208"/>
      <c r="AV757" s="1208"/>
      <c r="AW757" s="2297"/>
      <c r="BE757" s="1224"/>
      <c r="BF757" s="1225"/>
      <c r="BR757" s="1224"/>
      <c r="BS757" s="1224"/>
    </row>
    <row r="758" spans="2:71" s="491" customFormat="1">
      <c r="B758" s="2297"/>
      <c r="C758" s="2297"/>
      <c r="D758" s="2297"/>
      <c r="E758" s="2297"/>
      <c r="F758" s="2297"/>
      <c r="G758" s="2297"/>
      <c r="H758" s="2297"/>
      <c r="I758" s="2297"/>
      <c r="J758" s="2297"/>
      <c r="K758" s="2297"/>
      <c r="L758" s="2297"/>
      <c r="M758" s="2297"/>
      <c r="N758" s="2297"/>
      <c r="O758" s="2297"/>
      <c r="P758" s="2297"/>
      <c r="Q758" s="2297"/>
      <c r="R758" s="99"/>
      <c r="S758" s="99"/>
      <c r="T758" s="99"/>
      <c r="U758" s="99"/>
      <c r="V758" s="99"/>
      <c r="AF758" s="2297"/>
      <c r="AG758" s="1208"/>
      <c r="AH758" s="1208"/>
      <c r="AI758" s="1223"/>
      <c r="AJ758" s="1223"/>
      <c r="AK758" s="1223"/>
      <c r="AL758" s="1223"/>
      <c r="AM758" s="1223"/>
      <c r="AN758" s="1223"/>
      <c r="AO758" s="1208"/>
      <c r="AP758" s="1223"/>
      <c r="AQ758" s="1208"/>
      <c r="AR758" s="1208"/>
      <c r="AS758" s="1223"/>
      <c r="AT758" s="1223"/>
      <c r="AU758" s="1208"/>
      <c r="AV758" s="1208"/>
      <c r="AW758" s="2297"/>
      <c r="BE758" s="1224"/>
      <c r="BF758" s="1225"/>
      <c r="BR758" s="1224"/>
      <c r="BS758" s="1224"/>
    </row>
    <row r="759" spans="2:71" s="491" customFormat="1">
      <c r="B759" s="2297"/>
      <c r="C759" s="2297"/>
      <c r="D759" s="2297"/>
      <c r="E759" s="2297"/>
      <c r="F759" s="2297"/>
      <c r="G759" s="2297"/>
      <c r="H759" s="2297"/>
      <c r="I759" s="2297"/>
      <c r="J759" s="2297"/>
      <c r="K759" s="2297"/>
      <c r="L759" s="2297"/>
      <c r="M759" s="2297"/>
      <c r="N759" s="2297"/>
      <c r="O759" s="2297"/>
      <c r="P759" s="2297"/>
      <c r="Q759" s="2297"/>
      <c r="R759" s="99"/>
      <c r="S759" s="99"/>
      <c r="T759" s="99"/>
      <c r="U759" s="99"/>
      <c r="V759" s="99"/>
      <c r="AF759" s="2297"/>
      <c r="AG759" s="1208"/>
      <c r="AH759" s="1208"/>
      <c r="AI759" s="1223"/>
      <c r="AJ759" s="1223"/>
      <c r="AK759" s="1223"/>
      <c r="AL759" s="1223"/>
      <c r="AM759" s="1223"/>
      <c r="AN759" s="1223"/>
      <c r="AO759" s="1208"/>
      <c r="AP759" s="1223"/>
      <c r="AQ759" s="1208"/>
      <c r="AR759" s="1208"/>
      <c r="AS759" s="1223"/>
      <c r="AT759" s="1223"/>
      <c r="AU759" s="1208"/>
      <c r="AV759" s="1208"/>
      <c r="AW759" s="2297"/>
      <c r="BE759" s="1224"/>
      <c r="BF759" s="1225"/>
      <c r="BR759" s="1224"/>
      <c r="BS759" s="1224"/>
    </row>
    <row r="760" spans="2:71" s="491" customFormat="1">
      <c r="B760" s="2297"/>
      <c r="C760" s="2297"/>
      <c r="D760" s="2297"/>
      <c r="E760" s="2297"/>
      <c r="F760" s="2297"/>
      <c r="G760" s="2297"/>
      <c r="H760" s="2297"/>
      <c r="I760" s="2297"/>
      <c r="J760" s="2297"/>
      <c r="K760" s="2297"/>
      <c r="L760" s="2297"/>
      <c r="M760" s="2297"/>
      <c r="N760" s="2297"/>
      <c r="O760" s="2297"/>
      <c r="P760" s="2297"/>
      <c r="Q760" s="2297"/>
      <c r="R760" s="99"/>
      <c r="S760" s="99"/>
      <c r="T760" s="99"/>
      <c r="U760" s="99"/>
      <c r="V760" s="99"/>
      <c r="AF760" s="2297"/>
      <c r="AG760" s="1208"/>
      <c r="AH760" s="1208"/>
      <c r="AI760" s="1223"/>
      <c r="AJ760" s="1223"/>
      <c r="AK760" s="1223"/>
      <c r="AL760" s="1223"/>
      <c r="AM760" s="1223"/>
      <c r="AN760" s="1223"/>
      <c r="AO760" s="1208"/>
      <c r="AP760" s="1223"/>
      <c r="AQ760" s="1208"/>
      <c r="AR760" s="1208"/>
      <c r="AS760" s="1223"/>
      <c r="AT760" s="1223"/>
      <c r="AU760" s="1208"/>
      <c r="AV760" s="1208"/>
      <c r="AW760" s="2297"/>
      <c r="BE760" s="1224"/>
      <c r="BF760" s="1225"/>
      <c r="BR760" s="1224"/>
      <c r="BS760" s="1224"/>
    </row>
    <row r="761" spans="2:71" s="491" customFormat="1">
      <c r="B761" s="2297"/>
      <c r="C761" s="2297"/>
      <c r="D761" s="2297"/>
      <c r="E761" s="2297"/>
      <c r="F761" s="2297"/>
      <c r="G761" s="2297"/>
      <c r="H761" s="2297"/>
      <c r="I761" s="2297"/>
      <c r="J761" s="2297"/>
      <c r="K761" s="2297"/>
      <c r="L761" s="2297"/>
      <c r="M761" s="2297"/>
      <c r="N761" s="2297"/>
      <c r="O761" s="2297"/>
      <c r="P761" s="2297"/>
      <c r="Q761" s="2297"/>
      <c r="R761" s="99"/>
      <c r="S761" s="99"/>
      <c r="T761" s="99"/>
      <c r="U761" s="99"/>
      <c r="V761" s="99"/>
      <c r="AF761" s="2297"/>
      <c r="AG761" s="1208"/>
      <c r="AH761" s="1208"/>
      <c r="AI761" s="1223"/>
      <c r="AJ761" s="1223"/>
      <c r="AK761" s="1223"/>
      <c r="AL761" s="1223"/>
      <c r="AM761" s="1223"/>
      <c r="AN761" s="1223"/>
      <c r="AO761" s="1208"/>
      <c r="AP761" s="1223"/>
      <c r="AQ761" s="1208"/>
      <c r="AR761" s="1208"/>
      <c r="AS761" s="1223"/>
      <c r="AT761" s="1223"/>
      <c r="AU761" s="1208"/>
      <c r="AV761" s="1208"/>
      <c r="AW761" s="2297"/>
      <c r="BE761" s="1224"/>
      <c r="BF761" s="1225"/>
      <c r="BR761" s="1224"/>
      <c r="BS761" s="1224"/>
    </row>
    <row r="762" spans="2:71" s="491" customFormat="1">
      <c r="B762" s="2297"/>
      <c r="C762" s="2297"/>
      <c r="D762" s="2297"/>
      <c r="E762" s="2297"/>
      <c r="F762" s="2297"/>
      <c r="G762" s="2297"/>
      <c r="H762" s="2297"/>
      <c r="I762" s="2297"/>
      <c r="J762" s="2297"/>
      <c r="K762" s="2297"/>
      <c r="L762" s="2297"/>
      <c r="M762" s="2297"/>
      <c r="N762" s="2297"/>
      <c r="O762" s="2297"/>
      <c r="P762" s="2297"/>
      <c r="Q762" s="2297"/>
      <c r="R762" s="99"/>
      <c r="S762" s="99"/>
      <c r="T762" s="99"/>
      <c r="U762" s="99"/>
      <c r="V762" s="99"/>
      <c r="AF762" s="2297"/>
      <c r="AG762" s="1208"/>
      <c r="AH762" s="1208"/>
      <c r="AI762" s="1223"/>
      <c r="AJ762" s="1223"/>
      <c r="AK762" s="1223"/>
      <c r="AL762" s="1223"/>
      <c r="AM762" s="1223"/>
      <c r="AN762" s="1223"/>
      <c r="AO762" s="1208"/>
      <c r="AP762" s="1223"/>
      <c r="AQ762" s="1208"/>
      <c r="AR762" s="1208"/>
      <c r="AS762" s="1223"/>
      <c r="AT762" s="1223"/>
      <c r="AU762" s="1208"/>
      <c r="AV762" s="1208"/>
      <c r="AW762" s="2297"/>
      <c r="BE762" s="1224"/>
      <c r="BF762" s="1225"/>
      <c r="BR762" s="1224"/>
      <c r="BS762" s="1224"/>
    </row>
    <row r="763" spans="2:71" s="491" customFormat="1">
      <c r="B763" s="2297"/>
      <c r="C763" s="2297"/>
      <c r="D763" s="2297"/>
      <c r="E763" s="2297"/>
      <c r="F763" s="2297"/>
      <c r="G763" s="2297"/>
      <c r="H763" s="2297"/>
      <c r="I763" s="2297"/>
      <c r="J763" s="2297"/>
      <c r="K763" s="2297"/>
      <c r="L763" s="2297"/>
      <c r="M763" s="2297"/>
      <c r="N763" s="2297"/>
      <c r="O763" s="2297"/>
      <c r="P763" s="2297"/>
      <c r="Q763" s="2297"/>
      <c r="R763" s="99"/>
      <c r="S763" s="99"/>
      <c r="T763" s="99"/>
      <c r="U763" s="99"/>
      <c r="V763" s="99"/>
      <c r="AF763" s="2297"/>
      <c r="AG763" s="1208"/>
      <c r="AH763" s="1208"/>
      <c r="AI763" s="1223"/>
      <c r="AJ763" s="1223"/>
      <c r="AK763" s="1223"/>
      <c r="AL763" s="1223"/>
      <c r="AM763" s="1223"/>
      <c r="AN763" s="1223"/>
      <c r="AO763" s="1208"/>
      <c r="AP763" s="1223"/>
      <c r="AQ763" s="1208"/>
      <c r="AR763" s="1208"/>
      <c r="AS763" s="1223"/>
      <c r="AT763" s="1223"/>
      <c r="AU763" s="1208"/>
      <c r="AV763" s="1208"/>
      <c r="AW763" s="2297"/>
      <c r="BE763" s="1224"/>
      <c r="BF763" s="1225"/>
      <c r="BR763" s="1224"/>
      <c r="BS763" s="1224"/>
    </row>
    <row r="764" spans="2:71" s="491" customFormat="1">
      <c r="B764" s="2297"/>
      <c r="C764" s="2297"/>
      <c r="D764" s="2297"/>
      <c r="E764" s="2297"/>
      <c r="F764" s="2297"/>
      <c r="G764" s="2297"/>
      <c r="H764" s="2297"/>
      <c r="I764" s="2297"/>
      <c r="J764" s="2297"/>
      <c r="K764" s="2297"/>
      <c r="L764" s="2297"/>
      <c r="M764" s="2297"/>
      <c r="N764" s="2297"/>
      <c r="O764" s="2297"/>
      <c r="P764" s="2297"/>
      <c r="Q764" s="2297"/>
      <c r="R764" s="99"/>
      <c r="S764" s="99"/>
      <c r="T764" s="99"/>
      <c r="U764" s="99"/>
      <c r="V764" s="99"/>
      <c r="AF764" s="2297"/>
      <c r="AG764" s="1208"/>
      <c r="AH764" s="1208"/>
      <c r="AI764" s="1223"/>
      <c r="AJ764" s="1223"/>
      <c r="AK764" s="1223"/>
      <c r="AL764" s="1223"/>
      <c r="AM764" s="1223"/>
      <c r="AN764" s="1223"/>
      <c r="AO764" s="1208"/>
      <c r="AP764" s="1223"/>
      <c r="AQ764" s="1208"/>
      <c r="AR764" s="1208"/>
      <c r="AS764" s="1223"/>
      <c r="AT764" s="1223"/>
      <c r="AU764" s="1208"/>
      <c r="AV764" s="1208"/>
      <c r="AW764" s="2297"/>
      <c r="BE764" s="1224"/>
      <c r="BF764" s="1225"/>
      <c r="BR764" s="1224"/>
      <c r="BS764" s="1224"/>
    </row>
    <row r="765" spans="2:71" s="491" customFormat="1">
      <c r="B765" s="2297"/>
      <c r="C765" s="2297"/>
      <c r="D765" s="2297"/>
      <c r="E765" s="2297"/>
      <c r="F765" s="2297"/>
      <c r="G765" s="2297"/>
      <c r="H765" s="2297"/>
      <c r="I765" s="2297"/>
      <c r="J765" s="2297"/>
      <c r="K765" s="2297"/>
      <c r="L765" s="2297"/>
      <c r="M765" s="2297"/>
      <c r="N765" s="2297"/>
      <c r="O765" s="2297"/>
      <c r="P765" s="2297"/>
      <c r="Q765" s="2297"/>
      <c r="R765" s="99"/>
      <c r="S765" s="99"/>
      <c r="T765" s="99"/>
      <c r="U765" s="99"/>
      <c r="V765" s="99"/>
      <c r="AF765" s="2297"/>
      <c r="AG765" s="1208"/>
      <c r="AH765" s="1208"/>
      <c r="AI765" s="1223"/>
      <c r="AJ765" s="1223"/>
      <c r="AK765" s="1223"/>
      <c r="AL765" s="1223"/>
      <c r="AM765" s="1223"/>
      <c r="AN765" s="1223"/>
      <c r="AO765" s="1208"/>
      <c r="AP765" s="1223"/>
      <c r="AQ765" s="1208"/>
      <c r="AR765" s="1208"/>
      <c r="AS765" s="1223"/>
      <c r="AT765" s="1223"/>
      <c r="AU765" s="1208"/>
      <c r="AV765" s="1208"/>
      <c r="AW765" s="2297"/>
      <c r="BE765" s="1224"/>
      <c r="BF765" s="1225"/>
      <c r="BR765" s="1224"/>
      <c r="BS765" s="1224"/>
    </row>
    <row r="766" spans="2:71" s="491" customFormat="1">
      <c r="B766" s="2297"/>
      <c r="C766" s="2297"/>
      <c r="D766" s="2297"/>
      <c r="E766" s="2297"/>
      <c r="F766" s="2297"/>
      <c r="G766" s="2297"/>
      <c r="H766" s="2297"/>
      <c r="I766" s="2297"/>
      <c r="J766" s="2297"/>
      <c r="K766" s="2297"/>
      <c r="L766" s="2297"/>
      <c r="M766" s="2297"/>
      <c r="N766" s="2297"/>
      <c r="O766" s="2297"/>
      <c r="P766" s="2297"/>
      <c r="Q766" s="2297"/>
      <c r="R766" s="99"/>
      <c r="S766" s="99"/>
      <c r="T766" s="99"/>
      <c r="U766" s="99"/>
      <c r="V766" s="99"/>
      <c r="AF766" s="2297"/>
      <c r="AG766" s="1208"/>
      <c r="AH766" s="1208"/>
      <c r="AI766" s="1223"/>
      <c r="AJ766" s="1223"/>
      <c r="AK766" s="1223"/>
      <c r="AL766" s="1223"/>
      <c r="AM766" s="1223"/>
      <c r="AN766" s="1223"/>
      <c r="AO766" s="1208"/>
      <c r="AP766" s="1223"/>
      <c r="AQ766" s="1208"/>
      <c r="AR766" s="1208"/>
      <c r="AS766" s="1223"/>
      <c r="AT766" s="1223"/>
      <c r="AU766" s="1208"/>
      <c r="AV766" s="1208"/>
      <c r="AW766" s="2297"/>
      <c r="BE766" s="1224"/>
      <c r="BF766" s="1225"/>
      <c r="BR766" s="1224"/>
      <c r="BS766" s="1224"/>
    </row>
    <row r="767" spans="2:71" s="491" customFormat="1">
      <c r="B767" s="2297"/>
      <c r="C767" s="2297"/>
      <c r="D767" s="2297"/>
      <c r="E767" s="2297"/>
      <c r="F767" s="2297"/>
      <c r="G767" s="2297"/>
      <c r="H767" s="2297"/>
      <c r="I767" s="2297"/>
      <c r="J767" s="2297"/>
      <c r="K767" s="2297"/>
      <c r="L767" s="2297"/>
      <c r="M767" s="2297"/>
      <c r="N767" s="2297"/>
      <c r="O767" s="2297"/>
      <c r="P767" s="2297"/>
      <c r="Q767" s="2297"/>
      <c r="R767" s="99"/>
      <c r="S767" s="99"/>
      <c r="T767" s="99"/>
      <c r="U767" s="99"/>
      <c r="V767" s="99"/>
      <c r="AF767" s="2297"/>
      <c r="AG767" s="1208"/>
      <c r="AH767" s="1208"/>
      <c r="AI767" s="1223"/>
      <c r="AJ767" s="1223"/>
      <c r="AK767" s="1223"/>
      <c r="AL767" s="1223"/>
      <c r="AM767" s="1223"/>
      <c r="AN767" s="1223"/>
      <c r="AO767" s="1208"/>
      <c r="AP767" s="1223"/>
      <c r="AQ767" s="1208"/>
      <c r="AR767" s="1208"/>
      <c r="AS767" s="1223"/>
      <c r="AT767" s="1223"/>
      <c r="AU767" s="1208"/>
      <c r="AV767" s="1208"/>
      <c r="AW767" s="2297"/>
      <c r="BE767" s="1224"/>
      <c r="BF767" s="1225"/>
      <c r="BR767" s="1224"/>
      <c r="BS767" s="1224"/>
    </row>
    <row r="768" spans="2:71" s="491" customFormat="1">
      <c r="B768" s="2297"/>
      <c r="C768" s="2297"/>
      <c r="D768" s="2297"/>
      <c r="E768" s="2297"/>
      <c r="F768" s="2297"/>
      <c r="G768" s="2297"/>
      <c r="H768" s="2297"/>
      <c r="I768" s="2297"/>
      <c r="J768" s="2297"/>
      <c r="K768" s="2297"/>
      <c r="L768" s="2297"/>
      <c r="M768" s="2297"/>
      <c r="N768" s="2297"/>
      <c r="O768" s="2297"/>
      <c r="P768" s="2297"/>
      <c r="Q768" s="2297"/>
      <c r="R768" s="99"/>
      <c r="S768" s="99"/>
      <c r="T768" s="99"/>
      <c r="U768" s="99"/>
      <c r="V768" s="99"/>
      <c r="AF768" s="2297"/>
      <c r="AG768" s="1208"/>
      <c r="AH768" s="1208"/>
      <c r="AI768" s="1223"/>
      <c r="AJ768" s="1223"/>
      <c r="AK768" s="1223"/>
      <c r="AL768" s="1223"/>
      <c r="AM768" s="1223"/>
      <c r="AN768" s="1223"/>
      <c r="AO768" s="1208"/>
      <c r="AP768" s="1223"/>
      <c r="AQ768" s="1208"/>
      <c r="AR768" s="1208"/>
      <c r="AS768" s="1223"/>
      <c r="AT768" s="1223"/>
      <c r="AU768" s="1208"/>
      <c r="AV768" s="1208"/>
      <c r="AW768" s="2297"/>
      <c r="BE768" s="1224"/>
      <c r="BF768" s="1225"/>
      <c r="BR768" s="1224"/>
      <c r="BS768" s="1224"/>
    </row>
    <row r="769" spans="2:71" s="491" customFormat="1">
      <c r="B769" s="2297"/>
      <c r="C769" s="2297"/>
      <c r="D769" s="2297"/>
      <c r="E769" s="2297"/>
      <c r="F769" s="2297"/>
      <c r="G769" s="2297"/>
      <c r="H769" s="2297"/>
      <c r="I769" s="2297"/>
      <c r="J769" s="2297"/>
      <c r="K769" s="2297"/>
      <c r="L769" s="2297"/>
      <c r="M769" s="2297"/>
      <c r="N769" s="2297"/>
      <c r="O769" s="2297"/>
      <c r="P769" s="2297"/>
      <c r="Q769" s="2297"/>
      <c r="R769" s="99"/>
      <c r="S769" s="99"/>
      <c r="T769" s="99"/>
      <c r="U769" s="99"/>
      <c r="V769" s="99"/>
      <c r="AF769" s="2297"/>
      <c r="AG769" s="1208"/>
      <c r="AH769" s="1208"/>
      <c r="AI769" s="1223"/>
      <c r="AJ769" s="1223"/>
      <c r="AK769" s="1223"/>
      <c r="AL769" s="1223"/>
      <c r="AM769" s="1223"/>
      <c r="AN769" s="1223"/>
      <c r="AO769" s="1208"/>
      <c r="AP769" s="1223"/>
      <c r="AQ769" s="1208"/>
      <c r="AR769" s="1208"/>
      <c r="AS769" s="1223"/>
      <c r="AT769" s="1223"/>
      <c r="AU769" s="1208"/>
      <c r="AV769" s="1208"/>
      <c r="AW769" s="2297"/>
      <c r="BE769" s="1224"/>
      <c r="BF769" s="1225"/>
      <c r="BR769" s="1224"/>
      <c r="BS769" s="1224"/>
    </row>
    <row r="770" spans="2:71" s="491" customFormat="1">
      <c r="B770" s="2297"/>
      <c r="C770" s="2297"/>
      <c r="D770" s="2297"/>
      <c r="E770" s="2297"/>
      <c r="F770" s="2297"/>
      <c r="G770" s="2297"/>
      <c r="H770" s="2297"/>
      <c r="I770" s="2297"/>
      <c r="J770" s="2297"/>
      <c r="K770" s="2297"/>
      <c r="L770" s="2297"/>
      <c r="M770" s="2297"/>
      <c r="N770" s="2297"/>
      <c r="O770" s="2297"/>
      <c r="P770" s="2297"/>
      <c r="Q770" s="2297"/>
      <c r="R770" s="99"/>
      <c r="S770" s="99"/>
      <c r="T770" s="99"/>
      <c r="U770" s="99"/>
      <c r="V770" s="99"/>
      <c r="AF770" s="2297"/>
      <c r="AG770" s="1208"/>
      <c r="AH770" s="1208"/>
      <c r="AI770" s="1223"/>
      <c r="AJ770" s="1223"/>
      <c r="AK770" s="1223"/>
      <c r="AL770" s="1223"/>
      <c r="AM770" s="1223"/>
      <c r="AN770" s="1223"/>
      <c r="AO770" s="1208"/>
      <c r="AP770" s="1223"/>
      <c r="AQ770" s="1208"/>
      <c r="AR770" s="1208"/>
      <c r="AS770" s="1223"/>
      <c r="AT770" s="1223"/>
      <c r="AU770" s="1208"/>
      <c r="AV770" s="1208"/>
      <c r="AW770" s="2297"/>
      <c r="BE770" s="1224"/>
      <c r="BF770" s="1225"/>
      <c r="BR770" s="1224"/>
      <c r="BS770" s="1224"/>
    </row>
    <row r="771" spans="2:71" s="491" customFormat="1">
      <c r="B771" s="2297"/>
      <c r="C771" s="2297"/>
      <c r="D771" s="2297"/>
      <c r="E771" s="2297"/>
      <c r="F771" s="2297"/>
      <c r="G771" s="2297"/>
      <c r="H771" s="2297"/>
      <c r="I771" s="2297"/>
      <c r="J771" s="2297"/>
      <c r="K771" s="2297"/>
      <c r="L771" s="2297"/>
      <c r="M771" s="2297"/>
      <c r="N771" s="2297"/>
      <c r="O771" s="2297"/>
      <c r="P771" s="2297"/>
      <c r="Q771" s="2297"/>
      <c r="R771" s="99"/>
      <c r="S771" s="99"/>
      <c r="T771" s="99"/>
      <c r="U771" s="99"/>
      <c r="V771" s="99"/>
      <c r="AF771" s="2297"/>
      <c r="AG771" s="1208"/>
      <c r="AH771" s="1208"/>
      <c r="AI771" s="1223"/>
      <c r="AJ771" s="1223"/>
      <c r="AK771" s="1223"/>
      <c r="AL771" s="1223"/>
      <c r="AM771" s="1223"/>
      <c r="AN771" s="1223"/>
      <c r="AO771" s="1208"/>
      <c r="AP771" s="1223"/>
      <c r="AQ771" s="1208"/>
      <c r="AR771" s="1208"/>
      <c r="AS771" s="1223"/>
      <c r="AT771" s="1223"/>
      <c r="AU771" s="1208"/>
      <c r="AV771" s="1208"/>
      <c r="AW771" s="2297"/>
      <c r="BE771" s="1224"/>
      <c r="BF771" s="1225"/>
      <c r="BR771" s="1224"/>
      <c r="BS771" s="1224"/>
    </row>
    <row r="772" spans="2:71" s="491" customFormat="1">
      <c r="B772" s="2297"/>
      <c r="C772" s="2297"/>
      <c r="D772" s="2297"/>
      <c r="E772" s="2297"/>
      <c r="F772" s="2297"/>
      <c r="G772" s="2297"/>
      <c r="H772" s="2297"/>
      <c r="I772" s="2297"/>
      <c r="J772" s="2297"/>
      <c r="K772" s="2297"/>
      <c r="L772" s="2297"/>
      <c r="M772" s="2297"/>
      <c r="N772" s="2297"/>
      <c r="O772" s="2297"/>
      <c r="P772" s="2297"/>
      <c r="Q772" s="2297"/>
      <c r="R772" s="99"/>
      <c r="S772" s="99"/>
      <c r="T772" s="99"/>
      <c r="U772" s="99"/>
      <c r="V772" s="99"/>
      <c r="AF772" s="2297"/>
      <c r="AG772" s="1208"/>
      <c r="AH772" s="1208"/>
      <c r="AI772" s="1223"/>
      <c r="AJ772" s="1223"/>
      <c r="AK772" s="1223"/>
      <c r="AL772" s="1223"/>
      <c r="AM772" s="1223"/>
      <c r="AN772" s="1223"/>
      <c r="AO772" s="1208"/>
      <c r="AP772" s="1223"/>
      <c r="AQ772" s="1208"/>
      <c r="AR772" s="1208"/>
      <c r="AS772" s="1223"/>
      <c r="AT772" s="1223"/>
      <c r="AU772" s="1208"/>
      <c r="AV772" s="1208"/>
      <c r="AW772" s="2297"/>
      <c r="BE772" s="1224"/>
      <c r="BF772" s="1225"/>
      <c r="BR772" s="1224"/>
      <c r="BS772" s="1224"/>
    </row>
    <row r="773" spans="2:71" s="491" customFormat="1">
      <c r="B773" s="2297"/>
      <c r="C773" s="2297"/>
      <c r="D773" s="2297"/>
      <c r="E773" s="2297"/>
      <c r="F773" s="2297"/>
      <c r="G773" s="2297"/>
      <c r="H773" s="2297"/>
      <c r="I773" s="2297"/>
      <c r="J773" s="2297"/>
      <c r="K773" s="2297"/>
      <c r="L773" s="2297"/>
      <c r="M773" s="2297"/>
      <c r="N773" s="2297"/>
      <c r="O773" s="2297"/>
      <c r="P773" s="2297"/>
      <c r="Q773" s="2297"/>
      <c r="R773" s="99"/>
      <c r="S773" s="99"/>
      <c r="T773" s="99"/>
      <c r="U773" s="99"/>
      <c r="V773" s="99"/>
      <c r="AF773" s="2297"/>
      <c r="AG773" s="1208"/>
      <c r="AH773" s="1208"/>
      <c r="AI773" s="1223"/>
      <c r="AJ773" s="1223"/>
      <c r="AK773" s="1223"/>
      <c r="AL773" s="1223"/>
      <c r="AM773" s="1223"/>
      <c r="AN773" s="1223"/>
      <c r="AO773" s="1208"/>
      <c r="AP773" s="1223"/>
      <c r="AQ773" s="1208"/>
      <c r="AR773" s="1208"/>
      <c r="AS773" s="1223"/>
      <c r="AT773" s="1223"/>
      <c r="AU773" s="1208"/>
      <c r="AV773" s="1208"/>
      <c r="AW773" s="2297"/>
      <c r="BE773" s="1224"/>
      <c r="BF773" s="1225"/>
      <c r="BR773" s="1224"/>
      <c r="BS773" s="1224"/>
    </row>
    <row r="774" spans="2:71" s="491" customFormat="1">
      <c r="B774" s="2297"/>
      <c r="C774" s="2297"/>
      <c r="D774" s="2297"/>
      <c r="E774" s="2297"/>
      <c r="F774" s="2297"/>
      <c r="G774" s="2297"/>
      <c r="H774" s="2297"/>
      <c r="I774" s="2297"/>
      <c r="J774" s="2297"/>
      <c r="K774" s="2297"/>
      <c r="L774" s="2297"/>
      <c r="M774" s="2297"/>
      <c r="N774" s="2297"/>
      <c r="O774" s="2297"/>
      <c r="P774" s="2297"/>
      <c r="Q774" s="2297"/>
      <c r="R774" s="99"/>
      <c r="S774" s="99"/>
      <c r="T774" s="99"/>
      <c r="U774" s="99"/>
      <c r="V774" s="99"/>
      <c r="AF774" s="2297"/>
      <c r="AG774" s="1208"/>
      <c r="AH774" s="1208"/>
      <c r="AI774" s="1223"/>
      <c r="AJ774" s="1223"/>
      <c r="AK774" s="1223"/>
      <c r="AL774" s="1223"/>
      <c r="AM774" s="1223"/>
      <c r="AN774" s="1223"/>
      <c r="AO774" s="1208"/>
      <c r="AP774" s="1223"/>
      <c r="AQ774" s="1208"/>
      <c r="AR774" s="1208"/>
      <c r="AS774" s="1223"/>
      <c r="AT774" s="1223"/>
      <c r="AU774" s="1208"/>
      <c r="AV774" s="1208"/>
      <c r="AW774" s="2297"/>
      <c r="BE774" s="1224"/>
      <c r="BF774" s="1225"/>
      <c r="BR774" s="1224"/>
      <c r="BS774" s="1224"/>
    </row>
    <row r="775" spans="2:71" s="491" customFormat="1">
      <c r="B775" s="2297"/>
      <c r="C775" s="2297"/>
      <c r="D775" s="2297"/>
      <c r="E775" s="2297"/>
      <c r="F775" s="2297"/>
      <c r="G775" s="2297"/>
      <c r="H775" s="2297"/>
      <c r="I775" s="2297"/>
      <c r="J775" s="2297"/>
      <c r="K775" s="2297"/>
      <c r="L775" s="2297"/>
      <c r="M775" s="2297"/>
      <c r="N775" s="2297"/>
      <c r="O775" s="2297"/>
      <c r="P775" s="2297"/>
      <c r="Q775" s="2297"/>
      <c r="R775" s="99"/>
      <c r="S775" s="99"/>
      <c r="T775" s="99"/>
      <c r="U775" s="99"/>
      <c r="V775" s="99"/>
      <c r="AF775" s="2297"/>
      <c r="AG775" s="1208"/>
      <c r="AH775" s="1208"/>
      <c r="AI775" s="1223"/>
      <c r="AJ775" s="1223"/>
      <c r="AK775" s="1223"/>
      <c r="AL775" s="1223"/>
      <c r="AM775" s="1223"/>
      <c r="AN775" s="1223"/>
      <c r="AO775" s="1208"/>
      <c r="AP775" s="1223"/>
      <c r="AQ775" s="1208"/>
      <c r="AR775" s="1208"/>
      <c r="AS775" s="1223"/>
      <c r="AT775" s="1223"/>
      <c r="AU775" s="1208"/>
      <c r="AV775" s="1208"/>
      <c r="AW775" s="2297"/>
      <c r="BE775" s="1224"/>
      <c r="BF775" s="1225"/>
      <c r="BR775" s="1224"/>
      <c r="BS775" s="1224"/>
    </row>
    <row r="776" spans="2:71" s="491" customFormat="1">
      <c r="B776" s="2297"/>
      <c r="C776" s="2297"/>
      <c r="D776" s="2297"/>
      <c r="E776" s="2297"/>
      <c r="F776" s="2297"/>
      <c r="G776" s="2297"/>
      <c r="H776" s="2297"/>
      <c r="I776" s="2297"/>
      <c r="J776" s="2297"/>
      <c r="K776" s="2297"/>
      <c r="L776" s="2297"/>
      <c r="M776" s="2297"/>
      <c r="N776" s="2297"/>
      <c r="O776" s="2297"/>
      <c r="P776" s="2297"/>
      <c r="Q776" s="2297"/>
      <c r="R776" s="99"/>
      <c r="S776" s="99"/>
      <c r="T776" s="99"/>
      <c r="U776" s="99"/>
      <c r="V776" s="99"/>
      <c r="AF776" s="2297"/>
      <c r="AG776" s="1208"/>
      <c r="AH776" s="1208"/>
      <c r="AI776" s="1223"/>
      <c r="AJ776" s="1223"/>
      <c r="AK776" s="1223"/>
      <c r="AL776" s="1223"/>
      <c r="AM776" s="1223"/>
      <c r="AN776" s="1223"/>
      <c r="AO776" s="1208"/>
      <c r="AP776" s="1223"/>
      <c r="AQ776" s="1208"/>
      <c r="AR776" s="1208"/>
      <c r="AS776" s="1223"/>
      <c r="AT776" s="1223"/>
      <c r="AU776" s="1208"/>
      <c r="AV776" s="1208"/>
      <c r="AW776" s="2297"/>
      <c r="BE776" s="1224"/>
      <c r="BF776" s="1225"/>
      <c r="BR776" s="1224"/>
      <c r="BS776" s="1224"/>
    </row>
    <row r="777" spans="2:71" s="491" customFormat="1">
      <c r="B777" s="2297"/>
      <c r="C777" s="2297"/>
      <c r="D777" s="2297"/>
      <c r="E777" s="2297"/>
      <c r="F777" s="2297"/>
      <c r="G777" s="2297"/>
      <c r="H777" s="2297"/>
      <c r="I777" s="2297"/>
      <c r="J777" s="2297"/>
      <c r="K777" s="2297"/>
      <c r="L777" s="2297"/>
      <c r="M777" s="2297"/>
      <c r="N777" s="2297"/>
      <c r="O777" s="2297"/>
      <c r="P777" s="2297"/>
      <c r="Q777" s="2297"/>
      <c r="R777" s="99"/>
      <c r="S777" s="99"/>
      <c r="T777" s="99"/>
      <c r="U777" s="99"/>
      <c r="V777" s="99"/>
      <c r="AF777" s="2297"/>
      <c r="AG777" s="1208"/>
      <c r="AH777" s="1208"/>
      <c r="AI777" s="1223"/>
      <c r="AJ777" s="1223"/>
      <c r="AK777" s="1223"/>
      <c r="AL777" s="1223"/>
      <c r="AM777" s="1223"/>
      <c r="AN777" s="1223"/>
      <c r="AO777" s="1208"/>
      <c r="AP777" s="1223"/>
      <c r="AQ777" s="1208"/>
      <c r="AR777" s="1208"/>
      <c r="AS777" s="1223"/>
      <c r="AT777" s="1223"/>
      <c r="AU777" s="1208"/>
      <c r="AV777" s="1208"/>
      <c r="AW777" s="2297"/>
      <c r="BE777" s="1224"/>
      <c r="BF777" s="1225"/>
      <c r="BR777" s="1224"/>
      <c r="BS777" s="1224"/>
    </row>
    <row r="778" spans="2:71" s="491" customFormat="1">
      <c r="B778" s="2297"/>
      <c r="C778" s="2297"/>
      <c r="D778" s="2297"/>
      <c r="E778" s="2297"/>
      <c r="F778" s="2297"/>
      <c r="G778" s="2297"/>
      <c r="H778" s="2297"/>
      <c r="I778" s="2297"/>
      <c r="J778" s="2297"/>
      <c r="K778" s="2297"/>
      <c r="L778" s="2297"/>
      <c r="M778" s="2297"/>
      <c r="N778" s="2297"/>
      <c r="O778" s="2297"/>
      <c r="P778" s="2297"/>
      <c r="Q778" s="2297"/>
      <c r="R778" s="99"/>
      <c r="S778" s="99"/>
      <c r="T778" s="99"/>
      <c r="U778" s="99"/>
      <c r="V778" s="99"/>
      <c r="AF778" s="2297"/>
      <c r="AG778" s="1208"/>
      <c r="AH778" s="1208"/>
      <c r="AI778" s="1223"/>
      <c r="AJ778" s="1223"/>
      <c r="AK778" s="1223"/>
      <c r="AL778" s="1223"/>
      <c r="AM778" s="1223"/>
      <c r="AN778" s="1223"/>
      <c r="AO778" s="1208"/>
      <c r="AP778" s="1223"/>
      <c r="AQ778" s="1208"/>
      <c r="AR778" s="1208"/>
      <c r="AS778" s="1223"/>
      <c r="AT778" s="1223"/>
      <c r="AU778" s="1208"/>
      <c r="AV778" s="1208"/>
      <c r="AW778" s="2297"/>
      <c r="BE778" s="1224"/>
      <c r="BF778" s="1225"/>
      <c r="BR778" s="1224"/>
      <c r="BS778" s="1224"/>
    </row>
    <row r="779" spans="2:71" s="491" customFormat="1">
      <c r="B779" s="2297"/>
      <c r="C779" s="2297"/>
      <c r="D779" s="2297"/>
      <c r="E779" s="2297"/>
      <c r="F779" s="2297"/>
      <c r="G779" s="2297"/>
      <c r="H779" s="2297"/>
      <c r="I779" s="2297"/>
      <c r="J779" s="2297"/>
      <c r="K779" s="2297"/>
      <c r="L779" s="2297"/>
      <c r="M779" s="2297"/>
      <c r="N779" s="2297"/>
      <c r="O779" s="2297"/>
      <c r="P779" s="2297"/>
      <c r="Q779" s="2297"/>
      <c r="R779" s="99"/>
      <c r="S779" s="99"/>
      <c r="T779" s="99"/>
      <c r="U779" s="99"/>
      <c r="V779" s="99"/>
      <c r="AF779" s="2297"/>
      <c r="AG779" s="1208"/>
      <c r="AH779" s="1208"/>
      <c r="AI779" s="1223"/>
      <c r="AJ779" s="1223"/>
      <c r="AK779" s="1223"/>
      <c r="AL779" s="1223"/>
      <c r="AM779" s="1223"/>
      <c r="AN779" s="1223"/>
      <c r="AO779" s="1208"/>
      <c r="AP779" s="1223"/>
      <c r="AQ779" s="1208"/>
      <c r="AR779" s="1208"/>
      <c r="AS779" s="1223"/>
      <c r="AT779" s="1223"/>
      <c r="AU779" s="1208"/>
      <c r="AV779" s="1208"/>
      <c r="AW779" s="2297"/>
      <c r="BE779" s="1224"/>
      <c r="BF779" s="1225"/>
      <c r="BR779" s="1224"/>
      <c r="BS779" s="1224"/>
    </row>
    <row r="780" spans="2:71" s="491" customFormat="1">
      <c r="B780" s="2297"/>
      <c r="C780" s="2297"/>
      <c r="D780" s="2297"/>
      <c r="E780" s="2297"/>
      <c r="F780" s="2297"/>
      <c r="G780" s="2297"/>
      <c r="H780" s="2297"/>
      <c r="I780" s="2297"/>
      <c r="J780" s="2297"/>
      <c r="K780" s="2297"/>
      <c r="L780" s="2297"/>
      <c r="M780" s="2297"/>
      <c r="N780" s="2297"/>
      <c r="O780" s="2297"/>
      <c r="P780" s="2297"/>
      <c r="Q780" s="2297"/>
      <c r="R780" s="99"/>
      <c r="S780" s="99"/>
      <c r="T780" s="99"/>
      <c r="U780" s="99"/>
      <c r="V780" s="99"/>
      <c r="AF780" s="2297"/>
      <c r="AG780" s="1208"/>
      <c r="AH780" s="1208"/>
      <c r="AI780" s="1223"/>
      <c r="AJ780" s="1223"/>
      <c r="AK780" s="1223"/>
      <c r="AL780" s="1223"/>
      <c r="AM780" s="1223"/>
      <c r="AN780" s="1223"/>
      <c r="AO780" s="1208"/>
      <c r="AP780" s="1223"/>
      <c r="AQ780" s="1208"/>
      <c r="AR780" s="1208"/>
      <c r="AS780" s="1223"/>
      <c r="AT780" s="1223"/>
      <c r="AU780" s="1208"/>
      <c r="AV780" s="1208"/>
      <c r="AW780" s="2297"/>
      <c r="BE780" s="1224"/>
      <c r="BF780" s="1225"/>
      <c r="BR780" s="1224"/>
      <c r="BS780" s="1224"/>
    </row>
    <row r="781" spans="2:71" s="491" customFormat="1">
      <c r="B781" s="2297"/>
      <c r="C781" s="2297"/>
      <c r="D781" s="2297"/>
      <c r="E781" s="2297"/>
      <c r="F781" s="2297"/>
      <c r="G781" s="2297"/>
      <c r="H781" s="2297"/>
      <c r="I781" s="2297"/>
      <c r="J781" s="2297"/>
      <c r="K781" s="2297"/>
      <c r="L781" s="2297"/>
      <c r="M781" s="2297"/>
      <c r="N781" s="2297"/>
      <c r="O781" s="2297"/>
      <c r="P781" s="2297"/>
      <c r="Q781" s="2297"/>
      <c r="R781" s="99"/>
      <c r="S781" s="99"/>
      <c r="T781" s="99"/>
      <c r="U781" s="99"/>
      <c r="V781" s="99"/>
      <c r="AF781" s="2297"/>
      <c r="AG781" s="1208"/>
      <c r="AH781" s="1208"/>
      <c r="AI781" s="1223"/>
      <c r="AJ781" s="1223"/>
      <c r="AK781" s="1223"/>
      <c r="AL781" s="1223"/>
      <c r="AM781" s="1223"/>
      <c r="AN781" s="1223"/>
      <c r="AO781" s="1208"/>
      <c r="AP781" s="1223"/>
      <c r="AQ781" s="1208"/>
      <c r="AR781" s="1208"/>
      <c r="AS781" s="1223"/>
      <c r="AT781" s="1223"/>
      <c r="AU781" s="1208"/>
      <c r="AV781" s="1208"/>
      <c r="AW781" s="2297"/>
      <c r="BE781" s="1224"/>
      <c r="BF781" s="1225"/>
      <c r="BR781" s="1224"/>
      <c r="BS781" s="1224"/>
    </row>
    <row r="782" spans="2:71" s="491" customFormat="1">
      <c r="B782" s="2297"/>
      <c r="C782" s="2297"/>
      <c r="D782" s="2297"/>
      <c r="E782" s="2297"/>
      <c r="F782" s="2297"/>
      <c r="G782" s="2297"/>
      <c r="H782" s="2297"/>
      <c r="I782" s="2297"/>
      <c r="J782" s="2297"/>
      <c r="K782" s="2297"/>
      <c r="L782" s="2297"/>
      <c r="M782" s="2297"/>
      <c r="N782" s="2297"/>
      <c r="O782" s="2297"/>
      <c r="P782" s="2297"/>
      <c r="Q782" s="2297"/>
      <c r="R782" s="99"/>
      <c r="S782" s="99"/>
      <c r="T782" s="99"/>
      <c r="U782" s="99"/>
      <c r="V782" s="99"/>
      <c r="AF782" s="2297"/>
      <c r="AG782" s="1208"/>
      <c r="AH782" s="1208"/>
      <c r="AI782" s="1223"/>
      <c r="AJ782" s="1223"/>
      <c r="AK782" s="1223"/>
      <c r="AL782" s="1223"/>
      <c r="AM782" s="1223"/>
      <c r="AN782" s="1223"/>
      <c r="AO782" s="1208"/>
      <c r="AP782" s="1223"/>
      <c r="AQ782" s="1208"/>
      <c r="AR782" s="1208"/>
      <c r="AS782" s="1223"/>
      <c r="AT782" s="1223"/>
      <c r="AU782" s="1208"/>
      <c r="AV782" s="1208"/>
      <c r="AW782" s="2297"/>
      <c r="BE782" s="1224"/>
      <c r="BF782" s="1225"/>
      <c r="BR782" s="1224"/>
      <c r="BS782" s="1224"/>
    </row>
    <row r="783" spans="2:71" s="491" customFormat="1">
      <c r="B783" s="2297"/>
      <c r="C783" s="2297"/>
      <c r="D783" s="2297"/>
      <c r="E783" s="2297"/>
      <c r="F783" s="2297"/>
      <c r="G783" s="2297"/>
      <c r="H783" s="2297"/>
      <c r="I783" s="2297"/>
      <c r="J783" s="2297"/>
      <c r="K783" s="2297"/>
      <c r="L783" s="2297"/>
      <c r="M783" s="2297"/>
      <c r="N783" s="2297"/>
      <c r="O783" s="2297"/>
      <c r="P783" s="2297"/>
      <c r="Q783" s="2297"/>
      <c r="R783" s="99"/>
      <c r="S783" s="99"/>
      <c r="T783" s="99"/>
      <c r="U783" s="99"/>
      <c r="V783" s="99"/>
      <c r="AF783" s="2297"/>
      <c r="AG783" s="1208"/>
      <c r="AH783" s="1208"/>
      <c r="AI783" s="1223"/>
      <c r="AJ783" s="1223"/>
      <c r="AK783" s="1223"/>
      <c r="AL783" s="1223"/>
      <c r="AM783" s="1223"/>
      <c r="AN783" s="1223"/>
      <c r="AO783" s="1208"/>
      <c r="AP783" s="1223"/>
      <c r="AQ783" s="1208"/>
      <c r="AR783" s="1208"/>
      <c r="AS783" s="1223"/>
      <c r="AT783" s="1223"/>
      <c r="AU783" s="1208"/>
      <c r="AV783" s="1208"/>
      <c r="AW783" s="2297"/>
      <c r="BE783" s="1224"/>
      <c r="BF783" s="1225"/>
      <c r="BR783" s="1224"/>
      <c r="BS783" s="1224"/>
    </row>
    <row r="784" spans="2:71" s="491" customFormat="1">
      <c r="B784" s="2297"/>
      <c r="C784" s="2297"/>
      <c r="D784" s="2297"/>
      <c r="E784" s="2297"/>
      <c r="F784" s="2297"/>
      <c r="G784" s="2297"/>
      <c r="H784" s="2297"/>
      <c r="I784" s="2297"/>
      <c r="J784" s="2297"/>
      <c r="K784" s="2297"/>
      <c r="L784" s="2297"/>
      <c r="M784" s="2297"/>
      <c r="N784" s="2297"/>
      <c r="O784" s="2297"/>
      <c r="P784" s="2297"/>
      <c r="Q784" s="2297"/>
      <c r="R784" s="99"/>
      <c r="S784" s="99"/>
      <c r="T784" s="99"/>
      <c r="U784" s="99"/>
      <c r="V784" s="99"/>
      <c r="AF784" s="2297"/>
      <c r="AG784" s="1208"/>
      <c r="AH784" s="1208"/>
      <c r="AI784" s="1223"/>
      <c r="AJ784" s="1223"/>
      <c r="AK784" s="1223"/>
      <c r="AL784" s="1223"/>
      <c r="AM784" s="1223"/>
      <c r="AN784" s="1223"/>
      <c r="AO784" s="1208"/>
      <c r="AP784" s="1223"/>
      <c r="AQ784" s="1208"/>
      <c r="AR784" s="1208"/>
      <c r="AS784" s="1223"/>
      <c r="AT784" s="1223"/>
      <c r="AU784" s="1208"/>
      <c r="AV784" s="1208"/>
      <c r="AW784" s="2297"/>
      <c r="BE784" s="1224"/>
      <c r="BF784" s="1225"/>
      <c r="BR784" s="1224"/>
      <c r="BS784" s="1224"/>
    </row>
    <row r="785" spans="2:71" s="491" customFormat="1">
      <c r="B785" s="2297"/>
      <c r="C785" s="2297"/>
      <c r="D785" s="2297"/>
      <c r="E785" s="2297"/>
      <c r="F785" s="2297"/>
      <c r="G785" s="2297"/>
      <c r="H785" s="2297"/>
      <c r="I785" s="2297"/>
      <c r="J785" s="2297"/>
      <c r="K785" s="2297"/>
      <c r="L785" s="2297"/>
      <c r="M785" s="2297"/>
      <c r="N785" s="2297"/>
      <c r="O785" s="2297"/>
      <c r="P785" s="2297"/>
      <c r="Q785" s="2297"/>
      <c r="R785" s="99"/>
      <c r="S785" s="99"/>
      <c r="T785" s="99"/>
      <c r="U785" s="99"/>
      <c r="V785" s="99"/>
      <c r="AF785" s="2297"/>
      <c r="AG785" s="1208"/>
      <c r="AH785" s="1208"/>
      <c r="AI785" s="1223"/>
      <c r="AJ785" s="1223"/>
      <c r="AK785" s="1223"/>
      <c r="AL785" s="1223"/>
      <c r="AM785" s="1223"/>
      <c r="AN785" s="1223"/>
      <c r="AO785" s="1208"/>
      <c r="AP785" s="1223"/>
      <c r="AQ785" s="1208"/>
      <c r="AR785" s="1208"/>
      <c r="AS785" s="1223"/>
      <c r="AT785" s="1223"/>
      <c r="AU785" s="1208"/>
      <c r="AV785" s="1208"/>
      <c r="AW785" s="2297"/>
      <c r="BE785" s="1224"/>
      <c r="BF785" s="1225"/>
      <c r="BR785" s="1224"/>
      <c r="BS785" s="1224"/>
    </row>
    <row r="786" spans="2:71" s="491" customFormat="1">
      <c r="B786" s="2297"/>
      <c r="C786" s="2297"/>
      <c r="D786" s="2297"/>
      <c r="E786" s="2297"/>
      <c r="F786" s="2297"/>
      <c r="G786" s="2297"/>
      <c r="H786" s="2297"/>
      <c r="I786" s="2297"/>
      <c r="J786" s="2297"/>
      <c r="K786" s="2297"/>
      <c r="L786" s="2297"/>
      <c r="M786" s="2297"/>
      <c r="N786" s="2297"/>
      <c r="O786" s="2297"/>
      <c r="P786" s="2297"/>
      <c r="Q786" s="2297"/>
      <c r="R786" s="99"/>
      <c r="S786" s="99"/>
      <c r="T786" s="99"/>
      <c r="U786" s="99"/>
      <c r="V786" s="99"/>
      <c r="AF786" s="2297"/>
      <c r="AG786" s="1208"/>
      <c r="AH786" s="1208"/>
      <c r="AI786" s="1223"/>
      <c r="AJ786" s="1223"/>
      <c r="AK786" s="1223"/>
      <c r="AL786" s="1223"/>
      <c r="AM786" s="1223"/>
      <c r="AN786" s="1223"/>
      <c r="AO786" s="1208"/>
      <c r="AP786" s="1223"/>
      <c r="AQ786" s="1208"/>
      <c r="AR786" s="1208"/>
      <c r="AS786" s="1223"/>
      <c r="AT786" s="1223"/>
      <c r="AU786" s="1208"/>
      <c r="AV786" s="1208"/>
      <c r="AW786" s="2297"/>
      <c r="BE786" s="1224"/>
      <c r="BF786" s="1225"/>
      <c r="BR786" s="1224"/>
      <c r="BS786" s="1224"/>
    </row>
    <row r="787" spans="2:71" s="491" customFormat="1">
      <c r="B787" s="2297"/>
      <c r="C787" s="2297"/>
      <c r="D787" s="2297"/>
      <c r="E787" s="2297"/>
      <c r="F787" s="2297"/>
      <c r="G787" s="2297"/>
      <c r="H787" s="2297"/>
      <c r="I787" s="2297"/>
      <c r="J787" s="2297"/>
      <c r="K787" s="2297"/>
      <c r="L787" s="2297"/>
      <c r="M787" s="2297"/>
      <c r="N787" s="2297"/>
      <c r="O787" s="2297"/>
      <c r="P787" s="2297"/>
      <c r="Q787" s="2297"/>
      <c r="R787" s="99"/>
      <c r="S787" s="99"/>
      <c r="T787" s="99"/>
      <c r="U787" s="99"/>
      <c r="V787" s="99"/>
      <c r="AF787" s="2297"/>
      <c r="AG787" s="1208"/>
      <c r="AH787" s="1208"/>
      <c r="AI787" s="1223"/>
      <c r="AJ787" s="1223"/>
      <c r="AK787" s="1223"/>
      <c r="AL787" s="1223"/>
      <c r="AM787" s="1223"/>
      <c r="AN787" s="1223"/>
      <c r="AO787" s="1208"/>
      <c r="AP787" s="1223"/>
      <c r="AQ787" s="1208"/>
      <c r="AR787" s="1208"/>
      <c r="AS787" s="1223"/>
      <c r="AT787" s="1223"/>
      <c r="AU787" s="1208"/>
      <c r="AV787" s="1208"/>
      <c r="AW787" s="2297"/>
      <c r="BE787" s="1224"/>
      <c r="BF787" s="1225"/>
      <c r="BR787" s="1224"/>
      <c r="BS787" s="1224"/>
    </row>
    <row r="788" spans="2:71" s="491" customFormat="1">
      <c r="B788" s="2297"/>
      <c r="C788" s="2297"/>
      <c r="D788" s="2297"/>
      <c r="E788" s="2297"/>
      <c r="F788" s="2297"/>
      <c r="G788" s="2297"/>
      <c r="H788" s="2297"/>
      <c r="I788" s="2297"/>
      <c r="J788" s="2297"/>
      <c r="K788" s="2297"/>
      <c r="L788" s="2297"/>
      <c r="M788" s="2297"/>
      <c r="N788" s="2297"/>
      <c r="O788" s="2297"/>
      <c r="P788" s="2297"/>
      <c r="Q788" s="2297"/>
      <c r="R788" s="99"/>
      <c r="S788" s="99"/>
      <c r="T788" s="99"/>
      <c r="U788" s="99"/>
      <c r="V788" s="99"/>
      <c r="AF788" s="2297"/>
      <c r="AG788" s="1208"/>
      <c r="AH788" s="1208"/>
      <c r="AI788" s="1223"/>
      <c r="AJ788" s="1223"/>
      <c r="AK788" s="1223"/>
      <c r="AL788" s="1223"/>
      <c r="AM788" s="1223"/>
      <c r="AN788" s="1223"/>
      <c r="AO788" s="1208"/>
      <c r="AP788" s="1223"/>
      <c r="AQ788" s="1208"/>
      <c r="AR788" s="1208"/>
      <c r="AS788" s="1223"/>
      <c r="AT788" s="1223"/>
      <c r="AU788" s="1208"/>
      <c r="AV788" s="1208"/>
      <c r="AW788" s="2297"/>
      <c r="BE788" s="1224"/>
      <c r="BF788" s="1225"/>
      <c r="BR788" s="1224"/>
      <c r="BS788" s="1224"/>
    </row>
    <row r="789" spans="2:71" s="491" customFormat="1">
      <c r="B789" s="2297"/>
      <c r="C789" s="2297"/>
      <c r="D789" s="2297"/>
      <c r="E789" s="2297"/>
      <c r="F789" s="2297"/>
      <c r="G789" s="2297"/>
      <c r="H789" s="2297"/>
      <c r="I789" s="2297"/>
      <c r="J789" s="2297"/>
      <c r="K789" s="2297"/>
      <c r="L789" s="2297"/>
      <c r="M789" s="2297"/>
      <c r="N789" s="2297"/>
      <c r="O789" s="2297"/>
      <c r="P789" s="2297"/>
      <c r="Q789" s="2297"/>
      <c r="R789" s="99"/>
      <c r="S789" s="99"/>
      <c r="T789" s="99"/>
      <c r="U789" s="99"/>
      <c r="V789" s="99"/>
      <c r="AF789" s="2297"/>
      <c r="AG789" s="1208"/>
      <c r="AH789" s="1208"/>
      <c r="AI789" s="1223"/>
      <c r="AJ789" s="1223"/>
      <c r="AK789" s="1223"/>
      <c r="AL789" s="1223"/>
      <c r="AM789" s="1223"/>
      <c r="AN789" s="1223"/>
      <c r="AO789" s="1208"/>
      <c r="AP789" s="1223"/>
      <c r="AQ789" s="1208"/>
      <c r="AR789" s="1208"/>
      <c r="AS789" s="1223"/>
      <c r="AT789" s="1223"/>
      <c r="AU789" s="1208"/>
      <c r="AV789" s="1208"/>
      <c r="AW789" s="2297"/>
      <c r="BE789" s="1224"/>
      <c r="BF789" s="1225"/>
      <c r="BR789" s="1224"/>
      <c r="BS789" s="1224"/>
    </row>
    <row r="790" spans="2:71" s="491" customFormat="1">
      <c r="B790" s="2297"/>
      <c r="C790" s="2297"/>
      <c r="D790" s="2297"/>
      <c r="E790" s="2297"/>
      <c r="F790" s="2297"/>
      <c r="G790" s="2297"/>
      <c r="H790" s="2297"/>
      <c r="I790" s="2297"/>
      <c r="J790" s="2297"/>
      <c r="K790" s="2297"/>
      <c r="L790" s="2297"/>
      <c r="M790" s="2297"/>
      <c r="N790" s="2297"/>
      <c r="O790" s="2297"/>
      <c r="P790" s="2297"/>
      <c r="Q790" s="2297"/>
      <c r="R790" s="99"/>
      <c r="S790" s="99"/>
      <c r="T790" s="99"/>
      <c r="U790" s="99"/>
      <c r="V790" s="99"/>
      <c r="AF790" s="2297"/>
      <c r="AG790" s="1208"/>
      <c r="AH790" s="1208"/>
      <c r="AI790" s="1223"/>
      <c r="AJ790" s="1223"/>
      <c r="AK790" s="1223"/>
      <c r="AL790" s="1223"/>
      <c r="AM790" s="1223"/>
      <c r="AN790" s="1223"/>
      <c r="AO790" s="1208"/>
      <c r="AP790" s="1223"/>
      <c r="AQ790" s="1208"/>
      <c r="AR790" s="1208"/>
      <c r="AS790" s="1223"/>
      <c r="AT790" s="1223"/>
      <c r="AU790" s="1208"/>
      <c r="AV790" s="1208"/>
      <c r="AW790" s="2297"/>
      <c r="BE790" s="1224"/>
      <c r="BF790" s="1225"/>
      <c r="BR790" s="1224"/>
      <c r="BS790" s="1224"/>
    </row>
    <row r="791" spans="2:71" s="491" customFormat="1">
      <c r="B791" s="2297"/>
      <c r="C791" s="2297"/>
      <c r="D791" s="2297"/>
      <c r="E791" s="2297"/>
      <c r="F791" s="2297"/>
      <c r="G791" s="2297"/>
      <c r="H791" s="2297"/>
      <c r="I791" s="2297"/>
      <c r="J791" s="2297"/>
      <c r="K791" s="2297"/>
      <c r="L791" s="2297"/>
      <c r="M791" s="2297"/>
      <c r="N791" s="2297"/>
      <c r="O791" s="2297"/>
      <c r="P791" s="2297"/>
      <c r="Q791" s="2297"/>
      <c r="R791" s="99"/>
      <c r="S791" s="99"/>
      <c r="T791" s="99"/>
      <c r="U791" s="99"/>
      <c r="V791" s="99"/>
      <c r="AF791" s="2297"/>
      <c r="AG791" s="1208"/>
      <c r="AH791" s="1208"/>
      <c r="AI791" s="1223"/>
      <c r="AJ791" s="1223"/>
      <c r="AK791" s="1223"/>
      <c r="AL791" s="1223"/>
      <c r="AM791" s="1223"/>
      <c r="AN791" s="1223"/>
      <c r="AO791" s="1208"/>
      <c r="AP791" s="1223"/>
      <c r="AQ791" s="1208"/>
      <c r="AR791" s="1208"/>
      <c r="AS791" s="1223"/>
      <c r="AT791" s="1223"/>
      <c r="AU791" s="1208"/>
      <c r="AV791" s="1208"/>
      <c r="AW791" s="2297"/>
      <c r="BE791" s="1224"/>
      <c r="BF791" s="1225"/>
      <c r="BR791" s="1224"/>
      <c r="BS791" s="1224"/>
    </row>
    <row r="792" spans="2:71" s="491" customFormat="1">
      <c r="B792" s="2297"/>
      <c r="C792" s="2297"/>
      <c r="D792" s="2297"/>
      <c r="E792" s="2297"/>
      <c r="F792" s="2297"/>
      <c r="G792" s="2297"/>
      <c r="H792" s="2297"/>
      <c r="I792" s="2297"/>
      <c r="J792" s="2297"/>
      <c r="K792" s="2297"/>
      <c r="L792" s="2297"/>
      <c r="M792" s="2297"/>
      <c r="N792" s="2297"/>
      <c r="O792" s="2297"/>
      <c r="P792" s="2297"/>
      <c r="Q792" s="2297"/>
      <c r="R792" s="99"/>
      <c r="S792" s="99"/>
      <c r="T792" s="99"/>
      <c r="U792" s="99"/>
      <c r="V792" s="99"/>
      <c r="AF792" s="2297"/>
      <c r="AG792" s="1208"/>
      <c r="AH792" s="1208"/>
      <c r="AI792" s="1223"/>
      <c r="AJ792" s="1223"/>
      <c r="AK792" s="1223"/>
      <c r="AL792" s="1223"/>
      <c r="AM792" s="1223"/>
      <c r="AN792" s="1223"/>
      <c r="AO792" s="1208"/>
      <c r="AP792" s="1223"/>
      <c r="AQ792" s="1208"/>
      <c r="AR792" s="1208"/>
      <c r="AS792" s="1223"/>
      <c r="AT792" s="1223"/>
      <c r="AU792" s="1208"/>
      <c r="AV792" s="1208"/>
      <c r="AW792" s="2297"/>
      <c r="BE792" s="1224"/>
      <c r="BF792" s="1225"/>
      <c r="BR792" s="1224"/>
      <c r="BS792" s="1224"/>
    </row>
    <row r="793" spans="2:71" s="491" customFormat="1">
      <c r="B793" s="2297"/>
      <c r="C793" s="2297"/>
      <c r="D793" s="2297"/>
      <c r="E793" s="2297"/>
      <c r="F793" s="2297"/>
      <c r="G793" s="2297"/>
      <c r="H793" s="2297"/>
      <c r="I793" s="2297"/>
      <c r="J793" s="2297"/>
      <c r="K793" s="2297"/>
      <c r="L793" s="2297"/>
      <c r="M793" s="2297"/>
      <c r="N793" s="2297"/>
      <c r="O793" s="2297"/>
      <c r="P793" s="2297"/>
      <c r="Q793" s="2297"/>
      <c r="R793" s="99"/>
      <c r="S793" s="99"/>
      <c r="T793" s="99"/>
      <c r="U793" s="99"/>
      <c r="V793" s="99"/>
      <c r="AF793" s="2297"/>
      <c r="AG793" s="1208"/>
      <c r="AH793" s="1208"/>
      <c r="AI793" s="1223"/>
      <c r="AJ793" s="1223"/>
      <c r="AK793" s="1223"/>
      <c r="AL793" s="1223"/>
      <c r="AM793" s="1223"/>
      <c r="AN793" s="1223"/>
      <c r="AO793" s="1208"/>
      <c r="AP793" s="1223"/>
      <c r="AQ793" s="1208"/>
      <c r="AR793" s="1208"/>
      <c r="AS793" s="1223"/>
      <c r="AT793" s="1223"/>
      <c r="AU793" s="1208"/>
      <c r="AV793" s="1208"/>
      <c r="AW793" s="2297"/>
      <c r="BE793" s="1224"/>
      <c r="BF793" s="1225"/>
      <c r="BR793" s="1224"/>
      <c r="BS793" s="1224"/>
    </row>
    <row r="794" spans="2:71" s="491" customFormat="1">
      <c r="B794" s="2297"/>
      <c r="C794" s="2297"/>
      <c r="D794" s="2297"/>
      <c r="E794" s="2297"/>
      <c r="F794" s="2297"/>
      <c r="G794" s="2297"/>
      <c r="H794" s="2297"/>
      <c r="I794" s="2297"/>
      <c r="J794" s="2297"/>
      <c r="K794" s="2297"/>
      <c r="L794" s="2297"/>
      <c r="M794" s="2297"/>
      <c r="N794" s="2297"/>
      <c r="O794" s="2297"/>
      <c r="P794" s="2297"/>
      <c r="Q794" s="2297"/>
      <c r="R794" s="99"/>
      <c r="S794" s="99"/>
      <c r="T794" s="99"/>
      <c r="U794" s="99"/>
      <c r="V794" s="99"/>
      <c r="AF794" s="2297"/>
      <c r="AG794" s="1208"/>
      <c r="AH794" s="1208"/>
      <c r="AI794" s="1223"/>
      <c r="AJ794" s="1223"/>
      <c r="AK794" s="1223"/>
      <c r="AL794" s="1223"/>
      <c r="AM794" s="1223"/>
      <c r="AN794" s="1223"/>
      <c r="AO794" s="1208"/>
      <c r="AP794" s="1223"/>
      <c r="AQ794" s="1208"/>
      <c r="AR794" s="1208"/>
      <c r="AS794" s="1223"/>
      <c r="AT794" s="1223"/>
      <c r="AU794" s="1208"/>
      <c r="AV794" s="1208"/>
      <c r="AW794" s="2297"/>
      <c r="BE794" s="1224"/>
      <c r="BF794" s="1225"/>
      <c r="BR794" s="1224"/>
      <c r="BS794" s="1224"/>
    </row>
    <row r="795" spans="2:71" s="491" customFormat="1">
      <c r="B795" s="2297"/>
      <c r="C795" s="2297"/>
      <c r="D795" s="2297"/>
      <c r="E795" s="2297"/>
      <c r="F795" s="2297"/>
      <c r="G795" s="2297"/>
      <c r="H795" s="2297"/>
      <c r="I795" s="2297"/>
      <c r="J795" s="2297"/>
      <c r="K795" s="2297"/>
      <c r="L795" s="2297"/>
      <c r="M795" s="2297"/>
      <c r="N795" s="2297"/>
      <c r="O795" s="2297"/>
      <c r="P795" s="2297"/>
      <c r="Q795" s="2297"/>
      <c r="R795" s="99"/>
      <c r="S795" s="99"/>
      <c r="T795" s="99"/>
      <c r="U795" s="99"/>
      <c r="V795" s="99"/>
      <c r="AF795" s="2297"/>
      <c r="AG795" s="1208"/>
      <c r="AH795" s="1208"/>
      <c r="AI795" s="1223"/>
      <c r="AJ795" s="1223"/>
      <c r="AK795" s="1223"/>
      <c r="AL795" s="1223"/>
      <c r="AM795" s="1223"/>
      <c r="AN795" s="1223"/>
      <c r="AO795" s="1208"/>
      <c r="AP795" s="1223"/>
      <c r="AQ795" s="1208"/>
      <c r="AR795" s="1208"/>
      <c r="AS795" s="1223"/>
      <c r="AT795" s="1223"/>
      <c r="AU795" s="1208"/>
      <c r="AV795" s="1208"/>
      <c r="AW795" s="2297"/>
      <c r="BE795" s="1224"/>
      <c r="BF795" s="1225"/>
      <c r="BR795" s="1224"/>
      <c r="BS795" s="1224"/>
    </row>
    <row r="796" spans="2:71" s="491" customFormat="1">
      <c r="B796" s="2297"/>
      <c r="C796" s="2297"/>
      <c r="D796" s="2297"/>
      <c r="E796" s="2297"/>
      <c r="F796" s="2297"/>
      <c r="G796" s="2297"/>
      <c r="H796" s="2297"/>
      <c r="I796" s="2297"/>
      <c r="J796" s="2297"/>
      <c r="K796" s="2297"/>
      <c r="L796" s="2297"/>
      <c r="M796" s="2297"/>
      <c r="N796" s="2297"/>
      <c r="O796" s="2297"/>
      <c r="P796" s="2297"/>
      <c r="Q796" s="2297"/>
      <c r="R796" s="99"/>
      <c r="S796" s="99"/>
      <c r="T796" s="99"/>
      <c r="U796" s="99"/>
      <c r="V796" s="99"/>
      <c r="AF796" s="2297"/>
      <c r="AG796" s="1208"/>
      <c r="AH796" s="1208"/>
      <c r="AI796" s="1223"/>
      <c r="AJ796" s="1223"/>
      <c r="AK796" s="1223"/>
      <c r="AL796" s="1223"/>
      <c r="AM796" s="1223"/>
      <c r="AN796" s="1223"/>
      <c r="AO796" s="1208"/>
      <c r="AP796" s="1223"/>
      <c r="AQ796" s="1208"/>
      <c r="AR796" s="1208"/>
      <c r="AS796" s="1223"/>
      <c r="AT796" s="1223"/>
      <c r="AU796" s="1208"/>
      <c r="AV796" s="1208"/>
      <c r="AW796" s="2297"/>
      <c r="BE796" s="1224"/>
      <c r="BF796" s="1225"/>
      <c r="BR796" s="1224"/>
      <c r="BS796" s="1224"/>
    </row>
    <row r="797" spans="2:71" s="491" customFormat="1">
      <c r="B797" s="2297"/>
      <c r="C797" s="2297"/>
      <c r="D797" s="2297"/>
      <c r="E797" s="2297"/>
      <c r="F797" s="2297"/>
      <c r="G797" s="2297"/>
      <c r="H797" s="2297"/>
      <c r="I797" s="2297"/>
      <c r="J797" s="2297"/>
      <c r="K797" s="2297"/>
      <c r="L797" s="2297"/>
      <c r="M797" s="2297"/>
      <c r="N797" s="2297"/>
      <c r="O797" s="2297"/>
      <c r="P797" s="2297"/>
      <c r="Q797" s="2297"/>
      <c r="R797" s="99"/>
      <c r="S797" s="99"/>
      <c r="T797" s="99"/>
      <c r="U797" s="99"/>
      <c r="V797" s="99"/>
      <c r="AF797" s="2297"/>
      <c r="AG797" s="1208"/>
      <c r="AH797" s="1208"/>
      <c r="AI797" s="1223"/>
      <c r="AJ797" s="1223"/>
      <c r="AK797" s="1223"/>
      <c r="AL797" s="1223"/>
      <c r="AM797" s="1223"/>
      <c r="AN797" s="1223"/>
      <c r="AO797" s="1208"/>
      <c r="AP797" s="1223"/>
      <c r="AQ797" s="1208"/>
      <c r="AR797" s="1208"/>
      <c r="AS797" s="1223"/>
      <c r="AT797" s="1223"/>
      <c r="AU797" s="1208"/>
      <c r="AV797" s="1208"/>
      <c r="AW797" s="2297"/>
      <c r="BE797" s="1224"/>
      <c r="BF797" s="1225"/>
      <c r="BR797" s="1224"/>
      <c r="BS797" s="1224"/>
    </row>
    <row r="798" spans="2:71" s="491" customFormat="1">
      <c r="B798" s="2297"/>
      <c r="C798" s="2297"/>
      <c r="D798" s="2297"/>
      <c r="E798" s="2297"/>
      <c r="F798" s="2297"/>
      <c r="G798" s="2297"/>
      <c r="H798" s="2297"/>
      <c r="I798" s="2297"/>
      <c r="J798" s="2297"/>
      <c r="K798" s="2297"/>
      <c r="L798" s="2297"/>
      <c r="M798" s="2297"/>
      <c r="N798" s="2297"/>
      <c r="O798" s="2297"/>
      <c r="P798" s="2297"/>
      <c r="Q798" s="2297"/>
      <c r="R798" s="99"/>
      <c r="S798" s="99"/>
      <c r="T798" s="99"/>
      <c r="U798" s="99"/>
      <c r="V798" s="99"/>
      <c r="AF798" s="2297"/>
      <c r="AG798" s="1208"/>
      <c r="AH798" s="1208"/>
      <c r="AI798" s="1223"/>
      <c r="AJ798" s="1223"/>
      <c r="AK798" s="1223"/>
      <c r="AL798" s="1223"/>
      <c r="AM798" s="1223"/>
      <c r="AN798" s="1223"/>
      <c r="AO798" s="1208"/>
      <c r="AP798" s="1223"/>
      <c r="AQ798" s="1208"/>
      <c r="AR798" s="1208"/>
      <c r="AS798" s="1223"/>
      <c r="AT798" s="1223"/>
      <c r="AU798" s="1208"/>
      <c r="AV798" s="1208"/>
      <c r="AW798" s="2297"/>
      <c r="BE798" s="1224"/>
      <c r="BF798" s="1225"/>
      <c r="BR798" s="1224"/>
      <c r="BS798" s="1224"/>
    </row>
    <row r="799" spans="2:71" s="491" customFormat="1">
      <c r="B799" s="2297"/>
      <c r="C799" s="2297"/>
      <c r="D799" s="2297"/>
      <c r="E799" s="2297"/>
      <c r="F799" s="2297"/>
      <c r="G799" s="2297"/>
      <c r="H799" s="2297"/>
      <c r="I799" s="2297"/>
      <c r="J799" s="2297"/>
      <c r="K799" s="2297"/>
      <c r="L799" s="2297"/>
      <c r="M799" s="2297"/>
      <c r="N799" s="2297"/>
      <c r="O799" s="2297"/>
      <c r="P799" s="2297"/>
      <c r="Q799" s="2297"/>
      <c r="R799" s="99"/>
      <c r="S799" s="99"/>
      <c r="T799" s="99"/>
      <c r="U799" s="99"/>
      <c r="V799" s="99"/>
      <c r="AF799" s="2297"/>
      <c r="AG799" s="1208"/>
      <c r="AH799" s="1208"/>
      <c r="AI799" s="1223"/>
      <c r="AJ799" s="1223"/>
      <c r="AK799" s="1223"/>
      <c r="AL799" s="1223"/>
      <c r="AM799" s="1223"/>
      <c r="AN799" s="1223"/>
      <c r="AO799" s="1208"/>
      <c r="AP799" s="1223"/>
      <c r="AQ799" s="1208"/>
      <c r="AR799" s="1208"/>
      <c r="AS799" s="1223"/>
      <c r="AT799" s="1223"/>
      <c r="AU799" s="1208"/>
      <c r="AV799" s="1208"/>
      <c r="AW799" s="2297"/>
      <c r="BE799" s="1224"/>
      <c r="BF799" s="1225"/>
      <c r="BR799" s="1224"/>
      <c r="BS799" s="1224"/>
    </row>
    <row r="800" spans="2:71" s="491" customFormat="1">
      <c r="B800" s="2297"/>
      <c r="C800" s="2297"/>
      <c r="D800" s="2297"/>
      <c r="E800" s="2297"/>
      <c r="F800" s="2297"/>
      <c r="G800" s="2297"/>
      <c r="H800" s="2297"/>
      <c r="I800" s="2297"/>
      <c r="J800" s="2297"/>
      <c r="K800" s="2297"/>
      <c r="L800" s="2297"/>
      <c r="M800" s="2297"/>
      <c r="N800" s="2297"/>
      <c r="O800" s="2297"/>
      <c r="P800" s="2297"/>
      <c r="Q800" s="2297"/>
      <c r="R800" s="99"/>
      <c r="S800" s="99"/>
      <c r="T800" s="99"/>
      <c r="U800" s="99"/>
      <c r="V800" s="99"/>
      <c r="AF800" s="2297"/>
      <c r="AG800" s="1208"/>
      <c r="AH800" s="1208"/>
      <c r="AI800" s="1223"/>
      <c r="AJ800" s="1223"/>
      <c r="AK800" s="1223"/>
      <c r="AL800" s="1223"/>
      <c r="AM800" s="1223"/>
      <c r="AN800" s="1223"/>
      <c r="AO800" s="1208"/>
      <c r="AP800" s="1223"/>
      <c r="AQ800" s="1208"/>
      <c r="AR800" s="1208"/>
      <c r="AS800" s="1223"/>
      <c r="AT800" s="1223"/>
      <c r="AU800" s="1208"/>
      <c r="AV800" s="1208"/>
      <c r="AW800" s="2297"/>
      <c r="BE800" s="1224"/>
      <c r="BF800" s="1225"/>
      <c r="BR800" s="1224"/>
      <c r="BS800" s="1224"/>
    </row>
    <row r="801" spans="2:71" s="491" customFormat="1">
      <c r="B801" s="2297"/>
      <c r="C801" s="2297"/>
      <c r="D801" s="2297"/>
      <c r="E801" s="2297"/>
      <c r="F801" s="2297"/>
      <c r="G801" s="2297"/>
      <c r="H801" s="2297"/>
      <c r="I801" s="2297"/>
      <c r="J801" s="2297"/>
      <c r="K801" s="2297"/>
      <c r="L801" s="2297"/>
      <c r="M801" s="2297"/>
      <c r="N801" s="2297"/>
      <c r="O801" s="2297"/>
      <c r="P801" s="2297"/>
      <c r="Q801" s="2297"/>
      <c r="R801" s="99"/>
      <c r="S801" s="99"/>
      <c r="T801" s="99"/>
      <c r="U801" s="99"/>
      <c r="V801" s="99"/>
      <c r="AF801" s="2297"/>
      <c r="AG801" s="1208"/>
      <c r="AH801" s="1208"/>
      <c r="AI801" s="1223"/>
      <c r="AJ801" s="1223"/>
      <c r="AK801" s="1223"/>
      <c r="AL801" s="1223"/>
      <c r="AM801" s="1223"/>
      <c r="AN801" s="1223"/>
      <c r="AO801" s="1208"/>
      <c r="AP801" s="1223"/>
      <c r="AQ801" s="1208"/>
      <c r="AR801" s="1208"/>
      <c r="AS801" s="1223"/>
      <c r="AT801" s="1223"/>
      <c r="AU801" s="1208"/>
      <c r="AV801" s="1208"/>
      <c r="AW801" s="2297"/>
      <c r="BE801" s="1224"/>
      <c r="BF801" s="1225"/>
      <c r="BR801" s="1224"/>
      <c r="BS801" s="1224"/>
    </row>
    <row r="802" spans="2:71" s="491" customFormat="1">
      <c r="B802" s="2297"/>
      <c r="C802" s="2297"/>
      <c r="D802" s="2297"/>
      <c r="E802" s="2297"/>
      <c r="F802" s="2297"/>
      <c r="G802" s="2297"/>
      <c r="H802" s="2297"/>
      <c r="I802" s="2297"/>
      <c r="J802" s="2297"/>
      <c r="K802" s="2297"/>
      <c r="L802" s="2297"/>
      <c r="M802" s="2297"/>
      <c r="N802" s="2297"/>
      <c r="O802" s="2297"/>
      <c r="P802" s="2297"/>
      <c r="Q802" s="2297"/>
      <c r="R802" s="99"/>
      <c r="S802" s="99"/>
      <c r="T802" s="99"/>
      <c r="U802" s="99"/>
      <c r="V802" s="99"/>
      <c r="AF802" s="2297"/>
      <c r="AG802" s="1208"/>
      <c r="AH802" s="1208"/>
      <c r="AI802" s="1223"/>
      <c r="AJ802" s="1223"/>
      <c r="AK802" s="1223"/>
      <c r="AL802" s="1223"/>
      <c r="AM802" s="1223"/>
      <c r="AN802" s="1223"/>
      <c r="AO802" s="1208"/>
      <c r="AP802" s="1223"/>
      <c r="AQ802" s="1208"/>
      <c r="AR802" s="1208"/>
      <c r="AS802" s="1223"/>
      <c r="AT802" s="1223"/>
      <c r="AU802" s="1208"/>
      <c r="AV802" s="1208"/>
      <c r="AW802" s="2297"/>
      <c r="BE802" s="1224"/>
      <c r="BF802" s="1225"/>
      <c r="BR802" s="1224"/>
      <c r="BS802" s="1224"/>
    </row>
    <row r="803" spans="2:71" s="491" customFormat="1">
      <c r="B803" s="2297"/>
      <c r="C803" s="2297"/>
      <c r="D803" s="2297"/>
      <c r="E803" s="2297"/>
      <c r="F803" s="2297"/>
      <c r="G803" s="2297"/>
      <c r="H803" s="2297"/>
      <c r="I803" s="2297"/>
      <c r="J803" s="2297"/>
      <c r="K803" s="2297"/>
      <c r="L803" s="2297"/>
      <c r="M803" s="2297"/>
      <c r="N803" s="2297"/>
      <c r="O803" s="2297"/>
      <c r="P803" s="2297"/>
      <c r="Q803" s="2297"/>
      <c r="R803" s="99"/>
      <c r="S803" s="99"/>
      <c r="T803" s="99"/>
      <c r="U803" s="99"/>
      <c r="V803" s="99"/>
      <c r="AF803" s="2297"/>
      <c r="AG803" s="1208"/>
      <c r="AH803" s="1208"/>
      <c r="AI803" s="1223"/>
      <c r="AJ803" s="1223"/>
      <c r="AK803" s="1223"/>
      <c r="AL803" s="1223"/>
      <c r="AM803" s="1223"/>
      <c r="AN803" s="1223"/>
      <c r="AO803" s="1208"/>
      <c r="AP803" s="1223"/>
      <c r="AQ803" s="1208"/>
      <c r="AR803" s="1208"/>
      <c r="AS803" s="1223"/>
      <c r="AT803" s="1223"/>
      <c r="AU803" s="1208"/>
      <c r="AV803" s="1208"/>
      <c r="AW803" s="2297"/>
      <c r="BE803" s="1224"/>
      <c r="BF803" s="1225"/>
      <c r="BR803" s="1224"/>
      <c r="BS803" s="1224"/>
    </row>
    <row r="804" spans="2:71" s="491" customFormat="1">
      <c r="B804" s="2297"/>
      <c r="C804" s="2297"/>
      <c r="D804" s="2297"/>
      <c r="E804" s="2297"/>
      <c r="F804" s="2297"/>
      <c r="G804" s="2297"/>
      <c r="H804" s="2297"/>
      <c r="I804" s="2297"/>
      <c r="J804" s="2297"/>
      <c r="K804" s="2297"/>
      <c r="L804" s="2297"/>
      <c r="M804" s="2297"/>
      <c r="N804" s="2297"/>
      <c r="O804" s="2297"/>
      <c r="P804" s="2297"/>
      <c r="Q804" s="2297"/>
      <c r="R804" s="99"/>
      <c r="S804" s="99"/>
      <c r="T804" s="99"/>
      <c r="U804" s="99"/>
      <c r="V804" s="99"/>
      <c r="AF804" s="2297"/>
      <c r="AG804" s="1208"/>
      <c r="AH804" s="1208"/>
      <c r="AI804" s="1223"/>
      <c r="AJ804" s="1223"/>
      <c r="AK804" s="1223"/>
      <c r="AL804" s="1223"/>
      <c r="AM804" s="1223"/>
      <c r="AN804" s="1223"/>
      <c r="AO804" s="1208"/>
      <c r="AP804" s="1223"/>
      <c r="AQ804" s="1208"/>
      <c r="AR804" s="1208"/>
      <c r="AS804" s="1223"/>
      <c r="AT804" s="1223"/>
      <c r="AU804" s="1208"/>
      <c r="AV804" s="1208"/>
      <c r="AW804" s="2297"/>
      <c r="BE804" s="1224"/>
      <c r="BF804" s="1225"/>
      <c r="BR804" s="1224"/>
      <c r="BS804" s="1224"/>
    </row>
    <row r="805" spans="2:71" s="491" customFormat="1">
      <c r="B805" s="2297"/>
      <c r="C805" s="2297"/>
      <c r="D805" s="2297"/>
      <c r="E805" s="2297"/>
      <c r="F805" s="2297"/>
      <c r="G805" s="2297"/>
      <c r="H805" s="2297"/>
      <c r="I805" s="2297"/>
      <c r="J805" s="2297"/>
      <c r="K805" s="2297"/>
      <c r="L805" s="2297"/>
      <c r="M805" s="2297"/>
      <c r="N805" s="2297"/>
      <c r="O805" s="2297"/>
      <c r="P805" s="2297"/>
      <c r="Q805" s="2297"/>
      <c r="R805" s="99"/>
      <c r="S805" s="99"/>
      <c r="T805" s="99"/>
      <c r="U805" s="99"/>
      <c r="V805" s="99"/>
      <c r="AF805" s="2297"/>
      <c r="AG805" s="1208"/>
      <c r="AH805" s="1208"/>
      <c r="AI805" s="1223"/>
      <c r="AJ805" s="1223"/>
      <c r="AK805" s="1223"/>
      <c r="AL805" s="1223"/>
      <c r="AM805" s="1223"/>
      <c r="AN805" s="1223"/>
      <c r="AO805" s="1208"/>
      <c r="AP805" s="1223"/>
      <c r="AQ805" s="1208"/>
      <c r="AR805" s="1208"/>
      <c r="AS805" s="1223"/>
      <c r="AT805" s="1223"/>
      <c r="AU805" s="1208"/>
      <c r="AV805" s="1208"/>
      <c r="AW805" s="2297"/>
      <c r="BE805" s="1224"/>
      <c r="BF805" s="1225"/>
      <c r="BR805" s="1224"/>
      <c r="BS805" s="1224"/>
    </row>
    <row r="806" spans="2:71" s="491" customFormat="1">
      <c r="B806" s="2297"/>
      <c r="C806" s="2297"/>
      <c r="D806" s="2297"/>
      <c r="E806" s="2297"/>
      <c r="F806" s="2297"/>
      <c r="G806" s="2297"/>
      <c r="H806" s="2297"/>
      <c r="I806" s="2297"/>
      <c r="J806" s="2297"/>
      <c r="K806" s="2297"/>
      <c r="L806" s="2297"/>
      <c r="M806" s="2297"/>
      <c r="N806" s="2297"/>
      <c r="O806" s="2297"/>
      <c r="P806" s="2297"/>
      <c r="Q806" s="2297"/>
      <c r="R806" s="99"/>
      <c r="S806" s="99"/>
      <c r="T806" s="99"/>
      <c r="U806" s="99"/>
      <c r="V806" s="99"/>
      <c r="AF806" s="2297"/>
      <c r="AG806" s="1208"/>
      <c r="AH806" s="1208"/>
      <c r="AI806" s="1223"/>
      <c r="AJ806" s="1223"/>
      <c r="AK806" s="1223"/>
      <c r="AL806" s="1223"/>
      <c r="AM806" s="1223"/>
      <c r="AN806" s="1223"/>
      <c r="AO806" s="1208"/>
      <c r="AP806" s="1223"/>
      <c r="AQ806" s="1208"/>
      <c r="AR806" s="1208"/>
      <c r="AS806" s="1223"/>
      <c r="AT806" s="1223"/>
      <c r="AU806" s="1208"/>
      <c r="AV806" s="1208"/>
      <c r="AW806" s="2297"/>
      <c r="BE806" s="1224"/>
      <c r="BF806" s="1225"/>
      <c r="BR806" s="1224"/>
      <c r="BS806" s="1224"/>
    </row>
    <row r="807" spans="2:71" s="491" customFormat="1">
      <c r="B807" s="2297"/>
      <c r="C807" s="2297"/>
      <c r="D807" s="2297"/>
      <c r="E807" s="2297"/>
      <c r="F807" s="2297"/>
      <c r="G807" s="2297"/>
      <c r="H807" s="2297"/>
      <c r="I807" s="2297"/>
      <c r="J807" s="2297"/>
      <c r="K807" s="2297"/>
      <c r="L807" s="2297"/>
      <c r="M807" s="2297"/>
      <c r="N807" s="2297"/>
      <c r="O807" s="2297"/>
      <c r="P807" s="2297"/>
      <c r="Q807" s="2297"/>
      <c r="R807" s="99"/>
      <c r="S807" s="99"/>
      <c r="T807" s="99"/>
      <c r="U807" s="99"/>
      <c r="V807" s="99"/>
      <c r="AF807" s="2297"/>
      <c r="AG807" s="1208"/>
      <c r="AH807" s="1208"/>
      <c r="AI807" s="1223"/>
      <c r="AJ807" s="1223"/>
      <c r="AK807" s="1223"/>
      <c r="AL807" s="1223"/>
      <c r="AM807" s="1223"/>
      <c r="AN807" s="1223"/>
      <c r="AO807" s="1208"/>
      <c r="AP807" s="1223"/>
      <c r="AQ807" s="1208"/>
      <c r="AR807" s="1208"/>
      <c r="AS807" s="1223"/>
      <c r="AT807" s="1223"/>
      <c r="AU807" s="1208"/>
      <c r="AV807" s="1208"/>
      <c r="AW807" s="2297"/>
      <c r="BE807" s="1224"/>
      <c r="BF807" s="1225"/>
      <c r="BR807" s="1224"/>
      <c r="BS807" s="1224"/>
    </row>
    <row r="808" spans="2:71" s="491" customFormat="1">
      <c r="B808" s="2297"/>
      <c r="C808" s="2297"/>
      <c r="D808" s="2297"/>
      <c r="E808" s="2297"/>
      <c r="F808" s="2297"/>
      <c r="G808" s="2297"/>
      <c r="H808" s="2297"/>
      <c r="I808" s="2297"/>
      <c r="J808" s="2297"/>
      <c r="K808" s="2297"/>
      <c r="L808" s="2297"/>
      <c r="M808" s="2297"/>
      <c r="N808" s="2297"/>
      <c r="O808" s="2297"/>
      <c r="P808" s="2297"/>
      <c r="Q808" s="2297"/>
      <c r="R808" s="99"/>
      <c r="S808" s="99"/>
      <c r="T808" s="99"/>
      <c r="U808" s="99"/>
      <c r="V808" s="99"/>
      <c r="AF808" s="2297"/>
      <c r="AG808" s="1208"/>
      <c r="AH808" s="1208"/>
      <c r="AI808" s="1223"/>
      <c r="AJ808" s="1223"/>
      <c r="AK808" s="1223"/>
      <c r="AL808" s="1223"/>
      <c r="AM808" s="1223"/>
      <c r="AN808" s="1223"/>
      <c r="AO808" s="1208"/>
      <c r="AP808" s="1223"/>
      <c r="AQ808" s="1208"/>
      <c r="AR808" s="1208"/>
      <c r="AS808" s="1223"/>
      <c r="AT808" s="1223"/>
      <c r="AU808" s="1208"/>
      <c r="AV808" s="1208"/>
      <c r="AW808" s="2297"/>
      <c r="BE808" s="1224"/>
      <c r="BF808" s="1225"/>
      <c r="BR808" s="1224"/>
      <c r="BS808" s="1224"/>
    </row>
    <row r="809" spans="2:71" s="491" customFormat="1">
      <c r="B809" s="2297"/>
      <c r="C809" s="2297"/>
      <c r="D809" s="2297"/>
      <c r="E809" s="2297"/>
      <c r="F809" s="2297"/>
      <c r="G809" s="2297"/>
      <c r="H809" s="2297"/>
      <c r="I809" s="2297"/>
      <c r="J809" s="2297"/>
      <c r="K809" s="2297"/>
      <c r="L809" s="2297"/>
      <c r="M809" s="2297"/>
      <c r="N809" s="2297"/>
      <c r="O809" s="2297"/>
      <c r="P809" s="2297"/>
      <c r="Q809" s="2297"/>
      <c r="R809" s="99"/>
      <c r="S809" s="99"/>
      <c r="T809" s="99"/>
      <c r="U809" s="99"/>
      <c r="V809" s="99"/>
      <c r="AF809" s="2297"/>
      <c r="AG809" s="1208"/>
      <c r="AH809" s="1208"/>
      <c r="AI809" s="1223"/>
      <c r="AJ809" s="1223"/>
      <c r="AK809" s="1223"/>
      <c r="AL809" s="1223"/>
      <c r="AM809" s="1223"/>
      <c r="AN809" s="1223"/>
      <c r="AO809" s="1208"/>
      <c r="AP809" s="1223"/>
      <c r="AQ809" s="1208"/>
      <c r="AR809" s="1208"/>
      <c r="AS809" s="1223"/>
      <c r="AT809" s="1223"/>
      <c r="AU809" s="1208"/>
      <c r="AV809" s="1208"/>
      <c r="AW809" s="2297"/>
      <c r="BE809" s="1224"/>
      <c r="BF809" s="1225"/>
      <c r="BR809" s="1224"/>
      <c r="BS809" s="1224"/>
    </row>
    <row r="810" spans="2:71" s="491" customFormat="1">
      <c r="B810" s="2297"/>
      <c r="C810" s="2297"/>
      <c r="D810" s="2297"/>
      <c r="E810" s="2297"/>
      <c r="F810" s="2297"/>
      <c r="G810" s="2297"/>
      <c r="H810" s="2297"/>
      <c r="I810" s="2297"/>
      <c r="J810" s="2297"/>
      <c r="K810" s="2297"/>
      <c r="L810" s="2297"/>
      <c r="M810" s="2297"/>
      <c r="N810" s="2297"/>
      <c r="O810" s="2297"/>
      <c r="P810" s="2297"/>
      <c r="Q810" s="2297"/>
      <c r="R810" s="99"/>
      <c r="S810" s="99"/>
      <c r="T810" s="99"/>
      <c r="U810" s="99"/>
      <c r="V810" s="99"/>
      <c r="AF810" s="2297"/>
      <c r="AG810" s="1208"/>
      <c r="AH810" s="1208"/>
      <c r="AI810" s="1223"/>
      <c r="AJ810" s="1223"/>
      <c r="AK810" s="1223"/>
      <c r="AL810" s="1223"/>
      <c r="AM810" s="1223"/>
      <c r="AN810" s="1223"/>
      <c r="AO810" s="1208"/>
      <c r="AP810" s="1223"/>
      <c r="AQ810" s="1208"/>
      <c r="AR810" s="1208"/>
      <c r="AS810" s="1223"/>
      <c r="AT810" s="1223"/>
      <c r="AU810" s="1208"/>
      <c r="AV810" s="1208"/>
      <c r="AW810" s="2297"/>
      <c r="BE810" s="1224"/>
      <c r="BF810" s="1225"/>
      <c r="BR810" s="1224"/>
      <c r="BS810" s="1224"/>
    </row>
    <row r="811" spans="2:71" s="491" customFormat="1">
      <c r="B811" s="2297"/>
      <c r="C811" s="2297"/>
      <c r="D811" s="2297"/>
      <c r="E811" s="2297"/>
      <c r="F811" s="2297"/>
      <c r="G811" s="2297"/>
      <c r="H811" s="2297"/>
      <c r="I811" s="2297"/>
      <c r="J811" s="2297"/>
      <c r="K811" s="2297"/>
      <c r="L811" s="2297"/>
      <c r="M811" s="2297"/>
      <c r="N811" s="2297"/>
      <c r="O811" s="2297"/>
      <c r="P811" s="2297"/>
      <c r="Q811" s="2297"/>
      <c r="R811" s="99"/>
      <c r="S811" s="99"/>
      <c r="T811" s="99"/>
      <c r="U811" s="99"/>
      <c r="V811" s="99"/>
      <c r="AF811" s="2297"/>
      <c r="AG811" s="1208"/>
      <c r="AH811" s="1208"/>
      <c r="AI811" s="1223"/>
      <c r="AJ811" s="1223"/>
      <c r="AK811" s="1223"/>
      <c r="AL811" s="1223"/>
      <c r="AM811" s="1223"/>
      <c r="AN811" s="1223"/>
      <c r="AO811" s="1208"/>
      <c r="AP811" s="1223"/>
      <c r="AQ811" s="1208"/>
      <c r="AR811" s="1208"/>
      <c r="AS811" s="1223"/>
      <c r="AT811" s="1223"/>
      <c r="AU811" s="1208"/>
      <c r="AV811" s="1208"/>
      <c r="AW811" s="2297"/>
      <c r="BE811" s="1224"/>
      <c r="BF811" s="1225"/>
      <c r="BR811" s="1224"/>
      <c r="BS811" s="1224"/>
    </row>
    <row r="812" spans="2:71" s="491" customFormat="1">
      <c r="B812" s="2297"/>
      <c r="C812" s="2297"/>
      <c r="D812" s="2297"/>
      <c r="E812" s="2297"/>
      <c r="F812" s="2297"/>
      <c r="G812" s="2297"/>
      <c r="H812" s="2297"/>
      <c r="I812" s="2297"/>
      <c r="J812" s="2297"/>
      <c r="K812" s="2297"/>
      <c r="L812" s="2297"/>
      <c r="M812" s="2297"/>
      <c r="N812" s="2297"/>
      <c r="O812" s="2297"/>
      <c r="P812" s="2297"/>
      <c r="Q812" s="2297"/>
      <c r="R812" s="99"/>
      <c r="S812" s="99"/>
      <c r="T812" s="99"/>
      <c r="U812" s="99"/>
      <c r="V812" s="99"/>
      <c r="AF812" s="2297"/>
      <c r="AG812" s="1208"/>
      <c r="AH812" s="1208"/>
      <c r="AI812" s="1223"/>
      <c r="AJ812" s="1223"/>
      <c r="AK812" s="1223"/>
      <c r="AL812" s="1223"/>
      <c r="AM812" s="1223"/>
      <c r="AN812" s="1223"/>
      <c r="AO812" s="1208"/>
      <c r="AP812" s="1223"/>
      <c r="AQ812" s="1208"/>
      <c r="AR812" s="1208"/>
      <c r="AS812" s="1223"/>
      <c r="AT812" s="1223"/>
      <c r="AU812" s="1208"/>
      <c r="AV812" s="1208"/>
      <c r="AW812" s="2297"/>
      <c r="BE812" s="1224"/>
      <c r="BF812" s="1225"/>
      <c r="BR812" s="1224"/>
      <c r="BS812" s="1224"/>
    </row>
    <row r="813" spans="2:71" s="491" customFormat="1">
      <c r="B813" s="2297"/>
      <c r="C813" s="2297"/>
      <c r="D813" s="2297"/>
      <c r="E813" s="2297"/>
      <c r="F813" s="2297"/>
      <c r="G813" s="2297"/>
      <c r="H813" s="2297"/>
      <c r="I813" s="2297"/>
      <c r="J813" s="2297"/>
      <c r="K813" s="2297"/>
      <c r="L813" s="2297"/>
      <c r="M813" s="2297"/>
      <c r="N813" s="2297"/>
      <c r="O813" s="2297"/>
      <c r="P813" s="2297"/>
      <c r="Q813" s="2297"/>
      <c r="R813" s="99"/>
      <c r="S813" s="99"/>
      <c r="T813" s="99"/>
      <c r="U813" s="99"/>
      <c r="V813" s="99"/>
      <c r="AF813" s="2297"/>
      <c r="AG813" s="1208"/>
      <c r="AH813" s="1208"/>
      <c r="AI813" s="1223"/>
      <c r="AJ813" s="1223"/>
      <c r="AK813" s="1223"/>
      <c r="AL813" s="1223"/>
      <c r="AM813" s="1223"/>
      <c r="AN813" s="1223"/>
      <c r="AO813" s="1208"/>
      <c r="AP813" s="1223"/>
      <c r="AQ813" s="1208"/>
      <c r="AR813" s="1208"/>
      <c r="AS813" s="1223"/>
      <c r="AT813" s="1223"/>
      <c r="AU813" s="1208"/>
      <c r="AV813" s="1208"/>
      <c r="AW813" s="2297"/>
      <c r="BE813" s="1224"/>
      <c r="BF813" s="1225"/>
      <c r="BR813" s="1224"/>
      <c r="BS813" s="1224"/>
    </row>
    <row r="814" spans="2:71" s="491" customFormat="1">
      <c r="B814" s="2297"/>
      <c r="C814" s="2297"/>
      <c r="D814" s="2297"/>
      <c r="E814" s="2297"/>
      <c r="F814" s="2297"/>
      <c r="G814" s="2297"/>
      <c r="H814" s="2297"/>
      <c r="I814" s="2297"/>
      <c r="J814" s="2297"/>
      <c r="K814" s="2297"/>
      <c r="L814" s="2297"/>
      <c r="M814" s="2297"/>
      <c r="N814" s="2297"/>
      <c r="O814" s="2297"/>
      <c r="P814" s="2297"/>
      <c r="Q814" s="2297"/>
      <c r="R814" s="99"/>
      <c r="S814" s="99"/>
      <c r="T814" s="99"/>
      <c r="U814" s="99"/>
      <c r="V814" s="99"/>
      <c r="AF814" s="2297"/>
      <c r="AG814" s="1208"/>
      <c r="AH814" s="1208"/>
      <c r="AI814" s="1223"/>
      <c r="AJ814" s="1223"/>
      <c r="AK814" s="1223"/>
      <c r="AL814" s="1223"/>
      <c r="AM814" s="1223"/>
      <c r="AN814" s="1223"/>
      <c r="AO814" s="1208"/>
      <c r="AP814" s="1223"/>
      <c r="AQ814" s="1208"/>
      <c r="AR814" s="1208"/>
      <c r="AS814" s="1223"/>
      <c r="AT814" s="1223"/>
      <c r="AU814" s="1208"/>
      <c r="AV814" s="1208"/>
      <c r="AW814" s="2297"/>
      <c r="BE814" s="1224"/>
      <c r="BF814" s="1225"/>
      <c r="BR814" s="1224"/>
      <c r="BS814" s="1224"/>
    </row>
    <row r="815" spans="2:71" s="491" customFormat="1">
      <c r="B815" s="2297"/>
      <c r="C815" s="2297"/>
      <c r="D815" s="2297"/>
      <c r="E815" s="2297"/>
      <c r="F815" s="2297"/>
      <c r="G815" s="2297"/>
      <c r="H815" s="2297"/>
      <c r="I815" s="2297"/>
      <c r="J815" s="2297"/>
      <c r="K815" s="2297"/>
      <c r="L815" s="2297"/>
      <c r="M815" s="2297"/>
      <c r="N815" s="2297"/>
      <c r="O815" s="2297"/>
      <c r="P815" s="2297"/>
      <c r="Q815" s="2297"/>
      <c r="R815" s="99"/>
      <c r="S815" s="99"/>
      <c r="T815" s="99"/>
      <c r="U815" s="99"/>
      <c r="V815" s="99"/>
      <c r="AF815" s="2297"/>
      <c r="AG815" s="1208"/>
      <c r="AH815" s="1208"/>
      <c r="AI815" s="1223"/>
      <c r="AJ815" s="1223"/>
      <c r="AK815" s="1223"/>
      <c r="AL815" s="1223"/>
      <c r="AM815" s="1223"/>
      <c r="AN815" s="1223"/>
      <c r="AO815" s="1208"/>
      <c r="AP815" s="1223"/>
      <c r="AQ815" s="1208"/>
      <c r="AR815" s="1208"/>
      <c r="AS815" s="1223"/>
      <c r="AT815" s="1223"/>
      <c r="AU815" s="1208"/>
      <c r="AV815" s="1208"/>
      <c r="AW815" s="2297"/>
      <c r="BE815" s="1224"/>
      <c r="BF815" s="1225"/>
      <c r="BR815" s="1224"/>
      <c r="BS815" s="1224"/>
    </row>
    <row r="816" spans="2:71" s="491" customFormat="1">
      <c r="B816" s="2297"/>
      <c r="C816" s="2297"/>
      <c r="D816" s="2297"/>
      <c r="E816" s="2297"/>
      <c r="F816" s="2297"/>
      <c r="G816" s="2297"/>
      <c r="H816" s="2297"/>
      <c r="I816" s="2297"/>
      <c r="J816" s="2297"/>
      <c r="K816" s="2297"/>
      <c r="L816" s="2297"/>
      <c r="M816" s="2297"/>
      <c r="N816" s="2297"/>
      <c r="O816" s="2297"/>
      <c r="P816" s="2297"/>
      <c r="Q816" s="2297"/>
      <c r="R816" s="99"/>
      <c r="S816" s="99"/>
      <c r="T816" s="99"/>
      <c r="U816" s="99"/>
      <c r="V816" s="99"/>
      <c r="AF816" s="2297"/>
      <c r="AG816" s="1208"/>
      <c r="AH816" s="1208"/>
      <c r="AI816" s="1223"/>
      <c r="AJ816" s="1223"/>
      <c r="AK816" s="1223"/>
      <c r="AL816" s="1223"/>
      <c r="AM816" s="1223"/>
      <c r="AN816" s="1223"/>
      <c r="AO816" s="1208"/>
      <c r="AP816" s="1223"/>
      <c r="AQ816" s="1208"/>
      <c r="AR816" s="1208"/>
      <c r="AS816" s="1223"/>
      <c r="AT816" s="1223"/>
      <c r="AU816" s="1208"/>
      <c r="AV816" s="1208"/>
      <c r="AW816" s="2297"/>
      <c r="BE816" s="1224"/>
      <c r="BF816" s="1225"/>
      <c r="BR816" s="1224"/>
      <c r="BS816" s="1224"/>
    </row>
    <row r="817" spans="2:71" s="491" customFormat="1">
      <c r="B817" s="2297"/>
      <c r="C817" s="2297"/>
      <c r="D817" s="2297"/>
      <c r="E817" s="2297"/>
      <c r="F817" s="2297"/>
      <c r="G817" s="2297"/>
      <c r="H817" s="2297"/>
      <c r="I817" s="2297"/>
      <c r="J817" s="2297"/>
      <c r="K817" s="2297"/>
      <c r="L817" s="2297"/>
      <c r="M817" s="2297"/>
      <c r="N817" s="2297"/>
      <c r="O817" s="2297"/>
      <c r="P817" s="2297"/>
      <c r="Q817" s="2297"/>
      <c r="R817" s="99"/>
      <c r="S817" s="99"/>
      <c r="T817" s="99"/>
      <c r="U817" s="99"/>
      <c r="V817" s="99"/>
      <c r="AF817" s="2297"/>
      <c r="AG817" s="1208"/>
      <c r="AH817" s="1208"/>
      <c r="AI817" s="1223"/>
      <c r="AJ817" s="1223"/>
      <c r="AK817" s="1223"/>
      <c r="AL817" s="1223"/>
      <c r="AM817" s="1223"/>
      <c r="AN817" s="1223"/>
      <c r="AO817" s="1208"/>
      <c r="AP817" s="1223"/>
      <c r="AQ817" s="1208"/>
      <c r="AR817" s="1208"/>
      <c r="AS817" s="1223"/>
      <c r="AT817" s="1223"/>
      <c r="AU817" s="1208"/>
      <c r="AV817" s="1208"/>
      <c r="AW817" s="2297"/>
      <c r="BE817" s="1224"/>
      <c r="BF817" s="1225"/>
      <c r="BR817" s="1224"/>
      <c r="BS817" s="1224"/>
    </row>
    <row r="818" spans="2:71" s="491" customFormat="1">
      <c r="B818" s="2297"/>
      <c r="C818" s="2297"/>
      <c r="D818" s="2297"/>
      <c r="E818" s="2297"/>
      <c r="F818" s="2297"/>
      <c r="G818" s="2297"/>
      <c r="H818" s="2297"/>
      <c r="I818" s="2297"/>
      <c r="J818" s="2297"/>
      <c r="K818" s="2297"/>
      <c r="L818" s="2297"/>
      <c r="M818" s="2297"/>
      <c r="N818" s="2297"/>
      <c r="O818" s="2297"/>
      <c r="P818" s="2297"/>
      <c r="Q818" s="2297"/>
      <c r="R818" s="99"/>
      <c r="S818" s="99"/>
      <c r="T818" s="99"/>
      <c r="U818" s="99"/>
      <c r="V818" s="99"/>
      <c r="AF818" s="2297"/>
      <c r="AG818" s="1208"/>
      <c r="AH818" s="1208"/>
      <c r="AI818" s="1223"/>
      <c r="AJ818" s="1223"/>
      <c r="AK818" s="1223"/>
      <c r="AL818" s="1223"/>
      <c r="AM818" s="1223"/>
      <c r="AN818" s="1223"/>
      <c r="AO818" s="1208"/>
      <c r="AP818" s="1223"/>
      <c r="AQ818" s="1208"/>
      <c r="AR818" s="1208"/>
      <c r="AS818" s="1223"/>
      <c r="AT818" s="1223"/>
      <c r="AU818" s="1208"/>
      <c r="AV818" s="1208"/>
      <c r="AW818" s="2297"/>
      <c r="BE818" s="1224"/>
      <c r="BF818" s="1225"/>
      <c r="BR818" s="1224"/>
      <c r="BS818" s="1224"/>
    </row>
    <row r="819" spans="2:71" s="491" customFormat="1">
      <c r="B819" s="2297"/>
      <c r="C819" s="2297"/>
      <c r="D819" s="2297"/>
      <c r="E819" s="2297"/>
      <c r="F819" s="2297"/>
      <c r="G819" s="2297"/>
      <c r="H819" s="2297"/>
      <c r="I819" s="2297"/>
      <c r="J819" s="2297"/>
      <c r="K819" s="2297"/>
      <c r="L819" s="2297"/>
      <c r="M819" s="2297"/>
      <c r="N819" s="2297"/>
      <c r="O819" s="2297"/>
      <c r="P819" s="2297"/>
      <c r="Q819" s="2297"/>
      <c r="R819" s="99"/>
      <c r="S819" s="99"/>
      <c r="T819" s="99"/>
      <c r="U819" s="99"/>
      <c r="V819" s="99"/>
      <c r="AF819" s="2297"/>
      <c r="AG819" s="1208"/>
      <c r="AH819" s="1208"/>
      <c r="AI819" s="1223"/>
      <c r="AJ819" s="1223"/>
      <c r="AK819" s="1223"/>
      <c r="AL819" s="1223"/>
      <c r="AM819" s="1223"/>
      <c r="AN819" s="1223"/>
      <c r="AO819" s="1208"/>
      <c r="AP819" s="1223"/>
      <c r="AQ819" s="1208"/>
      <c r="AR819" s="1208"/>
      <c r="AS819" s="1223"/>
      <c r="AT819" s="1223"/>
      <c r="AU819" s="1208"/>
      <c r="AV819" s="1208"/>
      <c r="AW819" s="2297"/>
      <c r="BE819" s="1224"/>
      <c r="BF819" s="1225"/>
      <c r="BR819" s="1224"/>
      <c r="BS819" s="1224"/>
    </row>
    <row r="820" spans="2:71" s="491" customFormat="1">
      <c r="B820" s="2297"/>
      <c r="C820" s="2297"/>
      <c r="D820" s="2297"/>
      <c r="E820" s="2297"/>
      <c r="F820" s="2297"/>
      <c r="G820" s="2297"/>
      <c r="H820" s="2297"/>
      <c r="I820" s="2297"/>
      <c r="J820" s="2297"/>
      <c r="K820" s="2297"/>
      <c r="L820" s="2297"/>
      <c r="M820" s="2297"/>
      <c r="N820" s="2297"/>
      <c r="O820" s="2297"/>
      <c r="P820" s="2297"/>
      <c r="Q820" s="2297"/>
      <c r="R820" s="99"/>
      <c r="S820" s="99"/>
      <c r="T820" s="99"/>
      <c r="U820" s="99"/>
      <c r="V820" s="99"/>
      <c r="AF820" s="2297"/>
      <c r="AG820" s="1208"/>
      <c r="AH820" s="1208"/>
      <c r="AI820" s="1223"/>
      <c r="AJ820" s="1223"/>
      <c r="AK820" s="1223"/>
      <c r="AL820" s="1223"/>
      <c r="AM820" s="1223"/>
      <c r="AN820" s="1223"/>
      <c r="AO820" s="1208"/>
      <c r="AP820" s="1223"/>
      <c r="AQ820" s="1208"/>
      <c r="AR820" s="1208"/>
      <c r="AS820" s="1223"/>
      <c r="AT820" s="1223"/>
      <c r="AU820" s="1208"/>
      <c r="AV820" s="1208"/>
      <c r="AW820" s="2297"/>
      <c r="BE820" s="1224"/>
      <c r="BF820" s="1225"/>
      <c r="BR820" s="1224"/>
      <c r="BS820" s="1224"/>
    </row>
    <row r="821" spans="2:71" s="491" customFormat="1">
      <c r="B821" s="2297"/>
      <c r="C821" s="2297"/>
      <c r="D821" s="2297"/>
      <c r="E821" s="2297"/>
      <c r="F821" s="2297"/>
      <c r="G821" s="2297"/>
      <c r="H821" s="2297"/>
      <c r="I821" s="2297"/>
      <c r="J821" s="2297"/>
      <c r="K821" s="2297"/>
      <c r="L821" s="2297"/>
      <c r="M821" s="2297"/>
      <c r="N821" s="2297"/>
      <c r="O821" s="2297"/>
      <c r="P821" s="2297"/>
      <c r="Q821" s="2297"/>
      <c r="R821" s="99"/>
      <c r="S821" s="99"/>
      <c r="T821" s="99"/>
      <c r="U821" s="99"/>
      <c r="V821" s="99"/>
      <c r="AF821" s="2297"/>
      <c r="AG821" s="1208"/>
      <c r="AH821" s="1208"/>
      <c r="AI821" s="1223"/>
      <c r="AJ821" s="1223"/>
      <c r="AK821" s="1223"/>
      <c r="AL821" s="1223"/>
      <c r="AM821" s="1223"/>
      <c r="AN821" s="1223"/>
      <c r="AO821" s="1208"/>
      <c r="AP821" s="1223"/>
      <c r="AQ821" s="1208"/>
      <c r="AR821" s="1208"/>
      <c r="AS821" s="1223"/>
      <c r="AT821" s="1223"/>
      <c r="AU821" s="1208"/>
      <c r="AV821" s="1208"/>
      <c r="AW821" s="2297"/>
      <c r="BE821" s="1224"/>
      <c r="BF821" s="1225"/>
      <c r="BR821" s="1224"/>
      <c r="BS821" s="1224"/>
    </row>
    <row r="822" spans="2:71" s="491" customFormat="1">
      <c r="B822" s="2297"/>
      <c r="C822" s="2297"/>
      <c r="D822" s="2297"/>
      <c r="E822" s="2297"/>
      <c r="F822" s="2297"/>
      <c r="G822" s="2297"/>
      <c r="H822" s="2297"/>
      <c r="I822" s="2297"/>
      <c r="J822" s="2297"/>
      <c r="K822" s="2297"/>
      <c r="L822" s="2297"/>
      <c r="M822" s="2297"/>
      <c r="N822" s="2297"/>
      <c r="O822" s="2297"/>
      <c r="P822" s="2297"/>
      <c r="Q822" s="2297"/>
      <c r="R822" s="99"/>
      <c r="S822" s="99"/>
      <c r="T822" s="99"/>
      <c r="U822" s="99"/>
      <c r="V822" s="99"/>
      <c r="AF822" s="2297"/>
      <c r="AG822" s="1208"/>
      <c r="AH822" s="1208"/>
      <c r="AI822" s="1223"/>
      <c r="AJ822" s="1223"/>
      <c r="AK822" s="1223"/>
      <c r="AL822" s="1223"/>
      <c r="AM822" s="1223"/>
      <c r="AN822" s="1223"/>
      <c r="AO822" s="1208"/>
      <c r="AP822" s="1223"/>
      <c r="AQ822" s="1208"/>
      <c r="AR822" s="1208"/>
      <c r="AS822" s="1223"/>
      <c r="AT822" s="1223"/>
      <c r="AU822" s="1208"/>
      <c r="AV822" s="1208"/>
      <c r="AW822" s="2297"/>
      <c r="BE822" s="1224"/>
      <c r="BF822" s="1225"/>
      <c r="BR822" s="1224"/>
      <c r="BS822" s="1224"/>
    </row>
    <row r="823" spans="2:71" s="491" customFormat="1">
      <c r="B823" s="2297"/>
      <c r="C823" s="2297"/>
      <c r="D823" s="2297"/>
      <c r="E823" s="2297"/>
      <c r="F823" s="2297"/>
      <c r="G823" s="2297"/>
      <c r="H823" s="2297"/>
      <c r="I823" s="2297"/>
      <c r="J823" s="2297"/>
      <c r="K823" s="2297"/>
      <c r="L823" s="2297"/>
      <c r="M823" s="2297"/>
      <c r="N823" s="2297"/>
      <c r="O823" s="2297"/>
      <c r="P823" s="2297"/>
      <c r="Q823" s="2297"/>
      <c r="R823" s="99"/>
      <c r="S823" s="99"/>
      <c r="T823" s="99"/>
      <c r="U823" s="99"/>
      <c r="V823" s="99"/>
      <c r="AF823" s="2297"/>
      <c r="AG823" s="1208"/>
      <c r="AH823" s="1208"/>
      <c r="AI823" s="1223"/>
      <c r="AJ823" s="1223"/>
      <c r="AK823" s="1223"/>
      <c r="AL823" s="1223"/>
      <c r="AM823" s="1223"/>
      <c r="AN823" s="1223"/>
      <c r="AO823" s="1208"/>
      <c r="AP823" s="1223"/>
      <c r="AQ823" s="1208"/>
      <c r="AR823" s="1208"/>
      <c r="AS823" s="1223"/>
      <c r="AT823" s="1223"/>
      <c r="AU823" s="1208"/>
      <c r="AV823" s="1208"/>
      <c r="AW823" s="2297"/>
      <c r="BE823" s="1224"/>
      <c r="BF823" s="1225"/>
      <c r="BR823" s="1224"/>
      <c r="BS823" s="1224"/>
    </row>
    <row r="824" spans="2:71" s="491" customFormat="1">
      <c r="B824" s="2297"/>
      <c r="C824" s="2297"/>
      <c r="D824" s="2297"/>
      <c r="E824" s="2297"/>
      <c r="F824" s="2297"/>
      <c r="G824" s="2297"/>
      <c r="H824" s="2297"/>
      <c r="I824" s="2297"/>
      <c r="J824" s="2297"/>
      <c r="K824" s="2297"/>
      <c r="L824" s="2297"/>
      <c r="M824" s="2297"/>
      <c r="N824" s="2297"/>
      <c r="O824" s="2297"/>
      <c r="P824" s="2297"/>
      <c r="Q824" s="2297"/>
      <c r="R824" s="99"/>
      <c r="S824" s="99"/>
      <c r="T824" s="99"/>
      <c r="U824" s="99"/>
      <c r="V824" s="99"/>
      <c r="AF824" s="2297"/>
      <c r="AG824" s="1208"/>
      <c r="AH824" s="1208"/>
      <c r="AI824" s="1223"/>
      <c r="AJ824" s="1223"/>
      <c r="AK824" s="1223"/>
      <c r="AL824" s="1223"/>
      <c r="AM824" s="1223"/>
      <c r="AN824" s="1223"/>
      <c r="AO824" s="1208"/>
      <c r="AP824" s="1223"/>
      <c r="AQ824" s="1208"/>
      <c r="AR824" s="1208"/>
      <c r="AS824" s="1223"/>
      <c r="AT824" s="1223"/>
      <c r="AU824" s="1208"/>
      <c r="AV824" s="1208"/>
      <c r="AW824" s="2297"/>
      <c r="BE824" s="1224"/>
      <c r="BF824" s="1225"/>
      <c r="BR824" s="1224"/>
      <c r="BS824" s="1224"/>
    </row>
    <row r="825" spans="2:71" s="491" customFormat="1">
      <c r="B825" s="2297"/>
      <c r="C825" s="2297"/>
      <c r="D825" s="2297"/>
      <c r="E825" s="2297"/>
      <c r="F825" s="2297"/>
      <c r="G825" s="2297"/>
      <c r="H825" s="2297"/>
      <c r="I825" s="2297"/>
      <c r="J825" s="2297"/>
      <c r="K825" s="2297"/>
      <c r="L825" s="2297"/>
      <c r="M825" s="2297"/>
      <c r="N825" s="2297"/>
      <c r="O825" s="2297"/>
      <c r="P825" s="2297"/>
      <c r="Q825" s="2297"/>
      <c r="R825" s="99"/>
      <c r="S825" s="99"/>
      <c r="T825" s="99"/>
      <c r="U825" s="99"/>
      <c r="V825" s="99"/>
      <c r="AF825" s="2297"/>
      <c r="AG825" s="1208"/>
      <c r="AH825" s="1208"/>
      <c r="AI825" s="1223"/>
      <c r="AJ825" s="1223"/>
      <c r="AK825" s="1223"/>
      <c r="AL825" s="1223"/>
      <c r="AM825" s="1223"/>
      <c r="AN825" s="1223"/>
      <c r="AO825" s="1208"/>
      <c r="AP825" s="1223"/>
      <c r="AQ825" s="1208"/>
      <c r="AR825" s="1208"/>
      <c r="AS825" s="1223"/>
      <c r="AT825" s="1223"/>
      <c r="AU825" s="1208"/>
      <c r="AV825" s="1208"/>
      <c r="AW825" s="2297"/>
      <c r="BE825" s="1224"/>
      <c r="BF825" s="1225"/>
      <c r="BR825" s="1224"/>
      <c r="BS825" s="1224"/>
    </row>
    <row r="826" spans="2:71" s="491" customFormat="1">
      <c r="B826" s="2297"/>
      <c r="C826" s="2297"/>
      <c r="D826" s="2297"/>
      <c r="E826" s="2297"/>
      <c r="F826" s="2297"/>
      <c r="G826" s="2297"/>
      <c r="H826" s="2297"/>
      <c r="I826" s="2297"/>
      <c r="J826" s="2297"/>
      <c r="K826" s="2297"/>
      <c r="L826" s="2297"/>
      <c r="M826" s="2297"/>
      <c r="N826" s="2297"/>
      <c r="O826" s="2297"/>
      <c r="P826" s="2297"/>
      <c r="Q826" s="2297"/>
      <c r="R826" s="99"/>
      <c r="S826" s="99"/>
      <c r="T826" s="99"/>
      <c r="U826" s="99"/>
      <c r="V826" s="99"/>
      <c r="AF826" s="2297"/>
      <c r="AG826" s="1208"/>
      <c r="AH826" s="1208"/>
      <c r="AI826" s="1223"/>
      <c r="AJ826" s="1223"/>
      <c r="AK826" s="1223"/>
      <c r="AL826" s="1223"/>
      <c r="AM826" s="1223"/>
      <c r="AN826" s="1223"/>
      <c r="AO826" s="1208"/>
      <c r="AP826" s="1223"/>
      <c r="AQ826" s="1208"/>
      <c r="AR826" s="1208"/>
      <c r="AS826" s="1223"/>
      <c r="AT826" s="1223"/>
      <c r="AU826" s="1208"/>
      <c r="AV826" s="1208"/>
      <c r="AW826" s="2297"/>
      <c r="BE826" s="1224"/>
      <c r="BF826" s="1225"/>
      <c r="BR826" s="1224"/>
      <c r="BS826" s="1224"/>
    </row>
    <row r="827" spans="2:71" s="491" customFormat="1">
      <c r="B827" s="2297"/>
      <c r="C827" s="2297"/>
      <c r="D827" s="2297"/>
      <c r="E827" s="2297"/>
      <c r="F827" s="2297"/>
      <c r="G827" s="2297"/>
      <c r="H827" s="2297"/>
      <c r="I827" s="2297"/>
      <c r="J827" s="2297"/>
      <c r="K827" s="2297"/>
      <c r="L827" s="2297"/>
      <c r="M827" s="2297"/>
      <c r="N827" s="2297"/>
      <c r="O827" s="2297"/>
      <c r="P827" s="2297"/>
      <c r="Q827" s="2297"/>
      <c r="R827" s="99"/>
      <c r="S827" s="99"/>
      <c r="T827" s="99"/>
      <c r="U827" s="99"/>
      <c r="V827" s="99"/>
      <c r="AF827" s="2297"/>
      <c r="AG827" s="1208"/>
      <c r="AH827" s="1208"/>
      <c r="AI827" s="1223"/>
      <c r="AJ827" s="1223"/>
      <c r="AK827" s="1223"/>
      <c r="AL827" s="1223"/>
      <c r="AM827" s="1223"/>
      <c r="AN827" s="1223"/>
      <c r="AO827" s="1208"/>
      <c r="AP827" s="1223"/>
      <c r="AQ827" s="1208"/>
      <c r="AR827" s="1208"/>
      <c r="AS827" s="1223"/>
      <c r="AT827" s="1223"/>
      <c r="AU827" s="1208"/>
      <c r="AV827" s="1208"/>
      <c r="AW827" s="2297"/>
      <c r="BE827" s="1224"/>
      <c r="BF827" s="1225"/>
      <c r="BR827" s="1224"/>
      <c r="BS827" s="1224"/>
    </row>
    <row r="828" spans="2:71" s="491" customFormat="1">
      <c r="B828" s="2297"/>
      <c r="C828" s="2297"/>
      <c r="D828" s="2297"/>
      <c r="E828" s="2297"/>
      <c r="F828" s="2297"/>
      <c r="G828" s="2297"/>
      <c r="H828" s="2297"/>
      <c r="I828" s="2297"/>
      <c r="J828" s="2297"/>
      <c r="K828" s="2297"/>
      <c r="L828" s="2297"/>
      <c r="M828" s="2297"/>
      <c r="N828" s="2297"/>
      <c r="O828" s="2297"/>
      <c r="P828" s="2297"/>
      <c r="Q828" s="2297"/>
      <c r="R828" s="99"/>
      <c r="S828" s="99"/>
      <c r="T828" s="99"/>
      <c r="U828" s="99"/>
      <c r="V828" s="99"/>
      <c r="AF828" s="2297"/>
      <c r="AG828" s="1208"/>
      <c r="AH828" s="1208"/>
      <c r="AI828" s="1223"/>
      <c r="AJ828" s="1223"/>
      <c r="AK828" s="1223"/>
      <c r="AL828" s="1223"/>
      <c r="AM828" s="1223"/>
      <c r="AN828" s="1223"/>
      <c r="AO828" s="1208"/>
      <c r="AP828" s="1223"/>
      <c r="AQ828" s="1208"/>
      <c r="AR828" s="1208"/>
      <c r="AS828" s="1223"/>
      <c r="AT828" s="1223"/>
      <c r="AU828" s="1208"/>
      <c r="AV828" s="1208"/>
      <c r="AW828" s="2297"/>
      <c r="BE828" s="1224"/>
      <c r="BF828" s="1225"/>
      <c r="BR828" s="1224"/>
      <c r="BS828" s="1224"/>
    </row>
    <row r="829" spans="2:71" s="491" customFormat="1">
      <c r="B829" s="2297"/>
      <c r="C829" s="2297"/>
      <c r="D829" s="2297"/>
      <c r="E829" s="2297"/>
      <c r="F829" s="2297"/>
      <c r="G829" s="2297"/>
      <c r="H829" s="2297"/>
      <c r="I829" s="2297"/>
      <c r="J829" s="2297"/>
      <c r="K829" s="2297"/>
      <c r="L829" s="2297"/>
      <c r="M829" s="2297"/>
      <c r="N829" s="2297"/>
      <c r="O829" s="2297"/>
      <c r="P829" s="2297"/>
      <c r="Q829" s="2297"/>
      <c r="R829" s="99"/>
      <c r="S829" s="99"/>
      <c r="T829" s="99"/>
      <c r="U829" s="99"/>
      <c r="V829" s="99"/>
      <c r="AF829" s="2297"/>
      <c r="AG829" s="1208"/>
      <c r="AH829" s="1208"/>
      <c r="AI829" s="1223"/>
      <c r="AJ829" s="1223"/>
      <c r="AK829" s="1223"/>
      <c r="AL829" s="1223"/>
      <c r="AM829" s="1223"/>
      <c r="AN829" s="1223"/>
      <c r="AO829" s="1208"/>
      <c r="AP829" s="1223"/>
      <c r="AQ829" s="1208"/>
      <c r="AR829" s="1208"/>
      <c r="AS829" s="1223"/>
      <c r="AT829" s="1223"/>
      <c r="AU829" s="1208"/>
      <c r="AV829" s="1208"/>
      <c r="AW829" s="2297"/>
      <c r="BE829" s="1224"/>
      <c r="BF829" s="1225"/>
      <c r="BR829" s="1224"/>
      <c r="BS829" s="1224"/>
    </row>
    <row r="830" spans="2:71" s="491" customFormat="1">
      <c r="B830" s="2297"/>
      <c r="C830" s="2297"/>
      <c r="D830" s="2297"/>
      <c r="E830" s="2297"/>
      <c r="F830" s="2297"/>
      <c r="G830" s="2297"/>
      <c r="H830" s="2297"/>
      <c r="I830" s="2297"/>
      <c r="J830" s="2297"/>
      <c r="K830" s="2297"/>
      <c r="L830" s="2297"/>
      <c r="M830" s="2297"/>
      <c r="N830" s="2297"/>
      <c r="O830" s="2297"/>
      <c r="P830" s="2297"/>
      <c r="Q830" s="2297"/>
      <c r="R830" s="99"/>
      <c r="S830" s="99"/>
      <c r="T830" s="99"/>
      <c r="U830" s="99"/>
      <c r="V830" s="99"/>
      <c r="AF830" s="2297"/>
      <c r="AG830" s="1208"/>
      <c r="AH830" s="1208"/>
      <c r="AI830" s="1223"/>
      <c r="AJ830" s="1223"/>
      <c r="AK830" s="1223"/>
      <c r="AL830" s="1223"/>
      <c r="AM830" s="1223"/>
      <c r="AN830" s="1223"/>
      <c r="AO830" s="1208"/>
      <c r="AP830" s="1223"/>
      <c r="AQ830" s="1208"/>
      <c r="AR830" s="1208"/>
      <c r="AS830" s="1223"/>
      <c r="AT830" s="1223"/>
      <c r="AU830" s="1208"/>
      <c r="AV830" s="1208"/>
      <c r="AW830" s="2297"/>
      <c r="BE830" s="1224"/>
      <c r="BF830" s="1225"/>
      <c r="BR830" s="1224"/>
      <c r="BS830" s="1224"/>
    </row>
    <row r="831" spans="2:71" s="491" customFormat="1">
      <c r="B831" s="2297"/>
      <c r="C831" s="2297"/>
      <c r="D831" s="2297"/>
      <c r="E831" s="2297"/>
      <c r="F831" s="2297"/>
      <c r="G831" s="2297"/>
      <c r="H831" s="2297"/>
      <c r="I831" s="2297"/>
      <c r="J831" s="2297"/>
      <c r="K831" s="2297"/>
      <c r="L831" s="2297"/>
      <c r="M831" s="2297"/>
      <c r="N831" s="2297"/>
      <c r="O831" s="2297"/>
      <c r="P831" s="2297"/>
      <c r="Q831" s="2297"/>
      <c r="R831" s="99"/>
      <c r="S831" s="99"/>
      <c r="T831" s="99"/>
      <c r="U831" s="99"/>
      <c r="V831" s="99"/>
      <c r="AF831" s="2297"/>
      <c r="AG831" s="1208"/>
      <c r="AH831" s="1208"/>
      <c r="AI831" s="1223"/>
      <c r="AJ831" s="1223"/>
      <c r="AK831" s="1223"/>
      <c r="AL831" s="1223"/>
      <c r="AM831" s="1223"/>
      <c r="AN831" s="1223"/>
      <c r="AO831" s="1208"/>
      <c r="AP831" s="1223"/>
      <c r="AQ831" s="1208"/>
      <c r="AR831" s="1208"/>
      <c r="AS831" s="1223"/>
      <c r="AT831" s="1223"/>
      <c r="AU831" s="1208"/>
      <c r="AV831" s="1208"/>
      <c r="AW831" s="2297"/>
      <c r="BE831" s="1224"/>
      <c r="BF831" s="1225"/>
      <c r="BR831" s="1224"/>
      <c r="BS831" s="1224"/>
    </row>
    <row r="832" spans="2:71" s="491" customFormat="1">
      <c r="B832" s="2297"/>
      <c r="C832" s="2297"/>
      <c r="D832" s="2297"/>
      <c r="E832" s="2297"/>
      <c r="F832" s="2297"/>
      <c r="G832" s="2297"/>
      <c r="H832" s="2297"/>
      <c r="I832" s="2297"/>
      <c r="J832" s="2297"/>
      <c r="K832" s="2297"/>
      <c r="L832" s="2297"/>
      <c r="M832" s="2297"/>
      <c r="N832" s="2297"/>
      <c r="O832" s="2297"/>
      <c r="P832" s="2297"/>
      <c r="Q832" s="2297"/>
      <c r="R832" s="99"/>
      <c r="S832" s="99"/>
      <c r="T832" s="99"/>
      <c r="U832" s="99"/>
      <c r="V832" s="99"/>
      <c r="AF832" s="2297"/>
      <c r="AG832" s="1208"/>
      <c r="AH832" s="1208"/>
      <c r="AI832" s="1223"/>
      <c r="AJ832" s="1223"/>
      <c r="AK832" s="1223"/>
      <c r="AL832" s="1223"/>
      <c r="AM832" s="1223"/>
      <c r="AN832" s="1223"/>
      <c r="AO832" s="1208"/>
      <c r="AP832" s="1223"/>
      <c r="AQ832" s="1208"/>
      <c r="AR832" s="1208"/>
      <c r="AS832" s="1223"/>
      <c r="AT832" s="1223"/>
      <c r="AU832" s="1208"/>
      <c r="AV832" s="1208"/>
      <c r="AW832" s="2297"/>
      <c r="BE832" s="1224"/>
      <c r="BF832" s="1225"/>
      <c r="BR832" s="1224"/>
      <c r="BS832" s="1224"/>
    </row>
    <row r="833" spans="2:71" s="491" customFormat="1">
      <c r="B833" s="2297"/>
      <c r="C833" s="2297"/>
      <c r="D833" s="2297"/>
      <c r="E833" s="2297"/>
      <c r="F833" s="2297"/>
      <c r="G833" s="2297"/>
      <c r="H833" s="2297"/>
      <c r="I833" s="2297"/>
      <c r="J833" s="2297"/>
      <c r="K833" s="2297"/>
      <c r="L833" s="2297"/>
      <c r="M833" s="2297"/>
      <c r="N833" s="2297"/>
      <c r="O833" s="2297"/>
      <c r="P833" s="2297"/>
      <c r="Q833" s="2297"/>
      <c r="R833" s="99"/>
      <c r="S833" s="99"/>
      <c r="T833" s="99"/>
      <c r="U833" s="99"/>
      <c r="V833" s="99"/>
      <c r="AF833" s="2297"/>
      <c r="AG833" s="1208"/>
      <c r="AH833" s="1208"/>
      <c r="AI833" s="1223"/>
      <c r="AJ833" s="1223"/>
      <c r="AK833" s="1223"/>
      <c r="AL833" s="1223"/>
      <c r="AM833" s="1223"/>
      <c r="AN833" s="1223"/>
      <c r="AO833" s="1208"/>
      <c r="AP833" s="1223"/>
      <c r="AQ833" s="1208"/>
      <c r="AR833" s="1208"/>
      <c r="AS833" s="1223"/>
      <c r="AT833" s="1223"/>
      <c r="AU833" s="1208"/>
      <c r="AV833" s="1208"/>
      <c r="AW833" s="2297"/>
      <c r="BE833" s="1224"/>
      <c r="BF833" s="1225"/>
      <c r="BR833" s="1224"/>
      <c r="BS833" s="1224"/>
    </row>
    <row r="834" spans="2:71" s="491" customFormat="1">
      <c r="B834" s="2297"/>
      <c r="C834" s="2297"/>
      <c r="D834" s="2297"/>
      <c r="E834" s="2297"/>
      <c r="F834" s="2297"/>
      <c r="G834" s="2297"/>
      <c r="H834" s="2297"/>
      <c r="I834" s="2297"/>
      <c r="J834" s="2297"/>
      <c r="K834" s="2297"/>
      <c r="L834" s="2297"/>
      <c r="M834" s="2297"/>
      <c r="N834" s="2297"/>
      <c r="O834" s="2297"/>
      <c r="P834" s="2297"/>
      <c r="Q834" s="2297"/>
      <c r="R834" s="99"/>
      <c r="S834" s="99"/>
      <c r="T834" s="99"/>
      <c r="U834" s="99"/>
      <c r="V834" s="99"/>
      <c r="AF834" s="2297"/>
      <c r="AG834" s="1208"/>
      <c r="AH834" s="1208"/>
      <c r="AI834" s="1223"/>
      <c r="AJ834" s="1223"/>
      <c r="AK834" s="1223"/>
      <c r="AL834" s="1223"/>
      <c r="AM834" s="1223"/>
      <c r="AN834" s="1223"/>
      <c r="AO834" s="1208"/>
      <c r="AP834" s="1223"/>
      <c r="AQ834" s="1208"/>
      <c r="AR834" s="1208"/>
      <c r="AS834" s="1223"/>
      <c r="AT834" s="1223"/>
      <c r="AU834" s="1208"/>
      <c r="AV834" s="1208"/>
      <c r="AW834" s="2297"/>
      <c r="BE834" s="1224"/>
      <c r="BF834" s="1225"/>
      <c r="BR834" s="1224"/>
      <c r="BS834" s="1224"/>
    </row>
    <row r="835" spans="2:71" s="491" customFormat="1">
      <c r="B835" s="2297"/>
      <c r="C835" s="2297"/>
      <c r="D835" s="2297"/>
      <c r="E835" s="2297"/>
      <c r="F835" s="2297"/>
      <c r="G835" s="2297"/>
      <c r="H835" s="2297"/>
      <c r="I835" s="2297"/>
      <c r="J835" s="2297"/>
      <c r="K835" s="2297"/>
      <c r="L835" s="2297"/>
      <c r="M835" s="2297"/>
      <c r="N835" s="2297"/>
      <c r="O835" s="2297"/>
      <c r="P835" s="2297"/>
      <c r="Q835" s="2297"/>
      <c r="R835" s="99"/>
      <c r="S835" s="99"/>
      <c r="T835" s="99"/>
      <c r="U835" s="99"/>
      <c r="V835" s="99"/>
      <c r="AF835" s="2297"/>
      <c r="AG835" s="1208"/>
      <c r="AH835" s="1208"/>
      <c r="AI835" s="1223"/>
      <c r="AJ835" s="1223"/>
      <c r="AK835" s="1223"/>
      <c r="AL835" s="1223"/>
      <c r="AM835" s="1223"/>
      <c r="AN835" s="1223"/>
      <c r="AO835" s="1208"/>
      <c r="AP835" s="1223"/>
      <c r="AQ835" s="1208"/>
      <c r="AR835" s="1208"/>
      <c r="AS835" s="1223"/>
      <c r="AT835" s="1223"/>
      <c r="AU835" s="1208"/>
      <c r="AV835" s="1208"/>
      <c r="AW835" s="2297"/>
      <c r="BE835" s="1224"/>
      <c r="BF835" s="1225"/>
      <c r="BR835" s="1224"/>
      <c r="BS835" s="1224"/>
    </row>
    <row r="836" spans="2:71" s="491" customFormat="1">
      <c r="B836" s="2297"/>
      <c r="C836" s="2297"/>
      <c r="D836" s="2297"/>
      <c r="E836" s="2297"/>
      <c r="F836" s="2297"/>
      <c r="G836" s="2297"/>
      <c r="H836" s="2297"/>
      <c r="I836" s="2297"/>
      <c r="J836" s="2297"/>
      <c r="K836" s="2297"/>
      <c r="L836" s="2297"/>
      <c r="M836" s="2297"/>
      <c r="N836" s="2297"/>
      <c r="O836" s="2297"/>
      <c r="P836" s="2297"/>
      <c r="Q836" s="2297"/>
      <c r="R836" s="99"/>
      <c r="S836" s="99"/>
      <c r="T836" s="99"/>
      <c r="U836" s="99"/>
      <c r="V836" s="99"/>
      <c r="AF836" s="2297"/>
      <c r="AG836" s="1208"/>
      <c r="AH836" s="1208"/>
      <c r="AI836" s="1223"/>
      <c r="AJ836" s="1223"/>
      <c r="AK836" s="1223"/>
      <c r="AL836" s="1223"/>
      <c r="AM836" s="1223"/>
      <c r="AN836" s="1223"/>
      <c r="AO836" s="1208"/>
      <c r="AP836" s="1223"/>
      <c r="AQ836" s="1208"/>
      <c r="AR836" s="1208"/>
      <c r="AS836" s="1223"/>
      <c r="AT836" s="1223"/>
      <c r="AU836" s="1208"/>
      <c r="AV836" s="1208"/>
      <c r="AW836" s="2297"/>
      <c r="BE836" s="1224"/>
      <c r="BF836" s="1225"/>
      <c r="BR836" s="1224"/>
      <c r="BS836" s="1224"/>
    </row>
    <row r="837" spans="2:71" s="491" customFormat="1">
      <c r="B837" s="2297"/>
      <c r="C837" s="2297"/>
      <c r="D837" s="2297"/>
      <c r="E837" s="2297"/>
      <c r="F837" s="2297"/>
      <c r="G837" s="2297"/>
      <c r="H837" s="2297"/>
      <c r="I837" s="2297"/>
      <c r="J837" s="2297"/>
      <c r="K837" s="2297"/>
      <c r="L837" s="2297"/>
      <c r="M837" s="2297"/>
      <c r="N837" s="2297"/>
      <c r="O837" s="2297"/>
      <c r="P837" s="2297"/>
      <c r="Q837" s="2297"/>
      <c r="R837" s="99"/>
      <c r="S837" s="99"/>
      <c r="T837" s="99"/>
      <c r="U837" s="99"/>
      <c r="V837" s="99"/>
      <c r="AF837" s="2297"/>
      <c r="AG837" s="1208"/>
      <c r="AH837" s="1208"/>
      <c r="AI837" s="1223"/>
      <c r="AJ837" s="1223"/>
      <c r="AK837" s="1223"/>
      <c r="AL837" s="1223"/>
      <c r="AM837" s="1223"/>
      <c r="AN837" s="1223"/>
      <c r="AO837" s="1208"/>
      <c r="AP837" s="1223"/>
      <c r="AQ837" s="1208"/>
      <c r="AR837" s="1208"/>
      <c r="AS837" s="1223"/>
      <c r="AT837" s="1223"/>
      <c r="AU837" s="1208"/>
      <c r="AV837" s="1208"/>
      <c r="AW837" s="2297"/>
      <c r="BE837" s="1224"/>
      <c r="BF837" s="1225"/>
      <c r="BR837" s="1224"/>
      <c r="BS837" s="1224"/>
    </row>
    <row r="838" spans="2:71" s="491" customFormat="1">
      <c r="B838" s="2297"/>
      <c r="C838" s="2297"/>
      <c r="D838" s="2297"/>
      <c r="E838" s="2297"/>
      <c r="F838" s="2297"/>
      <c r="G838" s="2297"/>
      <c r="H838" s="2297"/>
      <c r="I838" s="2297"/>
      <c r="J838" s="2297"/>
      <c r="K838" s="2297"/>
      <c r="L838" s="2297"/>
      <c r="M838" s="2297"/>
      <c r="N838" s="2297"/>
      <c r="O838" s="2297"/>
      <c r="P838" s="2297"/>
      <c r="Q838" s="2297"/>
      <c r="R838" s="99"/>
      <c r="S838" s="99"/>
      <c r="T838" s="99"/>
      <c r="U838" s="99"/>
      <c r="V838" s="99"/>
      <c r="AF838" s="2297"/>
      <c r="AG838" s="1208"/>
      <c r="AH838" s="1208"/>
      <c r="AI838" s="1223"/>
      <c r="AJ838" s="1223"/>
      <c r="AK838" s="1223"/>
      <c r="AL838" s="1223"/>
      <c r="AM838" s="1223"/>
      <c r="AN838" s="1223"/>
      <c r="AO838" s="1208"/>
      <c r="AP838" s="1223"/>
      <c r="AQ838" s="1208"/>
      <c r="AR838" s="1208"/>
      <c r="AS838" s="1223"/>
      <c r="AT838" s="1223"/>
      <c r="AU838" s="1208"/>
      <c r="AV838" s="1208"/>
      <c r="AW838" s="2297"/>
      <c r="BE838" s="1224"/>
      <c r="BF838" s="1225"/>
      <c r="BR838" s="1224"/>
      <c r="BS838" s="1224"/>
    </row>
    <row r="839" spans="2:71" s="491" customFormat="1">
      <c r="B839" s="2297"/>
      <c r="C839" s="2297"/>
      <c r="D839" s="2297"/>
      <c r="E839" s="2297"/>
      <c r="F839" s="2297"/>
      <c r="G839" s="2297"/>
      <c r="H839" s="2297"/>
      <c r="I839" s="2297"/>
      <c r="J839" s="2297"/>
      <c r="K839" s="2297"/>
      <c r="L839" s="2297"/>
      <c r="M839" s="2297"/>
      <c r="N839" s="2297"/>
      <c r="O839" s="2297"/>
      <c r="P839" s="2297"/>
      <c r="Q839" s="2297"/>
      <c r="R839" s="99"/>
      <c r="S839" s="99"/>
      <c r="T839" s="99"/>
      <c r="U839" s="99"/>
      <c r="V839" s="99"/>
      <c r="AF839" s="2297"/>
      <c r="AG839" s="1208"/>
      <c r="AH839" s="1208"/>
      <c r="AI839" s="1223"/>
      <c r="AJ839" s="1223"/>
      <c r="AK839" s="1223"/>
      <c r="AL839" s="1223"/>
      <c r="AM839" s="1223"/>
      <c r="AN839" s="1223"/>
      <c r="AO839" s="1208"/>
      <c r="AP839" s="1223"/>
      <c r="AQ839" s="1208"/>
      <c r="AR839" s="1208"/>
      <c r="AS839" s="1223"/>
      <c r="AT839" s="1223"/>
      <c r="AU839" s="1208"/>
      <c r="AV839" s="1208"/>
      <c r="AW839" s="2297"/>
      <c r="BE839" s="1224"/>
      <c r="BF839" s="1225"/>
      <c r="BR839" s="1224"/>
      <c r="BS839" s="1224"/>
    </row>
    <row r="840" spans="2:71" s="491" customFormat="1">
      <c r="B840" s="2297"/>
      <c r="C840" s="2297"/>
      <c r="D840" s="2297"/>
      <c r="E840" s="2297"/>
      <c r="F840" s="2297"/>
      <c r="G840" s="2297"/>
      <c r="H840" s="2297"/>
      <c r="I840" s="2297"/>
      <c r="J840" s="2297"/>
      <c r="K840" s="2297"/>
      <c r="L840" s="2297"/>
      <c r="M840" s="2297"/>
      <c r="N840" s="2297"/>
      <c r="O840" s="2297"/>
      <c r="P840" s="2297"/>
      <c r="Q840" s="2297"/>
      <c r="R840" s="99"/>
      <c r="S840" s="99"/>
      <c r="T840" s="99"/>
      <c r="U840" s="99"/>
      <c r="V840" s="99"/>
      <c r="AF840" s="2297"/>
      <c r="AG840" s="1208"/>
      <c r="AH840" s="1208"/>
      <c r="AI840" s="1223"/>
      <c r="AJ840" s="1223"/>
      <c r="AK840" s="1223"/>
      <c r="AL840" s="1223"/>
      <c r="AM840" s="1223"/>
      <c r="AN840" s="1223"/>
      <c r="AO840" s="1208"/>
      <c r="AP840" s="1223"/>
      <c r="AQ840" s="1208"/>
      <c r="AR840" s="1208"/>
      <c r="AS840" s="1223"/>
      <c r="AT840" s="1223"/>
      <c r="AU840" s="1208"/>
      <c r="AV840" s="1208"/>
      <c r="AW840" s="2297"/>
      <c r="BE840" s="1224"/>
      <c r="BF840" s="1225"/>
      <c r="BR840" s="1224"/>
      <c r="BS840" s="1224"/>
    </row>
    <row r="841" spans="2:71" s="491" customFormat="1">
      <c r="B841" s="2297"/>
      <c r="C841" s="2297"/>
      <c r="D841" s="2297"/>
      <c r="E841" s="2297"/>
      <c r="F841" s="2297"/>
      <c r="G841" s="2297"/>
      <c r="H841" s="2297"/>
      <c r="I841" s="2297"/>
      <c r="J841" s="2297"/>
      <c r="K841" s="2297"/>
      <c r="L841" s="2297"/>
      <c r="M841" s="2297"/>
      <c r="N841" s="2297"/>
      <c r="O841" s="2297"/>
      <c r="P841" s="2297"/>
      <c r="Q841" s="2297"/>
      <c r="R841" s="99"/>
      <c r="S841" s="99"/>
      <c r="T841" s="99"/>
      <c r="U841" s="99"/>
      <c r="V841" s="99"/>
      <c r="AF841" s="2297"/>
      <c r="AG841" s="1208"/>
      <c r="AH841" s="1208"/>
      <c r="AI841" s="1223"/>
      <c r="AJ841" s="1223"/>
      <c r="AK841" s="1223"/>
      <c r="AL841" s="1223"/>
      <c r="AM841" s="1223"/>
      <c r="AN841" s="1223"/>
      <c r="AO841" s="1208"/>
      <c r="AP841" s="1223"/>
      <c r="AQ841" s="1208"/>
      <c r="AR841" s="1208"/>
      <c r="AS841" s="1223"/>
      <c r="AT841" s="1223"/>
      <c r="AU841" s="1208"/>
      <c r="AV841" s="1208"/>
      <c r="AW841" s="2297"/>
      <c r="BE841" s="1224"/>
      <c r="BF841" s="1225"/>
      <c r="BR841" s="1224"/>
      <c r="BS841" s="1224"/>
    </row>
    <row r="842" spans="2:71" s="491" customFormat="1">
      <c r="B842" s="2297"/>
      <c r="C842" s="2297"/>
      <c r="D842" s="2297"/>
      <c r="E842" s="2297"/>
      <c r="F842" s="2297"/>
      <c r="G842" s="2297"/>
      <c r="H842" s="2297"/>
      <c r="I842" s="2297"/>
      <c r="J842" s="2297"/>
      <c r="K842" s="2297"/>
      <c r="L842" s="2297"/>
      <c r="M842" s="2297"/>
      <c r="N842" s="2297"/>
      <c r="O842" s="2297"/>
      <c r="P842" s="2297"/>
      <c r="Q842" s="2297"/>
      <c r="R842" s="99"/>
      <c r="S842" s="99"/>
      <c r="T842" s="99"/>
      <c r="U842" s="99"/>
      <c r="V842" s="99"/>
      <c r="AF842" s="2297"/>
      <c r="AG842" s="1208"/>
      <c r="AH842" s="1208"/>
      <c r="AI842" s="1223"/>
      <c r="AJ842" s="1223"/>
      <c r="AK842" s="1223"/>
      <c r="AL842" s="1223"/>
      <c r="AM842" s="1223"/>
      <c r="AN842" s="1223"/>
      <c r="AO842" s="1208"/>
      <c r="AP842" s="1223"/>
      <c r="AQ842" s="1208"/>
      <c r="AR842" s="1208"/>
      <c r="AS842" s="1223"/>
      <c r="AT842" s="1223"/>
      <c r="AU842" s="1208"/>
      <c r="AV842" s="1208"/>
      <c r="AW842" s="2297"/>
      <c r="BE842" s="1224"/>
      <c r="BF842" s="1225"/>
      <c r="BR842" s="1224"/>
      <c r="BS842" s="1224"/>
    </row>
    <row r="843" spans="2:71" s="491" customFormat="1">
      <c r="B843" s="2297"/>
      <c r="C843" s="2297"/>
      <c r="D843" s="2297"/>
      <c r="E843" s="2297"/>
      <c r="F843" s="2297"/>
      <c r="G843" s="2297"/>
      <c r="H843" s="2297"/>
      <c r="I843" s="2297"/>
      <c r="J843" s="2297"/>
      <c r="K843" s="2297"/>
      <c r="L843" s="2297"/>
      <c r="M843" s="2297"/>
      <c r="N843" s="2297"/>
      <c r="O843" s="2297"/>
      <c r="P843" s="2297"/>
      <c r="Q843" s="2297"/>
      <c r="R843" s="99"/>
      <c r="S843" s="99"/>
      <c r="T843" s="99"/>
      <c r="U843" s="99"/>
      <c r="V843" s="99"/>
      <c r="AF843" s="2297"/>
      <c r="AG843" s="1208"/>
      <c r="AH843" s="1208"/>
      <c r="AI843" s="1223"/>
      <c r="AJ843" s="1223"/>
      <c r="AK843" s="1223"/>
      <c r="AL843" s="1223"/>
      <c r="AM843" s="1223"/>
      <c r="AN843" s="1223"/>
      <c r="AO843" s="1208"/>
      <c r="AP843" s="1223"/>
      <c r="AQ843" s="1208"/>
      <c r="AR843" s="1208"/>
      <c r="AS843" s="1223"/>
      <c r="AT843" s="1223"/>
      <c r="AU843" s="1208"/>
      <c r="AV843" s="1208"/>
      <c r="AW843" s="2297"/>
      <c r="BE843" s="1224"/>
      <c r="BF843" s="1225"/>
      <c r="BR843" s="1224"/>
      <c r="BS843" s="1224"/>
    </row>
    <row r="844" spans="2:71" s="491" customFormat="1">
      <c r="B844" s="2297"/>
      <c r="C844" s="2297"/>
      <c r="D844" s="2297"/>
      <c r="E844" s="2297"/>
      <c r="F844" s="2297"/>
      <c r="G844" s="2297"/>
      <c r="H844" s="2297"/>
      <c r="I844" s="2297"/>
      <c r="J844" s="2297"/>
      <c r="K844" s="2297"/>
      <c r="L844" s="2297"/>
      <c r="M844" s="2297"/>
      <c r="N844" s="2297"/>
      <c r="O844" s="2297"/>
      <c r="P844" s="2297"/>
      <c r="Q844" s="2297"/>
      <c r="R844" s="99"/>
      <c r="S844" s="99"/>
      <c r="T844" s="99"/>
      <c r="U844" s="99"/>
      <c r="V844" s="99"/>
      <c r="AF844" s="2297"/>
      <c r="AG844" s="1208"/>
      <c r="AH844" s="1208"/>
      <c r="AI844" s="1223"/>
      <c r="AJ844" s="1223"/>
      <c r="AK844" s="1223"/>
      <c r="AL844" s="1223"/>
      <c r="AM844" s="1223"/>
      <c r="AN844" s="1223"/>
      <c r="AO844" s="1208"/>
      <c r="AP844" s="1223"/>
      <c r="AQ844" s="1208"/>
      <c r="AR844" s="1208"/>
      <c r="AS844" s="1223"/>
      <c r="AT844" s="1223"/>
      <c r="AU844" s="1208"/>
      <c r="AV844" s="1208"/>
      <c r="AW844" s="2297"/>
      <c r="BE844" s="1224"/>
      <c r="BF844" s="1225"/>
      <c r="BR844" s="1224"/>
      <c r="BS844" s="1224"/>
    </row>
    <row r="845" spans="2:71" s="491" customFormat="1">
      <c r="B845" s="2297"/>
      <c r="C845" s="2297"/>
      <c r="D845" s="2297"/>
      <c r="E845" s="2297"/>
      <c r="F845" s="2297"/>
      <c r="G845" s="2297"/>
      <c r="H845" s="2297"/>
      <c r="I845" s="2297"/>
      <c r="J845" s="2297"/>
      <c r="K845" s="2297"/>
      <c r="L845" s="2297"/>
      <c r="M845" s="2297"/>
      <c r="N845" s="2297"/>
      <c r="O845" s="2297"/>
      <c r="P845" s="2297"/>
      <c r="Q845" s="2297"/>
      <c r="R845" s="99"/>
      <c r="S845" s="99"/>
      <c r="T845" s="99"/>
      <c r="U845" s="99"/>
      <c r="V845" s="99"/>
      <c r="AF845" s="2297"/>
      <c r="AG845" s="1208"/>
      <c r="AH845" s="1208"/>
      <c r="AI845" s="1223"/>
      <c r="AJ845" s="1223"/>
      <c r="AK845" s="1223"/>
      <c r="AL845" s="1223"/>
      <c r="AM845" s="1223"/>
      <c r="AN845" s="1223"/>
      <c r="AO845" s="1208"/>
      <c r="AP845" s="1223"/>
      <c r="AQ845" s="1208"/>
      <c r="AR845" s="1208"/>
      <c r="AS845" s="1223"/>
      <c r="AT845" s="1223"/>
      <c r="AU845" s="1208"/>
      <c r="AV845" s="1208"/>
      <c r="AW845" s="2297"/>
      <c r="BE845" s="1224"/>
      <c r="BF845" s="1225"/>
      <c r="BR845" s="1224"/>
      <c r="BS845" s="1224"/>
    </row>
    <row r="846" spans="2:71" s="491" customFormat="1">
      <c r="B846" s="2297"/>
      <c r="C846" s="2297"/>
      <c r="D846" s="2297"/>
      <c r="E846" s="2297"/>
      <c r="F846" s="2297"/>
      <c r="G846" s="2297"/>
      <c r="H846" s="2297"/>
      <c r="I846" s="2297"/>
      <c r="J846" s="2297"/>
      <c r="K846" s="2297"/>
      <c r="L846" s="2297"/>
      <c r="M846" s="2297"/>
      <c r="N846" s="2297"/>
      <c r="O846" s="2297"/>
      <c r="P846" s="2297"/>
      <c r="Q846" s="2297"/>
      <c r="R846" s="99"/>
      <c r="S846" s="99"/>
      <c r="T846" s="99"/>
      <c r="U846" s="99"/>
      <c r="V846" s="99"/>
      <c r="AF846" s="2297"/>
      <c r="AG846" s="1208"/>
      <c r="AH846" s="1208"/>
      <c r="AI846" s="1223"/>
      <c r="AJ846" s="1223"/>
      <c r="AK846" s="1223"/>
      <c r="AL846" s="1223"/>
      <c r="AM846" s="1223"/>
      <c r="AN846" s="1223"/>
      <c r="AO846" s="1208"/>
      <c r="AP846" s="1223"/>
      <c r="AQ846" s="1208"/>
      <c r="AR846" s="1208"/>
      <c r="AS846" s="1223"/>
      <c r="AT846" s="1223"/>
      <c r="AU846" s="1208"/>
      <c r="AV846" s="1208"/>
      <c r="AW846" s="2297"/>
      <c r="BE846" s="1224"/>
      <c r="BF846" s="1225"/>
      <c r="BR846" s="1224"/>
      <c r="BS846" s="1224"/>
    </row>
    <row r="847" spans="2:71" s="491" customFormat="1">
      <c r="B847" s="2297"/>
      <c r="C847" s="2297"/>
      <c r="D847" s="2297"/>
      <c r="E847" s="2297"/>
      <c r="F847" s="2297"/>
      <c r="G847" s="2297"/>
      <c r="H847" s="2297"/>
      <c r="I847" s="2297"/>
      <c r="J847" s="2297"/>
      <c r="K847" s="2297"/>
      <c r="L847" s="2297"/>
      <c r="M847" s="2297"/>
      <c r="N847" s="2297"/>
      <c r="O847" s="2297"/>
      <c r="P847" s="2297"/>
      <c r="Q847" s="2297"/>
      <c r="R847" s="99"/>
      <c r="S847" s="99"/>
      <c r="T847" s="99"/>
      <c r="U847" s="99"/>
      <c r="V847" s="99"/>
      <c r="AF847" s="2297"/>
      <c r="AG847" s="1208"/>
      <c r="AH847" s="1208"/>
      <c r="AI847" s="1223"/>
      <c r="AJ847" s="1223"/>
      <c r="AK847" s="1223"/>
      <c r="AL847" s="1223"/>
      <c r="AM847" s="1223"/>
      <c r="AN847" s="1223"/>
      <c r="AO847" s="1208"/>
      <c r="AP847" s="1223"/>
      <c r="AQ847" s="1208"/>
      <c r="AR847" s="1208"/>
      <c r="AS847" s="1223"/>
      <c r="AT847" s="1223"/>
      <c r="AU847" s="1208"/>
      <c r="AV847" s="1208"/>
      <c r="AW847" s="2297"/>
      <c r="BE847" s="1224"/>
      <c r="BF847" s="1225"/>
      <c r="BR847" s="1224"/>
      <c r="BS847" s="1224"/>
    </row>
    <row r="848" spans="2:71" s="491" customFormat="1">
      <c r="B848" s="2297"/>
      <c r="C848" s="2297"/>
      <c r="D848" s="2297"/>
      <c r="E848" s="2297"/>
      <c r="F848" s="2297"/>
      <c r="G848" s="2297"/>
      <c r="H848" s="2297"/>
      <c r="I848" s="2297"/>
      <c r="J848" s="2297"/>
      <c r="K848" s="2297"/>
      <c r="L848" s="2297"/>
      <c r="M848" s="2297"/>
      <c r="N848" s="2297"/>
      <c r="O848" s="2297"/>
      <c r="P848" s="2297"/>
      <c r="Q848" s="2297"/>
      <c r="R848" s="99"/>
      <c r="S848" s="99"/>
      <c r="T848" s="99"/>
      <c r="U848" s="99"/>
      <c r="V848" s="99"/>
      <c r="AF848" s="2297"/>
      <c r="AG848" s="1208"/>
      <c r="AH848" s="1208"/>
      <c r="AI848" s="1223"/>
      <c r="AJ848" s="1223"/>
      <c r="AK848" s="1223"/>
      <c r="AL848" s="1223"/>
      <c r="AM848" s="1223"/>
      <c r="AN848" s="1223"/>
      <c r="AO848" s="1208"/>
      <c r="AP848" s="1223"/>
      <c r="AQ848" s="1208"/>
      <c r="AR848" s="1208"/>
      <c r="AS848" s="1223"/>
      <c r="AT848" s="1223"/>
      <c r="AU848" s="1208"/>
      <c r="AV848" s="1208"/>
      <c r="AW848" s="2297"/>
      <c r="BE848" s="1224"/>
      <c r="BF848" s="1225"/>
      <c r="BR848" s="1224"/>
      <c r="BS848" s="1224"/>
    </row>
    <row r="849" spans="2:71" s="491" customFormat="1">
      <c r="B849" s="2297"/>
      <c r="C849" s="2297"/>
      <c r="D849" s="2297"/>
      <c r="E849" s="2297"/>
      <c r="F849" s="2297"/>
      <c r="G849" s="2297"/>
      <c r="H849" s="2297"/>
      <c r="I849" s="2297"/>
      <c r="J849" s="2297"/>
      <c r="K849" s="2297"/>
      <c r="L849" s="2297"/>
      <c r="M849" s="2297"/>
      <c r="N849" s="2297"/>
      <c r="O849" s="2297"/>
      <c r="P849" s="2297"/>
      <c r="Q849" s="2297"/>
      <c r="R849" s="99"/>
      <c r="S849" s="99"/>
      <c r="T849" s="99"/>
      <c r="U849" s="99"/>
      <c r="V849" s="99"/>
      <c r="AF849" s="2297"/>
      <c r="AG849" s="1208"/>
      <c r="AH849" s="1208"/>
      <c r="AI849" s="1223"/>
      <c r="AJ849" s="1223"/>
      <c r="AK849" s="1223"/>
      <c r="AL849" s="1223"/>
      <c r="AM849" s="1223"/>
      <c r="AN849" s="1223"/>
      <c r="AO849" s="1208"/>
      <c r="AP849" s="1223"/>
      <c r="AQ849" s="1208"/>
      <c r="AR849" s="1208"/>
      <c r="AS849" s="1223"/>
      <c r="AT849" s="1223"/>
      <c r="AU849" s="1208"/>
      <c r="AV849" s="1208"/>
      <c r="AW849" s="2297"/>
      <c r="BE849" s="1224"/>
      <c r="BF849" s="1225"/>
      <c r="BR849" s="1224"/>
      <c r="BS849" s="1224"/>
    </row>
    <row r="850" spans="2:71" s="491" customFormat="1">
      <c r="B850" s="2297"/>
      <c r="C850" s="2297"/>
      <c r="D850" s="2297"/>
      <c r="E850" s="2297"/>
      <c r="F850" s="2297"/>
      <c r="G850" s="2297"/>
      <c r="H850" s="2297"/>
      <c r="I850" s="2297"/>
      <c r="J850" s="2297"/>
      <c r="K850" s="2297"/>
      <c r="L850" s="2297"/>
      <c r="M850" s="2297"/>
      <c r="N850" s="2297"/>
      <c r="O850" s="2297"/>
      <c r="P850" s="2297"/>
      <c r="Q850" s="2297"/>
      <c r="R850" s="99"/>
      <c r="S850" s="99"/>
      <c r="T850" s="99"/>
      <c r="U850" s="99"/>
      <c r="V850" s="99"/>
      <c r="AF850" s="2297"/>
      <c r="AG850" s="1208"/>
      <c r="AH850" s="1208"/>
      <c r="AI850" s="1223"/>
      <c r="AJ850" s="1223"/>
      <c r="AK850" s="1223"/>
      <c r="AL850" s="1223"/>
      <c r="AM850" s="1223"/>
      <c r="AN850" s="1223"/>
      <c r="AO850" s="1208"/>
      <c r="AP850" s="1223"/>
      <c r="AQ850" s="1208"/>
      <c r="AR850" s="1208"/>
      <c r="AS850" s="1223"/>
      <c r="AT850" s="1223"/>
      <c r="AU850" s="1208"/>
      <c r="AV850" s="1208"/>
      <c r="AW850" s="2297"/>
      <c r="BE850" s="1224"/>
      <c r="BF850" s="1225"/>
      <c r="BR850" s="1224"/>
      <c r="BS850" s="1224"/>
    </row>
    <row r="851" spans="2:71" s="491" customFormat="1">
      <c r="B851" s="2297"/>
      <c r="C851" s="2297"/>
      <c r="D851" s="2297"/>
      <c r="E851" s="2297"/>
      <c r="F851" s="2297"/>
      <c r="G851" s="2297"/>
      <c r="H851" s="2297"/>
      <c r="I851" s="2297"/>
      <c r="J851" s="2297"/>
      <c r="K851" s="2297"/>
      <c r="L851" s="2297"/>
      <c r="M851" s="2297"/>
      <c r="N851" s="2297"/>
      <c r="O851" s="2297"/>
      <c r="P851" s="2297"/>
      <c r="Q851" s="2297"/>
      <c r="R851" s="99"/>
      <c r="S851" s="99"/>
      <c r="T851" s="99"/>
      <c r="U851" s="99"/>
      <c r="V851" s="99"/>
      <c r="AF851" s="2297"/>
      <c r="AG851" s="1208"/>
      <c r="AH851" s="1208"/>
      <c r="AI851" s="1223"/>
      <c r="AJ851" s="1223"/>
      <c r="AK851" s="1223"/>
      <c r="AL851" s="1223"/>
      <c r="AM851" s="1223"/>
      <c r="AN851" s="1223"/>
      <c r="AO851" s="1208"/>
      <c r="AP851" s="1223"/>
      <c r="AQ851" s="1208"/>
      <c r="AR851" s="1208"/>
      <c r="AS851" s="1223"/>
      <c r="AT851" s="1223"/>
      <c r="AU851" s="1208"/>
      <c r="AV851" s="1208"/>
      <c r="AW851" s="2297"/>
      <c r="BE851" s="1224"/>
      <c r="BF851" s="1225"/>
      <c r="BR851" s="1224"/>
      <c r="BS851" s="1224"/>
    </row>
    <row r="852" spans="2:71" s="491" customFormat="1">
      <c r="B852" s="2297"/>
      <c r="C852" s="2297"/>
      <c r="D852" s="2297"/>
      <c r="E852" s="2297"/>
      <c r="F852" s="2297"/>
      <c r="G852" s="2297"/>
      <c r="H852" s="2297"/>
      <c r="I852" s="2297"/>
      <c r="J852" s="2297"/>
      <c r="K852" s="2297"/>
      <c r="L852" s="2297"/>
      <c r="M852" s="2297"/>
      <c r="N852" s="2297"/>
      <c r="O852" s="2297"/>
      <c r="P852" s="2297"/>
      <c r="Q852" s="2297"/>
      <c r="R852" s="99"/>
      <c r="S852" s="99"/>
      <c r="T852" s="99"/>
      <c r="U852" s="99"/>
      <c r="V852" s="99"/>
      <c r="AF852" s="2297"/>
      <c r="AG852" s="1208"/>
      <c r="AH852" s="1208"/>
      <c r="AI852" s="1223"/>
      <c r="AJ852" s="1223"/>
      <c r="AK852" s="1223"/>
      <c r="AL852" s="1223"/>
      <c r="AM852" s="1223"/>
      <c r="AN852" s="1223"/>
      <c r="AO852" s="1208"/>
      <c r="AP852" s="1223"/>
      <c r="AQ852" s="1208"/>
      <c r="AR852" s="1208"/>
      <c r="AS852" s="1223"/>
      <c r="AT852" s="1223"/>
      <c r="AU852" s="1208"/>
      <c r="AV852" s="1208"/>
      <c r="AW852" s="2297"/>
      <c r="BE852" s="1224"/>
      <c r="BF852" s="1225"/>
      <c r="BR852" s="1224"/>
      <c r="BS852" s="1224"/>
    </row>
    <row r="853" spans="2:71" s="491" customFormat="1">
      <c r="B853" s="2297"/>
      <c r="C853" s="2297"/>
      <c r="D853" s="2297"/>
      <c r="E853" s="2297"/>
      <c r="F853" s="2297"/>
      <c r="G853" s="2297"/>
      <c r="H853" s="2297"/>
      <c r="I853" s="2297"/>
      <c r="J853" s="2297"/>
      <c r="K853" s="2297"/>
      <c r="L853" s="2297"/>
      <c r="M853" s="2297"/>
      <c r="N853" s="2297"/>
      <c r="O853" s="2297"/>
      <c r="P853" s="2297"/>
      <c r="Q853" s="2297"/>
      <c r="R853" s="99"/>
      <c r="S853" s="99"/>
      <c r="T853" s="99"/>
      <c r="U853" s="99"/>
      <c r="V853" s="99"/>
      <c r="AF853" s="2297"/>
      <c r="AG853" s="1208"/>
      <c r="AH853" s="1208"/>
      <c r="AI853" s="1223"/>
      <c r="AJ853" s="1223"/>
      <c r="AK853" s="1223"/>
      <c r="AL853" s="1223"/>
      <c r="AM853" s="1223"/>
      <c r="AN853" s="1223"/>
      <c r="AO853" s="1208"/>
      <c r="AP853" s="1223"/>
      <c r="AQ853" s="1208"/>
      <c r="AR853" s="1208"/>
      <c r="AS853" s="1223"/>
      <c r="AT853" s="1223"/>
      <c r="AU853" s="1208"/>
      <c r="AV853" s="1208"/>
      <c r="AW853" s="2297"/>
      <c r="BE853" s="1224"/>
      <c r="BF853" s="1225"/>
      <c r="BR853" s="1224"/>
      <c r="BS853" s="1224"/>
    </row>
    <row r="854" spans="2:71" s="491" customFormat="1">
      <c r="B854" s="2297"/>
      <c r="C854" s="2297"/>
      <c r="D854" s="2297"/>
      <c r="E854" s="2297"/>
      <c r="F854" s="2297"/>
      <c r="G854" s="2297"/>
      <c r="H854" s="2297"/>
      <c r="I854" s="2297"/>
      <c r="J854" s="2297"/>
      <c r="K854" s="2297"/>
      <c r="L854" s="2297"/>
      <c r="M854" s="2297"/>
      <c r="N854" s="2297"/>
      <c r="O854" s="2297"/>
      <c r="P854" s="2297"/>
      <c r="Q854" s="2297"/>
      <c r="R854" s="99"/>
      <c r="S854" s="99"/>
      <c r="T854" s="99"/>
      <c r="U854" s="99"/>
      <c r="V854" s="99"/>
      <c r="AF854" s="2297"/>
      <c r="AG854" s="1208"/>
      <c r="AH854" s="1208"/>
      <c r="AI854" s="1223"/>
      <c r="AJ854" s="1223"/>
      <c r="AK854" s="1223"/>
      <c r="AL854" s="1223"/>
      <c r="AM854" s="1223"/>
      <c r="AN854" s="1223"/>
      <c r="AO854" s="1208"/>
      <c r="AP854" s="1223"/>
      <c r="AQ854" s="1208"/>
      <c r="AR854" s="1208"/>
      <c r="AS854" s="1223"/>
      <c r="AT854" s="1223"/>
      <c r="AU854" s="1208"/>
      <c r="AV854" s="1208"/>
      <c r="AW854" s="2297"/>
      <c r="BE854" s="1224"/>
      <c r="BF854" s="1225"/>
      <c r="BR854" s="1224"/>
      <c r="BS854" s="1224"/>
    </row>
    <row r="855" spans="2:71" s="491" customFormat="1">
      <c r="B855" s="2297"/>
      <c r="C855" s="2297"/>
      <c r="D855" s="2297"/>
      <c r="E855" s="2297"/>
      <c r="F855" s="2297"/>
      <c r="G855" s="2297"/>
      <c r="H855" s="2297"/>
      <c r="I855" s="2297"/>
      <c r="J855" s="2297"/>
      <c r="K855" s="2297"/>
      <c r="L855" s="2297"/>
      <c r="M855" s="2297"/>
      <c r="N855" s="2297"/>
      <c r="O855" s="2297"/>
      <c r="P855" s="2297"/>
      <c r="Q855" s="2297"/>
      <c r="R855" s="99"/>
      <c r="S855" s="99"/>
      <c r="T855" s="99"/>
      <c r="U855" s="99"/>
      <c r="V855" s="99"/>
      <c r="AF855" s="2297"/>
      <c r="AG855" s="1208"/>
      <c r="AH855" s="1208"/>
      <c r="AI855" s="1223"/>
      <c r="AJ855" s="1223"/>
      <c r="AK855" s="1223"/>
      <c r="AL855" s="1223"/>
      <c r="AM855" s="1223"/>
      <c r="AN855" s="1223"/>
      <c r="AO855" s="1208"/>
      <c r="AP855" s="1223"/>
      <c r="AQ855" s="1208"/>
      <c r="AR855" s="1208"/>
      <c r="AS855" s="1223"/>
      <c r="AT855" s="1223"/>
      <c r="AU855" s="1208"/>
      <c r="AV855" s="1208"/>
      <c r="AW855" s="2297"/>
      <c r="BE855" s="1224"/>
      <c r="BF855" s="1225"/>
      <c r="BR855" s="1224"/>
      <c r="BS855" s="1224"/>
    </row>
    <row r="856" spans="2:71" s="491" customFormat="1">
      <c r="B856" s="2297"/>
      <c r="C856" s="2297"/>
      <c r="D856" s="2297"/>
      <c r="E856" s="2297"/>
      <c r="F856" s="2297"/>
      <c r="G856" s="2297"/>
      <c r="H856" s="2297"/>
      <c r="I856" s="2297"/>
      <c r="J856" s="2297"/>
      <c r="K856" s="2297"/>
      <c r="L856" s="2297"/>
      <c r="M856" s="2297"/>
      <c r="N856" s="2297"/>
      <c r="O856" s="2297"/>
      <c r="P856" s="2297"/>
      <c r="Q856" s="2297"/>
      <c r="R856" s="99"/>
      <c r="S856" s="99"/>
      <c r="T856" s="99"/>
      <c r="U856" s="99"/>
      <c r="V856" s="99"/>
      <c r="AF856" s="2297"/>
      <c r="AG856" s="1208"/>
      <c r="AH856" s="1208"/>
      <c r="AI856" s="1223"/>
      <c r="AJ856" s="1223"/>
      <c r="AK856" s="1223"/>
      <c r="AL856" s="1223"/>
      <c r="AM856" s="1223"/>
      <c r="AN856" s="1223"/>
      <c r="AO856" s="1208"/>
      <c r="AP856" s="1223"/>
      <c r="AQ856" s="1208"/>
      <c r="AR856" s="1208"/>
      <c r="AS856" s="1223"/>
      <c r="AT856" s="1223"/>
      <c r="AU856" s="1208"/>
      <c r="AV856" s="1208"/>
      <c r="AW856" s="2297"/>
      <c r="BE856" s="1224"/>
      <c r="BF856" s="1225"/>
      <c r="BR856" s="1224"/>
      <c r="BS856" s="1224"/>
    </row>
    <row r="857" spans="2:71" s="491" customFormat="1">
      <c r="B857" s="2297"/>
      <c r="C857" s="2297"/>
      <c r="D857" s="2297"/>
      <c r="E857" s="2297"/>
      <c r="F857" s="2297"/>
      <c r="G857" s="2297"/>
      <c r="H857" s="2297"/>
      <c r="I857" s="2297"/>
      <c r="J857" s="2297"/>
      <c r="K857" s="2297"/>
      <c r="L857" s="2297"/>
      <c r="M857" s="2297"/>
      <c r="N857" s="2297"/>
      <c r="O857" s="2297"/>
      <c r="P857" s="2297"/>
      <c r="Q857" s="2297"/>
      <c r="R857" s="99"/>
      <c r="S857" s="99"/>
      <c r="T857" s="99"/>
      <c r="U857" s="99"/>
      <c r="V857" s="99"/>
      <c r="AF857" s="2297"/>
      <c r="AG857" s="1208"/>
      <c r="AH857" s="1208"/>
      <c r="AI857" s="1223"/>
      <c r="AJ857" s="1223"/>
      <c r="AK857" s="1223"/>
      <c r="AL857" s="1223"/>
      <c r="AM857" s="1223"/>
      <c r="AN857" s="1223"/>
      <c r="AO857" s="1208"/>
      <c r="AP857" s="1223"/>
      <c r="AQ857" s="1208"/>
      <c r="AR857" s="1208"/>
      <c r="AS857" s="1223"/>
      <c r="AT857" s="1223"/>
      <c r="AU857" s="1208"/>
      <c r="AV857" s="1208"/>
      <c r="AW857" s="2297"/>
      <c r="BE857" s="1224"/>
      <c r="BF857" s="1225"/>
      <c r="BR857" s="1224"/>
      <c r="BS857" s="1224"/>
    </row>
    <row r="858" spans="2:71" s="491" customFormat="1">
      <c r="B858" s="2297"/>
      <c r="C858" s="2297"/>
      <c r="D858" s="2297"/>
      <c r="E858" s="2297"/>
      <c r="F858" s="2297"/>
      <c r="G858" s="2297"/>
      <c r="H858" s="2297"/>
      <c r="I858" s="2297"/>
      <c r="J858" s="2297"/>
      <c r="K858" s="2297"/>
      <c r="L858" s="2297"/>
      <c r="M858" s="2297"/>
      <c r="N858" s="2297"/>
      <c r="O858" s="2297"/>
      <c r="P858" s="2297"/>
      <c r="Q858" s="2297"/>
      <c r="R858" s="99"/>
      <c r="S858" s="99"/>
      <c r="T858" s="99"/>
      <c r="U858" s="99"/>
      <c r="V858" s="99"/>
      <c r="AF858" s="2297"/>
      <c r="AG858" s="1208"/>
      <c r="AH858" s="1208"/>
      <c r="AI858" s="1223"/>
      <c r="AJ858" s="1223"/>
      <c r="AK858" s="1223"/>
      <c r="AL858" s="1223"/>
      <c r="AM858" s="1223"/>
      <c r="AN858" s="1223"/>
      <c r="AO858" s="1208"/>
      <c r="AP858" s="1223"/>
      <c r="AQ858" s="1208"/>
      <c r="AR858" s="1208"/>
      <c r="AS858" s="1223"/>
      <c r="AT858" s="1223"/>
      <c r="AU858" s="1208"/>
      <c r="AV858" s="1208"/>
      <c r="AW858" s="2297"/>
      <c r="BE858" s="1224"/>
      <c r="BF858" s="1225"/>
      <c r="BR858" s="1224"/>
      <c r="BS858" s="1224"/>
    </row>
    <row r="859" spans="2:71" s="491" customFormat="1">
      <c r="B859" s="2297"/>
      <c r="C859" s="2297"/>
      <c r="D859" s="2297"/>
      <c r="E859" s="2297"/>
      <c r="F859" s="2297"/>
      <c r="G859" s="2297"/>
      <c r="H859" s="2297"/>
      <c r="I859" s="2297"/>
      <c r="J859" s="2297"/>
      <c r="K859" s="2297"/>
      <c r="L859" s="2297"/>
      <c r="M859" s="2297"/>
      <c r="N859" s="2297"/>
      <c r="O859" s="2297"/>
      <c r="P859" s="2297"/>
      <c r="Q859" s="2297"/>
      <c r="R859" s="99"/>
      <c r="S859" s="99"/>
      <c r="T859" s="99"/>
      <c r="U859" s="99"/>
      <c r="V859" s="99"/>
      <c r="AF859" s="2297"/>
      <c r="AG859" s="1208"/>
      <c r="AH859" s="1208"/>
      <c r="AI859" s="1223"/>
      <c r="AJ859" s="1223"/>
      <c r="AK859" s="1223"/>
      <c r="AL859" s="1223"/>
      <c r="AM859" s="1223"/>
      <c r="AN859" s="1223"/>
      <c r="AO859" s="1208"/>
      <c r="AP859" s="1223"/>
      <c r="AQ859" s="1208"/>
      <c r="AR859" s="1208"/>
      <c r="AS859" s="1223"/>
      <c r="AT859" s="1223"/>
      <c r="AU859" s="1208"/>
      <c r="AV859" s="1208"/>
      <c r="AW859" s="2297"/>
      <c r="BE859" s="1224"/>
      <c r="BF859" s="1225"/>
      <c r="BR859" s="1224"/>
      <c r="BS859" s="1224"/>
    </row>
    <row r="860" spans="2:71" s="491" customFormat="1">
      <c r="B860" s="2297"/>
      <c r="C860" s="2297"/>
      <c r="D860" s="2297"/>
      <c r="E860" s="2297"/>
      <c r="F860" s="2297"/>
      <c r="G860" s="2297"/>
      <c r="H860" s="2297"/>
      <c r="I860" s="2297"/>
      <c r="J860" s="2297"/>
      <c r="K860" s="2297"/>
      <c r="L860" s="2297"/>
      <c r="M860" s="2297"/>
      <c r="N860" s="2297"/>
      <c r="O860" s="2297"/>
      <c r="P860" s="2297"/>
      <c r="Q860" s="2297"/>
      <c r="R860" s="99"/>
      <c r="S860" s="99"/>
      <c r="T860" s="99"/>
      <c r="U860" s="99"/>
      <c r="V860" s="99"/>
      <c r="AF860" s="2297"/>
      <c r="AG860" s="1208"/>
      <c r="AH860" s="1208"/>
      <c r="AI860" s="1223"/>
      <c r="AJ860" s="1223"/>
      <c r="AK860" s="1223"/>
      <c r="AL860" s="1223"/>
      <c r="AM860" s="1223"/>
      <c r="AN860" s="1223"/>
      <c r="AO860" s="1208"/>
      <c r="AP860" s="1223"/>
      <c r="AQ860" s="1208"/>
      <c r="AR860" s="1208"/>
      <c r="AS860" s="1223"/>
      <c r="AT860" s="1223"/>
      <c r="AU860" s="1208"/>
      <c r="AV860" s="1208"/>
      <c r="AW860" s="2297"/>
      <c r="BE860" s="1224"/>
      <c r="BF860" s="1225"/>
      <c r="BR860" s="1224"/>
      <c r="BS860" s="1224"/>
    </row>
    <row r="861" spans="2:71" s="491" customFormat="1">
      <c r="B861" s="2297"/>
      <c r="C861" s="2297"/>
      <c r="D861" s="2297"/>
      <c r="E861" s="2297"/>
      <c r="F861" s="2297"/>
      <c r="G861" s="2297"/>
      <c r="H861" s="2297"/>
      <c r="I861" s="2297"/>
      <c r="J861" s="2297"/>
      <c r="K861" s="2297"/>
      <c r="L861" s="2297"/>
      <c r="M861" s="2297"/>
      <c r="N861" s="2297"/>
      <c r="O861" s="2297"/>
      <c r="P861" s="2297"/>
      <c r="Q861" s="2297"/>
      <c r="R861" s="99"/>
      <c r="S861" s="99"/>
      <c r="T861" s="99"/>
      <c r="U861" s="99"/>
      <c r="V861" s="99"/>
      <c r="AF861" s="2297"/>
      <c r="AG861" s="1208"/>
      <c r="AH861" s="1208"/>
      <c r="AI861" s="1223"/>
      <c r="AJ861" s="1223"/>
      <c r="AK861" s="1223"/>
      <c r="AL861" s="1223"/>
      <c r="AM861" s="1223"/>
      <c r="AN861" s="1223"/>
      <c r="AO861" s="1208"/>
      <c r="AP861" s="1223"/>
      <c r="AQ861" s="1208"/>
      <c r="AR861" s="1208"/>
      <c r="AS861" s="1223"/>
      <c r="AT861" s="1223"/>
      <c r="AU861" s="1208"/>
      <c r="AV861" s="1208"/>
      <c r="AW861" s="2297"/>
      <c r="BE861" s="1224"/>
      <c r="BF861" s="1225"/>
      <c r="BR861" s="1224"/>
      <c r="BS861" s="1224"/>
    </row>
    <row r="862" spans="2:71" s="491" customFormat="1">
      <c r="B862" s="2297"/>
      <c r="C862" s="2297"/>
      <c r="D862" s="2297"/>
      <c r="E862" s="2297"/>
      <c r="F862" s="2297"/>
      <c r="G862" s="2297"/>
      <c r="H862" s="2297"/>
      <c r="I862" s="2297"/>
      <c r="J862" s="2297"/>
      <c r="K862" s="2297"/>
      <c r="L862" s="2297"/>
      <c r="M862" s="2297"/>
      <c r="N862" s="2297"/>
      <c r="O862" s="2297"/>
      <c r="P862" s="2297"/>
      <c r="Q862" s="2297"/>
      <c r="R862" s="99"/>
      <c r="S862" s="99"/>
      <c r="T862" s="99"/>
      <c r="U862" s="99"/>
      <c r="V862" s="99"/>
      <c r="AF862" s="2297"/>
      <c r="AG862" s="1208"/>
      <c r="AH862" s="1208"/>
      <c r="AI862" s="1223"/>
      <c r="AJ862" s="1223"/>
      <c r="AK862" s="1223"/>
      <c r="AL862" s="1223"/>
      <c r="AM862" s="1223"/>
      <c r="AN862" s="1223"/>
      <c r="AO862" s="1208"/>
      <c r="AP862" s="1223"/>
      <c r="AQ862" s="1208"/>
      <c r="AR862" s="1208"/>
      <c r="AS862" s="1223"/>
      <c r="AT862" s="1223"/>
      <c r="AU862" s="1208"/>
      <c r="AV862" s="1208"/>
      <c r="AW862" s="2297"/>
      <c r="BE862" s="1224"/>
      <c r="BF862" s="1225"/>
      <c r="BR862" s="1224"/>
      <c r="BS862" s="1224"/>
    </row>
    <row r="863" spans="2:71" s="491" customFormat="1">
      <c r="B863" s="2297"/>
      <c r="C863" s="2297"/>
      <c r="D863" s="2297"/>
      <c r="E863" s="2297"/>
      <c r="F863" s="2297"/>
      <c r="G863" s="2297"/>
      <c r="H863" s="2297"/>
      <c r="I863" s="2297"/>
      <c r="J863" s="2297"/>
      <c r="K863" s="2297"/>
      <c r="L863" s="2297"/>
      <c r="M863" s="2297"/>
      <c r="N863" s="2297"/>
      <c r="O863" s="2297"/>
      <c r="P863" s="2297"/>
      <c r="Q863" s="2297"/>
      <c r="R863" s="99"/>
      <c r="S863" s="99"/>
      <c r="T863" s="99"/>
      <c r="U863" s="99"/>
      <c r="V863" s="99"/>
      <c r="AF863" s="2297"/>
      <c r="AG863" s="1208"/>
      <c r="AH863" s="1208"/>
      <c r="AI863" s="1223"/>
      <c r="AJ863" s="1223"/>
      <c r="AK863" s="1223"/>
      <c r="AL863" s="1223"/>
      <c r="AM863" s="1223"/>
      <c r="AN863" s="1223"/>
      <c r="AO863" s="1208"/>
      <c r="AP863" s="1223"/>
      <c r="AQ863" s="1208"/>
      <c r="AR863" s="1208"/>
      <c r="AS863" s="1223"/>
      <c r="AT863" s="1223"/>
      <c r="AU863" s="1208"/>
      <c r="AV863" s="1208"/>
      <c r="AW863" s="2297"/>
      <c r="BE863" s="1224"/>
      <c r="BF863" s="1225"/>
      <c r="BR863" s="1224"/>
      <c r="BS863" s="1224"/>
    </row>
    <row r="864" spans="2:71" s="491" customFormat="1">
      <c r="B864" s="2297"/>
      <c r="C864" s="2297"/>
      <c r="D864" s="2297"/>
      <c r="E864" s="2297"/>
      <c r="F864" s="2297"/>
      <c r="G864" s="2297"/>
      <c r="H864" s="2297"/>
      <c r="I864" s="2297"/>
      <c r="J864" s="2297"/>
      <c r="K864" s="2297"/>
      <c r="L864" s="2297"/>
      <c r="M864" s="2297"/>
      <c r="N864" s="2297"/>
      <c r="O864" s="2297"/>
      <c r="P864" s="2297"/>
      <c r="Q864" s="2297"/>
      <c r="R864" s="99"/>
      <c r="S864" s="99"/>
      <c r="T864" s="99"/>
      <c r="U864" s="99"/>
      <c r="V864" s="99"/>
      <c r="AF864" s="2297"/>
      <c r="AG864" s="1208"/>
      <c r="AH864" s="1208"/>
      <c r="AI864" s="1223"/>
      <c r="AJ864" s="1223"/>
      <c r="AK864" s="1223"/>
      <c r="AL864" s="1223"/>
      <c r="AM864" s="1223"/>
      <c r="AN864" s="1223"/>
      <c r="AO864" s="1208"/>
      <c r="AP864" s="1223"/>
      <c r="AQ864" s="1208"/>
      <c r="AR864" s="1208"/>
      <c r="AS864" s="1223"/>
      <c r="AT864" s="1223"/>
      <c r="AU864" s="1208"/>
      <c r="AV864" s="1208"/>
      <c r="AW864" s="2297"/>
      <c r="BE864" s="1224"/>
      <c r="BF864" s="1225"/>
      <c r="BR864" s="1224"/>
      <c r="BS864" s="1224"/>
    </row>
    <row r="865" spans="2:71" s="491" customFormat="1">
      <c r="B865" s="2297"/>
      <c r="C865" s="2297"/>
      <c r="D865" s="2297"/>
      <c r="E865" s="2297"/>
      <c r="F865" s="2297"/>
      <c r="G865" s="2297"/>
      <c r="H865" s="2297"/>
      <c r="I865" s="2297"/>
      <c r="J865" s="2297"/>
      <c r="K865" s="2297"/>
      <c r="L865" s="2297"/>
      <c r="M865" s="2297"/>
      <c r="N865" s="2297"/>
      <c r="O865" s="2297"/>
      <c r="P865" s="2297"/>
      <c r="Q865" s="2297"/>
      <c r="R865" s="99"/>
      <c r="S865" s="99"/>
      <c r="T865" s="99"/>
      <c r="U865" s="99"/>
      <c r="V865" s="99"/>
      <c r="AF865" s="2297"/>
      <c r="AG865" s="1208"/>
      <c r="AH865" s="1208"/>
      <c r="AI865" s="1223"/>
      <c r="AJ865" s="1223"/>
      <c r="AK865" s="1223"/>
      <c r="AL865" s="1223"/>
      <c r="AM865" s="1223"/>
      <c r="AN865" s="1223"/>
      <c r="AO865" s="1208"/>
      <c r="AP865" s="1223"/>
      <c r="AQ865" s="1208"/>
      <c r="AR865" s="1208"/>
      <c r="AS865" s="1223"/>
      <c r="AT865" s="1223"/>
      <c r="AU865" s="1208"/>
      <c r="AV865" s="1208"/>
      <c r="AW865" s="2297"/>
      <c r="BE865" s="1224"/>
      <c r="BF865" s="1225"/>
      <c r="BR865" s="1224"/>
      <c r="BS865" s="1224"/>
    </row>
    <row r="866" spans="2:71" s="491" customFormat="1">
      <c r="B866" s="2297"/>
      <c r="C866" s="2297"/>
      <c r="D866" s="2297"/>
      <c r="E866" s="2297"/>
      <c r="F866" s="2297"/>
      <c r="G866" s="2297"/>
      <c r="H866" s="2297"/>
      <c r="I866" s="2297"/>
      <c r="J866" s="2297"/>
      <c r="K866" s="2297"/>
      <c r="L866" s="2297"/>
      <c r="M866" s="2297"/>
      <c r="N866" s="2297"/>
      <c r="O866" s="2297"/>
      <c r="P866" s="2297"/>
      <c r="Q866" s="2297"/>
      <c r="R866" s="99"/>
      <c r="S866" s="99"/>
      <c r="T866" s="99"/>
      <c r="U866" s="99"/>
      <c r="V866" s="99"/>
      <c r="AF866" s="2297"/>
      <c r="AG866" s="1208"/>
      <c r="AH866" s="1208"/>
      <c r="AI866" s="1223"/>
      <c r="AJ866" s="1223"/>
      <c r="AK866" s="1223"/>
      <c r="AL866" s="1223"/>
      <c r="AM866" s="1223"/>
      <c r="AN866" s="1223"/>
      <c r="AO866" s="1208"/>
      <c r="AP866" s="1223"/>
      <c r="AQ866" s="1208"/>
      <c r="AR866" s="1208"/>
      <c r="AS866" s="1223"/>
      <c r="AT866" s="1223"/>
      <c r="AU866" s="1208"/>
      <c r="AV866" s="1208"/>
      <c r="AW866" s="2297"/>
      <c r="BE866" s="1224"/>
      <c r="BF866" s="1225"/>
      <c r="BR866" s="1224"/>
      <c r="BS866" s="1224"/>
    </row>
    <row r="867" spans="2:71" s="491" customFormat="1">
      <c r="B867" s="2297"/>
      <c r="C867" s="2297"/>
      <c r="D867" s="2297"/>
      <c r="E867" s="2297"/>
      <c r="F867" s="2297"/>
      <c r="G867" s="2297"/>
      <c r="H867" s="2297"/>
      <c r="I867" s="2297"/>
      <c r="J867" s="2297"/>
      <c r="K867" s="2297"/>
      <c r="L867" s="2297"/>
      <c r="M867" s="2297"/>
      <c r="N867" s="2297"/>
      <c r="O867" s="2297"/>
      <c r="P867" s="2297"/>
      <c r="Q867" s="2297"/>
      <c r="R867" s="99"/>
      <c r="S867" s="99"/>
      <c r="T867" s="99"/>
      <c r="U867" s="99"/>
      <c r="V867" s="99"/>
      <c r="AF867" s="2297"/>
      <c r="AG867" s="1208"/>
      <c r="AH867" s="1208"/>
      <c r="AI867" s="1223"/>
      <c r="AJ867" s="1223"/>
      <c r="AK867" s="1223"/>
      <c r="AL867" s="1223"/>
      <c r="AM867" s="1223"/>
      <c r="AN867" s="1223"/>
      <c r="AO867" s="1208"/>
      <c r="AP867" s="1223"/>
      <c r="AQ867" s="1208"/>
      <c r="AR867" s="1208"/>
      <c r="AS867" s="1223"/>
      <c r="AT867" s="1223"/>
      <c r="AU867" s="1208"/>
      <c r="AV867" s="1208"/>
      <c r="AW867" s="2297"/>
      <c r="BE867" s="1224"/>
      <c r="BF867" s="1225"/>
      <c r="BR867" s="1224"/>
      <c r="BS867" s="1224"/>
    </row>
    <row r="868" spans="2:71" s="491" customFormat="1">
      <c r="B868" s="2297"/>
      <c r="C868" s="2297"/>
      <c r="D868" s="2297"/>
      <c r="E868" s="2297"/>
      <c r="F868" s="2297"/>
      <c r="G868" s="2297"/>
      <c r="H868" s="2297"/>
      <c r="I868" s="2297"/>
      <c r="J868" s="2297"/>
      <c r="K868" s="2297"/>
      <c r="L868" s="2297"/>
      <c r="M868" s="2297"/>
      <c r="N868" s="2297"/>
      <c r="O868" s="2297"/>
      <c r="P868" s="2297"/>
      <c r="Q868" s="2297"/>
      <c r="R868" s="99"/>
      <c r="S868" s="99"/>
      <c r="T868" s="99"/>
      <c r="U868" s="99"/>
      <c r="V868" s="99"/>
      <c r="AF868" s="2297"/>
      <c r="AG868" s="1208"/>
      <c r="AH868" s="1208"/>
      <c r="AI868" s="1223"/>
      <c r="AJ868" s="1223"/>
      <c r="AK868" s="1223"/>
      <c r="AL868" s="1223"/>
      <c r="AM868" s="1223"/>
      <c r="AN868" s="1223"/>
      <c r="AO868" s="1208"/>
      <c r="AP868" s="1223"/>
      <c r="AQ868" s="1208"/>
      <c r="AR868" s="1208"/>
      <c r="AS868" s="1223"/>
      <c r="AT868" s="1223"/>
      <c r="AU868" s="1208"/>
      <c r="AV868" s="1208"/>
      <c r="AW868" s="2297"/>
      <c r="BE868" s="1224"/>
      <c r="BF868" s="1225"/>
      <c r="BR868" s="1224"/>
      <c r="BS868" s="1224"/>
    </row>
    <row r="869" spans="2:71" s="491" customFormat="1">
      <c r="B869" s="2297"/>
      <c r="C869" s="2297"/>
      <c r="D869" s="2297"/>
      <c r="E869" s="2297"/>
      <c r="F869" s="2297"/>
      <c r="G869" s="2297"/>
      <c r="H869" s="2297"/>
      <c r="I869" s="2297"/>
      <c r="J869" s="2297"/>
      <c r="K869" s="2297"/>
      <c r="L869" s="2297"/>
      <c r="M869" s="2297"/>
      <c r="N869" s="2297"/>
      <c r="O869" s="2297"/>
      <c r="P869" s="2297"/>
      <c r="Q869" s="2297"/>
      <c r="R869" s="99"/>
      <c r="S869" s="99"/>
      <c r="T869" s="99"/>
      <c r="U869" s="99"/>
      <c r="V869" s="99"/>
      <c r="AF869" s="2297"/>
      <c r="AG869" s="1208"/>
      <c r="AH869" s="1208"/>
      <c r="AI869" s="1223"/>
      <c r="AJ869" s="1223"/>
      <c r="AK869" s="1223"/>
      <c r="AL869" s="1223"/>
      <c r="AM869" s="1223"/>
      <c r="AN869" s="1223"/>
      <c r="AO869" s="1208"/>
      <c r="AP869" s="1223"/>
      <c r="AQ869" s="1208"/>
      <c r="AR869" s="1208"/>
      <c r="AS869" s="1223"/>
      <c r="AT869" s="1223"/>
      <c r="AU869" s="1208"/>
      <c r="AV869" s="1208"/>
      <c r="AW869" s="2297"/>
      <c r="BE869" s="1224"/>
      <c r="BF869" s="1225"/>
      <c r="BR869" s="1224"/>
      <c r="BS869" s="1224"/>
    </row>
    <row r="870" spans="2:71" s="491" customFormat="1">
      <c r="B870" s="2297"/>
      <c r="C870" s="2297"/>
      <c r="D870" s="2297"/>
      <c r="E870" s="2297"/>
      <c r="F870" s="2297"/>
      <c r="G870" s="2297"/>
      <c r="H870" s="2297"/>
      <c r="I870" s="2297"/>
      <c r="J870" s="2297"/>
      <c r="K870" s="2297"/>
      <c r="L870" s="2297"/>
      <c r="M870" s="2297"/>
      <c r="N870" s="2297"/>
      <c r="O870" s="2297"/>
      <c r="P870" s="2297"/>
      <c r="Q870" s="2297"/>
      <c r="R870" s="99"/>
      <c r="S870" s="99"/>
      <c r="T870" s="99"/>
      <c r="U870" s="99"/>
      <c r="V870" s="99"/>
      <c r="AF870" s="2297"/>
      <c r="AG870" s="1208"/>
      <c r="AH870" s="1208"/>
      <c r="AI870" s="1223"/>
      <c r="AJ870" s="1223"/>
      <c r="AK870" s="1223"/>
      <c r="AL870" s="1223"/>
      <c r="AM870" s="1223"/>
      <c r="AN870" s="1223"/>
      <c r="AO870" s="1208"/>
      <c r="AP870" s="1223"/>
      <c r="AQ870" s="1208"/>
      <c r="AR870" s="1208"/>
      <c r="AS870" s="1223"/>
      <c r="AT870" s="1223"/>
      <c r="AU870" s="1208"/>
      <c r="AV870" s="1208"/>
      <c r="AW870" s="2297"/>
      <c r="BE870" s="1224"/>
      <c r="BF870" s="1225"/>
      <c r="BR870" s="1224"/>
      <c r="BS870" s="1224"/>
    </row>
    <row r="871" spans="2:71" s="491" customFormat="1">
      <c r="B871" s="2297"/>
      <c r="C871" s="2297"/>
      <c r="D871" s="2297"/>
      <c r="E871" s="2297"/>
      <c r="F871" s="2297"/>
      <c r="G871" s="2297"/>
      <c r="H871" s="2297"/>
      <c r="I871" s="2297"/>
      <c r="J871" s="2297"/>
      <c r="K871" s="2297"/>
      <c r="L871" s="2297"/>
      <c r="M871" s="2297"/>
      <c r="N871" s="2297"/>
      <c r="O871" s="2297"/>
      <c r="P871" s="2297"/>
      <c r="Q871" s="2297"/>
      <c r="R871" s="99"/>
      <c r="S871" s="99"/>
      <c r="T871" s="99"/>
      <c r="U871" s="99"/>
      <c r="V871" s="99"/>
      <c r="AF871" s="2297"/>
      <c r="AG871" s="1208"/>
      <c r="AH871" s="1208"/>
      <c r="AI871" s="1223"/>
      <c r="AJ871" s="1223"/>
      <c r="AK871" s="1223"/>
      <c r="AL871" s="1223"/>
      <c r="AM871" s="1223"/>
      <c r="AN871" s="1223"/>
      <c r="AO871" s="1208"/>
      <c r="AP871" s="1223"/>
      <c r="AQ871" s="1208"/>
      <c r="AR871" s="1208"/>
      <c r="AS871" s="1223"/>
      <c r="AT871" s="1223"/>
      <c r="AU871" s="1208"/>
      <c r="AV871" s="1208"/>
      <c r="AW871" s="2297"/>
      <c r="BE871" s="1224"/>
      <c r="BF871" s="1225"/>
      <c r="BR871" s="1224"/>
      <c r="BS871" s="1224"/>
    </row>
    <row r="872" spans="2:71" s="491" customFormat="1">
      <c r="B872" s="2297"/>
      <c r="C872" s="2297"/>
      <c r="D872" s="2297"/>
      <c r="E872" s="2297"/>
      <c r="F872" s="2297"/>
      <c r="G872" s="2297"/>
      <c r="H872" s="2297"/>
      <c r="I872" s="2297"/>
      <c r="J872" s="2297"/>
      <c r="K872" s="2297"/>
      <c r="L872" s="2297"/>
      <c r="M872" s="2297"/>
      <c r="N872" s="2297"/>
      <c r="O872" s="2297"/>
      <c r="P872" s="2297"/>
      <c r="Q872" s="2297"/>
      <c r="R872" s="99"/>
      <c r="S872" s="99"/>
      <c r="T872" s="99"/>
      <c r="U872" s="99"/>
      <c r="V872" s="99"/>
      <c r="AF872" s="2297"/>
      <c r="AG872" s="1208"/>
      <c r="AH872" s="1208"/>
      <c r="AI872" s="1223"/>
      <c r="AJ872" s="1223"/>
      <c r="AK872" s="1223"/>
      <c r="AL872" s="1223"/>
      <c r="AM872" s="1223"/>
      <c r="AN872" s="1223"/>
      <c r="AO872" s="1208"/>
      <c r="AP872" s="1223"/>
      <c r="AQ872" s="1208"/>
      <c r="AR872" s="1208"/>
      <c r="AS872" s="1223"/>
      <c r="AT872" s="1223"/>
      <c r="AU872" s="1208"/>
      <c r="AV872" s="1208"/>
      <c r="AW872" s="2297"/>
      <c r="BE872" s="1224"/>
      <c r="BF872" s="1225"/>
      <c r="BR872" s="1224"/>
      <c r="BS872" s="1224"/>
    </row>
    <row r="873" spans="2:71" s="491" customFormat="1">
      <c r="B873" s="2297"/>
      <c r="C873" s="2297"/>
      <c r="D873" s="2297"/>
      <c r="E873" s="2297"/>
      <c r="F873" s="2297"/>
      <c r="G873" s="2297"/>
      <c r="H873" s="2297"/>
      <c r="I873" s="2297"/>
      <c r="J873" s="2297"/>
      <c r="K873" s="2297"/>
      <c r="L873" s="2297"/>
      <c r="M873" s="2297"/>
      <c r="N873" s="2297"/>
      <c r="O873" s="2297"/>
      <c r="P873" s="2297"/>
      <c r="Q873" s="2297"/>
      <c r="R873" s="99"/>
      <c r="S873" s="99"/>
      <c r="T873" s="99"/>
      <c r="U873" s="99"/>
      <c r="V873" s="99"/>
      <c r="AF873" s="2297"/>
      <c r="AG873" s="1208"/>
      <c r="AH873" s="1208"/>
      <c r="AI873" s="1223"/>
      <c r="AJ873" s="1223"/>
      <c r="AK873" s="1223"/>
      <c r="AL873" s="1223"/>
      <c r="AM873" s="1223"/>
      <c r="AN873" s="1223"/>
      <c r="AO873" s="1208"/>
      <c r="AP873" s="1223"/>
      <c r="AQ873" s="1208"/>
      <c r="AR873" s="1208"/>
      <c r="AS873" s="1223"/>
      <c r="AT873" s="1223"/>
      <c r="AU873" s="1208"/>
      <c r="AV873" s="1208"/>
      <c r="AW873" s="2297"/>
      <c r="BE873" s="1224"/>
      <c r="BF873" s="1225"/>
      <c r="BR873" s="1224"/>
      <c r="BS873" s="1224"/>
    </row>
    <row r="874" spans="2:71" s="491" customFormat="1">
      <c r="B874" s="2297"/>
      <c r="C874" s="2297"/>
      <c r="D874" s="2297"/>
      <c r="E874" s="2297"/>
      <c r="F874" s="2297"/>
      <c r="G874" s="2297"/>
      <c r="H874" s="2297"/>
      <c r="I874" s="2297"/>
      <c r="J874" s="2297"/>
      <c r="K874" s="2297"/>
      <c r="L874" s="2297"/>
      <c r="M874" s="2297"/>
      <c r="N874" s="2297"/>
      <c r="O874" s="2297"/>
      <c r="P874" s="2297"/>
      <c r="Q874" s="2297"/>
      <c r="R874" s="99"/>
      <c r="S874" s="99"/>
      <c r="T874" s="99"/>
      <c r="U874" s="99"/>
      <c r="V874" s="99"/>
      <c r="AF874" s="2297"/>
      <c r="AG874" s="1208"/>
      <c r="AH874" s="1208"/>
      <c r="AI874" s="1223"/>
      <c r="AJ874" s="1223"/>
      <c r="AK874" s="1223"/>
      <c r="AL874" s="1223"/>
      <c r="AM874" s="1223"/>
      <c r="AN874" s="1223"/>
      <c r="AO874" s="1208"/>
      <c r="AP874" s="1223"/>
      <c r="AQ874" s="1208"/>
      <c r="AR874" s="1208"/>
      <c r="AS874" s="1223"/>
      <c r="AT874" s="1223"/>
      <c r="AU874" s="1208"/>
      <c r="AV874" s="1208"/>
      <c r="AW874" s="2297"/>
      <c r="BE874" s="1224"/>
      <c r="BF874" s="1225"/>
      <c r="BR874" s="1224"/>
      <c r="BS874" s="1224"/>
    </row>
    <row r="875" spans="2:71" s="491" customFormat="1">
      <c r="B875" s="2297"/>
      <c r="C875" s="2297"/>
      <c r="D875" s="2297"/>
      <c r="E875" s="2297"/>
      <c r="F875" s="2297"/>
      <c r="G875" s="2297"/>
      <c r="H875" s="2297"/>
      <c r="I875" s="2297"/>
      <c r="J875" s="2297"/>
      <c r="K875" s="2297"/>
      <c r="L875" s="2297"/>
      <c r="M875" s="2297"/>
      <c r="N875" s="2297"/>
      <c r="O875" s="2297"/>
      <c r="P875" s="2297"/>
      <c r="Q875" s="2297"/>
      <c r="R875" s="99"/>
      <c r="S875" s="99"/>
      <c r="T875" s="99"/>
      <c r="U875" s="99"/>
      <c r="V875" s="99"/>
      <c r="AF875" s="2297"/>
      <c r="AG875" s="1208"/>
      <c r="AH875" s="1208"/>
      <c r="AI875" s="1223"/>
      <c r="AJ875" s="1223"/>
      <c r="AK875" s="1223"/>
      <c r="AL875" s="1223"/>
      <c r="AM875" s="1223"/>
      <c r="AN875" s="1223"/>
      <c r="AO875" s="1208"/>
      <c r="AP875" s="1223"/>
      <c r="AQ875" s="1208"/>
      <c r="AR875" s="1208"/>
      <c r="AS875" s="1223"/>
      <c r="AT875" s="1223"/>
      <c r="AU875" s="1208"/>
      <c r="AV875" s="1208"/>
      <c r="AW875" s="2297"/>
      <c r="BE875" s="1224"/>
      <c r="BF875" s="1225"/>
      <c r="BR875" s="1224"/>
      <c r="BS875" s="1224"/>
    </row>
    <row r="876" spans="2:71" s="491" customFormat="1">
      <c r="B876" s="2297"/>
      <c r="C876" s="2297"/>
      <c r="D876" s="2297"/>
      <c r="E876" s="2297"/>
      <c r="F876" s="2297"/>
      <c r="G876" s="2297"/>
      <c r="H876" s="2297"/>
      <c r="I876" s="2297"/>
      <c r="J876" s="2297"/>
      <c r="K876" s="2297"/>
      <c r="L876" s="2297"/>
      <c r="M876" s="2297"/>
      <c r="N876" s="2297"/>
      <c r="O876" s="2297"/>
      <c r="P876" s="2297"/>
      <c r="Q876" s="2297"/>
      <c r="R876" s="99"/>
      <c r="S876" s="99"/>
      <c r="T876" s="99"/>
      <c r="U876" s="99"/>
      <c r="V876" s="99"/>
      <c r="AF876" s="2297"/>
      <c r="AG876" s="1208"/>
      <c r="AH876" s="1208"/>
      <c r="AI876" s="1223"/>
      <c r="AJ876" s="1223"/>
      <c r="AK876" s="1223"/>
      <c r="AL876" s="1223"/>
      <c r="AM876" s="1223"/>
      <c r="AN876" s="1223"/>
      <c r="AO876" s="1208"/>
      <c r="AP876" s="1223"/>
      <c r="AQ876" s="1208"/>
      <c r="AR876" s="1208"/>
      <c r="AS876" s="1223"/>
      <c r="AT876" s="1223"/>
      <c r="AU876" s="1208"/>
      <c r="AV876" s="1208"/>
      <c r="AW876" s="2297"/>
      <c r="BE876" s="1224"/>
      <c r="BF876" s="1225"/>
      <c r="BR876" s="1224"/>
      <c r="BS876" s="1224"/>
    </row>
    <row r="877" spans="2:71" s="491" customFormat="1">
      <c r="B877" s="2297"/>
      <c r="C877" s="2297"/>
      <c r="D877" s="2297"/>
      <c r="E877" s="2297"/>
      <c r="F877" s="2297"/>
      <c r="G877" s="2297"/>
      <c r="H877" s="2297"/>
      <c r="I877" s="2297"/>
      <c r="J877" s="2297"/>
      <c r="K877" s="2297"/>
      <c r="L877" s="2297"/>
      <c r="M877" s="2297"/>
      <c r="N877" s="2297"/>
      <c r="O877" s="2297"/>
      <c r="P877" s="2297"/>
      <c r="Q877" s="2297"/>
      <c r="R877" s="99"/>
      <c r="S877" s="99"/>
      <c r="T877" s="99"/>
      <c r="U877" s="99"/>
      <c r="V877" s="99"/>
      <c r="AF877" s="2297"/>
      <c r="AG877" s="1208"/>
      <c r="AH877" s="1208"/>
      <c r="AI877" s="1223"/>
      <c r="AJ877" s="1223"/>
      <c r="AK877" s="1223"/>
      <c r="AL877" s="1223"/>
      <c r="AM877" s="1223"/>
      <c r="AN877" s="1223"/>
      <c r="AO877" s="1208"/>
      <c r="AP877" s="1223"/>
      <c r="AQ877" s="1208"/>
      <c r="AR877" s="1208"/>
      <c r="AS877" s="1223"/>
      <c r="AT877" s="1223"/>
      <c r="AU877" s="1208"/>
      <c r="AV877" s="1208"/>
      <c r="AW877" s="2297"/>
      <c r="BE877" s="1224"/>
      <c r="BF877" s="1225"/>
      <c r="BR877" s="1224"/>
      <c r="BS877" s="1224"/>
    </row>
    <row r="878" spans="2:71" s="491" customFormat="1">
      <c r="B878" s="2297"/>
      <c r="C878" s="2297"/>
      <c r="D878" s="2297"/>
      <c r="E878" s="2297"/>
      <c r="F878" s="2297"/>
      <c r="G878" s="2297"/>
      <c r="H878" s="2297"/>
      <c r="I878" s="2297"/>
      <c r="J878" s="2297"/>
      <c r="K878" s="2297"/>
      <c r="L878" s="2297"/>
      <c r="M878" s="2297"/>
      <c r="N878" s="2297"/>
      <c r="O878" s="2297"/>
      <c r="P878" s="2297"/>
      <c r="Q878" s="2297"/>
      <c r="R878" s="99"/>
      <c r="S878" s="99"/>
      <c r="T878" s="99"/>
      <c r="U878" s="99"/>
      <c r="V878" s="99"/>
      <c r="AF878" s="2297"/>
      <c r="AG878" s="1208"/>
      <c r="AH878" s="1208"/>
      <c r="AI878" s="1223"/>
      <c r="AJ878" s="1223"/>
      <c r="AK878" s="1223"/>
      <c r="AL878" s="1223"/>
      <c r="AM878" s="1223"/>
      <c r="AN878" s="1223"/>
      <c r="AO878" s="1208"/>
      <c r="AP878" s="1223"/>
      <c r="AQ878" s="1208"/>
      <c r="AR878" s="1208"/>
      <c r="AS878" s="1223"/>
      <c r="AT878" s="1223"/>
      <c r="AU878" s="1208"/>
      <c r="AV878" s="1208"/>
      <c r="AW878" s="2297"/>
      <c r="BE878" s="1224"/>
      <c r="BF878" s="1225"/>
      <c r="BR878" s="1224"/>
      <c r="BS878" s="1224"/>
    </row>
    <row r="879" spans="2:71" s="491" customFormat="1">
      <c r="B879" s="2297"/>
      <c r="C879" s="2297"/>
      <c r="D879" s="2297"/>
      <c r="E879" s="2297"/>
      <c r="F879" s="2297"/>
      <c r="G879" s="2297"/>
      <c r="H879" s="2297"/>
      <c r="I879" s="2297"/>
      <c r="J879" s="2297"/>
      <c r="K879" s="2297"/>
      <c r="L879" s="2297"/>
      <c r="M879" s="2297"/>
      <c r="N879" s="2297"/>
      <c r="O879" s="2297"/>
      <c r="P879" s="2297"/>
      <c r="Q879" s="2297"/>
      <c r="R879" s="99"/>
      <c r="S879" s="99"/>
      <c r="T879" s="99"/>
      <c r="U879" s="99"/>
      <c r="V879" s="99"/>
      <c r="AF879" s="2297"/>
      <c r="AG879" s="1208"/>
      <c r="AH879" s="1208"/>
      <c r="AI879" s="1223"/>
      <c r="AJ879" s="1223"/>
      <c r="AK879" s="1223"/>
      <c r="AL879" s="1223"/>
      <c r="AM879" s="1223"/>
      <c r="AN879" s="1223"/>
      <c r="AO879" s="1208"/>
      <c r="AP879" s="1223"/>
      <c r="AQ879" s="1208"/>
      <c r="AR879" s="1208"/>
      <c r="AS879" s="1223"/>
      <c r="AT879" s="1223"/>
      <c r="AU879" s="1208"/>
      <c r="AV879" s="1208"/>
      <c r="AW879" s="2297"/>
      <c r="BE879" s="1224"/>
      <c r="BF879" s="1225"/>
      <c r="BR879" s="1224"/>
      <c r="BS879" s="1224"/>
    </row>
    <row r="880" spans="2:71" s="491" customFormat="1">
      <c r="B880" s="2297"/>
      <c r="C880" s="2297"/>
      <c r="D880" s="2297"/>
      <c r="E880" s="2297"/>
      <c r="F880" s="2297"/>
      <c r="G880" s="2297"/>
      <c r="H880" s="2297"/>
      <c r="I880" s="2297"/>
      <c r="J880" s="2297"/>
      <c r="K880" s="2297"/>
      <c r="L880" s="2297"/>
      <c r="M880" s="2297"/>
      <c r="N880" s="2297"/>
      <c r="O880" s="2297"/>
      <c r="P880" s="2297"/>
      <c r="Q880" s="2297"/>
      <c r="R880" s="99"/>
      <c r="S880" s="99"/>
      <c r="T880" s="99"/>
      <c r="U880" s="99"/>
      <c r="V880" s="99"/>
      <c r="AF880" s="2297"/>
      <c r="AG880" s="1208"/>
      <c r="AH880" s="1208"/>
      <c r="AI880" s="1223"/>
      <c r="AJ880" s="1223"/>
      <c r="AK880" s="1223"/>
      <c r="AL880" s="1223"/>
      <c r="AM880" s="1223"/>
      <c r="AN880" s="1223"/>
      <c r="AO880" s="1208"/>
      <c r="AP880" s="1223"/>
      <c r="AQ880" s="1208"/>
      <c r="AR880" s="1208"/>
      <c r="AS880" s="1223"/>
      <c r="AT880" s="1223"/>
      <c r="AU880" s="1208"/>
      <c r="AV880" s="1208"/>
      <c r="AW880" s="2297"/>
      <c r="BE880" s="1224"/>
      <c r="BF880" s="1225"/>
      <c r="BR880" s="1224"/>
      <c r="BS880" s="1224"/>
    </row>
    <row r="881" spans="2:71" s="491" customFormat="1">
      <c r="B881" s="2297"/>
      <c r="C881" s="2297"/>
      <c r="D881" s="2297"/>
      <c r="E881" s="2297"/>
      <c r="F881" s="2297"/>
      <c r="G881" s="2297"/>
      <c r="H881" s="2297"/>
      <c r="I881" s="2297"/>
      <c r="J881" s="2297"/>
      <c r="K881" s="2297"/>
      <c r="L881" s="2297"/>
      <c r="M881" s="2297"/>
      <c r="N881" s="2297"/>
      <c r="O881" s="2297"/>
      <c r="P881" s="2297"/>
      <c r="Q881" s="2297"/>
      <c r="R881" s="99"/>
      <c r="S881" s="99"/>
      <c r="T881" s="99"/>
      <c r="U881" s="99"/>
      <c r="V881" s="99"/>
      <c r="AF881" s="2297"/>
      <c r="AG881" s="1208"/>
      <c r="AH881" s="1208"/>
      <c r="AI881" s="1223"/>
      <c r="AJ881" s="1223"/>
      <c r="AK881" s="1223"/>
      <c r="AL881" s="1223"/>
      <c r="AM881" s="1223"/>
      <c r="AN881" s="1223"/>
      <c r="AO881" s="1208"/>
      <c r="AP881" s="1223"/>
      <c r="AQ881" s="1208"/>
      <c r="AR881" s="1208"/>
      <c r="AS881" s="1223"/>
      <c r="AT881" s="1223"/>
      <c r="AU881" s="1208"/>
      <c r="AV881" s="1208"/>
      <c r="AW881" s="2297"/>
      <c r="BE881" s="1224"/>
      <c r="BF881" s="1225"/>
      <c r="BR881" s="1224"/>
      <c r="BS881" s="1224"/>
    </row>
    <row r="882" spans="2:71" s="491" customFormat="1">
      <c r="B882" s="2297"/>
      <c r="C882" s="2297"/>
      <c r="D882" s="2297"/>
      <c r="E882" s="2297"/>
      <c r="F882" s="2297"/>
      <c r="G882" s="2297"/>
      <c r="H882" s="2297"/>
      <c r="I882" s="2297"/>
      <c r="J882" s="2297"/>
      <c r="K882" s="2297"/>
      <c r="L882" s="2297"/>
      <c r="M882" s="2297"/>
      <c r="N882" s="2297"/>
      <c r="O882" s="2297"/>
      <c r="P882" s="2297"/>
      <c r="Q882" s="2297"/>
      <c r="R882" s="99"/>
      <c r="S882" s="99"/>
      <c r="T882" s="99"/>
      <c r="U882" s="99"/>
      <c r="V882" s="99"/>
      <c r="AF882" s="2297"/>
      <c r="AG882" s="1208"/>
      <c r="AH882" s="1208"/>
      <c r="AI882" s="1223"/>
      <c r="AJ882" s="1223"/>
      <c r="AK882" s="1223"/>
      <c r="AL882" s="1223"/>
      <c r="AM882" s="1223"/>
      <c r="AN882" s="1223"/>
      <c r="AO882" s="1208"/>
      <c r="AP882" s="1223"/>
      <c r="AQ882" s="1208"/>
      <c r="AR882" s="1208"/>
      <c r="AS882" s="1223"/>
      <c r="AT882" s="1223"/>
      <c r="AU882" s="1208"/>
      <c r="AV882" s="1208"/>
      <c r="AW882" s="2297"/>
      <c r="BE882" s="1224"/>
      <c r="BF882" s="1225"/>
      <c r="BR882" s="1224"/>
      <c r="BS882" s="1224"/>
    </row>
    <row r="883" spans="2:71" s="491" customFormat="1">
      <c r="B883" s="2297"/>
      <c r="C883" s="2297"/>
      <c r="D883" s="2297"/>
      <c r="E883" s="2297"/>
      <c r="F883" s="2297"/>
      <c r="G883" s="2297"/>
      <c r="H883" s="2297"/>
      <c r="I883" s="2297"/>
      <c r="J883" s="2297"/>
      <c r="K883" s="2297"/>
      <c r="L883" s="2297"/>
      <c r="M883" s="2297"/>
      <c r="N883" s="2297"/>
      <c r="O883" s="2297"/>
      <c r="P883" s="2297"/>
      <c r="Q883" s="2297"/>
      <c r="R883" s="99"/>
      <c r="S883" s="99"/>
      <c r="T883" s="99"/>
      <c r="U883" s="99"/>
      <c r="V883" s="99"/>
      <c r="AF883" s="2297"/>
      <c r="AG883" s="1208"/>
      <c r="AH883" s="1208"/>
      <c r="AI883" s="1223"/>
      <c r="AJ883" s="1223"/>
      <c r="AK883" s="1223"/>
      <c r="AL883" s="1223"/>
      <c r="AM883" s="1223"/>
      <c r="AN883" s="1223"/>
      <c r="AO883" s="1208"/>
      <c r="AP883" s="1223"/>
      <c r="AQ883" s="1208"/>
      <c r="AR883" s="1208"/>
      <c r="AS883" s="1223"/>
      <c r="AT883" s="1223"/>
      <c r="AU883" s="1208"/>
      <c r="AV883" s="1208"/>
      <c r="AW883" s="2297"/>
      <c r="BE883" s="1224"/>
      <c r="BF883" s="1225"/>
      <c r="BR883" s="1224"/>
      <c r="BS883" s="1224"/>
    </row>
    <row r="884" spans="2:71" s="491" customFormat="1">
      <c r="B884" s="2297"/>
      <c r="C884" s="2297"/>
      <c r="D884" s="2297"/>
      <c r="E884" s="2297"/>
      <c r="F884" s="2297"/>
      <c r="G884" s="2297"/>
      <c r="H884" s="2297"/>
      <c r="I884" s="2297"/>
      <c r="J884" s="2297"/>
      <c r="K884" s="2297"/>
      <c r="L884" s="2297"/>
      <c r="M884" s="2297"/>
      <c r="N884" s="2297"/>
      <c r="O884" s="2297"/>
      <c r="P884" s="2297"/>
      <c r="Q884" s="2297"/>
      <c r="R884" s="99"/>
      <c r="S884" s="99"/>
      <c r="T884" s="99"/>
      <c r="U884" s="99"/>
      <c r="V884" s="99"/>
      <c r="AF884" s="2297"/>
      <c r="AG884" s="1208"/>
      <c r="AH884" s="1208"/>
      <c r="AI884" s="1223"/>
      <c r="AJ884" s="1223"/>
      <c r="AK884" s="1223"/>
      <c r="AL884" s="1223"/>
      <c r="AM884" s="1223"/>
      <c r="AN884" s="1223"/>
      <c r="AO884" s="1208"/>
      <c r="AP884" s="1223"/>
      <c r="AQ884" s="1208"/>
      <c r="AR884" s="1208"/>
      <c r="AS884" s="1223"/>
      <c r="AT884" s="1223"/>
      <c r="AU884" s="1208"/>
      <c r="AV884" s="1208"/>
      <c r="AW884" s="2297"/>
      <c r="BE884" s="1224"/>
      <c r="BF884" s="1225"/>
      <c r="BR884" s="1224"/>
      <c r="BS884" s="1224"/>
    </row>
    <row r="885" spans="2:71" s="491" customFormat="1">
      <c r="B885" s="2297"/>
      <c r="C885" s="2297"/>
      <c r="D885" s="2297"/>
      <c r="E885" s="2297"/>
      <c r="F885" s="2297"/>
      <c r="G885" s="2297"/>
      <c r="H885" s="2297"/>
      <c r="I885" s="2297"/>
      <c r="J885" s="2297"/>
      <c r="K885" s="2297"/>
      <c r="L885" s="2297"/>
      <c r="M885" s="2297"/>
      <c r="N885" s="2297"/>
      <c r="O885" s="2297"/>
      <c r="P885" s="2297"/>
      <c r="Q885" s="2297"/>
      <c r="R885" s="99"/>
      <c r="S885" s="99"/>
      <c r="T885" s="99"/>
      <c r="U885" s="99"/>
      <c r="V885" s="99"/>
      <c r="AF885" s="2297"/>
      <c r="AG885" s="1208"/>
      <c r="AH885" s="1208"/>
      <c r="AI885" s="1223"/>
      <c r="AJ885" s="1223"/>
      <c r="AK885" s="1223"/>
      <c r="AL885" s="1223"/>
      <c r="AM885" s="1223"/>
      <c r="AN885" s="1223"/>
      <c r="AO885" s="1208"/>
      <c r="AP885" s="1223"/>
      <c r="AQ885" s="1208"/>
      <c r="AR885" s="1208"/>
      <c r="AS885" s="1223"/>
      <c r="AT885" s="1223"/>
      <c r="AU885" s="1208"/>
      <c r="AV885" s="1208"/>
      <c r="AW885" s="2297"/>
      <c r="BE885" s="1224"/>
      <c r="BF885" s="1225"/>
      <c r="BR885" s="1224"/>
      <c r="BS885" s="1224"/>
    </row>
    <row r="886" spans="2:71" s="491" customFormat="1">
      <c r="B886" s="2297"/>
      <c r="C886" s="2297"/>
      <c r="D886" s="2297"/>
      <c r="E886" s="2297"/>
      <c r="F886" s="2297"/>
      <c r="G886" s="2297"/>
      <c r="H886" s="2297"/>
      <c r="I886" s="2297"/>
      <c r="J886" s="2297"/>
      <c r="K886" s="2297"/>
      <c r="L886" s="2297"/>
      <c r="M886" s="2297"/>
      <c r="N886" s="2297"/>
      <c r="O886" s="2297"/>
      <c r="P886" s="2297"/>
      <c r="Q886" s="2297"/>
      <c r="R886" s="99"/>
      <c r="S886" s="99"/>
      <c r="T886" s="99"/>
      <c r="U886" s="99"/>
      <c r="V886" s="99"/>
      <c r="AF886" s="2297"/>
      <c r="AG886" s="1208"/>
      <c r="AH886" s="1208"/>
      <c r="AI886" s="1223"/>
      <c r="AJ886" s="1223"/>
      <c r="AK886" s="1223"/>
      <c r="AL886" s="1223"/>
      <c r="AM886" s="1223"/>
      <c r="AN886" s="1223"/>
      <c r="AO886" s="1208"/>
      <c r="AP886" s="1223"/>
      <c r="AQ886" s="1208"/>
      <c r="AR886" s="1208"/>
      <c r="AS886" s="1223"/>
      <c r="AT886" s="1223"/>
      <c r="AU886" s="1208"/>
      <c r="AV886" s="1208"/>
      <c r="AW886" s="2297"/>
      <c r="BE886" s="1224"/>
      <c r="BF886" s="1225"/>
      <c r="BR886" s="1224"/>
      <c r="BS886" s="1224"/>
    </row>
    <row r="887" spans="2:71" s="491" customFormat="1">
      <c r="B887" s="2297"/>
      <c r="C887" s="2297"/>
      <c r="D887" s="2297"/>
      <c r="E887" s="2297"/>
      <c r="F887" s="2297"/>
      <c r="G887" s="2297"/>
      <c r="H887" s="2297"/>
      <c r="I887" s="2297"/>
      <c r="J887" s="2297"/>
      <c r="K887" s="2297"/>
      <c r="L887" s="2297"/>
      <c r="M887" s="2297"/>
      <c r="N887" s="2297"/>
      <c r="O887" s="2297"/>
      <c r="P887" s="2297"/>
      <c r="Q887" s="2297"/>
      <c r="R887" s="99"/>
      <c r="S887" s="99"/>
      <c r="T887" s="99"/>
      <c r="U887" s="99"/>
      <c r="V887" s="99"/>
      <c r="AF887" s="2297"/>
      <c r="AG887" s="1208"/>
      <c r="AH887" s="1208"/>
      <c r="AI887" s="1223"/>
      <c r="AJ887" s="1223"/>
      <c r="AK887" s="1223"/>
      <c r="AL887" s="1223"/>
      <c r="AM887" s="1223"/>
      <c r="AN887" s="1223"/>
      <c r="AO887" s="1208"/>
      <c r="AP887" s="1223"/>
      <c r="AQ887" s="1208"/>
      <c r="AR887" s="1208"/>
      <c r="AS887" s="1223"/>
      <c r="AT887" s="1223"/>
      <c r="AU887" s="1208"/>
      <c r="AV887" s="1208"/>
      <c r="AW887" s="2297"/>
      <c r="BE887" s="1224"/>
      <c r="BF887" s="1225"/>
      <c r="BR887" s="1224"/>
      <c r="BS887" s="1224"/>
    </row>
    <row r="888" spans="2:71" s="491" customFormat="1">
      <c r="B888" s="2297"/>
      <c r="C888" s="2297"/>
      <c r="D888" s="2297"/>
      <c r="E888" s="2297"/>
      <c r="F888" s="2297"/>
      <c r="G888" s="2297"/>
      <c r="H888" s="2297"/>
      <c r="I888" s="2297"/>
      <c r="J888" s="2297"/>
      <c r="K888" s="2297"/>
      <c r="L888" s="2297"/>
      <c r="M888" s="2297"/>
      <c r="N888" s="2297"/>
      <c r="O888" s="2297"/>
      <c r="P888" s="2297"/>
      <c r="Q888" s="2297"/>
      <c r="R888" s="99"/>
      <c r="S888" s="99"/>
      <c r="T888" s="99"/>
      <c r="U888" s="99"/>
      <c r="V888" s="99"/>
      <c r="AF888" s="2297"/>
      <c r="AG888" s="1208"/>
      <c r="AH888" s="1208"/>
      <c r="AI888" s="1223"/>
      <c r="AJ888" s="1223"/>
      <c r="AK888" s="1223"/>
      <c r="AL888" s="1223"/>
      <c r="AM888" s="1223"/>
      <c r="AN888" s="1223"/>
      <c r="AO888" s="1208"/>
      <c r="AP888" s="1223"/>
      <c r="AQ888" s="1208"/>
      <c r="AR888" s="1208"/>
      <c r="AS888" s="1223"/>
      <c r="AT888" s="1223"/>
      <c r="AU888" s="1208"/>
      <c r="AV888" s="1208"/>
      <c r="AW888" s="2297"/>
      <c r="BE888" s="1224"/>
      <c r="BF888" s="1225"/>
      <c r="BR888" s="1224"/>
      <c r="BS888" s="1224"/>
    </row>
    <row r="889" spans="2:71" s="491" customFormat="1">
      <c r="B889" s="2297"/>
      <c r="C889" s="2297"/>
      <c r="D889" s="2297"/>
      <c r="E889" s="2297"/>
      <c r="F889" s="2297"/>
      <c r="G889" s="2297"/>
      <c r="H889" s="2297"/>
      <c r="I889" s="2297"/>
      <c r="J889" s="2297"/>
      <c r="K889" s="2297"/>
      <c r="L889" s="2297"/>
      <c r="M889" s="2297"/>
      <c r="N889" s="2297"/>
      <c r="O889" s="2297"/>
      <c r="P889" s="2297"/>
      <c r="Q889" s="2297"/>
      <c r="R889" s="99"/>
      <c r="S889" s="99"/>
      <c r="T889" s="99"/>
      <c r="U889" s="99"/>
      <c r="V889" s="99"/>
      <c r="AF889" s="2297"/>
      <c r="AG889" s="1208"/>
      <c r="AH889" s="1208"/>
      <c r="AI889" s="1223"/>
      <c r="AJ889" s="1223"/>
      <c r="AK889" s="1223"/>
      <c r="AL889" s="1223"/>
      <c r="AM889" s="1223"/>
      <c r="AN889" s="1223"/>
      <c r="AO889" s="1208"/>
      <c r="AP889" s="1223"/>
      <c r="AQ889" s="1208"/>
      <c r="AR889" s="1208"/>
      <c r="AS889" s="1223"/>
      <c r="AT889" s="1223"/>
      <c r="AU889" s="1208"/>
      <c r="AV889" s="1208"/>
      <c r="AW889" s="2297"/>
      <c r="BE889" s="1224"/>
      <c r="BF889" s="1225"/>
      <c r="BR889" s="1224"/>
      <c r="BS889" s="1224"/>
    </row>
    <row r="890" spans="2:71" s="491" customFormat="1">
      <c r="B890" s="2297"/>
      <c r="C890" s="2297"/>
      <c r="D890" s="2297"/>
      <c r="E890" s="2297"/>
      <c r="F890" s="2297"/>
      <c r="G890" s="2297"/>
      <c r="H890" s="2297"/>
      <c r="I890" s="2297"/>
      <c r="J890" s="2297"/>
      <c r="K890" s="2297"/>
      <c r="L890" s="2297"/>
      <c r="M890" s="2297"/>
      <c r="N890" s="2297"/>
      <c r="O890" s="2297"/>
      <c r="P890" s="2297"/>
      <c r="Q890" s="2297"/>
      <c r="R890" s="99"/>
      <c r="S890" s="99"/>
      <c r="T890" s="99"/>
      <c r="U890" s="99"/>
      <c r="V890" s="99"/>
      <c r="AF890" s="2297"/>
      <c r="AG890" s="1208"/>
      <c r="AH890" s="1208"/>
      <c r="AI890" s="1223"/>
      <c r="AJ890" s="1223"/>
      <c r="AK890" s="1223"/>
      <c r="AL890" s="1223"/>
      <c r="AM890" s="1223"/>
      <c r="AN890" s="1223"/>
      <c r="AO890" s="1208"/>
      <c r="AP890" s="1223"/>
      <c r="AQ890" s="1208"/>
      <c r="AR890" s="1208"/>
      <c r="AS890" s="1223"/>
      <c r="AT890" s="1223"/>
      <c r="AU890" s="1208"/>
      <c r="AV890" s="1208"/>
      <c r="AW890" s="2297"/>
      <c r="BE890" s="1224"/>
      <c r="BF890" s="1225"/>
      <c r="BR890" s="1224"/>
      <c r="BS890" s="1224"/>
    </row>
    <row r="891" spans="2:71" s="491" customFormat="1">
      <c r="B891" s="2297"/>
      <c r="C891" s="2297"/>
      <c r="D891" s="2297"/>
      <c r="E891" s="2297"/>
      <c r="F891" s="2297"/>
      <c r="G891" s="2297"/>
      <c r="H891" s="2297"/>
      <c r="I891" s="2297"/>
      <c r="J891" s="2297"/>
      <c r="K891" s="2297"/>
      <c r="L891" s="2297"/>
      <c r="M891" s="2297"/>
      <c r="N891" s="2297"/>
      <c r="O891" s="2297"/>
      <c r="P891" s="2297"/>
      <c r="Q891" s="2297"/>
      <c r="R891" s="99"/>
      <c r="S891" s="99"/>
      <c r="T891" s="99"/>
      <c r="U891" s="99"/>
      <c r="V891" s="99"/>
      <c r="AF891" s="2297"/>
      <c r="AG891" s="1208"/>
      <c r="AH891" s="1208"/>
      <c r="AI891" s="1223"/>
      <c r="AJ891" s="1223"/>
      <c r="AK891" s="1223"/>
      <c r="AL891" s="1223"/>
      <c r="AM891" s="1223"/>
      <c r="AN891" s="1223"/>
      <c r="AO891" s="1208"/>
      <c r="AP891" s="1223"/>
      <c r="AQ891" s="1208"/>
      <c r="AR891" s="1208"/>
      <c r="AS891" s="1223"/>
      <c r="AT891" s="1223"/>
      <c r="AU891" s="1208"/>
      <c r="AV891" s="1208"/>
      <c r="AW891" s="2297"/>
      <c r="BE891" s="1224"/>
      <c r="BF891" s="1225"/>
      <c r="BR891" s="1224"/>
      <c r="BS891" s="1224"/>
    </row>
    <row r="892" spans="2:71" s="491" customFormat="1">
      <c r="B892" s="2297"/>
      <c r="C892" s="2297"/>
      <c r="D892" s="2297"/>
      <c r="E892" s="2297"/>
      <c r="F892" s="2297"/>
      <c r="G892" s="2297"/>
      <c r="H892" s="2297"/>
      <c r="I892" s="2297"/>
      <c r="J892" s="2297"/>
      <c r="K892" s="2297"/>
      <c r="L892" s="2297"/>
      <c r="M892" s="2297"/>
      <c r="N892" s="2297"/>
      <c r="O892" s="2297"/>
      <c r="P892" s="2297"/>
      <c r="Q892" s="2297"/>
      <c r="R892" s="99"/>
      <c r="S892" s="99"/>
      <c r="T892" s="99"/>
      <c r="U892" s="99"/>
      <c r="V892" s="99"/>
      <c r="AF892" s="2297"/>
      <c r="AG892" s="1208"/>
      <c r="AH892" s="1208"/>
      <c r="AI892" s="1223"/>
      <c r="AJ892" s="1223"/>
      <c r="AK892" s="1223"/>
      <c r="AL892" s="1223"/>
      <c r="AM892" s="1223"/>
      <c r="AN892" s="1223"/>
      <c r="AO892" s="1208"/>
      <c r="AP892" s="1223"/>
      <c r="AQ892" s="1208"/>
      <c r="AR892" s="1208"/>
      <c r="AS892" s="1223"/>
      <c r="AT892" s="1223"/>
      <c r="AU892" s="1208"/>
      <c r="AV892" s="1208"/>
      <c r="AW892" s="2297"/>
      <c r="BE892" s="1224"/>
      <c r="BF892" s="1225"/>
      <c r="BR892" s="1224"/>
      <c r="BS892" s="1224"/>
    </row>
    <row r="893" spans="2:71" s="491" customFormat="1">
      <c r="B893" s="2297"/>
      <c r="C893" s="2297"/>
      <c r="D893" s="2297"/>
      <c r="E893" s="2297"/>
      <c r="F893" s="2297"/>
      <c r="G893" s="2297"/>
      <c r="H893" s="2297"/>
      <c r="I893" s="2297"/>
      <c r="J893" s="2297"/>
      <c r="K893" s="2297"/>
      <c r="L893" s="2297"/>
      <c r="M893" s="2297"/>
      <c r="N893" s="2297"/>
      <c r="O893" s="2297"/>
      <c r="P893" s="2297"/>
      <c r="Q893" s="2297"/>
      <c r="R893" s="99"/>
      <c r="S893" s="99"/>
      <c r="T893" s="99"/>
      <c r="U893" s="99"/>
      <c r="V893" s="99"/>
      <c r="AF893" s="2297"/>
      <c r="AG893" s="1208"/>
      <c r="AH893" s="1208"/>
      <c r="AI893" s="1223"/>
      <c r="AJ893" s="1223"/>
      <c r="AK893" s="1223"/>
      <c r="AL893" s="1223"/>
      <c r="AM893" s="1223"/>
      <c r="AN893" s="1223"/>
      <c r="AO893" s="1208"/>
      <c r="AP893" s="1223"/>
      <c r="AQ893" s="1208"/>
      <c r="AR893" s="1208"/>
      <c r="AS893" s="1223"/>
      <c r="AT893" s="1223"/>
      <c r="AU893" s="1208"/>
      <c r="AV893" s="1208"/>
      <c r="AW893" s="2297"/>
      <c r="BE893" s="1224"/>
      <c r="BF893" s="1225"/>
      <c r="BR893" s="1224"/>
      <c r="BS893" s="1224"/>
    </row>
    <row r="894" spans="2:71" s="491" customFormat="1">
      <c r="B894" s="2297"/>
      <c r="C894" s="2297"/>
      <c r="D894" s="2297"/>
      <c r="E894" s="2297"/>
      <c r="F894" s="2297"/>
      <c r="G894" s="2297"/>
      <c r="H894" s="2297"/>
      <c r="I894" s="2297"/>
      <c r="J894" s="2297"/>
      <c r="K894" s="2297"/>
      <c r="L894" s="2297"/>
      <c r="M894" s="2297"/>
      <c r="N894" s="2297"/>
      <c r="O894" s="2297"/>
      <c r="P894" s="2297"/>
      <c r="Q894" s="2297"/>
      <c r="R894" s="99"/>
      <c r="S894" s="99"/>
      <c r="T894" s="99"/>
      <c r="U894" s="99"/>
      <c r="V894" s="99"/>
      <c r="AF894" s="2297"/>
      <c r="AG894" s="1208"/>
      <c r="AH894" s="1208"/>
      <c r="AI894" s="1223"/>
      <c r="AJ894" s="1223"/>
      <c r="AK894" s="1223"/>
      <c r="AL894" s="1223"/>
      <c r="AM894" s="1223"/>
      <c r="AN894" s="1223"/>
      <c r="AO894" s="1208"/>
      <c r="AP894" s="1223"/>
      <c r="AQ894" s="1208"/>
      <c r="AR894" s="1208"/>
      <c r="AS894" s="1223"/>
      <c r="AT894" s="1223"/>
      <c r="AU894" s="1208"/>
      <c r="AV894" s="1208"/>
      <c r="AW894" s="2297"/>
      <c r="BE894" s="1224"/>
      <c r="BF894" s="1225"/>
      <c r="BR894" s="1224"/>
      <c r="BS894" s="1224"/>
    </row>
    <row r="895" spans="2:71" s="491" customFormat="1">
      <c r="B895" s="2297"/>
      <c r="C895" s="2297"/>
      <c r="D895" s="2297"/>
      <c r="E895" s="2297"/>
      <c r="F895" s="2297"/>
      <c r="G895" s="2297"/>
      <c r="H895" s="2297"/>
      <c r="I895" s="2297"/>
      <c r="J895" s="2297"/>
      <c r="K895" s="2297"/>
      <c r="L895" s="2297"/>
      <c r="M895" s="2297"/>
      <c r="N895" s="2297"/>
      <c r="O895" s="2297"/>
      <c r="P895" s="2297"/>
      <c r="Q895" s="2297"/>
      <c r="R895" s="99"/>
      <c r="S895" s="99"/>
      <c r="T895" s="99"/>
      <c r="U895" s="99"/>
      <c r="V895" s="99"/>
      <c r="AF895" s="2297"/>
      <c r="AG895" s="1208"/>
      <c r="AH895" s="1208"/>
      <c r="AI895" s="1223"/>
      <c r="AJ895" s="1223"/>
      <c r="AK895" s="1223"/>
      <c r="AL895" s="1223"/>
      <c r="AM895" s="1223"/>
      <c r="AN895" s="1223"/>
      <c r="AO895" s="1208"/>
      <c r="AP895" s="1223"/>
      <c r="AQ895" s="1208"/>
      <c r="AR895" s="1208"/>
      <c r="AS895" s="1223"/>
      <c r="AT895" s="1223"/>
      <c r="AU895" s="1208"/>
      <c r="AV895" s="1208"/>
      <c r="AW895" s="2297"/>
      <c r="BE895" s="1224"/>
      <c r="BF895" s="1225"/>
      <c r="BR895" s="1224"/>
      <c r="BS895" s="1224"/>
    </row>
    <row r="896" spans="2:71" s="491" customFormat="1">
      <c r="B896" s="2297"/>
      <c r="C896" s="2297"/>
      <c r="D896" s="2297"/>
      <c r="E896" s="2297"/>
      <c r="F896" s="2297"/>
      <c r="G896" s="2297"/>
      <c r="H896" s="2297"/>
      <c r="I896" s="2297"/>
      <c r="J896" s="2297"/>
      <c r="K896" s="2297"/>
      <c r="L896" s="2297"/>
      <c r="M896" s="2297"/>
      <c r="N896" s="2297"/>
      <c r="O896" s="2297"/>
      <c r="P896" s="2297"/>
      <c r="Q896" s="2297"/>
      <c r="R896" s="99"/>
      <c r="S896" s="99"/>
      <c r="T896" s="99"/>
      <c r="U896" s="99"/>
      <c r="V896" s="99"/>
      <c r="AF896" s="2297"/>
      <c r="AG896" s="1208"/>
      <c r="AH896" s="1208"/>
      <c r="AI896" s="1223"/>
      <c r="AJ896" s="1223"/>
      <c r="AK896" s="1223"/>
      <c r="AL896" s="1223"/>
      <c r="AM896" s="1223"/>
      <c r="AN896" s="1223"/>
      <c r="AO896" s="1208"/>
      <c r="AP896" s="1223"/>
      <c r="AQ896" s="1208"/>
      <c r="AR896" s="1208"/>
      <c r="AS896" s="1223"/>
      <c r="AT896" s="1223"/>
      <c r="AU896" s="1208"/>
      <c r="AV896" s="1208"/>
      <c r="AW896" s="2297"/>
      <c r="BE896" s="1224"/>
      <c r="BF896" s="1225"/>
      <c r="BR896" s="1224"/>
      <c r="BS896" s="1224"/>
    </row>
    <row r="897" spans="2:71" s="491" customFormat="1">
      <c r="B897" s="2297"/>
      <c r="C897" s="2297"/>
      <c r="D897" s="2297"/>
      <c r="E897" s="2297"/>
      <c r="F897" s="2297"/>
      <c r="G897" s="2297"/>
      <c r="H897" s="2297"/>
      <c r="I897" s="2297"/>
      <c r="J897" s="2297"/>
      <c r="K897" s="2297"/>
      <c r="L897" s="2297"/>
      <c r="M897" s="2297"/>
      <c r="N897" s="2297"/>
      <c r="O897" s="2297"/>
      <c r="P897" s="2297"/>
      <c r="Q897" s="2297"/>
      <c r="R897" s="99"/>
      <c r="S897" s="99"/>
      <c r="T897" s="99"/>
      <c r="U897" s="99"/>
      <c r="V897" s="99"/>
      <c r="AF897" s="2297"/>
      <c r="AG897" s="1208"/>
      <c r="AH897" s="1208"/>
      <c r="AI897" s="1223"/>
      <c r="AJ897" s="1223"/>
      <c r="AK897" s="1223"/>
      <c r="AL897" s="1223"/>
      <c r="AM897" s="1223"/>
      <c r="AN897" s="1223"/>
      <c r="AO897" s="1208"/>
      <c r="AP897" s="1223"/>
      <c r="AQ897" s="1208"/>
      <c r="AR897" s="1208"/>
      <c r="AS897" s="1223"/>
      <c r="AT897" s="1223"/>
      <c r="AU897" s="1208"/>
      <c r="AV897" s="1208"/>
      <c r="AW897" s="2297"/>
      <c r="BE897" s="1224"/>
      <c r="BF897" s="1225"/>
      <c r="BR897" s="1224"/>
      <c r="BS897" s="1224"/>
    </row>
    <row r="898" spans="2:71" s="491" customFormat="1">
      <c r="B898" s="2297"/>
      <c r="C898" s="2297"/>
      <c r="D898" s="2297"/>
      <c r="E898" s="2297"/>
      <c r="F898" s="2297"/>
      <c r="G898" s="2297"/>
      <c r="H898" s="2297"/>
      <c r="I898" s="2297"/>
      <c r="J898" s="2297"/>
      <c r="K898" s="2297"/>
      <c r="L898" s="2297"/>
      <c r="M898" s="2297"/>
      <c r="N898" s="2297"/>
      <c r="O898" s="2297"/>
      <c r="P898" s="2297"/>
      <c r="Q898" s="2297"/>
      <c r="R898" s="99"/>
      <c r="S898" s="99"/>
      <c r="T898" s="99"/>
      <c r="U898" s="99"/>
      <c r="V898" s="99"/>
      <c r="AF898" s="2297"/>
      <c r="AG898" s="1208"/>
      <c r="AH898" s="1208"/>
      <c r="AI898" s="1223"/>
      <c r="AJ898" s="1223"/>
      <c r="AK898" s="1223"/>
      <c r="AL898" s="1223"/>
      <c r="AM898" s="1223"/>
      <c r="AN898" s="1223"/>
      <c r="AO898" s="1208"/>
      <c r="AP898" s="1223"/>
      <c r="AQ898" s="1208"/>
      <c r="AR898" s="1208"/>
      <c r="AS898" s="1223"/>
      <c r="AT898" s="1223"/>
      <c r="AU898" s="1208"/>
      <c r="AV898" s="1208"/>
      <c r="AW898" s="2297"/>
      <c r="BE898" s="1224"/>
      <c r="BF898" s="1225"/>
      <c r="BR898" s="1224"/>
      <c r="BS898" s="1224"/>
    </row>
    <row r="899" spans="2:71" s="491" customFormat="1">
      <c r="B899" s="2297"/>
      <c r="C899" s="2297"/>
      <c r="D899" s="2297"/>
      <c r="E899" s="2297"/>
      <c r="F899" s="2297"/>
      <c r="G899" s="2297"/>
      <c r="H899" s="2297"/>
      <c r="I899" s="2297"/>
      <c r="J899" s="2297"/>
      <c r="K899" s="2297"/>
      <c r="L899" s="2297"/>
      <c r="M899" s="2297"/>
      <c r="N899" s="2297"/>
      <c r="O899" s="2297"/>
      <c r="P899" s="2297"/>
      <c r="Q899" s="2297"/>
      <c r="R899" s="99"/>
      <c r="S899" s="99"/>
      <c r="T899" s="99"/>
      <c r="U899" s="99"/>
      <c r="V899" s="99"/>
      <c r="AF899" s="2297"/>
      <c r="AG899" s="1208"/>
      <c r="AH899" s="1208"/>
      <c r="AI899" s="1223"/>
      <c r="AJ899" s="1223"/>
      <c r="AK899" s="1223"/>
      <c r="AL899" s="1223"/>
      <c r="AM899" s="1223"/>
      <c r="AN899" s="1223"/>
      <c r="AO899" s="1208"/>
      <c r="AP899" s="1223"/>
      <c r="AQ899" s="1208"/>
      <c r="AR899" s="1208"/>
      <c r="AS899" s="1223"/>
      <c r="AT899" s="1223"/>
      <c r="AU899" s="1208"/>
      <c r="AV899" s="1208"/>
      <c r="AW899" s="2297"/>
      <c r="BE899" s="1224"/>
      <c r="BF899" s="1225"/>
      <c r="BR899" s="1224"/>
      <c r="BS899" s="1224"/>
    </row>
    <row r="900" spans="2:71" s="491" customFormat="1">
      <c r="B900" s="2297"/>
      <c r="C900" s="2297"/>
      <c r="D900" s="2297"/>
      <c r="E900" s="2297"/>
      <c r="F900" s="2297"/>
      <c r="G900" s="2297"/>
      <c r="H900" s="2297"/>
      <c r="I900" s="2297"/>
      <c r="J900" s="2297"/>
      <c r="K900" s="2297"/>
      <c r="L900" s="2297"/>
      <c r="M900" s="2297"/>
      <c r="N900" s="2297"/>
      <c r="O900" s="2297"/>
      <c r="P900" s="2297"/>
      <c r="Q900" s="2297"/>
      <c r="R900" s="99"/>
      <c r="S900" s="99"/>
      <c r="T900" s="99"/>
      <c r="U900" s="99"/>
      <c r="V900" s="99"/>
      <c r="AF900" s="2297"/>
      <c r="AG900" s="1208"/>
      <c r="AH900" s="1208"/>
      <c r="AI900" s="1223"/>
      <c r="AJ900" s="1223"/>
      <c r="AK900" s="1223"/>
      <c r="AL900" s="1223"/>
      <c r="AM900" s="1223"/>
      <c r="AN900" s="1223"/>
      <c r="AO900" s="1208"/>
      <c r="AP900" s="1223"/>
      <c r="AQ900" s="1208"/>
      <c r="AR900" s="1208"/>
      <c r="AS900" s="1223"/>
      <c r="AT900" s="1223"/>
      <c r="AU900" s="1208"/>
      <c r="AV900" s="1208"/>
      <c r="AW900" s="2297"/>
      <c r="BE900" s="1224"/>
      <c r="BF900" s="1225"/>
      <c r="BR900" s="1224"/>
      <c r="BS900" s="1224"/>
    </row>
    <row r="901" spans="2:71" s="491" customFormat="1">
      <c r="B901" s="2297"/>
      <c r="C901" s="2297"/>
      <c r="D901" s="2297"/>
      <c r="E901" s="2297"/>
      <c r="F901" s="2297"/>
      <c r="G901" s="2297"/>
      <c r="H901" s="2297"/>
      <c r="I901" s="2297"/>
      <c r="J901" s="2297"/>
      <c r="K901" s="2297"/>
      <c r="L901" s="2297"/>
      <c r="M901" s="2297"/>
      <c r="N901" s="2297"/>
      <c r="O901" s="2297"/>
      <c r="P901" s="2297"/>
      <c r="Q901" s="2297"/>
      <c r="R901" s="99"/>
      <c r="S901" s="99"/>
      <c r="T901" s="99"/>
      <c r="U901" s="99"/>
      <c r="V901" s="99"/>
      <c r="AF901" s="2297"/>
      <c r="AG901" s="1208"/>
      <c r="AH901" s="1208"/>
      <c r="AI901" s="1223"/>
      <c r="AJ901" s="1223"/>
      <c r="AK901" s="1223"/>
      <c r="AL901" s="1223"/>
      <c r="AM901" s="1223"/>
      <c r="AN901" s="1223"/>
      <c r="AO901" s="1208"/>
      <c r="AP901" s="1223"/>
      <c r="AQ901" s="1208"/>
      <c r="AR901" s="1208"/>
      <c r="AS901" s="1223"/>
      <c r="AT901" s="1223"/>
      <c r="AU901" s="1208"/>
      <c r="AV901" s="1208"/>
      <c r="AW901" s="2297"/>
      <c r="BE901" s="1224"/>
      <c r="BF901" s="1225"/>
      <c r="BR901" s="1224"/>
      <c r="BS901" s="1224"/>
    </row>
    <row r="902" spans="2:71" s="491" customFormat="1">
      <c r="B902" s="2297"/>
      <c r="C902" s="2297"/>
      <c r="D902" s="2297"/>
      <c r="E902" s="2297"/>
      <c r="F902" s="2297"/>
      <c r="G902" s="2297"/>
      <c r="H902" s="2297"/>
      <c r="I902" s="2297"/>
      <c r="J902" s="2297"/>
      <c r="K902" s="2297"/>
      <c r="L902" s="2297"/>
      <c r="M902" s="2297"/>
      <c r="N902" s="2297"/>
      <c r="O902" s="2297"/>
      <c r="P902" s="2297"/>
      <c r="Q902" s="2297"/>
      <c r="R902" s="99"/>
      <c r="S902" s="99"/>
      <c r="T902" s="99"/>
      <c r="U902" s="99"/>
      <c r="V902" s="99"/>
      <c r="AF902" s="2297"/>
      <c r="AG902" s="1208"/>
      <c r="AH902" s="1208"/>
      <c r="AI902" s="1223"/>
      <c r="AJ902" s="1223"/>
      <c r="AK902" s="1223"/>
      <c r="AL902" s="1223"/>
      <c r="AM902" s="1223"/>
      <c r="AN902" s="1223"/>
      <c r="AO902" s="1208"/>
      <c r="AP902" s="1223"/>
      <c r="AQ902" s="1208"/>
      <c r="AR902" s="1208"/>
      <c r="AS902" s="1223"/>
      <c r="AT902" s="1223"/>
      <c r="AU902" s="1208"/>
      <c r="AV902" s="1208"/>
      <c r="AW902" s="2297"/>
      <c r="BE902" s="1224"/>
      <c r="BF902" s="1225"/>
      <c r="BR902" s="1224"/>
      <c r="BS902" s="1224"/>
    </row>
    <row r="903" spans="2:71" s="491" customFormat="1">
      <c r="B903" s="2297"/>
      <c r="C903" s="2297"/>
      <c r="D903" s="2297"/>
      <c r="E903" s="2297"/>
      <c r="F903" s="2297"/>
      <c r="G903" s="2297"/>
      <c r="H903" s="2297"/>
      <c r="I903" s="2297"/>
      <c r="J903" s="2297"/>
      <c r="K903" s="2297"/>
      <c r="L903" s="2297"/>
      <c r="M903" s="2297"/>
      <c r="N903" s="2297"/>
      <c r="O903" s="2297"/>
      <c r="P903" s="2297"/>
      <c r="Q903" s="2297"/>
      <c r="R903" s="99"/>
      <c r="S903" s="99"/>
      <c r="T903" s="99"/>
      <c r="U903" s="99"/>
      <c r="V903" s="99"/>
      <c r="AF903" s="2297"/>
      <c r="AG903" s="1208"/>
      <c r="AH903" s="1208"/>
      <c r="AI903" s="1223"/>
      <c r="AJ903" s="1223"/>
      <c r="AK903" s="1223"/>
      <c r="AL903" s="1223"/>
      <c r="AM903" s="1223"/>
      <c r="AN903" s="1223"/>
      <c r="AO903" s="1208"/>
      <c r="AP903" s="1223"/>
      <c r="AQ903" s="1208"/>
      <c r="AR903" s="1208"/>
      <c r="AS903" s="1223"/>
      <c r="AT903" s="1223"/>
      <c r="AU903" s="1208"/>
      <c r="AV903" s="1208"/>
      <c r="AW903" s="2297"/>
      <c r="BE903" s="1224"/>
      <c r="BF903" s="1225"/>
      <c r="BR903" s="1224"/>
      <c r="BS903" s="1224"/>
    </row>
    <row r="904" spans="2:71" s="491" customFormat="1">
      <c r="B904" s="2297"/>
      <c r="C904" s="2297"/>
      <c r="D904" s="2297"/>
      <c r="E904" s="2297"/>
      <c r="F904" s="2297"/>
      <c r="G904" s="2297"/>
      <c r="H904" s="2297"/>
      <c r="I904" s="2297"/>
      <c r="J904" s="2297"/>
      <c r="K904" s="2297"/>
      <c r="L904" s="2297"/>
      <c r="M904" s="2297"/>
      <c r="N904" s="2297"/>
      <c r="O904" s="2297"/>
      <c r="P904" s="2297"/>
      <c r="Q904" s="2297"/>
      <c r="R904" s="99"/>
      <c r="S904" s="99"/>
      <c r="T904" s="99"/>
      <c r="U904" s="99"/>
      <c r="V904" s="99"/>
      <c r="AF904" s="2297"/>
      <c r="AG904" s="1208"/>
      <c r="AH904" s="1208"/>
      <c r="AI904" s="1223"/>
      <c r="AJ904" s="1223"/>
      <c r="AK904" s="1223"/>
      <c r="AL904" s="1223"/>
      <c r="AM904" s="1223"/>
      <c r="AN904" s="1223"/>
      <c r="AO904" s="1208"/>
      <c r="AP904" s="1223"/>
      <c r="AQ904" s="1208"/>
      <c r="AR904" s="1208"/>
      <c r="AS904" s="1223"/>
      <c r="AT904" s="1223"/>
      <c r="AU904" s="1208"/>
      <c r="AV904" s="1208"/>
      <c r="AW904" s="2297"/>
      <c r="BE904" s="1224"/>
      <c r="BF904" s="1225"/>
      <c r="BR904" s="1224"/>
      <c r="BS904" s="1224"/>
    </row>
    <row r="905" spans="2:71" s="491" customFormat="1">
      <c r="B905" s="2297"/>
      <c r="C905" s="2297"/>
      <c r="D905" s="2297"/>
      <c r="E905" s="2297"/>
      <c r="F905" s="2297"/>
      <c r="G905" s="2297"/>
      <c r="H905" s="2297"/>
      <c r="I905" s="2297"/>
      <c r="J905" s="2297"/>
      <c r="K905" s="2297"/>
      <c r="L905" s="2297"/>
      <c r="M905" s="2297"/>
      <c r="N905" s="2297"/>
      <c r="O905" s="2297"/>
      <c r="P905" s="2297"/>
      <c r="Q905" s="2297"/>
      <c r="R905" s="99"/>
      <c r="S905" s="99"/>
      <c r="T905" s="99"/>
      <c r="U905" s="99"/>
      <c r="V905" s="99"/>
      <c r="AF905" s="2297"/>
      <c r="AG905" s="1208"/>
      <c r="AH905" s="1208"/>
      <c r="AI905" s="1223"/>
      <c r="AJ905" s="1223"/>
      <c r="AK905" s="1223"/>
      <c r="AL905" s="1223"/>
      <c r="AM905" s="1223"/>
      <c r="AN905" s="1223"/>
      <c r="AO905" s="1208"/>
      <c r="AP905" s="1223"/>
      <c r="AQ905" s="1208"/>
      <c r="AR905" s="1208"/>
      <c r="AS905" s="1223"/>
      <c r="AT905" s="1223"/>
      <c r="AU905" s="1208"/>
      <c r="AV905" s="1208"/>
      <c r="AW905" s="2297"/>
      <c r="BE905" s="1224"/>
      <c r="BF905" s="1225"/>
      <c r="BR905" s="1224"/>
      <c r="BS905" s="1224"/>
    </row>
    <row r="906" spans="2:71" s="491" customFormat="1">
      <c r="B906" s="2297"/>
      <c r="C906" s="2297"/>
      <c r="D906" s="2297"/>
      <c r="E906" s="2297"/>
      <c r="F906" s="2297"/>
      <c r="G906" s="2297"/>
      <c r="H906" s="2297"/>
      <c r="I906" s="2297"/>
      <c r="J906" s="2297"/>
      <c r="K906" s="2297"/>
      <c r="L906" s="2297"/>
      <c r="M906" s="2297"/>
      <c r="N906" s="2297"/>
      <c r="O906" s="2297"/>
      <c r="P906" s="2297"/>
      <c r="Q906" s="2297"/>
      <c r="R906" s="99"/>
      <c r="S906" s="99"/>
      <c r="T906" s="99"/>
      <c r="U906" s="99"/>
      <c r="V906" s="99"/>
      <c r="AF906" s="2297"/>
      <c r="AG906" s="1208"/>
      <c r="AH906" s="1208"/>
      <c r="AI906" s="1223"/>
      <c r="AJ906" s="1223"/>
      <c r="AK906" s="1223"/>
      <c r="AL906" s="1223"/>
      <c r="AM906" s="1223"/>
      <c r="AN906" s="1223"/>
      <c r="AO906" s="1208"/>
      <c r="AP906" s="1223"/>
      <c r="AQ906" s="1208"/>
      <c r="AR906" s="1208"/>
      <c r="AS906" s="1223"/>
      <c r="AT906" s="1223"/>
      <c r="AU906" s="1208"/>
      <c r="AV906" s="1208"/>
      <c r="AW906" s="2297"/>
      <c r="BE906" s="1224"/>
      <c r="BF906" s="1225"/>
      <c r="BR906" s="1224"/>
      <c r="BS906" s="1224"/>
    </row>
    <row r="907" spans="2:71" s="491" customFormat="1">
      <c r="B907" s="2297"/>
      <c r="C907" s="2297"/>
      <c r="D907" s="2297"/>
      <c r="E907" s="2297"/>
      <c r="F907" s="2297"/>
      <c r="G907" s="2297"/>
      <c r="H907" s="2297"/>
      <c r="I907" s="2297"/>
      <c r="J907" s="2297"/>
      <c r="K907" s="2297"/>
      <c r="L907" s="2297"/>
      <c r="M907" s="2297"/>
      <c r="N907" s="2297"/>
      <c r="O907" s="2297"/>
      <c r="P907" s="2297"/>
      <c r="Q907" s="2297"/>
      <c r="R907" s="99"/>
      <c r="S907" s="99"/>
      <c r="T907" s="99"/>
      <c r="U907" s="99"/>
      <c r="V907" s="99"/>
      <c r="AF907" s="2297"/>
      <c r="AG907" s="1208"/>
      <c r="AH907" s="1208"/>
      <c r="AI907" s="1223"/>
      <c r="AJ907" s="1223"/>
      <c r="AK907" s="1223"/>
      <c r="AL907" s="1223"/>
      <c r="AM907" s="1223"/>
      <c r="AN907" s="1223"/>
      <c r="AO907" s="1208"/>
      <c r="AP907" s="1223"/>
      <c r="AQ907" s="1208"/>
      <c r="AR907" s="1208"/>
      <c r="AS907" s="1223"/>
      <c r="AT907" s="1223"/>
      <c r="AU907" s="1208"/>
      <c r="AV907" s="1208"/>
      <c r="AW907" s="2297"/>
      <c r="BE907" s="1224"/>
      <c r="BF907" s="1225"/>
      <c r="BR907" s="1224"/>
      <c r="BS907" s="1224"/>
    </row>
    <row r="908" spans="2:71" s="491" customFormat="1">
      <c r="B908" s="2297"/>
      <c r="C908" s="2297"/>
      <c r="D908" s="2297"/>
      <c r="E908" s="2297"/>
      <c r="F908" s="2297"/>
      <c r="G908" s="2297"/>
      <c r="H908" s="2297"/>
      <c r="I908" s="2297"/>
      <c r="J908" s="2297"/>
      <c r="K908" s="2297"/>
      <c r="L908" s="2297"/>
      <c r="M908" s="2297"/>
      <c r="N908" s="2297"/>
      <c r="O908" s="2297"/>
      <c r="P908" s="2297"/>
      <c r="Q908" s="2297"/>
      <c r="R908" s="99"/>
      <c r="S908" s="99"/>
      <c r="T908" s="99"/>
      <c r="U908" s="99"/>
      <c r="V908" s="99"/>
      <c r="AF908" s="2297"/>
      <c r="AG908" s="1208"/>
      <c r="AH908" s="1208"/>
      <c r="AI908" s="1223"/>
      <c r="AJ908" s="1223"/>
      <c r="AK908" s="1223"/>
      <c r="AL908" s="1223"/>
      <c r="AM908" s="1223"/>
      <c r="AN908" s="1223"/>
      <c r="AO908" s="1208"/>
      <c r="AP908" s="1223"/>
      <c r="AQ908" s="1208"/>
      <c r="AR908" s="1208"/>
      <c r="AS908" s="1223"/>
      <c r="AT908" s="1223"/>
      <c r="AU908" s="1208"/>
      <c r="AV908" s="1208"/>
      <c r="AW908" s="2297"/>
      <c r="BE908" s="1224"/>
      <c r="BF908" s="1225"/>
      <c r="BR908" s="1224"/>
      <c r="BS908" s="1224"/>
    </row>
    <row r="909" spans="2:71" s="491" customFormat="1">
      <c r="B909" s="2297"/>
      <c r="C909" s="2297"/>
      <c r="D909" s="2297"/>
      <c r="E909" s="2297"/>
      <c r="F909" s="2297"/>
      <c r="G909" s="2297"/>
      <c r="H909" s="2297"/>
      <c r="I909" s="2297"/>
      <c r="J909" s="2297"/>
      <c r="K909" s="2297"/>
      <c r="L909" s="2297"/>
      <c r="M909" s="2297"/>
      <c r="N909" s="2297"/>
      <c r="O909" s="2297"/>
      <c r="P909" s="2297"/>
      <c r="Q909" s="2297"/>
      <c r="R909" s="99"/>
      <c r="S909" s="99"/>
      <c r="T909" s="99"/>
      <c r="U909" s="99"/>
      <c r="V909" s="99"/>
      <c r="AF909" s="2297"/>
      <c r="AG909" s="1208"/>
      <c r="AH909" s="1208"/>
      <c r="AI909" s="1223"/>
      <c r="AJ909" s="1223"/>
      <c r="AK909" s="1223"/>
      <c r="AL909" s="1223"/>
      <c r="AM909" s="1223"/>
      <c r="AN909" s="1223"/>
      <c r="AO909" s="1208"/>
      <c r="AP909" s="1223"/>
      <c r="AQ909" s="1208"/>
      <c r="AR909" s="1208"/>
      <c r="AS909" s="1223"/>
      <c r="AT909" s="1223"/>
      <c r="AU909" s="1208"/>
      <c r="AV909" s="1208"/>
      <c r="AW909" s="2297"/>
      <c r="BE909" s="1224"/>
      <c r="BF909" s="1225"/>
      <c r="BR909" s="1224"/>
      <c r="BS909" s="1224"/>
    </row>
    <row r="910" spans="2:71" s="491" customFormat="1">
      <c r="B910" s="2297"/>
      <c r="C910" s="2297"/>
      <c r="D910" s="2297"/>
      <c r="E910" s="2297"/>
      <c r="F910" s="2297"/>
      <c r="G910" s="2297"/>
      <c r="H910" s="2297"/>
      <c r="I910" s="2297"/>
      <c r="J910" s="2297"/>
      <c r="K910" s="2297"/>
      <c r="L910" s="2297"/>
      <c r="M910" s="2297"/>
      <c r="N910" s="2297"/>
      <c r="O910" s="2297"/>
      <c r="P910" s="2297"/>
      <c r="Q910" s="2297"/>
      <c r="R910" s="99"/>
      <c r="S910" s="99"/>
      <c r="T910" s="99"/>
      <c r="U910" s="99"/>
      <c r="V910" s="99"/>
      <c r="AF910" s="2297"/>
      <c r="AG910" s="1208"/>
      <c r="AH910" s="1208"/>
      <c r="AI910" s="1223"/>
      <c r="AJ910" s="1223"/>
      <c r="AK910" s="1223"/>
      <c r="AL910" s="1223"/>
      <c r="AM910" s="1223"/>
      <c r="AN910" s="1223"/>
      <c r="AO910" s="1208"/>
      <c r="AP910" s="1223"/>
      <c r="AQ910" s="1208"/>
      <c r="AR910" s="1208"/>
      <c r="AS910" s="1223"/>
      <c r="AT910" s="1223"/>
      <c r="AU910" s="1208"/>
      <c r="AV910" s="1208"/>
      <c r="AW910" s="2297"/>
      <c r="BE910" s="1224"/>
      <c r="BF910" s="1225"/>
      <c r="BR910" s="1224"/>
      <c r="BS910" s="1224"/>
    </row>
    <row r="911" spans="2:71" s="491" customFormat="1">
      <c r="B911" s="2297"/>
      <c r="C911" s="2297"/>
      <c r="D911" s="2297"/>
      <c r="E911" s="2297"/>
      <c r="F911" s="2297"/>
      <c r="G911" s="2297"/>
      <c r="H911" s="2297"/>
      <c r="I911" s="2297"/>
      <c r="J911" s="2297"/>
      <c r="K911" s="2297"/>
      <c r="L911" s="2297"/>
      <c r="M911" s="2297"/>
      <c r="N911" s="2297"/>
      <c r="O911" s="2297"/>
      <c r="P911" s="2297"/>
      <c r="Q911" s="2297"/>
      <c r="R911" s="99"/>
      <c r="S911" s="99"/>
      <c r="T911" s="99"/>
      <c r="U911" s="99"/>
      <c r="V911" s="99"/>
      <c r="AF911" s="2297"/>
      <c r="AG911" s="1208"/>
      <c r="AH911" s="1208"/>
      <c r="AI911" s="1223"/>
      <c r="AJ911" s="1223"/>
      <c r="AK911" s="1223"/>
      <c r="AL911" s="1223"/>
      <c r="AM911" s="1223"/>
      <c r="AN911" s="1223"/>
      <c r="AO911" s="1208"/>
      <c r="AP911" s="1223"/>
      <c r="AQ911" s="1208"/>
      <c r="AR911" s="1208"/>
      <c r="AS911" s="1223"/>
      <c r="AT911" s="1223"/>
      <c r="AU911" s="1208"/>
      <c r="AV911" s="1208"/>
      <c r="AW911" s="2297"/>
      <c r="BE911" s="1224"/>
      <c r="BF911" s="1225"/>
      <c r="BR911" s="1224"/>
      <c r="BS911" s="1224"/>
    </row>
    <row r="912" spans="2:71" s="491" customFormat="1">
      <c r="B912" s="2297"/>
      <c r="C912" s="2297"/>
      <c r="D912" s="2297"/>
      <c r="E912" s="2297"/>
      <c r="F912" s="2297"/>
      <c r="G912" s="2297"/>
      <c r="H912" s="2297"/>
      <c r="I912" s="2297"/>
      <c r="J912" s="2297"/>
      <c r="K912" s="2297"/>
      <c r="L912" s="2297"/>
      <c r="M912" s="2297"/>
      <c r="N912" s="2297"/>
      <c r="O912" s="2297"/>
      <c r="P912" s="2297"/>
      <c r="Q912" s="2297"/>
      <c r="R912" s="99"/>
      <c r="S912" s="99"/>
      <c r="T912" s="99"/>
      <c r="U912" s="99"/>
      <c r="V912" s="99"/>
      <c r="AF912" s="2297"/>
      <c r="AG912" s="1208"/>
      <c r="AH912" s="1208"/>
      <c r="AI912" s="1223"/>
      <c r="AJ912" s="1223"/>
      <c r="AK912" s="1223"/>
      <c r="AL912" s="1223"/>
      <c r="AM912" s="1223"/>
      <c r="AN912" s="1223"/>
      <c r="AO912" s="1208"/>
      <c r="AP912" s="1223"/>
      <c r="AQ912" s="1208"/>
      <c r="AR912" s="1208"/>
      <c r="AS912" s="1223"/>
      <c r="AT912" s="1223"/>
      <c r="AU912" s="1208"/>
      <c r="AV912" s="1208"/>
      <c r="AW912" s="2297"/>
      <c r="BE912" s="1224"/>
      <c r="BF912" s="1225"/>
      <c r="BR912" s="1224"/>
      <c r="BS912" s="1224"/>
    </row>
    <row r="913" spans="2:71" s="491" customFormat="1">
      <c r="B913" s="2297"/>
      <c r="C913" s="2297"/>
      <c r="D913" s="2297"/>
      <c r="E913" s="2297"/>
      <c r="F913" s="2297"/>
      <c r="G913" s="2297"/>
      <c r="H913" s="2297"/>
      <c r="I913" s="2297"/>
      <c r="J913" s="2297"/>
      <c r="K913" s="2297"/>
      <c r="L913" s="2297"/>
      <c r="M913" s="2297"/>
      <c r="N913" s="2297"/>
      <c r="O913" s="2297"/>
      <c r="P913" s="2297"/>
      <c r="Q913" s="2297"/>
      <c r="R913" s="99"/>
      <c r="S913" s="99"/>
      <c r="T913" s="99"/>
      <c r="U913" s="99"/>
      <c r="V913" s="99"/>
      <c r="AF913" s="2297"/>
      <c r="AG913" s="1208"/>
      <c r="AH913" s="1208"/>
      <c r="AI913" s="1223"/>
      <c r="AJ913" s="1223"/>
      <c r="AK913" s="1223"/>
      <c r="AL913" s="1223"/>
      <c r="AM913" s="1223"/>
      <c r="AN913" s="1223"/>
      <c r="AO913" s="1208"/>
      <c r="AP913" s="1223"/>
      <c r="AQ913" s="1208"/>
      <c r="AR913" s="1208"/>
      <c r="AS913" s="1223"/>
      <c r="AT913" s="1223"/>
      <c r="AU913" s="1208"/>
      <c r="AV913" s="1208"/>
      <c r="AW913" s="2297"/>
      <c r="BE913" s="1224"/>
      <c r="BF913" s="1225"/>
      <c r="BR913" s="1224"/>
      <c r="BS913" s="1224"/>
    </row>
    <row r="914" spans="2:71" s="491" customFormat="1">
      <c r="B914" s="2297"/>
      <c r="C914" s="2297"/>
      <c r="D914" s="2297"/>
      <c r="E914" s="2297"/>
      <c r="F914" s="2297"/>
      <c r="G914" s="2297"/>
      <c r="H914" s="2297"/>
      <c r="I914" s="2297"/>
      <c r="J914" s="2297"/>
      <c r="K914" s="2297"/>
      <c r="L914" s="2297"/>
      <c r="M914" s="2297"/>
      <c r="N914" s="2297"/>
      <c r="O914" s="2297"/>
      <c r="P914" s="2297"/>
      <c r="Q914" s="2297"/>
      <c r="R914" s="99"/>
      <c r="S914" s="99"/>
      <c r="T914" s="99"/>
      <c r="U914" s="99"/>
      <c r="V914" s="99"/>
      <c r="AF914" s="2297"/>
      <c r="AG914" s="1208"/>
      <c r="AH914" s="1208"/>
      <c r="AI914" s="1223"/>
      <c r="AJ914" s="1223"/>
      <c r="AK914" s="1223"/>
      <c r="AL914" s="1223"/>
      <c r="AM914" s="1223"/>
      <c r="AN914" s="1223"/>
      <c r="AO914" s="1208"/>
      <c r="AP914" s="1223"/>
      <c r="AQ914" s="1208"/>
      <c r="AR914" s="1208"/>
      <c r="AS914" s="1223"/>
      <c r="AT914" s="1223"/>
      <c r="AU914" s="1208"/>
      <c r="AV914" s="1208"/>
      <c r="AW914" s="2297"/>
      <c r="BE914" s="1224"/>
      <c r="BF914" s="1225"/>
      <c r="BR914" s="1224"/>
      <c r="BS914" s="1224"/>
    </row>
    <row r="915" spans="2:71" s="491" customFormat="1">
      <c r="B915" s="2297"/>
      <c r="C915" s="2297"/>
      <c r="D915" s="2297"/>
      <c r="E915" s="2297"/>
      <c r="F915" s="2297"/>
      <c r="G915" s="2297"/>
      <c r="H915" s="2297"/>
      <c r="I915" s="2297"/>
      <c r="J915" s="2297"/>
      <c r="K915" s="2297"/>
      <c r="L915" s="2297"/>
      <c r="M915" s="2297"/>
      <c r="N915" s="2297"/>
      <c r="O915" s="2297"/>
      <c r="P915" s="2297"/>
      <c r="Q915" s="2297"/>
      <c r="R915" s="99"/>
      <c r="S915" s="99"/>
      <c r="T915" s="99"/>
      <c r="U915" s="99"/>
      <c r="V915" s="99"/>
      <c r="AF915" s="2297"/>
      <c r="AG915" s="1208"/>
      <c r="AH915" s="1208"/>
      <c r="AI915" s="1223"/>
      <c r="AJ915" s="1223"/>
      <c r="AK915" s="1223"/>
      <c r="AL915" s="1223"/>
      <c r="AM915" s="1223"/>
      <c r="AN915" s="1223"/>
      <c r="AO915" s="1208"/>
      <c r="AP915" s="1223"/>
      <c r="AQ915" s="1208"/>
      <c r="AR915" s="1208"/>
      <c r="AS915" s="1223"/>
      <c r="AT915" s="1223"/>
      <c r="AU915" s="1208"/>
      <c r="AV915" s="1208"/>
      <c r="AW915" s="2297"/>
      <c r="BE915" s="1224"/>
      <c r="BF915" s="1225"/>
      <c r="BR915" s="1224"/>
      <c r="BS915" s="1224"/>
    </row>
    <row r="916" spans="2:71" s="491" customFormat="1">
      <c r="B916" s="2297"/>
      <c r="C916" s="2297"/>
      <c r="D916" s="2297"/>
      <c r="E916" s="2297"/>
      <c r="F916" s="2297"/>
      <c r="G916" s="2297"/>
      <c r="H916" s="2297"/>
      <c r="I916" s="2297"/>
      <c r="J916" s="2297"/>
      <c r="K916" s="2297"/>
      <c r="L916" s="2297"/>
      <c r="M916" s="2297"/>
      <c r="N916" s="2297"/>
      <c r="O916" s="2297"/>
      <c r="P916" s="2297"/>
      <c r="Q916" s="2297"/>
      <c r="R916" s="99"/>
      <c r="S916" s="99"/>
      <c r="T916" s="99"/>
      <c r="U916" s="99"/>
      <c r="V916" s="99"/>
      <c r="AF916" s="2297"/>
      <c r="AG916" s="1208"/>
      <c r="AH916" s="1208"/>
      <c r="AI916" s="1223"/>
      <c r="AJ916" s="1223"/>
      <c r="AK916" s="1223"/>
      <c r="AL916" s="1223"/>
      <c r="AM916" s="1223"/>
      <c r="AN916" s="1223"/>
      <c r="AO916" s="1208"/>
      <c r="AP916" s="1223"/>
      <c r="AQ916" s="1208"/>
      <c r="AR916" s="1208"/>
      <c r="AS916" s="1223"/>
      <c r="AT916" s="1223"/>
      <c r="AU916" s="1208"/>
      <c r="AV916" s="1208"/>
      <c r="AW916" s="2297"/>
      <c r="BE916" s="1224"/>
      <c r="BF916" s="1225"/>
      <c r="BR916" s="1224"/>
      <c r="BS916" s="1224"/>
    </row>
    <row r="917" spans="2:71" s="491" customFormat="1">
      <c r="B917" s="2297"/>
      <c r="C917" s="2297"/>
      <c r="D917" s="2297"/>
      <c r="E917" s="2297"/>
      <c r="F917" s="2297"/>
      <c r="G917" s="2297"/>
      <c r="H917" s="2297"/>
      <c r="I917" s="2297"/>
      <c r="J917" s="2297"/>
      <c r="K917" s="2297"/>
      <c r="L917" s="2297"/>
      <c r="M917" s="2297"/>
      <c r="N917" s="2297"/>
      <c r="O917" s="2297"/>
      <c r="P917" s="2297"/>
      <c r="Q917" s="2297"/>
      <c r="R917" s="99"/>
      <c r="S917" s="99"/>
      <c r="T917" s="99"/>
      <c r="U917" s="99"/>
      <c r="V917" s="99"/>
      <c r="AF917" s="2297"/>
      <c r="AG917" s="1208"/>
      <c r="AH917" s="1208"/>
      <c r="AI917" s="1223"/>
      <c r="AJ917" s="1223"/>
      <c r="AK917" s="1223"/>
      <c r="AL917" s="1223"/>
      <c r="AM917" s="1223"/>
      <c r="AN917" s="1223"/>
      <c r="AO917" s="1208"/>
      <c r="AP917" s="1223"/>
      <c r="AQ917" s="1208"/>
      <c r="AR917" s="1208"/>
      <c r="AS917" s="1223"/>
      <c r="AT917" s="1223"/>
      <c r="AU917" s="1208"/>
      <c r="AV917" s="1208"/>
      <c r="AW917" s="2297"/>
      <c r="BE917" s="1224"/>
      <c r="BF917" s="1225"/>
      <c r="BR917" s="1224"/>
      <c r="BS917" s="1224"/>
    </row>
    <row r="918" spans="2:71" s="491" customFormat="1">
      <c r="B918" s="2297"/>
      <c r="C918" s="2297"/>
      <c r="D918" s="2297"/>
      <c r="E918" s="2297"/>
      <c r="F918" s="2297"/>
      <c r="G918" s="2297"/>
      <c r="H918" s="2297"/>
      <c r="I918" s="2297"/>
      <c r="J918" s="2297"/>
      <c r="K918" s="2297"/>
      <c r="L918" s="2297"/>
      <c r="M918" s="2297"/>
      <c r="N918" s="2297"/>
      <c r="O918" s="2297"/>
      <c r="P918" s="2297"/>
      <c r="Q918" s="2297"/>
      <c r="R918" s="99"/>
      <c r="S918" s="99"/>
      <c r="T918" s="99"/>
      <c r="U918" s="99"/>
      <c r="V918" s="99"/>
      <c r="AF918" s="2297"/>
      <c r="AG918" s="1208"/>
      <c r="AH918" s="1208"/>
      <c r="AI918" s="1223"/>
      <c r="AJ918" s="1223"/>
      <c r="AK918" s="1223"/>
      <c r="AL918" s="1223"/>
      <c r="AM918" s="1223"/>
      <c r="AN918" s="1223"/>
      <c r="AO918" s="1208"/>
      <c r="AP918" s="1223"/>
      <c r="AQ918" s="1208"/>
      <c r="AR918" s="1208"/>
      <c r="AS918" s="1223"/>
      <c r="AT918" s="1223"/>
      <c r="AU918" s="1208"/>
      <c r="AV918" s="1208"/>
      <c r="AW918" s="2297"/>
      <c r="BE918" s="1224"/>
      <c r="BF918" s="1225"/>
      <c r="BR918" s="1224"/>
      <c r="BS918" s="1224"/>
    </row>
    <row r="919" spans="2:71" s="491" customFormat="1">
      <c r="B919" s="2297"/>
      <c r="C919" s="2297"/>
      <c r="D919" s="2297"/>
      <c r="E919" s="2297"/>
      <c r="F919" s="2297"/>
      <c r="G919" s="2297"/>
      <c r="H919" s="2297"/>
      <c r="I919" s="2297"/>
      <c r="J919" s="2297"/>
      <c r="K919" s="2297"/>
      <c r="L919" s="2297"/>
      <c r="M919" s="2297"/>
      <c r="N919" s="2297"/>
      <c r="O919" s="2297"/>
      <c r="P919" s="2297"/>
      <c r="Q919" s="2297"/>
      <c r="R919" s="99"/>
      <c r="S919" s="99"/>
      <c r="T919" s="99"/>
      <c r="U919" s="99"/>
      <c r="V919" s="99"/>
      <c r="AF919" s="2297"/>
      <c r="AG919" s="1208"/>
      <c r="AH919" s="1208"/>
      <c r="AI919" s="1223"/>
      <c r="AJ919" s="1223"/>
      <c r="AK919" s="1223"/>
      <c r="AL919" s="1223"/>
      <c r="AM919" s="1223"/>
      <c r="AN919" s="1223"/>
      <c r="AO919" s="1208"/>
      <c r="AP919" s="1223"/>
      <c r="AQ919" s="1208"/>
      <c r="AR919" s="1208"/>
      <c r="AS919" s="1223"/>
      <c r="AT919" s="1223"/>
      <c r="AU919" s="1208"/>
      <c r="AV919" s="1208"/>
      <c r="AW919" s="2297"/>
      <c r="BE919" s="1224"/>
      <c r="BF919" s="1225"/>
      <c r="BR919" s="1224"/>
      <c r="BS919" s="1224"/>
    </row>
    <row r="920" spans="2:71" s="491" customFormat="1">
      <c r="B920" s="2297"/>
      <c r="C920" s="2297"/>
      <c r="D920" s="2297"/>
      <c r="E920" s="2297"/>
      <c r="F920" s="2297"/>
      <c r="G920" s="2297"/>
      <c r="H920" s="2297"/>
      <c r="I920" s="2297"/>
      <c r="J920" s="2297"/>
      <c r="K920" s="2297"/>
      <c r="L920" s="2297"/>
      <c r="M920" s="2297"/>
      <c r="N920" s="2297"/>
      <c r="O920" s="2297"/>
      <c r="P920" s="2297"/>
      <c r="Q920" s="2297"/>
      <c r="R920" s="99"/>
      <c r="S920" s="99"/>
      <c r="T920" s="99"/>
      <c r="U920" s="99"/>
      <c r="V920" s="99"/>
      <c r="AF920" s="2297"/>
      <c r="AG920" s="1208"/>
      <c r="AH920" s="1208"/>
      <c r="AI920" s="1223"/>
      <c r="AJ920" s="1223"/>
      <c r="AK920" s="1223"/>
      <c r="AL920" s="1223"/>
      <c r="AM920" s="1223"/>
      <c r="AN920" s="1223"/>
      <c r="AO920" s="1208"/>
      <c r="AP920" s="1223"/>
      <c r="AQ920" s="1208"/>
      <c r="AR920" s="1208"/>
      <c r="AS920" s="1223"/>
      <c r="AT920" s="1223"/>
      <c r="AU920" s="1208"/>
      <c r="AV920" s="1208"/>
      <c r="AW920" s="2297"/>
      <c r="BE920" s="1224"/>
      <c r="BF920" s="1225"/>
      <c r="BR920" s="1224"/>
      <c r="BS920" s="1224"/>
    </row>
    <row r="921" spans="2:71" s="491" customFormat="1">
      <c r="B921" s="2297"/>
      <c r="C921" s="2297"/>
      <c r="D921" s="2297"/>
      <c r="E921" s="2297"/>
      <c r="F921" s="2297"/>
      <c r="G921" s="2297"/>
      <c r="H921" s="2297"/>
      <c r="I921" s="2297"/>
      <c r="J921" s="2297"/>
      <c r="K921" s="2297"/>
      <c r="L921" s="2297"/>
      <c r="M921" s="2297"/>
      <c r="N921" s="2297"/>
      <c r="O921" s="2297"/>
      <c r="P921" s="2297"/>
      <c r="Q921" s="2297"/>
      <c r="R921" s="99"/>
      <c r="S921" s="99"/>
      <c r="T921" s="99"/>
      <c r="U921" s="99"/>
      <c r="V921" s="99"/>
      <c r="AF921" s="2297"/>
      <c r="AG921" s="1208"/>
      <c r="AH921" s="1208"/>
      <c r="AI921" s="1223"/>
      <c r="AJ921" s="1223"/>
      <c r="AK921" s="1223"/>
      <c r="AL921" s="1223"/>
      <c r="AM921" s="1223"/>
      <c r="AN921" s="1223"/>
      <c r="AO921" s="1208"/>
      <c r="AP921" s="1223"/>
      <c r="AQ921" s="1208"/>
      <c r="AR921" s="1208"/>
      <c r="AS921" s="1223"/>
      <c r="AT921" s="1223"/>
      <c r="AU921" s="1208"/>
      <c r="AV921" s="1208"/>
      <c r="AW921" s="2297"/>
      <c r="BE921" s="1224"/>
      <c r="BF921" s="1225"/>
      <c r="BR921" s="1224"/>
      <c r="BS921" s="1224"/>
    </row>
    <row r="922" spans="2:71" s="491" customFormat="1">
      <c r="B922" s="2297"/>
      <c r="C922" s="2297"/>
      <c r="D922" s="2297"/>
      <c r="E922" s="2297"/>
      <c r="F922" s="2297"/>
      <c r="G922" s="2297"/>
      <c r="H922" s="2297"/>
      <c r="I922" s="2297"/>
      <c r="J922" s="2297"/>
      <c r="K922" s="2297"/>
      <c r="L922" s="2297"/>
      <c r="M922" s="2297"/>
      <c r="N922" s="2297"/>
      <c r="O922" s="2297"/>
      <c r="P922" s="2297"/>
      <c r="Q922" s="2297"/>
      <c r="R922" s="99"/>
      <c r="S922" s="99"/>
      <c r="T922" s="99"/>
      <c r="U922" s="99"/>
      <c r="V922" s="99"/>
      <c r="AF922" s="2297"/>
      <c r="AG922" s="1208"/>
      <c r="AH922" s="1208"/>
      <c r="AI922" s="1223"/>
      <c r="AJ922" s="1223"/>
      <c r="AK922" s="1223"/>
      <c r="AL922" s="1223"/>
      <c r="AM922" s="1223"/>
      <c r="AN922" s="1223"/>
      <c r="AO922" s="1208"/>
      <c r="AP922" s="1223"/>
      <c r="AQ922" s="1208"/>
      <c r="AR922" s="1208"/>
      <c r="AS922" s="1223"/>
      <c r="AT922" s="1223"/>
      <c r="AU922" s="1208"/>
      <c r="AV922" s="1208"/>
      <c r="AW922" s="2297"/>
      <c r="BE922" s="1224"/>
      <c r="BF922" s="1225"/>
      <c r="BR922" s="1224"/>
      <c r="BS922" s="1224"/>
    </row>
    <row r="923" spans="2:71" s="491" customFormat="1">
      <c r="B923" s="2297"/>
      <c r="C923" s="2297"/>
      <c r="D923" s="2297"/>
      <c r="E923" s="2297"/>
      <c r="F923" s="2297"/>
      <c r="G923" s="2297"/>
      <c r="H923" s="2297"/>
      <c r="I923" s="2297"/>
      <c r="J923" s="2297"/>
      <c r="K923" s="2297"/>
      <c r="L923" s="2297"/>
      <c r="M923" s="2297"/>
      <c r="N923" s="2297"/>
      <c r="O923" s="2297"/>
      <c r="P923" s="2297"/>
      <c r="Q923" s="2297"/>
      <c r="R923" s="99"/>
      <c r="S923" s="99"/>
      <c r="T923" s="99"/>
      <c r="U923" s="99"/>
      <c r="V923" s="99"/>
      <c r="AF923" s="2297"/>
      <c r="AG923" s="1208"/>
      <c r="AH923" s="1208"/>
      <c r="AI923" s="1223"/>
      <c r="AJ923" s="1223"/>
      <c r="AK923" s="1223"/>
      <c r="AL923" s="1223"/>
      <c r="AM923" s="1223"/>
      <c r="AN923" s="1223"/>
      <c r="AO923" s="1208"/>
      <c r="AP923" s="1223"/>
      <c r="AQ923" s="1208"/>
      <c r="AR923" s="1208"/>
      <c r="AS923" s="1223"/>
      <c r="AT923" s="1223"/>
      <c r="AU923" s="1208"/>
      <c r="AV923" s="1208"/>
      <c r="AW923" s="2297"/>
      <c r="BE923" s="1224"/>
      <c r="BF923" s="1225"/>
      <c r="BR923" s="1224"/>
      <c r="BS923" s="1224"/>
    </row>
    <row r="924" spans="2:71" s="491" customFormat="1">
      <c r="B924" s="2297"/>
      <c r="C924" s="2297"/>
      <c r="D924" s="2297"/>
      <c r="E924" s="2297"/>
      <c r="F924" s="2297"/>
      <c r="G924" s="2297"/>
      <c r="H924" s="2297"/>
      <c r="I924" s="2297"/>
      <c r="J924" s="2297"/>
      <c r="K924" s="2297"/>
      <c r="L924" s="2297"/>
      <c r="M924" s="2297"/>
      <c r="N924" s="2297"/>
      <c r="O924" s="2297"/>
      <c r="P924" s="2297"/>
      <c r="Q924" s="2297"/>
      <c r="R924" s="99"/>
      <c r="S924" s="99"/>
      <c r="T924" s="99"/>
      <c r="U924" s="99"/>
      <c r="V924" s="99"/>
      <c r="AF924" s="2297"/>
      <c r="AG924" s="1208"/>
      <c r="AH924" s="1208"/>
      <c r="AI924" s="1223"/>
      <c r="AJ924" s="1223"/>
      <c r="AK924" s="1223"/>
      <c r="AL924" s="1223"/>
      <c r="AM924" s="1223"/>
      <c r="AN924" s="1223"/>
      <c r="AO924" s="1208"/>
      <c r="AP924" s="1223"/>
      <c r="AQ924" s="1208"/>
      <c r="AR924" s="1208"/>
      <c r="AS924" s="1223"/>
      <c r="AT924" s="1223"/>
      <c r="AU924" s="1208"/>
      <c r="AV924" s="1208"/>
      <c r="AW924" s="2297"/>
      <c r="BE924" s="1224"/>
      <c r="BF924" s="1225"/>
      <c r="BR924" s="1224"/>
      <c r="BS924" s="1224"/>
    </row>
    <row r="925" spans="2:71" s="491" customFormat="1">
      <c r="B925" s="2297"/>
      <c r="C925" s="2297"/>
      <c r="D925" s="2297"/>
      <c r="E925" s="2297"/>
      <c r="F925" s="2297"/>
      <c r="G925" s="2297"/>
      <c r="H925" s="2297"/>
      <c r="I925" s="2297"/>
      <c r="J925" s="2297"/>
      <c r="K925" s="2297"/>
      <c r="L925" s="2297"/>
      <c r="M925" s="2297"/>
      <c r="N925" s="2297"/>
      <c r="O925" s="2297"/>
      <c r="P925" s="2297"/>
      <c r="Q925" s="2297"/>
      <c r="R925" s="99"/>
      <c r="S925" s="99"/>
      <c r="T925" s="99"/>
      <c r="U925" s="99"/>
      <c r="V925" s="99"/>
      <c r="AF925" s="2297"/>
      <c r="AG925" s="1208"/>
      <c r="AH925" s="1208"/>
      <c r="AI925" s="1223"/>
      <c r="AJ925" s="1223"/>
      <c r="AK925" s="1223"/>
      <c r="AL925" s="1223"/>
      <c r="AM925" s="1223"/>
      <c r="AN925" s="1223"/>
      <c r="AO925" s="1208"/>
      <c r="AP925" s="1223"/>
      <c r="AQ925" s="1208"/>
      <c r="AR925" s="1208"/>
      <c r="AS925" s="1223"/>
      <c r="AT925" s="1223"/>
      <c r="AU925" s="1208"/>
      <c r="AV925" s="1208"/>
      <c r="AW925" s="2297"/>
      <c r="BE925" s="1224"/>
      <c r="BF925" s="1225"/>
      <c r="BR925" s="1224"/>
      <c r="BS925" s="1224"/>
    </row>
    <row r="926" spans="2:71" s="491" customFormat="1">
      <c r="B926" s="2297"/>
      <c r="C926" s="2297"/>
      <c r="D926" s="2297"/>
      <c r="E926" s="2297"/>
      <c r="F926" s="2297"/>
      <c r="G926" s="2297"/>
      <c r="H926" s="2297"/>
      <c r="I926" s="2297"/>
      <c r="J926" s="2297"/>
      <c r="K926" s="2297"/>
      <c r="L926" s="2297"/>
      <c r="M926" s="2297"/>
      <c r="N926" s="2297"/>
      <c r="O926" s="2297"/>
      <c r="P926" s="2297"/>
      <c r="Q926" s="2297"/>
      <c r="R926" s="99"/>
      <c r="S926" s="99"/>
      <c r="T926" s="99"/>
      <c r="U926" s="99"/>
      <c r="V926" s="99"/>
      <c r="AF926" s="2297"/>
      <c r="AG926" s="1208"/>
      <c r="AH926" s="1208"/>
      <c r="AI926" s="1223"/>
      <c r="AJ926" s="1223"/>
      <c r="AK926" s="1223"/>
      <c r="AL926" s="1223"/>
      <c r="AM926" s="1223"/>
      <c r="AN926" s="1223"/>
      <c r="AO926" s="1208"/>
      <c r="AP926" s="1223"/>
      <c r="AQ926" s="1208"/>
      <c r="AR926" s="1208"/>
      <c r="AS926" s="1223"/>
      <c r="AT926" s="1223"/>
      <c r="AU926" s="1208"/>
      <c r="AV926" s="1208"/>
      <c r="AW926" s="2297"/>
      <c r="BE926" s="1224"/>
      <c r="BF926" s="1225"/>
      <c r="BR926" s="1224"/>
      <c r="BS926" s="1224"/>
    </row>
    <row r="927" spans="2:71" s="491" customFormat="1">
      <c r="B927" s="2297"/>
      <c r="C927" s="2297"/>
      <c r="D927" s="2297"/>
      <c r="E927" s="2297"/>
      <c r="F927" s="2297"/>
      <c r="G927" s="2297"/>
      <c r="H927" s="2297"/>
      <c r="I927" s="2297"/>
      <c r="J927" s="2297"/>
      <c r="K927" s="2297"/>
      <c r="L927" s="2297"/>
      <c r="M927" s="2297"/>
      <c r="N927" s="2297"/>
      <c r="O927" s="2297"/>
      <c r="P927" s="2297"/>
      <c r="Q927" s="2297"/>
      <c r="R927" s="99"/>
      <c r="S927" s="99"/>
      <c r="T927" s="99"/>
      <c r="U927" s="99"/>
      <c r="V927" s="99"/>
      <c r="AF927" s="2297"/>
      <c r="AG927" s="1208"/>
      <c r="AH927" s="1208"/>
      <c r="AI927" s="1223"/>
      <c r="AJ927" s="1223"/>
      <c r="AK927" s="1223"/>
      <c r="AL927" s="1223"/>
      <c r="AM927" s="1223"/>
      <c r="AN927" s="1223"/>
      <c r="AO927" s="1208"/>
      <c r="AP927" s="1223"/>
      <c r="AQ927" s="1208"/>
      <c r="AR927" s="1208"/>
      <c r="AS927" s="1223"/>
      <c r="AT927" s="1223"/>
      <c r="AU927" s="1208"/>
      <c r="AV927" s="1208"/>
      <c r="AW927" s="2297"/>
      <c r="BE927" s="1224"/>
      <c r="BF927" s="1225"/>
      <c r="BR927" s="1224"/>
      <c r="BS927" s="1224"/>
    </row>
    <row r="928" spans="2:71" s="491" customFormat="1">
      <c r="B928" s="2297"/>
      <c r="C928" s="2297"/>
      <c r="D928" s="2297"/>
      <c r="E928" s="2297"/>
      <c r="F928" s="2297"/>
      <c r="G928" s="2297"/>
      <c r="H928" s="2297"/>
      <c r="I928" s="2297"/>
      <c r="J928" s="2297"/>
      <c r="K928" s="2297"/>
      <c r="L928" s="2297"/>
      <c r="M928" s="2297"/>
      <c r="N928" s="2297"/>
      <c r="O928" s="2297"/>
      <c r="P928" s="2297"/>
      <c r="Q928" s="2297"/>
      <c r="R928" s="99"/>
      <c r="S928" s="99"/>
      <c r="T928" s="99"/>
      <c r="U928" s="99"/>
      <c r="V928" s="99"/>
      <c r="AF928" s="2297"/>
      <c r="AG928" s="1208"/>
      <c r="AH928" s="1208"/>
      <c r="AI928" s="1223"/>
      <c r="AJ928" s="1223"/>
      <c r="AK928" s="1223"/>
      <c r="AL928" s="1223"/>
      <c r="AM928" s="1223"/>
      <c r="AN928" s="1223"/>
      <c r="AO928" s="1208"/>
      <c r="AP928" s="1223"/>
      <c r="AQ928" s="1208"/>
      <c r="AR928" s="1208"/>
      <c r="AS928" s="1223"/>
      <c r="AT928" s="1223"/>
      <c r="AU928" s="1208"/>
      <c r="AV928" s="1208"/>
      <c r="AW928" s="2297"/>
      <c r="BE928" s="1224"/>
      <c r="BF928" s="1225"/>
      <c r="BR928" s="1224"/>
      <c r="BS928" s="1224"/>
    </row>
    <row r="929" spans="2:71" s="491" customFormat="1">
      <c r="B929" s="2297"/>
      <c r="C929" s="2297"/>
      <c r="D929" s="2297"/>
      <c r="E929" s="2297"/>
      <c r="F929" s="2297"/>
      <c r="G929" s="2297"/>
      <c r="H929" s="2297"/>
      <c r="I929" s="2297"/>
      <c r="J929" s="2297"/>
      <c r="K929" s="2297"/>
      <c r="L929" s="2297"/>
      <c r="M929" s="2297"/>
      <c r="N929" s="2297"/>
      <c r="O929" s="2297"/>
      <c r="P929" s="2297"/>
      <c r="Q929" s="2297"/>
      <c r="R929" s="99"/>
      <c r="S929" s="99"/>
      <c r="T929" s="99"/>
      <c r="U929" s="99"/>
      <c r="V929" s="99"/>
      <c r="AF929" s="2297"/>
      <c r="AG929" s="1208"/>
      <c r="AH929" s="1208"/>
      <c r="AI929" s="1223"/>
      <c r="AJ929" s="1223"/>
      <c r="AK929" s="1223"/>
      <c r="AL929" s="1223"/>
      <c r="AM929" s="1223"/>
      <c r="AN929" s="1223"/>
      <c r="AO929" s="1208"/>
      <c r="AP929" s="1223"/>
      <c r="AQ929" s="1208"/>
      <c r="AR929" s="1208"/>
      <c r="AS929" s="1223"/>
      <c r="AT929" s="1223"/>
      <c r="AU929" s="1208"/>
      <c r="AV929" s="1208"/>
      <c r="AW929" s="2297"/>
      <c r="BE929" s="1224"/>
      <c r="BF929" s="1225"/>
      <c r="BR929" s="1224"/>
      <c r="BS929" s="1224"/>
    </row>
    <row r="930" spans="2:71" s="491" customFormat="1">
      <c r="B930" s="2297"/>
      <c r="C930" s="2297"/>
      <c r="D930" s="2297"/>
      <c r="E930" s="2297"/>
      <c r="F930" s="2297"/>
      <c r="G930" s="2297"/>
      <c r="H930" s="2297"/>
      <c r="I930" s="2297"/>
      <c r="J930" s="2297"/>
      <c r="K930" s="2297"/>
      <c r="L930" s="2297"/>
      <c r="M930" s="2297"/>
      <c r="N930" s="2297"/>
      <c r="O930" s="2297"/>
      <c r="P930" s="2297"/>
      <c r="Q930" s="2297"/>
      <c r="R930" s="99"/>
      <c r="S930" s="99"/>
      <c r="T930" s="99"/>
      <c r="U930" s="99"/>
      <c r="V930" s="99"/>
      <c r="AF930" s="2297"/>
      <c r="AG930" s="1208"/>
      <c r="AH930" s="1208"/>
      <c r="AI930" s="1223"/>
      <c r="AJ930" s="1223"/>
      <c r="AK930" s="1223"/>
      <c r="AL930" s="1223"/>
      <c r="AM930" s="1223"/>
      <c r="AN930" s="1223"/>
      <c r="AO930" s="1208"/>
      <c r="AP930" s="1223"/>
      <c r="AQ930" s="1208"/>
      <c r="AR930" s="1208"/>
      <c r="AS930" s="1223"/>
      <c r="AT930" s="1223"/>
      <c r="AU930" s="1208"/>
      <c r="AV930" s="1208"/>
      <c r="AW930" s="2297"/>
      <c r="BE930" s="1224"/>
      <c r="BF930" s="1225"/>
      <c r="BR930" s="1224"/>
      <c r="BS930" s="1224"/>
    </row>
    <row r="931" spans="2:71" s="491" customFormat="1">
      <c r="B931" s="2297"/>
      <c r="C931" s="2297"/>
      <c r="D931" s="2297"/>
      <c r="E931" s="2297"/>
      <c r="F931" s="2297"/>
      <c r="G931" s="2297"/>
      <c r="H931" s="2297"/>
      <c r="I931" s="2297"/>
      <c r="J931" s="2297"/>
      <c r="K931" s="2297"/>
      <c r="L931" s="2297"/>
      <c r="M931" s="2297"/>
      <c r="N931" s="2297"/>
      <c r="O931" s="2297"/>
      <c r="P931" s="2297"/>
      <c r="Q931" s="2297"/>
      <c r="R931" s="99"/>
      <c r="S931" s="99"/>
      <c r="T931" s="99"/>
      <c r="U931" s="99"/>
      <c r="V931" s="99"/>
      <c r="AF931" s="2297"/>
      <c r="AG931" s="1208"/>
      <c r="AH931" s="1208"/>
      <c r="AI931" s="1223"/>
      <c r="AJ931" s="1223"/>
      <c r="AK931" s="1223"/>
      <c r="AL931" s="1223"/>
      <c r="AM931" s="1223"/>
      <c r="AN931" s="1223"/>
      <c r="AO931" s="1208"/>
      <c r="AP931" s="1223"/>
      <c r="AQ931" s="1208"/>
      <c r="AR931" s="1208"/>
      <c r="AS931" s="1223"/>
      <c r="AT931" s="1223"/>
      <c r="AU931" s="1208"/>
      <c r="AV931" s="1208"/>
      <c r="AW931" s="2297"/>
      <c r="BE931" s="1224"/>
      <c r="BF931" s="1225"/>
      <c r="BR931" s="1224"/>
      <c r="BS931" s="1224"/>
    </row>
    <row r="932" spans="2:71" s="491" customFormat="1">
      <c r="B932" s="2297"/>
      <c r="C932" s="2297"/>
      <c r="D932" s="2297"/>
      <c r="E932" s="2297"/>
      <c r="F932" s="2297"/>
      <c r="G932" s="2297"/>
      <c r="H932" s="2297"/>
      <c r="I932" s="2297"/>
      <c r="J932" s="2297"/>
      <c r="K932" s="2297"/>
      <c r="L932" s="2297"/>
      <c r="M932" s="2297"/>
      <c r="N932" s="2297"/>
      <c r="O932" s="2297"/>
      <c r="P932" s="2297"/>
      <c r="Q932" s="2297"/>
      <c r="R932" s="99"/>
      <c r="S932" s="99"/>
      <c r="T932" s="99"/>
      <c r="U932" s="99"/>
      <c r="V932" s="99"/>
      <c r="AF932" s="2297"/>
      <c r="AG932" s="1208"/>
      <c r="AH932" s="1208"/>
      <c r="AI932" s="1223"/>
      <c r="AJ932" s="1223"/>
      <c r="AK932" s="1223"/>
      <c r="AL932" s="1223"/>
      <c r="AM932" s="1223"/>
      <c r="AN932" s="1223"/>
      <c r="AO932" s="1208"/>
      <c r="AP932" s="1223"/>
      <c r="AQ932" s="1208"/>
      <c r="AR932" s="1208"/>
      <c r="AS932" s="1223"/>
      <c r="AT932" s="1223"/>
      <c r="AU932" s="1208"/>
      <c r="AV932" s="1208"/>
      <c r="AW932" s="2297"/>
      <c r="BE932" s="1224"/>
      <c r="BF932" s="1225"/>
      <c r="BR932" s="1224"/>
      <c r="BS932" s="1224"/>
    </row>
    <row r="933" spans="2:71" s="491" customFormat="1">
      <c r="B933" s="2297"/>
      <c r="C933" s="2297"/>
      <c r="D933" s="2297"/>
      <c r="E933" s="2297"/>
      <c r="F933" s="2297"/>
      <c r="G933" s="2297"/>
      <c r="H933" s="2297"/>
      <c r="I933" s="2297"/>
      <c r="J933" s="2297"/>
      <c r="K933" s="2297"/>
      <c r="L933" s="2297"/>
      <c r="M933" s="2297"/>
      <c r="N933" s="2297"/>
      <c r="O933" s="2297"/>
      <c r="P933" s="2297"/>
      <c r="Q933" s="2297"/>
      <c r="R933" s="99"/>
      <c r="S933" s="99"/>
      <c r="T933" s="99"/>
      <c r="U933" s="99"/>
      <c r="V933" s="99"/>
      <c r="AF933" s="2297"/>
      <c r="AG933" s="1208"/>
      <c r="AH933" s="1208"/>
      <c r="AI933" s="1223"/>
      <c r="AJ933" s="1223"/>
      <c r="AK933" s="1223"/>
      <c r="AL933" s="1223"/>
      <c r="AM933" s="1223"/>
      <c r="AN933" s="1223"/>
      <c r="AO933" s="1208"/>
      <c r="AP933" s="1223"/>
      <c r="AQ933" s="1208"/>
      <c r="AR933" s="1208"/>
      <c r="AS933" s="1223"/>
      <c r="AT933" s="1223"/>
      <c r="AU933" s="1208"/>
      <c r="AV933" s="1208"/>
      <c r="AW933" s="2297"/>
      <c r="BE933" s="1224"/>
      <c r="BF933" s="1225"/>
      <c r="BR933" s="1224"/>
      <c r="BS933" s="1224"/>
    </row>
    <row r="934" spans="2:71" s="491" customFormat="1">
      <c r="B934" s="2297"/>
      <c r="C934" s="2297"/>
      <c r="D934" s="2297"/>
      <c r="E934" s="2297"/>
      <c r="F934" s="2297"/>
      <c r="G934" s="2297"/>
      <c r="H934" s="2297"/>
      <c r="I934" s="2297"/>
      <c r="J934" s="2297"/>
      <c r="K934" s="2297"/>
      <c r="L934" s="2297"/>
      <c r="M934" s="2297"/>
      <c r="N934" s="2297"/>
      <c r="O934" s="2297"/>
      <c r="P934" s="2297"/>
      <c r="Q934" s="2297"/>
      <c r="R934" s="99"/>
      <c r="S934" s="99"/>
      <c r="T934" s="99"/>
      <c r="U934" s="99"/>
      <c r="V934" s="99"/>
      <c r="AF934" s="2297"/>
      <c r="AG934" s="1208"/>
      <c r="AH934" s="1208"/>
      <c r="AI934" s="1223"/>
      <c r="AJ934" s="1223"/>
      <c r="AK934" s="1223"/>
      <c r="AL934" s="1223"/>
      <c r="AM934" s="1223"/>
      <c r="AN934" s="1223"/>
      <c r="AO934" s="1208"/>
      <c r="AP934" s="1223"/>
      <c r="AQ934" s="1208"/>
      <c r="AR934" s="1208"/>
      <c r="AS934" s="1223"/>
      <c r="AT934" s="1223"/>
      <c r="AU934" s="1208"/>
      <c r="AV934" s="1208"/>
      <c r="AW934" s="2297"/>
      <c r="BE934" s="1224"/>
      <c r="BF934" s="1225"/>
      <c r="BR934" s="1224"/>
      <c r="BS934" s="1224"/>
    </row>
    <row r="935" spans="2:71" s="491" customFormat="1">
      <c r="B935" s="2297"/>
      <c r="C935" s="2297"/>
      <c r="D935" s="2297"/>
      <c r="E935" s="2297"/>
      <c r="F935" s="2297"/>
      <c r="G935" s="2297"/>
      <c r="H935" s="2297"/>
      <c r="I935" s="2297"/>
      <c r="J935" s="2297"/>
      <c r="K935" s="2297"/>
      <c r="L935" s="2297"/>
      <c r="M935" s="2297"/>
      <c r="N935" s="2297"/>
      <c r="O935" s="2297"/>
      <c r="P935" s="2297"/>
      <c r="Q935" s="2297"/>
      <c r="R935" s="99"/>
      <c r="S935" s="99"/>
      <c r="T935" s="99"/>
      <c r="U935" s="99"/>
      <c r="V935" s="99"/>
      <c r="AF935" s="2297"/>
      <c r="AG935" s="1208"/>
      <c r="AH935" s="1208"/>
      <c r="AI935" s="1223"/>
      <c r="AJ935" s="1223"/>
      <c r="AK935" s="1223"/>
      <c r="AL935" s="1223"/>
      <c r="AM935" s="1223"/>
      <c r="AN935" s="1223"/>
      <c r="AO935" s="1208"/>
      <c r="AP935" s="1223"/>
      <c r="AQ935" s="1208"/>
      <c r="AR935" s="1208"/>
      <c r="AS935" s="1223"/>
      <c r="AT935" s="1223"/>
      <c r="AU935" s="1208"/>
      <c r="AV935" s="1208"/>
      <c r="AW935" s="2297"/>
      <c r="BE935" s="1224"/>
      <c r="BF935" s="1225"/>
      <c r="BR935" s="1224"/>
      <c r="BS935" s="1224"/>
    </row>
    <row r="936" spans="2:71" s="491" customFormat="1">
      <c r="B936" s="2297"/>
      <c r="C936" s="2297"/>
      <c r="D936" s="2297"/>
      <c r="E936" s="2297"/>
      <c r="F936" s="2297"/>
      <c r="G936" s="2297"/>
      <c r="H936" s="2297"/>
      <c r="I936" s="2297"/>
      <c r="J936" s="2297"/>
      <c r="K936" s="2297"/>
      <c r="L936" s="2297"/>
      <c r="M936" s="2297"/>
      <c r="N936" s="2297"/>
      <c r="O936" s="2297"/>
      <c r="P936" s="2297"/>
      <c r="Q936" s="2297"/>
      <c r="R936" s="99"/>
      <c r="S936" s="99"/>
      <c r="T936" s="99"/>
      <c r="U936" s="99"/>
      <c r="V936" s="99"/>
      <c r="AF936" s="2297"/>
      <c r="AG936" s="1208"/>
      <c r="AH936" s="1208"/>
      <c r="AI936" s="1223"/>
      <c r="AJ936" s="1223"/>
      <c r="AK936" s="1223"/>
      <c r="AL936" s="1223"/>
      <c r="AM936" s="1223"/>
      <c r="AN936" s="1223"/>
      <c r="AO936" s="1208"/>
      <c r="AP936" s="1223"/>
      <c r="AQ936" s="1208"/>
      <c r="AR936" s="1208"/>
      <c r="AS936" s="1223"/>
      <c r="AT936" s="1223"/>
      <c r="AU936" s="1208"/>
      <c r="AV936" s="1208"/>
      <c r="AW936" s="2297"/>
      <c r="BE936" s="1224"/>
      <c r="BF936" s="1225"/>
      <c r="BR936" s="1224"/>
      <c r="BS936" s="1224"/>
    </row>
    <row r="937" spans="2:71" s="491" customFormat="1">
      <c r="B937" s="2297"/>
      <c r="C937" s="2297"/>
      <c r="D937" s="2297"/>
      <c r="E937" s="2297"/>
      <c r="F937" s="2297"/>
      <c r="G937" s="2297"/>
      <c r="H937" s="2297"/>
      <c r="I937" s="2297"/>
      <c r="J937" s="2297"/>
      <c r="K937" s="2297"/>
      <c r="L937" s="2297"/>
      <c r="M937" s="2297"/>
      <c r="N937" s="2297"/>
      <c r="O937" s="2297"/>
      <c r="P937" s="2297"/>
      <c r="Q937" s="2297"/>
      <c r="R937" s="99"/>
      <c r="S937" s="99"/>
      <c r="T937" s="99"/>
      <c r="U937" s="99"/>
      <c r="V937" s="99"/>
      <c r="AF937" s="2297"/>
      <c r="AG937" s="1208"/>
      <c r="AH937" s="1208"/>
      <c r="AI937" s="1223"/>
      <c r="AJ937" s="1223"/>
      <c r="AK937" s="1223"/>
      <c r="AL937" s="1223"/>
      <c r="AM937" s="1223"/>
      <c r="AN937" s="1223"/>
      <c r="AO937" s="1208"/>
      <c r="AP937" s="1223"/>
      <c r="AQ937" s="1208"/>
      <c r="AR937" s="1208"/>
      <c r="AS937" s="1223"/>
      <c r="AT937" s="1223"/>
      <c r="AU937" s="1208"/>
      <c r="AV937" s="1208"/>
      <c r="AW937" s="2297"/>
      <c r="BE937" s="1224"/>
      <c r="BF937" s="1225"/>
      <c r="BR937" s="1224"/>
      <c r="BS937" s="1224"/>
    </row>
    <row r="938" spans="2:71" s="491" customFormat="1">
      <c r="B938" s="2297"/>
      <c r="C938" s="2297"/>
      <c r="D938" s="2297"/>
      <c r="E938" s="2297"/>
      <c r="F938" s="2297"/>
      <c r="G938" s="2297"/>
      <c r="H938" s="2297"/>
      <c r="I938" s="2297"/>
      <c r="J938" s="2297"/>
      <c r="K938" s="2297"/>
      <c r="L938" s="2297"/>
      <c r="M938" s="2297"/>
      <c r="N938" s="2297"/>
      <c r="O938" s="2297"/>
      <c r="P938" s="2297"/>
      <c r="Q938" s="2297"/>
      <c r="R938" s="99"/>
      <c r="S938" s="99"/>
      <c r="T938" s="99"/>
      <c r="U938" s="99"/>
      <c r="V938" s="99"/>
      <c r="AF938" s="2297"/>
      <c r="AG938" s="1208"/>
      <c r="AH938" s="1208"/>
      <c r="AI938" s="1223"/>
      <c r="AJ938" s="1223"/>
      <c r="AK938" s="1223"/>
      <c r="AL938" s="1223"/>
      <c r="AM938" s="1223"/>
      <c r="AN938" s="1223"/>
      <c r="AO938" s="1208"/>
      <c r="AP938" s="1223"/>
      <c r="AQ938" s="1208"/>
      <c r="AR938" s="1208"/>
      <c r="AS938" s="1223"/>
      <c r="AT938" s="1223"/>
      <c r="AU938" s="1208"/>
      <c r="AV938" s="1208"/>
      <c r="AW938" s="2297"/>
      <c r="BE938" s="1224"/>
      <c r="BF938" s="1225"/>
      <c r="BR938" s="1224"/>
      <c r="BS938" s="1224"/>
    </row>
    <row r="939" spans="2:71" s="491" customFormat="1">
      <c r="B939" s="2297"/>
      <c r="C939" s="2297"/>
      <c r="D939" s="2297"/>
      <c r="E939" s="2297"/>
      <c r="F939" s="2297"/>
      <c r="G939" s="2297"/>
      <c r="H939" s="2297"/>
      <c r="I939" s="2297"/>
      <c r="J939" s="2297"/>
      <c r="K939" s="2297"/>
      <c r="L939" s="2297"/>
      <c r="M939" s="2297"/>
      <c r="N939" s="2297"/>
      <c r="O939" s="2297"/>
      <c r="P939" s="2297"/>
      <c r="Q939" s="2297"/>
      <c r="R939" s="99"/>
      <c r="S939" s="99"/>
      <c r="T939" s="99"/>
      <c r="U939" s="99"/>
      <c r="V939" s="99"/>
      <c r="AF939" s="2297"/>
      <c r="AG939" s="1208"/>
      <c r="AH939" s="1208"/>
      <c r="AI939" s="1223"/>
      <c r="AJ939" s="1223"/>
      <c r="AK939" s="1223"/>
      <c r="AL939" s="1223"/>
      <c r="AM939" s="1223"/>
      <c r="AN939" s="1223"/>
      <c r="AO939" s="1208"/>
      <c r="AP939" s="1223"/>
      <c r="AQ939" s="1208"/>
      <c r="AR939" s="1208"/>
      <c r="AS939" s="1223"/>
      <c r="AT939" s="1223"/>
      <c r="AU939" s="1208"/>
      <c r="AV939" s="1208"/>
      <c r="AW939" s="2297"/>
      <c r="BE939" s="1224"/>
      <c r="BF939" s="1225"/>
      <c r="BR939" s="1224"/>
      <c r="BS939" s="1224"/>
    </row>
    <row r="940" spans="2:71" s="491" customFormat="1">
      <c r="B940" s="2297"/>
      <c r="C940" s="2297"/>
      <c r="D940" s="2297"/>
      <c r="E940" s="2297"/>
      <c r="F940" s="2297"/>
      <c r="G940" s="2297"/>
      <c r="H940" s="2297"/>
      <c r="I940" s="2297"/>
      <c r="J940" s="2297"/>
      <c r="K940" s="2297"/>
      <c r="L940" s="2297"/>
      <c r="M940" s="2297"/>
      <c r="N940" s="2297"/>
      <c r="O940" s="2297"/>
      <c r="P940" s="2297"/>
      <c r="Q940" s="2297"/>
      <c r="R940" s="99"/>
      <c r="S940" s="99"/>
      <c r="T940" s="99"/>
      <c r="U940" s="99"/>
      <c r="V940" s="99"/>
      <c r="AF940" s="2297"/>
      <c r="AG940" s="1208"/>
      <c r="AH940" s="1208"/>
      <c r="AI940" s="1223"/>
      <c r="AJ940" s="1223"/>
      <c r="AK940" s="1223"/>
      <c r="AL940" s="1223"/>
      <c r="AM940" s="1223"/>
      <c r="AN940" s="1223"/>
      <c r="AO940" s="1208"/>
      <c r="AP940" s="1223"/>
      <c r="AQ940" s="1208"/>
      <c r="AR940" s="1208"/>
      <c r="AS940" s="1223"/>
      <c r="AT940" s="1223"/>
      <c r="AU940" s="1208"/>
      <c r="AV940" s="1208"/>
      <c r="AW940" s="2297"/>
      <c r="BE940" s="1224"/>
      <c r="BF940" s="1225"/>
      <c r="BR940" s="1224"/>
      <c r="BS940" s="1224"/>
    </row>
    <row r="941" spans="2:71" s="491" customFormat="1">
      <c r="B941" s="2297"/>
      <c r="C941" s="2297"/>
      <c r="D941" s="2297"/>
      <c r="E941" s="2297"/>
      <c r="F941" s="2297"/>
      <c r="G941" s="2297"/>
      <c r="H941" s="2297"/>
      <c r="I941" s="2297"/>
      <c r="J941" s="2297"/>
      <c r="K941" s="2297"/>
      <c r="L941" s="2297"/>
      <c r="M941" s="2297"/>
      <c r="N941" s="2297"/>
      <c r="O941" s="2297"/>
      <c r="P941" s="2297"/>
      <c r="Q941" s="2297"/>
      <c r="R941" s="99"/>
      <c r="S941" s="99"/>
      <c r="T941" s="99"/>
      <c r="U941" s="99"/>
      <c r="V941" s="99"/>
      <c r="AF941" s="2297"/>
      <c r="AG941" s="1208"/>
      <c r="AH941" s="1208"/>
      <c r="AI941" s="1223"/>
      <c r="AJ941" s="1223"/>
      <c r="AK941" s="1223"/>
      <c r="AL941" s="1223"/>
      <c r="AM941" s="1223"/>
      <c r="AN941" s="1223"/>
      <c r="AO941" s="1208"/>
      <c r="AP941" s="1223"/>
      <c r="AQ941" s="1208"/>
      <c r="AR941" s="1208"/>
      <c r="AS941" s="1223"/>
      <c r="AT941" s="1223"/>
      <c r="AU941" s="1208"/>
      <c r="AV941" s="1208"/>
      <c r="AW941" s="2297"/>
      <c r="BE941" s="1224"/>
      <c r="BF941" s="1225"/>
      <c r="BR941" s="1224"/>
      <c r="BS941" s="1224"/>
    </row>
    <row r="942" spans="2:71" s="491" customFormat="1">
      <c r="B942" s="2297"/>
      <c r="C942" s="2297"/>
      <c r="D942" s="2297"/>
      <c r="E942" s="2297"/>
      <c r="F942" s="2297"/>
      <c r="G942" s="2297"/>
      <c r="H942" s="2297"/>
      <c r="I942" s="2297"/>
      <c r="J942" s="2297"/>
      <c r="K942" s="2297"/>
      <c r="L942" s="2297"/>
      <c r="M942" s="2297"/>
      <c r="N942" s="2297"/>
      <c r="O942" s="2297"/>
      <c r="P942" s="2297"/>
      <c r="Q942" s="2297"/>
      <c r="R942" s="99"/>
      <c r="S942" s="99"/>
      <c r="T942" s="99"/>
      <c r="U942" s="99"/>
      <c r="V942" s="99"/>
      <c r="AF942" s="2297"/>
      <c r="AG942" s="1208"/>
      <c r="AH942" s="1208"/>
      <c r="AI942" s="1223"/>
      <c r="AJ942" s="1223"/>
      <c r="AK942" s="1223"/>
      <c r="AL942" s="1223"/>
      <c r="AM942" s="1223"/>
      <c r="AN942" s="1223"/>
      <c r="AO942" s="1208"/>
      <c r="AP942" s="1223"/>
      <c r="AQ942" s="1208"/>
      <c r="AR942" s="1208"/>
      <c r="AS942" s="1223"/>
      <c r="AT942" s="1223"/>
      <c r="AU942" s="1208"/>
      <c r="AV942" s="1208"/>
      <c r="AW942" s="2297"/>
      <c r="BE942" s="1224"/>
      <c r="BF942" s="1225"/>
      <c r="BR942" s="1224"/>
      <c r="BS942" s="1224"/>
    </row>
    <row r="943" spans="2:71" s="491" customFormat="1">
      <c r="B943" s="2297"/>
      <c r="C943" s="2297"/>
      <c r="D943" s="2297"/>
      <c r="E943" s="2297"/>
      <c r="F943" s="2297"/>
      <c r="G943" s="2297"/>
      <c r="H943" s="2297"/>
      <c r="I943" s="2297"/>
      <c r="J943" s="2297"/>
      <c r="K943" s="2297"/>
      <c r="L943" s="2297"/>
      <c r="M943" s="2297"/>
      <c r="N943" s="2297"/>
      <c r="O943" s="2297"/>
      <c r="P943" s="2297"/>
      <c r="Q943" s="2297"/>
      <c r="R943" s="99"/>
      <c r="S943" s="99"/>
      <c r="T943" s="99"/>
      <c r="U943" s="99"/>
      <c r="V943" s="99"/>
      <c r="AF943" s="2297"/>
      <c r="AG943" s="1208"/>
      <c r="AH943" s="1208"/>
      <c r="AI943" s="1223"/>
      <c r="AJ943" s="1223"/>
      <c r="AK943" s="1223"/>
      <c r="AL943" s="1223"/>
      <c r="AM943" s="1223"/>
      <c r="AN943" s="1223"/>
      <c r="AO943" s="1208"/>
      <c r="AP943" s="1223"/>
      <c r="AQ943" s="1208"/>
      <c r="AR943" s="1208"/>
      <c r="AS943" s="1223"/>
      <c r="AT943" s="1223"/>
      <c r="AU943" s="1208"/>
      <c r="AV943" s="1208"/>
      <c r="AW943" s="2297"/>
      <c r="BE943" s="1224"/>
      <c r="BF943" s="1225"/>
      <c r="BR943" s="1224"/>
      <c r="BS943" s="1224"/>
    </row>
    <row r="944" spans="2:71" s="491" customFormat="1">
      <c r="B944" s="2297"/>
      <c r="C944" s="2297"/>
      <c r="D944" s="2297"/>
      <c r="E944" s="2297"/>
      <c r="F944" s="2297"/>
      <c r="G944" s="2297"/>
      <c r="H944" s="2297"/>
      <c r="I944" s="2297"/>
      <c r="J944" s="2297"/>
      <c r="K944" s="2297"/>
      <c r="L944" s="2297"/>
      <c r="M944" s="2297"/>
      <c r="N944" s="2297"/>
      <c r="O944" s="2297"/>
      <c r="P944" s="2297"/>
      <c r="Q944" s="2297"/>
      <c r="R944" s="99"/>
      <c r="S944" s="99"/>
      <c r="T944" s="99"/>
      <c r="U944" s="99"/>
      <c r="V944" s="99"/>
      <c r="AF944" s="2297"/>
      <c r="AG944" s="1208"/>
      <c r="AH944" s="1208"/>
      <c r="AI944" s="1223"/>
      <c r="AJ944" s="1223"/>
      <c r="AK944" s="1223"/>
      <c r="AL944" s="1223"/>
      <c r="AM944" s="1223"/>
      <c r="AN944" s="1223"/>
      <c r="AO944" s="1208"/>
      <c r="AP944" s="1223"/>
      <c r="AQ944" s="1208"/>
      <c r="AR944" s="1208"/>
      <c r="AS944" s="1223"/>
      <c r="AT944" s="1223"/>
      <c r="AU944" s="1208"/>
      <c r="AV944" s="1208"/>
      <c r="AW944" s="2297"/>
      <c r="BE944" s="1224"/>
      <c r="BF944" s="1225"/>
      <c r="BR944" s="1224"/>
      <c r="BS944" s="1224"/>
    </row>
    <row r="945" spans="2:71" s="491" customFormat="1">
      <c r="B945" s="2297"/>
      <c r="C945" s="2297"/>
      <c r="D945" s="2297"/>
      <c r="E945" s="2297"/>
      <c r="F945" s="2297"/>
      <c r="G945" s="2297"/>
      <c r="H945" s="2297"/>
      <c r="I945" s="2297"/>
      <c r="J945" s="2297"/>
      <c r="K945" s="2297"/>
      <c r="L945" s="2297"/>
      <c r="M945" s="2297"/>
      <c r="N945" s="2297"/>
      <c r="O945" s="2297"/>
      <c r="P945" s="2297"/>
      <c r="Q945" s="2297"/>
      <c r="R945" s="99"/>
      <c r="S945" s="99"/>
      <c r="T945" s="99"/>
      <c r="U945" s="99"/>
      <c r="V945" s="99"/>
      <c r="AF945" s="2297"/>
      <c r="AG945" s="1208"/>
      <c r="AH945" s="1208"/>
      <c r="AI945" s="1223"/>
      <c r="AJ945" s="1223"/>
      <c r="AK945" s="1223"/>
      <c r="AL945" s="1223"/>
      <c r="AM945" s="1223"/>
      <c r="AN945" s="1223"/>
      <c r="AO945" s="1208"/>
      <c r="AP945" s="1223"/>
      <c r="AQ945" s="1208"/>
      <c r="AR945" s="1208"/>
      <c r="AS945" s="1223"/>
      <c r="AT945" s="1223"/>
      <c r="AU945" s="1208"/>
      <c r="AV945" s="1208"/>
      <c r="AW945" s="2297"/>
      <c r="BE945" s="1224"/>
      <c r="BF945" s="1225"/>
      <c r="BR945" s="1224"/>
      <c r="BS945" s="1224"/>
    </row>
    <row r="946" spans="2:71" s="491" customFormat="1">
      <c r="B946" s="2297"/>
      <c r="C946" s="2297"/>
      <c r="D946" s="2297"/>
      <c r="E946" s="2297"/>
      <c r="F946" s="2297"/>
      <c r="G946" s="2297"/>
      <c r="H946" s="2297"/>
      <c r="I946" s="2297"/>
      <c r="J946" s="2297"/>
      <c r="K946" s="2297"/>
      <c r="L946" s="2297"/>
      <c r="M946" s="2297"/>
      <c r="N946" s="2297"/>
      <c r="O946" s="2297"/>
      <c r="P946" s="2297"/>
      <c r="Q946" s="2297"/>
      <c r="R946" s="99"/>
      <c r="S946" s="99"/>
      <c r="T946" s="99"/>
      <c r="U946" s="99"/>
      <c r="V946" s="99"/>
      <c r="AF946" s="2297"/>
      <c r="AG946" s="1208"/>
      <c r="AH946" s="1208"/>
      <c r="AI946" s="1223"/>
      <c r="AJ946" s="1223"/>
      <c r="AK946" s="1223"/>
      <c r="AL946" s="1223"/>
      <c r="AM946" s="1223"/>
      <c r="AN946" s="1223"/>
      <c r="AO946" s="1208"/>
      <c r="AP946" s="1223"/>
      <c r="AQ946" s="1208"/>
      <c r="AR946" s="1208"/>
      <c r="AS946" s="1223"/>
      <c r="AT946" s="1223"/>
      <c r="AU946" s="1208"/>
      <c r="AV946" s="1208"/>
      <c r="AW946" s="2297"/>
      <c r="BE946" s="1224"/>
      <c r="BF946" s="1225"/>
      <c r="BR946" s="1224"/>
      <c r="BS946" s="1224"/>
    </row>
    <row r="947" spans="2:71" s="491" customFormat="1">
      <c r="B947" s="2297"/>
      <c r="C947" s="2297"/>
      <c r="D947" s="2297"/>
      <c r="E947" s="2297"/>
      <c r="F947" s="2297"/>
      <c r="G947" s="2297"/>
      <c r="H947" s="2297"/>
      <c r="I947" s="2297"/>
      <c r="J947" s="2297"/>
      <c r="K947" s="2297"/>
      <c r="L947" s="2297"/>
      <c r="M947" s="2297"/>
      <c r="N947" s="2297"/>
      <c r="O947" s="2297"/>
      <c r="P947" s="2297"/>
      <c r="Q947" s="2297"/>
      <c r="R947" s="99"/>
      <c r="S947" s="99"/>
      <c r="T947" s="99"/>
      <c r="U947" s="99"/>
      <c r="V947" s="99"/>
      <c r="AF947" s="2297"/>
      <c r="AG947" s="1208"/>
      <c r="AH947" s="1208"/>
      <c r="AI947" s="1223"/>
      <c r="AJ947" s="1223"/>
      <c r="AK947" s="1223"/>
      <c r="AL947" s="1223"/>
      <c r="AM947" s="1223"/>
      <c r="AN947" s="1223"/>
      <c r="AO947" s="1208"/>
      <c r="AP947" s="1223"/>
      <c r="AQ947" s="1208"/>
      <c r="AR947" s="1208"/>
      <c r="AS947" s="1223"/>
      <c r="AT947" s="1223"/>
      <c r="AU947" s="1208"/>
      <c r="AV947" s="1208"/>
      <c r="AW947" s="2297"/>
      <c r="BE947" s="1224"/>
      <c r="BF947" s="1225"/>
      <c r="BR947" s="1224"/>
      <c r="BS947" s="1224"/>
    </row>
    <row r="948" spans="2:71" s="491" customFormat="1">
      <c r="B948" s="2297"/>
      <c r="C948" s="2297"/>
      <c r="D948" s="2297"/>
      <c r="E948" s="2297"/>
      <c r="F948" s="2297"/>
      <c r="G948" s="2297"/>
      <c r="H948" s="2297"/>
      <c r="I948" s="2297"/>
      <c r="J948" s="2297"/>
      <c r="K948" s="2297"/>
      <c r="L948" s="2297"/>
      <c r="M948" s="2297"/>
      <c r="N948" s="2297"/>
      <c r="O948" s="2297"/>
      <c r="P948" s="2297"/>
      <c r="Q948" s="2297"/>
      <c r="R948" s="99"/>
      <c r="S948" s="99"/>
      <c r="T948" s="99"/>
      <c r="U948" s="99"/>
      <c r="V948" s="99"/>
      <c r="AF948" s="2297"/>
      <c r="AG948" s="1208"/>
      <c r="AH948" s="1208"/>
      <c r="AI948" s="1223"/>
      <c r="AJ948" s="1223"/>
      <c r="AK948" s="1223"/>
      <c r="AL948" s="1223"/>
      <c r="AM948" s="1223"/>
      <c r="AN948" s="1223"/>
      <c r="AO948" s="1208"/>
      <c r="AP948" s="1223"/>
      <c r="AQ948" s="1208"/>
      <c r="AR948" s="1208"/>
      <c r="AS948" s="1223"/>
      <c r="AT948" s="1223"/>
      <c r="AU948" s="1208"/>
      <c r="AV948" s="1208"/>
      <c r="AW948" s="2297"/>
      <c r="BE948" s="1224"/>
      <c r="BF948" s="1225"/>
      <c r="BR948" s="1224"/>
      <c r="BS948" s="1224"/>
    </row>
    <row r="949" spans="2:71" s="491" customFormat="1">
      <c r="B949" s="2297"/>
      <c r="C949" s="2297"/>
      <c r="D949" s="2297"/>
      <c r="E949" s="2297"/>
      <c r="F949" s="2297"/>
      <c r="G949" s="2297"/>
      <c r="H949" s="2297"/>
      <c r="I949" s="2297"/>
      <c r="J949" s="2297"/>
      <c r="K949" s="2297"/>
      <c r="L949" s="2297"/>
      <c r="M949" s="2297"/>
      <c r="N949" s="2297"/>
      <c r="O949" s="2297"/>
      <c r="P949" s="2297"/>
      <c r="Q949" s="2297"/>
      <c r="R949" s="99"/>
      <c r="S949" s="99"/>
      <c r="T949" s="99"/>
      <c r="U949" s="99"/>
      <c r="V949" s="99"/>
      <c r="AF949" s="2297"/>
      <c r="AG949" s="1208"/>
      <c r="AH949" s="1208"/>
      <c r="AI949" s="1223"/>
      <c r="AJ949" s="1223"/>
      <c r="AK949" s="1223"/>
      <c r="AL949" s="1223"/>
      <c r="AM949" s="1223"/>
      <c r="AN949" s="1223"/>
      <c r="AO949" s="1208"/>
      <c r="AP949" s="1223"/>
      <c r="AQ949" s="1208"/>
      <c r="AR949" s="1208"/>
      <c r="AS949" s="1223"/>
      <c r="AT949" s="1223"/>
      <c r="AU949" s="1208"/>
      <c r="AV949" s="1208"/>
      <c r="AW949" s="2297"/>
      <c r="BE949" s="1224"/>
      <c r="BF949" s="1225"/>
      <c r="BR949" s="1224"/>
      <c r="BS949" s="1224"/>
    </row>
    <row r="950" spans="2:71" s="491" customFormat="1">
      <c r="B950" s="2297"/>
      <c r="C950" s="2297"/>
      <c r="D950" s="2297"/>
      <c r="E950" s="2297"/>
      <c r="F950" s="2297"/>
      <c r="G950" s="2297"/>
      <c r="H950" s="2297"/>
      <c r="I950" s="2297"/>
      <c r="J950" s="2297"/>
      <c r="K950" s="2297"/>
      <c r="L950" s="2297"/>
      <c r="M950" s="2297"/>
      <c r="N950" s="2297"/>
      <c r="O950" s="2297"/>
      <c r="P950" s="2297"/>
      <c r="Q950" s="2297"/>
      <c r="R950" s="99"/>
      <c r="S950" s="99"/>
      <c r="T950" s="99"/>
      <c r="U950" s="99"/>
      <c r="V950" s="99"/>
      <c r="AF950" s="2297"/>
      <c r="AG950" s="1208"/>
      <c r="AH950" s="1208"/>
      <c r="AI950" s="1223"/>
      <c r="AJ950" s="1223"/>
      <c r="AK950" s="1223"/>
      <c r="AL950" s="1223"/>
      <c r="AM950" s="1223"/>
      <c r="AN950" s="1223"/>
      <c r="AO950" s="1208"/>
      <c r="AP950" s="1223"/>
      <c r="AQ950" s="1208"/>
      <c r="AR950" s="1208"/>
      <c r="AS950" s="1223"/>
      <c r="AT950" s="1223"/>
      <c r="AU950" s="1208"/>
      <c r="AV950" s="1208"/>
      <c r="AW950" s="2297"/>
      <c r="BE950" s="1224"/>
      <c r="BF950" s="1225"/>
      <c r="BR950" s="1224"/>
      <c r="BS950" s="1224"/>
    </row>
    <row r="951" spans="2:71" s="491" customFormat="1">
      <c r="B951" s="2297"/>
      <c r="C951" s="2297"/>
      <c r="D951" s="2297"/>
      <c r="E951" s="2297"/>
      <c r="F951" s="2297"/>
      <c r="G951" s="2297"/>
      <c r="H951" s="2297"/>
      <c r="I951" s="2297"/>
      <c r="J951" s="2297"/>
      <c r="K951" s="2297"/>
      <c r="L951" s="2297"/>
      <c r="M951" s="2297"/>
      <c r="N951" s="2297"/>
      <c r="O951" s="2297"/>
      <c r="P951" s="2297"/>
      <c r="Q951" s="2297"/>
      <c r="R951" s="99"/>
      <c r="S951" s="99"/>
      <c r="T951" s="99"/>
      <c r="U951" s="99"/>
      <c r="V951" s="99"/>
      <c r="AF951" s="2297"/>
      <c r="AG951" s="1208"/>
      <c r="AH951" s="1208"/>
      <c r="AI951" s="1223"/>
      <c r="AJ951" s="1223"/>
      <c r="AK951" s="1223"/>
      <c r="AL951" s="1223"/>
      <c r="AM951" s="1223"/>
      <c r="AN951" s="1223"/>
      <c r="AO951" s="1208"/>
      <c r="AP951" s="1223"/>
      <c r="AQ951" s="1208"/>
      <c r="AR951" s="1208"/>
      <c r="AS951" s="1223"/>
      <c r="AT951" s="1223"/>
      <c r="AU951" s="1208"/>
      <c r="AV951" s="1208"/>
      <c r="AW951" s="2297"/>
      <c r="BE951" s="1224"/>
      <c r="BF951" s="1225"/>
      <c r="BR951" s="1224"/>
      <c r="BS951" s="1224"/>
    </row>
    <row r="952" spans="2:71" s="491" customFormat="1">
      <c r="B952" s="2297"/>
      <c r="C952" s="2297"/>
      <c r="D952" s="2297"/>
      <c r="E952" s="2297"/>
      <c r="F952" s="2297"/>
      <c r="G952" s="2297"/>
      <c r="H952" s="2297"/>
      <c r="I952" s="2297"/>
      <c r="J952" s="2297"/>
      <c r="K952" s="2297"/>
      <c r="L952" s="2297"/>
      <c r="M952" s="2297"/>
      <c r="N952" s="2297"/>
      <c r="O952" s="2297"/>
      <c r="P952" s="2297"/>
      <c r="Q952" s="2297"/>
      <c r="R952" s="99"/>
      <c r="S952" s="99"/>
      <c r="T952" s="99"/>
      <c r="U952" s="99"/>
      <c r="V952" s="99"/>
      <c r="AF952" s="2297"/>
      <c r="AG952" s="1208"/>
      <c r="AH952" s="1208"/>
      <c r="AI952" s="1223"/>
      <c r="AJ952" s="1223"/>
      <c r="AK952" s="1223"/>
      <c r="AL952" s="1223"/>
      <c r="AM952" s="1223"/>
      <c r="AN952" s="1223"/>
      <c r="AO952" s="1208"/>
      <c r="AP952" s="1223"/>
      <c r="AQ952" s="1208"/>
      <c r="AR952" s="1208"/>
      <c r="AS952" s="1223"/>
      <c r="AT952" s="1223"/>
      <c r="AU952" s="1208"/>
      <c r="AV952" s="1208"/>
      <c r="AW952" s="2297"/>
      <c r="BE952" s="1224"/>
      <c r="BF952" s="1225"/>
      <c r="BR952" s="1224"/>
      <c r="BS952" s="1224"/>
    </row>
    <row r="953" spans="2:71" s="491" customFormat="1">
      <c r="B953" s="2297"/>
      <c r="C953" s="2297"/>
      <c r="D953" s="2297"/>
      <c r="E953" s="2297"/>
      <c r="F953" s="2297"/>
      <c r="G953" s="2297"/>
      <c r="H953" s="2297"/>
      <c r="I953" s="2297"/>
      <c r="J953" s="2297"/>
      <c r="K953" s="2297"/>
      <c r="L953" s="2297"/>
      <c r="M953" s="2297"/>
      <c r="N953" s="2297"/>
      <c r="O953" s="2297"/>
      <c r="P953" s="2297"/>
      <c r="Q953" s="2297"/>
      <c r="R953" s="99"/>
      <c r="S953" s="99"/>
      <c r="T953" s="99"/>
      <c r="U953" s="99"/>
      <c r="V953" s="99"/>
      <c r="AF953" s="2297"/>
      <c r="AG953" s="1208"/>
      <c r="AH953" s="1208"/>
      <c r="AI953" s="1223"/>
      <c r="AJ953" s="1223"/>
      <c r="AK953" s="1223"/>
      <c r="AL953" s="1223"/>
      <c r="AM953" s="1223"/>
      <c r="AN953" s="1223"/>
      <c r="AO953" s="1208"/>
      <c r="AP953" s="1223"/>
      <c r="AQ953" s="1208"/>
      <c r="AR953" s="1208"/>
      <c r="AS953" s="1223"/>
      <c r="AT953" s="1223"/>
      <c r="AU953" s="1208"/>
      <c r="AV953" s="1208"/>
      <c r="AW953" s="2297"/>
      <c r="BE953" s="1224"/>
      <c r="BF953" s="1225"/>
      <c r="BR953" s="1224"/>
      <c r="BS953" s="1224"/>
    </row>
    <row r="954" spans="2:71" s="491" customFormat="1">
      <c r="B954" s="2297"/>
      <c r="C954" s="2297"/>
      <c r="D954" s="2297"/>
      <c r="E954" s="2297"/>
      <c r="F954" s="2297"/>
      <c r="G954" s="2297"/>
      <c r="H954" s="2297"/>
      <c r="I954" s="2297"/>
      <c r="J954" s="2297"/>
      <c r="K954" s="2297"/>
      <c r="L954" s="2297"/>
      <c r="M954" s="2297"/>
      <c r="N954" s="2297"/>
      <c r="O954" s="2297"/>
      <c r="P954" s="2297"/>
      <c r="Q954" s="2297"/>
      <c r="R954" s="99"/>
      <c r="S954" s="99"/>
      <c r="T954" s="99"/>
      <c r="U954" s="99"/>
      <c r="V954" s="99"/>
      <c r="AF954" s="2297"/>
      <c r="AG954" s="1208"/>
      <c r="AH954" s="1208"/>
      <c r="AI954" s="1223"/>
      <c r="AJ954" s="1223"/>
      <c r="AK954" s="1223"/>
      <c r="AL954" s="1223"/>
      <c r="AM954" s="1223"/>
      <c r="AN954" s="1223"/>
      <c r="AO954" s="1208"/>
      <c r="AP954" s="1223"/>
      <c r="AQ954" s="1208"/>
      <c r="AR954" s="1208"/>
      <c r="AS954" s="1223"/>
      <c r="AT954" s="1223"/>
      <c r="AU954" s="1208"/>
      <c r="AV954" s="1208"/>
      <c r="AW954" s="2297"/>
      <c r="BE954" s="1224"/>
      <c r="BF954" s="1225"/>
      <c r="BR954" s="1224"/>
      <c r="BS954" s="1224"/>
    </row>
    <row r="955" spans="2:71" s="491" customFormat="1">
      <c r="B955" s="2297"/>
      <c r="C955" s="2297"/>
      <c r="D955" s="2297"/>
      <c r="E955" s="2297"/>
      <c r="F955" s="2297"/>
      <c r="G955" s="2297"/>
      <c r="H955" s="2297"/>
      <c r="I955" s="2297"/>
      <c r="J955" s="2297"/>
      <c r="K955" s="2297"/>
      <c r="L955" s="2297"/>
      <c r="M955" s="2297"/>
      <c r="N955" s="2297"/>
      <c r="O955" s="2297"/>
      <c r="P955" s="2297"/>
      <c r="Q955" s="2297"/>
      <c r="R955" s="99"/>
      <c r="S955" s="99"/>
      <c r="T955" s="99"/>
      <c r="U955" s="99"/>
      <c r="V955" s="99"/>
      <c r="AF955" s="2297"/>
      <c r="AG955" s="1208"/>
      <c r="AH955" s="1208"/>
      <c r="AI955" s="1223"/>
      <c r="AJ955" s="1223"/>
      <c r="AK955" s="1223"/>
      <c r="AL955" s="1223"/>
      <c r="AM955" s="1223"/>
      <c r="AN955" s="1223"/>
      <c r="AO955" s="1208"/>
      <c r="AP955" s="1223"/>
      <c r="AQ955" s="1208"/>
      <c r="AR955" s="1208"/>
      <c r="AS955" s="1223"/>
      <c r="AT955" s="1223"/>
      <c r="AU955" s="1208"/>
      <c r="AV955" s="1208"/>
      <c r="AW955" s="2297"/>
      <c r="BE955" s="1224"/>
      <c r="BF955" s="1225"/>
      <c r="BR955" s="1224"/>
      <c r="BS955" s="1224"/>
    </row>
    <row r="956" spans="2:71" s="491" customFormat="1">
      <c r="B956" s="2297"/>
      <c r="C956" s="2297"/>
      <c r="D956" s="2297"/>
      <c r="E956" s="2297"/>
      <c r="F956" s="2297"/>
      <c r="G956" s="2297"/>
      <c r="H956" s="2297"/>
      <c r="I956" s="2297"/>
      <c r="J956" s="2297"/>
      <c r="K956" s="2297"/>
      <c r="L956" s="2297"/>
      <c r="M956" s="2297"/>
      <c r="N956" s="2297"/>
      <c r="O956" s="2297"/>
      <c r="P956" s="2297"/>
      <c r="Q956" s="2297"/>
      <c r="R956" s="99"/>
      <c r="S956" s="99"/>
      <c r="T956" s="99"/>
      <c r="U956" s="99"/>
      <c r="V956" s="99"/>
      <c r="AF956" s="2297"/>
      <c r="AG956" s="1208"/>
      <c r="AH956" s="1208"/>
      <c r="AI956" s="1223"/>
      <c r="AJ956" s="1223"/>
      <c r="AK956" s="1223"/>
      <c r="AL956" s="1223"/>
      <c r="AM956" s="1223"/>
      <c r="AN956" s="1223"/>
      <c r="AO956" s="1208"/>
      <c r="AP956" s="1223"/>
      <c r="AQ956" s="1208"/>
      <c r="AR956" s="1208"/>
      <c r="AS956" s="1223"/>
      <c r="AT956" s="1223"/>
      <c r="AU956" s="1208"/>
      <c r="AV956" s="1208"/>
      <c r="AW956" s="2297"/>
      <c r="BE956" s="1224"/>
      <c r="BF956" s="1225"/>
      <c r="BR956" s="1224"/>
      <c r="BS956" s="1224"/>
    </row>
    <row r="957" spans="2:71" s="491" customFormat="1">
      <c r="B957" s="2297"/>
      <c r="C957" s="2297"/>
      <c r="D957" s="2297"/>
      <c r="E957" s="2297"/>
      <c r="F957" s="2297"/>
      <c r="G957" s="2297"/>
      <c r="H957" s="2297"/>
      <c r="I957" s="2297"/>
      <c r="J957" s="2297"/>
      <c r="K957" s="2297"/>
      <c r="L957" s="2297"/>
      <c r="M957" s="2297"/>
      <c r="N957" s="2297"/>
      <c r="O957" s="2297"/>
      <c r="P957" s="2297"/>
      <c r="Q957" s="2297"/>
      <c r="R957" s="99"/>
      <c r="S957" s="99"/>
      <c r="T957" s="99"/>
      <c r="U957" s="99"/>
      <c r="V957" s="99"/>
      <c r="AF957" s="2297"/>
      <c r="AG957" s="1208"/>
      <c r="AH957" s="1208"/>
      <c r="AI957" s="1223"/>
      <c r="AJ957" s="1223"/>
      <c r="AK957" s="1223"/>
      <c r="AL957" s="1223"/>
      <c r="AM957" s="1223"/>
      <c r="AN957" s="1223"/>
      <c r="AO957" s="1208"/>
      <c r="AP957" s="1223"/>
      <c r="AQ957" s="1208"/>
      <c r="AR957" s="1208"/>
      <c r="AS957" s="1223"/>
      <c r="AT957" s="1223"/>
      <c r="AU957" s="1208"/>
      <c r="AV957" s="1208"/>
      <c r="AW957" s="2297"/>
      <c r="BE957" s="1224"/>
      <c r="BF957" s="1225"/>
      <c r="BR957" s="1224"/>
      <c r="BS957" s="1224"/>
    </row>
    <row r="958" spans="2:71" s="491" customFormat="1">
      <c r="B958" s="2297"/>
      <c r="C958" s="2297"/>
      <c r="D958" s="2297"/>
      <c r="E958" s="2297"/>
      <c r="F958" s="2297"/>
      <c r="G958" s="2297"/>
      <c r="H958" s="2297"/>
      <c r="I958" s="2297"/>
      <c r="J958" s="2297"/>
      <c r="K958" s="2297"/>
      <c r="L958" s="2297"/>
      <c r="M958" s="2297"/>
      <c r="N958" s="2297"/>
      <c r="O958" s="2297"/>
      <c r="P958" s="2297"/>
      <c r="Q958" s="2297"/>
      <c r="R958" s="99"/>
      <c r="S958" s="99"/>
      <c r="T958" s="99"/>
      <c r="U958" s="99"/>
      <c r="V958" s="99"/>
      <c r="AF958" s="2297"/>
      <c r="AG958" s="1208"/>
      <c r="AH958" s="1208"/>
      <c r="AI958" s="1223"/>
      <c r="AJ958" s="1223"/>
      <c r="AK958" s="1223"/>
      <c r="AL958" s="1223"/>
      <c r="AM958" s="1223"/>
      <c r="AN958" s="1223"/>
      <c r="AO958" s="1208"/>
      <c r="AP958" s="1223"/>
      <c r="AQ958" s="1208"/>
      <c r="AR958" s="1208"/>
      <c r="AS958" s="1223"/>
      <c r="AT958" s="1223"/>
      <c r="AU958" s="1208"/>
      <c r="AV958" s="1208"/>
      <c r="AW958" s="2297"/>
      <c r="BE958" s="1224"/>
      <c r="BF958" s="1225"/>
      <c r="BR958" s="1224"/>
      <c r="BS958" s="1224"/>
    </row>
    <row r="959" spans="2:71" s="491" customFormat="1">
      <c r="B959" s="2297"/>
      <c r="C959" s="2297"/>
      <c r="D959" s="2297"/>
      <c r="E959" s="2297"/>
      <c r="F959" s="2297"/>
      <c r="G959" s="2297"/>
      <c r="H959" s="2297"/>
      <c r="I959" s="2297"/>
      <c r="J959" s="2297"/>
      <c r="K959" s="2297"/>
      <c r="L959" s="2297"/>
      <c r="M959" s="2297"/>
      <c r="N959" s="2297"/>
      <c r="O959" s="2297"/>
      <c r="P959" s="2297"/>
      <c r="Q959" s="2297"/>
      <c r="R959" s="99"/>
      <c r="S959" s="99"/>
      <c r="T959" s="99"/>
      <c r="U959" s="99"/>
      <c r="V959" s="99"/>
      <c r="AF959" s="2297"/>
      <c r="AG959" s="1208"/>
      <c r="AH959" s="1208"/>
      <c r="AI959" s="1223"/>
      <c r="AJ959" s="1223"/>
      <c r="AK959" s="1223"/>
      <c r="AL959" s="1223"/>
      <c r="AM959" s="1223"/>
      <c r="AN959" s="1223"/>
      <c r="AO959" s="1208"/>
      <c r="AP959" s="1223"/>
      <c r="AQ959" s="1208"/>
      <c r="AR959" s="1208"/>
      <c r="AS959" s="1223"/>
      <c r="AT959" s="1223"/>
      <c r="AU959" s="1208"/>
      <c r="AV959" s="1208"/>
      <c r="AW959" s="2297"/>
      <c r="BE959" s="1224"/>
      <c r="BF959" s="1225"/>
      <c r="BR959" s="1224"/>
      <c r="BS959" s="1224"/>
    </row>
    <row r="960" spans="2:71" s="491" customFormat="1">
      <c r="B960" s="2297"/>
      <c r="C960" s="2297"/>
      <c r="D960" s="2297"/>
      <c r="E960" s="2297"/>
      <c r="F960" s="2297"/>
      <c r="G960" s="2297"/>
      <c r="H960" s="2297"/>
      <c r="I960" s="2297"/>
      <c r="J960" s="2297"/>
      <c r="K960" s="2297"/>
      <c r="L960" s="2297"/>
      <c r="M960" s="2297"/>
      <c r="N960" s="2297"/>
      <c r="O960" s="2297"/>
      <c r="P960" s="2297"/>
      <c r="Q960" s="2297"/>
      <c r="R960" s="99"/>
      <c r="S960" s="99"/>
      <c r="T960" s="99"/>
      <c r="U960" s="99"/>
      <c r="V960" s="99"/>
      <c r="AF960" s="2297"/>
      <c r="AG960" s="1208"/>
      <c r="AH960" s="1208"/>
      <c r="AI960" s="1223"/>
      <c r="AJ960" s="1223"/>
      <c r="AK960" s="1223"/>
      <c r="AL960" s="1223"/>
      <c r="AM960" s="1223"/>
      <c r="AN960" s="1223"/>
      <c r="AO960" s="1208"/>
      <c r="AP960" s="1223"/>
      <c r="AQ960" s="1208"/>
      <c r="AR960" s="1208"/>
      <c r="AS960" s="1223"/>
      <c r="AT960" s="1223"/>
      <c r="AU960" s="1208"/>
      <c r="AV960" s="1208"/>
      <c r="AW960" s="2297"/>
      <c r="BE960" s="1224"/>
      <c r="BF960" s="1225"/>
      <c r="BR960" s="1224"/>
      <c r="BS960" s="1224"/>
    </row>
    <row r="961" spans="2:71" s="491" customFormat="1">
      <c r="B961" s="2297"/>
      <c r="C961" s="2297"/>
      <c r="D961" s="2297"/>
      <c r="E961" s="2297"/>
      <c r="F961" s="2297"/>
      <c r="G961" s="2297"/>
      <c r="H961" s="2297"/>
      <c r="I961" s="2297"/>
      <c r="J961" s="2297"/>
      <c r="K961" s="2297"/>
      <c r="L961" s="2297"/>
      <c r="M961" s="2297"/>
      <c r="N961" s="2297"/>
      <c r="O961" s="2297"/>
      <c r="P961" s="2297"/>
      <c r="Q961" s="2297"/>
      <c r="R961" s="99"/>
      <c r="S961" s="99"/>
      <c r="T961" s="99"/>
      <c r="U961" s="99"/>
      <c r="V961" s="99"/>
      <c r="AF961" s="2297"/>
      <c r="AG961" s="1208"/>
      <c r="AH961" s="1208"/>
      <c r="AI961" s="1223"/>
      <c r="AJ961" s="1223"/>
      <c r="AK961" s="1223"/>
      <c r="AL961" s="1223"/>
      <c r="AM961" s="1223"/>
      <c r="AN961" s="1223"/>
      <c r="AO961" s="1208"/>
      <c r="AP961" s="1223"/>
      <c r="AQ961" s="1208"/>
      <c r="AR961" s="1208"/>
      <c r="AS961" s="1223"/>
      <c r="AT961" s="1223"/>
      <c r="AU961" s="1208"/>
      <c r="AV961" s="1208"/>
      <c r="AW961" s="2297"/>
      <c r="BE961" s="1224"/>
      <c r="BF961" s="1225"/>
      <c r="BR961" s="1224"/>
      <c r="BS961" s="1224"/>
    </row>
    <row r="962" spans="2:71" s="491" customFormat="1">
      <c r="B962" s="2297"/>
      <c r="C962" s="2297"/>
      <c r="D962" s="2297"/>
      <c r="E962" s="2297"/>
      <c r="F962" s="2297"/>
      <c r="G962" s="2297"/>
      <c r="H962" s="2297"/>
      <c r="I962" s="2297"/>
      <c r="J962" s="2297"/>
      <c r="K962" s="2297"/>
      <c r="L962" s="2297"/>
      <c r="M962" s="2297"/>
      <c r="N962" s="2297"/>
      <c r="O962" s="2297"/>
      <c r="P962" s="2297"/>
      <c r="Q962" s="2297"/>
      <c r="R962" s="99"/>
      <c r="S962" s="99"/>
      <c r="T962" s="99"/>
      <c r="U962" s="99"/>
      <c r="V962" s="99"/>
      <c r="AF962" s="2297"/>
      <c r="AG962" s="1208"/>
      <c r="AH962" s="1208"/>
      <c r="AI962" s="1223"/>
      <c r="AJ962" s="1223"/>
      <c r="AK962" s="1223"/>
      <c r="AL962" s="1223"/>
      <c r="AM962" s="1223"/>
      <c r="AN962" s="1223"/>
      <c r="AO962" s="1208"/>
      <c r="AP962" s="1223"/>
      <c r="AQ962" s="1208"/>
      <c r="AR962" s="1208"/>
      <c r="AS962" s="1223"/>
      <c r="AT962" s="1223"/>
      <c r="AU962" s="1208"/>
      <c r="AV962" s="1208"/>
      <c r="AW962" s="2297"/>
      <c r="BE962" s="1224"/>
      <c r="BF962" s="1225"/>
      <c r="BR962" s="1224"/>
      <c r="BS962" s="1224"/>
    </row>
    <row r="963" spans="2:71" s="491" customFormat="1">
      <c r="B963" s="2297"/>
      <c r="C963" s="2297"/>
      <c r="D963" s="2297"/>
      <c r="E963" s="2297"/>
      <c r="F963" s="2297"/>
      <c r="G963" s="2297"/>
      <c r="H963" s="2297"/>
      <c r="I963" s="2297"/>
      <c r="J963" s="2297"/>
      <c r="K963" s="2297"/>
      <c r="L963" s="2297"/>
      <c r="M963" s="2297"/>
      <c r="N963" s="2297"/>
      <c r="O963" s="2297"/>
      <c r="P963" s="2297"/>
      <c r="Q963" s="2297"/>
      <c r="R963" s="99"/>
      <c r="S963" s="99"/>
      <c r="T963" s="99"/>
      <c r="U963" s="99"/>
      <c r="V963" s="99"/>
      <c r="AF963" s="2297"/>
      <c r="AG963" s="1208"/>
      <c r="AH963" s="1208"/>
      <c r="AI963" s="1223"/>
      <c r="AJ963" s="1223"/>
      <c r="AK963" s="1223"/>
      <c r="AL963" s="1223"/>
      <c r="AM963" s="1223"/>
      <c r="AN963" s="1223"/>
      <c r="AO963" s="1208"/>
      <c r="AP963" s="1223"/>
      <c r="AQ963" s="1208"/>
      <c r="AR963" s="1208"/>
      <c r="AS963" s="1223"/>
      <c r="AT963" s="1223"/>
      <c r="AU963" s="1208"/>
      <c r="AV963" s="1208"/>
      <c r="AW963" s="2297"/>
      <c r="BE963" s="1224"/>
      <c r="BF963" s="1225"/>
      <c r="BR963" s="1224"/>
      <c r="BS963" s="1224"/>
    </row>
    <row r="964" spans="2:71" s="491" customFormat="1">
      <c r="B964" s="2297"/>
      <c r="C964" s="2297"/>
      <c r="D964" s="2297"/>
      <c r="E964" s="2297"/>
      <c r="F964" s="2297"/>
      <c r="G964" s="2297"/>
      <c r="H964" s="2297"/>
      <c r="I964" s="2297"/>
      <c r="J964" s="2297"/>
      <c r="K964" s="2297"/>
      <c r="L964" s="2297"/>
      <c r="M964" s="2297"/>
      <c r="N964" s="2297"/>
      <c r="O964" s="2297"/>
      <c r="P964" s="2297"/>
      <c r="Q964" s="2297"/>
      <c r="R964" s="99"/>
      <c r="S964" s="99"/>
      <c r="T964" s="99"/>
      <c r="U964" s="99"/>
      <c r="V964" s="99"/>
      <c r="AF964" s="2297"/>
      <c r="AG964" s="1208"/>
      <c r="AH964" s="1208"/>
      <c r="AI964" s="1223"/>
      <c r="AJ964" s="1223"/>
      <c r="AK964" s="1223"/>
      <c r="AL964" s="1223"/>
      <c r="AM964" s="1223"/>
      <c r="AN964" s="1223"/>
      <c r="AO964" s="1208"/>
      <c r="AP964" s="1223"/>
      <c r="AQ964" s="1208"/>
      <c r="AR964" s="1208"/>
      <c r="AS964" s="1223"/>
      <c r="AT964" s="1223"/>
      <c r="AU964" s="1208"/>
      <c r="AV964" s="1208"/>
      <c r="AW964" s="2297"/>
      <c r="BE964" s="1224"/>
      <c r="BF964" s="1225"/>
      <c r="BR964" s="1224"/>
      <c r="BS964" s="1224"/>
    </row>
    <row r="965" spans="2:71" s="491" customFormat="1">
      <c r="B965" s="2297"/>
      <c r="C965" s="2297"/>
      <c r="D965" s="2297"/>
      <c r="E965" s="2297"/>
      <c r="F965" s="2297"/>
      <c r="G965" s="2297"/>
      <c r="H965" s="2297"/>
      <c r="I965" s="2297"/>
      <c r="J965" s="2297"/>
      <c r="K965" s="2297"/>
      <c r="L965" s="2297"/>
      <c r="M965" s="2297"/>
      <c r="N965" s="2297"/>
      <c r="O965" s="2297"/>
      <c r="P965" s="2297"/>
      <c r="Q965" s="2297"/>
      <c r="R965" s="99"/>
      <c r="S965" s="99"/>
      <c r="T965" s="99"/>
      <c r="U965" s="99"/>
      <c r="V965" s="99"/>
      <c r="AF965" s="2297"/>
      <c r="AG965" s="1208"/>
      <c r="AH965" s="1208"/>
      <c r="AI965" s="1223"/>
      <c r="AJ965" s="1223"/>
      <c r="AK965" s="1223"/>
      <c r="AL965" s="1223"/>
      <c r="AM965" s="1223"/>
      <c r="AN965" s="1223"/>
      <c r="AO965" s="1208"/>
      <c r="AP965" s="1223"/>
      <c r="AQ965" s="1208"/>
      <c r="AR965" s="1208"/>
      <c r="AS965" s="1223"/>
      <c r="AT965" s="1223"/>
      <c r="AU965" s="1208"/>
      <c r="AV965" s="1208"/>
      <c r="AW965" s="2297"/>
      <c r="BE965" s="1224"/>
      <c r="BF965" s="1225"/>
      <c r="BR965" s="1224"/>
      <c r="BS965" s="1224"/>
    </row>
    <row r="966" spans="2:71" s="491" customFormat="1">
      <c r="B966" s="2297"/>
      <c r="C966" s="2297"/>
      <c r="D966" s="2297"/>
      <c r="E966" s="2297"/>
      <c r="F966" s="2297"/>
      <c r="G966" s="2297"/>
      <c r="H966" s="2297"/>
      <c r="I966" s="2297"/>
      <c r="J966" s="2297"/>
      <c r="K966" s="2297"/>
      <c r="L966" s="2297"/>
      <c r="M966" s="2297"/>
      <c r="N966" s="2297"/>
      <c r="O966" s="2297"/>
      <c r="P966" s="2297"/>
      <c r="Q966" s="2297"/>
      <c r="R966" s="99"/>
      <c r="S966" s="99"/>
      <c r="T966" s="99"/>
      <c r="U966" s="99"/>
      <c r="V966" s="99"/>
      <c r="AF966" s="2297"/>
      <c r="AG966" s="1208"/>
      <c r="AH966" s="1208"/>
      <c r="AI966" s="1223"/>
      <c r="AJ966" s="1223"/>
      <c r="AK966" s="1223"/>
      <c r="AL966" s="1223"/>
      <c r="AM966" s="1223"/>
      <c r="AN966" s="1223"/>
      <c r="AO966" s="1208"/>
      <c r="AP966" s="1223"/>
      <c r="AQ966" s="1208"/>
      <c r="AR966" s="1208"/>
      <c r="AS966" s="1223"/>
      <c r="AT966" s="1223"/>
      <c r="AU966" s="1208"/>
      <c r="AV966" s="1208"/>
      <c r="AW966" s="2297"/>
      <c r="BE966" s="1224"/>
      <c r="BF966" s="1225"/>
      <c r="BR966" s="1224"/>
      <c r="BS966" s="1224"/>
    </row>
    <row r="967" spans="2:71" s="491" customFormat="1">
      <c r="B967" s="2297"/>
      <c r="C967" s="2297"/>
      <c r="D967" s="2297"/>
      <c r="E967" s="2297"/>
      <c r="F967" s="2297"/>
      <c r="G967" s="2297"/>
      <c r="H967" s="2297"/>
      <c r="I967" s="2297"/>
      <c r="J967" s="2297"/>
      <c r="K967" s="2297"/>
      <c r="L967" s="2297"/>
      <c r="M967" s="2297"/>
      <c r="N967" s="2297"/>
      <c r="O967" s="2297"/>
      <c r="P967" s="2297"/>
      <c r="Q967" s="2297"/>
      <c r="R967" s="99"/>
      <c r="S967" s="99"/>
      <c r="T967" s="99"/>
      <c r="U967" s="99"/>
      <c r="V967" s="99"/>
      <c r="AF967" s="2297"/>
      <c r="AG967" s="1208"/>
      <c r="AH967" s="1208"/>
      <c r="AI967" s="1223"/>
      <c r="AJ967" s="1223"/>
      <c r="AK967" s="1223"/>
      <c r="AL967" s="1223"/>
      <c r="AM967" s="1223"/>
      <c r="AN967" s="1223"/>
      <c r="AO967" s="1208"/>
      <c r="AP967" s="1223"/>
      <c r="AQ967" s="1208"/>
      <c r="AR967" s="1208"/>
      <c r="AS967" s="1223"/>
      <c r="AT967" s="1223"/>
      <c r="AU967" s="1208"/>
      <c r="AV967" s="1208"/>
      <c r="AW967" s="2297"/>
      <c r="BE967" s="1224"/>
      <c r="BF967" s="1225"/>
      <c r="BR967" s="1224"/>
      <c r="BS967" s="1224"/>
    </row>
    <row r="968" spans="2:71" s="491" customFormat="1">
      <c r="B968" s="2297"/>
      <c r="C968" s="2297"/>
      <c r="D968" s="2297"/>
      <c r="E968" s="2297"/>
      <c r="F968" s="2297"/>
      <c r="G968" s="2297"/>
      <c r="H968" s="2297"/>
      <c r="I968" s="2297"/>
      <c r="J968" s="2297"/>
      <c r="K968" s="2297"/>
      <c r="L968" s="2297"/>
      <c r="M968" s="2297"/>
      <c r="N968" s="2297"/>
      <c r="O968" s="2297"/>
      <c r="P968" s="2297"/>
      <c r="Q968" s="2297"/>
      <c r="R968" s="99"/>
      <c r="S968" s="99"/>
      <c r="T968" s="99"/>
      <c r="U968" s="99"/>
      <c r="V968" s="99"/>
      <c r="AF968" s="2297"/>
      <c r="AG968" s="1208"/>
      <c r="AH968" s="1208"/>
      <c r="AI968" s="1223"/>
      <c r="AJ968" s="1223"/>
      <c r="AK968" s="1223"/>
      <c r="AL968" s="1223"/>
      <c r="AM968" s="1223"/>
      <c r="AN968" s="1223"/>
      <c r="AO968" s="1208"/>
      <c r="AP968" s="1223"/>
      <c r="AQ968" s="1208"/>
      <c r="AR968" s="1208"/>
      <c r="AS968" s="1223"/>
      <c r="AT968" s="1223"/>
      <c r="AU968" s="1208"/>
      <c r="AV968" s="1208"/>
      <c r="AW968" s="2297"/>
      <c r="BE968" s="1224"/>
      <c r="BF968" s="1225"/>
      <c r="BR968" s="1224"/>
      <c r="BS968" s="1224"/>
    </row>
    <row r="969" spans="2:71" s="491" customFormat="1">
      <c r="B969" s="2297"/>
      <c r="C969" s="2297"/>
      <c r="D969" s="2297"/>
      <c r="E969" s="2297"/>
      <c r="F969" s="2297"/>
      <c r="G969" s="2297"/>
      <c r="H969" s="2297"/>
      <c r="I969" s="2297"/>
      <c r="J969" s="2297"/>
      <c r="K969" s="2297"/>
      <c r="L969" s="2297"/>
      <c r="M969" s="2297"/>
      <c r="N969" s="2297"/>
      <c r="O969" s="2297"/>
      <c r="P969" s="2297"/>
      <c r="Q969" s="2297"/>
      <c r="R969" s="99"/>
      <c r="S969" s="99"/>
      <c r="T969" s="99"/>
      <c r="U969" s="99"/>
      <c r="V969" s="99"/>
      <c r="AF969" s="2297"/>
      <c r="AG969" s="1208"/>
      <c r="AH969" s="1208"/>
      <c r="AI969" s="1223"/>
      <c r="AJ969" s="1223"/>
      <c r="AK969" s="1223"/>
      <c r="AL969" s="1223"/>
      <c r="AM969" s="1223"/>
      <c r="AN969" s="1223"/>
      <c r="AO969" s="1208"/>
      <c r="AP969" s="1223"/>
      <c r="AQ969" s="1208"/>
      <c r="AR969" s="1208"/>
      <c r="AS969" s="1223"/>
      <c r="AT969" s="1223"/>
      <c r="AU969" s="1208"/>
      <c r="AV969" s="1208"/>
      <c r="AW969" s="2297"/>
      <c r="BE969" s="1224"/>
      <c r="BF969" s="1225"/>
      <c r="BR969" s="1224"/>
      <c r="BS969" s="1224"/>
    </row>
    <row r="970" spans="2:71" s="491" customFormat="1">
      <c r="B970" s="2297"/>
      <c r="C970" s="2297"/>
      <c r="D970" s="2297"/>
      <c r="E970" s="2297"/>
      <c r="F970" s="2297"/>
      <c r="G970" s="2297"/>
      <c r="H970" s="2297"/>
      <c r="I970" s="2297"/>
      <c r="J970" s="2297"/>
      <c r="K970" s="2297"/>
      <c r="L970" s="2297"/>
      <c r="M970" s="2297"/>
      <c r="N970" s="2297"/>
      <c r="O970" s="2297"/>
      <c r="P970" s="2297"/>
      <c r="Q970" s="2297"/>
      <c r="R970" s="99"/>
      <c r="S970" s="99"/>
      <c r="T970" s="99"/>
      <c r="U970" s="99"/>
      <c r="V970" s="99"/>
      <c r="AF970" s="2297"/>
      <c r="AG970" s="1208"/>
      <c r="AH970" s="1208"/>
      <c r="AI970" s="1223"/>
      <c r="AJ970" s="1223"/>
      <c r="AK970" s="1223"/>
      <c r="AL970" s="1223"/>
      <c r="AM970" s="1223"/>
      <c r="AN970" s="1223"/>
      <c r="AO970" s="1208"/>
      <c r="AP970" s="1223"/>
      <c r="AQ970" s="1208"/>
      <c r="AR970" s="1208"/>
      <c r="AS970" s="1223"/>
      <c r="AT970" s="1223"/>
      <c r="AU970" s="1208"/>
      <c r="AV970" s="1208"/>
      <c r="AW970" s="2297"/>
      <c r="BE970" s="1224"/>
      <c r="BF970" s="1225"/>
      <c r="BR970" s="1224"/>
      <c r="BS970" s="1224"/>
    </row>
    <row r="971" spans="2:71" s="491" customFormat="1">
      <c r="B971" s="2297"/>
      <c r="C971" s="2297"/>
      <c r="D971" s="2297"/>
      <c r="E971" s="2297"/>
      <c r="F971" s="2297"/>
      <c r="G971" s="2297"/>
      <c r="H971" s="2297"/>
      <c r="I971" s="2297"/>
      <c r="J971" s="2297"/>
      <c r="K971" s="2297"/>
      <c r="L971" s="2297"/>
      <c r="M971" s="2297"/>
      <c r="N971" s="2297"/>
      <c r="O971" s="2297"/>
      <c r="P971" s="2297"/>
      <c r="Q971" s="2297"/>
      <c r="R971" s="99"/>
      <c r="S971" s="99"/>
      <c r="T971" s="99"/>
      <c r="U971" s="99"/>
      <c r="V971" s="99"/>
      <c r="AF971" s="2297"/>
      <c r="AG971" s="1208"/>
      <c r="AH971" s="1208"/>
      <c r="AI971" s="1223"/>
      <c r="AJ971" s="1223"/>
      <c r="AK971" s="1223"/>
      <c r="AL971" s="1223"/>
      <c r="AM971" s="1223"/>
      <c r="AN971" s="1223"/>
      <c r="AO971" s="1208"/>
      <c r="AP971" s="1223"/>
      <c r="AQ971" s="1208"/>
      <c r="AR971" s="1208"/>
      <c r="AS971" s="1223"/>
      <c r="AT971" s="1223"/>
      <c r="AU971" s="1208"/>
      <c r="AV971" s="1208"/>
      <c r="AW971" s="2297"/>
      <c r="BE971" s="1224"/>
      <c r="BF971" s="1225"/>
      <c r="BR971" s="1224"/>
      <c r="BS971" s="1224"/>
    </row>
    <row r="972" spans="2:71" s="491" customFormat="1">
      <c r="B972" s="2297"/>
      <c r="C972" s="2297"/>
      <c r="D972" s="2297"/>
      <c r="E972" s="2297"/>
      <c r="F972" s="2297"/>
      <c r="G972" s="2297"/>
      <c r="H972" s="2297"/>
      <c r="I972" s="2297"/>
      <c r="J972" s="2297"/>
      <c r="K972" s="2297"/>
      <c r="L972" s="2297"/>
      <c r="M972" s="2297"/>
      <c r="N972" s="2297"/>
      <c r="O972" s="2297"/>
      <c r="P972" s="2297"/>
      <c r="Q972" s="2297"/>
      <c r="R972" s="99"/>
      <c r="S972" s="99"/>
      <c r="T972" s="99"/>
      <c r="U972" s="99"/>
      <c r="V972" s="99"/>
      <c r="AF972" s="2297"/>
      <c r="AG972" s="1208"/>
      <c r="AH972" s="1208"/>
      <c r="AI972" s="1223"/>
      <c r="AJ972" s="1223"/>
      <c r="AK972" s="1223"/>
      <c r="AL972" s="1223"/>
      <c r="AM972" s="1223"/>
      <c r="AN972" s="1223"/>
      <c r="AO972" s="1208"/>
      <c r="AP972" s="1223"/>
      <c r="AQ972" s="1208"/>
      <c r="AR972" s="1208"/>
      <c r="AS972" s="1223"/>
      <c r="AT972" s="1223"/>
      <c r="AU972" s="1208"/>
      <c r="AV972" s="1208"/>
      <c r="AW972" s="2297"/>
      <c r="BE972" s="1224"/>
      <c r="BF972" s="1225"/>
      <c r="BR972" s="1224"/>
      <c r="BS972" s="1224"/>
    </row>
    <row r="973" spans="2:71" s="491" customFormat="1">
      <c r="B973" s="2297"/>
      <c r="C973" s="2297"/>
      <c r="D973" s="2297"/>
      <c r="E973" s="2297"/>
      <c r="F973" s="2297"/>
      <c r="G973" s="2297"/>
      <c r="H973" s="2297"/>
      <c r="I973" s="2297"/>
      <c r="J973" s="2297"/>
      <c r="K973" s="2297"/>
      <c r="L973" s="2297"/>
      <c r="M973" s="2297"/>
      <c r="N973" s="2297"/>
      <c r="O973" s="2297"/>
      <c r="P973" s="2297"/>
      <c r="Q973" s="2297"/>
      <c r="R973" s="99"/>
      <c r="S973" s="99"/>
      <c r="T973" s="99"/>
      <c r="U973" s="99"/>
      <c r="V973" s="99"/>
      <c r="AF973" s="2297"/>
      <c r="AG973" s="1208"/>
      <c r="AH973" s="1208"/>
      <c r="AI973" s="1223"/>
      <c r="AJ973" s="1223"/>
      <c r="AK973" s="1223"/>
      <c r="AL973" s="1223"/>
      <c r="AM973" s="1223"/>
      <c r="AN973" s="1223"/>
      <c r="AO973" s="1208"/>
      <c r="AP973" s="1223"/>
      <c r="AQ973" s="1208"/>
      <c r="AR973" s="1208"/>
      <c r="AS973" s="1223"/>
      <c r="AT973" s="1223"/>
      <c r="AU973" s="1208"/>
      <c r="AV973" s="1208"/>
      <c r="AW973" s="2297"/>
      <c r="BE973" s="1224"/>
      <c r="BF973" s="1225"/>
      <c r="BR973" s="1224"/>
      <c r="BS973" s="1224"/>
    </row>
    <row r="974" spans="2:71" s="491" customFormat="1">
      <c r="B974" s="2297"/>
      <c r="C974" s="2297"/>
      <c r="D974" s="2297"/>
      <c r="E974" s="2297"/>
      <c r="F974" s="2297"/>
      <c r="G974" s="2297"/>
      <c r="H974" s="2297"/>
      <c r="I974" s="2297"/>
      <c r="J974" s="2297"/>
      <c r="K974" s="2297"/>
      <c r="L974" s="2297"/>
      <c r="M974" s="2297"/>
      <c r="N974" s="2297"/>
      <c r="O974" s="2297"/>
      <c r="P974" s="2297"/>
      <c r="Q974" s="2297"/>
      <c r="R974" s="99"/>
      <c r="S974" s="99"/>
      <c r="T974" s="99"/>
      <c r="U974" s="99"/>
      <c r="V974" s="99"/>
      <c r="AF974" s="2297"/>
      <c r="AG974" s="1208"/>
      <c r="AH974" s="1208"/>
      <c r="AI974" s="1223"/>
      <c r="AJ974" s="1223"/>
      <c r="AK974" s="1223"/>
      <c r="AL974" s="1223"/>
      <c r="AM974" s="1223"/>
      <c r="AN974" s="1223"/>
      <c r="AO974" s="1208"/>
      <c r="AP974" s="1223"/>
      <c r="AQ974" s="1208"/>
      <c r="AR974" s="1208"/>
      <c r="AS974" s="1223"/>
      <c r="AT974" s="1223"/>
      <c r="AU974" s="1208"/>
      <c r="AV974" s="1208"/>
      <c r="AW974" s="2297"/>
      <c r="BE974" s="1224"/>
      <c r="BF974" s="1225"/>
      <c r="BR974" s="1224"/>
      <c r="BS974" s="1224"/>
    </row>
    <row r="975" spans="2:71" s="491" customFormat="1">
      <c r="B975" s="2297"/>
      <c r="C975" s="2297"/>
      <c r="D975" s="2297"/>
      <c r="E975" s="2297"/>
      <c r="F975" s="2297"/>
      <c r="G975" s="2297"/>
      <c r="H975" s="2297"/>
      <c r="I975" s="2297"/>
      <c r="J975" s="2297"/>
      <c r="K975" s="2297"/>
      <c r="L975" s="2297"/>
      <c r="M975" s="2297"/>
      <c r="N975" s="2297"/>
      <c r="O975" s="2297"/>
      <c r="P975" s="2297"/>
      <c r="Q975" s="2297"/>
      <c r="R975" s="99"/>
      <c r="S975" s="99"/>
      <c r="T975" s="99"/>
      <c r="U975" s="99"/>
      <c r="V975" s="99"/>
      <c r="AF975" s="2297"/>
      <c r="AG975" s="1208"/>
      <c r="AH975" s="1208"/>
      <c r="AI975" s="1223"/>
      <c r="AJ975" s="1223"/>
      <c r="AK975" s="1223"/>
      <c r="AL975" s="1223"/>
      <c r="AM975" s="1223"/>
      <c r="AN975" s="1223"/>
      <c r="AO975" s="1208"/>
      <c r="AP975" s="1223"/>
      <c r="AQ975" s="1208"/>
      <c r="AR975" s="1208"/>
      <c r="AS975" s="1223"/>
      <c r="AT975" s="1223"/>
      <c r="AU975" s="1208"/>
      <c r="AV975" s="1208"/>
      <c r="AW975" s="2297"/>
      <c r="BE975" s="1224"/>
      <c r="BF975" s="1225"/>
      <c r="BR975" s="1224"/>
      <c r="BS975" s="1224"/>
    </row>
    <row r="976" spans="2:71" s="491" customFormat="1">
      <c r="B976" s="2297"/>
      <c r="C976" s="2297"/>
      <c r="D976" s="2297"/>
      <c r="E976" s="2297"/>
      <c r="F976" s="2297"/>
      <c r="G976" s="2297"/>
      <c r="H976" s="2297"/>
      <c r="I976" s="2297"/>
      <c r="J976" s="2297"/>
      <c r="K976" s="2297"/>
      <c r="L976" s="2297"/>
      <c r="M976" s="2297"/>
      <c r="N976" s="2297"/>
      <c r="O976" s="2297"/>
      <c r="P976" s="2297"/>
      <c r="Q976" s="2297"/>
      <c r="R976" s="99"/>
      <c r="S976" s="99"/>
      <c r="T976" s="99"/>
      <c r="U976" s="99"/>
      <c r="V976" s="99"/>
      <c r="AF976" s="2297"/>
      <c r="AG976" s="1208"/>
      <c r="AH976" s="1208"/>
      <c r="AI976" s="1223"/>
      <c r="AJ976" s="1223"/>
      <c r="AK976" s="1223"/>
      <c r="AL976" s="1223"/>
      <c r="AM976" s="1223"/>
      <c r="AN976" s="1223"/>
      <c r="AO976" s="1208"/>
      <c r="AP976" s="1223"/>
      <c r="AQ976" s="1208"/>
      <c r="AR976" s="1208"/>
      <c r="AS976" s="1223"/>
      <c r="AT976" s="1223"/>
      <c r="AU976" s="1208"/>
      <c r="AV976" s="1208"/>
      <c r="AW976" s="2297"/>
      <c r="BE976" s="1224"/>
      <c r="BF976" s="1225"/>
      <c r="BR976" s="1224"/>
      <c r="BS976" s="1224"/>
    </row>
    <row r="977" spans="2:71" s="491" customFormat="1">
      <c r="B977" s="2297"/>
      <c r="C977" s="2297"/>
      <c r="D977" s="2297"/>
      <c r="E977" s="2297"/>
      <c r="F977" s="2297"/>
      <c r="G977" s="2297"/>
      <c r="H977" s="2297"/>
      <c r="I977" s="2297"/>
      <c r="J977" s="2297"/>
      <c r="K977" s="2297"/>
      <c r="L977" s="2297"/>
      <c r="M977" s="2297"/>
      <c r="N977" s="2297"/>
      <c r="O977" s="2297"/>
      <c r="P977" s="2297"/>
      <c r="Q977" s="2297"/>
      <c r="R977" s="99"/>
      <c r="S977" s="99"/>
      <c r="T977" s="99"/>
      <c r="U977" s="99"/>
      <c r="V977" s="99"/>
      <c r="AF977" s="2297"/>
      <c r="AG977" s="1208"/>
      <c r="AH977" s="1208"/>
      <c r="AI977" s="1223"/>
      <c r="AJ977" s="1223"/>
      <c r="AK977" s="1223"/>
      <c r="AL977" s="1223"/>
      <c r="AM977" s="1223"/>
      <c r="AN977" s="1223"/>
      <c r="AO977" s="1208"/>
      <c r="AP977" s="1223"/>
      <c r="AQ977" s="1208"/>
      <c r="AR977" s="1208"/>
      <c r="AS977" s="1223"/>
      <c r="AT977" s="1223"/>
      <c r="AU977" s="1208"/>
      <c r="AV977" s="1208"/>
      <c r="AW977" s="2297"/>
      <c r="BE977" s="1224"/>
      <c r="BF977" s="1225"/>
      <c r="BR977" s="1224"/>
      <c r="BS977" s="1224"/>
    </row>
    <row r="978" spans="2:71" s="491" customFormat="1">
      <c r="B978" s="2297"/>
      <c r="C978" s="2297"/>
      <c r="D978" s="2297"/>
      <c r="E978" s="2297"/>
      <c r="F978" s="2297"/>
      <c r="G978" s="2297"/>
      <c r="H978" s="2297"/>
      <c r="I978" s="2297"/>
      <c r="J978" s="2297"/>
      <c r="K978" s="2297"/>
      <c r="L978" s="2297"/>
      <c r="M978" s="2297"/>
      <c r="N978" s="2297"/>
      <c r="O978" s="2297"/>
      <c r="P978" s="2297"/>
      <c r="Q978" s="2297"/>
      <c r="R978" s="99"/>
      <c r="S978" s="99"/>
      <c r="T978" s="99"/>
      <c r="U978" s="99"/>
      <c r="V978" s="99"/>
      <c r="AF978" s="2297"/>
      <c r="AG978" s="1208"/>
      <c r="AH978" s="1208"/>
      <c r="AI978" s="1223"/>
      <c r="AJ978" s="1223"/>
      <c r="AK978" s="1223"/>
      <c r="AL978" s="1223"/>
      <c r="AM978" s="1223"/>
      <c r="AN978" s="1223"/>
      <c r="AO978" s="1208"/>
      <c r="AP978" s="1223"/>
      <c r="AQ978" s="1208"/>
      <c r="AR978" s="1208"/>
      <c r="AS978" s="1223"/>
      <c r="AT978" s="1223"/>
      <c r="AU978" s="1208"/>
      <c r="AV978" s="1208"/>
      <c r="AW978" s="2297"/>
      <c r="BE978" s="1224"/>
      <c r="BF978" s="1225"/>
      <c r="BR978" s="1224"/>
      <c r="BS978" s="1224"/>
    </row>
    <row r="979" spans="2:71" s="491" customFormat="1">
      <c r="B979" s="2297"/>
      <c r="C979" s="2297"/>
      <c r="D979" s="2297"/>
      <c r="E979" s="2297"/>
      <c r="F979" s="2297"/>
      <c r="G979" s="2297"/>
      <c r="H979" s="2297"/>
      <c r="I979" s="2297"/>
      <c r="J979" s="2297"/>
      <c r="K979" s="2297"/>
      <c r="L979" s="2297"/>
      <c r="M979" s="2297"/>
      <c r="N979" s="2297"/>
      <c r="O979" s="2297"/>
      <c r="P979" s="2297"/>
      <c r="Q979" s="2297"/>
      <c r="R979" s="99"/>
      <c r="S979" s="99"/>
      <c r="T979" s="99"/>
      <c r="U979" s="99"/>
      <c r="V979" s="99"/>
      <c r="AF979" s="2297"/>
      <c r="AG979" s="1208"/>
      <c r="AH979" s="1208"/>
      <c r="AI979" s="1223"/>
      <c r="AJ979" s="1223"/>
      <c r="AK979" s="1223"/>
      <c r="AL979" s="1223"/>
      <c r="AM979" s="1223"/>
      <c r="AN979" s="1223"/>
      <c r="AO979" s="1208"/>
      <c r="AP979" s="1223"/>
      <c r="AQ979" s="1208"/>
      <c r="AR979" s="1208"/>
      <c r="AS979" s="1223"/>
      <c r="AT979" s="1223"/>
      <c r="AU979" s="1208"/>
      <c r="AV979" s="1208"/>
      <c r="AW979" s="2297"/>
      <c r="BE979" s="1224"/>
      <c r="BF979" s="1225"/>
      <c r="BR979" s="1224"/>
      <c r="BS979" s="1224"/>
    </row>
    <row r="980" spans="2:71" s="491" customFormat="1">
      <c r="B980" s="2297"/>
      <c r="C980" s="2297"/>
      <c r="D980" s="2297"/>
      <c r="E980" s="2297"/>
      <c r="F980" s="2297"/>
      <c r="G980" s="2297"/>
      <c r="H980" s="2297"/>
      <c r="I980" s="2297"/>
      <c r="J980" s="2297"/>
      <c r="K980" s="2297"/>
      <c r="L980" s="2297"/>
      <c r="M980" s="2297"/>
      <c r="N980" s="2297"/>
      <c r="O980" s="2297"/>
      <c r="P980" s="2297"/>
      <c r="Q980" s="2297"/>
      <c r="R980" s="99"/>
      <c r="S980" s="99"/>
      <c r="T980" s="99"/>
      <c r="U980" s="99"/>
      <c r="V980" s="99"/>
      <c r="AF980" s="2297"/>
      <c r="AG980" s="1208"/>
      <c r="AH980" s="1208"/>
      <c r="AI980" s="1223"/>
      <c r="AJ980" s="1223"/>
      <c r="AK980" s="1223"/>
      <c r="AL980" s="1223"/>
      <c r="AM980" s="1223"/>
      <c r="AN980" s="1223"/>
      <c r="AO980" s="1208"/>
      <c r="AP980" s="1223"/>
      <c r="AQ980" s="1208"/>
      <c r="AR980" s="1208"/>
      <c r="AS980" s="1223"/>
      <c r="AT980" s="1223"/>
      <c r="AU980" s="1208"/>
      <c r="AV980" s="1208"/>
      <c r="AW980" s="2297"/>
      <c r="BE980" s="1224"/>
      <c r="BF980" s="1225"/>
      <c r="BR980" s="1224"/>
      <c r="BS980" s="1224"/>
    </row>
    <row r="981" spans="2:71" s="491" customFormat="1">
      <c r="B981" s="2297"/>
      <c r="C981" s="2297"/>
      <c r="D981" s="2297"/>
      <c r="E981" s="2297"/>
      <c r="F981" s="2297"/>
      <c r="G981" s="2297"/>
      <c r="H981" s="2297"/>
      <c r="I981" s="2297"/>
      <c r="J981" s="2297"/>
      <c r="K981" s="2297"/>
      <c r="L981" s="2297"/>
      <c r="M981" s="2297"/>
      <c r="N981" s="2297"/>
      <c r="O981" s="2297"/>
      <c r="P981" s="2297"/>
      <c r="Q981" s="2297"/>
      <c r="R981" s="99"/>
      <c r="S981" s="99"/>
      <c r="T981" s="99"/>
      <c r="U981" s="99"/>
      <c r="V981" s="99"/>
      <c r="AF981" s="2297"/>
      <c r="AG981" s="1208"/>
      <c r="AH981" s="1208"/>
      <c r="AI981" s="1223"/>
      <c r="AJ981" s="1223"/>
      <c r="AK981" s="1223"/>
      <c r="AL981" s="1223"/>
      <c r="AM981" s="1223"/>
      <c r="AN981" s="1223"/>
      <c r="AO981" s="1208"/>
      <c r="AP981" s="1223"/>
      <c r="AQ981" s="1208"/>
      <c r="AR981" s="1208"/>
      <c r="AS981" s="1223"/>
      <c r="AT981" s="1223"/>
      <c r="AU981" s="1208"/>
      <c r="AV981" s="1208"/>
      <c r="AW981" s="2297"/>
      <c r="BE981" s="1224"/>
      <c r="BF981" s="1225"/>
      <c r="BR981" s="1224"/>
      <c r="BS981" s="1224"/>
    </row>
    <row r="982" spans="2:71" s="491" customFormat="1">
      <c r="B982" s="2297"/>
      <c r="C982" s="2297"/>
      <c r="D982" s="2297"/>
      <c r="E982" s="2297"/>
      <c r="F982" s="2297"/>
      <c r="G982" s="2297"/>
      <c r="H982" s="2297"/>
      <c r="I982" s="2297"/>
      <c r="J982" s="2297"/>
      <c r="K982" s="2297"/>
      <c r="L982" s="2297"/>
      <c r="M982" s="2297"/>
      <c r="N982" s="2297"/>
      <c r="O982" s="2297"/>
      <c r="P982" s="2297"/>
      <c r="Q982" s="2297"/>
      <c r="R982" s="99"/>
      <c r="S982" s="99"/>
      <c r="T982" s="99"/>
      <c r="U982" s="99"/>
      <c r="V982" s="99"/>
      <c r="AF982" s="2297"/>
      <c r="AG982" s="1208"/>
      <c r="AH982" s="1208"/>
      <c r="AI982" s="1223"/>
      <c r="AJ982" s="1223"/>
      <c r="AK982" s="1223"/>
      <c r="AL982" s="1223"/>
      <c r="AM982" s="1223"/>
      <c r="AN982" s="1223"/>
      <c r="AO982" s="1208"/>
      <c r="AP982" s="1223"/>
      <c r="AQ982" s="1208"/>
      <c r="AR982" s="1208"/>
      <c r="AS982" s="1223"/>
      <c r="AT982" s="1223"/>
      <c r="AU982" s="1208"/>
      <c r="AV982" s="1208"/>
      <c r="AW982" s="2297"/>
      <c r="BE982" s="1224"/>
      <c r="BF982" s="1225"/>
      <c r="BR982" s="1224"/>
      <c r="BS982" s="1224"/>
    </row>
    <row r="983" spans="2:71" s="491" customFormat="1">
      <c r="B983" s="2297"/>
      <c r="C983" s="2297"/>
      <c r="D983" s="2297"/>
      <c r="E983" s="2297"/>
      <c r="F983" s="2297"/>
      <c r="G983" s="2297"/>
      <c r="H983" s="2297"/>
      <c r="I983" s="2297"/>
      <c r="J983" s="2297"/>
      <c r="K983" s="2297"/>
      <c r="L983" s="2297"/>
      <c r="M983" s="2297"/>
      <c r="N983" s="2297"/>
      <c r="O983" s="2297"/>
      <c r="P983" s="2297"/>
      <c r="Q983" s="2297"/>
      <c r="R983" s="99"/>
      <c r="S983" s="99"/>
      <c r="T983" s="99"/>
      <c r="U983" s="99"/>
      <c r="V983" s="99"/>
      <c r="AF983" s="2297"/>
      <c r="AG983" s="1208"/>
      <c r="AH983" s="1208"/>
      <c r="AI983" s="1223"/>
      <c r="AJ983" s="1223"/>
      <c r="AK983" s="1223"/>
      <c r="AL983" s="1223"/>
      <c r="AM983" s="1223"/>
      <c r="AN983" s="1223"/>
      <c r="AO983" s="1208"/>
      <c r="AP983" s="1223"/>
      <c r="AQ983" s="1208"/>
      <c r="AR983" s="1208"/>
      <c r="AS983" s="1223"/>
      <c r="AT983" s="1223"/>
      <c r="AU983" s="1208"/>
      <c r="AV983" s="1208"/>
      <c r="AW983" s="2297"/>
      <c r="BE983" s="1224"/>
      <c r="BF983" s="1225"/>
      <c r="BR983" s="1224"/>
      <c r="BS983" s="1224"/>
    </row>
    <row r="984" spans="2:71" s="491" customFormat="1">
      <c r="B984" s="2297"/>
      <c r="C984" s="2297"/>
      <c r="D984" s="2297"/>
      <c r="E984" s="2297"/>
      <c r="F984" s="2297"/>
      <c r="G984" s="2297"/>
      <c r="H984" s="2297"/>
      <c r="I984" s="2297"/>
      <c r="J984" s="2297"/>
      <c r="K984" s="2297"/>
      <c r="L984" s="2297"/>
      <c r="M984" s="2297"/>
      <c r="N984" s="2297"/>
      <c r="O984" s="2297"/>
      <c r="P984" s="2297"/>
      <c r="Q984" s="2297"/>
      <c r="R984" s="99"/>
      <c r="S984" s="99"/>
      <c r="T984" s="99"/>
      <c r="U984" s="99"/>
      <c r="V984" s="99"/>
      <c r="AF984" s="2297"/>
      <c r="AG984" s="1208"/>
      <c r="AH984" s="1208"/>
      <c r="AI984" s="1223"/>
      <c r="AJ984" s="1223"/>
      <c r="AK984" s="1223"/>
      <c r="AL984" s="1223"/>
      <c r="AM984" s="1223"/>
      <c r="AN984" s="1223"/>
      <c r="AO984" s="1208"/>
      <c r="AP984" s="1223"/>
      <c r="AQ984" s="1208"/>
      <c r="AR984" s="1208"/>
      <c r="AS984" s="1223"/>
      <c r="AT984" s="1223"/>
      <c r="AU984" s="1208"/>
      <c r="AV984" s="1208"/>
      <c r="AW984" s="2297"/>
      <c r="BE984" s="1224"/>
      <c r="BF984" s="1225"/>
      <c r="BR984" s="1224"/>
      <c r="BS984" s="1224"/>
    </row>
    <row r="985" spans="2:71" s="491" customFormat="1">
      <c r="B985" s="2297"/>
      <c r="C985" s="2297"/>
      <c r="D985" s="2297"/>
      <c r="E985" s="2297"/>
      <c r="F985" s="2297"/>
      <c r="G985" s="2297"/>
      <c r="H985" s="2297"/>
      <c r="I985" s="2297"/>
      <c r="J985" s="2297"/>
      <c r="K985" s="2297"/>
      <c r="L985" s="2297"/>
      <c r="M985" s="2297"/>
      <c r="N985" s="2297"/>
      <c r="O985" s="2297"/>
      <c r="P985" s="2297"/>
      <c r="Q985" s="2297"/>
      <c r="R985" s="99"/>
      <c r="S985" s="99"/>
      <c r="T985" s="99"/>
      <c r="U985" s="99"/>
      <c r="V985" s="99"/>
      <c r="AF985" s="2297"/>
      <c r="AG985" s="1208"/>
      <c r="AH985" s="1208"/>
      <c r="AI985" s="1223"/>
      <c r="AJ985" s="1223"/>
      <c r="AK985" s="1223"/>
      <c r="AL985" s="1223"/>
      <c r="AM985" s="1223"/>
      <c r="AN985" s="1223"/>
      <c r="AO985" s="1208"/>
      <c r="AP985" s="1223"/>
      <c r="AQ985" s="1208"/>
      <c r="AR985" s="1208"/>
      <c r="AS985" s="1223"/>
      <c r="AT985" s="1223"/>
      <c r="AU985" s="1208"/>
      <c r="AV985" s="1208"/>
      <c r="AW985" s="2297"/>
      <c r="BE985" s="1224"/>
      <c r="BF985" s="1225"/>
      <c r="BR985" s="1224"/>
      <c r="BS985" s="1224"/>
    </row>
    <row r="986" spans="2:71" s="491" customFormat="1">
      <c r="B986" s="2297"/>
      <c r="C986" s="2297"/>
      <c r="D986" s="2297"/>
      <c r="E986" s="2297"/>
      <c r="F986" s="2297"/>
      <c r="G986" s="2297"/>
      <c r="H986" s="2297"/>
      <c r="I986" s="2297"/>
      <c r="J986" s="2297"/>
      <c r="K986" s="2297"/>
      <c r="L986" s="2297"/>
      <c r="M986" s="2297"/>
      <c r="N986" s="2297"/>
      <c r="O986" s="2297"/>
      <c r="P986" s="2297"/>
      <c r="Q986" s="2297"/>
      <c r="R986" s="99"/>
      <c r="S986" s="99"/>
      <c r="T986" s="99"/>
      <c r="U986" s="99"/>
      <c r="V986" s="99"/>
      <c r="AF986" s="2297"/>
      <c r="AG986" s="1208"/>
      <c r="AH986" s="1208"/>
      <c r="AI986" s="1223"/>
      <c r="AJ986" s="1223"/>
      <c r="AK986" s="1223"/>
      <c r="AL986" s="1223"/>
      <c r="AM986" s="1223"/>
      <c r="AN986" s="1223"/>
      <c r="AO986" s="1208"/>
      <c r="AP986" s="1223"/>
      <c r="AQ986" s="1208"/>
      <c r="AR986" s="1208"/>
      <c r="AS986" s="1223"/>
      <c r="AT986" s="1223"/>
      <c r="AU986" s="1208"/>
      <c r="AV986" s="1208"/>
      <c r="AW986" s="2297"/>
      <c r="BE986" s="1224"/>
      <c r="BF986" s="1225"/>
      <c r="BR986" s="1224"/>
      <c r="BS986" s="1224"/>
    </row>
    <row r="987" spans="2:71" s="491" customFormat="1">
      <c r="B987" s="2297"/>
      <c r="C987" s="2297"/>
      <c r="D987" s="2297"/>
      <c r="E987" s="2297"/>
      <c r="F987" s="2297"/>
      <c r="G987" s="2297"/>
      <c r="H987" s="2297"/>
      <c r="I987" s="2297"/>
      <c r="J987" s="2297"/>
      <c r="K987" s="2297"/>
      <c r="L987" s="2297"/>
      <c r="M987" s="2297"/>
      <c r="N987" s="2297"/>
      <c r="O987" s="2297"/>
      <c r="P987" s="2297"/>
      <c r="Q987" s="2297"/>
      <c r="R987" s="99"/>
      <c r="S987" s="99"/>
      <c r="T987" s="99"/>
      <c r="U987" s="99"/>
      <c r="V987" s="99"/>
      <c r="AF987" s="2297"/>
      <c r="AG987" s="1208"/>
      <c r="AH987" s="1208"/>
      <c r="AI987" s="1223"/>
      <c r="AJ987" s="1223"/>
      <c r="AK987" s="1223"/>
      <c r="AL987" s="1223"/>
      <c r="AM987" s="1223"/>
      <c r="AN987" s="1223"/>
      <c r="AO987" s="1208"/>
      <c r="AP987" s="1223"/>
      <c r="AQ987" s="1208"/>
      <c r="AR987" s="1208"/>
      <c r="AS987" s="1223"/>
      <c r="AT987" s="1223"/>
      <c r="AU987" s="1208"/>
      <c r="AV987" s="1208"/>
      <c r="AW987" s="2297"/>
      <c r="BE987" s="1224"/>
      <c r="BF987" s="1225"/>
      <c r="BR987" s="1224"/>
      <c r="BS987" s="1224"/>
    </row>
    <row r="988" spans="2:71" s="491" customFormat="1">
      <c r="B988" s="2297"/>
      <c r="C988" s="2297"/>
      <c r="D988" s="2297"/>
      <c r="E988" s="2297"/>
      <c r="F988" s="2297"/>
      <c r="G988" s="2297"/>
      <c r="H988" s="2297"/>
      <c r="I988" s="2297"/>
      <c r="J988" s="2297"/>
      <c r="K988" s="2297"/>
      <c r="L988" s="2297"/>
      <c r="M988" s="2297"/>
      <c r="N988" s="2297"/>
      <c r="O988" s="2297"/>
      <c r="P988" s="2297"/>
      <c r="Q988" s="2297"/>
      <c r="R988" s="99"/>
      <c r="S988" s="99"/>
      <c r="T988" s="99"/>
      <c r="U988" s="99"/>
      <c r="V988" s="99"/>
      <c r="AF988" s="2297"/>
      <c r="AG988" s="1208"/>
      <c r="AH988" s="1208"/>
      <c r="AI988" s="1223"/>
      <c r="AJ988" s="1223"/>
      <c r="AK988" s="1223"/>
      <c r="AL988" s="1223"/>
      <c r="AM988" s="1223"/>
      <c r="AN988" s="1223"/>
      <c r="AO988" s="1208"/>
      <c r="AP988" s="1223"/>
      <c r="AQ988" s="1208"/>
      <c r="AR988" s="1208"/>
      <c r="AS988" s="1223"/>
      <c r="AT988" s="1223"/>
      <c r="AU988" s="1208"/>
      <c r="AV988" s="1208"/>
      <c r="AW988" s="2297"/>
      <c r="BE988" s="1224"/>
      <c r="BF988" s="1225"/>
      <c r="BR988" s="1224"/>
      <c r="BS988" s="1224"/>
    </row>
    <row r="989" spans="2:71" s="491" customFormat="1">
      <c r="B989" s="2297"/>
      <c r="C989" s="2297"/>
      <c r="D989" s="2297"/>
      <c r="E989" s="2297"/>
      <c r="F989" s="2297"/>
      <c r="G989" s="2297"/>
      <c r="H989" s="2297"/>
      <c r="I989" s="2297"/>
      <c r="J989" s="2297"/>
      <c r="K989" s="2297"/>
      <c r="L989" s="2297"/>
      <c r="M989" s="2297"/>
      <c r="N989" s="2297"/>
      <c r="O989" s="2297"/>
      <c r="P989" s="2297"/>
      <c r="Q989" s="2297"/>
      <c r="R989" s="99"/>
      <c r="S989" s="99"/>
      <c r="T989" s="99"/>
      <c r="U989" s="99"/>
      <c r="V989" s="99"/>
      <c r="AF989" s="2297"/>
      <c r="AG989" s="1208"/>
      <c r="AH989" s="1208"/>
      <c r="AI989" s="1223"/>
      <c r="AJ989" s="1223"/>
      <c r="AK989" s="1223"/>
      <c r="AL989" s="1223"/>
      <c r="AM989" s="1223"/>
      <c r="AN989" s="1223"/>
      <c r="AO989" s="1208"/>
      <c r="AP989" s="1223"/>
      <c r="AQ989" s="1208"/>
      <c r="AR989" s="1208"/>
      <c r="AS989" s="1223"/>
      <c r="AT989" s="1223"/>
      <c r="AU989" s="1208"/>
      <c r="AV989" s="1208"/>
      <c r="AW989" s="2297"/>
      <c r="BE989" s="1224"/>
      <c r="BF989" s="1225"/>
      <c r="BR989" s="1224"/>
      <c r="BS989" s="1224"/>
    </row>
    <row r="990" spans="2:71" s="491" customFormat="1">
      <c r="B990" s="2297"/>
      <c r="C990" s="2297"/>
      <c r="D990" s="2297"/>
      <c r="E990" s="2297"/>
      <c r="F990" s="2297"/>
      <c r="G990" s="2297"/>
      <c r="H990" s="2297"/>
      <c r="I990" s="2297"/>
      <c r="J990" s="2297"/>
      <c r="K990" s="2297"/>
      <c r="L990" s="2297"/>
      <c r="M990" s="2297"/>
      <c r="N990" s="2297"/>
      <c r="O990" s="2297"/>
      <c r="P990" s="2297"/>
      <c r="Q990" s="2297"/>
      <c r="R990" s="99"/>
      <c r="S990" s="99"/>
      <c r="T990" s="99"/>
      <c r="U990" s="99"/>
      <c r="V990" s="99"/>
      <c r="AF990" s="2297"/>
      <c r="AG990" s="1208"/>
      <c r="AH990" s="1208"/>
      <c r="AI990" s="1223"/>
      <c r="AJ990" s="1223"/>
      <c r="AK990" s="1223"/>
      <c r="AL990" s="1223"/>
      <c r="AM990" s="1223"/>
      <c r="AN990" s="1223"/>
      <c r="AO990" s="1208"/>
      <c r="AP990" s="1223"/>
      <c r="AQ990" s="1208"/>
      <c r="AR990" s="1208"/>
      <c r="AS990" s="1223"/>
      <c r="AT990" s="1223"/>
      <c r="AU990" s="1208"/>
      <c r="AV990" s="1208"/>
      <c r="AW990" s="2297"/>
      <c r="BE990" s="1224"/>
      <c r="BF990" s="1225"/>
      <c r="BR990" s="1224"/>
      <c r="BS990" s="1224"/>
    </row>
    <row r="991" spans="2:71" s="491" customFormat="1">
      <c r="B991" s="2297"/>
      <c r="C991" s="2297"/>
      <c r="D991" s="2297"/>
      <c r="E991" s="2297"/>
      <c r="F991" s="2297"/>
      <c r="G991" s="2297"/>
      <c r="H991" s="2297"/>
      <c r="I991" s="2297"/>
      <c r="J991" s="2297"/>
      <c r="K991" s="2297"/>
      <c r="L991" s="2297"/>
      <c r="M991" s="2297"/>
      <c r="N991" s="2297"/>
      <c r="O991" s="2297"/>
      <c r="P991" s="2297"/>
      <c r="Q991" s="2297"/>
      <c r="R991" s="99"/>
      <c r="S991" s="99"/>
      <c r="T991" s="99"/>
      <c r="U991" s="99"/>
      <c r="V991" s="99"/>
      <c r="AF991" s="2297"/>
      <c r="AG991" s="1208"/>
      <c r="AH991" s="1208"/>
      <c r="AI991" s="1223"/>
      <c r="AJ991" s="1223"/>
      <c r="AK991" s="1223"/>
      <c r="AL991" s="1223"/>
      <c r="AM991" s="1223"/>
      <c r="AN991" s="1223"/>
      <c r="AO991" s="1208"/>
      <c r="AP991" s="1223"/>
      <c r="AQ991" s="1208"/>
      <c r="AR991" s="1208"/>
      <c r="AS991" s="1223"/>
      <c r="AT991" s="1223"/>
      <c r="AU991" s="1208"/>
      <c r="AV991" s="1208"/>
      <c r="AW991" s="2297"/>
      <c r="BE991" s="1224"/>
      <c r="BF991" s="1225"/>
      <c r="BR991" s="1224"/>
      <c r="BS991" s="1224"/>
    </row>
    <row r="992" spans="2:71" s="491" customFormat="1">
      <c r="B992" s="2297"/>
      <c r="C992" s="2297"/>
      <c r="D992" s="2297"/>
      <c r="E992" s="2297"/>
      <c r="F992" s="2297"/>
      <c r="G992" s="2297"/>
      <c r="H992" s="2297"/>
      <c r="I992" s="2297"/>
      <c r="J992" s="2297"/>
      <c r="K992" s="2297"/>
      <c r="L992" s="2297"/>
      <c r="M992" s="2297"/>
      <c r="N992" s="2297"/>
      <c r="O992" s="2297"/>
      <c r="P992" s="2297"/>
      <c r="Q992" s="2297"/>
      <c r="R992" s="99"/>
      <c r="S992" s="99"/>
      <c r="T992" s="99"/>
      <c r="U992" s="99"/>
      <c r="V992" s="99"/>
      <c r="AF992" s="2297"/>
      <c r="AG992" s="1208"/>
      <c r="AH992" s="1208"/>
      <c r="AI992" s="1223"/>
      <c r="AJ992" s="1223"/>
      <c r="AK992" s="1223"/>
      <c r="AL992" s="1223"/>
      <c r="AM992" s="1223"/>
      <c r="AN992" s="1223"/>
      <c r="AO992" s="1208"/>
      <c r="AP992" s="1223"/>
      <c r="AQ992" s="1208"/>
      <c r="AR992" s="1208"/>
      <c r="AS992" s="1223"/>
      <c r="AT992" s="1223"/>
      <c r="AU992" s="1208"/>
      <c r="AV992" s="1208"/>
      <c r="AW992" s="2297"/>
      <c r="BE992" s="1224"/>
      <c r="BF992" s="1225"/>
      <c r="BR992" s="1224"/>
      <c r="BS992" s="1224"/>
    </row>
    <row r="993" spans="2:71" s="491" customFormat="1">
      <c r="B993" s="2297"/>
      <c r="C993" s="2297"/>
      <c r="D993" s="2297"/>
      <c r="E993" s="2297"/>
      <c r="F993" s="2297"/>
      <c r="G993" s="2297"/>
      <c r="H993" s="2297"/>
      <c r="I993" s="2297"/>
      <c r="J993" s="2297"/>
      <c r="K993" s="2297"/>
      <c r="L993" s="2297"/>
      <c r="M993" s="2297"/>
      <c r="N993" s="2297"/>
      <c r="O993" s="2297"/>
      <c r="P993" s="2297"/>
      <c r="Q993" s="2297"/>
      <c r="R993" s="99"/>
      <c r="S993" s="99"/>
      <c r="T993" s="99"/>
      <c r="U993" s="99"/>
      <c r="V993" s="99"/>
      <c r="AF993" s="2297"/>
      <c r="AG993" s="1208"/>
      <c r="AH993" s="1208"/>
      <c r="AI993" s="1223"/>
      <c r="AJ993" s="1223"/>
      <c r="AK993" s="1223"/>
      <c r="AL993" s="1223"/>
      <c r="AM993" s="1223"/>
      <c r="AN993" s="1223"/>
      <c r="AO993" s="1208"/>
      <c r="AP993" s="1223"/>
      <c r="AQ993" s="1208"/>
      <c r="AR993" s="1208"/>
      <c r="AS993" s="1223"/>
      <c r="AT993" s="1223"/>
      <c r="AU993" s="1208"/>
      <c r="AV993" s="1208"/>
      <c r="AW993" s="2297"/>
      <c r="BE993" s="1224"/>
      <c r="BF993" s="1225"/>
      <c r="BR993" s="1224"/>
      <c r="BS993" s="1224"/>
    </row>
    <row r="994" spans="2:71" s="491" customFormat="1">
      <c r="B994" s="2297"/>
      <c r="C994" s="2297"/>
      <c r="D994" s="2297"/>
      <c r="E994" s="2297"/>
      <c r="F994" s="2297"/>
      <c r="G994" s="2297"/>
      <c r="H994" s="2297"/>
      <c r="I994" s="2297"/>
      <c r="J994" s="2297"/>
      <c r="K994" s="2297"/>
      <c r="L994" s="2297"/>
      <c r="M994" s="2297"/>
      <c r="N994" s="2297"/>
      <c r="O994" s="2297"/>
      <c r="P994" s="2297"/>
      <c r="Q994" s="2297"/>
      <c r="R994" s="99"/>
      <c r="S994" s="99"/>
      <c r="T994" s="99"/>
      <c r="U994" s="99"/>
      <c r="V994" s="99"/>
      <c r="AF994" s="2297"/>
      <c r="AG994" s="1208"/>
      <c r="AH994" s="1208"/>
      <c r="AI994" s="1223"/>
      <c r="AJ994" s="1223"/>
      <c r="AK994" s="1223"/>
      <c r="AL994" s="1223"/>
      <c r="AM994" s="1223"/>
      <c r="AN994" s="1223"/>
      <c r="AO994" s="1208"/>
      <c r="AP994" s="1223"/>
      <c r="AQ994" s="1208"/>
      <c r="AR994" s="1208"/>
      <c r="AS994" s="1223"/>
      <c r="AT994" s="1223"/>
      <c r="AU994" s="1208"/>
      <c r="AV994" s="1208"/>
      <c r="AW994" s="2297"/>
      <c r="BE994" s="1224"/>
      <c r="BF994" s="1225"/>
      <c r="BR994" s="1224"/>
      <c r="BS994" s="1224"/>
    </row>
    <row r="995" spans="2:71" s="491" customFormat="1">
      <c r="B995" s="2297"/>
      <c r="C995" s="2297"/>
      <c r="D995" s="2297"/>
      <c r="E995" s="2297"/>
      <c r="F995" s="2297"/>
      <c r="G995" s="2297"/>
      <c r="H995" s="2297"/>
      <c r="I995" s="2297"/>
      <c r="J995" s="2297"/>
      <c r="K995" s="2297"/>
      <c r="L995" s="2297"/>
      <c r="M995" s="2297"/>
      <c r="N995" s="2297"/>
      <c r="O995" s="2297"/>
      <c r="P995" s="2297"/>
      <c r="Q995" s="2297"/>
      <c r="R995" s="99"/>
      <c r="S995" s="99"/>
      <c r="T995" s="99"/>
      <c r="U995" s="99"/>
      <c r="V995" s="99"/>
      <c r="AF995" s="2297"/>
      <c r="AG995" s="1208"/>
      <c r="AH995" s="1208"/>
      <c r="AI995" s="1223"/>
      <c r="AJ995" s="1223"/>
      <c r="AK995" s="1223"/>
      <c r="AL995" s="1223"/>
      <c r="AM995" s="1223"/>
      <c r="AN995" s="1223"/>
      <c r="AO995" s="1208"/>
      <c r="AP995" s="1223"/>
      <c r="AQ995" s="1208"/>
      <c r="AR995" s="1208"/>
      <c r="AS995" s="1223"/>
      <c r="AT995" s="1223"/>
      <c r="AU995" s="1208"/>
      <c r="AV995" s="1208"/>
      <c r="AW995" s="2297"/>
      <c r="BE995" s="1224"/>
      <c r="BF995" s="1225"/>
      <c r="BR995" s="1224"/>
      <c r="BS995" s="1224"/>
    </row>
    <row r="996" spans="2:71" s="491" customFormat="1">
      <c r="B996" s="2297"/>
      <c r="C996" s="2297"/>
      <c r="D996" s="2297"/>
      <c r="E996" s="2297"/>
      <c r="F996" s="2297"/>
      <c r="G996" s="2297"/>
      <c r="H996" s="2297"/>
      <c r="I996" s="2297"/>
      <c r="J996" s="2297"/>
      <c r="K996" s="2297"/>
      <c r="L996" s="2297"/>
      <c r="M996" s="2297"/>
      <c r="N996" s="2297"/>
      <c r="O996" s="2297"/>
      <c r="P996" s="2297"/>
      <c r="Q996" s="2297"/>
      <c r="R996" s="99"/>
      <c r="S996" s="99"/>
      <c r="T996" s="99"/>
      <c r="U996" s="99"/>
      <c r="V996" s="99"/>
      <c r="AF996" s="2297"/>
      <c r="AG996" s="1208"/>
      <c r="AH996" s="1208"/>
      <c r="AI996" s="1223"/>
      <c r="AJ996" s="1223"/>
      <c r="AK996" s="1223"/>
      <c r="AL996" s="1223"/>
      <c r="AM996" s="1223"/>
      <c r="AN996" s="1223"/>
      <c r="AO996" s="1208"/>
      <c r="AP996" s="1223"/>
      <c r="AQ996" s="1208"/>
      <c r="AR996" s="1208"/>
      <c r="AS996" s="1223"/>
      <c r="AT996" s="1223"/>
      <c r="AU996" s="1208"/>
      <c r="AV996" s="1208"/>
      <c r="AW996" s="2297"/>
      <c r="BE996" s="1224"/>
      <c r="BF996" s="1225"/>
      <c r="BR996" s="1224"/>
      <c r="BS996" s="1224"/>
    </row>
    <row r="997" spans="2:71" s="491" customFormat="1">
      <c r="B997" s="2297"/>
      <c r="C997" s="2297"/>
      <c r="D997" s="2297"/>
      <c r="E997" s="2297"/>
      <c r="F997" s="2297"/>
      <c r="G997" s="2297"/>
      <c r="H997" s="2297"/>
      <c r="I997" s="2297"/>
      <c r="J997" s="2297"/>
      <c r="K997" s="2297"/>
      <c r="L997" s="2297"/>
      <c r="M997" s="2297"/>
      <c r="N997" s="2297"/>
      <c r="O997" s="2297"/>
      <c r="P997" s="2297"/>
      <c r="Q997" s="2297"/>
      <c r="R997" s="99"/>
      <c r="S997" s="99"/>
      <c r="T997" s="99"/>
      <c r="U997" s="99"/>
      <c r="V997" s="99"/>
      <c r="AF997" s="2297"/>
      <c r="AG997" s="1208"/>
      <c r="AH997" s="1208"/>
      <c r="AI997" s="1223"/>
      <c r="AJ997" s="1223"/>
      <c r="AK997" s="1223"/>
      <c r="AL997" s="1223"/>
      <c r="AM997" s="1223"/>
      <c r="AN997" s="1223"/>
      <c r="AO997" s="1208"/>
      <c r="AP997" s="1223"/>
      <c r="AQ997" s="1208"/>
      <c r="AR997" s="1208"/>
      <c r="AS997" s="1223"/>
      <c r="AT997" s="1223"/>
      <c r="AU997" s="1208"/>
      <c r="AV997" s="1208"/>
      <c r="AW997" s="2297"/>
      <c r="BE997" s="1224"/>
      <c r="BF997" s="1225"/>
      <c r="BR997" s="1224"/>
      <c r="BS997" s="1224"/>
    </row>
    <row r="998" spans="2:71" s="491" customFormat="1">
      <c r="B998" s="2297"/>
      <c r="C998" s="2297"/>
      <c r="D998" s="2297"/>
      <c r="E998" s="2297"/>
      <c r="F998" s="2297"/>
      <c r="G998" s="2297"/>
      <c r="H998" s="2297"/>
      <c r="I998" s="2297"/>
      <c r="J998" s="2297"/>
      <c r="K998" s="2297"/>
      <c r="L998" s="2297"/>
      <c r="M998" s="2297"/>
      <c r="N998" s="2297"/>
      <c r="O998" s="2297"/>
      <c r="P998" s="2297"/>
      <c r="Q998" s="2297"/>
      <c r="R998" s="99"/>
      <c r="S998" s="99"/>
      <c r="T998" s="99"/>
      <c r="U998" s="99"/>
      <c r="V998" s="99"/>
      <c r="AF998" s="2297"/>
      <c r="AG998" s="1208"/>
      <c r="AH998" s="1208"/>
      <c r="AI998" s="1223"/>
      <c r="AJ998" s="1223"/>
      <c r="AK998" s="1223"/>
      <c r="AL998" s="1223"/>
      <c r="AM998" s="1223"/>
      <c r="AN998" s="1223"/>
      <c r="AO998" s="1208"/>
      <c r="AP998" s="1223"/>
      <c r="AQ998" s="1208"/>
      <c r="AR998" s="1208"/>
      <c r="AS998" s="1223"/>
      <c r="AT998" s="1223"/>
      <c r="AU998" s="1208"/>
      <c r="AV998" s="1208"/>
      <c r="AW998" s="2297"/>
      <c r="BE998" s="1224"/>
      <c r="BF998" s="1225"/>
      <c r="BR998" s="1224"/>
      <c r="BS998" s="1224"/>
    </row>
    <row r="999" spans="2:71" s="491" customFormat="1">
      <c r="B999" s="2297"/>
      <c r="C999" s="2297"/>
      <c r="D999" s="2297"/>
      <c r="E999" s="2297"/>
      <c r="F999" s="2297"/>
      <c r="G999" s="2297"/>
      <c r="H999" s="2297"/>
      <c r="I999" s="2297"/>
      <c r="J999" s="2297"/>
      <c r="K999" s="2297"/>
      <c r="L999" s="2297"/>
      <c r="M999" s="2297"/>
      <c r="N999" s="2297"/>
      <c r="O999" s="2297"/>
      <c r="P999" s="2297"/>
      <c r="Q999" s="2297"/>
      <c r="R999" s="99"/>
      <c r="S999" s="99"/>
      <c r="T999" s="99"/>
      <c r="U999" s="99"/>
      <c r="V999" s="99"/>
      <c r="AF999" s="2297"/>
      <c r="AG999" s="1208"/>
      <c r="AH999" s="1208"/>
      <c r="AI999" s="1223"/>
      <c r="AJ999" s="1223"/>
      <c r="AK999" s="1223"/>
      <c r="AL999" s="1223"/>
      <c r="AM999" s="1223"/>
      <c r="AN999" s="1223"/>
      <c r="AO999" s="1208"/>
      <c r="AP999" s="1223"/>
      <c r="AQ999" s="1208"/>
      <c r="AR999" s="1208"/>
      <c r="AS999" s="1223"/>
      <c r="AT999" s="1223"/>
      <c r="AU999" s="1208"/>
      <c r="AV999" s="1208"/>
      <c r="AW999" s="2297"/>
      <c r="BE999" s="1224"/>
      <c r="BF999" s="1225"/>
      <c r="BR999" s="1224"/>
      <c r="BS999" s="1224"/>
    </row>
    <row r="1000" spans="2:71" s="491" customFormat="1">
      <c r="B1000" s="2297"/>
      <c r="C1000" s="2297"/>
      <c r="D1000" s="2297"/>
      <c r="E1000" s="2297"/>
      <c r="F1000" s="2297"/>
      <c r="G1000" s="2297"/>
      <c r="H1000" s="2297"/>
      <c r="I1000" s="2297"/>
      <c r="J1000" s="2297"/>
      <c r="K1000" s="2297"/>
      <c r="L1000" s="2297"/>
      <c r="M1000" s="2297"/>
      <c r="N1000" s="2297"/>
      <c r="O1000" s="2297"/>
      <c r="P1000" s="2297"/>
      <c r="Q1000" s="2297"/>
      <c r="R1000" s="99"/>
      <c r="S1000" s="99"/>
      <c r="T1000" s="99"/>
      <c r="U1000" s="99"/>
      <c r="V1000" s="99"/>
      <c r="AF1000" s="2297"/>
      <c r="AG1000" s="1208"/>
      <c r="AH1000" s="1208"/>
      <c r="AI1000" s="1223"/>
      <c r="AJ1000" s="1223"/>
      <c r="AK1000" s="1223"/>
      <c r="AL1000" s="1223"/>
      <c r="AM1000" s="1223"/>
      <c r="AN1000" s="1223"/>
      <c r="AO1000" s="1208"/>
      <c r="AP1000" s="1223"/>
      <c r="AQ1000" s="1208"/>
      <c r="AR1000" s="1208"/>
      <c r="AS1000" s="1223"/>
      <c r="AT1000" s="1223"/>
      <c r="AU1000" s="1208"/>
      <c r="AV1000" s="1208"/>
      <c r="AW1000" s="2297"/>
      <c r="BE1000" s="1224"/>
      <c r="BF1000" s="1225"/>
      <c r="BR1000" s="1224"/>
      <c r="BS1000" s="1224"/>
    </row>
    <row r="1001" spans="2:71" s="491" customFormat="1">
      <c r="B1001" s="2297"/>
      <c r="C1001" s="2297"/>
      <c r="D1001" s="2297"/>
      <c r="E1001" s="2297"/>
      <c r="F1001" s="2297"/>
      <c r="G1001" s="2297"/>
      <c r="H1001" s="2297"/>
      <c r="I1001" s="2297"/>
      <c r="J1001" s="2297"/>
      <c r="K1001" s="2297"/>
      <c r="L1001" s="2297"/>
      <c r="M1001" s="2297"/>
      <c r="N1001" s="2297"/>
      <c r="O1001" s="2297"/>
      <c r="P1001" s="2297"/>
      <c r="Q1001" s="2297"/>
      <c r="R1001" s="99"/>
      <c r="S1001" s="99"/>
      <c r="T1001" s="99"/>
      <c r="U1001" s="99"/>
      <c r="V1001" s="99"/>
      <c r="AF1001" s="2297"/>
      <c r="AG1001" s="1208"/>
      <c r="AH1001" s="1208"/>
      <c r="AI1001" s="1223"/>
      <c r="AJ1001" s="1223"/>
      <c r="AK1001" s="1223"/>
      <c r="AL1001" s="1223"/>
      <c r="AM1001" s="1223"/>
      <c r="AN1001" s="1223"/>
      <c r="AO1001" s="1208"/>
      <c r="AP1001" s="1223"/>
      <c r="AQ1001" s="1208"/>
      <c r="AR1001" s="1208"/>
      <c r="AS1001" s="1223"/>
      <c r="AT1001" s="1223"/>
      <c r="AU1001" s="1208"/>
      <c r="AV1001" s="1208"/>
      <c r="AW1001" s="2297"/>
      <c r="BE1001" s="1224"/>
      <c r="BF1001" s="1225"/>
      <c r="BR1001" s="1224"/>
      <c r="BS1001" s="1224"/>
    </row>
    <row r="1002" spans="2:71" s="491" customFormat="1">
      <c r="B1002" s="2297"/>
      <c r="C1002" s="2297"/>
      <c r="D1002" s="2297"/>
      <c r="E1002" s="2297"/>
      <c r="F1002" s="2297"/>
      <c r="G1002" s="2297"/>
      <c r="H1002" s="2297"/>
      <c r="I1002" s="2297"/>
      <c r="J1002" s="2297"/>
      <c r="K1002" s="2297"/>
      <c r="L1002" s="2297"/>
      <c r="M1002" s="2297"/>
      <c r="N1002" s="2297"/>
      <c r="O1002" s="2297"/>
      <c r="P1002" s="2297"/>
      <c r="Q1002" s="2297"/>
      <c r="R1002" s="99"/>
      <c r="S1002" s="99"/>
      <c r="T1002" s="99"/>
      <c r="U1002" s="99"/>
      <c r="V1002" s="99"/>
      <c r="AF1002" s="2297"/>
      <c r="AG1002" s="1208"/>
      <c r="AH1002" s="1208"/>
      <c r="AI1002" s="1223"/>
      <c r="AJ1002" s="1223"/>
      <c r="AK1002" s="1223"/>
      <c r="AL1002" s="1223"/>
      <c r="AM1002" s="1223"/>
      <c r="AN1002" s="1223"/>
      <c r="AO1002" s="1208"/>
      <c r="AP1002" s="1223"/>
      <c r="AQ1002" s="1208"/>
      <c r="AR1002" s="1208"/>
      <c r="AS1002" s="1223"/>
      <c r="AT1002" s="1223"/>
      <c r="AU1002" s="1208"/>
      <c r="AV1002" s="1208"/>
      <c r="AW1002" s="2297"/>
      <c r="BE1002" s="1224"/>
      <c r="BF1002" s="1225"/>
      <c r="BR1002" s="1224"/>
      <c r="BS1002" s="1224"/>
    </row>
    <row r="1003" spans="2:71" s="491" customFormat="1">
      <c r="B1003" s="2297"/>
      <c r="C1003" s="2297"/>
      <c r="D1003" s="2297"/>
      <c r="E1003" s="2297"/>
      <c r="F1003" s="2297"/>
      <c r="G1003" s="2297"/>
      <c r="H1003" s="2297"/>
      <c r="I1003" s="2297"/>
      <c r="J1003" s="2297"/>
      <c r="K1003" s="2297"/>
      <c r="L1003" s="2297"/>
      <c r="M1003" s="2297"/>
      <c r="N1003" s="2297"/>
      <c r="O1003" s="2297"/>
      <c r="P1003" s="2297"/>
      <c r="Q1003" s="2297"/>
      <c r="R1003" s="99"/>
      <c r="S1003" s="99"/>
      <c r="T1003" s="99"/>
      <c r="U1003" s="99"/>
      <c r="V1003" s="99"/>
      <c r="AF1003" s="2297"/>
      <c r="AG1003" s="1208"/>
      <c r="AH1003" s="1208"/>
      <c r="AI1003" s="1223"/>
      <c r="AJ1003" s="1223"/>
      <c r="AK1003" s="1223"/>
      <c r="AL1003" s="1223"/>
      <c r="AM1003" s="1223"/>
      <c r="AN1003" s="1223"/>
      <c r="AO1003" s="1208"/>
      <c r="AP1003" s="1223"/>
      <c r="AQ1003" s="1208"/>
      <c r="AR1003" s="1208"/>
      <c r="AS1003" s="1223"/>
      <c r="AT1003" s="1223"/>
      <c r="AU1003" s="1208"/>
      <c r="AV1003" s="1208"/>
      <c r="AW1003" s="2297"/>
      <c r="BE1003" s="1224"/>
      <c r="BF1003" s="1225"/>
      <c r="BR1003" s="1224"/>
      <c r="BS1003" s="1224"/>
    </row>
    <row r="1004" spans="2:71" s="491" customFormat="1">
      <c r="B1004" s="2297"/>
      <c r="C1004" s="2297"/>
      <c r="D1004" s="2297"/>
      <c r="E1004" s="2297"/>
      <c r="F1004" s="2297"/>
      <c r="G1004" s="2297"/>
      <c r="H1004" s="2297"/>
      <c r="I1004" s="2297"/>
      <c r="J1004" s="2297"/>
      <c r="K1004" s="2297"/>
      <c r="L1004" s="2297"/>
      <c r="M1004" s="2297"/>
      <c r="N1004" s="2297"/>
      <c r="O1004" s="2297"/>
      <c r="P1004" s="2297"/>
      <c r="Q1004" s="2297"/>
      <c r="R1004" s="99"/>
      <c r="S1004" s="99"/>
      <c r="T1004" s="99"/>
      <c r="U1004" s="99"/>
      <c r="V1004" s="99"/>
      <c r="AF1004" s="2297"/>
      <c r="AG1004" s="1208"/>
      <c r="AH1004" s="1208"/>
      <c r="AI1004" s="1223"/>
      <c r="AJ1004" s="1223"/>
      <c r="AK1004" s="1223"/>
      <c r="AL1004" s="1223"/>
      <c r="AM1004" s="1223"/>
      <c r="AN1004" s="1223"/>
      <c r="AO1004" s="1208"/>
      <c r="AP1004" s="1223"/>
      <c r="AQ1004" s="1208"/>
      <c r="AR1004" s="1208"/>
      <c r="AS1004" s="1223"/>
      <c r="AT1004" s="1223"/>
      <c r="AU1004" s="1208"/>
      <c r="AV1004" s="1208"/>
      <c r="AW1004" s="2297"/>
      <c r="BE1004" s="1224"/>
      <c r="BF1004" s="1225"/>
      <c r="BR1004" s="1224"/>
      <c r="BS1004" s="1224"/>
    </row>
    <row r="1005" spans="2:71" s="491" customFormat="1">
      <c r="B1005" s="2297"/>
      <c r="C1005" s="2297"/>
      <c r="D1005" s="2297"/>
      <c r="E1005" s="2297"/>
      <c r="F1005" s="2297"/>
      <c r="G1005" s="2297"/>
      <c r="H1005" s="2297"/>
      <c r="I1005" s="2297"/>
      <c r="J1005" s="2297"/>
      <c r="K1005" s="2297"/>
      <c r="L1005" s="2297"/>
      <c r="M1005" s="2297"/>
      <c r="N1005" s="2297"/>
      <c r="O1005" s="2297"/>
      <c r="P1005" s="2297"/>
      <c r="Q1005" s="2297"/>
      <c r="R1005" s="99"/>
      <c r="S1005" s="99"/>
      <c r="T1005" s="99"/>
      <c r="U1005" s="99"/>
      <c r="V1005" s="99"/>
      <c r="AF1005" s="2297"/>
      <c r="AG1005" s="1208"/>
      <c r="AH1005" s="1208"/>
      <c r="AI1005" s="1223"/>
      <c r="AJ1005" s="1223"/>
      <c r="AK1005" s="1223"/>
      <c r="AL1005" s="1223"/>
      <c r="AM1005" s="1223"/>
      <c r="AN1005" s="1223"/>
      <c r="AO1005" s="1208"/>
      <c r="AP1005" s="1223"/>
      <c r="AQ1005" s="1208"/>
      <c r="AR1005" s="1208"/>
      <c r="AS1005" s="1223"/>
      <c r="AT1005" s="1223"/>
      <c r="AU1005" s="1208"/>
      <c r="AV1005" s="1208"/>
      <c r="AW1005" s="2297"/>
      <c r="BE1005" s="1224"/>
      <c r="BF1005" s="1225"/>
      <c r="BR1005" s="1224"/>
      <c r="BS1005" s="1224"/>
    </row>
    <row r="1006" spans="2:71" s="491" customFormat="1">
      <c r="B1006" s="2297"/>
      <c r="C1006" s="2297"/>
      <c r="D1006" s="2297"/>
      <c r="E1006" s="2297"/>
      <c r="F1006" s="2297"/>
      <c r="G1006" s="2297"/>
      <c r="H1006" s="2297"/>
      <c r="I1006" s="2297"/>
      <c r="J1006" s="2297"/>
      <c r="K1006" s="2297"/>
      <c r="L1006" s="2297"/>
      <c r="M1006" s="2297"/>
      <c r="N1006" s="2297"/>
      <c r="O1006" s="2297"/>
      <c r="P1006" s="2297"/>
      <c r="Q1006" s="2297"/>
      <c r="R1006" s="99"/>
      <c r="S1006" s="99"/>
      <c r="T1006" s="99"/>
      <c r="U1006" s="99"/>
      <c r="V1006" s="99"/>
      <c r="AF1006" s="2297"/>
      <c r="AG1006" s="1208"/>
      <c r="AH1006" s="1208"/>
      <c r="AI1006" s="1223"/>
      <c r="AJ1006" s="1223"/>
      <c r="AK1006" s="1223"/>
      <c r="AL1006" s="1223"/>
      <c r="AM1006" s="1223"/>
      <c r="AN1006" s="1223"/>
      <c r="AO1006" s="1208"/>
      <c r="AP1006" s="1223"/>
      <c r="AQ1006" s="1208"/>
      <c r="AR1006" s="1208"/>
      <c r="AS1006" s="1223"/>
      <c r="AT1006" s="1223"/>
      <c r="AU1006" s="1208"/>
      <c r="AV1006" s="1208"/>
      <c r="AW1006" s="2297"/>
      <c r="BE1006" s="1224"/>
      <c r="BF1006" s="1225"/>
      <c r="BR1006" s="1224"/>
      <c r="BS1006" s="1224"/>
    </row>
    <row r="1007" spans="2:71" s="491" customFormat="1">
      <c r="B1007" s="2297"/>
      <c r="C1007" s="2297"/>
      <c r="D1007" s="2297"/>
      <c r="E1007" s="2297"/>
      <c r="F1007" s="2297"/>
      <c r="G1007" s="2297"/>
      <c r="H1007" s="2297"/>
      <c r="I1007" s="2297"/>
      <c r="J1007" s="2297"/>
      <c r="K1007" s="2297"/>
      <c r="L1007" s="2297"/>
      <c r="M1007" s="2297"/>
      <c r="N1007" s="2297"/>
      <c r="O1007" s="2297"/>
      <c r="P1007" s="2297"/>
      <c r="Q1007" s="2297"/>
      <c r="R1007" s="99"/>
      <c r="S1007" s="99"/>
      <c r="T1007" s="99"/>
      <c r="U1007" s="99"/>
      <c r="V1007" s="99"/>
      <c r="AF1007" s="2297"/>
      <c r="AG1007" s="1208"/>
      <c r="AH1007" s="1208"/>
      <c r="AI1007" s="1223"/>
      <c r="AJ1007" s="1223"/>
      <c r="AK1007" s="1223"/>
      <c r="AL1007" s="1223"/>
      <c r="AM1007" s="1223"/>
      <c r="AN1007" s="1223"/>
      <c r="AO1007" s="1208"/>
      <c r="AP1007" s="1223"/>
      <c r="AQ1007" s="1208"/>
      <c r="AR1007" s="1208"/>
      <c r="AS1007" s="1223"/>
      <c r="AT1007" s="1223"/>
      <c r="AU1007" s="1208"/>
      <c r="AV1007" s="1208"/>
      <c r="AW1007" s="2297"/>
      <c r="BE1007" s="1224"/>
      <c r="BF1007" s="1225"/>
      <c r="BR1007" s="1224"/>
      <c r="BS1007" s="1224"/>
    </row>
    <row r="1008" spans="2:71" s="491" customFormat="1">
      <c r="B1008" s="2297"/>
      <c r="C1008" s="2297"/>
      <c r="D1008" s="2297"/>
      <c r="E1008" s="2297"/>
      <c r="F1008" s="2297"/>
      <c r="G1008" s="2297"/>
      <c r="H1008" s="2297"/>
      <c r="I1008" s="2297"/>
      <c r="J1008" s="2297"/>
      <c r="K1008" s="2297"/>
      <c r="L1008" s="2297"/>
      <c r="M1008" s="2297"/>
      <c r="N1008" s="2297"/>
      <c r="O1008" s="2297"/>
      <c r="P1008" s="2297"/>
      <c r="Q1008" s="2297"/>
      <c r="R1008" s="99"/>
      <c r="S1008" s="99"/>
      <c r="T1008" s="99"/>
      <c r="U1008" s="99"/>
      <c r="V1008" s="99"/>
      <c r="AF1008" s="2297"/>
      <c r="AG1008" s="1208"/>
      <c r="AH1008" s="1208"/>
      <c r="AI1008" s="1223"/>
      <c r="AJ1008" s="1223"/>
      <c r="AK1008" s="1223"/>
      <c r="AL1008" s="1223"/>
      <c r="AM1008" s="1223"/>
      <c r="AN1008" s="1223"/>
      <c r="AO1008" s="1208"/>
      <c r="AP1008" s="1223"/>
      <c r="AQ1008" s="1208"/>
      <c r="AR1008" s="1208"/>
      <c r="AS1008" s="1223"/>
      <c r="AT1008" s="1223"/>
      <c r="AU1008" s="1208"/>
      <c r="AV1008" s="1208"/>
      <c r="AW1008" s="2297"/>
      <c r="BE1008" s="1224"/>
      <c r="BF1008" s="1225"/>
      <c r="BR1008" s="1224"/>
      <c r="BS1008" s="1224"/>
    </row>
    <row r="1009" spans="2:71" s="491" customFormat="1">
      <c r="B1009" s="2297"/>
      <c r="C1009" s="2297"/>
      <c r="D1009" s="2297"/>
      <c r="E1009" s="2297"/>
      <c r="F1009" s="2297"/>
      <c r="G1009" s="2297"/>
      <c r="H1009" s="2297"/>
      <c r="I1009" s="2297"/>
      <c r="J1009" s="2297"/>
      <c r="K1009" s="2297"/>
      <c r="L1009" s="2297"/>
      <c r="M1009" s="2297"/>
      <c r="N1009" s="2297"/>
      <c r="O1009" s="2297"/>
      <c r="P1009" s="2297"/>
      <c r="Q1009" s="2297"/>
      <c r="R1009" s="99"/>
      <c r="S1009" s="99"/>
      <c r="T1009" s="99"/>
      <c r="U1009" s="99"/>
      <c r="V1009" s="99"/>
      <c r="AF1009" s="2297"/>
      <c r="AG1009" s="1208"/>
      <c r="AH1009" s="1208"/>
      <c r="AI1009" s="1223"/>
      <c r="AJ1009" s="1223"/>
      <c r="AK1009" s="1223"/>
      <c r="AL1009" s="1223"/>
      <c r="AM1009" s="1223"/>
      <c r="AN1009" s="1223"/>
      <c r="AO1009" s="1208"/>
      <c r="AP1009" s="1223"/>
      <c r="AQ1009" s="1208"/>
      <c r="AR1009" s="1208"/>
      <c r="AS1009" s="1223"/>
      <c r="AT1009" s="1223"/>
      <c r="AU1009" s="1208"/>
      <c r="AV1009" s="1208"/>
      <c r="AW1009" s="2297"/>
      <c r="BE1009" s="1224"/>
      <c r="BF1009" s="1225"/>
      <c r="BR1009" s="1224"/>
      <c r="BS1009" s="1224"/>
    </row>
    <row r="1010" spans="2:71" s="491" customFormat="1">
      <c r="B1010" s="2297"/>
      <c r="C1010" s="2297"/>
      <c r="D1010" s="2297"/>
      <c r="E1010" s="2297"/>
      <c r="F1010" s="2297"/>
      <c r="G1010" s="2297"/>
      <c r="H1010" s="2297"/>
      <c r="I1010" s="2297"/>
      <c r="J1010" s="2297"/>
      <c r="K1010" s="2297"/>
      <c r="L1010" s="2297"/>
      <c r="M1010" s="2297"/>
      <c r="N1010" s="2297"/>
      <c r="O1010" s="2297"/>
      <c r="P1010" s="2297"/>
      <c r="Q1010" s="2297"/>
      <c r="R1010" s="99"/>
      <c r="S1010" s="99"/>
      <c r="T1010" s="99"/>
      <c r="U1010" s="99"/>
      <c r="V1010" s="99"/>
      <c r="AF1010" s="2297"/>
      <c r="AG1010" s="1208"/>
      <c r="AH1010" s="1208"/>
      <c r="AI1010" s="1223"/>
      <c r="AJ1010" s="1223"/>
      <c r="AK1010" s="1223"/>
      <c r="AL1010" s="1223"/>
      <c r="AM1010" s="1223"/>
      <c r="AN1010" s="1223"/>
      <c r="AO1010" s="1208"/>
      <c r="AP1010" s="1223"/>
      <c r="AQ1010" s="1208"/>
      <c r="AR1010" s="1208"/>
      <c r="AS1010" s="1223"/>
      <c r="AT1010" s="1223"/>
      <c r="AU1010" s="1208"/>
      <c r="AV1010" s="1208"/>
      <c r="AW1010" s="2297"/>
      <c r="BE1010" s="1224"/>
      <c r="BF1010" s="1225"/>
      <c r="BR1010" s="1224"/>
      <c r="BS1010" s="1224"/>
    </row>
    <row r="1011" spans="2:71" s="491" customFormat="1">
      <c r="B1011" s="2297"/>
      <c r="C1011" s="2297"/>
      <c r="D1011" s="2297"/>
      <c r="E1011" s="2297"/>
      <c r="F1011" s="2297"/>
      <c r="G1011" s="2297"/>
      <c r="H1011" s="2297"/>
      <c r="I1011" s="2297"/>
      <c r="J1011" s="2297"/>
      <c r="K1011" s="2297"/>
      <c r="L1011" s="2297"/>
      <c r="M1011" s="2297"/>
      <c r="N1011" s="2297"/>
      <c r="O1011" s="2297"/>
      <c r="P1011" s="2297"/>
      <c r="Q1011" s="2297"/>
      <c r="R1011" s="99"/>
      <c r="S1011" s="99"/>
      <c r="T1011" s="99"/>
      <c r="U1011" s="99"/>
      <c r="V1011" s="99"/>
      <c r="AF1011" s="2297"/>
      <c r="AG1011" s="1208"/>
      <c r="AH1011" s="1208"/>
      <c r="AI1011" s="1223"/>
      <c r="AJ1011" s="1223"/>
      <c r="AK1011" s="1223"/>
      <c r="AL1011" s="1223"/>
      <c r="AM1011" s="1223"/>
      <c r="AN1011" s="1223"/>
      <c r="AO1011" s="1208"/>
      <c r="AP1011" s="1223"/>
      <c r="AQ1011" s="1208"/>
      <c r="AR1011" s="1208"/>
      <c r="AS1011" s="1223"/>
      <c r="AT1011" s="1223"/>
      <c r="AU1011" s="1208"/>
      <c r="AV1011" s="1208"/>
      <c r="AW1011" s="2297"/>
      <c r="BE1011" s="1224"/>
      <c r="BF1011" s="1225"/>
      <c r="BR1011" s="1224"/>
      <c r="BS1011" s="1224"/>
    </row>
    <row r="1012" spans="2:71" s="491" customFormat="1">
      <c r="B1012" s="2297"/>
      <c r="C1012" s="2297"/>
      <c r="D1012" s="2297"/>
      <c r="E1012" s="2297"/>
      <c r="F1012" s="2297"/>
      <c r="G1012" s="2297"/>
      <c r="H1012" s="2297"/>
      <c r="I1012" s="2297"/>
      <c r="J1012" s="2297"/>
      <c r="K1012" s="2297"/>
      <c r="L1012" s="2297"/>
      <c r="M1012" s="2297"/>
      <c r="N1012" s="2297"/>
      <c r="O1012" s="2297"/>
      <c r="P1012" s="2297"/>
      <c r="Q1012" s="2297"/>
      <c r="R1012" s="99"/>
      <c r="S1012" s="99"/>
      <c r="T1012" s="99"/>
      <c r="U1012" s="99"/>
      <c r="V1012" s="99"/>
      <c r="AF1012" s="2297"/>
      <c r="AG1012" s="1208"/>
      <c r="AH1012" s="1208"/>
      <c r="AI1012" s="1223"/>
      <c r="AJ1012" s="1223"/>
      <c r="AK1012" s="1223"/>
      <c r="AL1012" s="1223"/>
      <c r="AM1012" s="1223"/>
      <c r="AN1012" s="1223"/>
      <c r="AO1012" s="1208"/>
      <c r="AP1012" s="1223"/>
      <c r="AQ1012" s="1208"/>
      <c r="AR1012" s="1208"/>
      <c r="AS1012" s="1223"/>
      <c r="AT1012" s="1223"/>
      <c r="AU1012" s="1208"/>
      <c r="AV1012" s="1208"/>
      <c r="AW1012" s="2297"/>
      <c r="BE1012" s="1224"/>
      <c r="BF1012" s="1225"/>
      <c r="BR1012" s="1224"/>
      <c r="BS1012" s="1224"/>
    </row>
    <row r="1013" spans="2:71" s="491" customFormat="1">
      <c r="B1013" s="2297"/>
      <c r="C1013" s="2297"/>
      <c r="D1013" s="2297"/>
      <c r="E1013" s="2297"/>
      <c r="F1013" s="2297"/>
      <c r="G1013" s="2297"/>
      <c r="H1013" s="2297"/>
      <c r="I1013" s="2297"/>
      <c r="J1013" s="2297"/>
      <c r="K1013" s="2297"/>
      <c r="L1013" s="2297"/>
      <c r="M1013" s="2297"/>
      <c r="N1013" s="2297"/>
      <c r="O1013" s="2297"/>
      <c r="P1013" s="2297"/>
      <c r="Q1013" s="2297"/>
      <c r="R1013" s="99"/>
      <c r="S1013" s="99"/>
      <c r="T1013" s="99"/>
      <c r="U1013" s="99"/>
      <c r="V1013" s="99"/>
      <c r="AF1013" s="2297"/>
      <c r="AG1013" s="1208"/>
      <c r="AH1013" s="1208"/>
      <c r="AI1013" s="1223"/>
      <c r="AJ1013" s="1223"/>
      <c r="AK1013" s="1223"/>
      <c r="AL1013" s="1223"/>
      <c r="AM1013" s="1223"/>
      <c r="AN1013" s="1223"/>
      <c r="AO1013" s="1208"/>
      <c r="AP1013" s="1223"/>
      <c r="AQ1013" s="1208"/>
      <c r="AR1013" s="1208"/>
      <c r="AS1013" s="1223"/>
      <c r="AT1013" s="1223"/>
      <c r="AU1013" s="1208"/>
      <c r="AV1013" s="1208"/>
      <c r="AW1013" s="2297"/>
      <c r="BE1013" s="1224"/>
      <c r="BF1013" s="1225"/>
      <c r="BR1013" s="1224"/>
      <c r="BS1013" s="1224"/>
    </row>
    <row r="1014" spans="2:71" s="491" customFormat="1">
      <c r="B1014" s="2297"/>
      <c r="C1014" s="2297"/>
      <c r="D1014" s="2297"/>
      <c r="E1014" s="2297"/>
      <c r="F1014" s="2297"/>
      <c r="G1014" s="2297"/>
      <c r="H1014" s="2297"/>
      <c r="I1014" s="2297"/>
      <c r="J1014" s="2297"/>
      <c r="K1014" s="2297"/>
      <c r="L1014" s="2297"/>
      <c r="M1014" s="2297"/>
      <c r="N1014" s="2297"/>
      <c r="O1014" s="2297"/>
      <c r="P1014" s="2297"/>
      <c r="Q1014" s="2297"/>
      <c r="R1014" s="99"/>
      <c r="S1014" s="99"/>
      <c r="T1014" s="99"/>
      <c r="U1014" s="99"/>
      <c r="V1014" s="99"/>
      <c r="AF1014" s="2297"/>
      <c r="AG1014" s="1208"/>
      <c r="AH1014" s="1208"/>
      <c r="AI1014" s="1223"/>
      <c r="AJ1014" s="1223"/>
      <c r="AK1014" s="1223"/>
      <c r="AL1014" s="1223"/>
      <c r="AM1014" s="1223"/>
      <c r="AN1014" s="1223"/>
      <c r="AO1014" s="1208"/>
      <c r="AP1014" s="1223"/>
      <c r="AQ1014" s="1208"/>
      <c r="AR1014" s="1208"/>
      <c r="AS1014" s="1223"/>
      <c r="AT1014" s="1223"/>
      <c r="AU1014" s="1208"/>
      <c r="AV1014" s="1208"/>
      <c r="AW1014" s="2297"/>
      <c r="BE1014" s="1224"/>
      <c r="BF1014" s="1225"/>
      <c r="BR1014" s="1224"/>
      <c r="BS1014" s="1224"/>
    </row>
    <row r="1015" spans="2:71" s="491" customFormat="1">
      <c r="B1015" s="2297"/>
      <c r="C1015" s="2297"/>
      <c r="D1015" s="2297"/>
      <c r="E1015" s="2297"/>
      <c r="F1015" s="2297"/>
      <c r="G1015" s="2297"/>
      <c r="H1015" s="2297"/>
      <c r="I1015" s="2297"/>
      <c r="J1015" s="2297"/>
      <c r="K1015" s="2297"/>
      <c r="L1015" s="2297"/>
      <c r="M1015" s="2297"/>
      <c r="N1015" s="2297"/>
      <c r="O1015" s="2297"/>
      <c r="P1015" s="2297"/>
      <c r="Q1015" s="2297"/>
      <c r="R1015" s="99"/>
      <c r="S1015" s="99"/>
      <c r="T1015" s="99"/>
      <c r="U1015" s="99"/>
      <c r="V1015" s="99"/>
      <c r="AF1015" s="2297"/>
      <c r="AG1015" s="1208"/>
      <c r="AH1015" s="1208"/>
      <c r="AI1015" s="1223"/>
      <c r="AJ1015" s="1223"/>
      <c r="AK1015" s="1223"/>
      <c r="AL1015" s="1223"/>
      <c r="AM1015" s="1223"/>
      <c r="AN1015" s="1223"/>
      <c r="AO1015" s="1208"/>
      <c r="AP1015" s="1223"/>
      <c r="AQ1015" s="1208"/>
      <c r="AR1015" s="1208"/>
      <c r="AS1015" s="1223"/>
      <c r="AT1015" s="1223"/>
      <c r="AU1015" s="1208"/>
      <c r="AV1015" s="1208"/>
      <c r="AW1015" s="2297"/>
      <c r="BE1015" s="1224"/>
      <c r="BF1015" s="1225"/>
      <c r="BR1015" s="1224"/>
      <c r="BS1015" s="1224"/>
    </row>
  </sheetData>
  <mergeCells count="31">
    <mergeCell ref="H43:K43"/>
    <mergeCell ref="H44:K44"/>
    <mergeCell ref="H45:K45"/>
    <mergeCell ref="W32:AE34"/>
    <mergeCell ref="W38:AE40"/>
    <mergeCell ref="AF38:AV40"/>
    <mergeCell ref="AW38:BI40"/>
    <mergeCell ref="BJ38:BU40"/>
    <mergeCell ref="G42:K42"/>
    <mergeCell ref="BJ21:BU23"/>
    <mergeCell ref="AF32:AV34"/>
    <mergeCell ref="AW32:BI34"/>
    <mergeCell ref="BJ32:BU34"/>
    <mergeCell ref="A33:Q35"/>
    <mergeCell ref="A25:Q27"/>
    <mergeCell ref="A3:Q3"/>
    <mergeCell ref="W3:AE3"/>
    <mergeCell ref="AF3:AV3"/>
    <mergeCell ref="AW3:BI3"/>
    <mergeCell ref="A17:Q19"/>
    <mergeCell ref="W21:AE23"/>
    <mergeCell ref="AF21:AV23"/>
    <mergeCell ref="AW21:BI23"/>
    <mergeCell ref="BW1:BW2"/>
    <mergeCell ref="BJ3:BU3"/>
    <mergeCell ref="A9:Q11"/>
    <mergeCell ref="A1:Q1"/>
    <mergeCell ref="W1:AE1"/>
    <mergeCell ref="AF1:AV1"/>
    <mergeCell ref="AW1:BI1"/>
    <mergeCell ref="BJ1:BU1"/>
  </mergeCells>
  <pageMargins left="0.25" right="0.25" top="0.75" bottom="0.75" header="0.3" footer="0.3"/>
  <pageSetup paperSize="17" scale="9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I38"/>
  <sheetViews>
    <sheetView zoomScale="85" zoomScaleNormal="85" workbookViewId="0">
      <selection activeCell="Q5" sqref="Q5"/>
    </sheetView>
  </sheetViews>
  <sheetFormatPr defaultRowHeight="15"/>
  <cols>
    <col min="1" max="1" width="34.5703125" style="1118" bestFit="1" customWidth="1"/>
    <col min="2" max="2" width="12.5703125" style="1118" customWidth="1"/>
    <col min="3" max="3" width="9.42578125" style="1118" customWidth="1"/>
    <col min="4" max="4" width="9.28515625" style="1118" bestFit="1" customWidth="1"/>
    <col min="5" max="5" width="10.28515625" style="1118" bestFit="1" customWidth="1"/>
    <col min="6" max="10" width="9.28515625" style="1118" bestFit="1" customWidth="1"/>
    <col min="11" max="11" width="10.5703125" style="1118" bestFit="1" customWidth="1"/>
    <col min="12" max="12" width="9.28515625" style="1118" bestFit="1" customWidth="1"/>
    <col min="13" max="13" width="11.140625" style="1118" customWidth="1"/>
    <col min="14" max="14" width="9.28515625" style="1118" bestFit="1" customWidth="1"/>
    <col min="15" max="15" width="10.85546875" style="1118" bestFit="1" customWidth="1"/>
    <col min="16" max="16" width="9.28515625" style="1118" bestFit="1" customWidth="1"/>
    <col min="17" max="20" width="11.85546875" style="1118" bestFit="1" customWidth="1"/>
    <col min="21" max="21" width="2.85546875" style="1118" bestFit="1" customWidth="1"/>
    <col min="22" max="23" width="9.140625" style="1118"/>
    <col min="24" max="28" width="11.7109375" style="1118" customWidth="1"/>
    <col min="29" max="30" width="9.140625" style="1118"/>
    <col min="31" max="31" width="11.7109375" style="1118" customWidth="1"/>
    <col min="32" max="32" width="12.5703125" style="1118" customWidth="1"/>
    <col min="33" max="37" width="9.140625" style="1118"/>
    <col min="38" max="38" width="12.28515625" style="1118" customWidth="1"/>
    <col min="39" max="39" width="9.140625" style="1118"/>
    <col min="40" max="40" width="38" style="1118" bestFit="1" customWidth="1"/>
    <col min="41" max="41" width="4.42578125" style="1118" bestFit="1" customWidth="1"/>
    <col min="42" max="42" width="12.5703125" style="1118" customWidth="1"/>
    <col min="43" max="43" width="12.28515625" style="1118" customWidth="1"/>
    <col min="44" max="44" width="9.140625" style="1118"/>
    <col min="45" max="45" width="10.140625" style="1118" customWidth="1"/>
    <col min="46" max="46" width="13.140625" style="1118" customWidth="1"/>
    <col min="47" max="47" width="11.42578125" style="1118" customWidth="1"/>
    <col min="48" max="48" width="9.140625" style="1118"/>
    <col min="49" max="49" width="4.42578125" style="1118" bestFit="1" customWidth="1"/>
    <col min="50" max="50" width="12.140625" style="1118" bestFit="1" customWidth="1"/>
    <col min="51" max="51" width="13.140625" style="1118" customWidth="1"/>
    <col min="52" max="52" width="11.28515625" style="1118" customWidth="1"/>
    <col min="53" max="53" width="9.140625" style="1118"/>
    <col min="54" max="54" width="11.28515625" style="1118" bestFit="1" customWidth="1"/>
    <col min="55" max="56" width="11.5703125" style="1118" customWidth="1"/>
    <col min="57" max="57" width="10.28515625" style="1118" customWidth="1"/>
    <col min="58" max="58" width="11.42578125" style="1118" customWidth="1"/>
    <col min="59" max="59" width="13.7109375" style="1118" customWidth="1"/>
    <col min="60" max="16384" width="9.140625" style="1118"/>
  </cols>
  <sheetData>
    <row r="1" spans="1:61" s="1233" customFormat="1" ht="41.25" customHeight="1" thickBot="1">
      <c r="A1" s="2848" t="s">
        <v>974</v>
      </c>
      <c r="B1" s="2849"/>
      <c r="C1" s="2849"/>
      <c r="D1" s="2849"/>
      <c r="E1" s="2849"/>
      <c r="F1" s="2849"/>
      <c r="G1" s="2849"/>
      <c r="H1" s="2849"/>
      <c r="I1" s="2849"/>
      <c r="J1" s="2849"/>
      <c r="K1" s="2849"/>
      <c r="L1" s="2849"/>
      <c r="M1" s="2849"/>
      <c r="N1" s="2849"/>
      <c r="O1" s="2849"/>
      <c r="P1" s="2849"/>
      <c r="Q1" s="2546"/>
      <c r="R1" s="2546"/>
      <c r="S1" s="2546"/>
      <c r="T1" s="2546"/>
      <c r="U1" s="2546"/>
      <c r="V1" s="2850" t="s">
        <v>923</v>
      </c>
      <c r="W1" s="2850"/>
      <c r="X1" s="2850"/>
      <c r="Y1" s="2850"/>
      <c r="Z1" s="2850"/>
      <c r="AA1" s="2850"/>
      <c r="AB1" s="2850"/>
      <c r="AC1" s="2851"/>
      <c r="AD1" s="2852" t="s">
        <v>610</v>
      </c>
      <c r="AE1" s="2853"/>
      <c r="AF1" s="2853"/>
      <c r="AG1" s="2853"/>
      <c r="AH1" s="2853"/>
      <c r="AI1" s="2853"/>
      <c r="AJ1" s="2853"/>
      <c r="AK1" s="2853"/>
      <c r="AL1" s="2853"/>
      <c r="AM1" s="2853"/>
      <c r="AN1" s="2854"/>
      <c r="AO1" s="2308"/>
      <c r="AP1" s="2855" t="s">
        <v>975</v>
      </c>
      <c r="AQ1" s="2856"/>
      <c r="AR1" s="2856"/>
      <c r="AS1" s="2856"/>
      <c r="AT1" s="2856"/>
      <c r="AU1" s="2856"/>
      <c r="AV1" s="2857"/>
      <c r="AW1" s="2309"/>
      <c r="AX1" s="2858" t="s">
        <v>925</v>
      </c>
      <c r="AY1" s="2859"/>
      <c r="AZ1" s="2859"/>
      <c r="BA1" s="2859"/>
      <c r="BB1" s="2859"/>
      <c r="BC1" s="2859"/>
      <c r="BD1" s="2859"/>
      <c r="BE1" s="2859"/>
      <c r="BF1" s="2859"/>
      <c r="BG1" s="2859"/>
      <c r="BH1" s="2860"/>
      <c r="BI1" s="1232"/>
    </row>
    <row r="2" spans="1:61" s="1233" customFormat="1" ht="45.75" thickBot="1">
      <c r="A2" s="1234"/>
      <c r="B2" s="2301" t="s">
        <v>747</v>
      </c>
      <c r="C2" s="2301" t="s">
        <v>637</v>
      </c>
      <c r="D2" s="2301" t="s">
        <v>903</v>
      </c>
      <c r="E2" s="2301" t="s">
        <v>884</v>
      </c>
      <c r="F2" s="2301" t="s">
        <v>928</v>
      </c>
      <c r="G2" s="2301" t="s">
        <v>717</v>
      </c>
      <c r="H2" s="2301" t="s">
        <v>929</v>
      </c>
      <c r="I2" s="2301" t="s">
        <v>930</v>
      </c>
      <c r="J2" s="2301" t="s">
        <v>931</v>
      </c>
      <c r="K2" s="2301" t="s">
        <v>744</v>
      </c>
      <c r="L2" s="2301" t="s">
        <v>932</v>
      </c>
      <c r="M2" s="2301" t="s">
        <v>933</v>
      </c>
      <c r="N2" s="2301" t="s">
        <v>934</v>
      </c>
      <c r="O2" s="2301" t="s">
        <v>731</v>
      </c>
      <c r="P2" s="2301" t="s">
        <v>935</v>
      </c>
      <c r="Q2" s="2554">
        <v>1</v>
      </c>
      <c r="R2" s="2554">
        <v>2</v>
      </c>
      <c r="S2" s="2554">
        <v>3</v>
      </c>
      <c r="T2" s="2554">
        <v>4</v>
      </c>
      <c r="U2" s="2554">
        <v>5</v>
      </c>
      <c r="V2" s="1236" t="s">
        <v>976</v>
      </c>
      <c r="W2" s="1236" t="s">
        <v>936</v>
      </c>
      <c r="X2" s="1236" t="s">
        <v>937</v>
      </c>
      <c r="Y2" s="1236"/>
      <c r="Z2" s="1236"/>
      <c r="AA2" s="1236"/>
      <c r="AB2" s="1236"/>
      <c r="AC2" s="1237" t="s">
        <v>617</v>
      </c>
      <c r="AD2" s="1235" t="s">
        <v>939</v>
      </c>
      <c r="AE2" s="1238" t="s">
        <v>977</v>
      </c>
      <c r="AF2" s="1238" t="s">
        <v>978</v>
      </c>
      <c r="AG2" s="1239" t="s">
        <v>979</v>
      </c>
      <c r="AH2" s="1239" t="s">
        <v>980</v>
      </c>
      <c r="AI2" s="1239" t="s">
        <v>981</v>
      </c>
      <c r="AJ2" s="1239" t="s">
        <v>982</v>
      </c>
      <c r="AK2" s="1239" t="s">
        <v>983</v>
      </c>
      <c r="AL2" s="1239" t="s">
        <v>984</v>
      </c>
      <c r="AM2" s="1238" t="s">
        <v>985</v>
      </c>
      <c r="AN2" s="1240" t="s">
        <v>986</v>
      </c>
      <c r="AO2" s="1235" t="s">
        <v>976</v>
      </c>
      <c r="AP2" s="1241" t="s">
        <v>977</v>
      </c>
      <c r="AQ2" s="1238" t="s">
        <v>978</v>
      </c>
      <c r="AR2" s="1239" t="s">
        <v>979</v>
      </c>
      <c r="AS2" s="1239" t="s">
        <v>987</v>
      </c>
      <c r="AT2" s="1242" t="s">
        <v>988</v>
      </c>
      <c r="AU2" s="1238" t="s">
        <v>985</v>
      </c>
      <c r="AV2" s="1243" t="s">
        <v>989</v>
      </c>
      <c r="AW2" s="1235" t="s">
        <v>976</v>
      </c>
      <c r="AX2" s="1244" t="s">
        <v>990</v>
      </c>
      <c r="AY2" s="1238" t="s">
        <v>977</v>
      </c>
      <c r="AZ2" s="1238" t="s">
        <v>978</v>
      </c>
      <c r="BA2" s="1239" t="s">
        <v>979</v>
      </c>
      <c r="BB2" s="1239" t="s">
        <v>991</v>
      </c>
      <c r="BC2" s="1245" t="s">
        <v>992</v>
      </c>
      <c r="BD2" s="1242" t="s">
        <v>988</v>
      </c>
      <c r="BE2" s="1246" t="s">
        <v>993</v>
      </c>
      <c r="BF2" s="1246" t="s">
        <v>822</v>
      </c>
      <c r="BG2" s="1246" t="s">
        <v>985</v>
      </c>
      <c r="BH2" s="1243" t="s">
        <v>989</v>
      </c>
      <c r="BI2" s="1247" t="s">
        <v>944</v>
      </c>
    </row>
    <row r="3" spans="1:61" ht="15" customHeight="1">
      <c r="A3" s="2861" t="s">
        <v>945</v>
      </c>
      <c r="B3" s="2862"/>
      <c r="C3" s="2862"/>
      <c r="D3" s="2862"/>
      <c r="E3" s="2862"/>
      <c r="F3" s="2862"/>
      <c r="G3" s="2862"/>
      <c r="H3" s="2862"/>
      <c r="I3" s="2862"/>
      <c r="J3" s="2862"/>
      <c r="K3" s="2862"/>
      <c r="L3" s="2862"/>
      <c r="M3" s="2862"/>
      <c r="N3" s="2862"/>
      <c r="O3" s="2862"/>
      <c r="P3" s="2862"/>
      <c r="Q3" s="2549"/>
      <c r="R3" s="2549"/>
      <c r="S3" s="2549"/>
      <c r="T3" s="2549"/>
      <c r="U3" s="2549"/>
      <c r="V3" s="2843" t="s">
        <v>994</v>
      </c>
      <c r="W3" s="2843"/>
      <c r="X3" s="2843"/>
      <c r="Y3" s="2843"/>
      <c r="Z3" s="2843"/>
      <c r="AA3" s="2843"/>
      <c r="AB3" s="2843"/>
      <c r="AC3" s="2844"/>
      <c r="AD3" s="2842" t="s">
        <v>994</v>
      </c>
      <c r="AE3" s="2843"/>
      <c r="AF3" s="2843"/>
      <c r="AG3" s="2843"/>
      <c r="AH3" s="2843"/>
      <c r="AI3" s="2843"/>
      <c r="AJ3" s="2843"/>
      <c r="AK3" s="2843"/>
      <c r="AL3" s="2843"/>
      <c r="AM3" s="2843"/>
      <c r="AN3" s="2844"/>
      <c r="AO3" s="2306"/>
      <c r="AP3" s="2842" t="s">
        <v>994</v>
      </c>
      <c r="AQ3" s="2843"/>
      <c r="AR3" s="2843"/>
      <c r="AS3" s="2843"/>
      <c r="AT3" s="2843"/>
      <c r="AU3" s="2843"/>
      <c r="AV3" s="2844"/>
      <c r="AW3" s="2306"/>
      <c r="AX3" s="2842" t="s">
        <v>994</v>
      </c>
      <c r="AY3" s="2843"/>
      <c r="AZ3" s="2843"/>
      <c r="BA3" s="2843"/>
      <c r="BB3" s="2843"/>
      <c r="BC3" s="2843"/>
      <c r="BD3" s="2843"/>
      <c r="BE3" s="2843"/>
      <c r="BF3" s="2843"/>
      <c r="BG3" s="2843"/>
      <c r="BH3" s="2844"/>
      <c r="BI3" s="1248"/>
    </row>
    <row r="4" spans="1:61" ht="15.75" thickBot="1">
      <c r="A4" s="2863"/>
      <c r="B4" s="2864"/>
      <c r="C4" s="2864"/>
      <c r="D4" s="2864"/>
      <c r="E4" s="2864"/>
      <c r="F4" s="2864"/>
      <c r="G4" s="2864"/>
      <c r="H4" s="2864"/>
      <c r="I4" s="2864"/>
      <c r="J4" s="2864"/>
      <c r="K4" s="2864"/>
      <c r="L4" s="2864"/>
      <c r="M4" s="2864"/>
      <c r="N4" s="2864"/>
      <c r="O4" s="2864"/>
      <c r="P4" s="2864"/>
      <c r="Q4" s="2549"/>
      <c r="R4" s="2549"/>
      <c r="S4" s="2549"/>
      <c r="T4" s="2549"/>
      <c r="U4" s="2549"/>
      <c r="V4" s="2846"/>
      <c r="W4" s="2846"/>
      <c r="X4" s="2846"/>
      <c r="Y4" s="2846"/>
      <c r="Z4" s="2846"/>
      <c r="AA4" s="2846"/>
      <c r="AB4" s="2846"/>
      <c r="AC4" s="2847"/>
      <c r="AD4" s="2845"/>
      <c r="AE4" s="2846"/>
      <c r="AF4" s="2846"/>
      <c r="AG4" s="2846"/>
      <c r="AH4" s="2846"/>
      <c r="AI4" s="2846"/>
      <c r="AJ4" s="2846"/>
      <c r="AK4" s="2846"/>
      <c r="AL4" s="2846"/>
      <c r="AM4" s="2846"/>
      <c r="AN4" s="2847"/>
      <c r="AO4" s="2307"/>
      <c r="AP4" s="2845"/>
      <c r="AQ4" s="2846"/>
      <c r="AR4" s="2846"/>
      <c r="AS4" s="2846"/>
      <c r="AT4" s="2846"/>
      <c r="AU4" s="2846"/>
      <c r="AV4" s="2847"/>
      <c r="AW4" s="2307"/>
      <c r="AX4" s="2845"/>
      <c r="AY4" s="2846"/>
      <c r="AZ4" s="2846"/>
      <c r="BA4" s="2846"/>
      <c r="BB4" s="2846"/>
      <c r="BC4" s="2846"/>
      <c r="BD4" s="2846"/>
      <c r="BE4" s="2846"/>
      <c r="BF4" s="2846"/>
      <c r="BG4" s="2846"/>
      <c r="BH4" s="2847"/>
      <c r="BI4" s="1248"/>
    </row>
    <row r="5" spans="1:61">
      <c r="A5" s="1249" t="s">
        <v>610</v>
      </c>
      <c r="B5" s="2248">
        <f>SUM(B12,B19)</f>
        <v>182754</v>
      </c>
      <c r="C5" s="2248">
        <f t="shared" ref="C5:P7" si="0">SUM(C12,C19)</f>
        <v>67141</v>
      </c>
      <c r="D5" s="2248">
        <f t="shared" si="0"/>
        <v>23801</v>
      </c>
      <c r="E5" s="2248">
        <f t="shared" si="0"/>
        <v>0</v>
      </c>
      <c r="F5" s="2248">
        <f t="shared" si="0"/>
        <v>16414</v>
      </c>
      <c r="G5" s="2248">
        <f t="shared" si="0"/>
        <v>24591</v>
      </c>
      <c r="H5" s="2248">
        <f t="shared" si="0"/>
        <v>4657</v>
      </c>
      <c r="I5" s="2248">
        <f t="shared" si="0"/>
        <v>46150</v>
      </c>
      <c r="J5" s="2248">
        <f t="shared" si="0"/>
        <v>0</v>
      </c>
      <c r="K5" s="2248">
        <f t="shared" si="0"/>
        <v>12667</v>
      </c>
      <c r="L5" s="2248">
        <f t="shared" si="0"/>
        <v>16</v>
      </c>
      <c r="M5" s="2248">
        <f t="shared" si="0"/>
        <v>0</v>
      </c>
      <c r="N5" s="2248">
        <f t="shared" si="0"/>
        <v>16</v>
      </c>
      <c r="O5" s="2248">
        <f t="shared" si="0"/>
        <v>0</v>
      </c>
      <c r="P5" s="2248">
        <f t="shared" si="0"/>
        <v>0</v>
      </c>
      <c r="Q5" s="2551" t="str">
        <f>IF(X5="",,5&amp;IF(LEN($W5)=1,"0000"&amp;$W5,IF(LEN($W5)=2,"000"&amp;$W5,IF(LEN($W5)=3,"00"&amp;$W5,IF(LEN($W5)=4,"0"&amp;$W5,IF(LEN($W5)=5,$W5,0)))))&amp;IF(LEN(X5)=1,"000"&amp;X5,IF(LEN(X5)=2,"00"&amp;X5,IF(LEN(X5)=3,"0"&amp;X5,IF(LEN(X5)=4,X5,0)))))</f>
        <v>5004870042</v>
      </c>
      <c r="R5" s="2551">
        <f t="shared" ref="R5:R23" si="1">IF(Y5="",,5&amp;IF(LEN($W5)=1,"0000"&amp;$W5,IF(LEN($W5)=2,"000"&amp;$W5,IF(LEN($W5)=3,"00"&amp;$W5,IF(LEN($W5)=4,"0"&amp;$W5,IF(LEN($W5)=5,$W5,0)))))&amp;IF(LEN(Y5)=1,"000"&amp;Y5,IF(LEN(Y5)=2,"00"&amp;Y5,IF(LEN(Y5)=3,"0"&amp;Y5,IF(LEN(Y5)=4,Y5,0)))))</f>
        <v>0</v>
      </c>
      <c r="S5" s="2551">
        <f t="shared" ref="S5:S23" si="2">IF(Z5="",,5&amp;IF(LEN($W5)=1,"0000"&amp;$W5,IF(LEN($W5)=2,"000"&amp;$W5,IF(LEN($W5)=3,"00"&amp;$W5,IF(LEN($W5)=4,"0"&amp;$W5,IF(LEN($W5)=5,$W5,0)))))&amp;IF(LEN(Z5)=1,"000"&amp;Z5,IF(LEN(Z5)=2,"00"&amp;Z5,IF(LEN(Z5)=3,"0"&amp;Z5,IF(LEN(Z5)=4,Z5,0)))))</f>
        <v>0</v>
      </c>
      <c r="T5" s="2551">
        <f t="shared" ref="T5:T23" si="3">IF(AA5="",,5&amp;IF(LEN($W5)=1,"0000"&amp;$W5,IF(LEN($W5)=2,"000"&amp;$W5,IF(LEN($W5)=3,"00"&amp;$W5,IF(LEN($W5)=4,"0"&amp;$W5,IF(LEN($W5)=5,$W5,0)))))&amp;IF(LEN(AA5)=1,"000"&amp;AA5,IF(LEN(AA5)=2,"00"&amp;AA5,IF(LEN(AA5)=3,"0"&amp;AA5,IF(LEN(AA5)=4,AA5,0)))))</f>
        <v>0</v>
      </c>
      <c r="U5" s="2551">
        <f t="shared" ref="U5:U23" si="4">IF(AB5="",,5&amp;IF(LEN($W5)=1,"0000"&amp;$W5,IF(LEN($W5)=2,"000"&amp;$W5,IF(LEN($W5)=3,"00"&amp;$W5,IF(LEN($W5)=4,"0"&amp;$W5,IF(LEN($W5)=5,$W5,0)))))&amp;IF(LEN(AB5)=1,"000"&amp;AB5,IF(LEN(AB5)=2,"00"&amp;AB5,IF(LEN(AB5)=3,"0"&amp;AB5,IF(LEN(AB5)=4,AB5,0)))))</f>
        <v>0</v>
      </c>
      <c r="V5" s="1251" t="s">
        <v>967</v>
      </c>
      <c r="W5" s="1251">
        <v>487</v>
      </c>
      <c r="X5" s="1251">
        <v>42</v>
      </c>
      <c r="Y5" s="1251"/>
      <c r="Z5" s="1251"/>
      <c r="AA5" s="1251"/>
      <c r="AB5" s="1251"/>
      <c r="AC5" s="1252">
        <v>7940</v>
      </c>
      <c r="AD5" s="1173" t="s">
        <v>947</v>
      </c>
      <c r="AE5" s="1173" t="s">
        <v>952</v>
      </c>
      <c r="AF5" s="1173">
        <v>800</v>
      </c>
      <c r="AG5" s="1253"/>
      <c r="AH5" s="1253">
        <v>800</v>
      </c>
      <c r="AI5" s="1253"/>
      <c r="AJ5" s="1253"/>
      <c r="AK5" s="1253"/>
      <c r="AL5" s="1253"/>
      <c r="AM5" s="1173"/>
      <c r="AN5" s="1173" t="s">
        <v>995</v>
      </c>
      <c r="AO5" s="1250" t="s">
        <v>967</v>
      </c>
      <c r="AP5" s="1254">
        <v>0</v>
      </c>
      <c r="AQ5" s="1255">
        <v>800</v>
      </c>
      <c r="AR5" s="1256"/>
      <c r="AS5" s="1256">
        <v>800</v>
      </c>
      <c r="AT5" s="1255"/>
      <c r="AU5" s="1255">
        <v>0</v>
      </c>
      <c r="AV5" s="1252"/>
      <c r="AW5" s="1250" t="s">
        <v>967</v>
      </c>
      <c r="AX5" s="1254" t="s">
        <v>996</v>
      </c>
      <c r="AY5" s="1199">
        <v>0</v>
      </c>
      <c r="AZ5" s="1199">
        <v>26202</v>
      </c>
      <c r="BA5" s="1206">
        <v>21202</v>
      </c>
      <c r="BB5" s="1206">
        <v>5000</v>
      </c>
      <c r="BC5" s="1206"/>
      <c r="BD5" s="1199"/>
      <c r="BE5" s="1206">
        <v>0</v>
      </c>
      <c r="BF5" s="1206">
        <v>0</v>
      </c>
      <c r="BG5" s="1257">
        <v>0</v>
      </c>
      <c r="BH5" s="1258">
        <v>0</v>
      </c>
      <c r="BI5" s="1259">
        <v>125</v>
      </c>
    </row>
    <row r="6" spans="1:61">
      <c r="A6" s="1260" t="s">
        <v>924</v>
      </c>
      <c r="B6" s="1261">
        <f>SUM(B13,B20)</f>
        <v>176354</v>
      </c>
      <c r="C6" s="1261">
        <f t="shared" si="0"/>
        <v>116188</v>
      </c>
      <c r="D6" s="1261">
        <f t="shared" si="0"/>
        <v>12600</v>
      </c>
      <c r="E6" s="1261">
        <f t="shared" si="0"/>
        <v>0</v>
      </c>
      <c r="F6" s="1261">
        <f t="shared" si="0"/>
        <v>0</v>
      </c>
      <c r="G6" s="1261">
        <f t="shared" si="0"/>
        <v>0</v>
      </c>
      <c r="H6" s="1261">
        <f t="shared" si="0"/>
        <v>0</v>
      </c>
      <c r="I6" s="1261">
        <f t="shared" si="0"/>
        <v>0</v>
      </c>
      <c r="J6" s="1261">
        <f t="shared" si="0"/>
        <v>0</v>
      </c>
      <c r="K6" s="1261">
        <f t="shared" si="0"/>
        <v>12667</v>
      </c>
      <c r="L6" s="1261">
        <f t="shared" si="0"/>
        <v>16</v>
      </c>
      <c r="M6" s="1261">
        <f t="shared" si="0"/>
        <v>0</v>
      </c>
      <c r="N6" s="1261">
        <f t="shared" si="0"/>
        <v>16</v>
      </c>
      <c r="O6" s="1261">
        <f t="shared" si="0"/>
        <v>6400</v>
      </c>
      <c r="P6" s="1261">
        <f t="shared" si="0"/>
        <v>4</v>
      </c>
      <c r="Q6" s="2551" t="str">
        <f t="shared" ref="Q6:Q23" si="5">IF(X6="",,5&amp;IF(LEN($W6)=1,"0000"&amp;$W6,IF(LEN($W6)=2,"000"&amp;$W6,IF(LEN($W6)=3,"00"&amp;$W6,IF(LEN($W6)=4,"0"&amp;$W6,IF(LEN($W6)=5,$W6,0)))))&amp;IF(LEN(X6)=1,"000"&amp;X6,IF(LEN(X6)=2,"00"&amp;X6,IF(LEN(X6)=3,"0"&amp;X6,IF(LEN(X6)=4,X6,0)))))</f>
        <v>5004880001</v>
      </c>
      <c r="R6" s="2551">
        <f t="shared" si="1"/>
        <v>0</v>
      </c>
      <c r="S6" s="2551">
        <f t="shared" si="2"/>
        <v>0</v>
      </c>
      <c r="T6" s="2551">
        <f t="shared" si="3"/>
        <v>0</v>
      </c>
      <c r="U6" s="2551">
        <f t="shared" si="4"/>
        <v>0</v>
      </c>
      <c r="V6" s="1119" t="s">
        <v>848</v>
      </c>
      <c r="W6" s="1119">
        <v>488</v>
      </c>
      <c r="X6" s="1119">
        <v>1</v>
      </c>
      <c r="Y6" s="1119"/>
      <c r="Z6" s="1119"/>
      <c r="AA6" s="1119"/>
      <c r="AB6" s="1119"/>
      <c r="AC6" s="1263">
        <v>19600</v>
      </c>
      <c r="AD6" s="1173" t="s">
        <v>947</v>
      </c>
      <c r="AE6" s="1173" t="s">
        <v>952</v>
      </c>
      <c r="AF6" s="1173">
        <v>7131</v>
      </c>
      <c r="AG6" s="1253"/>
      <c r="AH6" s="1253">
        <v>7131</v>
      </c>
      <c r="AI6" s="1253"/>
      <c r="AJ6" s="1253"/>
      <c r="AK6" s="1253"/>
      <c r="AL6" s="1253"/>
      <c r="AM6" s="1173"/>
      <c r="AN6" s="1173" t="s">
        <v>997</v>
      </c>
      <c r="AO6" s="1262" t="s">
        <v>848</v>
      </c>
      <c r="AP6" s="1221">
        <v>0</v>
      </c>
      <c r="AQ6" s="1173">
        <v>7131</v>
      </c>
      <c r="AR6" s="1253"/>
      <c r="AS6" s="1253">
        <v>7131</v>
      </c>
      <c r="AT6" s="1173"/>
      <c r="AU6" s="1173">
        <v>0</v>
      </c>
      <c r="AV6" s="1263"/>
      <c r="AW6" s="1262" t="s">
        <v>848</v>
      </c>
      <c r="AX6" s="1221" t="s">
        <v>998</v>
      </c>
      <c r="AY6" s="276">
        <v>56180</v>
      </c>
      <c r="AZ6" s="276">
        <v>8500</v>
      </c>
      <c r="BA6" s="1143"/>
      <c r="BB6" s="1143"/>
      <c r="BC6" s="1143">
        <v>8500</v>
      </c>
      <c r="BD6" s="276"/>
      <c r="BE6" s="1143">
        <v>39.326000000000001</v>
      </c>
      <c r="BF6" s="1143">
        <v>16.853999999999999</v>
      </c>
      <c r="BG6" s="1264">
        <v>56.18</v>
      </c>
      <c r="BH6" s="1265">
        <v>23.8765</v>
      </c>
      <c r="BI6" s="1259">
        <v>75</v>
      </c>
    </row>
    <row r="7" spans="1:61">
      <c r="A7" s="1260" t="s">
        <v>925</v>
      </c>
      <c r="B7" s="1261">
        <f>SUM(B14,B21)</f>
        <v>88702</v>
      </c>
      <c r="C7" s="1261">
        <f t="shared" si="0"/>
        <v>59000</v>
      </c>
      <c r="D7" s="1261">
        <f t="shared" si="0"/>
        <v>21202</v>
      </c>
      <c r="E7" s="1261">
        <f t="shared" si="0"/>
        <v>8500</v>
      </c>
      <c r="F7" s="1261">
        <f t="shared" si="0"/>
        <v>0</v>
      </c>
      <c r="G7" s="1261">
        <f t="shared" si="0"/>
        <v>0</v>
      </c>
      <c r="H7" s="1261">
        <f t="shared" si="0"/>
        <v>0</v>
      </c>
      <c r="I7" s="1261">
        <f t="shared" si="0"/>
        <v>0</v>
      </c>
      <c r="J7" s="1261">
        <f t="shared" si="0"/>
        <v>0</v>
      </c>
      <c r="K7" s="1261">
        <f t="shared" si="0"/>
        <v>759156.48</v>
      </c>
      <c r="L7" s="1261">
        <f t="shared" si="0"/>
        <v>759.86728199999993</v>
      </c>
      <c r="M7" s="1261">
        <f t="shared" si="0"/>
        <v>228.45774600000004</v>
      </c>
      <c r="N7" s="1261">
        <f t="shared" si="0"/>
        <v>531.40953599999989</v>
      </c>
      <c r="O7" s="1261">
        <f t="shared" si="0"/>
        <v>9500</v>
      </c>
      <c r="P7" s="1261">
        <f t="shared" si="0"/>
        <v>298.70565549999998</v>
      </c>
      <c r="Q7" s="2551" t="str">
        <f t="shared" si="5"/>
        <v>5004880157</v>
      </c>
      <c r="R7" s="2551" t="str">
        <f t="shared" si="1"/>
        <v>5004880162</v>
      </c>
      <c r="S7" s="2551" t="str">
        <f t="shared" si="2"/>
        <v>5004880164</v>
      </c>
      <c r="T7" s="2551">
        <f t="shared" si="3"/>
        <v>0</v>
      </c>
      <c r="U7" s="2551">
        <f t="shared" si="4"/>
        <v>0</v>
      </c>
      <c r="V7" s="1119" t="s">
        <v>850</v>
      </c>
      <c r="W7" s="1119">
        <v>488</v>
      </c>
      <c r="X7" s="1119">
        <v>157</v>
      </c>
      <c r="Y7" s="1119">
        <v>162</v>
      </c>
      <c r="Z7" s="1119">
        <v>164</v>
      </c>
      <c r="AA7" s="1119"/>
      <c r="AB7" s="1119"/>
      <c r="AC7" s="1263">
        <v>13386</v>
      </c>
      <c r="AD7" s="1173" t="s">
        <v>947</v>
      </c>
      <c r="AE7" s="1173" t="s">
        <v>952</v>
      </c>
      <c r="AF7" s="1173">
        <v>4248</v>
      </c>
      <c r="AG7" s="1253"/>
      <c r="AH7" s="1253"/>
      <c r="AI7" s="1253">
        <v>4248</v>
      </c>
      <c r="AJ7" s="1253"/>
      <c r="AK7" s="1253"/>
      <c r="AL7" s="1253"/>
      <c r="AM7" s="1173"/>
      <c r="AN7" s="1173" t="s">
        <v>999</v>
      </c>
      <c r="AO7" s="1262" t="s">
        <v>850</v>
      </c>
      <c r="AP7" s="1221">
        <v>0</v>
      </c>
      <c r="AQ7" s="1173">
        <v>4248</v>
      </c>
      <c r="AR7" s="1253"/>
      <c r="AS7" s="1253">
        <v>4248</v>
      </c>
      <c r="AT7" s="1173"/>
      <c r="AU7" s="1173">
        <v>0</v>
      </c>
      <c r="AV7" s="1263"/>
      <c r="AW7" s="1262" t="s">
        <v>850</v>
      </c>
      <c r="AX7" s="1221" t="s">
        <v>998</v>
      </c>
      <c r="AY7" s="1173">
        <v>44173.8</v>
      </c>
      <c r="AZ7" s="1173"/>
      <c r="BA7" s="1253"/>
      <c r="BB7" s="1253"/>
      <c r="BC7" s="1253"/>
      <c r="BD7" s="1173"/>
      <c r="BE7" s="1253">
        <v>30.921659999999999</v>
      </c>
      <c r="BF7" s="1253">
        <v>13.252139999999999</v>
      </c>
      <c r="BG7" s="1266">
        <v>44.1738</v>
      </c>
      <c r="BH7" s="1265">
        <v>18.773865000000001</v>
      </c>
      <c r="BI7" s="1259">
        <v>75</v>
      </c>
    </row>
    <row r="8" spans="1:61" ht="15.75" thickBot="1">
      <c r="A8" s="1267" t="s">
        <v>948</v>
      </c>
      <c r="B8" s="1268">
        <f>B6-B5</f>
        <v>-6400</v>
      </c>
      <c r="C8" s="1268">
        <f t="shared" ref="C8:P9" si="6">C6-C5</f>
        <v>49047</v>
      </c>
      <c r="D8" s="1268">
        <f t="shared" si="6"/>
        <v>-11201</v>
      </c>
      <c r="E8" s="1268">
        <f t="shared" si="6"/>
        <v>0</v>
      </c>
      <c r="F8" s="1268">
        <f t="shared" si="6"/>
        <v>-16414</v>
      </c>
      <c r="G8" s="1268">
        <f t="shared" si="6"/>
        <v>-24591</v>
      </c>
      <c r="H8" s="1268">
        <f t="shared" si="6"/>
        <v>-4657</v>
      </c>
      <c r="I8" s="1268">
        <f t="shared" si="6"/>
        <v>-46150</v>
      </c>
      <c r="J8" s="1268">
        <f t="shared" si="6"/>
        <v>0</v>
      </c>
      <c r="K8" s="1268">
        <f t="shared" si="6"/>
        <v>0</v>
      </c>
      <c r="L8" s="1268">
        <f t="shared" si="6"/>
        <v>0</v>
      </c>
      <c r="M8" s="1268">
        <f t="shared" si="6"/>
        <v>0</v>
      </c>
      <c r="N8" s="1268">
        <f t="shared" si="6"/>
        <v>0</v>
      </c>
      <c r="O8" s="1268">
        <f t="shared" si="6"/>
        <v>6400</v>
      </c>
      <c r="P8" s="1268">
        <f t="shared" si="6"/>
        <v>4</v>
      </c>
      <c r="Q8" s="2551" t="str">
        <f t="shared" si="5"/>
        <v>5004890001</v>
      </c>
      <c r="R8" s="2551">
        <f t="shared" si="1"/>
        <v>0</v>
      </c>
      <c r="S8" s="2551">
        <f t="shared" si="2"/>
        <v>0</v>
      </c>
      <c r="T8" s="2551">
        <f t="shared" si="3"/>
        <v>0</v>
      </c>
      <c r="U8" s="2551">
        <f t="shared" si="4"/>
        <v>0</v>
      </c>
      <c r="V8" s="1119" t="s">
        <v>851</v>
      </c>
      <c r="W8" s="1119">
        <v>489</v>
      </c>
      <c r="X8" s="1119">
        <v>1</v>
      </c>
      <c r="Y8" s="1119"/>
      <c r="Z8" s="1119"/>
      <c r="AA8" s="1119"/>
      <c r="AB8" s="1119"/>
      <c r="AC8" s="1263">
        <v>6394</v>
      </c>
      <c r="AD8" s="1173" t="s">
        <v>947</v>
      </c>
      <c r="AE8" s="1173">
        <v>3600</v>
      </c>
      <c r="AF8" s="1173">
        <v>3150</v>
      </c>
      <c r="AG8" s="1253"/>
      <c r="AH8" s="1253">
        <v>3150</v>
      </c>
      <c r="AI8" s="1253"/>
      <c r="AJ8" s="1253"/>
      <c r="AK8" s="1253"/>
      <c r="AL8" s="1253"/>
      <c r="AM8" s="1173">
        <v>4</v>
      </c>
      <c r="AN8" s="1173" t="s">
        <v>1000</v>
      </c>
      <c r="AO8" s="1262" t="s">
        <v>851</v>
      </c>
      <c r="AP8" s="1221">
        <v>3600</v>
      </c>
      <c r="AQ8" s="1173">
        <v>3150</v>
      </c>
      <c r="AR8" s="1253"/>
      <c r="AS8" s="1253">
        <v>3150</v>
      </c>
      <c r="AT8" s="1173"/>
      <c r="AU8" s="1173">
        <v>4</v>
      </c>
      <c r="AV8" s="1263"/>
      <c r="AW8" s="1262" t="s">
        <v>851</v>
      </c>
      <c r="AX8" s="1221" t="s">
        <v>998</v>
      </c>
      <c r="AY8" s="1173">
        <v>17600.2</v>
      </c>
      <c r="AZ8" s="1173">
        <v>3500</v>
      </c>
      <c r="BA8" s="1253"/>
      <c r="BB8" s="1253">
        <v>3500</v>
      </c>
      <c r="BC8" s="1253"/>
      <c r="BD8" s="1173"/>
      <c r="BE8" s="1253">
        <v>12.32014</v>
      </c>
      <c r="BF8" s="1253">
        <v>5.2800599999999998</v>
      </c>
      <c r="BG8" s="1266">
        <v>17.600200000000001</v>
      </c>
      <c r="BH8" s="1265">
        <v>7</v>
      </c>
      <c r="BI8" s="1259">
        <v>75</v>
      </c>
    </row>
    <row r="9" spans="1:61" ht="15.75" thickBot="1">
      <c r="A9" s="1269" t="s">
        <v>949</v>
      </c>
      <c r="B9" s="1270">
        <f>B7-B6</f>
        <v>-87652</v>
      </c>
      <c r="C9" s="1270">
        <f t="shared" si="6"/>
        <v>-57188</v>
      </c>
      <c r="D9" s="1270">
        <f t="shared" si="6"/>
        <v>8602</v>
      </c>
      <c r="E9" s="1270">
        <f t="shared" si="6"/>
        <v>8500</v>
      </c>
      <c r="F9" s="1270">
        <f t="shared" si="6"/>
        <v>0</v>
      </c>
      <c r="G9" s="1270">
        <f t="shared" si="6"/>
        <v>0</v>
      </c>
      <c r="H9" s="1270">
        <f t="shared" si="6"/>
        <v>0</v>
      </c>
      <c r="I9" s="1270">
        <f t="shared" si="6"/>
        <v>0</v>
      </c>
      <c r="J9" s="1270">
        <f t="shared" si="6"/>
        <v>0</v>
      </c>
      <c r="K9" s="1270">
        <f t="shared" si="6"/>
        <v>746489.48</v>
      </c>
      <c r="L9" s="1270">
        <f t="shared" si="6"/>
        <v>743.86728199999993</v>
      </c>
      <c r="M9" s="1270">
        <f t="shared" si="6"/>
        <v>228.45774600000004</v>
      </c>
      <c r="N9" s="1270">
        <f t="shared" si="6"/>
        <v>515.40953599999989</v>
      </c>
      <c r="O9" s="1270">
        <f t="shared" si="6"/>
        <v>3100</v>
      </c>
      <c r="P9" s="1270">
        <f t="shared" si="6"/>
        <v>294.70565549999998</v>
      </c>
      <c r="Q9" s="2551" t="str">
        <f t="shared" si="5"/>
        <v>5004890016</v>
      </c>
      <c r="R9" s="2551">
        <f t="shared" si="1"/>
        <v>0</v>
      </c>
      <c r="S9" s="2551">
        <f t="shared" si="2"/>
        <v>0</v>
      </c>
      <c r="T9" s="2551">
        <f t="shared" si="3"/>
        <v>0</v>
      </c>
      <c r="U9" s="2551">
        <f t="shared" si="4"/>
        <v>0</v>
      </c>
      <c r="V9" s="1119" t="s">
        <v>1001</v>
      </c>
      <c r="W9" s="1119">
        <v>489</v>
      </c>
      <c r="X9" s="1119">
        <v>16</v>
      </c>
      <c r="Y9" s="1119"/>
      <c r="Z9" s="1119"/>
      <c r="AA9" s="1119"/>
      <c r="AB9" s="1119"/>
      <c r="AC9" s="1263">
        <v>3750</v>
      </c>
      <c r="AD9" s="1173" t="s">
        <v>947</v>
      </c>
      <c r="AE9" s="1173" t="s">
        <v>952</v>
      </c>
      <c r="AF9" s="1173">
        <v>3750</v>
      </c>
      <c r="AG9" s="1253"/>
      <c r="AH9" s="1253"/>
      <c r="AI9" s="1253"/>
      <c r="AJ9" s="1253">
        <v>3750</v>
      </c>
      <c r="AK9" s="1253"/>
      <c r="AL9" s="1253"/>
      <c r="AM9" s="1173"/>
      <c r="AN9" s="1173" t="s">
        <v>1002</v>
      </c>
      <c r="AO9" s="1262" t="s">
        <v>1001</v>
      </c>
      <c r="AP9" s="1221">
        <v>0</v>
      </c>
      <c r="AQ9" s="1173">
        <v>3750</v>
      </c>
      <c r="AR9" s="1253"/>
      <c r="AS9" s="1253"/>
      <c r="AT9" s="1173"/>
      <c r="AU9" s="1173">
        <v>0</v>
      </c>
      <c r="AV9" s="1263"/>
      <c r="AW9" s="1262" t="s">
        <v>1001</v>
      </c>
      <c r="AX9" s="1221" t="s">
        <v>998</v>
      </c>
      <c r="AY9" s="1173">
        <v>12375</v>
      </c>
      <c r="AZ9" s="1173"/>
      <c r="BA9" s="1253"/>
      <c r="BB9" s="1253"/>
      <c r="BC9" s="1253"/>
      <c r="BD9" s="1173"/>
      <c r="BE9" s="1253">
        <v>8.6624999999999996</v>
      </c>
      <c r="BF9" s="1253">
        <v>3.7124999999999999</v>
      </c>
      <c r="BG9" s="1266">
        <v>12.375</v>
      </c>
      <c r="BH9" s="1265">
        <v>0</v>
      </c>
      <c r="BI9" s="1259">
        <v>75</v>
      </c>
    </row>
    <row r="10" spans="1:61">
      <c r="A10" s="2866" t="s">
        <v>1003</v>
      </c>
      <c r="B10" s="2867"/>
      <c r="C10" s="2867"/>
      <c r="D10" s="2867"/>
      <c r="E10" s="2867"/>
      <c r="F10" s="2867"/>
      <c r="G10" s="2867"/>
      <c r="H10" s="2867"/>
      <c r="I10" s="2867"/>
      <c r="J10" s="2867"/>
      <c r="K10" s="2867"/>
      <c r="L10" s="2867"/>
      <c r="M10" s="2867"/>
      <c r="N10" s="2867"/>
      <c r="O10" s="2867"/>
      <c r="P10" s="2867"/>
      <c r="Q10" s="2551" t="str">
        <f t="shared" si="5"/>
        <v>5004890019</v>
      </c>
      <c r="R10" s="2551">
        <f t="shared" si="1"/>
        <v>0</v>
      </c>
      <c r="S10" s="2551">
        <f t="shared" si="2"/>
        <v>0</v>
      </c>
      <c r="T10" s="2551">
        <f t="shared" si="3"/>
        <v>0</v>
      </c>
      <c r="U10" s="2551">
        <f t="shared" si="4"/>
        <v>0</v>
      </c>
      <c r="V10" s="1119" t="s">
        <v>1004</v>
      </c>
      <c r="W10" s="1119">
        <v>489</v>
      </c>
      <c r="X10" s="1119">
        <v>19</v>
      </c>
      <c r="Y10" s="1119"/>
      <c r="Z10" s="1119"/>
      <c r="AA10" s="1119"/>
      <c r="AB10" s="1119"/>
      <c r="AC10" s="1263">
        <v>9216</v>
      </c>
      <c r="AD10" s="1173" t="s">
        <v>947</v>
      </c>
      <c r="AE10" s="1173"/>
      <c r="AF10" s="1173">
        <v>11644</v>
      </c>
      <c r="AG10" s="1253">
        <v>2507</v>
      </c>
      <c r="AH10" s="1253"/>
      <c r="AI10" s="1253"/>
      <c r="AJ10" s="1253"/>
      <c r="AK10" s="1253">
        <v>4657</v>
      </c>
      <c r="AL10" s="1253">
        <v>4480</v>
      </c>
      <c r="AM10" s="1173"/>
      <c r="AN10" s="1173" t="s">
        <v>1005</v>
      </c>
      <c r="AO10" s="1262" t="s">
        <v>1004</v>
      </c>
      <c r="AP10" s="1221">
        <v>0</v>
      </c>
      <c r="AQ10" s="1173">
        <v>11644</v>
      </c>
      <c r="AR10" s="1253"/>
      <c r="AS10" s="1253">
        <v>11644</v>
      </c>
      <c r="AT10" s="1173"/>
      <c r="AU10" s="1173">
        <v>0</v>
      </c>
      <c r="AV10" s="1263"/>
      <c r="AW10" s="1262" t="s">
        <v>1004</v>
      </c>
      <c r="AX10" s="1221" t="s">
        <v>998</v>
      </c>
      <c r="AY10" s="1173">
        <v>30412.799999999999</v>
      </c>
      <c r="AZ10" s="1173"/>
      <c r="BA10" s="1253"/>
      <c r="BB10" s="1253"/>
      <c r="BC10" s="1253"/>
      <c r="BD10" s="1173"/>
      <c r="BE10" s="1253">
        <v>21.288959999999999</v>
      </c>
      <c r="BF10" s="1253">
        <v>9.1238399999999995</v>
      </c>
      <c r="BG10" s="1266">
        <v>30.412800000000001</v>
      </c>
      <c r="BH10" s="1265">
        <v>12.925440000000002</v>
      </c>
      <c r="BI10" s="1259">
        <v>75</v>
      </c>
    </row>
    <row r="11" spans="1:61" ht="15.75" thickBot="1">
      <c r="A11" s="2868"/>
      <c r="B11" s="2869"/>
      <c r="C11" s="2869"/>
      <c r="D11" s="2869"/>
      <c r="E11" s="2869"/>
      <c r="F11" s="2869"/>
      <c r="G11" s="2869"/>
      <c r="H11" s="2869"/>
      <c r="I11" s="2869"/>
      <c r="J11" s="2869"/>
      <c r="K11" s="2869"/>
      <c r="L11" s="2869"/>
      <c r="M11" s="2869"/>
      <c r="N11" s="2869"/>
      <c r="O11" s="2869"/>
      <c r="P11" s="2869"/>
      <c r="Q11" s="2551" t="str">
        <f t="shared" si="5"/>
        <v>5004980005</v>
      </c>
      <c r="R11" s="2551">
        <f t="shared" si="1"/>
        <v>0</v>
      </c>
      <c r="S11" s="2551">
        <f t="shared" si="2"/>
        <v>0</v>
      </c>
      <c r="T11" s="2551">
        <f t="shared" si="3"/>
        <v>0</v>
      </c>
      <c r="U11" s="2551">
        <f t="shared" si="4"/>
        <v>0</v>
      </c>
      <c r="V11" s="1119" t="s">
        <v>1006</v>
      </c>
      <c r="W11" s="1119">
        <v>498</v>
      </c>
      <c r="X11" s="1119">
        <v>5</v>
      </c>
      <c r="Y11" s="1119"/>
      <c r="Z11" s="1119"/>
      <c r="AA11" s="1119"/>
      <c r="AB11" s="1119"/>
      <c r="AC11" s="1263">
        <v>18580</v>
      </c>
      <c r="AD11" s="1173" t="s">
        <v>947</v>
      </c>
      <c r="AE11" s="1173"/>
      <c r="AF11" s="1173">
        <v>5270</v>
      </c>
      <c r="AG11" s="1253"/>
      <c r="AH11" s="1253"/>
      <c r="AI11" s="1253"/>
      <c r="AJ11" s="1253"/>
      <c r="AK11" s="1253"/>
      <c r="AL11" s="1253">
        <v>5270</v>
      </c>
      <c r="AM11" s="1173"/>
      <c r="AN11" s="1173" t="s">
        <v>1007</v>
      </c>
      <c r="AO11" s="1262" t="s">
        <v>1006</v>
      </c>
      <c r="AP11" s="1221">
        <v>0</v>
      </c>
      <c r="AQ11" s="1173">
        <v>5270</v>
      </c>
      <c r="AR11" s="1253"/>
      <c r="AS11" s="1253">
        <v>5270</v>
      </c>
      <c r="AT11" s="1173"/>
      <c r="AU11" s="1173">
        <v>0</v>
      </c>
      <c r="AV11" s="1263">
        <v>4</v>
      </c>
      <c r="AW11" s="1262" t="s">
        <v>1006</v>
      </c>
      <c r="AX11" s="1221" t="s">
        <v>1008</v>
      </c>
      <c r="AY11" s="1173">
        <v>44963.6</v>
      </c>
      <c r="AZ11" s="1173"/>
      <c r="BA11" s="1253"/>
      <c r="BB11" s="1253"/>
      <c r="BC11" s="1253"/>
      <c r="BD11" s="1173"/>
      <c r="BE11" s="1253">
        <v>31.474519999999998</v>
      </c>
      <c r="BF11" s="1253">
        <v>13.48908</v>
      </c>
      <c r="BG11" s="1266">
        <v>44.9636</v>
      </c>
      <c r="BH11" s="1265">
        <v>19.109529999999999</v>
      </c>
      <c r="BI11" s="1259">
        <v>55</v>
      </c>
    </row>
    <row r="12" spans="1:61">
      <c r="A12" s="1249" t="s">
        <v>610</v>
      </c>
      <c r="B12" s="2248">
        <f>SUM(AF5:AF23)</f>
        <v>172338</v>
      </c>
      <c r="C12" s="2248">
        <f>SUM(AH5:AH23)</f>
        <v>67141</v>
      </c>
      <c r="D12" s="2248">
        <f>SUM(AG5:AG23)</f>
        <v>21357</v>
      </c>
      <c r="E12" s="735"/>
      <c r="F12" s="2248">
        <f>SUM(AI5:AI23)</f>
        <v>16414</v>
      </c>
      <c r="G12" s="2248">
        <f>SUM(AJ5:AJ23)</f>
        <v>23019</v>
      </c>
      <c r="H12" s="2248">
        <f>SUM(AK5:AK23)</f>
        <v>4657</v>
      </c>
      <c r="I12" s="2248">
        <f>SUM(AL5:AL23)</f>
        <v>39750</v>
      </c>
      <c r="J12" s="735"/>
      <c r="K12" s="2248">
        <f>SUM(AE5:AE23)</f>
        <v>9802</v>
      </c>
      <c r="L12" s="2248">
        <f>SUM(AM5:AM23)</f>
        <v>14</v>
      </c>
      <c r="M12" s="735">
        <v>0</v>
      </c>
      <c r="N12" s="2248">
        <f>L12</f>
        <v>14</v>
      </c>
      <c r="O12" s="735" t="s">
        <v>952</v>
      </c>
      <c r="P12" s="735" t="s">
        <v>952</v>
      </c>
      <c r="Q12" s="2551" t="str">
        <f t="shared" si="5"/>
        <v>5004980074</v>
      </c>
      <c r="R12" s="2551">
        <f t="shared" si="1"/>
        <v>0</v>
      </c>
      <c r="S12" s="2551">
        <f t="shared" si="2"/>
        <v>0</v>
      </c>
      <c r="T12" s="2551">
        <f t="shared" si="3"/>
        <v>0</v>
      </c>
      <c r="U12" s="2551">
        <f t="shared" si="4"/>
        <v>0</v>
      </c>
      <c r="V12" s="1119" t="s">
        <v>1009</v>
      </c>
      <c r="W12" s="1119">
        <v>498</v>
      </c>
      <c r="X12" s="1119">
        <v>74</v>
      </c>
      <c r="Y12" s="1119"/>
      <c r="Z12" s="1119"/>
      <c r="AA12" s="1119"/>
      <c r="AB12" s="1119"/>
      <c r="AC12" s="1263">
        <v>6000</v>
      </c>
      <c r="AD12" s="1173" t="s">
        <v>947</v>
      </c>
      <c r="AE12" s="1173"/>
      <c r="AF12" s="1173">
        <v>3000</v>
      </c>
      <c r="AG12" s="1253"/>
      <c r="AH12" s="1253">
        <v>3000</v>
      </c>
      <c r="AI12" s="1253"/>
      <c r="AJ12" s="1253"/>
      <c r="AK12" s="1253"/>
      <c r="AL12" s="1253"/>
      <c r="AM12" s="1173"/>
      <c r="AN12" s="1173" t="s">
        <v>1010</v>
      </c>
      <c r="AO12" s="1262" t="s">
        <v>1009</v>
      </c>
      <c r="AP12" s="1221">
        <v>0</v>
      </c>
      <c r="AQ12" s="1173">
        <v>3000</v>
      </c>
      <c r="AR12" s="1253"/>
      <c r="AS12" s="1253">
        <v>3000</v>
      </c>
      <c r="AT12" s="1173"/>
      <c r="AU12" s="1173">
        <v>0</v>
      </c>
      <c r="AV12" s="1263"/>
      <c r="AW12" s="1262" t="s">
        <v>1009</v>
      </c>
      <c r="AX12" s="1221" t="s">
        <v>998</v>
      </c>
      <c r="AY12" s="1173">
        <v>17800</v>
      </c>
      <c r="AZ12" s="1173">
        <v>2000</v>
      </c>
      <c r="BA12" s="1253"/>
      <c r="BB12" s="1253">
        <v>2000</v>
      </c>
      <c r="BC12" s="1253"/>
      <c r="BD12" s="1173"/>
      <c r="BE12" s="1253">
        <v>12.459999999999999</v>
      </c>
      <c r="BF12" s="1253">
        <v>5.34</v>
      </c>
      <c r="BG12" s="1266">
        <v>17.8</v>
      </c>
      <c r="BH12" s="1265">
        <v>8</v>
      </c>
      <c r="BI12" s="1259">
        <v>75</v>
      </c>
    </row>
    <row r="13" spans="1:61">
      <c r="A13" s="1271" t="s">
        <v>924</v>
      </c>
      <c r="B13" s="1272">
        <f>SUM(AQ5:AQ23)</f>
        <v>172338</v>
      </c>
      <c r="C13" s="1272">
        <f>SUM(AS5:AS23)</f>
        <v>112172</v>
      </c>
      <c r="D13" s="1272">
        <f>SUM(AR5:AR23)</f>
        <v>12600</v>
      </c>
      <c r="E13" s="1273"/>
      <c r="F13" s="1273"/>
      <c r="G13" s="1273"/>
      <c r="H13" s="1273"/>
      <c r="I13" s="1273"/>
      <c r="J13" s="1273"/>
      <c r="K13" s="1272">
        <f>SUM(AP5:AP23)</f>
        <v>9802</v>
      </c>
      <c r="L13" s="1272">
        <f>SUM(AU5:AU23)</f>
        <v>14</v>
      </c>
      <c r="M13" s="1273">
        <v>0</v>
      </c>
      <c r="N13" s="1272">
        <f>L13</f>
        <v>14</v>
      </c>
      <c r="O13" s="1273">
        <v>0</v>
      </c>
      <c r="P13" s="1272">
        <f>SUM(AV5:AV23)</f>
        <v>4</v>
      </c>
      <c r="Q13" s="2551" t="str">
        <f t="shared" si="5"/>
        <v>5005000001</v>
      </c>
      <c r="R13" s="2551" t="str">
        <f t="shared" si="1"/>
        <v>5005000010</v>
      </c>
      <c r="S13" s="2551" t="str">
        <f t="shared" si="2"/>
        <v>5005000011</v>
      </c>
      <c r="T13" s="2551" t="str">
        <f t="shared" si="3"/>
        <v>5005000012</v>
      </c>
      <c r="U13" s="2551">
        <f t="shared" si="4"/>
        <v>0</v>
      </c>
      <c r="V13" s="1119" t="s">
        <v>1011</v>
      </c>
      <c r="W13" s="1119">
        <v>500</v>
      </c>
      <c r="X13" s="1119">
        <v>1</v>
      </c>
      <c r="Y13" s="1119">
        <v>10</v>
      </c>
      <c r="Z13" s="1119">
        <v>11</v>
      </c>
      <c r="AA13" s="1119">
        <v>12</v>
      </c>
      <c r="AB13" s="1119"/>
      <c r="AC13" s="1263">
        <v>22308</v>
      </c>
      <c r="AD13" s="1173" t="s">
        <v>947</v>
      </c>
      <c r="AE13" s="1173"/>
      <c r="AF13" s="1173">
        <v>7800</v>
      </c>
      <c r="AG13" s="1253"/>
      <c r="AH13" s="1253">
        <v>7800</v>
      </c>
      <c r="AI13" s="1253"/>
      <c r="AJ13" s="1253"/>
      <c r="AK13" s="1253"/>
      <c r="AL13" s="1253"/>
      <c r="AM13" s="1173"/>
      <c r="AN13" s="1173" t="s">
        <v>1012</v>
      </c>
      <c r="AO13" s="1262" t="s">
        <v>1011</v>
      </c>
      <c r="AP13" s="1221">
        <v>0</v>
      </c>
      <c r="AQ13" s="1173">
        <v>7800</v>
      </c>
      <c r="AR13" s="1253"/>
      <c r="AS13" s="1253">
        <v>7800</v>
      </c>
      <c r="AT13" s="1173"/>
      <c r="AU13" s="1173">
        <v>0</v>
      </c>
      <c r="AV13" s="1263"/>
      <c r="AW13" s="1262" t="s">
        <v>1011</v>
      </c>
      <c r="AX13" s="1221" t="s">
        <v>998</v>
      </c>
      <c r="AY13" s="1173">
        <v>64516.4</v>
      </c>
      <c r="AZ13" s="1173">
        <v>9100</v>
      </c>
      <c r="BA13" s="1253"/>
      <c r="BB13" s="1253">
        <v>9100</v>
      </c>
      <c r="BC13" s="1253"/>
      <c r="BD13" s="1173"/>
      <c r="BE13" s="1253">
        <v>45.161479999999997</v>
      </c>
      <c r="BF13" s="1253">
        <v>19.35492</v>
      </c>
      <c r="BG13" s="1266">
        <v>64.516400000000004</v>
      </c>
      <c r="BH13" s="1265">
        <v>27.419469999999997</v>
      </c>
      <c r="BI13" s="1259">
        <v>75</v>
      </c>
    </row>
    <row r="14" spans="1:61">
      <c r="A14" s="1271" t="s">
        <v>925</v>
      </c>
      <c r="B14" s="1272">
        <f>SUM(AZ5:AZ23)</f>
        <v>85302</v>
      </c>
      <c r="C14" s="1272">
        <f>SUM(BB5:BB23)</f>
        <v>55600</v>
      </c>
      <c r="D14" s="1272">
        <f>SUM(BA5:BA23)</f>
        <v>21202</v>
      </c>
      <c r="E14" s="1272">
        <f>SUM(BC5:BC23)</f>
        <v>8500</v>
      </c>
      <c r="F14" s="1273"/>
      <c r="G14" s="1273"/>
      <c r="H14" s="1273"/>
      <c r="I14" s="1273"/>
      <c r="J14" s="1273"/>
      <c r="K14" s="1272">
        <f>SUM(AY5:AY23)</f>
        <v>719670.86</v>
      </c>
      <c r="L14" s="1272">
        <f>SUM(BG5:BG23)</f>
        <v>719.67085999999995</v>
      </c>
      <c r="M14" s="1272">
        <f>SUM(BF5:BF23)</f>
        <v>215.90125800000004</v>
      </c>
      <c r="N14" s="1272">
        <f>SUM(BE5:BE23)</f>
        <v>503.76960199999991</v>
      </c>
      <c r="O14" s="1272">
        <f>SUM(BD5:BD23)</f>
        <v>6500</v>
      </c>
      <c r="P14" s="1272">
        <f>SUM(BH5:BH23)</f>
        <v>290.70565549999998</v>
      </c>
      <c r="Q14" s="2551" t="str">
        <f t="shared" si="5"/>
        <v>5005020034</v>
      </c>
      <c r="R14" s="2551">
        <f t="shared" si="1"/>
        <v>0</v>
      </c>
      <c r="S14" s="2551">
        <f t="shared" si="2"/>
        <v>0</v>
      </c>
      <c r="T14" s="2551">
        <f t="shared" si="3"/>
        <v>0</v>
      </c>
      <c r="U14" s="2551">
        <f t="shared" si="4"/>
        <v>0</v>
      </c>
      <c r="V14" s="1119" t="s">
        <v>1013</v>
      </c>
      <c r="W14" s="1119">
        <v>502</v>
      </c>
      <c r="X14" s="1119">
        <v>34</v>
      </c>
      <c r="Y14" s="1119"/>
      <c r="Z14" s="1119"/>
      <c r="AA14" s="1119"/>
      <c r="AB14" s="1119"/>
      <c r="AC14" s="1263">
        <v>11173</v>
      </c>
      <c r="AD14" s="1173" t="s">
        <v>947</v>
      </c>
      <c r="AE14" s="1173"/>
      <c r="AF14" s="1173">
        <v>0</v>
      </c>
      <c r="AG14" s="1253"/>
      <c r="AH14" s="1253"/>
      <c r="AI14" s="1253"/>
      <c r="AJ14" s="1253"/>
      <c r="AK14" s="1253"/>
      <c r="AL14" s="1253"/>
      <c r="AM14" s="1173"/>
      <c r="AN14" s="1173" t="s">
        <v>1014</v>
      </c>
      <c r="AO14" s="1262" t="s">
        <v>1013</v>
      </c>
      <c r="AP14" s="1221">
        <v>0</v>
      </c>
      <c r="AQ14" s="1173">
        <v>0</v>
      </c>
      <c r="AR14" s="1253"/>
      <c r="AS14" s="1253"/>
      <c r="AT14" s="1173"/>
      <c r="AU14" s="1173">
        <v>0</v>
      </c>
      <c r="AV14" s="1263"/>
      <c r="AW14" s="1262" t="s">
        <v>1013</v>
      </c>
      <c r="AX14" s="1221" t="s">
        <v>1008</v>
      </c>
      <c r="AY14" s="1173">
        <v>23538.66</v>
      </c>
      <c r="AZ14" s="1173">
        <v>3500</v>
      </c>
      <c r="BA14" s="1253"/>
      <c r="BB14" s="1253">
        <v>3500</v>
      </c>
      <c r="BC14" s="1253"/>
      <c r="BD14" s="1173"/>
      <c r="BE14" s="1253">
        <v>16.477062</v>
      </c>
      <c r="BF14" s="1253">
        <v>7.061598</v>
      </c>
      <c r="BG14" s="1266">
        <v>23.53866</v>
      </c>
      <c r="BH14" s="1265">
        <v>10.003930499999999</v>
      </c>
      <c r="BI14" s="1259">
        <v>55</v>
      </c>
    </row>
    <row r="15" spans="1:61" ht="15.75" thickBot="1">
      <c r="A15" s="1267" t="s">
        <v>948</v>
      </c>
      <c r="B15" s="1268">
        <f>B13-B12</f>
        <v>0</v>
      </c>
      <c r="C15" s="1268">
        <f t="shared" ref="C15:P16" si="7">C13-C12</f>
        <v>45031</v>
      </c>
      <c r="D15" s="1268">
        <f t="shared" si="7"/>
        <v>-8757</v>
      </c>
      <c r="E15" s="1268"/>
      <c r="F15" s="1268">
        <f t="shared" si="7"/>
        <v>-16414</v>
      </c>
      <c r="G15" s="1268">
        <f t="shared" si="7"/>
        <v>-23019</v>
      </c>
      <c r="H15" s="1268">
        <f t="shared" si="7"/>
        <v>-4657</v>
      </c>
      <c r="I15" s="1268">
        <f t="shared" si="7"/>
        <v>-39750</v>
      </c>
      <c r="J15" s="1268">
        <f t="shared" si="7"/>
        <v>0</v>
      </c>
      <c r="K15" s="1268">
        <f t="shared" si="7"/>
        <v>0</v>
      </c>
      <c r="L15" s="1268">
        <f t="shared" si="7"/>
        <v>0</v>
      </c>
      <c r="M15" s="1268">
        <f t="shared" si="7"/>
        <v>0</v>
      </c>
      <c r="N15" s="1268">
        <f t="shared" si="7"/>
        <v>0</v>
      </c>
      <c r="O15" s="1268" t="s">
        <v>952</v>
      </c>
      <c r="P15" s="1268" t="s">
        <v>952</v>
      </c>
      <c r="Q15" s="2551" t="str">
        <f t="shared" si="5"/>
        <v>5005030001</v>
      </c>
      <c r="R15" s="2551">
        <f t="shared" si="1"/>
        <v>0</v>
      </c>
      <c r="S15" s="2551">
        <f t="shared" si="2"/>
        <v>0</v>
      </c>
      <c r="T15" s="2551">
        <f t="shared" si="3"/>
        <v>0</v>
      </c>
      <c r="U15" s="2551">
        <f t="shared" si="4"/>
        <v>0</v>
      </c>
      <c r="V15" s="1119" t="s">
        <v>1015</v>
      </c>
      <c r="W15" s="1119">
        <v>503</v>
      </c>
      <c r="X15" s="1119">
        <v>1</v>
      </c>
      <c r="Y15" s="1119"/>
      <c r="Z15" s="1119"/>
      <c r="AA15" s="1119"/>
      <c r="AB15" s="1119"/>
      <c r="AC15" s="1263">
        <v>53425</v>
      </c>
      <c r="AD15" s="1173" t="s">
        <v>947</v>
      </c>
      <c r="AE15" s="1173"/>
      <c r="AF15" s="1173">
        <v>65934</v>
      </c>
      <c r="AG15" s="1253"/>
      <c r="AH15" s="1253">
        <v>35934</v>
      </c>
      <c r="AI15" s="1253"/>
      <c r="AJ15" s="1253"/>
      <c r="AK15" s="1253"/>
      <c r="AL15" s="1253">
        <v>30000</v>
      </c>
      <c r="AM15" s="1173"/>
      <c r="AN15" s="1173" t="s">
        <v>1016</v>
      </c>
      <c r="AO15" s="1262" t="s">
        <v>1015</v>
      </c>
      <c r="AP15" s="1221">
        <v>0</v>
      </c>
      <c r="AQ15" s="1173">
        <v>65934</v>
      </c>
      <c r="AR15" s="1253"/>
      <c r="AS15" s="1253">
        <v>35934</v>
      </c>
      <c r="AT15" s="1173"/>
      <c r="AU15" s="1173">
        <v>0</v>
      </c>
      <c r="AV15" s="1263"/>
      <c r="AW15" s="1262" t="s">
        <v>1015</v>
      </c>
      <c r="AX15" s="1221" t="s">
        <v>1017</v>
      </c>
      <c r="AY15" s="1173">
        <v>142169.70000000001</v>
      </c>
      <c r="AZ15" s="1173">
        <v>9000</v>
      </c>
      <c r="BA15" s="1253"/>
      <c r="BB15" s="1253">
        <v>9000</v>
      </c>
      <c r="BC15" s="1253"/>
      <c r="BD15" s="1173"/>
      <c r="BE15" s="1253">
        <v>99.518789999999996</v>
      </c>
      <c r="BF15" s="1253">
        <v>42.650910000000003</v>
      </c>
      <c r="BG15" s="1266">
        <v>142.16970000000001</v>
      </c>
      <c r="BH15" s="1265">
        <v>60.4221225</v>
      </c>
      <c r="BI15" s="1259">
        <v>75</v>
      </c>
    </row>
    <row r="16" spans="1:61" ht="15.75" thickBot="1">
      <c r="A16" s="1274" t="s">
        <v>949</v>
      </c>
      <c r="B16" s="1275">
        <f>B14-B13</f>
        <v>-87036</v>
      </c>
      <c r="C16" s="1275">
        <f t="shared" si="7"/>
        <v>-56572</v>
      </c>
      <c r="D16" s="1275">
        <f t="shared" si="7"/>
        <v>8602</v>
      </c>
      <c r="E16" s="1275">
        <f t="shared" si="7"/>
        <v>8500</v>
      </c>
      <c r="F16" s="1275">
        <f t="shared" si="7"/>
        <v>0</v>
      </c>
      <c r="G16" s="1275">
        <f t="shared" si="7"/>
        <v>0</v>
      </c>
      <c r="H16" s="1275">
        <f t="shared" si="7"/>
        <v>0</v>
      </c>
      <c r="I16" s="1275">
        <f t="shared" si="7"/>
        <v>0</v>
      </c>
      <c r="J16" s="1275">
        <f t="shared" si="7"/>
        <v>0</v>
      </c>
      <c r="K16" s="1275">
        <f t="shared" si="7"/>
        <v>709868.86</v>
      </c>
      <c r="L16" s="1275">
        <f t="shared" si="7"/>
        <v>705.67085999999995</v>
      </c>
      <c r="M16" s="1275">
        <f t="shared" si="7"/>
        <v>215.90125800000004</v>
      </c>
      <c r="N16" s="1275">
        <f t="shared" si="7"/>
        <v>489.76960199999991</v>
      </c>
      <c r="O16" s="1275">
        <f t="shared" si="7"/>
        <v>6500</v>
      </c>
      <c r="P16" s="1275">
        <f t="shared" si="7"/>
        <v>286.70565549999998</v>
      </c>
      <c r="Q16" s="2551" t="str">
        <f t="shared" si="5"/>
        <v>5005030032</v>
      </c>
      <c r="R16" s="2551">
        <f t="shared" si="1"/>
        <v>0</v>
      </c>
      <c r="S16" s="2551">
        <f t="shared" si="2"/>
        <v>0</v>
      </c>
      <c r="T16" s="2551">
        <f t="shared" si="3"/>
        <v>0</v>
      </c>
      <c r="U16" s="2551">
        <f t="shared" si="4"/>
        <v>0</v>
      </c>
      <c r="V16" s="1119" t="s">
        <v>1018</v>
      </c>
      <c r="W16" s="1119">
        <v>503</v>
      </c>
      <c r="X16" s="1119">
        <v>32</v>
      </c>
      <c r="Y16" s="1119"/>
      <c r="Z16" s="1119"/>
      <c r="AA16" s="1119"/>
      <c r="AB16" s="1119"/>
      <c r="AC16" s="1263">
        <v>16925</v>
      </c>
      <c r="AD16" s="1173" t="s">
        <v>947</v>
      </c>
      <c r="AE16" s="1173"/>
      <c r="AF16" s="1173">
        <v>12600</v>
      </c>
      <c r="AG16" s="1253">
        <v>12600</v>
      </c>
      <c r="AH16" s="1253"/>
      <c r="AI16" s="1253"/>
      <c r="AJ16" s="1253"/>
      <c r="AK16" s="1253"/>
      <c r="AL16" s="1253"/>
      <c r="AM16" s="1173"/>
      <c r="AN16" s="1173" t="s">
        <v>1019</v>
      </c>
      <c r="AO16" s="1262" t="s">
        <v>1018</v>
      </c>
      <c r="AP16" s="1221">
        <v>0</v>
      </c>
      <c r="AQ16" s="1173">
        <v>12600</v>
      </c>
      <c r="AR16" s="1253">
        <v>12600</v>
      </c>
      <c r="AS16" s="1253"/>
      <c r="AT16" s="1173"/>
      <c r="AU16" s="1173">
        <v>0</v>
      </c>
      <c r="AV16" s="1263"/>
      <c r="AW16" s="1262" t="s">
        <v>1018</v>
      </c>
      <c r="AX16" s="1221" t="s">
        <v>998</v>
      </c>
      <c r="AY16" s="1173">
        <v>47852.5</v>
      </c>
      <c r="AZ16" s="1173">
        <v>8000</v>
      </c>
      <c r="BA16" s="1253"/>
      <c r="BB16" s="1253">
        <v>8000</v>
      </c>
      <c r="BC16" s="1253"/>
      <c r="BD16" s="1173"/>
      <c r="BE16" s="1253">
        <v>33.496749999999999</v>
      </c>
      <c r="BF16" s="1253">
        <v>14.355749999999999</v>
      </c>
      <c r="BG16" s="1266">
        <v>47.852499999999999</v>
      </c>
      <c r="BH16" s="1265">
        <v>20.337312500000003</v>
      </c>
      <c r="BI16" s="1259">
        <v>75</v>
      </c>
    </row>
    <row r="17" spans="1:61">
      <c r="A17" s="2866" t="s">
        <v>1020</v>
      </c>
      <c r="B17" s="2867"/>
      <c r="C17" s="2867"/>
      <c r="D17" s="2867"/>
      <c r="E17" s="2867"/>
      <c r="F17" s="2867"/>
      <c r="G17" s="2867"/>
      <c r="H17" s="2867"/>
      <c r="I17" s="2867"/>
      <c r="J17" s="2867"/>
      <c r="K17" s="2867"/>
      <c r="L17" s="2867"/>
      <c r="M17" s="2867"/>
      <c r="N17" s="2867"/>
      <c r="O17" s="2867"/>
      <c r="P17" s="2867"/>
      <c r="Q17" s="2551" t="str">
        <f t="shared" si="5"/>
        <v>5005050001</v>
      </c>
      <c r="R17" s="2551">
        <f t="shared" si="1"/>
        <v>0</v>
      </c>
      <c r="S17" s="2551">
        <f t="shared" si="2"/>
        <v>0</v>
      </c>
      <c r="T17" s="2551">
        <f t="shared" si="3"/>
        <v>0</v>
      </c>
      <c r="U17" s="2551">
        <f t="shared" si="4"/>
        <v>0</v>
      </c>
      <c r="V17" s="1119" t="s">
        <v>1021</v>
      </c>
      <c r="W17" s="1119">
        <v>505</v>
      </c>
      <c r="X17" s="1119">
        <v>1</v>
      </c>
      <c r="Y17" s="1119"/>
      <c r="Z17" s="1119"/>
      <c r="AA17" s="1119"/>
      <c r="AB17" s="1119"/>
      <c r="AC17" s="1263">
        <v>7500</v>
      </c>
      <c r="AD17" s="1173" t="s">
        <v>947</v>
      </c>
      <c r="AE17" s="1173">
        <v>800</v>
      </c>
      <c r="AF17" s="1173">
        <v>5000</v>
      </c>
      <c r="AG17" s="1253"/>
      <c r="AH17" s="1253"/>
      <c r="AI17" s="1253">
        <v>5000</v>
      </c>
      <c r="AJ17" s="1253"/>
      <c r="AK17" s="1253"/>
      <c r="AL17" s="1253"/>
      <c r="AM17" s="1173">
        <v>2</v>
      </c>
      <c r="AN17" s="1173" t="s">
        <v>1022</v>
      </c>
      <c r="AO17" s="1262" t="s">
        <v>1021</v>
      </c>
      <c r="AP17" s="1221">
        <v>800</v>
      </c>
      <c r="AQ17" s="1173">
        <v>5000</v>
      </c>
      <c r="AR17" s="1253"/>
      <c r="AS17" s="1253">
        <v>5000</v>
      </c>
      <c r="AT17" s="1173"/>
      <c r="AU17" s="1173">
        <v>2</v>
      </c>
      <c r="AV17" s="1263"/>
      <c r="AW17" s="1262" t="s">
        <v>1021</v>
      </c>
      <c r="AX17" s="1221" t="s">
        <v>998</v>
      </c>
      <c r="AY17" s="1173">
        <v>18750</v>
      </c>
      <c r="AZ17" s="1173">
        <v>6000</v>
      </c>
      <c r="BA17" s="1253"/>
      <c r="BB17" s="1253">
        <v>6000</v>
      </c>
      <c r="BC17" s="1253"/>
      <c r="BD17" s="1173"/>
      <c r="BE17" s="1253">
        <v>13.125</v>
      </c>
      <c r="BF17" s="1253">
        <v>5.625</v>
      </c>
      <c r="BG17" s="1266">
        <v>18.75</v>
      </c>
      <c r="BH17" s="1265">
        <v>8</v>
      </c>
      <c r="BI17" s="1259">
        <v>75</v>
      </c>
    </row>
    <row r="18" spans="1:61" ht="15.75" thickBot="1">
      <c r="A18" s="2868"/>
      <c r="B18" s="2869"/>
      <c r="C18" s="2869"/>
      <c r="D18" s="2869"/>
      <c r="E18" s="2869"/>
      <c r="F18" s="2869"/>
      <c r="G18" s="2869"/>
      <c r="H18" s="2869"/>
      <c r="I18" s="2869"/>
      <c r="J18" s="2869"/>
      <c r="K18" s="2869"/>
      <c r="L18" s="2869"/>
      <c r="M18" s="2869"/>
      <c r="N18" s="2869"/>
      <c r="O18" s="2869"/>
      <c r="P18" s="2869"/>
      <c r="Q18" s="2551" t="str">
        <f t="shared" si="5"/>
        <v>5005070001</v>
      </c>
      <c r="R18" s="2551" t="str">
        <f t="shared" si="1"/>
        <v>5005070005</v>
      </c>
      <c r="S18" s="2551" t="str">
        <f t="shared" si="2"/>
        <v>5005070006</v>
      </c>
      <c r="T18" s="2551">
        <f t="shared" si="3"/>
        <v>0</v>
      </c>
      <c r="U18" s="2551">
        <f t="shared" si="4"/>
        <v>0</v>
      </c>
      <c r="V18" s="1119" t="s">
        <v>1023</v>
      </c>
      <c r="W18" s="1119">
        <v>507</v>
      </c>
      <c r="X18" s="1119">
        <v>1</v>
      </c>
      <c r="Y18" s="1119">
        <v>5</v>
      </c>
      <c r="Z18" s="1119">
        <v>6</v>
      </c>
      <c r="AA18" s="1119"/>
      <c r="AB18" s="1119"/>
      <c r="AC18" s="1263">
        <v>19635</v>
      </c>
      <c r="AD18" s="1173" t="s">
        <v>947</v>
      </c>
      <c r="AE18" s="1173">
        <v>800</v>
      </c>
      <c r="AF18" s="1173">
        <v>14720</v>
      </c>
      <c r="AG18" s="1253"/>
      <c r="AH18" s="1253">
        <v>3751</v>
      </c>
      <c r="AI18" s="1253"/>
      <c r="AJ18" s="1253">
        <v>10969</v>
      </c>
      <c r="AK18" s="1253"/>
      <c r="AL18" s="1253"/>
      <c r="AM18" s="1173">
        <v>1</v>
      </c>
      <c r="AN18" s="1173" t="s">
        <v>1024</v>
      </c>
      <c r="AO18" s="1262" t="s">
        <v>1023</v>
      </c>
      <c r="AP18" s="1221">
        <v>800</v>
      </c>
      <c r="AQ18" s="1173">
        <v>14720</v>
      </c>
      <c r="AR18" s="1253"/>
      <c r="AS18" s="1253">
        <v>14720</v>
      </c>
      <c r="AT18" s="1173"/>
      <c r="AU18" s="1173">
        <v>1</v>
      </c>
      <c r="AV18" s="1263"/>
      <c r="AW18" s="1262" t="s">
        <v>1023</v>
      </c>
      <c r="AX18" s="1221" t="s">
        <v>998</v>
      </c>
      <c r="AY18" s="1173">
        <v>58295.5</v>
      </c>
      <c r="AZ18" s="1173"/>
      <c r="BA18" s="1253"/>
      <c r="BB18" s="1253"/>
      <c r="BC18" s="1253"/>
      <c r="BD18" s="1173">
        <v>6500</v>
      </c>
      <c r="BE18" s="1253">
        <v>40.806849999999997</v>
      </c>
      <c r="BF18" s="1253">
        <v>17.48865</v>
      </c>
      <c r="BG18" s="1266">
        <v>58.295499999999997</v>
      </c>
      <c r="BH18" s="1265">
        <v>24.7755875</v>
      </c>
      <c r="BI18" s="1259">
        <v>75</v>
      </c>
    </row>
    <row r="19" spans="1:61">
      <c r="A19" s="1276" t="s">
        <v>610</v>
      </c>
      <c r="B19" s="1277">
        <f>SUM(AF26:AF29)</f>
        <v>10416</v>
      </c>
      <c r="C19" s="1277">
        <f>SUM(AH26:AH29)</f>
        <v>0</v>
      </c>
      <c r="D19" s="1277">
        <f>SUM(AG26:AG29)</f>
        <v>2444</v>
      </c>
      <c r="E19" s="1278"/>
      <c r="F19" s="1277">
        <f>SUM(AI26:AI29)</f>
        <v>0</v>
      </c>
      <c r="G19" s="1277">
        <f>SUM(AJ26:AJ29)</f>
        <v>1572</v>
      </c>
      <c r="H19" s="1277">
        <f>SUM(AK26:AK29)</f>
        <v>0</v>
      </c>
      <c r="I19" s="1277">
        <f>SUM(AL26:AL29)</f>
        <v>6400</v>
      </c>
      <c r="J19" s="1278"/>
      <c r="K19" s="1277">
        <f>SUM(AE26:AE29)</f>
        <v>2865</v>
      </c>
      <c r="L19" s="1277">
        <f>SUM(AM26:AM29)</f>
        <v>2</v>
      </c>
      <c r="M19" s="1278" t="s">
        <v>952</v>
      </c>
      <c r="N19" s="1277">
        <f>L19</f>
        <v>2</v>
      </c>
      <c r="O19" s="1278" t="s">
        <v>952</v>
      </c>
      <c r="P19" s="1278" t="s">
        <v>952</v>
      </c>
      <c r="Q19" s="2551" t="str">
        <f t="shared" si="5"/>
        <v>5005080009</v>
      </c>
      <c r="R19" s="2551" t="str">
        <f t="shared" si="1"/>
        <v>5005080021</v>
      </c>
      <c r="S19" s="2551">
        <f t="shared" si="2"/>
        <v>0</v>
      </c>
      <c r="T19" s="2551">
        <f t="shared" si="3"/>
        <v>0</v>
      </c>
      <c r="U19" s="2551">
        <f t="shared" si="4"/>
        <v>0</v>
      </c>
      <c r="V19" s="1119" t="s">
        <v>1025</v>
      </c>
      <c r="W19" s="1119">
        <v>508</v>
      </c>
      <c r="X19" s="627">
        <v>9</v>
      </c>
      <c r="Y19" s="627">
        <v>21</v>
      </c>
      <c r="Z19" s="627"/>
      <c r="AA19" s="627"/>
      <c r="AB19" s="627"/>
      <c r="AC19" s="1263">
        <v>12322</v>
      </c>
      <c r="AD19" s="1173" t="s">
        <v>947</v>
      </c>
      <c r="AE19" s="1173">
        <v>4602</v>
      </c>
      <c r="AF19" s="1173">
        <v>7900</v>
      </c>
      <c r="AG19" s="1253">
        <v>3950</v>
      </c>
      <c r="AH19" s="1253"/>
      <c r="AI19" s="1253">
        <v>3950</v>
      </c>
      <c r="AJ19" s="1253"/>
      <c r="AK19" s="1253"/>
      <c r="AL19" s="1253"/>
      <c r="AM19" s="1173">
        <v>7</v>
      </c>
      <c r="AN19" s="1173" t="s">
        <v>1026</v>
      </c>
      <c r="AO19" s="1262" t="s">
        <v>1025</v>
      </c>
      <c r="AP19" s="1221">
        <v>4602</v>
      </c>
      <c r="AQ19" s="1173">
        <v>7900</v>
      </c>
      <c r="AR19" s="1253"/>
      <c r="AS19" s="1253">
        <v>7900</v>
      </c>
      <c r="AT19" s="1173"/>
      <c r="AU19" s="1173">
        <v>7</v>
      </c>
      <c r="AV19" s="1263"/>
      <c r="AW19" s="1262" t="s">
        <v>1025</v>
      </c>
      <c r="AX19" s="1221" t="s">
        <v>1017</v>
      </c>
      <c r="AY19" s="1173">
        <v>33059.4</v>
      </c>
      <c r="AZ19" s="1173"/>
      <c r="BA19" s="1253"/>
      <c r="BB19" s="1253"/>
      <c r="BC19" s="1253"/>
      <c r="BD19" s="1173"/>
      <c r="BE19" s="1253">
        <v>23.141580000000001</v>
      </c>
      <c r="BF19" s="1253">
        <v>9.9178200000000007</v>
      </c>
      <c r="BG19" s="1266">
        <v>33.059400000000004</v>
      </c>
      <c r="BH19" s="1265">
        <v>14.050245</v>
      </c>
      <c r="BI19" s="1259">
        <v>75</v>
      </c>
    </row>
    <row r="20" spans="1:61">
      <c r="A20" s="1279" t="s">
        <v>924</v>
      </c>
      <c r="B20" s="1272">
        <f>SUM(AQ26:AQ29)</f>
        <v>4016</v>
      </c>
      <c r="C20" s="1272">
        <f>SUM(AS26:AS29)</f>
        <v>4016</v>
      </c>
      <c r="D20" s="1272">
        <f>SUM(AR26:AR29)</f>
        <v>0</v>
      </c>
      <c r="E20" s="1273"/>
      <c r="F20" s="1273"/>
      <c r="G20" s="1273"/>
      <c r="H20" s="1273"/>
      <c r="I20" s="1273"/>
      <c r="J20" s="1273"/>
      <c r="K20" s="1272">
        <f>SUM(AP26:AP29)</f>
        <v>2865</v>
      </c>
      <c r="L20" s="1272">
        <f>SUM(AU26:AU29)</f>
        <v>2</v>
      </c>
      <c r="M20" s="1273">
        <v>0</v>
      </c>
      <c r="N20" s="1272">
        <f>L20</f>
        <v>2</v>
      </c>
      <c r="O20" s="1272">
        <f>SUM(AT26:AT29)</f>
        <v>6400</v>
      </c>
      <c r="P20" s="1272">
        <f>SUM(AV26:AV29)</f>
        <v>0</v>
      </c>
      <c r="Q20" s="2551" t="str">
        <f t="shared" si="5"/>
        <v>5005080001</v>
      </c>
      <c r="R20" s="2551">
        <f t="shared" si="1"/>
        <v>0</v>
      </c>
      <c r="S20" s="2551">
        <f t="shared" si="2"/>
        <v>0</v>
      </c>
      <c r="T20" s="2551">
        <f t="shared" si="3"/>
        <v>0</v>
      </c>
      <c r="U20" s="2551">
        <f t="shared" si="4"/>
        <v>0</v>
      </c>
      <c r="V20" s="1119" t="s">
        <v>1027</v>
      </c>
      <c r="W20" s="1119">
        <v>508</v>
      </c>
      <c r="X20" s="1119">
        <v>1</v>
      </c>
      <c r="Y20" s="1119"/>
      <c r="Z20" s="1119"/>
      <c r="AA20" s="1119"/>
      <c r="AB20" s="1119"/>
      <c r="AC20" s="1263">
        <v>17608</v>
      </c>
      <c r="AD20" s="1173" t="s">
        <v>947</v>
      </c>
      <c r="AE20" s="1173"/>
      <c r="AF20" s="1173">
        <v>1575</v>
      </c>
      <c r="AG20" s="1253"/>
      <c r="AH20" s="1253">
        <v>1575</v>
      </c>
      <c r="AI20" s="1253"/>
      <c r="AJ20" s="1253"/>
      <c r="AK20" s="1253"/>
      <c r="AL20" s="1253"/>
      <c r="AM20" s="1173"/>
      <c r="AN20" s="1173" t="s">
        <v>1028</v>
      </c>
      <c r="AO20" s="1262" t="s">
        <v>1027</v>
      </c>
      <c r="AP20" s="1221">
        <v>0</v>
      </c>
      <c r="AQ20" s="1173">
        <v>1575</v>
      </c>
      <c r="AR20" s="1253"/>
      <c r="AS20" s="1253">
        <v>1575</v>
      </c>
      <c r="AT20" s="1173"/>
      <c r="AU20" s="1173">
        <v>0</v>
      </c>
      <c r="AV20" s="1263"/>
      <c r="AW20" s="1262" t="s">
        <v>1027</v>
      </c>
      <c r="AX20" s="1221" t="s">
        <v>998</v>
      </c>
      <c r="AY20" s="1173">
        <v>50106.400000000001</v>
      </c>
      <c r="AZ20" s="1173">
        <v>8000</v>
      </c>
      <c r="BA20" s="1253"/>
      <c r="BB20" s="1253">
        <v>8000</v>
      </c>
      <c r="BC20" s="1253"/>
      <c r="BD20" s="1173"/>
      <c r="BE20" s="1253">
        <v>35.074480000000001</v>
      </c>
      <c r="BF20" s="1253">
        <v>15.03192</v>
      </c>
      <c r="BG20" s="1266">
        <v>50.106400000000001</v>
      </c>
      <c r="BH20" s="1265">
        <v>21.29522</v>
      </c>
      <c r="BI20" s="1259">
        <v>75</v>
      </c>
    </row>
    <row r="21" spans="1:61">
      <c r="A21" s="1279" t="s">
        <v>925</v>
      </c>
      <c r="B21" s="1272">
        <f>SUM(AZ26:AZ29)</f>
        <v>3400</v>
      </c>
      <c r="C21" s="1272">
        <f>SUM(BB26:BB29)</f>
        <v>3400</v>
      </c>
      <c r="D21" s="1272">
        <f>SUM(BA26:BA29)</f>
        <v>0</v>
      </c>
      <c r="E21" s="1272">
        <f>SUM(BC26:BC29)</f>
        <v>0</v>
      </c>
      <c r="F21" s="1273"/>
      <c r="G21" s="1273"/>
      <c r="H21" s="1273"/>
      <c r="I21" s="1273"/>
      <c r="J21" s="1273"/>
      <c r="K21" s="1272">
        <f>SUM(AY26:AY29)</f>
        <v>39485.619999999995</v>
      </c>
      <c r="L21" s="1272">
        <f>SUM(BG26:BG29)</f>
        <v>40.196421999999998</v>
      </c>
      <c r="M21" s="1272">
        <f>SUM(BF26:BF29)</f>
        <v>12.556488</v>
      </c>
      <c r="N21" s="1272">
        <f>SUM(BE26:BE29)</f>
        <v>27.639934</v>
      </c>
      <c r="O21" s="1272">
        <f>SUM(BD26:BD29)</f>
        <v>3000</v>
      </c>
      <c r="P21" s="1272">
        <f>SUM(BH26:BH29)</f>
        <v>8</v>
      </c>
      <c r="Q21" s="2551" t="str">
        <f t="shared" si="5"/>
        <v>5005090034</v>
      </c>
      <c r="R21" s="2551">
        <f t="shared" si="1"/>
        <v>0</v>
      </c>
      <c r="S21" s="2551">
        <f t="shared" si="2"/>
        <v>0</v>
      </c>
      <c r="T21" s="2551">
        <f t="shared" si="3"/>
        <v>0</v>
      </c>
      <c r="U21" s="2551">
        <f t="shared" si="4"/>
        <v>0</v>
      </c>
      <c r="V21" s="1119" t="s">
        <v>1029</v>
      </c>
      <c r="W21" s="1119">
        <v>509</v>
      </c>
      <c r="X21" s="1119">
        <v>34</v>
      </c>
      <c r="Y21" s="1119"/>
      <c r="Z21" s="1119"/>
      <c r="AA21" s="1119"/>
      <c r="AB21" s="1119"/>
      <c r="AC21" s="1263">
        <v>10493</v>
      </c>
      <c r="AD21" s="1173" t="s">
        <v>947</v>
      </c>
      <c r="AE21" s="1173"/>
      <c r="AF21" s="1173">
        <v>10600</v>
      </c>
      <c r="AG21" s="1253">
        <v>2300</v>
      </c>
      <c r="AH21" s="1253"/>
      <c r="AI21" s="1253"/>
      <c r="AJ21" s="1253">
        <v>8300</v>
      </c>
      <c r="AK21" s="1253"/>
      <c r="AL21" s="1253"/>
      <c r="AM21" s="1173"/>
      <c r="AN21" s="1173" t="s">
        <v>1030</v>
      </c>
      <c r="AO21" s="1262" t="s">
        <v>1029</v>
      </c>
      <c r="AP21" s="1221">
        <v>0</v>
      </c>
      <c r="AQ21" s="1173">
        <v>10600</v>
      </c>
      <c r="AR21" s="1253"/>
      <c r="AS21" s="1253"/>
      <c r="AT21" s="1173"/>
      <c r="AU21" s="1173">
        <v>0</v>
      </c>
      <c r="AV21" s="1263"/>
      <c r="AW21" s="1262" t="s">
        <v>1029</v>
      </c>
      <c r="AX21" s="1221" t="s">
        <v>998</v>
      </c>
      <c r="AY21" s="1173">
        <v>34626.9</v>
      </c>
      <c r="AZ21" s="1173"/>
      <c r="BA21" s="1253"/>
      <c r="BB21" s="1253"/>
      <c r="BC21" s="1253"/>
      <c r="BD21" s="1173"/>
      <c r="BE21" s="1253">
        <v>24.238829999999997</v>
      </c>
      <c r="BF21" s="1253">
        <v>10.388069999999999</v>
      </c>
      <c r="BG21" s="1266">
        <v>34.626899999999999</v>
      </c>
      <c r="BH21" s="1265">
        <v>14.716432499999998</v>
      </c>
      <c r="BI21" s="1259">
        <v>75</v>
      </c>
    </row>
    <row r="22" spans="1:61" ht="15.75" thickBot="1">
      <c r="A22" s="1280" t="s">
        <v>948</v>
      </c>
      <c r="B22" s="1268">
        <f>B20-B19</f>
        <v>-6400</v>
      </c>
      <c r="C22" s="1268">
        <f t="shared" ref="C22:P23" si="8">C20-C19</f>
        <v>4016</v>
      </c>
      <c r="D22" s="1268">
        <f t="shared" si="8"/>
        <v>-2444</v>
      </c>
      <c r="E22" s="1268">
        <f t="shared" si="8"/>
        <v>0</v>
      </c>
      <c r="F22" s="1268">
        <f t="shared" si="8"/>
        <v>0</v>
      </c>
      <c r="G22" s="1268">
        <f t="shared" si="8"/>
        <v>-1572</v>
      </c>
      <c r="H22" s="1268">
        <f t="shared" si="8"/>
        <v>0</v>
      </c>
      <c r="I22" s="1268">
        <f t="shared" si="8"/>
        <v>-6400</v>
      </c>
      <c r="J22" s="1268">
        <f t="shared" si="8"/>
        <v>0</v>
      </c>
      <c r="K22" s="1268">
        <f t="shared" si="8"/>
        <v>0</v>
      </c>
      <c r="L22" s="1268">
        <f t="shared" si="8"/>
        <v>0</v>
      </c>
      <c r="M22" s="1268" t="s">
        <v>952</v>
      </c>
      <c r="N22" s="1268">
        <f t="shared" si="8"/>
        <v>0</v>
      </c>
      <c r="O22" s="1268" t="s">
        <v>952</v>
      </c>
      <c r="P22" s="1268" t="s">
        <v>952</v>
      </c>
      <c r="Q22" s="2551" t="str">
        <f t="shared" si="5"/>
        <v>5005100043</v>
      </c>
      <c r="R22" s="2551">
        <f t="shared" si="1"/>
        <v>0</v>
      </c>
      <c r="S22" s="2551">
        <f t="shared" si="2"/>
        <v>0</v>
      </c>
      <c r="T22" s="2551">
        <f t="shared" si="3"/>
        <v>0</v>
      </c>
      <c r="U22" s="2551">
        <f t="shared" si="4"/>
        <v>0</v>
      </c>
      <c r="V22" s="1119" t="s">
        <v>1031</v>
      </c>
      <c r="W22" s="1119">
        <v>510</v>
      </c>
      <c r="X22" s="1119">
        <v>43</v>
      </c>
      <c r="Y22" s="1119"/>
      <c r="Z22" s="1119"/>
      <c r="AA22" s="1119"/>
      <c r="AB22" s="1119"/>
      <c r="AC22" s="1263">
        <v>3500</v>
      </c>
      <c r="AD22" s="1173" t="s">
        <v>1032</v>
      </c>
      <c r="AE22" s="1173"/>
      <c r="AF22" s="1173">
        <v>3216</v>
      </c>
      <c r="AG22" s="1253"/>
      <c r="AH22" s="1253"/>
      <c r="AI22" s="1253">
        <v>3216</v>
      </c>
      <c r="AJ22" s="1253"/>
      <c r="AK22" s="1253"/>
      <c r="AL22" s="1253"/>
      <c r="AM22" s="1173"/>
      <c r="AN22" s="1173" t="s">
        <v>1007</v>
      </c>
      <c r="AO22" s="1262" t="s">
        <v>1031</v>
      </c>
      <c r="AP22" s="1221">
        <v>0</v>
      </c>
      <c r="AQ22" s="1173">
        <v>3216</v>
      </c>
      <c r="AR22" s="1253"/>
      <c r="AS22" s="1253"/>
      <c r="AT22" s="1173"/>
      <c r="AU22" s="1173">
        <v>0</v>
      </c>
      <c r="AV22" s="1263"/>
      <c r="AW22" s="1262" t="s">
        <v>1031</v>
      </c>
      <c r="AX22" s="1221" t="s">
        <v>998</v>
      </c>
      <c r="AY22" s="1173">
        <v>11550</v>
      </c>
      <c r="AZ22" s="1173"/>
      <c r="BA22" s="1253"/>
      <c r="BB22" s="1253"/>
      <c r="BC22" s="1253"/>
      <c r="BD22" s="1173"/>
      <c r="BE22" s="1253">
        <v>8.0850000000000009</v>
      </c>
      <c r="BF22" s="1253">
        <v>3.4650000000000003</v>
      </c>
      <c r="BG22" s="1266">
        <v>11.55</v>
      </c>
      <c r="BH22" s="1265">
        <v>0</v>
      </c>
      <c r="BI22" s="1259">
        <v>75</v>
      </c>
    </row>
    <row r="23" spans="1:61" ht="15.75" thickBot="1">
      <c r="A23" s="1274" t="s">
        <v>949</v>
      </c>
      <c r="B23" s="1275">
        <f>B21-B20</f>
        <v>-616</v>
      </c>
      <c r="C23" s="1275">
        <f t="shared" si="8"/>
        <v>-616</v>
      </c>
      <c r="D23" s="1275">
        <f t="shared" si="8"/>
        <v>0</v>
      </c>
      <c r="E23" s="1275">
        <f t="shared" si="8"/>
        <v>0</v>
      </c>
      <c r="F23" s="1275">
        <f t="shared" si="8"/>
        <v>0</v>
      </c>
      <c r="G23" s="1275">
        <f t="shared" si="8"/>
        <v>0</v>
      </c>
      <c r="H23" s="1275">
        <f t="shared" si="8"/>
        <v>0</v>
      </c>
      <c r="I23" s="1275">
        <f t="shared" si="8"/>
        <v>0</v>
      </c>
      <c r="J23" s="1275">
        <f t="shared" si="8"/>
        <v>0</v>
      </c>
      <c r="K23" s="1275">
        <f t="shared" si="8"/>
        <v>36620.619999999995</v>
      </c>
      <c r="L23" s="1275">
        <f t="shared" si="8"/>
        <v>38.196421999999998</v>
      </c>
      <c r="M23" s="1275">
        <f>M21-M20</f>
        <v>12.556488</v>
      </c>
      <c r="N23" s="1275">
        <f t="shared" si="8"/>
        <v>25.639934</v>
      </c>
      <c r="O23" s="1275">
        <f t="shared" si="8"/>
        <v>-3400</v>
      </c>
      <c r="P23" s="1275">
        <f t="shared" si="8"/>
        <v>8</v>
      </c>
      <c r="Q23" s="2551" t="str">
        <f t="shared" si="5"/>
        <v>5005110001</v>
      </c>
      <c r="R23" s="2551">
        <f t="shared" si="1"/>
        <v>0</v>
      </c>
      <c r="S23" s="2551">
        <f t="shared" si="2"/>
        <v>0</v>
      </c>
      <c r="T23" s="2551">
        <f t="shared" si="3"/>
        <v>0</v>
      </c>
      <c r="U23" s="2551">
        <f t="shared" si="4"/>
        <v>0</v>
      </c>
      <c r="V23" s="1282" t="s">
        <v>1033</v>
      </c>
      <c r="W23" s="1282">
        <v>511</v>
      </c>
      <c r="X23" s="1282">
        <v>1</v>
      </c>
      <c r="Y23" s="1282"/>
      <c r="Z23" s="1282"/>
      <c r="AA23" s="1282"/>
      <c r="AB23" s="1282"/>
      <c r="AC23" s="1283">
        <v>4000</v>
      </c>
      <c r="AD23" s="1173" t="s">
        <v>947</v>
      </c>
      <c r="AE23" s="1173"/>
      <c r="AF23" s="1173">
        <v>4000</v>
      </c>
      <c r="AG23" s="1253"/>
      <c r="AH23" s="1253">
        <v>4000</v>
      </c>
      <c r="AI23" s="1253"/>
      <c r="AJ23" s="1253"/>
      <c r="AK23" s="1253"/>
      <c r="AL23" s="1253"/>
      <c r="AM23" s="1173"/>
      <c r="AN23" s="1173" t="s">
        <v>1034</v>
      </c>
      <c r="AO23" s="1281" t="s">
        <v>1033</v>
      </c>
      <c r="AP23" s="1284">
        <v>0</v>
      </c>
      <c r="AQ23" s="1285">
        <v>4000</v>
      </c>
      <c r="AR23" s="1286"/>
      <c r="AS23" s="1286">
        <v>4000</v>
      </c>
      <c r="AT23" s="1285"/>
      <c r="AU23" s="1173">
        <v>0</v>
      </c>
      <c r="AV23" s="1283"/>
      <c r="AW23" s="1281" t="s">
        <v>1033</v>
      </c>
      <c r="AX23" s="1284" t="s">
        <v>998</v>
      </c>
      <c r="AY23" s="1285">
        <v>11700</v>
      </c>
      <c r="AZ23" s="1285">
        <v>1500</v>
      </c>
      <c r="BA23" s="1286"/>
      <c r="BB23" s="1286">
        <v>1500</v>
      </c>
      <c r="BC23" s="1286"/>
      <c r="BD23" s="1285"/>
      <c r="BE23" s="1286">
        <v>8.19</v>
      </c>
      <c r="BF23" s="1286">
        <v>3.51</v>
      </c>
      <c r="BG23" s="1287">
        <v>11.7</v>
      </c>
      <c r="BH23" s="1288">
        <v>0</v>
      </c>
      <c r="BI23" s="1259">
        <v>75</v>
      </c>
    </row>
    <row r="24" spans="1:61" ht="15" customHeight="1">
      <c r="A24" s="1289"/>
      <c r="B24" s="139"/>
      <c r="C24" s="139"/>
      <c r="D24" s="139"/>
      <c r="E24" s="139"/>
      <c r="F24" s="139"/>
      <c r="G24" s="139"/>
      <c r="H24" s="139"/>
      <c r="I24" s="139"/>
      <c r="J24" s="139"/>
      <c r="K24" s="139"/>
      <c r="L24" s="139"/>
      <c r="M24" s="139"/>
      <c r="N24" s="139"/>
      <c r="O24" s="139"/>
      <c r="P24" s="139"/>
      <c r="Q24" s="139"/>
      <c r="R24" s="139"/>
      <c r="S24" s="139"/>
      <c r="T24" s="139"/>
      <c r="U24" s="139"/>
      <c r="V24" s="2843" t="s">
        <v>1035</v>
      </c>
      <c r="W24" s="2843"/>
      <c r="X24" s="2843"/>
      <c r="Y24" s="2843"/>
      <c r="Z24" s="2843"/>
      <c r="AA24" s="2843"/>
      <c r="AB24" s="2843"/>
      <c r="AC24" s="2844"/>
      <c r="AD24" s="2842" t="s">
        <v>1035</v>
      </c>
      <c r="AE24" s="2843"/>
      <c r="AF24" s="2843"/>
      <c r="AG24" s="2843"/>
      <c r="AH24" s="2843"/>
      <c r="AI24" s="2843"/>
      <c r="AJ24" s="2843"/>
      <c r="AK24" s="2843"/>
      <c r="AL24" s="2843"/>
      <c r="AM24" s="2843"/>
      <c r="AN24" s="2844"/>
      <c r="AO24" s="2306"/>
      <c r="AP24" s="2842" t="s">
        <v>1035</v>
      </c>
      <c r="AQ24" s="2843"/>
      <c r="AR24" s="2843"/>
      <c r="AS24" s="2843"/>
      <c r="AT24" s="2843"/>
      <c r="AU24" s="2843"/>
      <c r="AV24" s="2844"/>
      <c r="AW24" s="2306"/>
      <c r="AX24" s="2842" t="s">
        <v>1035</v>
      </c>
      <c r="AY24" s="2843"/>
      <c r="AZ24" s="2843"/>
      <c r="BA24" s="2843"/>
      <c r="BB24" s="2843"/>
      <c r="BC24" s="2843"/>
      <c r="BD24" s="2843"/>
      <c r="BE24" s="2843"/>
      <c r="BF24" s="2843"/>
      <c r="BG24" s="2843"/>
      <c r="BH24" s="2844"/>
      <c r="BI24" s="1248"/>
    </row>
    <row r="25" spans="1:61" ht="15" customHeight="1" thickBot="1">
      <c r="A25" s="139"/>
      <c r="B25" s="139"/>
      <c r="C25" s="139"/>
      <c r="D25" s="139"/>
      <c r="E25" s="139"/>
      <c r="F25" s="139"/>
      <c r="G25" s="139"/>
      <c r="H25" s="139"/>
      <c r="I25" s="139"/>
      <c r="J25" s="139"/>
      <c r="K25" s="139"/>
      <c r="L25" s="139"/>
      <c r="M25" s="139"/>
      <c r="N25" s="139"/>
      <c r="O25" s="139"/>
      <c r="P25" s="139"/>
      <c r="Q25" s="139"/>
      <c r="R25" s="139"/>
      <c r="S25" s="139"/>
      <c r="T25" s="139"/>
      <c r="U25" s="139"/>
      <c r="V25" s="2846"/>
      <c r="W25" s="2846"/>
      <c r="X25" s="2846"/>
      <c r="Y25" s="2846"/>
      <c r="Z25" s="2846"/>
      <c r="AA25" s="2846"/>
      <c r="AB25" s="2846"/>
      <c r="AC25" s="2847"/>
      <c r="AD25" s="2845"/>
      <c r="AE25" s="2846"/>
      <c r="AF25" s="2846"/>
      <c r="AG25" s="2846"/>
      <c r="AH25" s="2846"/>
      <c r="AI25" s="2846"/>
      <c r="AJ25" s="2846"/>
      <c r="AK25" s="2846"/>
      <c r="AL25" s="2846"/>
      <c r="AM25" s="2846"/>
      <c r="AN25" s="2847"/>
      <c r="AO25" s="2307"/>
      <c r="AP25" s="2845"/>
      <c r="AQ25" s="2846"/>
      <c r="AR25" s="2846"/>
      <c r="AS25" s="2846"/>
      <c r="AT25" s="2846"/>
      <c r="AU25" s="2846"/>
      <c r="AV25" s="2847"/>
      <c r="AW25" s="2307"/>
      <c r="AX25" s="2845"/>
      <c r="AY25" s="2846"/>
      <c r="AZ25" s="2846"/>
      <c r="BA25" s="2846"/>
      <c r="BB25" s="2846"/>
      <c r="BC25" s="2846"/>
      <c r="BD25" s="2846"/>
      <c r="BE25" s="2846"/>
      <c r="BF25" s="2846"/>
      <c r="BG25" s="2846"/>
      <c r="BH25" s="2847"/>
      <c r="BI25" s="1248"/>
    </row>
    <row r="26" spans="1:61">
      <c r="A26" s="139"/>
      <c r="B26" s="139"/>
      <c r="C26" s="139"/>
      <c r="D26" s="139"/>
      <c r="E26" s="139"/>
      <c r="F26" s="139"/>
      <c r="G26" s="139"/>
      <c r="H26" s="139"/>
      <c r="I26" s="139"/>
      <c r="J26" s="139"/>
      <c r="K26" s="139"/>
      <c r="L26" s="139"/>
      <c r="M26" s="139"/>
      <c r="N26" s="139"/>
      <c r="O26" s="139"/>
      <c r="P26" s="139"/>
      <c r="Q26" s="2551" t="str">
        <f t="shared" ref="Q26:Q29" si="9">IF(X26="",,5&amp;IF(LEN($W26)=1,"0000"&amp;$W26,IF(LEN($W26)=2,"000"&amp;$W26,IF(LEN($W26)=3,"00"&amp;$W26,IF(LEN($W26)=4,"0"&amp;$W26,IF(LEN($W26)=5,$W26,0)))))&amp;IF(LEN(X26)=1,"000"&amp;X26,IF(LEN(X26)=2,"00"&amp;X26,IF(LEN(X26)=3,"0"&amp;X26,IF(LEN(X26)=4,X26,0)))))</f>
        <v>5005260043</v>
      </c>
      <c r="R26" s="2551">
        <f t="shared" ref="R26:R29" si="10">IF(Y26="",,5&amp;IF(LEN($W26)=1,"0000"&amp;$W26,IF(LEN($W26)=2,"000"&amp;$W26,IF(LEN($W26)=3,"00"&amp;$W26,IF(LEN($W26)=4,"0"&amp;$W26,IF(LEN($W26)=5,$W26,0)))))&amp;IF(LEN(Y26)=1,"000"&amp;Y26,IF(LEN(Y26)=2,"00"&amp;Y26,IF(LEN(Y26)=3,"0"&amp;Y26,IF(LEN(Y26)=4,Y26,0)))))</f>
        <v>0</v>
      </c>
      <c r="S26" s="2551">
        <f t="shared" ref="S26:S29" si="11">IF(Z26="",,5&amp;IF(LEN($W26)=1,"0000"&amp;$W26,IF(LEN($W26)=2,"000"&amp;$W26,IF(LEN($W26)=3,"00"&amp;$W26,IF(LEN($W26)=4,"0"&amp;$W26,IF(LEN($W26)=5,$W26,0)))))&amp;IF(LEN(Z26)=1,"000"&amp;Z26,IF(LEN(Z26)=2,"00"&amp;Z26,IF(LEN(Z26)=3,"0"&amp;Z26,IF(LEN(Z26)=4,Z26,0)))))</f>
        <v>0</v>
      </c>
      <c r="T26" s="2551">
        <f t="shared" ref="T26:T29" si="12">IF(AA26="",,5&amp;IF(LEN($W26)=1,"0000"&amp;$W26,IF(LEN($W26)=2,"000"&amp;$W26,IF(LEN($W26)=3,"00"&amp;$W26,IF(LEN($W26)=4,"0"&amp;$W26,IF(LEN($W26)=5,$W26,0)))))&amp;IF(LEN(AA26)=1,"000"&amp;AA26,IF(LEN(AA26)=2,"00"&amp;AA26,IF(LEN(AA26)=3,"0"&amp;AA26,IF(LEN(AA26)=4,AA26,0)))))</f>
        <v>0</v>
      </c>
      <c r="U26" s="2551">
        <f t="shared" ref="U26:U29" si="13">IF(AB26="",,5&amp;IF(LEN($W26)=1,"0000"&amp;$W26,IF(LEN($W26)=2,"000"&amp;$W26,IF(LEN($W26)=3,"00"&amp;$W26,IF(LEN($W26)=4,"0"&amp;$W26,IF(LEN($W26)=5,$W26,0)))))&amp;IF(LEN(AB26)=1,"000"&amp;AB26,IF(LEN(AB26)=2,"00"&amp;AB26,IF(LEN(AB26)=3,"0"&amp;AB26,IF(LEN(AB26)=4,AB26,0)))))</f>
        <v>0</v>
      </c>
      <c r="V26" s="1255" t="s">
        <v>1036</v>
      </c>
      <c r="W26" s="1255">
        <v>526</v>
      </c>
      <c r="X26" s="1255">
        <v>43</v>
      </c>
      <c r="Y26" s="1255"/>
      <c r="Z26" s="1255"/>
      <c r="AA26" s="1255"/>
      <c r="AB26" s="1255"/>
      <c r="AC26" s="1252">
        <v>2814</v>
      </c>
      <c r="AD26" s="1254" t="s">
        <v>958</v>
      </c>
      <c r="AE26" s="1255"/>
      <c r="AF26" s="1255">
        <v>3016</v>
      </c>
      <c r="AG26" s="1256">
        <v>2444</v>
      </c>
      <c r="AH26" s="1256"/>
      <c r="AI26" s="1256"/>
      <c r="AJ26" s="1256">
        <v>572</v>
      </c>
      <c r="AK26" s="1256"/>
      <c r="AL26" s="1256"/>
      <c r="AM26" s="1255"/>
      <c r="AN26" s="1252" t="s">
        <v>1037</v>
      </c>
      <c r="AO26" s="1254" t="s">
        <v>1036</v>
      </c>
      <c r="AP26" s="1254">
        <v>0</v>
      </c>
      <c r="AQ26" s="1255">
        <v>3016</v>
      </c>
      <c r="AR26" s="1256"/>
      <c r="AS26" s="1256">
        <v>3016</v>
      </c>
      <c r="AT26" s="1255"/>
      <c r="AU26" s="1255">
        <v>0</v>
      </c>
      <c r="AV26" s="1252"/>
      <c r="AW26" s="1254" t="s">
        <v>1036</v>
      </c>
      <c r="AX26" s="1254" t="s">
        <v>1008</v>
      </c>
      <c r="AY26" s="1255">
        <v>5609.88</v>
      </c>
      <c r="AZ26" s="1255">
        <v>1200</v>
      </c>
      <c r="BA26" s="1256"/>
      <c r="BB26" s="1256">
        <v>1200</v>
      </c>
      <c r="BC26" s="1256"/>
      <c r="BD26" s="1255"/>
      <c r="BE26" s="1256">
        <v>3.9269159999999999</v>
      </c>
      <c r="BF26" s="1256">
        <v>1.6829640000000001</v>
      </c>
      <c r="BG26" s="1255">
        <v>5.6098800000000004</v>
      </c>
      <c r="BH26" s="1252"/>
      <c r="BI26" s="1173">
        <v>55</v>
      </c>
    </row>
    <row r="27" spans="1:61">
      <c r="A27"/>
      <c r="B27"/>
      <c r="C27"/>
      <c r="D27"/>
      <c r="E27"/>
      <c r="F27"/>
      <c r="G27"/>
      <c r="H27"/>
      <c r="I27"/>
      <c r="J27" s="139"/>
      <c r="K27" s="139"/>
      <c r="L27" s="139"/>
      <c r="M27" s="139"/>
      <c r="N27" s="139"/>
      <c r="O27" s="139"/>
      <c r="P27" s="139"/>
      <c r="Q27" s="2551" t="str">
        <f t="shared" si="9"/>
        <v>5005260052</v>
      </c>
      <c r="R27" s="2551">
        <f t="shared" si="10"/>
        <v>0</v>
      </c>
      <c r="S27" s="2551">
        <f t="shared" si="11"/>
        <v>0</v>
      </c>
      <c r="T27" s="2551">
        <f t="shared" si="12"/>
        <v>0</v>
      </c>
      <c r="U27" s="2551">
        <f t="shared" si="13"/>
        <v>0</v>
      </c>
      <c r="V27" s="1173" t="s">
        <v>1038</v>
      </c>
      <c r="W27" s="1173">
        <v>526</v>
      </c>
      <c r="X27" s="1173">
        <v>52</v>
      </c>
      <c r="Y27" s="1173"/>
      <c r="Z27" s="1173"/>
      <c r="AA27" s="1173"/>
      <c r="AB27" s="1173"/>
      <c r="AC27" s="1263">
        <v>3374</v>
      </c>
      <c r="AD27" s="1221" t="s">
        <v>958</v>
      </c>
      <c r="AE27" s="1173">
        <v>1665</v>
      </c>
      <c r="AF27" s="1173"/>
      <c r="AG27" s="1253"/>
      <c r="AH27" s="1253"/>
      <c r="AI27" s="1253"/>
      <c r="AJ27" s="1253"/>
      <c r="AK27" s="1253"/>
      <c r="AL27" s="1253"/>
      <c r="AM27" s="1173">
        <v>1</v>
      </c>
      <c r="AN27" s="1263" t="s">
        <v>1039</v>
      </c>
      <c r="AO27" s="1221" t="s">
        <v>1038</v>
      </c>
      <c r="AP27" s="1221">
        <v>1665</v>
      </c>
      <c r="AQ27" s="1173"/>
      <c r="AR27" s="1253"/>
      <c r="AS27" s="1253"/>
      <c r="AT27" s="1173"/>
      <c r="AU27" s="1173">
        <v>1</v>
      </c>
      <c r="AV27" s="1263"/>
      <c r="AW27" s="1221" t="s">
        <v>1038</v>
      </c>
      <c r="AX27" s="1221" t="s">
        <v>1008</v>
      </c>
      <c r="AY27" s="1173">
        <v>7465.08</v>
      </c>
      <c r="AZ27" s="1173">
        <v>700</v>
      </c>
      <c r="BA27" s="1253"/>
      <c r="BB27" s="1253">
        <v>700</v>
      </c>
      <c r="BC27" s="1253"/>
      <c r="BD27" s="1173"/>
      <c r="BE27" s="1253">
        <v>5.2255559999999992</v>
      </c>
      <c r="BF27" s="1253">
        <v>2.2395239999999998</v>
      </c>
      <c r="BG27" s="1173">
        <v>7.4650799999999995</v>
      </c>
      <c r="BH27" s="1263"/>
      <c r="BI27" s="1173">
        <v>55</v>
      </c>
    </row>
    <row r="28" spans="1:61">
      <c r="A28"/>
      <c r="B28"/>
      <c r="C28"/>
      <c r="D28"/>
      <c r="E28"/>
      <c r="F28"/>
      <c r="G28"/>
      <c r="H28"/>
      <c r="I28"/>
      <c r="Q28" s="2551" t="str">
        <f t="shared" si="9"/>
        <v>5005260053</v>
      </c>
      <c r="R28" s="2551">
        <f t="shared" si="10"/>
        <v>0</v>
      </c>
      <c r="S28" s="2551">
        <f t="shared" si="11"/>
        <v>0</v>
      </c>
      <c r="T28" s="2551">
        <f t="shared" si="12"/>
        <v>0</v>
      </c>
      <c r="U28" s="2551">
        <f t="shared" si="13"/>
        <v>0</v>
      </c>
      <c r="V28" s="1221" t="s">
        <v>1040</v>
      </c>
      <c r="W28" s="1173">
        <v>526</v>
      </c>
      <c r="X28" s="1173">
        <v>53</v>
      </c>
      <c r="Y28" s="1173"/>
      <c r="Z28" s="1173"/>
      <c r="AA28" s="1173"/>
      <c r="AB28" s="1173"/>
      <c r="AC28" s="1263">
        <v>3773</v>
      </c>
      <c r="AD28" s="1221" t="s">
        <v>958</v>
      </c>
      <c r="AE28" s="1173">
        <v>1200</v>
      </c>
      <c r="AF28" s="1173">
        <v>1000</v>
      </c>
      <c r="AG28" s="1253"/>
      <c r="AH28" s="1253"/>
      <c r="AI28" s="1253"/>
      <c r="AJ28" s="1253">
        <v>1000</v>
      </c>
      <c r="AK28" s="1253"/>
      <c r="AL28" s="1253"/>
      <c r="AM28" s="1173">
        <v>1</v>
      </c>
      <c r="AN28" s="1263" t="s">
        <v>1041</v>
      </c>
      <c r="AO28" s="1221" t="s">
        <v>1040</v>
      </c>
      <c r="AP28" s="1221">
        <v>1200</v>
      </c>
      <c r="AQ28" s="1173">
        <v>1000</v>
      </c>
      <c r="AR28" s="1253"/>
      <c r="AS28" s="1253">
        <v>1000</v>
      </c>
      <c r="AT28" s="1173"/>
      <c r="AU28" s="1173">
        <v>1</v>
      </c>
      <c r="AV28" s="1263"/>
      <c r="AW28" s="1221" t="s">
        <v>1040</v>
      </c>
      <c r="AX28" s="1221" t="s">
        <v>1008</v>
      </c>
      <c r="AY28" s="1173">
        <v>7630.66</v>
      </c>
      <c r="AZ28" s="1173">
        <v>1500</v>
      </c>
      <c r="BA28" s="1253"/>
      <c r="BB28" s="1253">
        <v>1500</v>
      </c>
      <c r="BC28" s="1253"/>
      <c r="BD28" s="1173"/>
      <c r="BE28" s="1253">
        <v>5.3414619999999999</v>
      </c>
      <c r="BF28" s="1253">
        <v>3</v>
      </c>
      <c r="BG28" s="1173">
        <f>SUM(BE28:BF28)</f>
        <v>8.3414619999999999</v>
      </c>
      <c r="BH28" s="1263"/>
      <c r="BI28" s="1173">
        <v>55</v>
      </c>
    </row>
    <row r="29" spans="1:61" ht="15.75" thickBot="1">
      <c r="A29"/>
      <c r="B29"/>
      <c r="C29"/>
      <c r="D29"/>
      <c r="E29"/>
      <c r="F29"/>
      <c r="G29"/>
      <c r="H29"/>
      <c r="I29"/>
      <c r="Q29" s="2551" t="str">
        <f t="shared" si="9"/>
        <v>5005270059</v>
      </c>
      <c r="R29" s="2551">
        <f t="shared" si="10"/>
        <v>0</v>
      </c>
      <c r="S29" s="2551">
        <f t="shared" si="11"/>
        <v>0</v>
      </c>
      <c r="T29" s="2551">
        <f t="shared" si="12"/>
        <v>0</v>
      </c>
      <c r="U29" s="2551">
        <f t="shared" si="13"/>
        <v>0</v>
      </c>
      <c r="V29" s="1284" t="s">
        <v>1042</v>
      </c>
      <c r="W29" s="1285">
        <v>527</v>
      </c>
      <c r="X29" s="1285">
        <v>59</v>
      </c>
      <c r="Y29" s="1285"/>
      <c r="Z29" s="1285"/>
      <c r="AA29" s="1285"/>
      <c r="AB29" s="1285"/>
      <c r="AC29" s="1283">
        <v>9000</v>
      </c>
      <c r="AD29" s="1284" t="s">
        <v>960</v>
      </c>
      <c r="AE29" s="1285"/>
      <c r="AF29" s="1285">
        <v>6400</v>
      </c>
      <c r="AG29" s="1286"/>
      <c r="AH29" s="1286"/>
      <c r="AI29" s="1286"/>
      <c r="AJ29" s="1286"/>
      <c r="AK29" s="1286"/>
      <c r="AL29" s="1286">
        <v>6400</v>
      </c>
      <c r="AM29" s="1285"/>
      <c r="AN29" s="1283" t="s">
        <v>1043</v>
      </c>
      <c r="AO29" s="1284" t="s">
        <v>1042</v>
      </c>
      <c r="AP29" s="1284">
        <v>0</v>
      </c>
      <c r="AQ29" s="1285"/>
      <c r="AR29" s="1286"/>
      <c r="AS29" s="1286"/>
      <c r="AT29" s="1285">
        <v>6400</v>
      </c>
      <c r="AU29" s="1285">
        <v>0</v>
      </c>
      <c r="AV29" s="1283"/>
      <c r="AW29" s="1284" t="s">
        <v>1042</v>
      </c>
      <c r="AX29" s="1284" t="s">
        <v>1008</v>
      </c>
      <c r="AY29" s="1285">
        <v>18780</v>
      </c>
      <c r="AZ29" s="1285"/>
      <c r="BA29" s="1286"/>
      <c r="BB29" s="1286"/>
      <c r="BC29" s="1286"/>
      <c r="BD29" s="1285">
        <v>3000</v>
      </c>
      <c r="BE29" s="1286">
        <v>13.146000000000001</v>
      </c>
      <c r="BF29" s="1286">
        <v>5.6340000000000003</v>
      </c>
      <c r="BG29" s="1285">
        <v>18.78</v>
      </c>
      <c r="BH29" s="1283">
        <v>8</v>
      </c>
      <c r="BI29" s="1173">
        <v>55</v>
      </c>
    </row>
    <row r="30" spans="1:61">
      <c r="A30"/>
      <c r="B30"/>
      <c r="C30"/>
      <c r="D30"/>
      <c r="E30"/>
      <c r="F30"/>
      <c r="G30"/>
      <c r="H30"/>
      <c r="I30"/>
    </row>
    <row r="31" spans="1:61">
      <c r="A31"/>
      <c r="B31"/>
      <c r="C31"/>
      <c r="D31"/>
      <c r="E31"/>
      <c r="F31"/>
      <c r="G31"/>
      <c r="H31"/>
      <c r="I31"/>
      <c r="AP31" s="2870">
        <v>12667</v>
      </c>
      <c r="AQ31" s="2865">
        <v>176354</v>
      </c>
      <c r="AR31" s="2871">
        <v>12600</v>
      </c>
      <c r="AS31" s="2871">
        <v>116188</v>
      </c>
      <c r="AT31" s="2865">
        <v>6400</v>
      </c>
      <c r="AU31" s="2865">
        <v>16</v>
      </c>
      <c r="AV31" s="2865">
        <v>4</v>
      </c>
      <c r="AW31" s="2304"/>
      <c r="AX31" s="2870"/>
      <c r="AY31" s="2870">
        <v>759156.48</v>
      </c>
      <c r="AZ31" s="2870">
        <v>88702</v>
      </c>
      <c r="BA31" s="2871">
        <v>21202</v>
      </c>
      <c r="BB31" s="2871">
        <v>59000</v>
      </c>
      <c r="BC31" s="2871">
        <v>8500</v>
      </c>
      <c r="BD31" s="2870">
        <v>9500</v>
      </c>
      <c r="BE31" s="2871">
        <v>531.40953599999989</v>
      </c>
      <c r="BF31" s="2871">
        <v>227.74694400000004</v>
      </c>
      <c r="BG31" s="2870">
        <v>759.15647999999987</v>
      </c>
      <c r="BH31" s="2870">
        <v>298.70565549999998</v>
      </c>
      <c r="BI31" s="2303"/>
    </row>
    <row r="32" spans="1:61">
      <c r="A32"/>
      <c r="B32"/>
      <c r="C32"/>
      <c r="D32"/>
      <c r="E32"/>
      <c r="F32"/>
      <c r="G32"/>
      <c r="H32"/>
      <c r="I32"/>
      <c r="AP32" s="2870"/>
      <c r="AQ32" s="2865"/>
      <c r="AR32" s="2871"/>
      <c r="AS32" s="2871"/>
      <c r="AT32" s="2865"/>
      <c r="AU32" s="2865"/>
      <c r="AV32" s="2865"/>
      <c r="AW32" s="2304"/>
      <c r="AX32" s="2870"/>
      <c r="AY32" s="2870"/>
      <c r="AZ32" s="2870"/>
      <c r="BA32" s="2871"/>
      <c r="BB32" s="2871"/>
      <c r="BC32" s="2871"/>
      <c r="BD32" s="2870"/>
      <c r="BE32" s="2871"/>
      <c r="BF32" s="2871"/>
      <c r="BG32" s="2870"/>
      <c r="BH32" s="2870"/>
      <c r="BI32" s="2303"/>
    </row>
    <row r="33" spans="42:61">
      <c r="AP33" s="1290"/>
      <c r="AX33" s="2870"/>
      <c r="AY33" s="2870">
        <v>746489.48</v>
      </c>
      <c r="AZ33" s="2865">
        <v>-87652</v>
      </c>
      <c r="BA33" s="2872">
        <v>8602</v>
      </c>
      <c r="BB33" s="2872">
        <v>-57188</v>
      </c>
      <c r="BC33" s="2871">
        <v>8500</v>
      </c>
      <c r="BD33" s="2870">
        <v>3100</v>
      </c>
      <c r="BE33" s="2871">
        <v>515.40953599999989</v>
      </c>
      <c r="BF33" s="2871">
        <v>227.74694400000004</v>
      </c>
      <c r="BG33" s="2870">
        <v>743.15647999999987</v>
      </c>
      <c r="BH33" s="2865">
        <v>294.70565549999998</v>
      </c>
      <c r="BI33" s="2304"/>
    </row>
    <row r="34" spans="42:61">
      <c r="AX34" s="2870"/>
      <c r="AY34" s="2870"/>
      <c r="AZ34" s="2865"/>
      <c r="BA34" s="2872"/>
      <c r="BB34" s="2872"/>
      <c r="BC34" s="2871"/>
      <c r="BD34" s="2870"/>
      <c r="BE34" s="2871"/>
      <c r="BF34" s="2871"/>
      <c r="BG34" s="2873"/>
      <c r="BH34" s="2874"/>
      <c r="BI34" s="2305"/>
    </row>
    <row r="38" spans="42:61">
      <c r="AY38" s="1291"/>
    </row>
  </sheetData>
  <mergeCells count="45">
    <mergeCell ref="BG33:BG34"/>
    <mergeCell ref="BH33:BH34"/>
    <mergeCell ref="AX33:AX34"/>
    <mergeCell ref="AY33:AY34"/>
    <mergeCell ref="AZ33:AZ34"/>
    <mergeCell ref="BA33:BA34"/>
    <mergeCell ref="BB33:BB34"/>
    <mergeCell ref="BC33:BC34"/>
    <mergeCell ref="BC31:BC32"/>
    <mergeCell ref="BD31:BD32"/>
    <mergeCell ref="BE31:BE32"/>
    <mergeCell ref="BF31:BF32"/>
    <mergeCell ref="BD33:BD34"/>
    <mergeCell ref="BE33:BE34"/>
    <mergeCell ref="BF33:BF34"/>
    <mergeCell ref="BG31:BG32"/>
    <mergeCell ref="BH31:BH32"/>
    <mergeCell ref="AV31:AV32"/>
    <mergeCell ref="AX31:AX32"/>
    <mergeCell ref="AY31:AY32"/>
    <mergeCell ref="AZ31:AZ32"/>
    <mergeCell ref="BA31:BA32"/>
    <mergeCell ref="BB31:BB32"/>
    <mergeCell ref="AU31:AU32"/>
    <mergeCell ref="A10:P11"/>
    <mergeCell ref="A17:P18"/>
    <mergeCell ref="V24:AC25"/>
    <mergeCell ref="AD24:AN25"/>
    <mergeCell ref="AP24:AV25"/>
    <mergeCell ref="AP31:AP32"/>
    <mergeCell ref="AQ31:AQ32"/>
    <mergeCell ref="AR31:AR32"/>
    <mergeCell ref="AS31:AS32"/>
    <mergeCell ref="AT31:AT32"/>
    <mergeCell ref="AX24:BH25"/>
    <mergeCell ref="A1:P1"/>
    <mergeCell ref="V1:AC1"/>
    <mergeCell ref="AD1:AN1"/>
    <mergeCell ref="AP1:AV1"/>
    <mergeCell ref="AX1:BH1"/>
    <mergeCell ref="A3:P4"/>
    <mergeCell ref="V3:AC4"/>
    <mergeCell ref="AD3:AN4"/>
    <mergeCell ref="AP3:AV4"/>
    <mergeCell ref="AX3:BH4"/>
  </mergeCells>
  <pageMargins left="0.25" right="0.25" top="0.75" bottom="0.75" header="0.3" footer="0.3"/>
  <pageSetup paperSize="17"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39997558519241921"/>
  </sheetPr>
  <dimension ref="A1"/>
  <sheetViews>
    <sheetView workbookViewId="0"/>
  </sheetViews>
  <sheetFormatPr defaultRowHeight="1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AS167"/>
  <sheetViews>
    <sheetView zoomScale="70" zoomScaleNormal="70" workbookViewId="0">
      <selection activeCell="A4" sqref="A4"/>
    </sheetView>
  </sheetViews>
  <sheetFormatPr defaultRowHeight="15"/>
  <cols>
    <col min="2" max="2" width="32.7109375" bestFit="1" customWidth="1"/>
    <col min="4" max="4" width="9.140625" style="659"/>
    <col min="5" max="5" width="32.5703125" style="1294" customWidth="1"/>
    <col min="6" max="6" width="12.42578125" style="1294" bestFit="1" customWidth="1"/>
    <col min="7" max="7" width="15.28515625" style="659" customWidth="1"/>
    <col min="10" max="10" width="12.5703125" style="659" customWidth="1"/>
    <col min="11" max="12" width="14.140625" style="659" bestFit="1" customWidth="1"/>
    <col min="13" max="13" width="15.5703125" style="659" bestFit="1" customWidth="1"/>
    <col min="14" max="14" width="11.42578125" style="659" customWidth="1"/>
    <col min="15" max="15" width="14.5703125" style="659" customWidth="1"/>
    <col min="16" max="16" width="12.28515625" style="659" customWidth="1"/>
    <col min="17" max="17" width="13.140625" style="1598" customWidth="1"/>
    <col min="18" max="18" width="13.85546875" style="1598" customWidth="1"/>
    <col min="19" max="19" width="13" style="659" customWidth="1"/>
    <col min="20" max="20" width="13.5703125" style="659" customWidth="1"/>
    <col min="21" max="21" width="13" style="659" hidden="1" customWidth="1"/>
    <col min="22" max="22" width="16.42578125" style="659" customWidth="1"/>
    <col min="23" max="23" width="12" style="659" hidden="1" customWidth="1"/>
    <col min="24" max="24" width="11.42578125" customWidth="1"/>
    <col min="25" max="25" width="8" customWidth="1"/>
    <col min="26" max="26" width="15.28515625" customWidth="1"/>
    <col min="27" max="27" width="13.42578125" customWidth="1"/>
    <col min="28" max="28" width="15" customWidth="1"/>
    <col min="30" max="31" width="17" customWidth="1"/>
    <col min="32" max="35" width="15" customWidth="1"/>
    <col min="36" max="36" width="15" hidden="1" customWidth="1"/>
    <col min="37" max="40" width="16.140625" customWidth="1"/>
    <col min="41" max="41" width="16.140625" hidden="1" customWidth="1"/>
    <col min="42" max="42" width="16.140625" customWidth="1"/>
    <col min="43" max="43" width="16.140625" hidden="1" customWidth="1"/>
    <col min="44" max="44" width="16.140625" customWidth="1"/>
  </cols>
  <sheetData>
    <row r="1" spans="1:44" ht="46.5">
      <c r="B1" s="1292" t="s">
        <v>1044</v>
      </c>
      <c r="C1" s="1293"/>
      <c r="Q1" s="659"/>
      <c r="R1" s="659"/>
      <c r="AL1" s="1295"/>
    </row>
    <row r="2" spans="1:44" ht="15.75" thickBot="1">
      <c r="Q2" s="659"/>
      <c r="R2" s="659"/>
    </row>
    <row r="3" spans="1:44" ht="33.75" customHeight="1" thickBot="1">
      <c r="B3" s="1296" t="s">
        <v>1045</v>
      </c>
      <c r="C3" s="1297"/>
      <c r="D3" s="1297"/>
      <c r="E3" s="1297"/>
      <c r="F3" s="1297"/>
      <c r="G3" s="1297"/>
      <c r="H3" s="1297"/>
      <c r="I3" s="1297"/>
      <c r="J3" s="1297"/>
      <c r="K3" s="1297"/>
      <c r="L3" s="1297"/>
      <c r="M3" s="1297"/>
      <c r="N3" s="1297"/>
      <c r="O3" s="1297"/>
      <c r="P3" s="1297"/>
      <c r="Q3" s="1297"/>
      <c r="R3" s="1297"/>
      <c r="S3" s="1297"/>
      <c r="T3" s="1297"/>
      <c r="U3" s="1297"/>
      <c r="V3" s="1297"/>
      <c r="W3" s="1297"/>
      <c r="X3" s="1297"/>
      <c r="Y3" s="1297"/>
      <c r="Z3" s="1297"/>
      <c r="AA3" s="1297"/>
      <c r="AB3" s="1297"/>
      <c r="AC3" s="1297"/>
      <c r="AD3" s="1297"/>
      <c r="AE3" s="1297"/>
      <c r="AF3" s="1297"/>
      <c r="AG3" s="1297"/>
      <c r="AH3" s="1297"/>
      <c r="AI3" s="1297"/>
      <c r="AJ3" s="1297"/>
      <c r="AK3" s="1297"/>
      <c r="AL3" s="1297"/>
      <c r="AM3" s="1297"/>
      <c r="AN3" s="1297"/>
      <c r="AO3" s="1297"/>
      <c r="AP3" s="1298"/>
      <c r="AQ3" s="1298"/>
    </row>
    <row r="4" spans="1:44" ht="41.25" customHeight="1" thickBot="1">
      <c r="B4" s="2875" t="s">
        <v>609</v>
      </c>
      <c r="C4" s="2876"/>
      <c r="D4" s="2877"/>
      <c r="E4" s="2877"/>
      <c r="F4" s="2878"/>
      <c r="G4" s="2879"/>
      <c r="H4" s="2880" t="s">
        <v>1046</v>
      </c>
      <c r="I4" s="2800"/>
      <c r="J4" s="2800"/>
      <c r="K4" s="2800"/>
      <c r="L4" s="2800"/>
      <c r="M4" s="2800"/>
      <c r="N4" s="2800"/>
      <c r="O4" s="2800"/>
      <c r="P4" s="2800"/>
      <c r="Q4" s="2800"/>
      <c r="R4" s="2800"/>
      <c r="S4" s="2800"/>
      <c r="T4" s="2800"/>
      <c r="U4" s="2800"/>
      <c r="V4" s="2800"/>
      <c r="W4" s="2800"/>
      <c r="X4" s="2880" t="s">
        <v>1047</v>
      </c>
      <c r="Y4" s="2881"/>
      <c r="Z4" s="2881"/>
      <c r="AA4" s="2881"/>
      <c r="AB4" s="2881"/>
      <c r="AC4" s="2881"/>
      <c r="AD4" s="2881"/>
      <c r="AE4" s="2881"/>
      <c r="AF4" s="2881"/>
      <c r="AG4" s="2881"/>
      <c r="AH4" s="2881"/>
      <c r="AI4" s="2881"/>
      <c r="AJ4" s="2882"/>
      <c r="AK4" s="2883" t="s">
        <v>1048</v>
      </c>
      <c r="AL4" s="2884"/>
      <c r="AM4" s="2884"/>
      <c r="AN4" s="2884"/>
      <c r="AO4" s="2884"/>
      <c r="AP4" s="2885"/>
      <c r="AQ4" s="2348"/>
      <c r="AR4" s="1208"/>
    </row>
    <row r="5" spans="1:44" ht="26.25" customHeight="1" thickBot="1">
      <c r="B5" s="2886" t="s">
        <v>1049</v>
      </c>
      <c r="C5" s="2886" t="s">
        <v>936</v>
      </c>
      <c r="D5" s="2889" t="s">
        <v>937</v>
      </c>
      <c r="E5" s="2892" t="s">
        <v>1050</v>
      </c>
      <c r="F5" s="2895" t="s">
        <v>1051</v>
      </c>
      <c r="G5" s="2897" t="s">
        <v>1052</v>
      </c>
      <c r="H5" s="2924" t="s">
        <v>1053</v>
      </c>
      <c r="I5" s="2925"/>
      <c r="J5" s="2926"/>
      <c r="K5" s="2906" t="s">
        <v>1054</v>
      </c>
      <c r="L5" s="2927"/>
      <c r="M5" s="2927"/>
      <c r="N5" s="2927"/>
      <c r="O5" s="2928" t="s">
        <v>1055</v>
      </c>
      <c r="P5" s="2800"/>
      <c r="Q5" s="2800"/>
      <c r="R5" s="2800"/>
      <c r="S5" s="2801"/>
      <c r="T5" s="2929" t="s">
        <v>1056</v>
      </c>
      <c r="U5" s="2929" t="s">
        <v>823</v>
      </c>
      <c r="V5" s="2929" t="s">
        <v>986</v>
      </c>
      <c r="W5" s="2900" t="s">
        <v>1057</v>
      </c>
      <c r="X5" s="2903" t="s">
        <v>1053</v>
      </c>
      <c r="Y5" s="2904"/>
      <c r="Z5" s="2905"/>
      <c r="AA5" s="2906" t="s">
        <v>1054</v>
      </c>
      <c r="AB5" s="2907"/>
      <c r="AC5" s="2908"/>
      <c r="AD5" s="2909" t="s">
        <v>1058</v>
      </c>
      <c r="AE5" s="2910"/>
      <c r="AF5" s="2910"/>
      <c r="AG5" s="2910"/>
      <c r="AH5" s="2910"/>
      <c r="AI5" s="2910"/>
      <c r="AJ5" s="2911"/>
      <c r="AK5" s="2317"/>
      <c r="AL5" s="2318"/>
      <c r="AM5" s="2318"/>
      <c r="AN5" s="2318"/>
      <c r="AO5" s="2318"/>
      <c r="AP5" s="2349"/>
      <c r="AQ5" s="2319"/>
    </row>
    <row r="6" spans="1:44" ht="15" customHeight="1">
      <c r="B6" s="2887"/>
      <c r="C6" s="2887"/>
      <c r="D6" s="2890"/>
      <c r="E6" s="2893"/>
      <c r="F6" s="3695"/>
      <c r="G6" s="2898"/>
      <c r="H6" s="2912" t="s">
        <v>939</v>
      </c>
      <c r="I6" s="2913"/>
      <c r="J6" s="2918" t="s">
        <v>1059</v>
      </c>
      <c r="K6" s="2918" t="s">
        <v>1060</v>
      </c>
      <c r="L6" s="2918" t="s">
        <v>1061</v>
      </c>
      <c r="M6" s="2918" t="s">
        <v>1062</v>
      </c>
      <c r="N6" s="2921" t="s">
        <v>1063</v>
      </c>
      <c r="O6" s="2922" t="s">
        <v>1064</v>
      </c>
      <c r="P6" s="2922" t="s">
        <v>1065</v>
      </c>
      <c r="Q6" s="2922" t="s">
        <v>1066</v>
      </c>
      <c r="R6" s="2922" t="s">
        <v>1067</v>
      </c>
      <c r="S6" s="2922" t="s">
        <v>1068</v>
      </c>
      <c r="T6" s="2930"/>
      <c r="U6" s="2930"/>
      <c r="V6" s="2930"/>
      <c r="W6" s="2901"/>
      <c r="X6" s="2948" t="s">
        <v>990</v>
      </c>
      <c r="Y6" s="2949"/>
      <c r="Z6" s="2954" t="s">
        <v>1069</v>
      </c>
      <c r="AA6" s="2918" t="s">
        <v>1070</v>
      </c>
      <c r="AB6" s="2918" t="s">
        <v>1061</v>
      </c>
      <c r="AC6" s="2918" t="s">
        <v>1071</v>
      </c>
      <c r="AD6" s="2929" t="s">
        <v>1072</v>
      </c>
      <c r="AE6" s="2929" t="s">
        <v>1073</v>
      </c>
      <c r="AF6" s="2929" t="s">
        <v>1074</v>
      </c>
      <c r="AG6" s="2945" t="s">
        <v>1075</v>
      </c>
      <c r="AH6" s="2945" t="s">
        <v>822</v>
      </c>
      <c r="AI6" s="2929" t="s">
        <v>1076</v>
      </c>
      <c r="AJ6" s="2929" t="s">
        <v>1057</v>
      </c>
      <c r="AK6" s="2929" t="s">
        <v>1072</v>
      </c>
      <c r="AL6" s="2929" t="s">
        <v>1073</v>
      </c>
      <c r="AM6" s="2929" t="s">
        <v>1074</v>
      </c>
      <c r="AN6" s="2945" t="s">
        <v>1075</v>
      </c>
      <c r="AO6" s="2945" t="s">
        <v>822</v>
      </c>
      <c r="AP6" s="2929" t="s">
        <v>1076</v>
      </c>
      <c r="AQ6" s="2934" t="s">
        <v>1057</v>
      </c>
    </row>
    <row r="7" spans="1:44">
      <c r="B7" s="2887"/>
      <c r="C7" s="2887"/>
      <c r="D7" s="2890"/>
      <c r="E7" s="2893"/>
      <c r="F7" s="3695"/>
      <c r="G7" s="2898"/>
      <c r="H7" s="2914"/>
      <c r="I7" s="2915"/>
      <c r="J7" s="2919"/>
      <c r="K7" s="2919"/>
      <c r="L7" s="2919"/>
      <c r="M7" s="2919"/>
      <c r="N7" s="2922"/>
      <c r="O7" s="2922"/>
      <c r="P7" s="2922"/>
      <c r="Q7" s="2922"/>
      <c r="R7" s="2922"/>
      <c r="S7" s="2922"/>
      <c r="T7" s="2930"/>
      <c r="U7" s="2930"/>
      <c r="V7" s="2930"/>
      <c r="W7" s="2901"/>
      <c r="X7" s="2950"/>
      <c r="Y7" s="2951"/>
      <c r="Z7" s="2955"/>
      <c r="AA7" s="2919"/>
      <c r="AB7" s="2919"/>
      <c r="AC7" s="2919"/>
      <c r="AD7" s="2932"/>
      <c r="AE7" s="2932"/>
      <c r="AF7" s="2932"/>
      <c r="AG7" s="2946"/>
      <c r="AH7" s="2946"/>
      <c r="AI7" s="2932"/>
      <c r="AJ7" s="2932"/>
      <c r="AK7" s="2932"/>
      <c r="AL7" s="2932"/>
      <c r="AM7" s="2932"/>
      <c r="AN7" s="2946"/>
      <c r="AO7" s="2946"/>
      <c r="AP7" s="2932"/>
      <c r="AQ7" s="2935"/>
    </row>
    <row r="8" spans="1:44" ht="21.75" customHeight="1" thickBot="1">
      <c r="B8" s="2888"/>
      <c r="C8" s="2888"/>
      <c r="D8" s="2891"/>
      <c r="E8" s="2894"/>
      <c r="F8" s="2896"/>
      <c r="G8" s="2899"/>
      <c r="H8" s="2916"/>
      <c r="I8" s="2917"/>
      <c r="J8" s="2920"/>
      <c r="K8" s="2920"/>
      <c r="L8" s="2920"/>
      <c r="M8" s="2920"/>
      <c r="N8" s="2923"/>
      <c r="O8" s="2923"/>
      <c r="P8" s="2923"/>
      <c r="Q8" s="2923"/>
      <c r="R8" s="2923"/>
      <c r="S8" s="2923"/>
      <c r="T8" s="2931"/>
      <c r="U8" s="2931"/>
      <c r="V8" s="2931"/>
      <c r="W8" s="2902"/>
      <c r="X8" s="2952"/>
      <c r="Y8" s="2953"/>
      <c r="Z8" s="2956"/>
      <c r="AA8" s="2920"/>
      <c r="AB8" s="2920"/>
      <c r="AC8" s="2920"/>
      <c r="AD8" s="2933"/>
      <c r="AE8" s="2933"/>
      <c r="AF8" s="2933"/>
      <c r="AG8" s="2947"/>
      <c r="AH8" s="2947"/>
      <c r="AI8" s="2933"/>
      <c r="AJ8" s="2933"/>
      <c r="AK8" s="2933"/>
      <c r="AL8" s="2933"/>
      <c r="AM8" s="2933"/>
      <c r="AN8" s="2947"/>
      <c r="AO8" s="2947"/>
      <c r="AP8" s="2933"/>
      <c r="AQ8" s="2936"/>
    </row>
    <row r="9" spans="1:44" ht="39" customHeight="1" thickBot="1">
      <c r="A9" s="23"/>
      <c r="B9" s="1299">
        <v>1</v>
      </c>
      <c r="C9" s="1300">
        <v>15661</v>
      </c>
      <c r="D9" s="1300">
        <v>80</v>
      </c>
      <c r="E9" s="1300" t="s">
        <v>1077</v>
      </c>
      <c r="F9" s="1300" t="s">
        <v>1078</v>
      </c>
      <c r="G9" s="1301">
        <v>14995</v>
      </c>
      <c r="H9" s="2937" t="s">
        <v>1079</v>
      </c>
      <c r="I9" s="2938"/>
      <c r="J9" s="1300" t="s">
        <v>1080</v>
      </c>
      <c r="K9" s="1300">
        <v>1.25</v>
      </c>
      <c r="L9" s="1300">
        <v>1</v>
      </c>
      <c r="M9" s="1300">
        <v>2</v>
      </c>
      <c r="N9" s="1300">
        <v>0.16</v>
      </c>
      <c r="O9" s="1302">
        <v>2400</v>
      </c>
      <c r="P9" s="1302">
        <v>2400</v>
      </c>
      <c r="Q9" s="1300">
        <v>0</v>
      </c>
      <c r="R9" s="1300">
        <v>0</v>
      </c>
      <c r="S9" s="1300">
        <v>0</v>
      </c>
      <c r="T9" s="1300">
        <v>0</v>
      </c>
      <c r="U9" s="1300">
        <v>0</v>
      </c>
      <c r="V9" s="2346" t="s">
        <v>1081</v>
      </c>
      <c r="W9" s="1303">
        <v>20</v>
      </c>
      <c r="X9" s="2939" t="s">
        <v>1082</v>
      </c>
      <c r="Y9" s="2940"/>
      <c r="Z9" s="2347" t="s">
        <v>706</v>
      </c>
      <c r="AA9" s="2324">
        <v>3.6</v>
      </c>
      <c r="AB9" s="2324">
        <v>2</v>
      </c>
      <c r="AC9" s="1300">
        <v>4.8</v>
      </c>
      <c r="AD9" s="1304">
        <v>0</v>
      </c>
      <c r="AE9" s="1304">
        <f>'[2]Projected Sites Summary'!I3</f>
        <v>6290</v>
      </c>
      <c r="AF9" s="1304">
        <f>'[2]Projected Sites Summary'!F3</f>
        <v>46000</v>
      </c>
      <c r="AG9" s="1304">
        <f>'[2]Projected Sites Summary'!G3</f>
        <v>46</v>
      </c>
      <c r="AH9" s="1304">
        <f>AG9*0.3</f>
        <v>13.799999999999999</v>
      </c>
      <c r="AI9" s="1305">
        <f>SUM(AD9:AF9)</f>
        <v>52290</v>
      </c>
      <c r="AJ9" s="1306">
        <f>'[2]Projected Sites Summary'!L3</f>
        <v>16.675000000000001</v>
      </c>
      <c r="AK9" s="1304">
        <f>AD9-P9</f>
        <v>-2400</v>
      </c>
      <c r="AL9" s="1304">
        <f>AE9</f>
        <v>6290</v>
      </c>
      <c r="AM9" s="1304">
        <f>AF9-S9</f>
        <v>46000</v>
      </c>
      <c r="AN9" s="1304">
        <f t="shared" ref="AN9:AO12" si="0">AG9</f>
        <v>46</v>
      </c>
      <c r="AO9" s="1304">
        <f t="shared" si="0"/>
        <v>13.799999999999999</v>
      </c>
      <c r="AP9" s="1305">
        <f>AI9-O9</f>
        <v>49890</v>
      </c>
      <c r="AQ9" s="1306">
        <f>AJ9-W9</f>
        <v>-3.3249999999999993</v>
      </c>
    </row>
    <row r="10" spans="1:44" ht="33.75" customHeight="1" thickBot="1">
      <c r="A10" s="23"/>
      <c r="B10" s="1307">
        <v>2</v>
      </c>
      <c r="C10" s="2336">
        <v>15528</v>
      </c>
      <c r="D10" s="2336">
        <v>9</v>
      </c>
      <c r="E10" s="2336" t="s">
        <v>1083</v>
      </c>
      <c r="F10" s="2336" t="s">
        <v>1078</v>
      </c>
      <c r="G10" s="1308">
        <v>11500</v>
      </c>
      <c r="H10" s="2941" t="s">
        <v>1079</v>
      </c>
      <c r="I10" s="2942" t="s">
        <v>1084</v>
      </c>
      <c r="J10" s="2336" t="s">
        <v>1080</v>
      </c>
      <c r="K10" s="2336">
        <v>1.25</v>
      </c>
      <c r="L10" s="2336">
        <v>1</v>
      </c>
      <c r="M10" s="2336">
        <v>2</v>
      </c>
      <c r="N10" s="2336">
        <v>0.31</v>
      </c>
      <c r="O10" s="1308">
        <v>3600</v>
      </c>
      <c r="P10" s="1308">
        <v>3600</v>
      </c>
      <c r="Q10" s="1308">
        <v>0</v>
      </c>
      <c r="R10" s="1308">
        <v>0</v>
      </c>
      <c r="S10" s="2336">
        <v>0</v>
      </c>
      <c r="T10" s="2336">
        <v>0</v>
      </c>
      <c r="U10" s="2336">
        <v>0</v>
      </c>
      <c r="V10" s="2325" t="s">
        <v>1085</v>
      </c>
      <c r="W10" s="1309">
        <v>0</v>
      </c>
      <c r="X10" s="2943" t="s">
        <v>1082</v>
      </c>
      <c r="Y10" s="2944" t="s">
        <v>1086</v>
      </c>
      <c r="Z10" s="2332" t="s">
        <v>706</v>
      </c>
      <c r="AA10" s="2324">
        <v>3.6</v>
      </c>
      <c r="AB10" s="2324">
        <v>2</v>
      </c>
      <c r="AC10" s="1300">
        <v>4.8</v>
      </c>
      <c r="AD10" s="1310">
        <f>'[2]Projected Sites Summary'!J5</f>
        <v>6290</v>
      </c>
      <c r="AE10" s="1310">
        <v>0</v>
      </c>
      <c r="AF10" s="1310">
        <f>'[2]Projected Sites Summary'!F5</f>
        <v>30000</v>
      </c>
      <c r="AG10" s="1310">
        <f>'[2]Projected Sites Summary'!G5</f>
        <v>30</v>
      </c>
      <c r="AH10" s="1310">
        <f>AG10*0.3</f>
        <v>9</v>
      </c>
      <c r="AI10" s="1311">
        <f>SUM(AD10:AF10)</f>
        <v>36290</v>
      </c>
      <c r="AJ10" s="1312">
        <f>'[2]Projected Sites Summary'!L5</f>
        <v>11.25</v>
      </c>
      <c r="AK10" s="1310">
        <f>AD10-P10</f>
        <v>2690</v>
      </c>
      <c r="AL10" s="1310">
        <f>AE10</f>
        <v>0</v>
      </c>
      <c r="AM10" s="1310">
        <f>AF10-S10</f>
        <v>30000</v>
      </c>
      <c r="AN10" s="1310">
        <f t="shared" si="0"/>
        <v>30</v>
      </c>
      <c r="AO10" s="1310">
        <f t="shared" si="0"/>
        <v>9</v>
      </c>
      <c r="AP10" s="1311">
        <f>AI10-O10</f>
        <v>32690</v>
      </c>
      <c r="AQ10" s="1312">
        <f>AJ10-W10</f>
        <v>11.25</v>
      </c>
    </row>
    <row r="11" spans="1:44" ht="33" customHeight="1" thickBot="1">
      <c r="A11" s="23"/>
      <c r="B11" s="1299">
        <v>3</v>
      </c>
      <c r="C11" s="1300">
        <v>15705</v>
      </c>
      <c r="D11" s="1300">
        <v>140</v>
      </c>
      <c r="E11" s="1300" t="s">
        <v>1087</v>
      </c>
      <c r="F11" s="1300" t="s">
        <v>1088</v>
      </c>
      <c r="G11" s="1301">
        <v>13710</v>
      </c>
      <c r="H11" s="2937" t="s">
        <v>1084</v>
      </c>
      <c r="I11" s="2938"/>
      <c r="J11" s="1300" t="s">
        <v>1089</v>
      </c>
      <c r="K11" s="1300">
        <v>0</v>
      </c>
      <c r="L11" s="1300">
        <v>1</v>
      </c>
      <c r="M11" s="1300">
        <v>2.4</v>
      </c>
      <c r="N11" s="1300">
        <v>0.06</v>
      </c>
      <c r="O11" s="1300">
        <v>840</v>
      </c>
      <c r="P11" s="1300">
        <v>0</v>
      </c>
      <c r="Q11" s="1300">
        <v>0</v>
      </c>
      <c r="R11" s="1300">
        <v>0</v>
      </c>
      <c r="S11" s="1300">
        <v>0</v>
      </c>
      <c r="T11" s="1300">
        <v>0</v>
      </c>
      <c r="U11" s="1300">
        <v>0</v>
      </c>
      <c r="V11" s="2346" t="s">
        <v>718</v>
      </c>
      <c r="W11" s="1303">
        <v>0</v>
      </c>
      <c r="X11" s="2939" t="s">
        <v>1082</v>
      </c>
      <c r="Y11" s="2940" t="s">
        <v>1086</v>
      </c>
      <c r="Z11" s="2347" t="s">
        <v>706</v>
      </c>
      <c r="AA11" s="2324">
        <v>3.6</v>
      </c>
      <c r="AB11" s="2324">
        <v>2</v>
      </c>
      <c r="AC11" s="1300">
        <v>4.8</v>
      </c>
      <c r="AD11" s="1304">
        <f>'[2]Projected Sites Summary'!J7</f>
        <v>4845</v>
      </c>
      <c r="AE11" s="1304">
        <f>'[2]Projected Sites Summary'!I7</f>
        <v>0</v>
      </c>
      <c r="AF11" s="1304">
        <f>'[2]Projected Sites Summary'!F7</f>
        <v>42900</v>
      </c>
      <c r="AG11" s="1304">
        <f>'[2]Projected Sites Summary'!G7</f>
        <v>42.9</v>
      </c>
      <c r="AH11" s="1304">
        <f>AG11*0.3</f>
        <v>12.87</v>
      </c>
      <c r="AI11" s="1305">
        <f>SUM(AD11:AF11)</f>
        <v>47745</v>
      </c>
      <c r="AJ11" s="1306">
        <f>'[2]Projected Sites Summary'!L7</f>
        <v>16.087499999999999</v>
      </c>
      <c r="AK11" s="1304">
        <f>AD11-P11</f>
        <v>4845</v>
      </c>
      <c r="AL11" s="1304">
        <f>AE11</f>
        <v>0</v>
      </c>
      <c r="AM11" s="1304">
        <f>AF11-S11</f>
        <v>42900</v>
      </c>
      <c r="AN11" s="1304">
        <f t="shared" si="0"/>
        <v>42.9</v>
      </c>
      <c r="AO11" s="1304">
        <f t="shared" si="0"/>
        <v>12.87</v>
      </c>
      <c r="AP11" s="1305">
        <f>AI11-O11</f>
        <v>46905</v>
      </c>
      <c r="AQ11" s="1306">
        <f>AJ11-W11</f>
        <v>16.087499999999999</v>
      </c>
    </row>
    <row r="12" spans="1:44" ht="24.75" customHeight="1" thickBot="1">
      <c r="A12" s="23"/>
      <c r="B12" s="2957">
        <v>4</v>
      </c>
      <c r="C12" s="2340">
        <v>15705</v>
      </c>
      <c r="D12" s="2340">
        <v>6</v>
      </c>
      <c r="E12" s="2340" t="s">
        <v>1090</v>
      </c>
      <c r="F12" s="2340" t="s">
        <v>1088</v>
      </c>
      <c r="G12" s="1313">
        <v>8668</v>
      </c>
      <c r="H12" s="2960" t="s">
        <v>1084</v>
      </c>
      <c r="I12" s="2961"/>
      <c r="J12" s="2340"/>
      <c r="K12" s="2340">
        <v>0</v>
      </c>
      <c r="L12" s="2340">
        <v>1</v>
      </c>
      <c r="M12" s="2340">
        <v>2.4</v>
      </c>
      <c r="N12" s="2340">
        <v>0</v>
      </c>
      <c r="O12" s="2340">
        <v>0</v>
      </c>
      <c r="P12" s="2340">
        <v>0</v>
      </c>
      <c r="Q12" s="2340">
        <v>0</v>
      </c>
      <c r="R12" s="2340">
        <v>0</v>
      </c>
      <c r="S12" s="2340">
        <v>0</v>
      </c>
      <c r="T12" s="2340">
        <v>0</v>
      </c>
      <c r="U12" s="2340">
        <v>0</v>
      </c>
      <c r="V12" s="2962" t="s">
        <v>718</v>
      </c>
      <c r="W12" s="2964">
        <v>0</v>
      </c>
      <c r="X12" s="2966" t="s">
        <v>1082</v>
      </c>
      <c r="Y12" s="2967"/>
      <c r="Z12" s="2326" t="s">
        <v>706</v>
      </c>
      <c r="AA12" s="2327">
        <v>3.6</v>
      </c>
      <c r="AB12" s="2327">
        <v>2</v>
      </c>
      <c r="AC12" s="1300">
        <v>4.8</v>
      </c>
      <c r="AD12" s="1314">
        <f>'[2]Projected Sites Summary'!J9</f>
        <v>17680</v>
      </c>
      <c r="AE12" s="1314">
        <f>'[2]Projected Sites Summary'!I9</f>
        <v>0</v>
      </c>
      <c r="AF12" s="1314">
        <f>'[2]Projected Sites Summary'!F9</f>
        <v>103300</v>
      </c>
      <c r="AG12" s="1314">
        <f>'[2]Projected Sites Summary'!G9</f>
        <v>103.3</v>
      </c>
      <c r="AH12" s="1314">
        <f>AG12*0.3</f>
        <v>30.99</v>
      </c>
      <c r="AI12" s="1315">
        <f>SUM(AD12:AF15)</f>
        <v>120980</v>
      </c>
      <c r="AJ12" s="1316">
        <f>'[2]Projected Sites Summary'!L9</f>
        <v>38.737499999999997</v>
      </c>
      <c r="AK12" s="1314">
        <f>AD12-P12</f>
        <v>17680</v>
      </c>
      <c r="AL12" s="1314">
        <f>AE12</f>
        <v>0</v>
      </c>
      <c r="AM12" s="1314">
        <f>AF12-S12</f>
        <v>103300</v>
      </c>
      <c r="AN12" s="1314">
        <f t="shared" si="0"/>
        <v>103.3</v>
      </c>
      <c r="AO12" s="1314">
        <f t="shared" si="0"/>
        <v>30.99</v>
      </c>
      <c r="AP12" s="1315">
        <f>AI12-O12</f>
        <v>120980</v>
      </c>
      <c r="AQ12" s="1316">
        <f>AJ12-W12</f>
        <v>38.737499999999997</v>
      </c>
    </row>
    <row r="13" spans="1:44" ht="22.5" customHeight="1" thickBot="1">
      <c r="A13" s="23"/>
      <c r="B13" s="2958"/>
      <c r="C13" s="2341">
        <v>15705</v>
      </c>
      <c r="D13" s="2341">
        <v>78</v>
      </c>
      <c r="E13" s="2341" t="s">
        <v>1091</v>
      </c>
      <c r="F13" s="2341" t="s">
        <v>1088</v>
      </c>
      <c r="G13" s="1317">
        <v>14060</v>
      </c>
      <c r="H13" s="2968" t="s">
        <v>1084</v>
      </c>
      <c r="I13" s="2969"/>
      <c r="J13" s="2341"/>
      <c r="K13" s="2341">
        <v>0</v>
      </c>
      <c r="L13" s="2341">
        <v>1</v>
      </c>
      <c r="M13" s="2341">
        <v>2.4</v>
      </c>
      <c r="N13" s="2341">
        <v>0</v>
      </c>
      <c r="O13" s="2341">
        <v>0</v>
      </c>
      <c r="P13" s="2341">
        <v>0</v>
      </c>
      <c r="Q13" s="2341">
        <v>0</v>
      </c>
      <c r="R13" s="2341">
        <v>0</v>
      </c>
      <c r="S13" s="2341">
        <v>0</v>
      </c>
      <c r="T13" s="2341">
        <v>0</v>
      </c>
      <c r="U13" s="2341">
        <v>0</v>
      </c>
      <c r="V13" s="3696"/>
      <c r="W13" s="3697"/>
      <c r="X13" s="2970" t="s">
        <v>1082</v>
      </c>
      <c r="Y13" s="2971"/>
      <c r="Z13" s="2342" t="s">
        <v>706</v>
      </c>
      <c r="AA13" s="2321">
        <v>3.6</v>
      </c>
      <c r="AB13" s="2321">
        <v>2</v>
      </c>
      <c r="AC13" s="1300">
        <v>4.8</v>
      </c>
      <c r="AD13" s="3698"/>
      <c r="AE13" s="3698"/>
      <c r="AF13" s="3698"/>
      <c r="AG13" s="3698"/>
      <c r="AH13" s="3698"/>
      <c r="AI13" s="1318"/>
      <c r="AJ13" s="1319"/>
      <c r="AK13" s="3698"/>
      <c r="AL13" s="3698"/>
      <c r="AM13" s="3698"/>
      <c r="AN13" s="3698"/>
      <c r="AO13" s="3698"/>
      <c r="AP13" s="1318"/>
      <c r="AQ13" s="1319"/>
    </row>
    <row r="14" spans="1:44" ht="22.5" customHeight="1" thickBot="1">
      <c r="A14" s="23"/>
      <c r="B14" s="2958"/>
      <c r="C14" s="2341">
        <v>15705</v>
      </c>
      <c r="D14" s="2341">
        <v>81</v>
      </c>
      <c r="E14" s="2341" t="s">
        <v>1092</v>
      </c>
      <c r="F14" s="2341" t="s">
        <v>1088</v>
      </c>
      <c r="G14" s="1317">
        <v>4770</v>
      </c>
      <c r="H14" s="2968" t="s">
        <v>1084</v>
      </c>
      <c r="I14" s="2969"/>
      <c r="J14" s="2341"/>
      <c r="K14" s="2341">
        <v>0</v>
      </c>
      <c r="L14" s="2341">
        <v>1</v>
      </c>
      <c r="M14" s="2341">
        <v>2.4</v>
      </c>
      <c r="N14" s="2341">
        <v>0</v>
      </c>
      <c r="O14" s="2341">
        <v>0</v>
      </c>
      <c r="P14" s="2341">
        <v>0</v>
      </c>
      <c r="Q14" s="2341">
        <v>0</v>
      </c>
      <c r="R14" s="2341">
        <v>0</v>
      </c>
      <c r="S14" s="2341">
        <v>0</v>
      </c>
      <c r="T14" s="2341">
        <v>0</v>
      </c>
      <c r="U14" s="2341">
        <v>0</v>
      </c>
      <c r="V14" s="3696"/>
      <c r="W14" s="3697"/>
      <c r="X14" s="2970" t="s">
        <v>1082</v>
      </c>
      <c r="Y14" s="2971"/>
      <c r="Z14" s="2342" t="s">
        <v>706</v>
      </c>
      <c r="AA14" s="2321">
        <v>3.6</v>
      </c>
      <c r="AB14" s="2321">
        <v>2</v>
      </c>
      <c r="AC14" s="1300">
        <v>4.8</v>
      </c>
      <c r="AD14" s="3698"/>
      <c r="AE14" s="3698"/>
      <c r="AF14" s="3698"/>
      <c r="AG14" s="3698"/>
      <c r="AH14" s="3698"/>
      <c r="AI14" s="1318"/>
      <c r="AJ14" s="1319"/>
      <c r="AK14" s="3698"/>
      <c r="AL14" s="3698"/>
      <c r="AM14" s="3698"/>
      <c r="AN14" s="3698"/>
      <c r="AO14" s="3698"/>
      <c r="AP14" s="1318"/>
      <c r="AQ14" s="1319"/>
    </row>
    <row r="15" spans="1:44" ht="24" customHeight="1" thickBot="1">
      <c r="A15" s="23"/>
      <c r="B15" s="2959"/>
      <c r="C15" s="2343">
        <v>15705</v>
      </c>
      <c r="D15" s="2343">
        <v>84</v>
      </c>
      <c r="E15" s="2343" t="s">
        <v>1093</v>
      </c>
      <c r="F15" s="2343" t="s">
        <v>1088</v>
      </c>
      <c r="G15" s="1320">
        <v>6570</v>
      </c>
      <c r="H15" s="2972" t="s">
        <v>1084</v>
      </c>
      <c r="I15" s="2973"/>
      <c r="J15" s="2343"/>
      <c r="K15" s="2343">
        <v>0</v>
      </c>
      <c r="L15" s="2343">
        <v>1</v>
      </c>
      <c r="M15" s="2343">
        <v>2.4</v>
      </c>
      <c r="N15" s="2343">
        <v>0</v>
      </c>
      <c r="O15" s="2343">
        <v>0</v>
      </c>
      <c r="P15" s="2343">
        <v>0</v>
      </c>
      <c r="Q15" s="2343">
        <v>0</v>
      </c>
      <c r="R15" s="2343">
        <v>0</v>
      </c>
      <c r="S15" s="2343">
        <v>0</v>
      </c>
      <c r="T15" s="2343">
        <v>0</v>
      </c>
      <c r="U15" s="2343">
        <v>0</v>
      </c>
      <c r="V15" s="2963"/>
      <c r="W15" s="2965"/>
      <c r="X15" s="2974" t="s">
        <v>1082</v>
      </c>
      <c r="Y15" s="2975"/>
      <c r="Z15" s="2329" t="s">
        <v>706</v>
      </c>
      <c r="AA15" s="2322">
        <v>3.6</v>
      </c>
      <c r="AB15" s="2322">
        <v>2</v>
      </c>
      <c r="AC15" s="1300">
        <v>4.8</v>
      </c>
      <c r="AD15" s="1321"/>
      <c r="AE15" s="1321"/>
      <c r="AF15" s="1321"/>
      <c r="AG15" s="1321"/>
      <c r="AH15" s="1321"/>
      <c r="AI15" s="1322"/>
      <c r="AJ15" s="1323"/>
      <c r="AK15" s="1321"/>
      <c r="AL15" s="1321"/>
      <c r="AM15" s="1321"/>
      <c r="AN15" s="1321"/>
      <c r="AO15" s="1321"/>
      <c r="AP15" s="1322"/>
      <c r="AQ15" s="1323"/>
    </row>
    <row r="16" spans="1:44" ht="22.5" customHeight="1" thickBot="1">
      <c r="A16" s="23"/>
      <c r="B16" s="2976">
        <v>5</v>
      </c>
      <c r="C16" s="1324">
        <v>15705</v>
      </c>
      <c r="D16" s="1324">
        <v>1</v>
      </c>
      <c r="E16" s="1324" t="s">
        <v>1094</v>
      </c>
      <c r="F16" s="1324" t="s">
        <v>1088</v>
      </c>
      <c r="G16" s="1325">
        <v>9968</v>
      </c>
      <c r="H16" s="2978" t="s">
        <v>1084</v>
      </c>
      <c r="I16" s="2979"/>
      <c r="J16" s="1325"/>
      <c r="K16" s="1324">
        <v>0</v>
      </c>
      <c r="L16" s="1324">
        <v>1</v>
      </c>
      <c r="M16" s="1324">
        <v>2.4</v>
      </c>
      <c r="N16" s="1324">
        <v>0.16</v>
      </c>
      <c r="O16" s="1324">
        <v>1634</v>
      </c>
      <c r="P16" s="1324">
        <v>1634</v>
      </c>
      <c r="Q16" s="1324">
        <v>0</v>
      </c>
      <c r="R16" s="1324">
        <v>0</v>
      </c>
      <c r="S16" s="1324">
        <v>0</v>
      </c>
      <c r="T16" s="1324">
        <v>0</v>
      </c>
      <c r="U16" s="1324">
        <v>0</v>
      </c>
      <c r="V16" s="2980" t="s">
        <v>641</v>
      </c>
      <c r="W16" s="2981">
        <v>0</v>
      </c>
      <c r="X16" s="2982" t="s">
        <v>1082</v>
      </c>
      <c r="Y16" s="2983"/>
      <c r="Z16" s="2327" t="s">
        <v>706</v>
      </c>
      <c r="AA16" s="2327">
        <v>3.6</v>
      </c>
      <c r="AB16" s="2327">
        <v>2</v>
      </c>
      <c r="AC16" s="1300">
        <v>4.8</v>
      </c>
      <c r="AD16" s="1326">
        <f>'[2]Projected Sites Summary'!J11</f>
        <v>7650</v>
      </c>
      <c r="AE16" s="1326">
        <f>'[2]Projected Sites Summary'!I11</f>
        <v>0</v>
      </c>
      <c r="AF16" s="1326">
        <f>'[2]Projected Sites Summary'!F11</f>
        <v>43800</v>
      </c>
      <c r="AG16" s="1326">
        <f>'[2]Projected Sites Summary'!G11</f>
        <v>43.8</v>
      </c>
      <c r="AH16" s="1326">
        <f>AG16*0.3</f>
        <v>13.139999999999999</v>
      </c>
      <c r="AI16" s="1327">
        <f>SUM(AD16:AF16)</f>
        <v>51450</v>
      </c>
      <c r="AJ16" s="1328">
        <f>'[2]Projected Sites Summary'!L11</f>
        <v>16.424999999999997</v>
      </c>
      <c r="AK16" s="1326">
        <f>AD16-P16</f>
        <v>6016</v>
      </c>
      <c r="AL16" s="1326">
        <f>AE16</f>
        <v>0</v>
      </c>
      <c r="AM16" s="1326">
        <f>AF16-S16</f>
        <v>43800</v>
      </c>
      <c r="AN16" s="1326">
        <f>AG16</f>
        <v>43.8</v>
      </c>
      <c r="AO16" s="1326">
        <f>AH16</f>
        <v>13.139999999999999</v>
      </c>
      <c r="AP16" s="1327">
        <f>AI16-O16</f>
        <v>49816</v>
      </c>
      <c r="AQ16" s="1328">
        <f>AJ16-W16</f>
        <v>16.424999999999997</v>
      </c>
    </row>
    <row r="17" spans="1:43" ht="24.75" customHeight="1" thickBot="1">
      <c r="A17" s="23"/>
      <c r="B17" s="2977"/>
      <c r="C17" s="1329">
        <v>15705</v>
      </c>
      <c r="D17" s="1329">
        <v>88</v>
      </c>
      <c r="E17" s="1329" t="s">
        <v>1093</v>
      </c>
      <c r="F17" s="1329" t="s">
        <v>1088</v>
      </c>
      <c r="G17" s="1330">
        <v>4320</v>
      </c>
      <c r="H17" s="2984" t="s">
        <v>1084</v>
      </c>
      <c r="I17" s="2985"/>
      <c r="J17" s="1329"/>
      <c r="K17" s="1329">
        <v>0</v>
      </c>
      <c r="L17" s="1329">
        <v>1</v>
      </c>
      <c r="M17" s="1329">
        <v>2.4</v>
      </c>
      <c r="N17" s="1329">
        <v>0</v>
      </c>
      <c r="O17" s="1329">
        <v>0</v>
      </c>
      <c r="P17" s="1329">
        <v>0</v>
      </c>
      <c r="Q17" s="1329">
        <v>0</v>
      </c>
      <c r="R17" s="1329">
        <v>0</v>
      </c>
      <c r="S17" s="1329">
        <v>0</v>
      </c>
      <c r="T17" s="1329">
        <v>0</v>
      </c>
      <c r="U17" s="1329">
        <v>0</v>
      </c>
      <c r="V17" s="2963"/>
      <c r="W17" s="2965"/>
      <c r="X17" s="2986" t="s">
        <v>1082</v>
      </c>
      <c r="Y17" s="2987"/>
      <c r="Z17" s="2322" t="s">
        <v>706</v>
      </c>
      <c r="AA17" s="2322">
        <v>3.6</v>
      </c>
      <c r="AB17" s="1331">
        <v>2</v>
      </c>
      <c r="AC17" s="1300">
        <v>4.8</v>
      </c>
      <c r="AD17" s="1332"/>
      <c r="AE17" s="1332"/>
      <c r="AF17" s="1333"/>
      <c r="AG17" s="1333"/>
      <c r="AH17" s="1333"/>
      <c r="AI17" s="1334"/>
      <c r="AJ17" s="1335"/>
      <c r="AK17" s="1332"/>
      <c r="AL17" s="1332"/>
      <c r="AM17" s="1333"/>
      <c r="AN17" s="1333"/>
      <c r="AO17" s="1333"/>
      <c r="AP17" s="1334"/>
      <c r="AQ17" s="1335"/>
    </row>
    <row r="18" spans="1:43" ht="30" customHeight="1" thickBot="1">
      <c r="A18" s="23"/>
      <c r="B18" s="2957">
        <v>6</v>
      </c>
      <c r="C18" s="2340">
        <v>15561</v>
      </c>
      <c r="D18" s="2340">
        <v>8</v>
      </c>
      <c r="E18" s="2340" t="s">
        <v>1095</v>
      </c>
      <c r="F18" s="2340" t="s">
        <v>1088</v>
      </c>
      <c r="G18" s="1313">
        <v>6550</v>
      </c>
      <c r="H18" s="2988" t="s">
        <v>1096</v>
      </c>
      <c r="I18" s="2961" t="s">
        <v>1097</v>
      </c>
      <c r="J18" s="2340"/>
      <c r="K18" s="2340">
        <v>2.4300000000000002</v>
      </c>
      <c r="L18" s="2340">
        <v>3.4</v>
      </c>
      <c r="M18" s="2340">
        <v>4.8</v>
      </c>
      <c r="N18" s="2340">
        <v>0</v>
      </c>
      <c r="O18" s="2340">
        <v>0</v>
      </c>
      <c r="P18" s="2340">
        <v>0</v>
      </c>
      <c r="Q18" s="2340">
        <v>0</v>
      </c>
      <c r="R18" s="2340">
        <v>0</v>
      </c>
      <c r="S18" s="2340">
        <v>0</v>
      </c>
      <c r="T18" s="2340">
        <v>0</v>
      </c>
      <c r="U18" s="2340">
        <v>0</v>
      </c>
      <c r="V18" s="2962" t="s">
        <v>718</v>
      </c>
      <c r="W18" s="2964">
        <v>0</v>
      </c>
      <c r="X18" s="2966" t="s">
        <v>1082</v>
      </c>
      <c r="Y18" s="2967" t="s">
        <v>1098</v>
      </c>
      <c r="Z18" s="2326" t="s">
        <v>706</v>
      </c>
      <c r="AA18" s="2327">
        <v>3.6</v>
      </c>
      <c r="AB18" s="2327">
        <v>2</v>
      </c>
      <c r="AC18" s="1300">
        <v>4.8</v>
      </c>
      <c r="AD18" s="1314">
        <f>'[2]Projected Sites Summary'!J13</f>
        <v>25925</v>
      </c>
      <c r="AE18" s="1314">
        <v>0</v>
      </c>
      <c r="AF18" s="1314">
        <f>'[2]Projected Sites Summary'!F13</f>
        <v>171600</v>
      </c>
      <c r="AG18" s="1314">
        <f>'[2]Projected Sites Summary'!G13</f>
        <v>171.6</v>
      </c>
      <c r="AH18" s="1314">
        <f>AG18*0.3</f>
        <v>51.48</v>
      </c>
      <c r="AI18" s="1315">
        <f>SUM(AD18:AF18)</f>
        <v>197525</v>
      </c>
      <c r="AJ18" s="1316">
        <f>'[2]Projected Sites Summary'!L13</f>
        <v>98.916666666666657</v>
      </c>
      <c r="AK18" s="1314">
        <f>AD18-P18</f>
        <v>25925</v>
      </c>
      <c r="AL18" s="1314">
        <f>AE18</f>
        <v>0</v>
      </c>
      <c r="AM18" s="1314">
        <f>AF18-S18</f>
        <v>171600</v>
      </c>
      <c r="AN18" s="1314">
        <f>AG18</f>
        <v>171.6</v>
      </c>
      <c r="AO18" s="1314">
        <f>AH18</f>
        <v>51.48</v>
      </c>
      <c r="AP18" s="1315">
        <f>AI18-O18</f>
        <v>197525</v>
      </c>
      <c r="AQ18" s="1316">
        <f>AJ18-W18</f>
        <v>98.916666666666657</v>
      </c>
    </row>
    <row r="19" spans="1:43" ht="30" customHeight="1" thickBot="1">
      <c r="A19" s="23"/>
      <c r="B19" s="2958"/>
      <c r="C19" s="2341">
        <v>15561</v>
      </c>
      <c r="D19" s="2341">
        <v>10</v>
      </c>
      <c r="E19" s="2341" t="s">
        <v>1099</v>
      </c>
      <c r="F19" s="2341" t="s">
        <v>1088</v>
      </c>
      <c r="G19" s="1317">
        <v>26158</v>
      </c>
      <c r="H19" s="2989" t="s">
        <v>1097</v>
      </c>
      <c r="I19" s="2969" t="s">
        <v>1097</v>
      </c>
      <c r="J19" s="2341" t="s">
        <v>1100</v>
      </c>
      <c r="K19" s="2341">
        <v>1.25</v>
      </c>
      <c r="L19" s="2341">
        <v>1</v>
      </c>
      <c r="M19" s="2341">
        <v>2</v>
      </c>
      <c r="N19" s="2341">
        <v>0</v>
      </c>
      <c r="O19" s="2341">
        <v>0</v>
      </c>
      <c r="P19" s="2341">
        <v>0</v>
      </c>
      <c r="Q19" s="2341">
        <v>0</v>
      </c>
      <c r="R19" s="2341">
        <v>0</v>
      </c>
      <c r="S19" s="2341">
        <v>0</v>
      </c>
      <c r="T19" s="2341">
        <v>0</v>
      </c>
      <c r="U19" s="2341">
        <v>0</v>
      </c>
      <c r="V19" s="3696"/>
      <c r="W19" s="3697"/>
      <c r="X19" s="2970" t="s">
        <v>1082</v>
      </c>
      <c r="Y19" s="2971" t="s">
        <v>1098</v>
      </c>
      <c r="Z19" s="2342" t="s">
        <v>706</v>
      </c>
      <c r="AA19" s="2321">
        <v>3.6</v>
      </c>
      <c r="AB19" s="2321">
        <v>2</v>
      </c>
      <c r="AC19" s="1300">
        <v>4.8</v>
      </c>
      <c r="AD19" s="3698"/>
      <c r="AE19" s="3698"/>
      <c r="AF19" s="3698"/>
      <c r="AG19" s="3698"/>
      <c r="AH19" s="3698"/>
      <c r="AI19" s="1318"/>
      <c r="AJ19" s="1319"/>
      <c r="AK19" s="3698"/>
      <c r="AL19" s="3698"/>
      <c r="AM19" s="3698"/>
      <c r="AN19" s="3698"/>
      <c r="AO19" s="3698"/>
      <c r="AP19" s="1318"/>
      <c r="AQ19" s="1319"/>
    </row>
    <row r="20" spans="1:43" ht="30" customHeight="1" thickBot="1">
      <c r="A20" s="23"/>
      <c r="B20" s="2959"/>
      <c r="C20" s="2343">
        <v>15561</v>
      </c>
      <c r="D20" s="2343">
        <v>58</v>
      </c>
      <c r="E20" s="2343" t="s">
        <v>1101</v>
      </c>
      <c r="F20" s="2343" t="s">
        <v>1088</v>
      </c>
      <c r="G20" s="1320">
        <v>22165</v>
      </c>
      <c r="H20" s="2990" t="s">
        <v>1097</v>
      </c>
      <c r="I20" s="2973" t="s">
        <v>1097</v>
      </c>
      <c r="J20" s="2343" t="s">
        <v>1100</v>
      </c>
      <c r="K20" s="2343">
        <v>1.25</v>
      </c>
      <c r="L20" s="2343">
        <v>1</v>
      </c>
      <c r="M20" s="2343">
        <v>2</v>
      </c>
      <c r="N20" s="2343">
        <v>0</v>
      </c>
      <c r="O20" s="2343">
        <v>0</v>
      </c>
      <c r="P20" s="2343">
        <v>0</v>
      </c>
      <c r="Q20" s="2343">
        <v>0</v>
      </c>
      <c r="R20" s="2343">
        <v>0</v>
      </c>
      <c r="S20" s="2343">
        <v>0</v>
      </c>
      <c r="T20" s="2343">
        <v>0</v>
      </c>
      <c r="U20" s="2343">
        <v>0</v>
      </c>
      <c r="V20" s="2963"/>
      <c r="W20" s="2965"/>
      <c r="X20" s="2974" t="s">
        <v>1082</v>
      </c>
      <c r="Y20" s="2975" t="s">
        <v>1098</v>
      </c>
      <c r="Z20" s="2329" t="s">
        <v>706</v>
      </c>
      <c r="AA20" s="2322">
        <v>3.6</v>
      </c>
      <c r="AB20" s="2322">
        <v>2</v>
      </c>
      <c r="AC20" s="1300">
        <v>4.8</v>
      </c>
      <c r="AD20" s="1321"/>
      <c r="AE20" s="1321"/>
      <c r="AF20" s="1321"/>
      <c r="AG20" s="1321"/>
      <c r="AH20" s="1321"/>
      <c r="AI20" s="1322"/>
      <c r="AJ20" s="1323"/>
      <c r="AK20" s="1321"/>
      <c r="AL20" s="1321"/>
      <c r="AM20" s="1321"/>
      <c r="AN20" s="1321"/>
      <c r="AO20" s="1321"/>
      <c r="AP20" s="1322"/>
      <c r="AQ20" s="1323"/>
    </row>
    <row r="21" spans="1:43" ht="30" customHeight="1" thickBot="1">
      <c r="A21" s="23"/>
      <c r="B21" s="1299">
        <v>7</v>
      </c>
      <c r="C21" s="2323">
        <v>15560</v>
      </c>
      <c r="D21" s="2323">
        <v>8</v>
      </c>
      <c r="E21" s="2323" t="s">
        <v>1102</v>
      </c>
      <c r="F21" s="2323" t="s">
        <v>1088</v>
      </c>
      <c r="G21" s="1302">
        <v>18694</v>
      </c>
      <c r="H21" s="2991" t="s">
        <v>1079</v>
      </c>
      <c r="I21" s="2992" t="s">
        <v>1097</v>
      </c>
      <c r="J21" s="2323" t="s">
        <v>1100</v>
      </c>
      <c r="K21" s="2323">
        <v>1.25</v>
      </c>
      <c r="L21" s="2323">
        <v>1</v>
      </c>
      <c r="M21" s="2323">
        <v>2</v>
      </c>
      <c r="N21" s="2323">
        <v>0.7</v>
      </c>
      <c r="O21" s="2323">
        <v>13000</v>
      </c>
      <c r="P21" s="2323">
        <v>0</v>
      </c>
      <c r="Q21" s="2323">
        <v>0</v>
      </c>
      <c r="R21" s="2323">
        <v>0</v>
      </c>
      <c r="S21" s="2323">
        <v>0</v>
      </c>
      <c r="T21" s="2323">
        <v>0</v>
      </c>
      <c r="U21" s="2323">
        <v>0</v>
      </c>
      <c r="V21" s="2331" t="s">
        <v>1103</v>
      </c>
      <c r="W21" s="1336">
        <v>0</v>
      </c>
      <c r="X21" s="2993" t="s">
        <v>1082</v>
      </c>
      <c r="Y21" s="2994" t="s">
        <v>1086</v>
      </c>
      <c r="Z21" s="2324" t="s">
        <v>706</v>
      </c>
      <c r="AA21" s="2324">
        <v>3.6</v>
      </c>
      <c r="AB21" s="2324">
        <v>2</v>
      </c>
      <c r="AC21" s="1300">
        <v>4.8</v>
      </c>
      <c r="AD21" s="1337">
        <f>'[2]Projected Sites Summary'!J15</f>
        <v>7269.2</v>
      </c>
      <c r="AE21" s="1337">
        <v>0</v>
      </c>
      <c r="AF21" s="1337">
        <f>'[2]Projected Sites Summary'!F15</f>
        <v>58000</v>
      </c>
      <c r="AG21" s="1337">
        <f>'[2]Projected Sites Summary'!G15</f>
        <v>58</v>
      </c>
      <c r="AH21" s="1337">
        <f>AG21*0.3</f>
        <v>17.399999999999999</v>
      </c>
      <c r="AI21" s="1338">
        <f>SUM(AD21:AF21)</f>
        <v>65269.2</v>
      </c>
      <c r="AJ21" s="1339">
        <f>'[2]Projected Sites Summary'!L15</f>
        <v>21.75</v>
      </c>
      <c r="AK21" s="1337">
        <f>AD21-P21</f>
        <v>7269.2</v>
      </c>
      <c r="AL21" s="1337">
        <f>AE21</f>
        <v>0</v>
      </c>
      <c r="AM21" s="1337">
        <f>AF21-S21</f>
        <v>58000</v>
      </c>
      <c r="AN21" s="1337">
        <f>AG21</f>
        <v>58</v>
      </c>
      <c r="AO21" s="1337">
        <f>AH21</f>
        <v>17.399999999999999</v>
      </c>
      <c r="AP21" s="1340">
        <f>AI21-O21</f>
        <v>52269.2</v>
      </c>
      <c r="AQ21" s="1339">
        <f>AJ21-W21</f>
        <v>21.75</v>
      </c>
    </row>
    <row r="22" spans="1:43" ht="30" customHeight="1">
      <c r="A22" s="23"/>
      <c r="B22" s="2958">
        <v>8</v>
      </c>
      <c r="C22" s="1341">
        <v>15564</v>
      </c>
      <c r="D22" s="1341">
        <v>40</v>
      </c>
      <c r="E22" s="1341" t="s">
        <v>1104</v>
      </c>
      <c r="F22" s="1341" t="s">
        <v>1088</v>
      </c>
      <c r="G22" s="1342">
        <v>5856</v>
      </c>
      <c r="H22" s="2995" t="s">
        <v>1096</v>
      </c>
      <c r="I22" s="2996"/>
      <c r="J22" s="1341"/>
      <c r="K22" s="1341">
        <v>2.4300000000000002</v>
      </c>
      <c r="L22" s="1341">
        <v>3.4</v>
      </c>
      <c r="M22" s="1341">
        <v>4.8</v>
      </c>
      <c r="N22" s="1341">
        <v>0.22</v>
      </c>
      <c r="O22" s="1342">
        <v>1296</v>
      </c>
      <c r="P22" s="1342">
        <v>0</v>
      </c>
      <c r="Q22" s="1342">
        <v>0</v>
      </c>
      <c r="R22" s="1342">
        <v>0</v>
      </c>
      <c r="S22" s="1341">
        <v>432</v>
      </c>
      <c r="T22" s="1341">
        <v>1</v>
      </c>
      <c r="U22" s="1342">
        <v>0</v>
      </c>
      <c r="V22" s="3699" t="s">
        <v>1105</v>
      </c>
      <c r="W22" s="3700">
        <v>0</v>
      </c>
      <c r="X22" s="2997" t="s">
        <v>1106</v>
      </c>
      <c r="Y22" s="2998" t="s">
        <v>1107</v>
      </c>
      <c r="Z22" s="1343" t="s">
        <v>706</v>
      </c>
      <c r="AA22" s="1344" t="s">
        <v>1108</v>
      </c>
      <c r="AB22" s="1344">
        <v>2</v>
      </c>
      <c r="AC22" s="1345" t="s">
        <v>1109</v>
      </c>
      <c r="AD22" s="3701">
        <f>'[2]Projected Sites Summary'!J17</f>
        <v>5610</v>
      </c>
      <c r="AE22" s="3701">
        <v>0</v>
      </c>
      <c r="AF22" s="3701">
        <f>'[2]Projected Sites Summary'!F17</f>
        <v>37300</v>
      </c>
      <c r="AG22" s="3701">
        <f>'[2]Projected Sites Summary'!G17</f>
        <v>37.299999999999997</v>
      </c>
      <c r="AH22" s="3701">
        <f>AG22*0.3</f>
        <v>11.19</v>
      </c>
      <c r="AI22" s="1346">
        <f>SUM(AD22:AF22)</f>
        <v>42910</v>
      </c>
      <c r="AJ22" s="1347">
        <f>'[2]Projected Sites Summary'!L17</f>
        <v>13.987500000000001</v>
      </c>
      <c r="AK22" s="1348">
        <f>AD22-P22</f>
        <v>5610</v>
      </c>
      <c r="AL22" s="3701">
        <f>AE22</f>
        <v>0</v>
      </c>
      <c r="AM22" s="3701">
        <f>AF22-S22</f>
        <v>36868</v>
      </c>
      <c r="AN22" s="3701">
        <f>AG22-1</f>
        <v>36.299999999999997</v>
      </c>
      <c r="AO22" s="3701">
        <f>AH22</f>
        <v>11.19</v>
      </c>
      <c r="AP22" s="1346">
        <f>AI22-O22</f>
        <v>41614</v>
      </c>
      <c r="AQ22" s="1349">
        <f>AJ22-W22</f>
        <v>13.987500000000001</v>
      </c>
    </row>
    <row r="23" spans="1:43" ht="30" customHeight="1" thickBot="1">
      <c r="A23" s="23"/>
      <c r="B23" s="2958"/>
      <c r="C23" s="1350">
        <v>15564</v>
      </c>
      <c r="D23" s="1350">
        <v>42</v>
      </c>
      <c r="E23" s="1350" t="s">
        <v>1110</v>
      </c>
      <c r="F23" s="1350" t="s">
        <v>1088</v>
      </c>
      <c r="G23" s="1351">
        <v>9400</v>
      </c>
      <c r="H23" s="2999" t="s">
        <v>1079</v>
      </c>
      <c r="I23" s="3702"/>
      <c r="J23" s="1350"/>
      <c r="K23" s="1350">
        <v>1.25</v>
      </c>
      <c r="L23" s="1350">
        <v>1</v>
      </c>
      <c r="M23" s="1350">
        <v>2</v>
      </c>
      <c r="N23" s="1350">
        <v>0</v>
      </c>
      <c r="O23" s="1351">
        <v>0</v>
      </c>
      <c r="P23" s="1351">
        <v>0</v>
      </c>
      <c r="Q23" s="1351">
        <v>0</v>
      </c>
      <c r="R23" s="1351">
        <v>0</v>
      </c>
      <c r="S23" s="1350">
        <v>0</v>
      </c>
      <c r="T23" s="1350">
        <v>0</v>
      </c>
      <c r="U23" s="1351">
        <v>0</v>
      </c>
      <c r="V23" s="3696"/>
      <c r="W23" s="3697"/>
      <c r="X23" s="3000" t="s">
        <v>1079</v>
      </c>
      <c r="Y23" s="3001" t="s">
        <v>1086</v>
      </c>
      <c r="Z23" s="1352" t="s">
        <v>706</v>
      </c>
      <c r="AA23" s="1353">
        <v>1.25</v>
      </c>
      <c r="AB23" s="1353">
        <v>2</v>
      </c>
      <c r="AC23" s="1350">
        <v>3</v>
      </c>
      <c r="AD23" s="3701"/>
      <c r="AE23" s="3701"/>
      <c r="AF23" s="3701"/>
      <c r="AG23" s="3701"/>
      <c r="AH23" s="3701"/>
      <c r="AI23" s="1346"/>
      <c r="AJ23" s="1354"/>
      <c r="AK23" s="1348"/>
      <c r="AL23" s="3701"/>
      <c r="AM23" s="3701"/>
      <c r="AN23" s="3701"/>
      <c r="AO23" s="3701"/>
      <c r="AP23" s="1346"/>
      <c r="AQ23" s="1349"/>
    </row>
    <row r="24" spans="1:43" ht="30" customHeight="1" thickBot="1">
      <c r="A24" s="23"/>
      <c r="B24" s="2976">
        <v>9</v>
      </c>
      <c r="C24" s="2337">
        <v>15563</v>
      </c>
      <c r="D24" s="2337">
        <v>31</v>
      </c>
      <c r="E24" s="2337" t="s">
        <v>1111</v>
      </c>
      <c r="F24" s="2337" t="s">
        <v>1088</v>
      </c>
      <c r="G24" s="1355">
        <v>13900</v>
      </c>
      <c r="H24" s="3007" t="s">
        <v>1079</v>
      </c>
      <c r="I24" s="3008" t="s">
        <v>1097</v>
      </c>
      <c r="J24" s="2337" t="s">
        <v>1100</v>
      </c>
      <c r="K24" s="2337">
        <v>1.25</v>
      </c>
      <c r="L24" s="2337">
        <v>1</v>
      </c>
      <c r="M24" s="2337">
        <v>2</v>
      </c>
      <c r="N24" s="2337">
        <v>0</v>
      </c>
      <c r="O24" s="1355">
        <v>0</v>
      </c>
      <c r="P24" s="1355">
        <v>0</v>
      </c>
      <c r="Q24" s="1355">
        <v>0</v>
      </c>
      <c r="R24" s="1355">
        <v>0</v>
      </c>
      <c r="S24" s="2337">
        <v>0</v>
      </c>
      <c r="T24" s="2337">
        <v>0</v>
      </c>
      <c r="U24" s="2337">
        <v>0</v>
      </c>
      <c r="V24" s="3009" t="s">
        <v>718</v>
      </c>
      <c r="W24" s="3010">
        <v>0</v>
      </c>
      <c r="X24" s="3011" t="s">
        <v>1082</v>
      </c>
      <c r="Y24" s="3012" t="s">
        <v>1086</v>
      </c>
      <c r="Z24" s="1356" t="s">
        <v>706</v>
      </c>
      <c r="AA24" s="2327">
        <v>3.6</v>
      </c>
      <c r="AB24" s="1357" t="s">
        <v>1112</v>
      </c>
      <c r="AC24" s="1345" t="s">
        <v>1109</v>
      </c>
      <c r="AD24" s="1326">
        <v>8000</v>
      </c>
      <c r="AE24" s="1326">
        <v>0</v>
      </c>
      <c r="AF24" s="1326">
        <f>146899-AD24</f>
        <v>138899</v>
      </c>
      <c r="AG24" s="1326">
        <f>AF24/1000</f>
        <v>138.899</v>
      </c>
      <c r="AH24" s="1326">
        <v>139</v>
      </c>
      <c r="AI24" s="1327">
        <f>SUM(AD24:AF24)</f>
        <v>146899</v>
      </c>
      <c r="AJ24" s="1358">
        <v>35</v>
      </c>
      <c r="AK24" s="1326">
        <f>AD24-P24</f>
        <v>8000</v>
      </c>
      <c r="AL24" s="1326">
        <f>AE24</f>
        <v>0</v>
      </c>
      <c r="AM24" s="1359">
        <f>AF24-S24</f>
        <v>138899</v>
      </c>
      <c r="AN24" s="1359">
        <f>AG24</f>
        <v>138.899</v>
      </c>
      <c r="AO24" s="1359">
        <f>AH24</f>
        <v>139</v>
      </c>
      <c r="AP24" s="1327">
        <f>AI24-O24</f>
        <v>146899</v>
      </c>
      <c r="AQ24" s="1360">
        <f>AJ24-W24</f>
        <v>35</v>
      </c>
    </row>
    <row r="25" spans="1:43" ht="30" customHeight="1" thickBot="1">
      <c r="A25" s="23"/>
      <c r="B25" s="3006"/>
      <c r="C25" s="2338">
        <v>15563</v>
      </c>
      <c r="D25" s="2338">
        <v>40</v>
      </c>
      <c r="E25" s="2338" t="s">
        <v>1111</v>
      </c>
      <c r="F25" s="2338" t="s">
        <v>1088</v>
      </c>
      <c r="G25" s="1361">
        <v>17591</v>
      </c>
      <c r="H25" s="3013" t="s">
        <v>1079</v>
      </c>
      <c r="I25" s="3014" t="s">
        <v>1097</v>
      </c>
      <c r="J25" s="2338" t="s">
        <v>1100</v>
      </c>
      <c r="K25" s="2338">
        <v>1.25</v>
      </c>
      <c r="L25" s="2338">
        <v>1</v>
      </c>
      <c r="M25" s="2338">
        <v>2</v>
      </c>
      <c r="N25" s="2338">
        <v>0</v>
      </c>
      <c r="O25" s="1361">
        <v>0</v>
      </c>
      <c r="P25" s="1361">
        <v>0</v>
      </c>
      <c r="Q25" s="1361">
        <v>0</v>
      </c>
      <c r="R25" s="1361">
        <v>0</v>
      </c>
      <c r="S25" s="2338">
        <v>0</v>
      </c>
      <c r="T25" s="2338">
        <v>0</v>
      </c>
      <c r="U25" s="2338">
        <v>0</v>
      </c>
      <c r="V25" s="3696"/>
      <c r="W25" s="3697"/>
      <c r="X25" s="3015" t="s">
        <v>1082</v>
      </c>
      <c r="Y25" s="3016" t="s">
        <v>1086</v>
      </c>
      <c r="Z25" s="1362" t="s">
        <v>706</v>
      </c>
      <c r="AA25" s="2321">
        <v>3.6</v>
      </c>
      <c r="AB25" s="1363" t="s">
        <v>1112</v>
      </c>
      <c r="AC25" s="1345" t="s">
        <v>1109</v>
      </c>
      <c r="AD25" s="3703"/>
      <c r="AE25" s="3704"/>
      <c r="AF25" s="3703"/>
      <c r="AG25" s="3703"/>
      <c r="AH25" s="3703"/>
      <c r="AI25" s="1364"/>
      <c r="AJ25" s="1365"/>
      <c r="AK25" s="3703"/>
      <c r="AL25" s="3704"/>
      <c r="AM25" s="3705"/>
      <c r="AN25" s="3705"/>
      <c r="AO25" s="3705"/>
      <c r="AP25" s="1364"/>
      <c r="AQ25" s="1366"/>
    </row>
    <row r="26" spans="1:43" ht="30" customHeight="1" thickBot="1">
      <c r="A26" s="23"/>
      <c r="B26" s="2977"/>
      <c r="C26" s="2339">
        <v>15563</v>
      </c>
      <c r="D26" s="2339">
        <v>43</v>
      </c>
      <c r="E26" s="2339" t="s">
        <v>1111</v>
      </c>
      <c r="F26" s="2339" t="s">
        <v>1088</v>
      </c>
      <c r="G26" s="1367">
        <v>7690</v>
      </c>
      <c r="H26" s="3017" t="s">
        <v>1079</v>
      </c>
      <c r="I26" s="3018" t="s">
        <v>1097</v>
      </c>
      <c r="J26" s="2339" t="s">
        <v>1100</v>
      </c>
      <c r="K26" s="2339">
        <v>1.25</v>
      </c>
      <c r="L26" s="2339">
        <v>1</v>
      </c>
      <c r="M26" s="2339">
        <v>2</v>
      </c>
      <c r="N26" s="2339">
        <v>0</v>
      </c>
      <c r="O26" s="1367">
        <v>0</v>
      </c>
      <c r="P26" s="1367">
        <v>0</v>
      </c>
      <c r="Q26" s="1367">
        <v>0</v>
      </c>
      <c r="R26" s="1367">
        <v>0</v>
      </c>
      <c r="S26" s="2339">
        <v>0</v>
      </c>
      <c r="T26" s="2339">
        <v>0</v>
      </c>
      <c r="U26" s="2339">
        <v>0</v>
      </c>
      <c r="V26" s="2963"/>
      <c r="W26" s="2965"/>
      <c r="X26" s="3019" t="s">
        <v>1082</v>
      </c>
      <c r="Y26" s="3020" t="s">
        <v>1107</v>
      </c>
      <c r="Z26" s="1368" t="s">
        <v>706</v>
      </c>
      <c r="AA26" s="2322">
        <v>3.6</v>
      </c>
      <c r="AB26" s="2322">
        <v>2</v>
      </c>
      <c r="AC26" s="1345" t="s">
        <v>1109</v>
      </c>
      <c r="AD26" s="1369"/>
      <c r="AE26" s="1370"/>
      <c r="AF26" s="1369"/>
      <c r="AG26" s="1369"/>
      <c r="AH26" s="1369"/>
      <c r="AI26" s="1371"/>
      <c r="AJ26" s="1372"/>
      <c r="AK26" s="1369"/>
      <c r="AL26" s="1370"/>
      <c r="AM26" s="1373"/>
      <c r="AN26" s="1373"/>
      <c r="AO26" s="1373"/>
      <c r="AP26" s="1371"/>
      <c r="AQ26" s="1372"/>
    </row>
    <row r="27" spans="1:43" ht="30" customHeight="1" thickBot="1">
      <c r="A27" s="23"/>
      <c r="B27" s="2328">
        <v>10</v>
      </c>
      <c r="C27" s="2334">
        <v>15559</v>
      </c>
      <c r="D27" s="2334">
        <v>8</v>
      </c>
      <c r="E27" s="2334" t="s">
        <v>1113</v>
      </c>
      <c r="F27" s="2334" t="s">
        <v>1088</v>
      </c>
      <c r="G27" s="1374">
        <v>19320</v>
      </c>
      <c r="H27" s="3002" t="s">
        <v>1096</v>
      </c>
      <c r="I27" s="3003" t="s">
        <v>1084</v>
      </c>
      <c r="J27" s="2334"/>
      <c r="K27" s="2334">
        <v>2.4300000000000002</v>
      </c>
      <c r="L27" s="2334">
        <v>3.4</v>
      </c>
      <c r="M27" s="2334">
        <v>4.8</v>
      </c>
      <c r="N27" s="2334">
        <v>0</v>
      </c>
      <c r="O27" s="1374">
        <v>0</v>
      </c>
      <c r="P27" s="1374">
        <v>0</v>
      </c>
      <c r="Q27" s="1374">
        <v>0</v>
      </c>
      <c r="R27" s="1374">
        <v>0</v>
      </c>
      <c r="S27" s="2334">
        <v>0</v>
      </c>
      <c r="T27" s="2334">
        <v>0</v>
      </c>
      <c r="U27" s="2334">
        <v>0</v>
      </c>
      <c r="V27" s="1375" t="s">
        <v>1114</v>
      </c>
      <c r="W27" s="1376">
        <v>30</v>
      </c>
      <c r="X27" s="3004" t="s">
        <v>1082</v>
      </c>
      <c r="Y27" s="3005" t="s">
        <v>1086</v>
      </c>
      <c r="Z27" s="2335" t="s">
        <v>706</v>
      </c>
      <c r="AA27" s="1331">
        <v>3.6</v>
      </c>
      <c r="AB27" s="1331">
        <v>2</v>
      </c>
      <c r="AC27" s="1345" t="s">
        <v>1109</v>
      </c>
      <c r="AD27" s="1321">
        <f>'[2]Projected Sites Summary'!J21</f>
        <v>5525</v>
      </c>
      <c r="AE27" s="1321">
        <f>'[2]Projected Sites Summary'!I21</f>
        <v>3500</v>
      </c>
      <c r="AF27" s="1321">
        <f>'[2]Projected Sites Summary'!F21</f>
        <v>62500</v>
      </c>
      <c r="AG27" s="1321">
        <f>'[2]Projected Sites Summary'!G21</f>
        <v>62.5</v>
      </c>
      <c r="AH27" s="1321">
        <f t="shared" ref="AH27:AH32" si="1">AG27*0.3</f>
        <v>18.75</v>
      </c>
      <c r="AI27" s="1322">
        <f t="shared" ref="AI27:AI32" si="2">SUM(AD27:AF27)</f>
        <v>71525</v>
      </c>
      <c r="AJ27" s="1323">
        <f>'[2]Projected Sites Summary'!L21</f>
        <v>23.4375</v>
      </c>
      <c r="AK27" s="1321">
        <f>AD27-P27</f>
        <v>5525</v>
      </c>
      <c r="AL27" s="1321">
        <f>AE27</f>
        <v>3500</v>
      </c>
      <c r="AM27" s="1321">
        <f t="shared" ref="AM27:AM32" si="3">AF27-S27</f>
        <v>62500</v>
      </c>
      <c r="AN27" s="1321">
        <f t="shared" ref="AN27:AO32" si="4">AG27</f>
        <v>62.5</v>
      </c>
      <c r="AO27" s="1321">
        <f t="shared" si="4"/>
        <v>18.75</v>
      </c>
      <c r="AP27" s="1322">
        <f t="shared" ref="AP27:AP32" si="5">AI27-O27</f>
        <v>71525</v>
      </c>
      <c r="AQ27" s="1323">
        <f t="shared" ref="AQ27:AQ32" si="6">AJ27-W27</f>
        <v>-6.5625</v>
      </c>
    </row>
    <row r="28" spans="1:43" ht="30" customHeight="1" thickBot="1">
      <c r="A28" s="23"/>
      <c r="B28" s="1299">
        <v>11</v>
      </c>
      <c r="C28" s="2323">
        <v>15559</v>
      </c>
      <c r="D28" s="2323">
        <v>58</v>
      </c>
      <c r="E28" s="2323" t="s">
        <v>1115</v>
      </c>
      <c r="F28" s="2323" t="s">
        <v>1088</v>
      </c>
      <c r="G28" s="1302">
        <v>10176</v>
      </c>
      <c r="H28" s="2991" t="s">
        <v>1096</v>
      </c>
      <c r="I28" s="2992" t="s">
        <v>1079</v>
      </c>
      <c r="J28" s="2323"/>
      <c r="K28" s="2323">
        <v>2.4300000000000002</v>
      </c>
      <c r="L28" s="2323">
        <v>3.4</v>
      </c>
      <c r="M28" s="2323">
        <v>4.8</v>
      </c>
      <c r="N28" s="2323">
        <v>0</v>
      </c>
      <c r="O28" s="2323">
        <v>0</v>
      </c>
      <c r="P28" s="2323">
        <v>0</v>
      </c>
      <c r="Q28" s="2323">
        <v>0</v>
      </c>
      <c r="R28" s="2323">
        <v>0</v>
      </c>
      <c r="S28" s="2323">
        <v>0</v>
      </c>
      <c r="T28" s="2323">
        <v>0</v>
      </c>
      <c r="U28" s="2323">
        <v>0</v>
      </c>
      <c r="V28" s="2331" t="s">
        <v>718</v>
      </c>
      <c r="W28" s="1336">
        <v>0</v>
      </c>
      <c r="X28" s="2993" t="s">
        <v>1082</v>
      </c>
      <c r="Y28" s="2994" t="s">
        <v>1086</v>
      </c>
      <c r="Z28" s="2335" t="s">
        <v>706</v>
      </c>
      <c r="AA28" s="2324">
        <v>3.6</v>
      </c>
      <c r="AB28" s="2324">
        <v>0</v>
      </c>
      <c r="AC28" s="1345" t="s">
        <v>1109</v>
      </c>
      <c r="AD28" s="1337">
        <f>'[2]Projected Sites Summary'!J23</f>
        <v>3485</v>
      </c>
      <c r="AE28" s="1337">
        <f>'[2]Projected Sites Summary'!I23</f>
        <v>0</v>
      </c>
      <c r="AF28" s="1337">
        <f>'[2]Projected Sites Summary'!F23</f>
        <v>33000</v>
      </c>
      <c r="AG28" s="1337">
        <f>'[2]Projected Sites Summary'!G23</f>
        <v>33</v>
      </c>
      <c r="AH28" s="1337">
        <f t="shared" si="1"/>
        <v>9.9</v>
      </c>
      <c r="AI28" s="1338">
        <f t="shared" si="2"/>
        <v>36485</v>
      </c>
      <c r="AJ28" s="1339">
        <f>'[2]Projected Sites Summary'!L23</f>
        <v>12.375000000000002</v>
      </c>
      <c r="AK28" s="1337">
        <f>AD28-P28</f>
        <v>3485</v>
      </c>
      <c r="AL28" s="1337">
        <f>AE28</f>
        <v>0</v>
      </c>
      <c r="AM28" s="1337">
        <f t="shared" si="3"/>
        <v>33000</v>
      </c>
      <c r="AN28" s="1337">
        <f t="shared" si="4"/>
        <v>33</v>
      </c>
      <c r="AO28" s="1337">
        <f t="shared" si="4"/>
        <v>9.9</v>
      </c>
      <c r="AP28" s="1338">
        <f t="shared" si="5"/>
        <v>36485</v>
      </c>
      <c r="AQ28" s="1339">
        <f t="shared" si="6"/>
        <v>12.375000000000002</v>
      </c>
    </row>
    <row r="29" spans="1:43" ht="36.75" customHeight="1" thickBot="1">
      <c r="A29" s="23"/>
      <c r="B29" s="1307">
        <v>12</v>
      </c>
      <c r="C29" s="2336">
        <v>15559</v>
      </c>
      <c r="D29" s="2336">
        <v>62</v>
      </c>
      <c r="E29" s="2336" t="s">
        <v>1116</v>
      </c>
      <c r="F29" s="2336" t="s">
        <v>1088</v>
      </c>
      <c r="G29" s="1308">
        <v>10431</v>
      </c>
      <c r="H29" s="2941" t="s">
        <v>1096</v>
      </c>
      <c r="I29" s="2942" t="s">
        <v>1079</v>
      </c>
      <c r="J29" s="2336"/>
      <c r="K29" s="2336">
        <v>2.4300000000000002</v>
      </c>
      <c r="L29" s="2336">
        <v>3.4</v>
      </c>
      <c r="M29" s="2336">
        <v>4.8</v>
      </c>
      <c r="N29" s="2336">
        <v>0</v>
      </c>
      <c r="O29" s="1308">
        <v>0</v>
      </c>
      <c r="P29" s="1308">
        <v>0</v>
      </c>
      <c r="Q29" s="1308">
        <v>0</v>
      </c>
      <c r="R29" s="1308">
        <v>0</v>
      </c>
      <c r="S29" s="2336">
        <v>0</v>
      </c>
      <c r="T29" s="2336">
        <v>0</v>
      </c>
      <c r="U29" s="2336">
        <v>0</v>
      </c>
      <c r="V29" s="2325" t="s">
        <v>718</v>
      </c>
      <c r="W29" s="1309">
        <v>0</v>
      </c>
      <c r="X29" s="2943" t="s">
        <v>1082</v>
      </c>
      <c r="Y29" s="2944" t="s">
        <v>1086</v>
      </c>
      <c r="Z29" s="2335" t="s">
        <v>706</v>
      </c>
      <c r="AA29" s="2324">
        <v>3.6</v>
      </c>
      <c r="AB29" s="2324">
        <v>0</v>
      </c>
      <c r="AC29" s="1345" t="s">
        <v>1109</v>
      </c>
      <c r="AD29" s="1310">
        <f>'[2]Projected Sites Summary'!J25</f>
        <v>3411.9</v>
      </c>
      <c r="AE29" s="1310">
        <v>0</v>
      </c>
      <c r="AF29" s="1310">
        <f>'[2]Projected Sites Summary'!F25</f>
        <v>34100</v>
      </c>
      <c r="AG29" s="1310">
        <f>'[2]Projected Sites Summary'!G25</f>
        <v>34.1</v>
      </c>
      <c r="AH29" s="1310">
        <f t="shared" si="1"/>
        <v>10.23</v>
      </c>
      <c r="AI29" s="1311">
        <f t="shared" si="2"/>
        <v>37511.9</v>
      </c>
      <c r="AJ29" s="1312">
        <f>'[2]Projected Sites Summary'!L25</f>
        <v>12.787500000000001</v>
      </c>
      <c r="AK29" s="1310">
        <f>AD29-P29</f>
        <v>3411.9</v>
      </c>
      <c r="AL29" s="1310">
        <f>AE29</f>
        <v>0</v>
      </c>
      <c r="AM29" s="1310">
        <f t="shared" si="3"/>
        <v>34100</v>
      </c>
      <c r="AN29" s="1310">
        <f t="shared" si="4"/>
        <v>34.1</v>
      </c>
      <c r="AO29" s="1310">
        <f t="shared" si="4"/>
        <v>10.23</v>
      </c>
      <c r="AP29" s="1311">
        <f t="shared" si="5"/>
        <v>37511.9</v>
      </c>
      <c r="AQ29" s="1312">
        <f t="shared" si="6"/>
        <v>12.787500000000001</v>
      </c>
    </row>
    <row r="30" spans="1:43" ht="34.5" customHeight="1" thickBot="1">
      <c r="A30" s="23"/>
      <c r="B30" s="1299">
        <v>13</v>
      </c>
      <c r="C30" s="2323">
        <v>15544</v>
      </c>
      <c r="D30" s="2323">
        <v>34</v>
      </c>
      <c r="E30" s="2323" t="s">
        <v>1117</v>
      </c>
      <c r="F30" s="2323" t="s">
        <v>1088</v>
      </c>
      <c r="G30" s="1302">
        <v>18750</v>
      </c>
      <c r="H30" s="3021" t="s">
        <v>1084</v>
      </c>
      <c r="I30" s="2992" t="s">
        <v>1079</v>
      </c>
      <c r="J30" s="2323"/>
      <c r="K30" s="2323">
        <v>0</v>
      </c>
      <c r="L30" s="2323">
        <v>1</v>
      </c>
      <c r="M30" s="2323">
        <v>2.4</v>
      </c>
      <c r="N30" s="2323">
        <v>0.09</v>
      </c>
      <c r="O30" s="2323">
        <v>1710</v>
      </c>
      <c r="P30" s="2323">
        <v>1710</v>
      </c>
      <c r="Q30" s="2323">
        <v>0</v>
      </c>
      <c r="R30" s="2323">
        <v>0</v>
      </c>
      <c r="S30" s="2323">
        <v>0</v>
      </c>
      <c r="T30" s="2323">
        <v>0</v>
      </c>
      <c r="U30" s="2323">
        <v>0</v>
      </c>
      <c r="V30" s="2331" t="s">
        <v>641</v>
      </c>
      <c r="W30" s="1336">
        <v>0</v>
      </c>
      <c r="X30" s="2993" t="s">
        <v>1082</v>
      </c>
      <c r="Y30" s="2994" t="s">
        <v>1098</v>
      </c>
      <c r="Z30" s="2335" t="s">
        <v>706</v>
      </c>
      <c r="AA30" s="2324">
        <v>3.6</v>
      </c>
      <c r="AB30" s="2324">
        <v>2</v>
      </c>
      <c r="AC30" s="1345" t="s">
        <v>1109</v>
      </c>
      <c r="AD30" s="1337">
        <f>'[2]Projected Sites Summary'!J27</f>
        <v>6970</v>
      </c>
      <c r="AE30" s="1337">
        <f>'[2]Projected Sites Summary'!I27</f>
        <v>0</v>
      </c>
      <c r="AF30" s="1337">
        <f>'[2]Projected Sites Summary'!F27</f>
        <v>60400</v>
      </c>
      <c r="AG30" s="1337">
        <f>'[2]Projected Sites Summary'!G27</f>
        <v>60.4</v>
      </c>
      <c r="AH30" s="1337">
        <f t="shared" si="1"/>
        <v>18.119999999999997</v>
      </c>
      <c r="AI30" s="1338">
        <f t="shared" si="2"/>
        <v>67370</v>
      </c>
      <c r="AJ30" s="1339">
        <f>'[2]Projected Sites Summary'!L27</f>
        <v>22.65</v>
      </c>
      <c r="AK30" s="1337">
        <f>AD30-P30</f>
        <v>5260</v>
      </c>
      <c r="AL30" s="1337">
        <f>AE30</f>
        <v>0</v>
      </c>
      <c r="AM30" s="1337">
        <f t="shared" si="3"/>
        <v>60400</v>
      </c>
      <c r="AN30" s="1337">
        <f t="shared" si="4"/>
        <v>60.4</v>
      </c>
      <c r="AO30" s="1337">
        <f t="shared" si="4"/>
        <v>18.119999999999997</v>
      </c>
      <c r="AP30" s="1338">
        <f t="shared" si="5"/>
        <v>65660</v>
      </c>
      <c r="AQ30" s="1339">
        <f t="shared" si="6"/>
        <v>22.65</v>
      </c>
    </row>
    <row r="31" spans="1:43" ht="30" customHeight="1" thickBot="1">
      <c r="A31" s="23"/>
      <c r="B31" s="1307">
        <v>14</v>
      </c>
      <c r="C31" s="2336">
        <v>15543</v>
      </c>
      <c r="D31" s="2336">
        <v>43</v>
      </c>
      <c r="E31" s="2336" t="s">
        <v>1118</v>
      </c>
      <c r="F31" s="2336" t="s">
        <v>1088</v>
      </c>
      <c r="G31" s="1308">
        <v>9926</v>
      </c>
      <c r="H31" s="3022" t="s">
        <v>1079</v>
      </c>
      <c r="I31" s="2942"/>
      <c r="J31" s="2336" t="s">
        <v>1080</v>
      </c>
      <c r="K31" s="2336">
        <v>1.25</v>
      </c>
      <c r="L31" s="2336">
        <v>1</v>
      </c>
      <c r="M31" s="2336">
        <v>2</v>
      </c>
      <c r="N31" s="2336">
        <v>0</v>
      </c>
      <c r="O31" s="2336">
        <v>0</v>
      </c>
      <c r="P31" s="2336">
        <v>0</v>
      </c>
      <c r="Q31" s="2336">
        <v>0</v>
      </c>
      <c r="R31" s="2336">
        <v>0</v>
      </c>
      <c r="S31" s="2336">
        <v>0</v>
      </c>
      <c r="T31" s="2336">
        <v>0</v>
      </c>
      <c r="U31" s="2336">
        <v>0</v>
      </c>
      <c r="V31" s="2325" t="s">
        <v>718</v>
      </c>
      <c r="W31" s="1309">
        <v>0</v>
      </c>
      <c r="X31" s="2943" t="s">
        <v>1082</v>
      </c>
      <c r="Y31" s="2944" t="s">
        <v>1086</v>
      </c>
      <c r="Z31" s="2335" t="s">
        <v>706</v>
      </c>
      <c r="AA31" s="2324">
        <v>3.6</v>
      </c>
      <c r="AB31" s="2324">
        <v>2</v>
      </c>
      <c r="AC31" s="1345" t="s">
        <v>1109</v>
      </c>
      <c r="AD31" s="1310">
        <f>'[2]Projected Sites Summary'!J29</f>
        <v>0</v>
      </c>
      <c r="AE31" s="1310">
        <f>'[2]Projected Sites Summary'!I29</f>
        <v>2805</v>
      </c>
      <c r="AF31" s="1310">
        <f>'[2]Projected Sites Summary'!F29</f>
        <v>21600</v>
      </c>
      <c r="AG31" s="1310">
        <f>'[2]Projected Sites Summary'!G29</f>
        <v>21.6</v>
      </c>
      <c r="AH31" s="1310">
        <f t="shared" si="1"/>
        <v>6.48</v>
      </c>
      <c r="AI31" s="1311">
        <f t="shared" si="2"/>
        <v>24405</v>
      </c>
      <c r="AJ31" s="1312">
        <f>'[2]Projected Sites Summary'!L29</f>
        <v>8.6666666666666661</v>
      </c>
      <c r="AK31" s="1310">
        <f>AD31-P31</f>
        <v>0</v>
      </c>
      <c r="AL31" s="1310">
        <f>AE31</f>
        <v>2805</v>
      </c>
      <c r="AM31" s="1310">
        <f t="shared" si="3"/>
        <v>21600</v>
      </c>
      <c r="AN31" s="1310">
        <f t="shared" si="4"/>
        <v>21.6</v>
      </c>
      <c r="AO31" s="1310">
        <f t="shared" si="4"/>
        <v>6.48</v>
      </c>
      <c r="AP31" s="1311">
        <f t="shared" si="5"/>
        <v>24405</v>
      </c>
      <c r="AQ31" s="1312">
        <f t="shared" si="6"/>
        <v>8.6666666666666661</v>
      </c>
    </row>
    <row r="32" spans="1:43" ht="30" customHeight="1" thickBot="1">
      <c r="A32" s="23"/>
      <c r="B32" s="2976">
        <v>15</v>
      </c>
      <c r="C32" s="2337">
        <v>15536</v>
      </c>
      <c r="D32" s="2337">
        <v>12</v>
      </c>
      <c r="E32" s="2337" t="s">
        <v>1119</v>
      </c>
      <c r="F32" s="2337" t="s">
        <v>1088</v>
      </c>
      <c r="G32" s="1355">
        <v>5000</v>
      </c>
      <c r="H32" s="3023" t="s">
        <v>1084</v>
      </c>
      <c r="I32" s="3008" t="s">
        <v>1079</v>
      </c>
      <c r="J32" s="2337"/>
      <c r="K32" s="2337">
        <v>0</v>
      </c>
      <c r="L32" s="2337">
        <v>1</v>
      </c>
      <c r="M32" s="2337">
        <v>2.4</v>
      </c>
      <c r="N32" s="2337">
        <v>0</v>
      </c>
      <c r="O32" s="2337">
        <v>0</v>
      </c>
      <c r="P32" s="2337">
        <v>0</v>
      </c>
      <c r="Q32" s="2337">
        <v>0</v>
      </c>
      <c r="R32" s="2337">
        <v>0</v>
      </c>
      <c r="S32" s="2337">
        <v>0</v>
      </c>
      <c r="T32" s="2337">
        <v>0</v>
      </c>
      <c r="U32" s="2337">
        <v>0</v>
      </c>
      <c r="V32" s="3009" t="s">
        <v>1120</v>
      </c>
      <c r="W32" s="3010">
        <v>0</v>
      </c>
      <c r="X32" s="3011" t="s">
        <v>726</v>
      </c>
      <c r="Y32" s="3012" t="s">
        <v>1098</v>
      </c>
      <c r="Z32" s="2333" t="s">
        <v>706</v>
      </c>
      <c r="AA32" s="2327">
        <v>4.5999999999999996</v>
      </c>
      <c r="AB32" s="2327">
        <v>2</v>
      </c>
      <c r="AC32" s="1345" t="s">
        <v>1109</v>
      </c>
      <c r="AD32" s="1377">
        <f>'[2]Projected Sites Summary'!J31</f>
        <v>0</v>
      </c>
      <c r="AE32" s="1377">
        <f>'[2]Projected Sites Summary'!I31</f>
        <v>25500</v>
      </c>
      <c r="AF32" s="1377">
        <f>'[2]Projected Sites Summary'!F31</f>
        <v>138000</v>
      </c>
      <c r="AG32" s="1377">
        <f>'[2]Projected Sites Summary'!G31</f>
        <v>138</v>
      </c>
      <c r="AH32" s="1377">
        <f t="shared" si="1"/>
        <v>41.4</v>
      </c>
      <c r="AI32" s="1378">
        <f t="shared" si="2"/>
        <v>163500</v>
      </c>
      <c r="AJ32" s="1360">
        <f>'[2]Projected Sites Summary'!L31</f>
        <v>34.5</v>
      </c>
      <c r="AK32" s="1377">
        <f>AD32-P34</f>
        <v>0</v>
      </c>
      <c r="AL32" s="1377">
        <f>AE32-Q35</f>
        <v>20500</v>
      </c>
      <c r="AM32" s="1377">
        <f t="shared" si="3"/>
        <v>138000</v>
      </c>
      <c r="AN32" s="1377">
        <f t="shared" si="4"/>
        <v>138</v>
      </c>
      <c r="AO32" s="1377">
        <f t="shared" si="4"/>
        <v>41.4</v>
      </c>
      <c r="AP32" s="1378">
        <f t="shared" si="5"/>
        <v>163500</v>
      </c>
      <c r="AQ32" s="1360">
        <f t="shared" si="6"/>
        <v>34.5</v>
      </c>
    </row>
    <row r="33" spans="1:44" ht="30" customHeight="1" thickBot="1">
      <c r="A33" s="23"/>
      <c r="B33" s="3006"/>
      <c r="C33" s="2338">
        <v>15536</v>
      </c>
      <c r="D33" s="2338">
        <v>15</v>
      </c>
      <c r="E33" s="2338" t="s">
        <v>1119</v>
      </c>
      <c r="F33" s="2338" t="s">
        <v>1088</v>
      </c>
      <c r="G33" s="1361">
        <v>5000</v>
      </c>
      <c r="H33" s="3024" t="s">
        <v>1084</v>
      </c>
      <c r="I33" s="3014" t="s">
        <v>1079</v>
      </c>
      <c r="J33" s="2338"/>
      <c r="K33" s="2338">
        <v>0</v>
      </c>
      <c r="L33" s="2338">
        <v>1</v>
      </c>
      <c r="M33" s="2338">
        <v>2.4</v>
      </c>
      <c r="N33" s="2338">
        <v>0</v>
      </c>
      <c r="O33" s="2338">
        <v>0</v>
      </c>
      <c r="P33" s="2338">
        <v>0</v>
      </c>
      <c r="Q33" s="2338">
        <v>0</v>
      </c>
      <c r="R33" s="2338">
        <v>0</v>
      </c>
      <c r="S33" s="2338">
        <v>0</v>
      </c>
      <c r="T33" s="2338">
        <v>0</v>
      </c>
      <c r="U33" s="2338">
        <v>0</v>
      </c>
      <c r="V33" s="3696"/>
      <c r="W33" s="3697"/>
      <c r="X33" s="3015" t="s">
        <v>726</v>
      </c>
      <c r="Y33" s="3016" t="s">
        <v>1098</v>
      </c>
      <c r="Z33" s="2330" t="s">
        <v>706</v>
      </c>
      <c r="AA33" s="2321">
        <v>4.5999999999999996</v>
      </c>
      <c r="AB33" s="2321">
        <v>2</v>
      </c>
      <c r="AC33" s="1345" t="s">
        <v>1109</v>
      </c>
      <c r="AD33" s="3706"/>
      <c r="AE33" s="3706"/>
      <c r="AF33" s="3706"/>
      <c r="AG33" s="3706"/>
      <c r="AH33" s="3706"/>
      <c r="AI33" s="1379"/>
      <c r="AJ33" s="1380"/>
      <c r="AK33" s="3706"/>
      <c r="AL33" s="3706"/>
      <c r="AM33" s="3706"/>
      <c r="AN33" s="3706"/>
      <c r="AO33" s="3706"/>
      <c r="AP33" s="1379"/>
      <c r="AQ33" s="1380"/>
    </row>
    <row r="34" spans="1:44" ht="30" customHeight="1" thickBot="1">
      <c r="A34" s="23"/>
      <c r="B34" s="3006"/>
      <c r="C34" s="2338">
        <v>15536</v>
      </c>
      <c r="D34" s="2338">
        <v>18</v>
      </c>
      <c r="E34" s="2338" t="s">
        <v>1121</v>
      </c>
      <c r="F34" s="2338" t="s">
        <v>1088</v>
      </c>
      <c r="G34" s="1361">
        <v>5000</v>
      </c>
      <c r="H34" s="3024" t="s">
        <v>1084</v>
      </c>
      <c r="I34" s="3014" t="s">
        <v>1079</v>
      </c>
      <c r="J34" s="2338"/>
      <c r="K34" s="2338">
        <v>0</v>
      </c>
      <c r="L34" s="2338">
        <v>1</v>
      </c>
      <c r="M34" s="2338">
        <v>2.4</v>
      </c>
      <c r="N34" s="2338">
        <v>0.63</v>
      </c>
      <c r="O34" s="2338">
        <v>3150</v>
      </c>
      <c r="P34" s="2338">
        <v>0</v>
      </c>
      <c r="Q34" s="2338">
        <v>0</v>
      </c>
      <c r="R34" s="2338">
        <v>0</v>
      </c>
      <c r="S34" s="2338">
        <v>0</v>
      </c>
      <c r="T34" s="2338">
        <v>0</v>
      </c>
      <c r="U34" s="2338">
        <v>0</v>
      </c>
      <c r="V34" s="3696"/>
      <c r="W34" s="3697"/>
      <c r="X34" s="3015" t="s">
        <v>726</v>
      </c>
      <c r="Y34" s="3016" t="s">
        <v>1098</v>
      </c>
      <c r="Z34" s="2330" t="s">
        <v>706</v>
      </c>
      <c r="AA34" s="2321">
        <v>4.5999999999999996</v>
      </c>
      <c r="AB34" s="2321">
        <v>2</v>
      </c>
      <c r="AC34" s="1345" t="s">
        <v>1109</v>
      </c>
      <c r="AD34" s="3706"/>
      <c r="AE34" s="3706"/>
      <c r="AF34" s="3706"/>
      <c r="AG34" s="3706"/>
      <c r="AH34" s="3706"/>
      <c r="AI34" s="1379"/>
      <c r="AJ34" s="1380"/>
      <c r="AK34" s="3706"/>
      <c r="AL34" s="3706"/>
      <c r="AM34" s="3706"/>
      <c r="AN34" s="3706"/>
      <c r="AO34" s="3706"/>
      <c r="AP34" s="1379"/>
      <c r="AQ34" s="1380"/>
    </row>
    <row r="35" spans="1:44" ht="30" customHeight="1" thickBot="1">
      <c r="A35" s="23"/>
      <c r="B35" s="3006"/>
      <c r="C35" s="2338">
        <v>15536</v>
      </c>
      <c r="D35" s="2338">
        <v>22</v>
      </c>
      <c r="E35" s="2338" t="s">
        <v>1122</v>
      </c>
      <c r="F35" s="2338" t="s">
        <v>1088</v>
      </c>
      <c r="G35" s="1361">
        <v>10000</v>
      </c>
      <c r="H35" s="3024" t="s">
        <v>1084</v>
      </c>
      <c r="I35" s="3014" t="s">
        <v>1079</v>
      </c>
      <c r="J35" s="2338"/>
      <c r="K35" s="2338">
        <v>0</v>
      </c>
      <c r="L35" s="2338">
        <v>1</v>
      </c>
      <c r="M35" s="2338">
        <v>2.4</v>
      </c>
      <c r="N35" s="2338">
        <v>0.5</v>
      </c>
      <c r="O35" s="2338">
        <v>5000</v>
      </c>
      <c r="P35" s="2338">
        <v>0</v>
      </c>
      <c r="Q35" s="2338">
        <v>5000</v>
      </c>
      <c r="R35" s="2338">
        <v>0</v>
      </c>
      <c r="S35" s="2338">
        <v>0</v>
      </c>
      <c r="T35" s="2338">
        <v>0</v>
      </c>
      <c r="U35" s="2338">
        <v>0</v>
      </c>
      <c r="V35" s="3696"/>
      <c r="W35" s="3697"/>
      <c r="X35" s="3015" t="s">
        <v>726</v>
      </c>
      <c r="Y35" s="3016" t="s">
        <v>1098</v>
      </c>
      <c r="Z35" s="2330" t="s">
        <v>706</v>
      </c>
      <c r="AA35" s="2321">
        <v>4.5999999999999996</v>
      </c>
      <c r="AB35" s="2321">
        <v>2</v>
      </c>
      <c r="AC35" s="1345" t="s">
        <v>1109</v>
      </c>
      <c r="AD35" s="3706"/>
      <c r="AE35" s="3706"/>
      <c r="AF35" s="3706"/>
      <c r="AG35" s="3706"/>
      <c r="AH35" s="3706"/>
      <c r="AI35" s="1379"/>
      <c r="AJ35" s="1380"/>
      <c r="AK35" s="3706"/>
      <c r="AL35" s="3706"/>
      <c r="AM35" s="3706"/>
      <c r="AN35" s="3706"/>
      <c r="AO35" s="3706"/>
      <c r="AP35" s="1379"/>
      <c r="AQ35" s="1380"/>
    </row>
    <row r="36" spans="1:44" ht="30" customHeight="1" thickBot="1">
      <c r="A36" s="23"/>
      <c r="B36" s="2977"/>
      <c r="C36" s="2339">
        <v>15536</v>
      </c>
      <c r="D36" s="2339">
        <v>28</v>
      </c>
      <c r="E36" s="2339" t="s">
        <v>1118</v>
      </c>
      <c r="F36" s="2339" t="s">
        <v>1088</v>
      </c>
      <c r="G36" s="1367">
        <v>5000</v>
      </c>
      <c r="H36" s="3025" t="s">
        <v>1084</v>
      </c>
      <c r="I36" s="3018" t="s">
        <v>1079</v>
      </c>
      <c r="J36" s="2339"/>
      <c r="K36" s="2339">
        <v>0</v>
      </c>
      <c r="L36" s="2339">
        <v>1</v>
      </c>
      <c r="M36" s="2339">
        <v>2.4</v>
      </c>
      <c r="N36" s="2339">
        <v>0</v>
      </c>
      <c r="O36" s="2339">
        <v>0</v>
      </c>
      <c r="P36" s="2339">
        <v>0</v>
      </c>
      <c r="Q36" s="2339">
        <v>0</v>
      </c>
      <c r="R36" s="2339">
        <v>0</v>
      </c>
      <c r="S36" s="2339">
        <v>0</v>
      </c>
      <c r="T36" s="2339">
        <v>0</v>
      </c>
      <c r="U36" s="2339">
        <v>0</v>
      </c>
      <c r="V36" s="2963"/>
      <c r="W36" s="2965"/>
      <c r="X36" s="3015" t="s">
        <v>726</v>
      </c>
      <c r="Y36" s="3016" t="s">
        <v>1098</v>
      </c>
      <c r="Z36" s="2330" t="s">
        <v>706</v>
      </c>
      <c r="AA36" s="2322">
        <v>4.5999999999999996</v>
      </c>
      <c r="AB36" s="2322">
        <v>2</v>
      </c>
      <c r="AC36" s="1345" t="s">
        <v>1109</v>
      </c>
      <c r="AD36" s="1370"/>
      <c r="AE36" s="1370"/>
      <c r="AF36" s="1370"/>
      <c r="AG36" s="1370"/>
      <c r="AH36" s="1370"/>
      <c r="AI36" s="1381"/>
      <c r="AJ36" s="1382"/>
      <c r="AK36" s="1370"/>
      <c r="AL36" s="1370"/>
      <c r="AM36" s="1370"/>
      <c r="AN36" s="1370"/>
      <c r="AO36" s="1370"/>
      <c r="AP36" s="1381"/>
      <c r="AQ36" s="1382"/>
    </row>
    <row r="37" spans="1:44" ht="30" customHeight="1" thickBot="1">
      <c r="A37" s="23"/>
      <c r="B37" s="2957">
        <v>16</v>
      </c>
      <c r="C37" s="2340">
        <v>15536</v>
      </c>
      <c r="D37" s="2340">
        <v>6</v>
      </c>
      <c r="E37" s="2340" t="s">
        <v>1123</v>
      </c>
      <c r="F37" s="2340" t="s">
        <v>1088</v>
      </c>
      <c r="G37" s="1313">
        <v>10000</v>
      </c>
      <c r="H37" s="2960" t="s">
        <v>1084</v>
      </c>
      <c r="I37" s="2961" t="s">
        <v>1079</v>
      </c>
      <c r="J37" s="2340"/>
      <c r="K37" s="2340">
        <v>0</v>
      </c>
      <c r="L37" s="2340">
        <v>1</v>
      </c>
      <c r="M37" s="2340">
        <v>2.4</v>
      </c>
      <c r="N37" s="2340">
        <v>2</v>
      </c>
      <c r="O37" s="2340">
        <v>20000</v>
      </c>
      <c r="P37" s="2340">
        <v>0</v>
      </c>
      <c r="Q37" s="2340">
        <v>0</v>
      </c>
      <c r="R37" s="2340">
        <v>0</v>
      </c>
      <c r="S37" s="2340">
        <v>0</v>
      </c>
      <c r="T37" s="2340">
        <v>0</v>
      </c>
      <c r="U37" s="2340">
        <v>0</v>
      </c>
      <c r="V37" s="2962" t="s">
        <v>1103</v>
      </c>
      <c r="W37" s="2964">
        <v>0</v>
      </c>
      <c r="X37" s="2966" t="s">
        <v>726</v>
      </c>
      <c r="Y37" s="2967" t="s">
        <v>1098</v>
      </c>
      <c r="Z37" s="2326" t="s">
        <v>706</v>
      </c>
      <c r="AA37" s="2327">
        <v>4.5999999999999996</v>
      </c>
      <c r="AB37" s="2327">
        <v>2</v>
      </c>
      <c r="AC37" s="1345" t="s">
        <v>1109</v>
      </c>
      <c r="AD37" s="1314">
        <f>'[2]Projected Sites Summary'!J33</f>
        <v>7182.5</v>
      </c>
      <c r="AE37" s="1314">
        <v>0</v>
      </c>
      <c r="AF37" s="1314">
        <f>'[2]Projected Sites Summary'!F33</f>
        <v>54300</v>
      </c>
      <c r="AG37" s="1314">
        <f>'[2]Projected Sites Summary'!G33</f>
        <v>54.3</v>
      </c>
      <c r="AH37" s="1314">
        <f>AG37*0.3</f>
        <v>16.29</v>
      </c>
      <c r="AI37" s="1315">
        <f>SUM(AD37:AF37)</f>
        <v>61482.5</v>
      </c>
      <c r="AJ37" s="1347">
        <f>'[2]Projected Sites Summary'!L33</f>
        <v>20.362499999999997</v>
      </c>
      <c r="AK37" s="1314">
        <f>AD37-P37</f>
        <v>7182.5</v>
      </c>
      <c r="AL37" s="1314">
        <f>AE37</f>
        <v>0</v>
      </c>
      <c r="AM37" s="1314">
        <f>AF37-S37</f>
        <v>54300</v>
      </c>
      <c r="AN37" s="1314">
        <f>AG37</f>
        <v>54.3</v>
      </c>
      <c r="AO37" s="1314">
        <f>AH37</f>
        <v>16.29</v>
      </c>
      <c r="AP37" s="1315">
        <f>AI37-O37</f>
        <v>41482.5</v>
      </c>
      <c r="AQ37" s="1347">
        <f>AJ37-W37</f>
        <v>20.362499999999997</v>
      </c>
    </row>
    <row r="38" spans="1:44" ht="30" customHeight="1" thickBot="1">
      <c r="A38" s="23"/>
      <c r="B38" s="2959"/>
      <c r="C38" s="2343">
        <v>15536</v>
      </c>
      <c r="D38" s="2343">
        <v>31</v>
      </c>
      <c r="E38" s="2343" t="s">
        <v>1118</v>
      </c>
      <c r="F38" s="2343" t="s">
        <v>1088</v>
      </c>
      <c r="G38" s="1320">
        <v>4500</v>
      </c>
      <c r="H38" s="2972" t="s">
        <v>1084</v>
      </c>
      <c r="I38" s="2973" t="s">
        <v>1079</v>
      </c>
      <c r="J38" s="2343"/>
      <c r="K38" s="2343">
        <v>0</v>
      </c>
      <c r="L38" s="2343">
        <v>1</v>
      </c>
      <c r="M38" s="2343">
        <v>2.4</v>
      </c>
      <c r="N38" s="2343">
        <v>0</v>
      </c>
      <c r="O38" s="2343">
        <v>0</v>
      </c>
      <c r="P38" s="2343">
        <v>0</v>
      </c>
      <c r="Q38" s="2343">
        <v>0</v>
      </c>
      <c r="R38" s="2343"/>
      <c r="S38" s="2343">
        <v>0</v>
      </c>
      <c r="T38" s="2343">
        <v>0</v>
      </c>
      <c r="U38" s="2343">
        <v>0</v>
      </c>
      <c r="V38" s="2963"/>
      <c r="W38" s="2965"/>
      <c r="X38" s="2974" t="s">
        <v>726</v>
      </c>
      <c r="Y38" s="2975" t="s">
        <v>1098</v>
      </c>
      <c r="Z38" s="2329" t="s">
        <v>706</v>
      </c>
      <c r="AA38" s="2322">
        <v>4.5999999999999996</v>
      </c>
      <c r="AB38" s="2322">
        <v>2</v>
      </c>
      <c r="AC38" s="1345" t="s">
        <v>1109</v>
      </c>
      <c r="AD38" s="1383"/>
      <c r="AE38" s="1383"/>
      <c r="AF38" s="1383"/>
      <c r="AG38" s="1383"/>
      <c r="AH38" s="1383"/>
      <c r="AI38" s="1384"/>
      <c r="AJ38" s="1354"/>
      <c r="AK38" s="1383"/>
      <c r="AL38" s="1383"/>
      <c r="AM38" s="1383"/>
      <c r="AN38" s="1383"/>
      <c r="AO38" s="1383"/>
      <c r="AP38" s="1384"/>
      <c r="AQ38" s="1354"/>
    </row>
    <row r="39" spans="1:44" ht="33" customHeight="1" thickBot="1">
      <c r="A39" s="23"/>
      <c r="B39" s="1299">
        <v>17</v>
      </c>
      <c r="C39" s="2323">
        <v>15529</v>
      </c>
      <c r="D39" s="2323">
        <v>161</v>
      </c>
      <c r="E39" s="2323" t="s">
        <v>1124</v>
      </c>
      <c r="F39" s="2323" t="s">
        <v>1088</v>
      </c>
      <c r="G39" s="1302">
        <v>32778</v>
      </c>
      <c r="H39" s="2991" t="s">
        <v>947</v>
      </c>
      <c r="I39" s="2992" t="s">
        <v>1079</v>
      </c>
      <c r="J39" s="2323"/>
      <c r="K39" s="2323">
        <v>0</v>
      </c>
      <c r="L39" s="2323">
        <v>1</v>
      </c>
      <c r="M39" s="2323">
        <v>2.4</v>
      </c>
      <c r="N39" s="2323">
        <v>0.17</v>
      </c>
      <c r="O39" s="2323">
        <v>5708</v>
      </c>
      <c r="P39" s="2323">
        <v>0</v>
      </c>
      <c r="Q39" s="2323">
        <v>0</v>
      </c>
      <c r="R39" s="2323">
        <v>5708</v>
      </c>
      <c r="S39" s="2323">
        <v>0</v>
      </c>
      <c r="T39" s="2323">
        <v>0</v>
      </c>
      <c r="U39" s="2323">
        <v>0</v>
      </c>
      <c r="V39" s="2331" t="s">
        <v>1125</v>
      </c>
      <c r="W39" s="1336">
        <v>0</v>
      </c>
      <c r="X39" s="2993" t="s">
        <v>1126</v>
      </c>
      <c r="Y39" s="2994" t="s">
        <v>1086</v>
      </c>
      <c r="Z39" s="2324" t="s">
        <v>706</v>
      </c>
      <c r="AA39" s="2324" t="s">
        <v>1127</v>
      </c>
      <c r="AB39" s="2324">
        <v>2</v>
      </c>
      <c r="AC39" s="1345" t="s">
        <v>1109</v>
      </c>
      <c r="AD39" s="1337">
        <f>'[2]Projected Sites Summary'!J35</f>
        <v>5525</v>
      </c>
      <c r="AE39" s="1337">
        <f>'[2]Projected Sites Summary'!I35</f>
        <v>0</v>
      </c>
      <c r="AF39" s="1337">
        <f>'[2]Projected Sites Summary'!F35</f>
        <v>32400</v>
      </c>
      <c r="AG39" s="1337">
        <f>'[2]Projected Sites Summary'!G35</f>
        <v>32.4</v>
      </c>
      <c r="AH39" s="1304">
        <f>AG39*0.3</f>
        <v>9.7199999999999989</v>
      </c>
      <c r="AI39" s="1338">
        <f>SUM(AD39:AF39)</f>
        <v>37925</v>
      </c>
      <c r="AJ39" s="1339">
        <f>'[2]Projected Sites Summary'!L35</f>
        <v>12.149999999999999</v>
      </c>
      <c r="AK39" s="1337">
        <f>AD39-P39</f>
        <v>5525</v>
      </c>
      <c r="AL39" s="1337">
        <f>AE39</f>
        <v>0</v>
      </c>
      <c r="AM39" s="1337">
        <f>AF39-S39</f>
        <v>32400</v>
      </c>
      <c r="AN39" s="1337">
        <f>AG39</f>
        <v>32.4</v>
      </c>
      <c r="AO39" s="1337">
        <f>AH39</f>
        <v>9.7199999999999989</v>
      </c>
      <c r="AP39" s="1338">
        <f>AI39-O39</f>
        <v>32217</v>
      </c>
      <c r="AQ39" s="1339">
        <f>AJ39-W39</f>
        <v>12.149999999999999</v>
      </c>
    </row>
    <row r="40" spans="1:44" ht="30" customHeight="1" thickBot="1">
      <c r="A40" s="23"/>
      <c r="B40" s="1307">
        <v>18</v>
      </c>
      <c r="C40" s="2336">
        <v>15574</v>
      </c>
      <c r="D40" s="2336">
        <v>36</v>
      </c>
      <c r="E40" s="2325" t="s">
        <v>1111</v>
      </c>
      <c r="F40" s="2325" t="s">
        <v>1088</v>
      </c>
      <c r="G40" s="1308">
        <v>19362</v>
      </c>
      <c r="H40" s="3022" t="s">
        <v>1128</v>
      </c>
      <c r="I40" s="2942"/>
      <c r="J40" s="2336"/>
      <c r="K40" s="2336">
        <v>1.25</v>
      </c>
      <c r="L40" s="2336">
        <v>0</v>
      </c>
      <c r="M40" s="2336">
        <v>2</v>
      </c>
      <c r="N40" s="2336">
        <v>0</v>
      </c>
      <c r="O40" s="2336">
        <v>0</v>
      </c>
      <c r="P40" s="2336">
        <v>0</v>
      </c>
      <c r="Q40" s="2336">
        <v>0</v>
      </c>
      <c r="R40" s="2336">
        <v>0</v>
      </c>
      <c r="S40" s="2336">
        <v>0</v>
      </c>
      <c r="T40" s="2336">
        <v>0</v>
      </c>
      <c r="U40" s="2336">
        <v>0</v>
      </c>
      <c r="V40" s="2325" t="s">
        <v>718</v>
      </c>
      <c r="W40" s="1309">
        <v>0</v>
      </c>
      <c r="X40" s="2966" t="s">
        <v>1082</v>
      </c>
      <c r="Y40" s="2967" t="s">
        <v>1086</v>
      </c>
      <c r="Z40" s="1385" t="s">
        <v>706</v>
      </c>
      <c r="AA40" s="2326">
        <v>3.6</v>
      </c>
      <c r="AB40" s="1386" t="s">
        <v>1112</v>
      </c>
      <c r="AC40" s="1345" t="s">
        <v>1109</v>
      </c>
      <c r="AD40" s="1387">
        <v>0</v>
      </c>
      <c r="AE40" s="1310">
        <v>0</v>
      </c>
      <c r="AF40" s="1310">
        <v>70814</v>
      </c>
      <c r="AG40" s="1388">
        <f>AF40/1000</f>
        <v>70.813999999999993</v>
      </c>
      <c r="AH40" s="1310">
        <v>71</v>
      </c>
      <c r="AI40" s="1311">
        <f>SUM(AD40:AF40)</f>
        <v>70814</v>
      </c>
      <c r="AJ40" s="1312">
        <v>0</v>
      </c>
      <c r="AK40" s="1314">
        <f>AD40-P40</f>
        <v>0</v>
      </c>
      <c r="AL40" s="1314">
        <f>AE40</f>
        <v>0</v>
      </c>
      <c r="AM40" s="1314">
        <f>AF40-S40</f>
        <v>70814</v>
      </c>
      <c r="AN40" s="1314">
        <f>AG40</f>
        <v>70.813999999999993</v>
      </c>
      <c r="AO40" s="1310"/>
      <c r="AP40" s="1315">
        <f>AI40-O40</f>
        <v>70814</v>
      </c>
      <c r="AQ40" s="1312"/>
    </row>
    <row r="41" spans="1:44" ht="30" customHeight="1" thickBot="1">
      <c r="A41" s="23"/>
      <c r="B41" s="3037">
        <v>19</v>
      </c>
      <c r="C41" s="1324">
        <v>15535</v>
      </c>
      <c r="D41" s="1324">
        <v>11</v>
      </c>
      <c r="E41" s="2344" t="s">
        <v>1129</v>
      </c>
      <c r="F41" s="1324" t="s">
        <v>1088</v>
      </c>
      <c r="G41" s="1325">
        <v>4408</v>
      </c>
      <c r="H41" s="3040" t="s">
        <v>1128</v>
      </c>
      <c r="I41" s="3041"/>
      <c r="J41" s="2344" t="s">
        <v>1080</v>
      </c>
      <c r="K41" s="1324">
        <v>1.25</v>
      </c>
      <c r="L41" s="1324">
        <v>1</v>
      </c>
      <c r="M41" s="1324">
        <v>2</v>
      </c>
      <c r="N41" s="1389">
        <f>O41/G41</f>
        <v>4.5372050816696916E-2</v>
      </c>
      <c r="O41" s="1324">
        <v>200</v>
      </c>
      <c r="P41" s="1324">
        <v>200</v>
      </c>
      <c r="Q41" s="1324">
        <v>0</v>
      </c>
      <c r="R41" s="1324">
        <v>0</v>
      </c>
      <c r="S41" s="1324">
        <v>0</v>
      </c>
      <c r="T41" s="1324">
        <v>0</v>
      </c>
      <c r="U41" s="1324">
        <v>0</v>
      </c>
      <c r="V41" s="1324" t="s">
        <v>717</v>
      </c>
      <c r="W41" s="1390">
        <v>0</v>
      </c>
      <c r="X41" s="2982" t="s">
        <v>1082</v>
      </c>
      <c r="Y41" s="2983" t="s">
        <v>1098</v>
      </c>
      <c r="Z41" s="2327" t="s">
        <v>706</v>
      </c>
      <c r="AA41" s="2327">
        <v>3.6</v>
      </c>
      <c r="AB41" s="2327">
        <v>2</v>
      </c>
      <c r="AC41" s="1345" t="s">
        <v>1109</v>
      </c>
      <c r="AD41" s="1391">
        <v>7820</v>
      </c>
      <c r="AE41" s="1391">
        <v>0</v>
      </c>
      <c r="AF41" s="1391">
        <v>26550</v>
      </c>
      <c r="AG41" s="1391">
        <v>27</v>
      </c>
      <c r="AH41" s="1391">
        <v>27</v>
      </c>
      <c r="AI41" s="1392">
        <f>AF41+AE41+AD41</f>
        <v>34370</v>
      </c>
      <c r="AJ41" s="1393">
        <v>12</v>
      </c>
      <c r="AK41" s="1326">
        <f>AD41-P41</f>
        <v>7620</v>
      </c>
      <c r="AL41" s="1326">
        <f>AE41</f>
        <v>0</v>
      </c>
      <c r="AM41" s="1326">
        <f>AF41-S41</f>
        <v>26550</v>
      </c>
      <c r="AN41" s="1326">
        <f>AG41</f>
        <v>27</v>
      </c>
      <c r="AO41" s="1337"/>
      <c r="AP41" s="1327">
        <f>AI41-O41</f>
        <v>34170</v>
      </c>
      <c r="AQ41" s="1312"/>
    </row>
    <row r="42" spans="1:44" ht="30" customHeight="1" thickBot="1">
      <c r="A42" s="23"/>
      <c r="B42" s="3038"/>
      <c r="C42" s="1394">
        <v>15535</v>
      </c>
      <c r="D42" s="1395">
        <v>58</v>
      </c>
      <c r="E42" s="1396" t="s">
        <v>1130</v>
      </c>
      <c r="F42" s="1395" t="s">
        <v>1088</v>
      </c>
      <c r="G42" s="1397">
        <v>1309</v>
      </c>
      <c r="H42" s="3028" t="s">
        <v>1128</v>
      </c>
      <c r="I42" s="3029"/>
      <c r="J42" s="1398" t="s">
        <v>1080</v>
      </c>
      <c r="K42" s="1395">
        <v>1.25</v>
      </c>
      <c r="L42" s="1395">
        <v>1</v>
      </c>
      <c r="M42" s="1395">
        <v>2</v>
      </c>
      <c r="N42" s="1399">
        <f>O42/G42</f>
        <v>0.77922077922077926</v>
      </c>
      <c r="O42" s="1397">
        <v>1020</v>
      </c>
      <c r="P42" s="1397">
        <v>1020</v>
      </c>
      <c r="Q42" s="1395">
        <v>0</v>
      </c>
      <c r="R42" s="1395">
        <v>0</v>
      </c>
      <c r="S42" s="1395">
        <v>0</v>
      </c>
      <c r="T42" s="1395">
        <v>0</v>
      </c>
      <c r="U42" s="1395">
        <v>0</v>
      </c>
      <c r="V42" s="1395" t="s">
        <v>1081</v>
      </c>
      <c r="W42" s="1400">
        <v>0</v>
      </c>
      <c r="X42" s="3026" t="s">
        <v>1082</v>
      </c>
      <c r="Y42" s="3027" t="s">
        <v>1098</v>
      </c>
      <c r="Z42" s="2321" t="s">
        <v>706</v>
      </c>
      <c r="AA42" s="2321">
        <v>3.6</v>
      </c>
      <c r="AB42" s="2321">
        <v>2</v>
      </c>
      <c r="AC42" s="1345" t="s">
        <v>1109</v>
      </c>
      <c r="AD42" s="3707"/>
      <c r="AE42" s="3707"/>
      <c r="AF42" s="3707"/>
      <c r="AG42" s="3707"/>
      <c r="AH42" s="3707"/>
      <c r="AI42" s="3707"/>
      <c r="AJ42" s="1401"/>
      <c r="AK42" s="1402"/>
      <c r="AL42" s="3707"/>
      <c r="AM42" s="3707"/>
      <c r="AN42" s="3707"/>
      <c r="AO42" s="1403"/>
      <c r="AP42" s="1404"/>
      <c r="AQ42" s="1312"/>
    </row>
    <row r="43" spans="1:44" ht="30" customHeight="1" thickBot="1">
      <c r="A43" s="23"/>
      <c r="B43" s="3038"/>
      <c r="C43" s="1394">
        <v>15535</v>
      </c>
      <c r="D43" s="1395">
        <v>59</v>
      </c>
      <c r="E43" s="1396" t="s">
        <v>1131</v>
      </c>
      <c r="F43" s="1395" t="s">
        <v>1088</v>
      </c>
      <c r="G43" s="1397">
        <v>1264</v>
      </c>
      <c r="H43" s="3028" t="s">
        <v>1128</v>
      </c>
      <c r="I43" s="3029"/>
      <c r="J43" s="1398" t="s">
        <v>1080</v>
      </c>
      <c r="K43" s="1395">
        <v>1.25</v>
      </c>
      <c r="L43" s="1395">
        <v>1</v>
      </c>
      <c r="M43" s="1395">
        <v>2</v>
      </c>
      <c r="N43" s="1399">
        <f>O43/G43</f>
        <v>0.80696202531645567</v>
      </c>
      <c r="O43" s="1397">
        <v>1020</v>
      </c>
      <c r="P43" s="1397">
        <v>1020</v>
      </c>
      <c r="Q43" s="1395">
        <v>0</v>
      </c>
      <c r="R43" s="1395">
        <v>0</v>
      </c>
      <c r="S43" s="1395">
        <v>0</v>
      </c>
      <c r="T43" s="1395">
        <v>0</v>
      </c>
      <c r="U43" s="1395">
        <v>0</v>
      </c>
      <c r="V43" s="1395" t="s">
        <v>1132</v>
      </c>
      <c r="W43" s="1400">
        <v>0</v>
      </c>
      <c r="X43" s="3026" t="s">
        <v>1082</v>
      </c>
      <c r="Y43" s="3027" t="s">
        <v>1098</v>
      </c>
      <c r="Z43" s="2321" t="s">
        <v>706</v>
      </c>
      <c r="AA43" s="2321">
        <v>3.6</v>
      </c>
      <c r="AB43" s="2321">
        <v>2</v>
      </c>
      <c r="AC43" s="1345" t="s">
        <v>1109</v>
      </c>
      <c r="AD43" s="3707"/>
      <c r="AE43" s="3707"/>
      <c r="AF43" s="3707"/>
      <c r="AG43" s="3707"/>
      <c r="AH43" s="3707"/>
      <c r="AI43" s="3707"/>
      <c r="AJ43" s="1401"/>
      <c r="AK43" s="1402"/>
      <c r="AL43" s="3707"/>
      <c r="AM43" s="3707"/>
      <c r="AN43" s="3707"/>
      <c r="AO43" s="1403"/>
      <c r="AP43" s="1404"/>
      <c r="AQ43" s="1312"/>
    </row>
    <row r="44" spans="1:44" ht="30" customHeight="1" thickBot="1">
      <c r="A44" s="23"/>
      <c r="B44" s="3038"/>
      <c r="C44" s="1394">
        <v>15535</v>
      </c>
      <c r="D44" s="1395">
        <v>60</v>
      </c>
      <c r="E44" s="1396" t="s">
        <v>1133</v>
      </c>
      <c r="F44" s="1405" t="s">
        <v>1088</v>
      </c>
      <c r="G44" s="1406">
        <v>1277</v>
      </c>
      <c r="H44" s="3028" t="s">
        <v>1128</v>
      </c>
      <c r="I44" s="3029"/>
      <c r="J44" s="1398" t="s">
        <v>1080</v>
      </c>
      <c r="K44" s="1395">
        <v>1.25</v>
      </c>
      <c r="L44" s="1395">
        <v>1</v>
      </c>
      <c r="M44" s="1395">
        <v>2</v>
      </c>
      <c r="N44" s="1399">
        <f>O44/G44</f>
        <v>0.75176194205168367</v>
      </c>
      <c r="O44" s="1406">
        <v>960</v>
      </c>
      <c r="P44" s="1406">
        <v>960</v>
      </c>
      <c r="Q44" s="1395">
        <v>0</v>
      </c>
      <c r="R44" s="1395">
        <v>0</v>
      </c>
      <c r="S44" s="1395">
        <v>0</v>
      </c>
      <c r="T44" s="1395">
        <v>0</v>
      </c>
      <c r="U44" s="1395">
        <v>0</v>
      </c>
      <c r="V44" s="1395" t="s">
        <v>1132</v>
      </c>
      <c r="W44" s="1400">
        <v>0</v>
      </c>
      <c r="X44" s="3026" t="s">
        <v>1082</v>
      </c>
      <c r="Y44" s="3027" t="s">
        <v>1098</v>
      </c>
      <c r="Z44" s="2321" t="s">
        <v>706</v>
      </c>
      <c r="AA44" s="2321">
        <v>3.6</v>
      </c>
      <c r="AB44" s="2321">
        <v>2</v>
      </c>
      <c r="AC44" s="1345" t="s">
        <v>1109</v>
      </c>
      <c r="AD44" s="3707"/>
      <c r="AE44" s="3707"/>
      <c r="AF44" s="3707"/>
      <c r="AG44" s="3707"/>
      <c r="AH44" s="3707"/>
      <c r="AI44" s="3707"/>
      <c r="AJ44" s="1401"/>
      <c r="AK44" s="1402"/>
      <c r="AL44" s="3707"/>
      <c r="AM44" s="3707"/>
      <c r="AN44" s="3707"/>
      <c r="AO44" s="1403"/>
      <c r="AP44" s="1404"/>
      <c r="AQ44" s="1312"/>
    </row>
    <row r="45" spans="1:44" ht="30" customHeight="1" thickBot="1">
      <c r="A45" s="23"/>
      <c r="B45" s="3039"/>
      <c r="C45" s="1394">
        <v>15535</v>
      </c>
      <c r="D45" s="1329">
        <v>61</v>
      </c>
      <c r="E45" s="1407" t="s">
        <v>1134</v>
      </c>
      <c r="F45" s="1329" t="s">
        <v>1088</v>
      </c>
      <c r="G45" s="1330">
        <v>1290</v>
      </c>
      <c r="H45" s="3030" t="s">
        <v>1128</v>
      </c>
      <c r="I45" s="3031"/>
      <c r="J45" s="2345" t="s">
        <v>1080</v>
      </c>
      <c r="K45" s="1329">
        <v>1.25</v>
      </c>
      <c r="L45" s="1329">
        <v>1</v>
      </c>
      <c r="M45" s="1329">
        <v>2</v>
      </c>
      <c r="N45" s="1408">
        <f>O45/G45</f>
        <v>0.7441860465116279</v>
      </c>
      <c r="O45" s="1330">
        <v>960</v>
      </c>
      <c r="P45" s="1330">
        <v>960</v>
      </c>
      <c r="Q45" s="1409">
        <v>0</v>
      </c>
      <c r="R45" s="1409">
        <v>0</v>
      </c>
      <c r="S45" s="1410">
        <v>0</v>
      </c>
      <c r="T45" s="1410">
        <v>0</v>
      </c>
      <c r="U45" s="1409">
        <v>0</v>
      </c>
      <c r="V45" s="1409" t="s">
        <v>1132</v>
      </c>
      <c r="W45" s="1411">
        <v>0</v>
      </c>
      <c r="X45" s="2986" t="s">
        <v>1082</v>
      </c>
      <c r="Y45" s="2987" t="s">
        <v>1098</v>
      </c>
      <c r="Z45" s="1353" t="s">
        <v>706</v>
      </c>
      <c r="AA45" s="2322">
        <v>3.6</v>
      </c>
      <c r="AB45" s="2322">
        <v>2</v>
      </c>
      <c r="AC45" s="1345" t="s">
        <v>1109</v>
      </c>
      <c r="AD45" s="1332"/>
      <c r="AE45" s="1332"/>
      <c r="AF45" s="1332"/>
      <c r="AG45" s="1332"/>
      <c r="AH45" s="1332"/>
      <c r="AI45" s="1332"/>
      <c r="AJ45" s="1412"/>
      <c r="AK45" s="1413"/>
      <c r="AL45" s="1332"/>
      <c r="AM45" s="1332"/>
      <c r="AN45" s="1332"/>
      <c r="AO45" s="1403"/>
      <c r="AP45" s="1412"/>
      <c r="AQ45" s="1312"/>
    </row>
    <row r="46" spans="1:44" s="1414" customFormat="1" ht="42.75" customHeight="1" thickBot="1">
      <c r="B46" s="1415" t="s">
        <v>1135</v>
      </c>
      <c r="C46" s="1416"/>
      <c r="D46" s="1417"/>
      <c r="E46" s="1418"/>
      <c r="F46" s="1418"/>
      <c r="G46" s="1419">
        <f>SUM(G9:G45)</f>
        <v>391356</v>
      </c>
      <c r="H46" s="1416"/>
      <c r="I46" s="1416"/>
      <c r="J46" s="1417"/>
      <c r="K46" s="1417"/>
      <c r="L46" s="1417"/>
      <c r="M46" s="1417"/>
      <c r="N46" s="1419"/>
      <c r="O46" s="1419">
        <f t="shared" ref="O46:U46" si="7">SUM(O9:O45)</f>
        <v>62498</v>
      </c>
      <c r="P46" s="1419">
        <f t="shared" si="7"/>
        <v>13504</v>
      </c>
      <c r="Q46" s="1419">
        <f t="shared" si="7"/>
        <v>5000</v>
      </c>
      <c r="R46" s="1419">
        <f t="shared" si="7"/>
        <v>5708</v>
      </c>
      <c r="S46" s="1419">
        <f t="shared" si="7"/>
        <v>432</v>
      </c>
      <c r="T46" s="1419">
        <f t="shared" si="7"/>
        <v>1</v>
      </c>
      <c r="U46" s="1419">
        <f t="shared" si="7"/>
        <v>0</v>
      </c>
      <c r="V46" s="1420"/>
      <c r="W46" s="1419">
        <f>SUM(W9:W45)</f>
        <v>50</v>
      </c>
      <c r="X46" s="1421"/>
      <c r="Y46" s="1416"/>
      <c r="Z46" s="1416"/>
      <c r="AA46" s="1416"/>
      <c r="AB46" s="1416"/>
      <c r="AC46" s="1416"/>
      <c r="AD46" s="1420">
        <f t="shared" ref="AD46:AL46" si="8">SUM(AD9:AD45)</f>
        <v>123188.59999999999</v>
      </c>
      <c r="AE46" s="1420">
        <f t="shared" si="8"/>
        <v>38095</v>
      </c>
      <c r="AF46" s="1420">
        <f t="shared" si="8"/>
        <v>1205463</v>
      </c>
      <c r="AG46" s="1420">
        <f t="shared" si="8"/>
        <v>1205.9130000000002</v>
      </c>
      <c r="AH46" s="1420">
        <f t="shared" si="8"/>
        <v>527.76</v>
      </c>
      <c r="AI46" s="1420">
        <f t="shared" si="8"/>
        <v>1366746.6</v>
      </c>
      <c r="AJ46" s="1422">
        <f t="shared" si="8"/>
        <v>427.75833333333333</v>
      </c>
      <c r="AK46" s="1420">
        <f t="shared" si="8"/>
        <v>113644.59999999999</v>
      </c>
      <c r="AL46" s="1420">
        <f t="shared" si="8"/>
        <v>33095</v>
      </c>
      <c r="AM46" s="1420">
        <f>SUM(AM9:AM45)</f>
        <v>1205031</v>
      </c>
      <c r="AN46" s="1420">
        <f>SUM(AN9:AN45)</f>
        <v>1204.9130000000002</v>
      </c>
      <c r="AO46" s="1420">
        <f>SUM(AO9:AO39)</f>
        <v>429.76</v>
      </c>
      <c r="AP46" s="1422">
        <f>AI46-O46</f>
        <v>1304248.6000000001</v>
      </c>
      <c r="AQ46" s="1422">
        <f>AJ46-W46</f>
        <v>377.75833333333333</v>
      </c>
      <c r="AR46" s="1423"/>
    </row>
    <row r="47" spans="1:44" s="1424" customFormat="1" ht="43.5" customHeight="1">
      <c r="B47" s="1425"/>
      <c r="C47" s="1426"/>
      <c r="D47" s="1427"/>
      <c r="E47" s="1428"/>
      <c r="F47" s="1428"/>
      <c r="G47" s="1429"/>
      <c r="H47" s="1426"/>
      <c r="I47" s="1426"/>
      <c r="J47" s="1427"/>
      <c r="K47" s="1427"/>
      <c r="L47" s="1427"/>
      <c r="M47" s="1427"/>
      <c r="N47" s="1429"/>
      <c r="O47" s="1429"/>
      <c r="P47" s="1429"/>
      <c r="Q47" s="659"/>
      <c r="R47" s="659"/>
      <c r="S47" s="1429"/>
      <c r="T47" s="1429"/>
      <c r="U47" s="1429"/>
      <c r="V47" s="1429"/>
      <c r="W47" s="1427"/>
      <c r="X47" s="1426"/>
      <c r="Y47" s="1426"/>
      <c r="Z47" s="1426"/>
      <c r="AA47" s="1426"/>
      <c r="AB47" s="1426"/>
      <c r="AC47" s="1426"/>
      <c r="AD47" s="1430"/>
      <c r="AE47" s="1430"/>
      <c r="AF47" s="1430"/>
      <c r="AG47" s="1430"/>
      <c r="AH47" s="1430"/>
      <c r="AI47" s="1430"/>
      <c r="AJ47" s="1430"/>
    </row>
    <row r="48" spans="1:44" s="1424" customFormat="1" ht="56.25" hidden="1" customHeight="1">
      <c r="B48" s="1292" t="s">
        <v>1136</v>
      </c>
      <c r="C48" s="1426"/>
      <c r="D48" s="1427"/>
      <c r="E48" s="1428"/>
      <c r="F48" s="1428"/>
      <c r="G48" s="1429"/>
      <c r="H48" s="1426"/>
      <c r="I48" s="1426"/>
      <c r="J48" s="1427"/>
      <c r="K48" s="1427"/>
      <c r="L48" s="1427"/>
      <c r="M48" s="1427"/>
      <c r="N48" s="1429"/>
      <c r="O48" s="1429"/>
      <c r="P48" s="1429"/>
      <c r="Q48" s="659"/>
      <c r="R48" s="659"/>
      <c r="S48" s="1429"/>
      <c r="T48" s="1429"/>
      <c r="U48" s="1429"/>
      <c r="V48" s="1429"/>
      <c r="W48" s="1427"/>
      <c r="X48" s="1426"/>
      <c r="Y48" s="1426"/>
      <c r="Z48" s="1426"/>
      <c r="AA48" s="1426"/>
      <c r="AB48" s="1426"/>
      <c r="AC48" s="1426"/>
      <c r="AD48" s="1430"/>
      <c r="AE48" s="1430"/>
      <c r="AF48" s="1430"/>
      <c r="AG48" s="1430"/>
      <c r="AH48" s="1430"/>
      <c r="AI48" s="1430"/>
      <c r="AJ48" s="1430"/>
      <c r="AR48" s="1431"/>
    </row>
    <row r="49" spans="2:43" s="1438" customFormat="1" ht="33" hidden="1" customHeight="1">
      <c r="B49" s="1432" t="s">
        <v>1137</v>
      </c>
      <c r="C49" s="1433"/>
      <c r="D49" s="1434"/>
      <c r="E49" s="1435"/>
      <c r="F49" s="1435"/>
      <c r="G49" s="1436">
        <f>SUM(G24:G26,G40)</f>
        <v>58543</v>
      </c>
      <c r="H49" s="1433"/>
      <c r="I49" s="1433"/>
      <c r="J49" s="1434"/>
      <c r="K49" s="1434"/>
      <c r="L49" s="1434"/>
      <c r="M49" s="1434"/>
      <c r="N49" s="1436"/>
      <c r="O49" s="1436">
        <f t="shared" ref="O49:U49" si="9">SUM(O24:O26,O40)</f>
        <v>0</v>
      </c>
      <c r="P49" s="1436">
        <f t="shared" si="9"/>
        <v>0</v>
      </c>
      <c r="Q49" s="1436">
        <f t="shared" si="9"/>
        <v>0</v>
      </c>
      <c r="R49" s="1436">
        <f t="shared" si="9"/>
        <v>0</v>
      </c>
      <c r="S49" s="1436">
        <f t="shared" si="9"/>
        <v>0</v>
      </c>
      <c r="T49" s="1436">
        <f t="shared" si="9"/>
        <v>0</v>
      </c>
      <c r="U49" s="1436">
        <f t="shared" si="9"/>
        <v>0</v>
      </c>
      <c r="V49" s="1436"/>
      <c r="W49" s="1434"/>
      <c r="X49" s="1433"/>
      <c r="Y49" s="1433"/>
      <c r="Z49" s="1433"/>
      <c r="AA49" s="1433"/>
      <c r="AB49" s="1433"/>
      <c r="AC49" s="1433"/>
      <c r="AD49" s="1437">
        <f t="shared" ref="AD49:AN49" si="10">AD24+AD40</f>
        <v>8000</v>
      </c>
      <c r="AE49" s="1437">
        <f t="shared" si="10"/>
        <v>0</v>
      </c>
      <c r="AF49" s="1437">
        <f t="shared" si="10"/>
        <v>209713</v>
      </c>
      <c r="AG49" s="1437">
        <f t="shared" si="10"/>
        <v>209.71299999999999</v>
      </c>
      <c r="AH49" s="1437">
        <f t="shared" si="10"/>
        <v>210</v>
      </c>
      <c r="AI49" s="1437">
        <f t="shared" si="10"/>
        <v>217713</v>
      </c>
      <c r="AJ49" s="1437">
        <f t="shared" si="10"/>
        <v>35</v>
      </c>
      <c r="AK49" s="1437">
        <f t="shared" si="10"/>
        <v>8000</v>
      </c>
      <c r="AL49" s="1437">
        <f t="shared" si="10"/>
        <v>0</v>
      </c>
      <c r="AM49" s="1437">
        <f t="shared" si="10"/>
        <v>209713</v>
      </c>
      <c r="AN49" s="1437">
        <f t="shared" si="10"/>
        <v>209.71299999999999</v>
      </c>
      <c r="AP49" s="1437">
        <f>AP24+AP40</f>
        <v>217713</v>
      </c>
    </row>
    <row r="50" spans="2:43" s="1438" customFormat="1" ht="33" hidden="1" customHeight="1">
      <c r="B50" s="1432" t="s">
        <v>1138</v>
      </c>
      <c r="C50" s="1433"/>
      <c r="D50" s="1434"/>
      <c r="E50" s="1435"/>
      <c r="F50" s="1435"/>
      <c r="G50" s="1436">
        <f>SUM(G41:G45)</f>
        <v>9548</v>
      </c>
      <c r="H50" s="1433"/>
      <c r="I50" s="1433"/>
      <c r="J50" s="1434"/>
      <c r="K50" s="1434"/>
      <c r="L50" s="1434"/>
      <c r="M50" s="1434"/>
      <c r="N50" s="1436"/>
      <c r="O50" s="1436">
        <f t="shared" ref="O50:U50" si="11">SUM(O41:O45)</f>
        <v>4160</v>
      </c>
      <c r="P50" s="1436">
        <f t="shared" si="11"/>
        <v>4160</v>
      </c>
      <c r="Q50" s="1436">
        <f t="shared" si="11"/>
        <v>0</v>
      </c>
      <c r="R50" s="1436">
        <f t="shared" si="11"/>
        <v>0</v>
      </c>
      <c r="S50" s="1436">
        <f t="shared" si="11"/>
        <v>0</v>
      </c>
      <c r="T50" s="1436">
        <f t="shared" si="11"/>
        <v>0</v>
      </c>
      <c r="U50" s="1436">
        <f t="shared" si="11"/>
        <v>0</v>
      </c>
      <c r="V50" s="1436"/>
      <c r="W50" s="1434"/>
      <c r="X50" s="1433"/>
      <c r="Y50" s="1433"/>
      <c r="Z50" s="1433"/>
      <c r="AA50" s="1433"/>
      <c r="AB50" s="1433"/>
      <c r="AC50" s="1433"/>
      <c r="AD50" s="1437">
        <f t="shared" ref="AD50:AN50" si="12">AD41</f>
        <v>7820</v>
      </c>
      <c r="AE50" s="1437">
        <f t="shared" si="12"/>
        <v>0</v>
      </c>
      <c r="AF50" s="1437">
        <f t="shared" si="12"/>
        <v>26550</v>
      </c>
      <c r="AG50" s="1437">
        <f t="shared" si="12"/>
        <v>27</v>
      </c>
      <c r="AH50" s="1437">
        <f t="shared" si="12"/>
        <v>27</v>
      </c>
      <c r="AI50" s="1437">
        <f t="shared" si="12"/>
        <v>34370</v>
      </c>
      <c r="AJ50" s="1437">
        <f t="shared" si="12"/>
        <v>12</v>
      </c>
      <c r="AK50" s="1439">
        <f t="shared" si="12"/>
        <v>7620</v>
      </c>
      <c r="AL50" s="1439">
        <f t="shared" si="12"/>
        <v>0</v>
      </c>
      <c r="AM50" s="1439">
        <f t="shared" si="12"/>
        <v>26550</v>
      </c>
      <c r="AN50" s="1439">
        <f t="shared" si="12"/>
        <v>27</v>
      </c>
      <c r="AP50" s="1439">
        <f>AP41</f>
        <v>34170</v>
      </c>
    </row>
    <row r="51" spans="2:43" s="1438" customFormat="1" ht="33" hidden="1" customHeight="1">
      <c r="B51" s="1432"/>
      <c r="C51" s="1433"/>
      <c r="D51" s="1434"/>
      <c r="E51" s="1435"/>
      <c r="F51" s="1435"/>
      <c r="G51" s="1436"/>
      <c r="H51" s="1433"/>
      <c r="I51" s="1433"/>
      <c r="J51" s="1434"/>
      <c r="K51" s="1434"/>
      <c r="L51" s="1434"/>
      <c r="M51" s="1434"/>
      <c r="N51" s="1436"/>
      <c r="O51" s="1436"/>
      <c r="P51" s="1436"/>
      <c r="Q51" s="1436"/>
      <c r="R51" s="1436"/>
      <c r="S51" s="1436"/>
      <c r="T51" s="1436"/>
      <c r="U51" s="1436"/>
      <c r="V51" s="1436"/>
      <c r="W51" s="1434"/>
      <c r="X51" s="1433"/>
      <c r="Y51" s="1433"/>
      <c r="Z51" s="1433"/>
      <c r="AA51" s="1433"/>
      <c r="AB51" s="1433"/>
      <c r="AC51" s="1433"/>
      <c r="AD51" s="1437"/>
      <c r="AE51" s="1437"/>
      <c r="AF51" s="1437"/>
      <c r="AG51" s="1437"/>
      <c r="AH51" s="1437"/>
      <c r="AI51" s="1437"/>
      <c r="AJ51" s="1437"/>
    </row>
    <row r="52" spans="2:43" s="1424" customFormat="1" ht="62.25" customHeight="1" thickBot="1">
      <c r="B52" s="1440" t="s">
        <v>1139</v>
      </c>
      <c r="C52" s="1426"/>
      <c r="D52" s="1427"/>
      <c r="E52" s="1428"/>
      <c r="F52" s="1428"/>
      <c r="G52" s="1429"/>
      <c r="H52" s="1426"/>
      <c r="I52" s="1426"/>
      <c r="J52" s="1427"/>
      <c r="K52" s="1427"/>
      <c r="L52" s="1427"/>
      <c r="M52" s="1427"/>
      <c r="N52" s="1429"/>
      <c r="O52" s="1429"/>
      <c r="P52" s="1429"/>
      <c r="Q52" s="659"/>
      <c r="R52" s="659"/>
      <c r="S52" s="1429"/>
      <c r="T52" s="1429"/>
      <c r="U52" s="1429"/>
      <c r="V52" s="1429"/>
      <c r="W52" s="1427"/>
      <c r="X52" s="1426"/>
      <c r="Y52" s="1426"/>
      <c r="Z52" s="1426"/>
      <c r="AA52" s="1426"/>
      <c r="AB52" s="1426"/>
      <c r="AC52" s="1426"/>
      <c r="AD52" s="1430"/>
      <c r="AE52" s="1430"/>
      <c r="AF52" s="1430"/>
      <c r="AG52" s="1430"/>
      <c r="AH52" s="1430"/>
      <c r="AI52" s="1430"/>
      <c r="AJ52" s="1430"/>
    </row>
    <row r="53" spans="2:43" s="1424" customFormat="1" ht="36.75" customHeight="1" thickBot="1">
      <c r="B53" s="1296" t="s">
        <v>1140</v>
      </c>
      <c r="C53" s="1297"/>
      <c r="D53" s="1297"/>
      <c r="E53" s="1297"/>
      <c r="F53" s="1297"/>
      <c r="G53" s="1297"/>
      <c r="H53" s="1297"/>
      <c r="I53" s="1297"/>
      <c r="J53" s="1297"/>
      <c r="K53" s="1297"/>
      <c r="L53" s="1297"/>
      <c r="M53" s="1297"/>
      <c r="N53" s="1297"/>
      <c r="O53" s="1297"/>
      <c r="P53" s="1297"/>
      <c r="Q53" s="1297"/>
      <c r="R53" s="1297"/>
      <c r="S53" s="1297"/>
      <c r="T53" s="1297"/>
      <c r="U53" s="1297"/>
      <c r="V53" s="1297"/>
      <c r="W53" s="1297"/>
      <c r="X53" s="1297"/>
      <c r="Y53" s="1297"/>
      <c r="Z53" s="1297"/>
      <c r="AA53" s="1297"/>
      <c r="AB53" s="1297"/>
      <c r="AC53" s="1297"/>
      <c r="AD53" s="1297"/>
      <c r="AE53" s="1297"/>
      <c r="AF53" s="1297"/>
      <c r="AG53" s="1297"/>
      <c r="AH53" s="1297"/>
      <c r="AI53" s="1297"/>
      <c r="AJ53" s="1297"/>
      <c r="AK53" s="1297"/>
      <c r="AL53" s="1297"/>
      <c r="AM53" s="1297"/>
      <c r="AN53" s="1297"/>
      <c r="AO53" s="1297"/>
      <c r="AP53" s="1298"/>
      <c r="AQ53" s="1298"/>
    </row>
    <row r="54" spans="2:43" ht="16.5" customHeight="1" thickBot="1">
      <c r="B54" s="2875" t="s">
        <v>609</v>
      </c>
      <c r="C54" s="2876"/>
      <c r="D54" s="2877"/>
      <c r="E54" s="2877"/>
      <c r="F54" s="2878"/>
      <c r="G54" s="2879"/>
      <c r="H54" s="3032" t="s">
        <v>1046</v>
      </c>
      <c r="I54" s="3033"/>
      <c r="J54" s="3033"/>
      <c r="K54" s="3033"/>
      <c r="L54" s="3033"/>
      <c r="M54" s="3033"/>
      <c r="N54" s="3033"/>
      <c r="O54" s="3033"/>
      <c r="P54" s="3033"/>
      <c r="Q54" s="3033"/>
      <c r="R54" s="3033"/>
      <c r="S54" s="3033"/>
      <c r="T54" s="3033"/>
      <c r="U54" s="3033"/>
      <c r="V54" s="3033"/>
      <c r="W54" s="3033"/>
      <c r="X54" s="2900" t="s">
        <v>1141</v>
      </c>
      <c r="Y54" s="3034"/>
      <c r="Z54" s="3034"/>
      <c r="AA54" s="3034"/>
      <c r="AB54" s="3034"/>
      <c r="AC54" s="3034"/>
      <c r="AD54" s="3035"/>
      <c r="AE54" s="3035"/>
      <c r="AF54" s="3035"/>
      <c r="AG54" s="3035"/>
      <c r="AH54" s="3035"/>
      <c r="AI54" s="3035"/>
      <c r="AJ54" s="3036"/>
      <c r="AK54" s="3042" t="s">
        <v>1048</v>
      </c>
      <c r="AL54" s="3043"/>
      <c r="AM54" s="3043"/>
      <c r="AN54" s="3043"/>
      <c r="AO54" s="3043"/>
      <c r="AP54" s="3044"/>
      <c r="AQ54" s="1441"/>
    </row>
    <row r="55" spans="2:43" ht="26.25" customHeight="1" thickBot="1">
      <c r="B55" s="2886" t="s">
        <v>1049</v>
      </c>
      <c r="C55" s="2886" t="s">
        <v>936</v>
      </c>
      <c r="D55" s="2889" t="s">
        <v>937</v>
      </c>
      <c r="E55" s="2892" t="s">
        <v>1050</v>
      </c>
      <c r="F55" s="2895" t="s">
        <v>1051</v>
      </c>
      <c r="G55" s="2897" t="s">
        <v>1142</v>
      </c>
      <c r="H55" s="2924" t="s">
        <v>1053</v>
      </c>
      <c r="I55" s="2925"/>
      <c r="J55" s="2926"/>
      <c r="K55" s="2906" t="s">
        <v>1054</v>
      </c>
      <c r="L55" s="2927"/>
      <c r="M55" s="2927"/>
      <c r="N55" s="2927"/>
      <c r="O55" s="2928" t="s">
        <v>1055</v>
      </c>
      <c r="P55" s="3048"/>
      <c r="Q55" s="3048"/>
      <c r="R55" s="3048"/>
      <c r="S55" s="3049"/>
      <c r="T55" s="2929" t="s">
        <v>1056</v>
      </c>
      <c r="U55" s="2929" t="s">
        <v>823</v>
      </c>
      <c r="V55" s="3053" t="s">
        <v>986</v>
      </c>
      <c r="W55" s="2901" t="s">
        <v>1143</v>
      </c>
      <c r="X55" s="3058" t="s">
        <v>1053</v>
      </c>
      <c r="Y55" s="3059"/>
      <c r="Z55" s="3060"/>
      <c r="AA55" s="3061" t="s">
        <v>1054</v>
      </c>
      <c r="AB55" s="3062"/>
      <c r="AC55" s="3063"/>
      <c r="AD55" s="3050" t="s">
        <v>1058</v>
      </c>
      <c r="AE55" s="3051"/>
      <c r="AF55" s="3051"/>
      <c r="AG55" s="3051"/>
      <c r="AH55" s="3051"/>
      <c r="AI55" s="3051"/>
      <c r="AJ55" s="3052"/>
      <c r="AK55" s="3045"/>
      <c r="AL55" s="3046"/>
      <c r="AM55" s="3046"/>
      <c r="AN55" s="3046"/>
      <c r="AO55" s="3046"/>
      <c r="AP55" s="3047"/>
      <c r="AQ55" s="1442"/>
    </row>
    <row r="56" spans="2:43" ht="15" customHeight="1">
      <c r="B56" s="2887"/>
      <c r="C56" s="2887"/>
      <c r="D56" s="2890"/>
      <c r="E56" s="2893"/>
      <c r="F56" s="3695"/>
      <c r="G56" s="2898"/>
      <c r="H56" s="2912" t="s">
        <v>939</v>
      </c>
      <c r="I56" s="2913"/>
      <c r="J56" s="2918" t="s">
        <v>1059</v>
      </c>
      <c r="K56" s="2918" t="s">
        <v>1060</v>
      </c>
      <c r="L56" s="2918" t="s">
        <v>1061</v>
      </c>
      <c r="M56" s="2918" t="s">
        <v>1062</v>
      </c>
      <c r="N56" s="2921" t="s">
        <v>1063</v>
      </c>
      <c r="O56" s="2922" t="s">
        <v>1064</v>
      </c>
      <c r="P56" s="2922" t="s">
        <v>1065</v>
      </c>
      <c r="Q56" s="2922" t="s">
        <v>1066</v>
      </c>
      <c r="R56" s="2922" t="s">
        <v>1067</v>
      </c>
      <c r="S56" s="2922" t="s">
        <v>1068</v>
      </c>
      <c r="T56" s="2930"/>
      <c r="U56" s="2930"/>
      <c r="V56" s="3054"/>
      <c r="W56" s="3056"/>
      <c r="X56" s="2948" t="s">
        <v>990</v>
      </c>
      <c r="Y56" s="2949"/>
      <c r="Z56" s="2954" t="s">
        <v>1069</v>
      </c>
      <c r="AA56" s="2918" t="s">
        <v>1070</v>
      </c>
      <c r="AB56" s="2918" t="s">
        <v>1061</v>
      </c>
      <c r="AC56" s="2918" t="s">
        <v>1071</v>
      </c>
      <c r="AD56" s="2929" t="s">
        <v>1072</v>
      </c>
      <c r="AE56" s="2929" t="s">
        <v>1073</v>
      </c>
      <c r="AF56" s="2929" t="s">
        <v>1074</v>
      </c>
      <c r="AG56" s="2945" t="s">
        <v>1075</v>
      </c>
      <c r="AH56" s="2945" t="s">
        <v>822</v>
      </c>
      <c r="AI56" s="2929" t="s">
        <v>1076</v>
      </c>
      <c r="AJ56" s="2929" t="s">
        <v>1057</v>
      </c>
      <c r="AK56" s="2929" t="s">
        <v>1072</v>
      </c>
      <c r="AL56" s="2929" t="s">
        <v>1073</v>
      </c>
      <c r="AM56" s="2929" t="s">
        <v>1074</v>
      </c>
      <c r="AN56" s="2945" t="s">
        <v>1075</v>
      </c>
      <c r="AO56" s="2945" t="s">
        <v>822</v>
      </c>
      <c r="AP56" s="2929" t="s">
        <v>1076</v>
      </c>
      <c r="AQ56" s="2929" t="s">
        <v>1057</v>
      </c>
    </row>
    <row r="57" spans="2:43">
      <c r="B57" s="2887"/>
      <c r="C57" s="2887"/>
      <c r="D57" s="2890"/>
      <c r="E57" s="2893"/>
      <c r="F57" s="3695"/>
      <c r="G57" s="2898"/>
      <c r="H57" s="2914"/>
      <c r="I57" s="2915"/>
      <c r="J57" s="2919"/>
      <c r="K57" s="2919"/>
      <c r="L57" s="2919"/>
      <c r="M57" s="2919"/>
      <c r="N57" s="2922"/>
      <c r="O57" s="2922"/>
      <c r="P57" s="2922"/>
      <c r="Q57" s="2922"/>
      <c r="R57" s="2922"/>
      <c r="S57" s="2922"/>
      <c r="T57" s="2930"/>
      <c r="U57" s="2930"/>
      <c r="V57" s="3054"/>
      <c r="W57" s="3056"/>
      <c r="X57" s="2950"/>
      <c r="Y57" s="2951"/>
      <c r="Z57" s="2955"/>
      <c r="AA57" s="2919"/>
      <c r="AB57" s="2919"/>
      <c r="AC57" s="2919"/>
      <c r="AD57" s="2932"/>
      <c r="AE57" s="2932"/>
      <c r="AF57" s="2932"/>
      <c r="AG57" s="2946"/>
      <c r="AH57" s="2946"/>
      <c r="AI57" s="2932"/>
      <c r="AJ57" s="2932"/>
      <c r="AK57" s="2932"/>
      <c r="AL57" s="2932"/>
      <c r="AM57" s="2932"/>
      <c r="AN57" s="2946"/>
      <c r="AO57" s="2946"/>
      <c r="AP57" s="2932"/>
      <c r="AQ57" s="2932"/>
    </row>
    <row r="58" spans="2:43" ht="21.75" customHeight="1" thickBot="1">
      <c r="B58" s="2888"/>
      <c r="C58" s="2888"/>
      <c r="D58" s="2891"/>
      <c r="E58" s="2894"/>
      <c r="F58" s="2896"/>
      <c r="G58" s="2899"/>
      <c r="H58" s="2916"/>
      <c r="I58" s="2917"/>
      <c r="J58" s="2920"/>
      <c r="K58" s="2920"/>
      <c r="L58" s="2920"/>
      <c r="M58" s="2920"/>
      <c r="N58" s="2923"/>
      <c r="O58" s="2923"/>
      <c r="P58" s="2923"/>
      <c r="Q58" s="2923"/>
      <c r="R58" s="2923"/>
      <c r="S58" s="2923"/>
      <c r="T58" s="2931"/>
      <c r="U58" s="2931"/>
      <c r="V58" s="3055"/>
      <c r="W58" s="3057"/>
      <c r="X58" s="2952"/>
      <c r="Y58" s="2953"/>
      <c r="Z58" s="2956"/>
      <c r="AA58" s="2920"/>
      <c r="AB58" s="2920"/>
      <c r="AC58" s="2920"/>
      <c r="AD58" s="2933"/>
      <c r="AE58" s="2933"/>
      <c r="AF58" s="2933"/>
      <c r="AG58" s="2947"/>
      <c r="AH58" s="2947"/>
      <c r="AI58" s="2933"/>
      <c r="AJ58" s="2933"/>
      <c r="AK58" s="2933"/>
      <c r="AL58" s="2933"/>
      <c r="AM58" s="2933"/>
      <c r="AN58" s="2947"/>
      <c r="AO58" s="2947"/>
      <c r="AP58" s="2933"/>
      <c r="AQ58" s="2933"/>
    </row>
    <row r="59" spans="2:43" ht="23.25" customHeight="1" thickBot="1">
      <c r="B59" s="3064" t="s">
        <v>1144</v>
      </c>
      <c r="C59" s="1443">
        <v>15529</v>
      </c>
      <c r="D59" s="1443">
        <v>9</v>
      </c>
      <c r="E59" s="1443" t="s">
        <v>1145</v>
      </c>
      <c r="F59" s="1444" t="s">
        <v>1088</v>
      </c>
      <c r="G59" s="1445">
        <v>526</v>
      </c>
      <c r="H59" s="1443" t="s">
        <v>947</v>
      </c>
      <c r="I59" s="1443"/>
      <c r="J59" s="1446"/>
      <c r="K59" s="1447">
        <v>0</v>
      </c>
      <c r="L59" s="1447">
        <v>1</v>
      </c>
      <c r="M59" s="1447">
        <v>2.4</v>
      </c>
      <c r="N59" s="1447">
        <v>0</v>
      </c>
      <c r="O59" s="1448">
        <v>0</v>
      </c>
      <c r="P59" s="1448">
        <v>0</v>
      </c>
      <c r="Q59" s="1448">
        <v>0</v>
      </c>
      <c r="R59" s="1448">
        <v>0</v>
      </c>
      <c r="S59" s="1448">
        <v>0</v>
      </c>
      <c r="T59" s="1448">
        <v>0</v>
      </c>
      <c r="U59" s="1448">
        <v>0</v>
      </c>
      <c r="V59" s="1449" t="s">
        <v>718</v>
      </c>
      <c r="W59" s="1450">
        <v>0</v>
      </c>
      <c r="X59" s="3066" t="s">
        <v>1082</v>
      </c>
      <c r="Y59" s="3067"/>
      <c r="Z59" s="1451" t="s">
        <v>706</v>
      </c>
      <c r="AA59" s="1452">
        <v>3.6</v>
      </c>
      <c r="AB59" s="1452">
        <v>2</v>
      </c>
      <c r="AC59" s="1452">
        <v>4.8</v>
      </c>
      <c r="AD59" s="1453">
        <f>'[2]DOT Dispo'!J10+'[2]DOT Dispo'!J18+'[2]DOT Dispo'!J21</f>
        <v>129077</v>
      </c>
      <c r="AE59" s="1453">
        <f>'[2]DOT Dispo'!I10+'[2]DOT Dispo'!I18</f>
        <v>36295</v>
      </c>
      <c r="AF59" s="1453">
        <f>'[2]DOT Dispo'!G10+'[2]DOT Dispo'!G18+'[2]DOT Dispo'!G21</f>
        <v>1766666</v>
      </c>
      <c r="AG59" s="1453">
        <f>'[2]DOT Dispo'!H10+'[2]DOT Dispo'!H18+'[2]DOT Dispo'!H21</f>
        <v>1747</v>
      </c>
      <c r="AH59" s="1453">
        <v>874</v>
      </c>
      <c r="AI59" s="1453">
        <f>AF59+AE59+AD59</f>
        <v>1932038</v>
      </c>
      <c r="AJ59" s="1454">
        <f>'[2]DOT Dispo'!R10+'[2]DOT Dispo'!R18+'[2]DOT Dispo'!R21</f>
        <v>771.0675</v>
      </c>
      <c r="AK59" s="1455">
        <f>AD59-P87</f>
        <v>47489</v>
      </c>
      <c r="AL59" s="1453">
        <f>AE59-Q87</f>
        <v>36295</v>
      </c>
      <c r="AM59" s="1453">
        <f>AF59-S87</f>
        <v>1759453</v>
      </c>
      <c r="AN59" s="1453">
        <f>AG59-7</f>
        <v>1740</v>
      </c>
      <c r="AO59" s="1453">
        <f>AH59</f>
        <v>874</v>
      </c>
      <c r="AP59" s="1456">
        <f>AI59-O87</f>
        <v>1767388</v>
      </c>
      <c r="AQ59" s="1454">
        <f>AJ59-W87</f>
        <v>571.0675</v>
      </c>
    </row>
    <row r="60" spans="2:43" ht="23.25" customHeight="1" thickBot="1">
      <c r="B60" s="3065"/>
      <c r="C60" s="1457">
        <v>15529</v>
      </c>
      <c r="D60" s="1457">
        <v>10</v>
      </c>
      <c r="E60" s="1457" t="s">
        <v>1146</v>
      </c>
      <c r="F60" s="1458" t="s">
        <v>1088</v>
      </c>
      <c r="G60" s="1459">
        <v>17812</v>
      </c>
      <c r="H60" s="1457" t="s">
        <v>947</v>
      </c>
      <c r="I60" s="1457"/>
      <c r="J60" s="1460"/>
      <c r="K60" s="1461">
        <v>0</v>
      </c>
      <c r="L60" s="1461">
        <v>1</v>
      </c>
      <c r="M60" s="1461">
        <v>2.4</v>
      </c>
      <c r="N60" s="1461">
        <v>0.85</v>
      </c>
      <c r="O60" s="1462">
        <v>15085</v>
      </c>
      <c r="P60" s="1462">
        <v>0</v>
      </c>
      <c r="Q60" s="1462">
        <v>0</v>
      </c>
      <c r="R60" s="1462">
        <v>0</v>
      </c>
      <c r="S60" s="1462">
        <v>0</v>
      </c>
      <c r="T60" s="1462">
        <v>0</v>
      </c>
      <c r="U60" s="1462">
        <v>0</v>
      </c>
      <c r="V60" s="1463" t="s">
        <v>1103</v>
      </c>
      <c r="W60" s="1464">
        <v>0</v>
      </c>
      <c r="X60" s="3068" t="s">
        <v>1082</v>
      </c>
      <c r="Y60" s="3069"/>
      <c r="Z60" s="1465" t="s">
        <v>706</v>
      </c>
      <c r="AA60" s="1466">
        <v>3.6</v>
      </c>
      <c r="AB60" s="1466">
        <v>2</v>
      </c>
      <c r="AC60" s="1452">
        <v>4.8</v>
      </c>
      <c r="AD60" s="1467"/>
      <c r="AE60" s="1467"/>
      <c r="AF60" s="1467"/>
      <c r="AG60" s="1467"/>
      <c r="AH60" s="1467"/>
      <c r="AI60" s="1467"/>
      <c r="AJ60" s="1468"/>
      <c r="AK60" s="1469"/>
      <c r="AL60" s="1467"/>
      <c r="AM60" s="1467"/>
      <c r="AN60" s="1467"/>
      <c r="AO60" s="1467"/>
      <c r="AP60" s="1468"/>
      <c r="AQ60" s="1468"/>
    </row>
    <row r="61" spans="2:43" ht="23.25" customHeight="1" thickBot="1">
      <c r="B61" s="3065"/>
      <c r="C61" s="1457">
        <v>15537</v>
      </c>
      <c r="D61" s="1457">
        <v>1</v>
      </c>
      <c r="E61" s="1457" t="s">
        <v>1147</v>
      </c>
      <c r="F61" s="1458" t="s">
        <v>1088</v>
      </c>
      <c r="G61" s="1459">
        <v>267496</v>
      </c>
      <c r="H61" s="1457" t="s">
        <v>1148</v>
      </c>
      <c r="I61" s="1457"/>
      <c r="J61" s="1460"/>
      <c r="K61" s="1461">
        <v>2.4300000000000002</v>
      </c>
      <c r="L61" s="1461">
        <v>3.4</v>
      </c>
      <c r="M61" s="1461">
        <v>4.8</v>
      </c>
      <c r="N61" s="1461">
        <v>0.14000000000000001</v>
      </c>
      <c r="O61" s="1462">
        <v>78750</v>
      </c>
      <c r="P61" s="1462">
        <v>56100</v>
      </c>
      <c r="Q61" s="1462">
        <v>0</v>
      </c>
      <c r="R61" s="1462">
        <v>0</v>
      </c>
      <c r="S61" s="1462">
        <v>0</v>
      </c>
      <c r="T61" s="1462">
        <v>0</v>
      </c>
      <c r="U61" s="1462">
        <v>0</v>
      </c>
      <c r="V61" s="1463" t="s">
        <v>1149</v>
      </c>
      <c r="W61" s="1464">
        <v>200</v>
      </c>
      <c r="X61" s="3068" t="s">
        <v>726</v>
      </c>
      <c r="Y61" s="3069"/>
      <c r="Z61" s="1465" t="s">
        <v>706</v>
      </c>
      <c r="AA61" s="1466">
        <v>4.5999999999999996</v>
      </c>
      <c r="AB61" s="1466">
        <v>2</v>
      </c>
      <c r="AC61" s="1452">
        <v>4.8</v>
      </c>
      <c r="AD61" s="1467"/>
      <c r="AE61" s="1467"/>
      <c r="AF61" s="1467"/>
      <c r="AG61" s="1467"/>
      <c r="AH61" s="1467"/>
      <c r="AI61" s="1467"/>
      <c r="AJ61" s="1468"/>
      <c r="AK61" s="1469"/>
      <c r="AL61" s="1467"/>
      <c r="AM61" s="1467"/>
      <c r="AN61" s="1467"/>
      <c r="AO61" s="1467"/>
      <c r="AP61" s="1468"/>
      <c r="AQ61" s="1468"/>
    </row>
    <row r="62" spans="2:43" ht="23.25" customHeight="1" thickBot="1">
      <c r="B62" s="3065"/>
      <c r="C62" s="1457">
        <v>15537</v>
      </c>
      <c r="D62" s="1457">
        <v>5</v>
      </c>
      <c r="E62" s="1457" t="s">
        <v>1150</v>
      </c>
      <c r="F62" s="1458" t="s">
        <v>1088</v>
      </c>
      <c r="G62" s="1459">
        <v>11100</v>
      </c>
      <c r="H62" s="1457" t="s">
        <v>1096</v>
      </c>
      <c r="I62" s="1457"/>
      <c r="J62" s="1460"/>
      <c r="K62" s="1461">
        <v>2.4300000000000002</v>
      </c>
      <c r="L62" s="1461">
        <v>3.4</v>
      </c>
      <c r="M62" s="1461">
        <v>4.8</v>
      </c>
      <c r="N62" s="1461">
        <v>0.7</v>
      </c>
      <c r="O62" s="1462">
        <v>7752</v>
      </c>
      <c r="P62" s="1462">
        <v>7752</v>
      </c>
      <c r="Q62" s="1462">
        <v>0</v>
      </c>
      <c r="R62" s="1462">
        <v>0</v>
      </c>
      <c r="S62" s="1462">
        <v>0</v>
      </c>
      <c r="T62" s="1462">
        <v>0</v>
      </c>
      <c r="U62" s="1462">
        <v>0</v>
      </c>
      <c r="V62" s="1463" t="s">
        <v>1151</v>
      </c>
      <c r="W62" s="1464">
        <v>0</v>
      </c>
      <c r="X62" s="3068" t="s">
        <v>726</v>
      </c>
      <c r="Y62" s="3069"/>
      <c r="Z62" s="1465" t="s">
        <v>706</v>
      </c>
      <c r="AA62" s="1466">
        <v>4.5999999999999996</v>
      </c>
      <c r="AB62" s="1466">
        <v>2</v>
      </c>
      <c r="AC62" s="1452">
        <v>4.8</v>
      </c>
      <c r="AD62" s="1467"/>
      <c r="AE62" s="1467"/>
      <c r="AF62" s="1467"/>
      <c r="AG62" s="1467"/>
      <c r="AH62" s="1467"/>
      <c r="AI62" s="1467"/>
      <c r="AJ62" s="1468"/>
      <c r="AK62" s="1469"/>
      <c r="AL62" s="1467"/>
      <c r="AM62" s="1467"/>
      <c r="AN62" s="1467"/>
      <c r="AO62" s="1467"/>
      <c r="AP62" s="1468"/>
      <c r="AQ62" s="1468"/>
    </row>
    <row r="63" spans="2:43" ht="23.25" customHeight="1" thickBot="1">
      <c r="B63" s="3065"/>
      <c r="C63" s="1457">
        <v>15537</v>
      </c>
      <c r="D63" s="1457">
        <v>40</v>
      </c>
      <c r="E63" s="1457" t="s">
        <v>1152</v>
      </c>
      <c r="F63" s="1458" t="s">
        <v>1088</v>
      </c>
      <c r="G63" s="1459">
        <v>4600</v>
      </c>
      <c r="H63" s="1457" t="s">
        <v>1084</v>
      </c>
      <c r="I63" s="1457"/>
      <c r="J63" s="1460"/>
      <c r="K63" s="1461">
        <v>0</v>
      </c>
      <c r="L63" s="1461">
        <v>1</v>
      </c>
      <c r="M63" s="1461">
        <v>2.4</v>
      </c>
      <c r="N63" s="1461">
        <v>0.27</v>
      </c>
      <c r="O63" s="1462">
        <v>0</v>
      </c>
      <c r="P63" s="1462">
        <v>0</v>
      </c>
      <c r="Q63" s="1462">
        <v>0</v>
      </c>
      <c r="R63" s="1462">
        <v>0</v>
      </c>
      <c r="S63" s="1462">
        <v>0</v>
      </c>
      <c r="T63" s="1462">
        <v>0</v>
      </c>
      <c r="U63" s="1462">
        <v>0</v>
      </c>
      <c r="V63" s="1463" t="s">
        <v>1153</v>
      </c>
      <c r="W63" s="1464">
        <v>0</v>
      </c>
      <c r="X63" s="3068" t="s">
        <v>726</v>
      </c>
      <c r="Y63" s="3069"/>
      <c r="Z63" s="1465" t="s">
        <v>706</v>
      </c>
      <c r="AA63" s="1466">
        <v>4.5999999999999996</v>
      </c>
      <c r="AB63" s="1466">
        <v>2</v>
      </c>
      <c r="AC63" s="1452">
        <v>4.8</v>
      </c>
      <c r="AD63" s="1467"/>
      <c r="AE63" s="1467"/>
      <c r="AF63" s="1467"/>
      <c r="AG63" s="1467"/>
      <c r="AH63" s="1467"/>
      <c r="AI63" s="1467"/>
      <c r="AJ63" s="1468"/>
      <c r="AK63" s="1469"/>
      <c r="AL63" s="1467"/>
      <c r="AM63" s="1467"/>
      <c r="AN63" s="1467"/>
      <c r="AO63" s="1467"/>
      <c r="AP63" s="1468"/>
      <c r="AQ63" s="1468"/>
    </row>
    <row r="64" spans="2:43" ht="23.25" customHeight="1" thickBot="1">
      <c r="B64" s="3065"/>
      <c r="C64" s="1457">
        <v>15537</v>
      </c>
      <c r="D64" s="1457">
        <v>46</v>
      </c>
      <c r="E64" s="1457" t="s">
        <v>1154</v>
      </c>
      <c r="F64" s="1458" t="s">
        <v>1088</v>
      </c>
      <c r="G64" s="1459">
        <v>5353</v>
      </c>
      <c r="H64" s="1457" t="s">
        <v>1084</v>
      </c>
      <c r="I64" s="1457"/>
      <c r="J64" s="1460"/>
      <c r="K64" s="1461">
        <v>0</v>
      </c>
      <c r="L64" s="1461">
        <v>1</v>
      </c>
      <c r="M64" s="1461">
        <v>2.4</v>
      </c>
      <c r="N64" s="1461">
        <v>0</v>
      </c>
      <c r="O64" s="1462">
        <v>0</v>
      </c>
      <c r="P64" s="1462">
        <v>0</v>
      </c>
      <c r="Q64" s="1462">
        <v>0</v>
      </c>
      <c r="R64" s="1462">
        <v>0</v>
      </c>
      <c r="S64" s="1462">
        <v>0</v>
      </c>
      <c r="T64" s="1462">
        <v>0</v>
      </c>
      <c r="U64" s="1462">
        <v>0</v>
      </c>
      <c r="V64" s="1463" t="s">
        <v>718</v>
      </c>
      <c r="W64" s="1464">
        <v>0</v>
      </c>
      <c r="X64" s="3068" t="s">
        <v>726</v>
      </c>
      <c r="Y64" s="3069"/>
      <c r="Z64" s="1465" t="s">
        <v>706</v>
      </c>
      <c r="AA64" s="1466">
        <v>4.5999999999999996</v>
      </c>
      <c r="AB64" s="1466">
        <v>2</v>
      </c>
      <c r="AC64" s="1452">
        <v>4.8</v>
      </c>
      <c r="AD64" s="1467"/>
      <c r="AE64" s="1467"/>
      <c r="AF64" s="1467"/>
      <c r="AG64" s="1467"/>
      <c r="AH64" s="1467"/>
      <c r="AI64" s="1467"/>
      <c r="AJ64" s="1468"/>
      <c r="AK64" s="1469"/>
      <c r="AL64" s="1467"/>
      <c r="AM64" s="1467"/>
      <c r="AN64" s="1467"/>
      <c r="AO64" s="1467"/>
      <c r="AP64" s="1468"/>
      <c r="AQ64" s="1468"/>
    </row>
    <row r="65" spans="2:43" ht="23.25" customHeight="1" thickBot="1">
      <c r="B65" s="3065"/>
      <c r="C65" s="1457">
        <v>15537</v>
      </c>
      <c r="D65" s="1457">
        <v>50</v>
      </c>
      <c r="E65" s="1457" t="s">
        <v>1155</v>
      </c>
      <c r="F65" s="1458" t="s">
        <v>1088</v>
      </c>
      <c r="G65" s="1459">
        <v>2974</v>
      </c>
      <c r="H65" s="1457" t="s">
        <v>1084</v>
      </c>
      <c r="I65" s="1457"/>
      <c r="J65" s="1460"/>
      <c r="K65" s="1461">
        <v>0</v>
      </c>
      <c r="L65" s="1461">
        <v>1</v>
      </c>
      <c r="M65" s="1461">
        <v>2.4</v>
      </c>
      <c r="N65" s="1461">
        <v>0</v>
      </c>
      <c r="O65" s="1462">
        <v>0</v>
      </c>
      <c r="P65" s="1462">
        <v>0</v>
      </c>
      <c r="Q65" s="1462">
        <v>0</v>
      </c>
      <c r="R65" s="1462">
        <v>0</v>
      </c>
      <c r="S65" s="1462">
        <v>0</v>
      </c>
      <c r="T65" s="1462">
        <v>0</v>
      </c>
      <c r="U65" s="1462">
        <v>0</v>
      </c>
      <c r="V65" s="1463" t="s">
        <v>718</v>
      </c>
      <c r="W65" s="1464">
        <v>0</v>
      </c>
      <c r="X65" s="3068" t="s">
        <v>726</v>
      </c>
      <c r="Y65" s="3069"/>
      <c r="Z65" s="1465" t="s">
        <v>706</v>
      </c>
      <c r="AA65" s="1466">
        <v>4.5999999999999996</v>
      </c>
      <c r="AB65" s="1466">
        <v>2</v>
      </c>
      <c r="AC65" s="1452">
        <v>4.8</v>
      </c>
      <c r="AD65" s="1467"/>
      <c r="AE65" s="1467"/>
      <c r="AF65" s="1467"/>
      <c r="AG65" s="1467"/>
      <c r="AH65" s="1467"/>
      <c r="AI65" s="1467"/>
      <c r="AJ65" s="1468"/>
      <c r="AK65" s="1469"/>
      <c r="AL65" s="1467"/>
      <c r="AM65" s="1467"/>
      <c r="AN65" s="1467"/>
      <c r="AO65" s="1467"/>
      <c r="AP65" s="1468"/>
      <c r="AQ65" s="1468"/>
    </row>
    <row r="66" spans="2:43" ht="23.25" customHeight="1" thickBot="1">
      <c r="B66" s="3065"/>
      <c r="C66" s="1457">
        <v>15537</v>
      </c>
      <c r="D66" s="1457">
        <v>51</v>
      </c>
      <c r="E66" s="1457" t="s">
        <v>1156</v>
      </c>
      <c r="F66" s="1458" t="s">
        <v>1088</v>
      </c>
      <c r="G66" s="1459">
        <v>3018</v>
      </c>
      <c r="H66" s="1457" t="s">
        <v>1084</v>
      </c>
      <c r="I66" s="1457"/>
      <c r="J66" s="1460"/>
      <c r="K66" s="1461">
        <v>0</v>
      </c>
      <c r="L66" s="1461">
        <v>1</v>
      </c>
      <c r="M66" s="1461">
        <v>2.4</v>
      </c>
      <c r="N66" s="1461">
        <v>0</v>
      </c>
      <c r="O66" s="1462">
        <v>0</v>
      </c>
      <c r="P66" s="1462">
        <v>0</v>
      </c>
      <c r="Q66" s="1462">
        <v>0</v>
      </c>
      <c r="R66" s="1462">
        <v>0</v>
      </c>
      <c r="S66" s="1462">
        <v>0</v>
      </c>
      <c r="T66" s="1462">
        <v>0</v>
      </c>
      <c r="U66" s="1462">
        <v>0</v>
      </c>
      <c r="V66" s="1463" t="s">
        <v>718</v>
      </c>
      <c r="W66" s="1464">
        <v>0</v>
      </c>
      <c r="X66" s="3068" t="s">
        <v>726</v>
      </c>
      <c r="Y66" s="3069"/>
      <c r="Z66" s="1465" t="s">
        <v>706</v>
      </c>
      <c r="AA66" s="1466">
        <v>4.5999999999999996</v>
      </c>
      <c r="AB66" s="1466">
        <v>2</v>
      </c>
      <c r="AC66" s="1452">
        <v>4.8</v>
      </c>
      <c r="AD66" s="1467"/>
      <c r="AE66" s="1467"/>
      <c r="AF66" s="1467"/>
      <c r="AG66" s="1467"/>
      <c r="AH66" s="1467"/>
      <c r="AI66" s="1467"/>
      <c r="AJ66" s="1468"/>
      <c r="AK66" s="1469"/>
      <c r="AL66" s="1467"/>
      <c r="AM66" s="1467"/>
      <c r="AN66" s="1467"/>
      <c r="AO66" s="1467"/>
      <c r="AP66" s="1468"/>
      <c r="AQ66" s="1468"/>
    </row>
    <row r="67" spans="2:43" ht="23.25" customHeight="1" thickBot="1">
      <c r="B67" s="3065"/>
      <c r="C67" s="1457">
        <v>15537</v>
      </c>
      <c r="D67" s="1457">
        <v>53</v>
      </c>
      <c r="E67" s="1457" t="s">
        <v>1157</v>
      </c>
      <c r="F67" s="1458" t="s">
        <v>1088</v>
      </c>
      <c r="G67" s="1459">
        <v>3143</v>
      </c>
      <c r="H67" s="1457" t="s">
        <v>1084</v>
      </c>
      <c r="I67" s="1457"/>
      <c r="J67" s="1460"/>
      <c r="K67" s="1461">
        <v>0</v>
      </c>
      <c r="L67" s="1461">
        <v>1</v>
      </c>
      <c r="M67" s="1461">
        <v>2.4</v>
      </c>
      <c r="N67" s="1461">
        <v>0.45</v>
      </c>
      <c r="O67" s="1462">
        <v>1407</v>
      </c>
      <c r="P67" s="1462">
        <v>0</v>
      </c>
      <c r="Q67" s="1462">
        <v>0</v>
      </c>
      <c r="R67" s="1462">
        <v>0</v>
      </c>
      <c r="S67" s="1462">
        <v>1407</v>
      </c>
      <c r="T67" s="1462">
        <v>2</v>
      </c>
      <c r="U67" s="1462">
        <v>0</v>
      </c>
      <c r="V67" s="1463" t="s">
        <v>744</v>
      </c>
      <c r="W67" s="1464">
        <v>0</v>
      </c>
      <c r="X67" s="3068" t="s">
        <v>726</v>
      </c>
      <c r="Y67" s="3069"/>
      <c r="Z67" s="1465" t="s">
        <v>706</v>
      </c>
      <c r="AA67" s="1466">
        <v>4.5999999999999996</v>
      </c>
      <c r="AB67" s="1466">
        <v>2</v>
      </c>
      <c r="AC67" s="1452">
        <v>4.8</v>
      </c>
      <c r="AD67" s="1467"/>
      <c r="AE67" s="1467"/>
      <c r="AF67" s="1467"/>
      <c r="AG67" s="1467"/>
      <c r="AH67" s="1467"/>
      <c r="AI67" s="1467"/>
      <c r="AJ67" s="1468"/>
      <c r="AK67" s="1469"/>
      <c r="AL67" s="1467"/>
      <c r="AM67" s="1467"/>
      <c r="AN67" s="1467"/>
      <c r="AO67" s="1467"/>
      <c r="AP67" s="1468"/>
      <c r="AQ67" s="1468"/>
    </row>
    <row r="68" spans="2:43" ht="23.25" customHeight="1" thickBot="1">
      <c r="B68" s="3065"/>
      <c r="C68" s="1457">
        <v>15537</v>
      </c>
      <c r="D68" s="1457">
        <v>54</v>
      </c>
      <c r="E68" s="1457" t="s">
        <v>1158</v>
      </c>
      <c r="F68" s="1458" t="s">
        <v>1088</v>
      </c>
      <c r="G68" s="1459">
        <v>2352</v>
      </c>
      <c r="H68" s="1457" t="s">
        <v>1084</v>
      </c>
      <c r="I68" s="1457"/>
      <c r="J68" s="1460"/>
      <c r="K68" s="1461">
        <v>0</v>
      </c>
      <c r="L68" s="1461">
        <v>1</v>
      </c>
      <c r="M68" s="1461">
        <v>2.4</v>
      </c>
      <c r="N68" s="1461">
        <v>0.68</v>
      </c>
      <c r="O68" s="1462">
        <v>1594</v>
      </c>
      <c r="P68" s="1462">
        <v>0</v>
      </c>
      <c r="Q68" s="1462">
        <v>0</v>
      </c>
      <c r="R68" s="1462">
        <v>0</v>
      </c>
      <c r="S68" s="1462">
        <v>1594</v>
      </c>
      <c r="T68" s="1462">
        <v>1</v>
      </c>
      <c r="U68" s="1462">
        <v>0</v>
      </c>
      <c r="V68" s="1463" t="s">
        <v>744</v>
      </c>
      <c r="W68" s="1464">
        <v>0</v>
      </c>
      <c r="X68" s="3068" t="s">
        <v>726</v>
      </c>
      <c r="Y68" s="3069"/>
      <c r="Z68" s="1465" t="s">
        <v>706</v>
      </c>
      <c r="AA68" s="1466">
        <v>4.5999999999999996</v>
      </c>
      <c r="AB68" s="1466">
        <v>2</v>
      </c>
      <c r="AC68" s="1452">
        <v>4.8</v>
      </c>
      <c r="AD68" s="1467"/>
      <c r="AE68" s="1467"/>
      <c r="AF68" s="1467"/>
      <c r="AG68" s="1467"/>
      <c r="AH68" s="1467"/>
      <c r="AI68" s="1467"/>
      <c r="AJ68" s="1468"/>
      <c r="AK68" s="1469"/>
      <c r="AL68" s="1467"/>
      <c r="AM68" s="1467"/>
      <c r="AN68" s="1467"/>
      <c r="AO68" s="1467"/>
      <c r="AP68" s="1468"/>
      <c r="AQ68" s="1468"/>
    </row>
    <row r="69" spans="2:43" ht="23.25" customHeight="1" thickBot="1">
      <c r="B69" s="3065"/>
      <c r="C69" s="1457">
        <v>15537</v>
      </c>
      <c r="D69" s="1457">
        <v>55</v>
      </c>
      <c r="E69" s="1457" t="s">
        <v>1154</v>
      </c>
      <c r="F69" s="1458" t="s">
        <v>1088</v>
      </c>
      <c r="G69" s="1459">
        <v>2600</v>
      </c>
      <c r="H69" s="1457" t="s">
        <v>1084</v>
      </c>
      <c r="I69" s="1457"/>
      <c r="J69" s="1460"/>
      <c r="K69" s="1461">
        <v>0</v>
      </c>
      <c r="L69" s="1461">
        <v>1</v>
      </c>
      <c r="M69" s="1461">
        <v>2.4</v>
      </c>
      <c r="N69" s="1461">
        <v>0</v>
      </c>
      <c r="O69" s="1462">
        <v>0</v>
      </c>
      <c r="P69" s="1462">
        <v>0</v>
      </c>
      <c r="Q69" s="1462">
        <v>0</v>
      </c>
      <c r="R69" s="1462">
        <v>0</v>
      </c>
      <c r="S69" s="1462">
        <v>0</v>
      </c>
      <c r="T69" s="1462">
        <v>0</v>
      </c>
      <c r="U69" s="1462">
        <v>0</v>
      </c>
      <c r="V69" s="1463" t="s">
        <v>718</v>
      </c>
      <c r="W69" s="1464">
        <v>0</v>
      </c>
      <c r="X69" s="3068" t="s">
        <v>726</v>
      </c>
      <c r="Y69" s="3069"/>
      <c r="Z69" s="1465" t="s">
        <v>706</v>
      </c>
      <c r="AA69" s="1466">
        <v>4.5999999999999996</v>
      </c>
      <c r="AB69" s="1466">
        <v>2</v>
      </c>
      <c r="AC69" s="1452">
        <v>4.8</v>
      </c>
      <c r="AD69" s="1467"/>
      <c r="AE69" s="1467"/>
      <c r="AF69" s="1467"/>
      <c r="AG69" s="1467"/>
      <c r="AH69" s="1467"/>
      <c r="AI69" s="1467"/>
      <c r="AJ69" s="1468"/>
      <c r="AK69" s="1469"/>
      <c r="AL69" s="1467"/>
      <c r="AM69" s="1467"/>
      <c r="AN69" s="1467"/>
      <c r="AO69" s="1467"/>
      <c r="AP69" s="1468"/>
      <c r="AQ69" s="1468"/>
    </row>
    <row r="70" spans="2:43" ht="23.25" customHeight="1" thickBot="1">
      <c r="B70" s="3065"/>
      <c r="C70" s="1457">
        <v>15537</v>
      </c>
      <c r="D70" s="1457">
        <v>56</v>
      </c>
      <c r="E70" s="1457" t="s">
        <v>1159</v>
      </c>
      <c r="F70" s="1458" t="s">
        <v>1088</v>
      </c>
      <c r="G70" s="1459">
        <v>2591</v>
      </c>
      <c r="H70" s="1457" t="s">
        <v>1084</v>
      </c>
      <c r="I70" s="1457"/>
      <c r="J70" s="1460"/>
      <c r="K70" s="1461">
        <v>0</v>
      </c>
      <c r="L70" s="1461">
        <v>1</v>
      </c>
      <c r="M70" s="1461">
        <v>2.4</v>
      </c>
      <c r="N70" s="1461">
        <v>0.62</v>
      </c>
      <c r="O70" s="1462">
        <v>1594</v>
      </c>
      <c r="P70" s="1462">
        <v>0</v>
      </c>
      <c r="Q70" s="1462">
        <v>0</v>
      </c>
      <c r="R70" s="1462">
        <v>0</v>
      </c>
      <c r="S70" s="1462">
        <v>1594</v>
      </c>
      <c r="T70" s="1462">
        <v>2</v>
      </c>
      <c r="U70" s="1462">
        <v>0</v>
      </c>
      <c r="V70" s="1463" t="s">
        <v>744</v>
      </c>
      <c r="W70" s="1464">
        <v>0</v>
      </c>
      <c r="X70" s="3068" t="s">
        <v>726</v>
      </c>
      <c r="Y70" s="3069"/>
      <c r="Z70" s="1465" t="s">
        <v>706</v>
      </c>
      <c r="AA70" s="1466">
        <v>4.5999999999999996</v>
      </c>
      <c r="AB70" s="1466">
        <v>2</v>
      </c>
      <c r="AC70" s="1452">
        <v>4.8</v>
      </c>
      <c r="AD70" s="1467"/>
      <c r="AE70" s="1467"/>
      <c r="AF70" s="1467"/>
      <c r="AG70" s="1467"/>
      <c r="AH70" s="1467"/>
      <c r="AI70" s="1467"/>
      <c r="AJ70" s="1468"/>
      <c r="AK70" s="1469"/>
      <c r="AL70" s="1467"/>
      <c r="AM70" s="1467"/>
      <c r="AN70" s="1467"/>
      <c r="AO70" s="1467"/>
      <c r="AP70" s="1468"/>
      <c r="AQ70" s="1468"/>
    </row>
    <row r="71" spans="2:43" ht="23.25" customHeight="1" thickBot="1">
      <c r="B71" s="3065"/>
      <c r="C71" s="1457">
        <v>15537</v>
      </c>
      <c r="D71" s="1457">
        <v>57</v>
      </c>
      <c r="E71" s="1457" t="s">
        <v>1160</v>
      </c>
      <c r="F71" s="1458" t="s">
        <v>1088</v>
      </c>
      <c r="G71" s="1459">
        <v>2581</v>
      </c>
      <c r="H71" s="1457" t="s">
        <v>1084</v>
      </c>
      <c r="I71" s="1457"/>
      <c r="J71" s="1460"/>
      <c r="K71" s="1461">
        <v>0</v>
      </c>
      <c r="L71" s="1461">
        <v>1</v>
      </c>
      <c r="M71" s="1461">
        <v>2.4</v>
      </c>
      <c r="N71" s="1461">
        <v>0.4</v>
      </c>
      <c r="O71" s="1462">
        <v>1024</v>
      </c>
      <c r="P71" s="1462">
        <v>0</v>
      </c>
      <c r="Q71" s="1462">
        <v>0</v>
      </c>
      <c r="R71" s="1462">
        <v>0</v>
      </c>
      <c r="S71" s="1462">
        <v>1024</v>
      </c>
      <c r="T71" s="1462">
        <v>1</v>
      </c>
      <c r="U71" s="1462">
        <v>0</v>
      </c>
      <c r="V71" s="1463" t="s">
        <v>744</v>
      </c>
      <c r="W71" s="1464">
        <v>0</v>
      </c>
      <c r="X71" s="3068" t="s">
        <v>726</v>
      </c>
      <c r="Y71" s="3069"/>
      <c r="Z71" s="1465" t="s">
        <v>706</v>
      </c>
      <c r="AA71" s="1466">
        <v>4.5999999999999996</v>
      </c>
      <c r="AB71" s="1466">
        <v>2</v>
      </c>
      <c r="AC71" s="1452">
        <v>4.8</v>
      </c>
      <c r="AD71" s="1467"/>
      <c r="AE71" s="1467"/>
      <c r="AF71" s="1467"/>
      <c r="AG71" s="1467"/>
      <c r="AH71" s="1467"/>
      <c r="AI71" s="1467"/>
      <c r="AJ71" s="1468"/>
      <c r="AK71" s="1469"/>
      <c r="AL71" s="1467"/>
      <c r="AM71" s="1467"/>
      <c r="AN71" s="1467"/>
      <c r="AO71" s="1467"/>
      <c r="AP71" s="1468"/>
      <c r="AQ71" s="1468"/>
    </row>
    <row r="72" spans="2:43" ht="23.25" customHeight="1" thickBot="1">
      <c r="B72" s="3065"/>
      <c r="C72" s="1457">
        <v>15537</v>
      </c>
      <c r="D72" s="1457">
        <v>58</v>
      </c>
      <c r="E72" s="1457" t="s">
        <v>1161</v>
      </c>
      <c r="F72" s="1458" t="s">
        <v>1088</v>
      </c>
      <c r="G72" s="1459">
        <v>2566</v>
      </c>
      <c r="H72" s="1457" t="s">
        <v>1084</v>
      </c>
      <c r="I72" s="1457"/>
      <c r="J72" s="1460"/>
      <c r="K72" s="1461">
        <v>0</v>
      </c>
      <c r="L72" s="1461">
        <v>1</v>
      </c>
      <c r="M72" s="1461">
        <v>2.4</v>
      </c>
      <c r="N72" s="1461">
        <v>0.62</v>
      </c>
      <c r="O72" s="1462">
        <v>1594</v>
      </c>
      <c r="P72" s="1462">
        <v>0</v>
      </c>
      <c r="Q72" s="1462">
        <v>0</v>
      </c>
      <c r="R72" s="1462">
        <v>0</v>
      </c>
      <c r="S72" s="1462">
        <v>1594</v>
      </c>
      <c r="T72" s="1462">
        <v>1</v>
      </c>
      <c r="U72" s="1462">
        <v>0</v>
      </c>
      <c r="V72" s="1463" t="s">
        <v>744</v>
      </c>
      <c r="W72" s="1464">
        <v>0</v>
      </c>
      <c r="X72" s="3068" t="s">
        <v>726</v>
      </c>
      <c r="Y72" s="3069"/>
      <c r="Z72" s="1465" t="s">
        <v>706</v>
      </c>
      <c r="AA72" s="1466">
        <v>4.5999999999999996</v>
      </c>
      <c r="AB72" s="1466">
        <v>2</v>
      </c>
      <c r="AC72" s="1452">
        <v>4.8</v>
      </c>
      <c r="AD72" s="1467"/>
      <c r="AE72" s="1467"/>
      <c r="AF72" s="1467"/>
      <c r="AG72" s="1467"/>
      <c r="AH72" s="1467"/>
      <c r="AI72" s="1467"/>
      <c r="AJ72" s="1468"/>
      <c r="AK72" s="1469"/>
      <c r="AL72" s="1467"/>
      <c r="AM72" s="1467"/>
      <c r="AN72" s="1467"/>
      <c r="AO72" s="1467"/>
      <c r="AP72" s="1468"/>
      <c r="AQ72" s="1468"/>
    </row>
    <row r="73" spans="2:43" ht="23.25" customHeight="1" thickBot="1">
      <c r="B73" s="3065"/>
      <c r="C73" s="1457">
        <v>15537</v>
      </c>
      <c r="D73" s="1457">
        <v>59</v>
      </c>
      <c r="E73" s="1457" t="s">
        <v>1154</v>
      </c>
      <c r="F73" s="1458" t="s">
        <v>1088</v>
      </c>
      <c r="G73" s="1459">
        <v>2295</v>
      </c>
      <c r="H73" s="1457" t="s">
        <v>1084</v>
      </c>
      <c r="I73" s="1457"/>
      <c r="J73" s="1460"/>
      <c r="K73" s="1461">
        <v>0</v>
      </c>
      <c r="L73" s="1461">
        <v>1</v>
      </c>
      <c r="M73" s="1461">
        <v>2.4</v>
      </c>
      <c r="N73" s="1461">
        <v>0</v>
      </c>
      <c r="O73" s="1462">
        <v>0</v>
      </c>
      <c r="P73" s="1462">
        <v>0</v>
      </c>
      <c r="Q73" s="1462">
        <v>0</v>
      </c>
      <c r="R73" s="1462">
        <v>0</v>
      </c>
      <c r="S73" s="1462">
        <v>0</v>
      </c>
      <c r="T73" s="1462">
        <v>0</v>
      </c>
      <c r="U73" s="1462">
        <v>0</v>
      </c>
      <c r="V73" s="1463" t="s">
        <v>718</v>
      </c>
      <c r="W73" s="1464">
        <v>0</v>
      </c>
      <c r="X73" s="3068" t="s">
        <v>726</v>
      </c>
      <c r="Y73" s="3069"/>
      <c r="Z73" s="1465" t="s">
        <v>706</v>
      </c>
      <c r="AA73" s="1466">
        <v>4.5999999999999996</v>
      </c>
      <c r="AB73" s="1466">
        <v>2</v>
      </c>
      <c r="AC73" s="1452">
        <v>4.8</v>
      </c>
      <c r="AD73" s="1467"/>
      <c r="AE73" s="1467"/>
      <c r="AF73" s="1467"/>
      <c r="AG73" s="1467"/>
      <c r="AH73" s="1467"/>
      <c r="AI73" s="1467"/>
      <c r="AJ73" s="1468"/>
      <c r="AK73" s="1469"/>
      <c r="AL73" s="1467"/>
      <c r="AM73" s="1467"/>
      <c r="AN73" s="1467"/>
      <c r="AO73" s="1467"/>
      <c r="AP73" s="1468"/>
      <c r="AQ73" s="1468"/>
    </row>
    <row r="74" spans="2:43" ht="23.25" customHeight="1" thickBot="1">
      <c r="B74" s="3065"/>
      <c r="C74" s="1457">
        <v>15537</v>
      </c>
      <c r="D74" s="1457">
        <v>60</v>
      </c>
      <c r="E74" s="1457" t="s">
        <v>1162</v>
      </c>
      <c r="F74" s="1458" t="s">
        <v>1088</v>
      </c>
      <c r="G74" s="1459">
        <v>6148</v>
      </c>
      <c r="H74" s="1457" t="s">
        <v>1084</v>
      </c>
      <c r="I74" s="1457"/>
      <c r="J74" s="1460"/>
      <c r="K74" s="1461">
        <v>0</v>
      </c>
      <c r="L74" s="1461">
        <v>1</v>
      </c>
      <c r="M74" s="1461">
        <v>2.4</v>
      </c>
      <c r="N74" s="1461">
        <v>0.37</v>
      </c>
      <c r="O74" s="1462">
        <v>2275</v>
      </c>
      <c r="P74" s="1462">
        <v>0</v>
      </c>
      <c r="Q74" s="1462">
        <v>0</v>
      </c>
      <c r="R74" s="1462">
        <v>2275</v>
      </c>
      <c r="S74" s="1462">
        <v>0</v>
      </c>
      <c r="T74" s="1462">
        <v>0</v>
      </c>
      <c r="U74" s="1462">
        <v>0</v>
      </c>
      <c r="V74" s="1463" t="s">
        <v>1163</v>
      </c>
      <c r="W74" s="1464">
        <v>0</v>
      </c>
      <c r="X74" s="3068" t="s">
        <v>726</v>
      </c>
      <c r="Y74" s="3069"/>
      <c r="Z74" s="1465" t="s">
        <v>706</v>
      </c>
      <c r="AA74" s="1466">
        <v>4.5999999999999996</v>
      </c>
      <c r="AB74" s="1466">
        <v>2</v>
      </c>
      <c r="AC74" s="1452">
        <v>4.8</v>
      </c>
      <c r="AD74" s="1467"/>
      <c r="AE74" s="1467"/>
      <c r="AF74" s="1467"/>
      <c r="AG74" s="1467"/>
      <c r="AH74" s="1467"/>
      <c r="AI74" s="1467"/>
      <c r="AJ74" s="1468"/>
      <c r="AK74" s="1469"/>
      <c r="AL74" s="1467"/>
      <c r="AM74" s="1467"/>
      <c r="AN74" s="1467"/>
      <c r="AO74" s="1467"/>
      <c r="AP74" s="1468"/>
      <c r="AQ74" s="1468"/>
    </row>
    <row r="75" spans="2:43" ht="23.25" customHeight="1" thickBot="1">
      <c r="B75" s="3065"/>
      <c r="C75" s="1457">
        <v>15537</v>
      </c>
      <c r="D75" s="1457">
        <v>63</v>
      </c>
      <c r="E75" s="1457" t="s">
        <v>1164</v>
      </c>
      <c r="F75" s="1458" t="s">
        <v>1088</v>
      </c>
      <c r="G75" s="1459">
        <v>4667</v>
      </c>
      <c r="H75" s="1457" t="s">
        <v>1084</v>
      </c>
      <c r="I75" s="1457"/>
      <c r="J75" s="1460"/>
      <c r="K75" s="1461">
        <v>0</v>
      </c>
      <c r="L75" s="1461">
        <v>1</v>
      </c>
      <c r="M75" s="1461">
        <v>2.4</v>
      </c>
      <c r="N75" s="1461">
        <v>0.96</v>
      </c>
      <c r="O75" s="1462">
        <v>4500</v>
      </c>
      <c r="P75" s="1462">
        <v>0</v>
      </c>
      <c r="Q75" s="1462">
        <v>0</v>
      </c>
      <c r="R75" s="1462">
        <v>4500</v>
      </c>
      <c r="S75" s="1462">
        <v>0</v>
      </c>
      <c r="T75" s="1462">
        <v>0</v>
      </c>
      <c r="U75" s="1462">
        <v>0</v>
      </c>
      <c r="V75" s="1463" t="s">
        <v>1163</v>
      </c>
      <c r="W75" s="1464">
        <v>0</v>
      </c>
      <c r="X75" s="3068" t="s">
        <v>726</v>
      </c>
      <c r="Y75" s="3069"/>
      <c r="Z75" s="1465" t="s">
        <v>706</v>
      </c>
      <c r="AA75" s="1466">
        <v>4.5999999999999996</v>
      </c>
      <c r="AB75" s="1466">
        <v>2</v>
      </c>
      <c r="AC75" s="1452">
        <v>4.8</v>
      </c>
      <c r="AD75" s="1467"/>
      <c r="AE75" s="1467"/>
      <c r="AF75" s="1467"/>
      <c r="AG75" s="1467"/>
      <c r="AH75" s="1467"/>
      <c r="AI75" s="1467"/>
      <c r="AJ75" s="1468"/>
      <c r="AK75" s="1469"/>
      <c r="AL75" s="1467"/>
      <c r="AM75" s="1467"/>
      <c r="AN75" s="1467"/>
      <c r="AO75" s="1467"/>
      <c r="AP75" s="1468"/>
      <c r="AQ75" s="1468"/>
    </row>
    <row r="76" spans="2:43" ht="23.25" customHeight="1" thickBot="1">
      <c r="B76" s="3065"/>
      <c r="C76" s="1457">
        <v>15537</v>
      </c>
      <c r="D76" s="1457">
        <v>65</v>
      </c>
      <c r="E76" s="1457" t="s">
        <v>1165</v>
      </c>
      <c r="F76" s="1458" t="s">
        <v>1088</v>
      </c>
      <c r="G76" s="1459">
        <v>15610</v>
      </c>
      <c r="H76" s="1457" t="s">
        <v>1084</v>
      </c>
      <c r="I76" s="1457"/>
      <c r="J76" s="1460"/>
      <c r="K76" s="1461">
        <v>0</v>
      </c>
      <c r="L76" s="1461">
        <v>1</v>
      </c>
      <c r="M76" s="1461">
        <v>2.4</v>
      </c>
      <c r="N76" s="1461">
        <v>0.13</v>
      </c>
      <c r="O76" s="1462">
        <v>2054</v>
      </c>
      <c r="P76" s="1462">
        <v>0</v>
      </c>
      <c r="Q76" s="1462">
        <v>0</v>
      </c>
      <c r="R76" s="1462">
        <v>2054</v>
      </c>
      <c r="S76" s="1462">
        <v>0</v>
      </c>
      <c r="T76" s="1462">
        <v>0</v>
      </c>
      <c r="U76" s="1462">
        <v>0</v>
      </c>
      <c r="V76" s="1463" t="s">
        <v>1163</v>
      </c>
      <c r="W76" s="1464">
        <v>0</v>
      </c>
      <c r="X76" s="3068" t="s">
        <v>726</v>
      </c>
      <c r="Y76" s="3069"/>
      <c r="Z76" s="1465" t="s">
        <v>706</v>
      </c>
      <c r="AA76" s="1466">
        <v>4.5999999999999996</v>
      </c>
      <c r="AB76" s="1466">
        <v>2</v>
      </c>
      <c r="AC76" s="1452">
        <v>4.8</v>
      </c>
      <c r="AD76" s="1467"/>
      <c r="AE76" s="1467"/>
      <c r="AF76" s="1467"/>
      <c r="AG76" s="1467"/>
      <c r="AH76" s="1467"/>
      <c r="AI76" s="1467"/>
      <c r="AJ76" s="1468"/>
      <c r="AK76" s="1469"/>
      <c r="AL76" s="1467"/>
      <c r="AM76" s="1467"/>
      <c r="AN76" s="1467"/>
      <c r="AO76" s="1467"/>
      <c r="AP76" s="1468"/>
      <c r="AQ76" s="1468"/>
    </row>
    <row r="77" spans="2:43" ht="23.25" customHeight="1" thickBot="1">
      <c r="B77" s="3065"/>
      <c r="C77" s="1457">
        <v>15537</v>
      </c>
      <c r="D77" s="1457">
        <v>71</v>
      </c>
      <c r="E77" s="1457" t="s">
        <v>1166</v>
      </c>
      <c r="F77" s="1458" t="s">
        <v>1088</v>
      </c>
      <c r="G77" s="1459">
        <v>20280</v>
      </c>
      <c r="H77" s="1457" t="s">
        <v>1084</v>
      </c>
      <c r="I77" s="1457"/>
      <c r="J77" s="1460"/>
      <c r="K77" s="1461">
        <v>0</v>
      </c>
      <c r="L77" s="1461">
        <v>1</v>
      </c>
      <c r="M77" s="1461">
        <v>2.4</v>
      </c>
      <c r="N77" s="1461">
        <v>1.44</v>
      </c>
      <c r="O77" s="1462">
        <v>29285</v>
      </c>
      <c r="P77" s="1462">
        <v>0</v>
      </c>
      <c r="Q77" s="1462">
        <v>0</v>
      </c>
      <c r="R77" s="1462">
        <v>29285</v>
      </c>
      <c r="S77" s="1462">
        <v>0</v>
      </c>
      <c r="T77" s="1462">
        <v>0</v>
      </c>
      <c r="U77" s="1462">
        <v>0</v>
      </c>
      <c r="V77" s="1463" t="s">
        <v>1167</v>
      </c>
      <c r="W77" s="1464">
        <v>0</v>
      </c>
      <c r="X77" s="3068" t="s">
        <v>726</v>
      </c>
      <c r="Y77" s="3069"/>
      <c r="Z77" s="1465" t="s">
        <v>706</v>
      </c>
      <c r="AA77" s="1466">
        <v>4.5999999999999996</v>
      </c>
      <c r="AB77" s="1466">
        <v>2</v>
      </c>
      <c r="AC77" s="1452">
        <v>4.8</v>
      </c>
      <c r="AD77" s="1467"/>
      <c r="AE77" s="1467"/>
      <c r="AF77" s="1467"/>
      <c r="AG77" s="1467"/>
      <c r="AH77" s="1467"/>
      <c r="AI77" s="1467"/>
      <c r="AJ77" s="1468"/>
      <c r="AK77" s="1469"/>
      <c r="AL77" s="1467"/>
      <c r="AM77" s="1467"/>
      <c r="AN77" s="1467"/>
      <c r="AO77" s="1467"/>
      <c r="AP77" s="1468"/>
      <c r="AQ77" s="1468"/>
    </row>
    <row r="78" spans="2:43" ht="23.25" customHeight="1" thickBot="1">
      <c r="B78" s="3065"/>
      <c r="C78" s="1457">
        <v>15537</v>
      </c>
      <c r="D78" s="1457">
        <v>79</v>
      </c>
      <c r="E78" s="1457" t="s">
        <v>1145</v>
      </c>
      <c r="F78" s="1458" t="s">
        <v>1088</v>
      </c>
      <c r="G78" s="1459">
        <v>620</v>
      </c>
      <c r="H78" s="1457" t="s">
        <v>1084</v>
      </c>
      <c r="I78" s="1457"/>
      <c r="J78" s="1460"/>
      <c r="K78" s="1461">
        <v>0</v>
      </c>
      <c r="L78" s="1461">
        <v>1</v>
      </c>
      <c r="M78" s="1461">
        <v>2.4</v>
      </c>
      <c r="N78" s="1461">
        <v>0</v>
      </c>
      <c r="O78" s="1462">
        <v>0</v>
      </c>
      <c r="P78" s="1462">
        <v>0</v>
      </c>
      <c r="Q78" s="1462">
        <v>0</v>
      </c>
      <c r="R78" s="1462">
        <v>0</v>
      </c>
      <c r="S78" s="1462">
        <v>0</v>
      </c>
      <c r="T78" s="1462">
        <v>0</v>
      </c>
      <c r="U78" s="1462">
        <v>0</v>
      </c>
      <c r="V78" s="1463" t="s">
        <v>718</v>
      </c>
      <c r="W78" s="1464">
        <v>0</v>
      </c>
      <c r="X78" s="3068" t="s">
        <v>726</v>
      </c>
      <c r="Y78" s="3069"/>
      <c r="Z78" s="1465" t="s">
        <v>706</v>
      </c>
      <c r="AA78" s="1466">
        <v>4.5999999999999996</v>
      </c>
      <c r="AB78" s="1466">
        <v>2</v>
      </c>
      <c r="AC78" s="1452">
        <v>4.8</v>
      </c>
      <c r="AD78" s="1467"/>
      <c r="AE78" s="1467"/>
      <c r="AF78" s="1467"/>
      <c r="AG78" s="1467"/>
      <c r="AH78" s="1467"/>
      <c r="AI78" s="1467"/>
      <c r="AJ78" s="1468"/>
      <c r="AK78" s="1469"/>
      <c r="AL78" s="1467"/>
      <c r="AM78" s="1467"/>
      <c r="AN78" s="1467"/>
      <c r="AO78" s="1467"/>
      <c r="AP78" s="1468"/>
      <c r="AQ78" s="1468"/>
    </row>
    <row r="79" spans="2:43" ht="23.25" customHeight="1" thickBot="1">
      <c r="B79" s="3065"/>
      <c r="C79" s="1457">
        <v>15537</v>
      </c>
      <c r="D79" s="1457">
        <v>89</v>
      </c>
      <c r="E79" s="1457" t="s">
        <v>1168</v>
      </c>
      <c r="F79" s="1458" t="s">
        <v>1088</v>
      </c>
      <c r="G79" s="1459">
        <v>5356</v>
      </c>
      <c r="H79" s="1457" t="s">
        <v>1084</v>
      </c>
      <c r="I79" s="1457"/>
      <c r="J79" s="1460"/>
      <c r="K79" s="1461">
        <v>0</v>
      </c>
      <c r="L79" s="1461">
        <v>1</v>
      </c>
      <c r="M79" s="1461">
        <v>2.4</v>
      </c>
      <c r="N79" s="1461">
        <v>1.18</v>
      </c>
      <c r="O79" s="1462">
        <v>6300</v>
      </c>
      <c r="P79" s="1462">
        <v>6300</v>
      </c>
      <c r="Q79" s="1462">
        <v>0</v>
      </c>
      <c r="R79" s="1462">
        <v>0</v>
      </c>
      <c r="S79" s="1462">
        <v>0</v>
      </c>
      <c r="T79" s="1462">
        <v>0</v>
      </c>
      <c r="U79" s="1462">
        <v>0</v>
      </c>
      <c r="V79" s="1463" t="s">
        <v>1167</v>
      </c>
      <c r="W79" s="1464">
        <v>0</v>
      </c>
      <c r="X79" s="3068" t="s">
        <v>726</v>
      </c>
      <c r="Y79" s="3069"/>
      <c r="Z79" s="1465" t="s">
        <v>706</v>
      </c>
      <c r="AA79" s="1466">
        <v>4.5999999999999996</v>
      </c>
      <c r="AB79" s="1466">
        <v>2</v>
      </c>
      <c r="AC79" s="1452">
        <v>4.8</v>
      </c>
      <c r="AD79" s="1467"/>
      <c r="AE79" s="1467"/>
      <c r="AF79" s="1467"/>
      <c r="AG79" s="1467"/>
      <c r="AH79" s="1467"/>
      <c r="AI79" s="1467"/>
      <c r="AJ79" s="1468"/>
      <c r="AK79" s="1469"/>
      <c r="AL79" s="1467"/>
      <c r="AM79" s="1467"/>
      <c r="AN79" s="1467"/>
      <c r="AO79" s="1467"/>
      <c r="AP79" s="1468"/>
      <c r="AQ79" s="1468"/>
    </row>
    <row r="80" spans="2:43" ht="23.25" customHeight="1" thickBot="1">
      <c r="B80" s="3065"/>
      <c r="C80" s="1457">
        <v>15537</v>
      </c>
      <c r="D80" s="1457">
        <v>92</v>
      </c>
      <c r="E80" s="1457" t="s">
        <v>1145</v>
      </c>
      <c r="F80" s="1458" t="s">
        <v>1088</v>
      </c>
      <c r="G80" s="1459">
        <v>2013</v>
      </c>
      <c r="H80" s="1457" t="s">
        <v>1084</v>
      </c>
      <c r="I80" s="1457"/>
      <c r="J80" s="1460"/>
      <c r="K80" s="1461">
        <v>0</v>
      </c>
      <c r="L80" s="1461">
        <v>1</v>
      </c>
      <c r="M80" s="1461">
        <v>2.4</v>
      </c>
      <c r="N80" s="1461">
        <v>0.09</v>
      </c>
      <c r="O80" s="1462">
        <v>172</v>
      </c>
      <c r="P80" s="1462">
        <v>172</v>
      </c>
      <c r="Q80" s="1462">
        <v>0</v>
      </c>
      <c r="R80" s="1462">
        <v>0</v>
      </c>
      <c r="S80" s="1462">
        <v>0</v>
      </c>
      <c r="T80" s="1462">
        <v>0</v>
      </c>
      <c r="U80" s="1462">
        <v>0</v>
      </c>
      <c r="V80" s="1463" t="s">
        <v>641</v>
      </c>
      <c r="W80" s="1464">
        <v>0</v>
      </c>
      <c r="X80" s="3068" t="s">
        <v>726</v>
      </c>
      <c r="Y80" s="3069"/>
      <c r="Z80" s="1465" t="s">
        <v>706</v>
      </c>
      <c r="AA80" s="1466">
        <v>4.5999999999999996</v>
      </c>
      <c r="AB80" s="1466">
        <v>2</v>
      </c>
      <c r="AC80" s="1452">
        <v>4.8</v>
      </c>
      <c r="AD80" s="1467"/>
      <c r="AE80" s="1467"/>
      <c r="AF80" s="1467"/>
      <c r="AG80" s="1467"/>
      <c r="AH80" s="1467"/>
      <c r="AI80" s="1467"/>
      <c r="AJ80" s="1468"/>
      <c r="AK80" s="1469"/>
      <c r="AL80" s="1467"/>
      <c r="AM80" s="1467"/>
      <c r="AN80" s="1467"/>
      <c r="AO80" s="1467"/>
      <c r="AP80" s="1468"/>
      <c r="AQ80" s="1468"/>
    </row>
    <row r="81" spans="2:43" ht="23.25" customHeight="1" thickBot="1">
      <c r="B81" s="3065"/>
      <c r="C81" s="1457">
        <v>15537</v>
      </c>
      <c r="D81" s="1457">
        <v>94</v>
      </c>
      <c r="E81" s="1457" t="s">
        <v>1169</v>
      </c>
      <c r="F81" s="1458" t="s">
        <v>1088</v>
      </c>
      <c r="G81" s="1459">
        <v>4850</v>
      </c>
      <c r="H81" s="1457" t="s">
        <v>1084</v>
      </c>
      <c r="I81" s="1457"/>
      <c r="J81" s="1460"/>
      <c r="K81" s="1461">
        <v>0</v>
      </c>
      <c r="L81" s="1461">
        <v>1</v>
      </c>
      <c r="M81" s="1461">
        <v>2.4</v>
      </c>
      <c r="N81" s="1461">
        <v>1</v>
      </c>
      <c r="O81" s="1462">
        <v>4850</v>
      </c>
      <c r="P81" s="1462">
        <v>4850</v>
      </c>
      <c r="Q81" s="1462">
        <v>0</v>
      </c>
      <c r="R81" s="1462">
        <v>0</v>
      </c>
      <c r="S81" s="1462">
        <v>0</v>
      </c>
      <c r="T81" s="1462">
        <v>0</v>
      </c>
      <c r="U81" s="1462">
        <v>0</v>
      </c>
      <c r="V81" s="1463" t="s">
        <v>641</v>
      </c>
      <c r="W81" s="1464">
        <v>0</v>
      </c>
      <c r="X81" s="3068" t="s">
        <v>726</v>
      </c>
      <c r="Y81" s="3069"/>
      <c r="Z81" s="1465" t="s">
        <v>706</v>
      </c>
      <c r="AA81" s="1466">
        <v>4.5999999999999996</v>
      </c>
      <c r="AB81" s="1466">
        <v>2</v>
      </c>
      <c r="AC81" s="1452">
        <v>4.8</v>
      </c>
      <c r="AD81" s="1467"/>
      <c r="AE81" s="1467"/>
      <c r="AF81" s="1467"/>
      <c r="AG81" s="1467"/>
      <c r="AH81" s="1467"/>
      <c r="AI81" s="1467"/>
      <c r="AJ81" s="1468"/>
      <c r="AK81" s="1469"/>
      <c r="AL81" s="1467"/>
      <c r="AM81" s="1467"/>
      <c r="AN81" s="1467"/>
      <c r="AO81" s="1467"/>
      <c r="AP81" s="1468"/>
      <c r="AQ81" s="1468"/>
    </row>
    <row r="82" spans="2:43" ht="23.25" customHeight="1" thickBot="1">
      <c r="B82" s="3065"/>
      <c r="C82" s="1457">
        <v>15537</v>
      </c>
      <c r="D82" s="1457">
        <v>99</v>
      </c>
      <c r="E82" s="1457" t="s">
        <v>1170</v>
      </c>
      <c r="F82" s="1458" t="s">
        <v>1088</v>
      </c>
      <c r="G82" s="1459">
        <v>8279</v>
      </c>
      <c r="H82" s="1457" t="s">
        <v>1084</v>
      </c>
      <c r="I82" s="1457"/>
      <c r="J82" s="1460"/>
      <c r="K82" s="1461">
        <v>0</v>
      </c>
      <c r="L82" s="1461">
        <v>1</v>
      </c>
      <c r="M82" s="1461">
        <v>2.4</v>
      </c>
      <c r="N82" s="1461">
        <v>0.77</v>
      </c>
      <c r="O82" s="1462">
        <v>6414</v>
      </c>
      <c r="P82" s="1462">
        <v>6414</v>
      </c>
      <c r="Q82" s="1462">
        <v>0</v>
      </c>
      <c r="R82" s="1462">
        <v>0</v>
      </c>
      <c r="S82" s="1462">
        <v>0</v>
      </c>
      <c r="T82" s="1462">
        <v>0</v>
      </c>
      <c r="U82" s="1462">
        <v>0</v>
      </c>
      <c r="V82" s="1463" t="s">
        <v>641</v>
      </c>
      <c r="W82" s="1464">
        <v>0</v>
      </c>
      <c r="X82" s="3068" t="s">
        <v>726</v>
      </c>
      <c r="Y82" s="3069"/>
      <c r="Z82" s="1465" t="s">
        <v>706</v>
      </c>
      <c r="AA82" s="1466">
        <v>4.5999999999999996</v>
      </c>
      <c r="AB82" s="1466">
        <v>2</v>
      </c>
      <c r="AC82" s="1452">
        <v>4.8</v>
      </c>
      <c r="AD82" s="1467"/>
      <c r="AE82" s="1467"/>
      <c r="AF82" s="1467"/>
      <c r="AG82" s="1467"/>
      <c r="AH82" s="1467"/>
      <c r="AI82" s="1467"/>
      <c r="AJ82" s="1468"/>
      <c r="AK82" s="1469"/>
      <c r="AL82" s="1467"/>
      <c r="AM82" s="1467"/>
      <c r="AN82" s="1467"/>
      <c r="AO82" s="1467"/>
      <c r="AP82" s="1468"/>
      <c r="AQ82" s="1468"/>
    </row>
    <row r="83" spans="2:43" ht="23.25" customHeight="1" thickBot="1">
      <c r="B83" s="3065"/>
      <c r="C83" s="1457">
        <v>15537</v>
      </c>
      <c r="D83" s="1457">
        <v>100</v>
      </c>
      <c r="E83" s="1457" t="s">
        <v>1119</v>
      </c>
      <c r="F83" s="1458" t="s">
        <v>1088</v>
      </c>
      <c r="G83" s="1459">
        <v>20483</v>
      </c>
      <c r="H83" s="1457" t="s">
        <v>1084</v>
      </c>
      <c r="I83" s="1457"/>
      <c r="J83" s="1460"/>
      <c r="K83" s="1461">
        <v>0</v>
      </c>
      <c r="L83" s="1461">
        <v>1</v>
      </c>
      <c r="M83" s="1461">
        <v>2.4</v>
      </c>
      <c r="N83" s="1461">
        <v>0</v>
      </c>
      <c r="O83" s="1462">
        <v>0</v>
      </c>
      <c r="P83" s="1462">
        <v>0</v>
      </c>
      <c r="Q83" s="1462">
        <v>0</v>
      </c>
      <c r="R83" s="1462">
        <v>0</v>
      </c>
      <c r="S83" s="1462">
        <v>0</v>
      </c>
      <c r="T83" s="1462">
        <v>0</v>
      </c>
      <c r="U83" s="1462">
        <v>0</v>
      </c>
      <c r="V83" s="1463" t="s">
        <v>718</v>
      </c>
      <c r="W83" s="1464">
        <v>0</v>
      </c>
      <c r="X83" s="3068" t="s">
        <v>726</v>
      </c>
      <c r="Y83" s="3069"/>
      <c r="Z83" s="1465" t="s">
        <v>706</v>
      </c>
      <c r="AA83" s="1466">
        <v>4.5999999999999996</v>
      </c>
      <c r="AB83" s="1466">
        <v>2</v>
      </c>
      <c r="AC83" s="1452">
        <v>4.8</v>
      </c>
      <c r="AD83" s="1467"/>
      <c r="AE83" s="1467"/>
      <c r="AF83" s="1467"/>
      <c r="AG83" s="1467"/>
      <c r="AH83" s="1467"/>
      <c r="AI83" s="1467"/>
      <c r="AJ83" s="1468"/>
      <c r="AK83" s="1469"/>
      <c r="AL83" s="1467"/>
      <c r="AM83" s="1467"/>
      <c r="AN83" s="1467"/>
      <c r="AO83" s="1467"/>
      <c r="AP83" s="1468"/>
      <c r="AQ83" s="1468"/>
    </row>
    <row r="84" spans="2:43" ht="23.25" customHeight="1" thickBot="1">
      <c r="B84" s="3065"/>
      <c r="C84" s="1457">
        <v>15537</v>
      </c>
      <c r="D84" s="1457">
        <v>112</v>
      </c>
      <c r="E84" s="1457" t="s">
        <v>1171</v>
      </c>
      <c r="F84" s="1458" t="s">
        <v>1088</v>
      </c>
      <c r="G84" s="1459">
        <v>17568</v>
      </c>
      <c r="H84" s="1457" t="s">
        <v>1096</v>
      </c>
      <c r="I84" s="1457"/>
      <c r="J84" s="1460"/>
      <c r="K84" s="1461">
        <v>2.4300000000000002</v>
      </c>
      <c r="L84" s="1461">
        <v>3.4</v>
      </c>
      <c r="M84" s="1461">
        <v>4.8</v>
      </c>
      <c r="N84" s="1461">
        <v>0</v>
      </c>
      <c r="O84" s="1462">
        <v>0</v>
      </c>
      <c r="P84" s="1462">
        <v>0</v>
      </c>
      <c r="Q84" s="1462">
        <v>0</v>
      </c>
      <c r="R84" s="1462">
        <v>0</v>
      </c>
      <c r="S84" s="1462">
        <v>0</v>
      </c>
      <c r="T84" s="1462">
        <v>0</v>
      </c>
      <c r="U84" s="1462">
        <v>0</v>
      </c>
      <c r="V84" s="1463" t="s">
        <v>718</v>
      </c>
      <c r="W84" s="1464">
        <v>0</v>
      </c>
      <c r="X84" s="3068" t="s">
        <v>726</v>
      </c>
      <c r="Y84" s="3069"/>
      <c r="Z84" s="1465" t="s">
        <v>706</v>
      </c>
      <c r="AA84" s="1466">
        <v>4.5999999999999996</v>
      </c>
      <c r="AB84" s="1466">
        <v>2</v>
      </c>
      <c r="AC84" s="1452">
        <v>4.8</v>
      </c>
      <c r="AD84" s="1467"/>
      <c r="AE84" s="1467"/>
      <c r="AF84" s="1467"/>
      <c r="AG84" s="1467"/>
      <c r="AH84" s="1467"/>
      <c r="AI84" s="1467"/>
      <c r="AJ84" s="1468"/>
      <c r="AK84" s="1469"/>
      <c r="AL84" s="1467"/>
      <c r="AM84" s="1467"/>
      <c r="AN84" s="1467"/>
      <c r="AO84" s="1467"/>
      <c r="AP84" s="1468"/>
      <c r="AQ84" s="1468"/>
    </row>
    <row r="85" spans="2:43" ht="23.25" customHeight="1" thickBot="1">
      <c r="B85" s="3065"/>
      <c r="C85" s="1457">
        <v>15537</v>
      </c>
      <c r="D85" s="1457">
        <v>128</v>
      </c>
      <c r="E85" s="1457" t="s">
        <v>1118</v>
      </c>
      <c r="F85" s="1458" t="s">
        <v>1088</v>
      </c>
      <c r="G85" s="1459">
        <v>5000</v>
      </c>
      <c r="H85" s="1457" t="s">
        <v>1096</v>
      </c>
      <c r="I85" s="1457"/>
      <c r="J85" s="1460"/>
      <c r="K85" s="1461">
        <v>2.4300000000000002</v>
      </c>
      <c r="L85" s="1461">
        <v>3.4</v>
      </c>
      <c r="M85" s="1461">
        <v>4.8</v>
      </c>
      <c r="N85" s="1461">
        <v>0</v>
      </c>
      <c r="O85" s="1462">
        <v>0</v>
      </c>
      <c r="P85" s="1462">
        <v>0</v>
      </c>
      <c r="Q85" s="1462">
        <v>0</v>
      </c>
      <c r="R85" s="1462">
        <v>0</v>
      </c>
      <c r="S85" s="1462">
        <v>0</v>
      </c>
      <c r="T85" s="1462">
        <v>0</v>
      </c>
      <c r="U85" s="1462">
        <v>0</v>
      </c>
      <c r="V85" s="1463" t="s">
        <v>718</v>
      </c>
      <c r="W85" s="1464">
        <v>0</v>
      </c>
      <c r="X85" s="3068" t="s">
        <v>726</v>
      </c>
      <c r="Y85" s="3069"/>
      <c r="Z85" s="1465" t="s">
        <v>706</v>
      </c>
      <c r="AA85" s="1466">
        <v>4.5999999999999996</v>
      </c>
      <c r="AB85" s="1466">
        <v>2</v>
      </c>
      <c r="AC85" s="1452">
        <v>4.8</v>
      </c>
      <c r="AD85" s="1467"/>
      <c r="AE85" s="1467"/>
      <c r="AF85" s="1467"/>
      <c r="AG85" s="1467"/>
      <c r="AH85" s="1467"/>
      <c r="AI85" s="1467"/>
      <c r="AJ85" s="1468"/>
      <c r="AK85" s="1469"/>
      <c r="AL85" s="1467"/>
      <c r="AM85" s="1467"/>
      <c r="AN85" s="1467"/>
      <c r="AO85" s="1467"/>
      <c r="AP85" s="1468"/>
      <c r="AQ85" s="1468"/>
    </row>
    <row r="86" spans="2:43" ht="23.25" customHeight="1" thickBot="1">
      <c r="B86" s="3065"/>
      <c r="C86" s="1457">
        <v>15537</v>
      </c>
      <c r="D86" s="1457">
        <v>130</v>
      </c>
      <c r="E86" s="1457" t="s">
        <v>1118</v>
      </c>
      <c r="F86" s="1458" t="s">
        <v>1088</v>
      </c>
      <c r="G86" s="1459">
        <v>4958</v>
      </c>
      <c r="H86" s="1457" t="s">
        <v>1096</v>
      </c>
      <c r="I86" s="1457"/>
      <c r="J86" s="1460"/>
      <c r="K86" s="1461">
        <v>2.4300000000000002</v>
      </c>
      <c r="L86" s="1461">
        <v>3.4</v>
      </c>
      <c r="M86" s="1461">
        <v>4.8</v>
      </c>
      <c r="N86" s="1461">
        <v>0</v>
      </c>
      <c r="O86" s="1462">
        <v>0</v>
      </c>
      <c r="P86" s="1462">
        <v>0</v>
      </c>
      <c r="Q86" s="1462">
        <v>0</v>
      </c>
      <c r="R86" s="1462">
        <v>0</v>
      </c>
      <c r="S86" s="1462">
        <v>0</v>
      </c>
      <c r="T86" s="1462">
        <v>0</v>
      </c>
      <c r="U86" s="1462">
        <v>0</v>
      </c>
      <c r="V86" s="1470" t="s">
        <v>718</v>
      </c>
      <c r="W86" s="1464">
        <v>0</v>
      </c>
      <c r="X86" s="3068" t="s">
        <v>726</v>
      </c>
      <c r="Y86" s="3069"/>
      <c r="Z86" s="1465" t="s">
        <v>706</v>
      </c>
      <c r="AA86" s="1466">
        <v>4.5999999999999996</v>
      </c>
      <c r="AB86" s="1466">
        <v>2</v>
      </c>
      <c r="AC86" s="1452">
        <v>4.8</v>
      </c>
      <c r="AD86" s="1467"/>
      <c r="AE86" s="1467"/>
      <c r="AF86" s="1467"/>
      <c r="AG86" s="1467"/>
      <c r="AH86" s="1467"/>
      <c r="AI86" s="1467"/>
      <c r="AJ86" s="1468"/>
      <c r="AK86" s="1471"/>
      <c r="AL86" s="1472"/>
      <c r="AM86" s="1472"/>
      <c r="AN86" s="1472"/>
      <c r="AO86" s="1472"/>
      <c r="AP86" s="1473"/>
      <c r="AQ86" s="1468"/>
    </row>
    <row r="87" spans="2:43" s="1485" customFormat="1" ht="27" customHeight="1" thickBot="1">
      <c r="B87" s="1474" t="s">
        <v>1172</v>
      </c>
      <c r="C87" s="1475"/>
      <c r="D87" s="1476"/>
      <c r="E87" s="1477"/>
      <c r="F87" s="1477"/>
      <c r="G87" s="1478">
        <f>SUM(G59:G86)</f>
        <v>446839</v>
      </c>
      <c r="H87" s="1476"/>
      <c r="I87" s="1479"/>
      <c r="J87" s="1476"/>
      <c r="K87" s="1476"/>
      <c r="L87" s="1480"/>
      <c r="M87" s="1480"/>
      <c r="N87" s="1481"/>
      <c r="O87" s="1482">
        <f t="shared" ref="O87:U87" si="13">SUM(O59:O86)</f>
        <v>164650</v>
      </c>
      <c r="P87" s="1482">
        <f t="shared" si="13"/>
        <v>81588</v>
      </c>
      <c r="Q87" s="1482">
        <f t="shared" si="13"/>
        <v>0</v>
      </c>
      <c r="R87" s="1482">
        <f t="shared" si="13"/>
        <v>38114</v>
      </c>
      <c r="S87" s="1482">
        <f t="shared" si="13"/>
        <v>7213</v>
      </c>
      <c r="T87" s="1482">
        <f t="shared" si="13"/>
        <v>7</v>
      </c>
      <c r="U87" s="1482">
        <f t="shared" si="13"/>
        <v>0</v>
      </c>
      <c r="V87" s="1482"/>
      <c r="W87" s="1478">
        <f>SUM(W59:W86)</f>
        <v>200</v>
      </c>
      <c r="X87" s="1476"/>
      <c r="Y87" s="1476"/>
      <c r="Z87" s="1476"/>
      <c r="AA87" s="1476"/>
      <c r="AB87" s="1476"/>
      <c r="AC87" s="1476"/>
      <c r="AD87" s="1482">
        <f>SUM(AD59:AD86)</f>
        <v>129077</v>
      </c>
      <c r="AE87" s="1482">
        <f>SUM(AE59:AE86)</f>
        <v>36295</v>
      </c>
      <c r="AF87" s="1482">
        <f>SUM(AF59:AF86)</f>
        <v>1766666</v>
      </c>
      <c r="AG87" s="1482">
        <f>AG59</f>
        <v>1747</v>
      </c>
      <c r="AH87" s="1482">
        <v>874</v>
      </c>
      <c r="AI87" s="1482">
        <f>SUM(AI59:AI86)</f>
        <v>1932038</v>
      </c>
      <c r="AJ87" s="1483">
        <f>SUM(AJ59:AJ86)</f>
        <v>771.0675</v>
      </c>
      <c r="AK87" s="1484">
        <f>AD87-P87</f>
        <v>47489</v>
      </c>
      <c r="AL87" s="1482">
        <f>AE87-Q87</f>
        <v>36295</v>
      </c>
      <c r="AM87" s="1482">
        <f>AF87-S87</f>
        <v>1759453</v>
      </c>
      <c r="AN87" s="1482">
        <f>AG87-T87</f>
        <v>1740</v>
      </c>
      <c r="AO87" s="1482">
        <f>AO59-U87</f>
        <v>874</v>
      </c>
      <c r="AP87" s="1483">
        <f>AI87-O87</f>
        <v>1767388</v>
      </c>
      <c r="AQ87" s="1483">
        <f>AJ87-W87</f>
        <v>571.0675</v>
      </c>
    </row>
    <row r="88" spans="2:43" s="327" customFormat="1" ht="37.5" customHeight="1">
      <c r="B88" s="1425"/>
      <c r="C88" s="1486"/>
      <c r="D88" s="1487"/>
      <c r="E88" s="1488"/>
      <c r="F88" s="1488"/>
      <c r="G88" s="1489"/>
      <c r="H88" s="1487"/>
      <c r="I88" s="1490"/>
      <c r="J88" s="1487"/>
      <c r="K88" s="1487"/>
      <c r="L88" s="1491"/>
      <c r="M88" s="1491"/>
      <c r="N88" s="1492"/>
      <c r="O88" s="1493"/>
      <c r="P88" s="1493"/>
      <c r="Q88" s="1493"/>
      <c r="R88" s="1493"/>
      <c r="S88" s="1493"/>
      <c r="T88" s="1493"/>
      <c r="U88" s="1493"/>
      <c r="V88" s="1493"/>
      <c r="W88" s="1489"/>
      <c r="X88" s="1487"/>
      <c r="Y88" s="1487"/>
      <c r="Z88" s="1487"/>
      <c r="AA88" s="1487"/>
      <c r="AB88" s="1487"/>
      <c r="AC88" s="1487"/>
      <c r="AD88" s="1493"/>
      <c r="AE88" s="1493"/>
      <c r="AF88" s="1493"/>
      <c r="AG88" s="1493"/>
      <c r="AH88" s="1493"/>
      <c r="AI88" s="1493"/>
      <c r="AJ88" s="1493"/>
      <c r="AK88" s="1493"/>
      <c r="AL88" s="1493"/>
      <c r="AM88" s="1493"/>
      <c r="AN88" s="1493"/>
      <c r="AO88" s="1493"/>
      <c r="AP88" s="1493"/>
      <c r="AQ88" s="1493"/>
    </row>
    <row r="89" spans="2:43" ht="27.75" customHeight="1">
      <c r="G89" s="1494"/>
      <c r="H89" s="1494"/>
      <c r="I89" s="1494"/>
      <c r="K89" s="1495"/>
      <c r="L89" s="1496"/>
      <c r="M89" s="1496"/>
      <c r="N89" s="1496"/>
      <c r="O89" s="1494"/>
      <c r="P89" s="1494"/>
      <c r="Q89" s="1494"/>
      <c r="R89" s="1494"/>
      <c r="S89" s="1494"/>
      <c r="T89" s="1494"/>
      <c r="U89" s="1494"/>
      <c r="V89" s="1494"/>
      <c r="W89" s="1494"/>
      <c r="X89" s="1494"/>
    </row>
    <row r="90" spans="2:43" ht="27.75" customHeight="1">
      <c r="G90" s="1494"/>
      <c r="H90" s="1494"/>
      <c r="I90" s="1494"/>
      <c r="K90" s="1495"/>
      <c r="L90" s="1496"/>
      <c r="M90" s="1496"/>
      <c r="N90" s="1496"/>
      <c r="O90" s="1494"/>
      <c r="P90" s="1494"/>
      <c r="Q90" s="1494"/>
      <c r="R90" s="1494"/>
      <c r="S90" s="1494"/>
      <c r="T90" s="1494"/>
      <c r="U90" s="1494"/>
      <c r="V90" s="1494"/>
      <c r="W90" s="1494"/>
      <c r="X90" s="1494"/>
    </row>
    <row r="91" spans="2:43" ht="8.25" customHeight="1">
      <c r="G91" s="1494"/>
      <c r="H91" s="1494"/>
      <c r="I91" s="1494"/>
      <c r="K91" s="1495"/>
      <c r="L91" s="1496"/>
      <c r="M91" s="1496"/>
      <c r="N91" s="1496"/>
      <c r="O91" s="1494"/>
      <c r="P91" s="1494"/>
      <c r="Q91" s="1494"/>
      <c r="R91" s="1494"/>
      <c r="S91" s="1494"/>
      <c r="T91" s="1494"/>
      <c r="U91" s="1494"/>
      <c r="V91" s="1494"/>
      <c r="W91" s="1494"/>
      <c r="X91" s="1494"/>
    </row>
    <row r="92" spans="2:43" ht="56.25" customHeight="1" thickBot="1">
      <c r="B92" s="1440" t="s">
        <v>1139</v>
      </c>
      <c r="G92" s="1494"/>
      <c r="H92" s="1494"/>
      <c r="I92" s="1494"/>
      <c r="K92" s="1495"/>
      <c r="L92" s="1496"/>
      <c r="M92" s="1496"/>
      <c r="N92" s="1496"/>
      <c r="O92" s="1494"/>
      <c r="P92" s="1494"/>
      <c r="Q92" s="1494"/>
      <c r="R92" s="1494"/>
      <c r="S92" s="1494"/>
      <c r="T92" s="1494"/>
      <c r="U92" s="1494"/>
      <c r="V92" s="1494"/>
      <c r="W92" s="1494"/>
      <c r="X92" s="1494"/>
    </row>
    <row r="93" spans="2:43" ht="35.25" customHeight="1" thickBot="1">
      <c r="B93" s="1296" t="s">
        <v>1173</v>
      </c>
      <c r="C93" s="1297"/>
      <c r="D93" s="1297"/>
      <c r="E93" s="1297"/>
      <c r="F93" s="1297"/>
      <c r="G93" s="1297"/>
      <c r="H93" s="1297"/>
      <c r="I93" s="1297"/>
      <c r="J93" s="1297"/>
      <c r="K93" s="1297"/>
      <c r="L93" s="1297"/>
      <c r="M93" s="1297"/>
      <c r="N93" s="1297"/>
      <c r="O93" s="1297"/>
      <c r="P93" s="1297"/>
      <c r="Q93" s="1297"/>
      <c r="R93" s="1297"/>
      <c r="S93" s="1297"/>
      <c r="T93" s="1297"/>
      <c r="U93" s="1297"/>
      <c r="V93" s="1297"/>
      <c r="W93" s="1297"/>
      <c r="X93" s="1297"/>
      <c r="Y93" s="1297"/>
      <c r="Z93" s="1297"/>
      <c r="AA93" s="1297"/>
      <c r="AB93" s="1297"/>
      <c r="AC93" s="1297"/>
      <c r="AD93" s="1297"/>
      <c r="AE93" s="1297"/>
      <c r="AF93" s="1297"/>
      <c r="AG93" s="1297"/>
      <c r="AH93" s="1297"/>
      <c r="AI93" s="1297"/>
      <c r="AJ93" s="1297"/>
      <c r="AK93" s="1297"/>
      <c r="AL93" s="1297"/>
      <c r="AM93" s="1297"/>
      <c r="AN93" s="1297"/>
      <c r="AO93" s="1297"/>
      <c r="AP93" s="1298"/>
      <c r="AQ93" s="1298"/>
    </row>
    <row r="94" spans="2:43" ht="16.5" customHeight="1" thickBot="1">
      <c r="B94" s="2875" t="s">
        <v>609</v>
      </c>
      <c r="C94" s="2876"/>
      <c r="D94" s="2877"/>
      <c r="E94" s="2877"/>
      <c r="F94" s="2878"/>
      <c r="G94" s="2879"/>
      <c r="H94" s="3032" t="s">
        <v>1046</v>
      </c>
      <c r="I94" s="3033"/>
      <c r="J94" s="3033"/>
      <c r="K94" s="3033"/>
      <c r="L94" s="3033"/>
      <c r="M94" s="3033"/>
      <c r="N94" s="3033"/>
      <c r="O94" s="3033"/>
      <c r="P94" s="3033"/>
      <c r="Q94" s="3033"/>
      <c r="R94" s="3033"/>
      <c r="S94" s="3033"/>
      <c r="T94" s="3033"/>
      <c r="U94" s="3033"/>
      <c r="V94" s="3033"/>
      <c r="W94" s="3033"/>
      <c r="X94" s="2900" t="s">
        <v>1174</v>
      </c>
      <c r="Y94" s="3034"/>
      <c r="Z94" s="3034"/>
      <c r="AA94" s="3034"/>
      <c r="AB94" s="3034"/>
      <c r="AC94" s="3034"/>
      <c r="AD94" s="3035"/>
      <c r="AE94" s="3035"/>
      <c r="AF94" s="3035"/>
      <c r="AG94" s="3035"/>
      <c r="AH94" s="3035"/>
      <c r="AI94" s="3035"/>
      <c r="AJ94" s="3036"/>
      <c r="AK94" s="3042" t="s">
        <v>1048</v>
      </c>
      <c r="AL94" s="3043"/>
      <c r="AM94" s="3043"/>
      <c r="AN94" s="3043"/>
      <c r="AO94" s="3043"/>
      <c r="AP94" s="3044"/>
      <c r="AQ94" s="1441"/>
    </row>
    <row r="95" spans="2:43" ht="26.25" customHeight="1" thickBot="1">
      <c r="B95" s="2886" t="s">
        <v>1175</v>
      </c>
      <c r="C95" s="2886" t="s">
        <v>936</v>
      </c>
      <c r="D95" s="2889" t="s">
        <v>937</v>
      </c>
      <c r="E95" s="2892" t="s">
        <v>1050</v>
      </c>
      <c r="F95" s="2895" t="s">
        <v>1051</v>
      </c>
      <c r="G95" s="2897" t="s">
        <v>1176</v>
      </c>
      <c r="H95" s="2924" t="s">
        <v>1053</v>
      </c>
      <c r="I95" s="2925"/>
      <c r="J95" s="2926"/>
      <c r="K95" s="2906" t="s">
        <v>1054</v>
      </c>
      <c r="L95" s="2927"/>
      <c r="M95" s="2927"/>
      <c r="N95" s="2927"/>
      <c r="O95" s="2928" t="s">
        <v>1055</v>
      </c>
      <c r="P95" s="3048"/>
      <c r="Q95" s="3048"/>
      <c r="R95" s="3048"/>
      <c r="S95" s="3049"/>
      <c r="T95" s="2929" t="s">
        <v>1056</v>
      </c>
      <c r="U95" s="2929" t="s">
        <v>823</v>
      </c>
      <c r="V95" s="3053" t="s">
        <v>986</v>
      </c>
      <c r="W95" s="2901" t="s">
        <v>1057</v>
      </c>
      <c r="X95" s="3058" t="s">
        <v>1053</v>
      </c>
      <c r="Y95" s="3059"/>
      <c r="Z95" s="3060"/>
      <c r="AA95" s="3061" t="s">
        <v>1054</v>
      </c>
      <c r="AB95" s="3062"/>
      <c r="AC95" s="3063"/>
      <c r="AD95" s="3050" t="s">
        <v>1058</v>
      </c>
      <c r="AE95" s="3051"/>
      <c r="AF95" s="3051"/>
      <c r="AG95" s="3051"/>
      <c r="AH95" s="3051"/>
      <c r="AI95" s="3051"/>
      <c r="AJ95" s="3052"/>
      <c r="AK95" s="3045"/>
      <c r="AL95" s="3046"/>
      <c r="AM95" s="3046"/>
      <c r="AN95" s="3046"/>
      <c r="AO95" s="3046"/>
      <c r="AP95" s="3047"/>
      <c r="AQ95" s="1442"/>
    </row>
    <row r="96" spans="2:43" ht="15" customHeight="1">
      <c r="B96" s="2887"/>
      <c r="C96" s="2887"/>
      <c r="D96" s="2890"/>
      <c r="E96" s="2893"/>
      <c r="F96" s="3695"/>
      <c r="G96" s="2898"/>
      <c r="H96" s="2912" t="s">
        <v>939</v>
      </c>
      <c r="I96" s="2913"/>
      <c r="J96" s="2918" t="s">
        <v>1059</v>
      </c>
      <c r="K96" s="2918" t="s">
        <v>1060</v>
      </c>
      <c r="L96" s="2918" t="s">
        <v>1061</v>
      </c>
      <c r="M96" s="2918" t="s">
        <v>1062</v>
      </c>
      <c r="N96" s="2921" t="s">
        <v>1063</v>
      </c>
      <c r="O96" s="2922" t="s">
        <v>1064</v>
      </c>
      <c r="P96" s="2922" t="s">
        <v>1065</v>
      </c>
      <c r="Q96" s="2922" t="s">
        <v>1066</v>
      </c>
      <c r="R96" s="2922" t="s">
        <v>1067</v>
      </c>
      <c r="S96" s="2922" t="s">
        <v>1068</v>
      </c>
      <c r="T96" s="2930"/>
      <c r="U96" s="2930"/>
      <c r="V96" s="3054"/>
      <c r="W96" s="3056"/>
      <c r="X96" s="2948" t="s">
        <v>990</v>
      </c>
      <c r="Y96" s="2949"/>
      <c r="Z96" s="2954" t="s">
        <v>1069</v>
      </c>
      <c r="AA96" s="2918" t="s">
        <v>1070</v>
      </c>
      <c r="AB96" s="2918" t="s">
        <v>1061</v>
      </c>
      <c r="AC96" s="2918" t="s">
        <v>1071</v>
      </c>
      <c r="AD96" s="2929" t="s">
        <v>1072</v>
      </c>
      <c r="AE96" s="2929" t="s">
        <v>1073</v>
      </c>
      <c r="AF96" s="2929" t="s">
        <v>1074</v>
      </c>
      <c r="AG96" s="2945" t="s">
        <v>1075</v>
      </c>
      <c r="AH96" s="2945" t="s">
        <v>822</v>
      </c>
      <c r="AI96" s="2929" t="s">
        <v>1076</v>
      </c>
      <c r="AJ96" s="2929" t="s">
        <v>1057</v>
      </c>
      <c r="AK96" s="2929" t="s">
        <v>1072</v>
      </c>
      <c r="AL96" s="2929" t="s">
        <v>1073</v>
      </c>
      <c r="AM96" s="2929" t="s">
        <v>1074</v>
      </c>
      <c r="AN96" s="2945" t="s">
        <v>1075</v>
      </c>
      <c r="AO96" s="2945" t="s">
        <v>822</v>
      </c>
      <c r="AP96" s="2929" t="s">
        <v>1076</v>
      </c>
      <c r="AQ96" s="2929" t="s">
        <v>1057</v>
      </c>
    </row>
    <row r="97" spans="1:45">
      <c r="B97" s="2887"/>
      <c r="C97" s="2887"/>
      <c r="D97" s="2890"/>
      <c r="E97" s="2893"/>
      <c r="F97" s="3695"/>
      <c r="G97" s="2898"/>
      <c r="H97" s="2914"/>
      <c r="I97" s="2915"/>
      <c r="J97" s="2919"/>
      <c r="K97" s="2919"/>
      <c r="L97" s="2919"/>
      <c r="M97" s="2919"/>
      <c r="N97" s="2922"/>
      <c r="O97" s="2922"/>
      <c r="P97" s="2922"/>
      <c r="Q97" s="2922"/>
      <c r="R97" s="2922"/>
      <c r="S97" s="2922"/>
      <c r="T97" s="2930"/>
      <c r="U97" s="2930"/>
      <c r="V97" s="3054"/>
      <c r="W97" s="3056"/>
      <c r="X97" s="2950"/>
      <c r="Y97" s="2951"/>
      <c r="Z97" s="2955"/>
      <c r="AA97" s="2919"/>
      <c r="AB97" s="2919"/>
      <c r="AC97" s="2919"/>
      <c r="AD97" s="2932"/>
      <c r="AE97" s="2932"/>
      <c r="AF97" s="2932"/>
      <c r="AG97" s="2946"/>
      <c r="AH97" s="2946"/>
      <c r="AI97" s="2932"/>
      <c r="AJ97" s="2932"/>
      <c r="AK97" s="2932"/>
      <c r="AL97" s="2932"/>
      <c r="AM97" s="2932"/>
      <c r="AN97" s="2946"/>
      <c r="AO97" s="2946"/>
      <c r="AP97" s="2932"/>
      <c r="AQ97" s="2932"/>
    </row>
    <row r="98" spans="1:45" ht="21.75" customHeight="1" thickBot="1">
      <c r="B98" s="2888"/>
      <c r="C98" s="2888"/>
      <c r="D98" s="2891"/>
      <c r="E98" s="2894"/>
      <c r="F98" s="2896"/>
      <c r="G98" s="2899"/>
      <c r="H98" s="2916"/>
      <c r="I98" s="2917"/>
      <c r="J98" s="2920"/>
      <c r="K98" s="2920"/>
      <c r="L98" s="2920"/>
      <c r="M98" s="2920"/>
      <c r="N98" s="2923"/>
      <c r="O98" s="2923"/>
      <c r="P98" s="2923"/>
      <c r="Q98" s="2923"/>
      <c r="R98" s="2923"/>
      <c r="S98" s="2923"/>
      <c r="T98" s="2931"/>
      <c r="U98" s="2931"/>
      <c r="V98" s="3055"/>
      <c r="W98" s="3057"/>
      <c r="X98" s="2952"/>
      <c r="Y98" s="2953"/>
      <c r="Z98" s="2956"/>
      <c r="AA98" s="2920"/>
      <c r="AB98" s="2920"/>
      <c r="AC98" s="2920"/>
      <c r="AD98" s="2933"/>
      <c r="AE98" s="2933"/>
      <c r="AF98" s="2933"/>
      <c r="AG98" s="2947"/>
      <c r="AH98" s="2947"/>
      <c r="AI98" s="2933"/>
      <c r="AJ98" s="2933"/>
      <c r="AK98" s="2933"/>
      <c r="AL98" s="2933"/>
      <c r="AM98" s="2933"/>
      <c r="AN98" s="2947"/>
      <c r="AO98" s="2947"/>
      <c r="AP98" s="2933"/>
      <c r="AQ98" s="2933"/>
    </row>
    <row r="99" spans="1:45" ht="42.75" customHeight="1">
      <c r="B99" s="3070" t="s">
        <v>1177</v>
      </c>
      <c r="C99" s="1497">
        <v>15705</v>
      </c>
      <c r="D99" s="1497">
        <v>59</v>
      </c>
      <c r="E99" s="1497" t="s">
        <v>1093</v>
      </c>
      <c r="F99" s="1498" t="s">
        <v>1088</v>
      </c>
      <c r="G99" s="1499">
        <v>48565</v>
      </c>
      <c r="H99" s="1497" t="s">
        <v>1178</v>
      </c>
      <c r="I99" s="1497"/>
      <c r="J99" s="1500"/>
      <c r="K99" s="1501">
        <v>0</v>
      </c>
      <c r="L99" s="1501">
        <v>1</v>
      </c>
      <c r="M99" s="1501">
        <v>2.4</v>
      </c>
      <c r="N99" s="1501">
        <v>0</v>
      </c>
      <c r="O99" s="1497">
        <v>0</v>
      </c>
      <c r="P99" s="1497">
        <v>0</v>
      </c>
      <c r="Q99" s="1497">
        <v>0</v>
      </c>
      <c r="R99" s="1497">
        <v>0</v>
      </c>
      <c r="S99" s="1497">
        <v>0</v>
      </c>
      <c r="T99" s="1497">
        <v>0</v>
      </c>
      <c r="U99" s="1497">
        <v>0</v>
      </c>
      <c r="V99" s="1502" t="s">
        <v>1179</v>
      </c>
      <c r="W99" s="1503">
        <v>60</v>
      </c>
      <c r="X99" s="3072" t="s">
        <v>1082</v>
      </c>
      <c r="Y99" s="3073"/>
      <c r="Z99" s="1504" t="s">
        <v>706</v>
      </c>
      <c r="AA99" s="1505">
        <v>3.6</v>
      </c>
      <c r="AB99" s="1505">
        <v>2</v>
      </c>
      <c r="AC99" s="1505">
        <v>3</v>
      </c>
      <c r="AD99" s="1506">
        <f>'[2]DOT Dispo'!J6</f>
        <v>7421</v>
      </c>
      <c r="AE99" s="1506">
        <f>'[2]DOT Dispo'!I6</f>
        <v>11557</v>
      </c>
      <c r="AF99" s="1506">
        <f>'[2]DOT Dispo'!G6</f>
        <v>177238</v>
      </c>
      <c r="AG99" s="1506">
        <f>'[2]DOT Dispo'!H6</f>
        <v>176</v>
      </c>
      <c r="AH99" s="1506">
        <f>AG99</f>
        <v>176</v>
      </c>
      <c r="AI99" s="1506">
        <f>AF99+AE99+AD99</f>
        <v>196216</v>
      </c>
      <c r="AJ99" s="1507">
        <v>40</v>
      </c>
      <c r="AK99" s="1506">
        <f>AD99-P99</f>
        <v>7421</v>
      </c>
      <c r="AL99" s="1506">
        <f>AE99</f>
        <v>11557</v>
      </c>
      <c r="AM99" s="1506">
        <f>AF99-S99</f>
        <v>177238</v>
      </c>
      <c r="AN99" s="1506">
        <f>AG99</f>
        <v>176</v>
      </c>
      <c r="AO99" s="1506">
        <f>AH99</f>
        <v>176</v>
      </c>
      <c r="AP99" s="1507">
        <f>AI99-O99</f>
        <v>196216</v>
      </c>
      <c r="AQ99" s="1507">
        <f>AJ99-W99</f>
        <v>-20</v>
      </c>
    </row>
    <row r="100" spans="1:45" ht="42.75" customHeight="1" thickBot="1">
      <c r="B100" s="3071"/>
      <c r="C100" s="1508">
        <v>15705</v>
      </c>
      <c r="D100" s="1508">
        <v>69</v>
      </c>
      <c r="E100" s="1508" t="s">
        <v>1093</v>
      </c>
      <c r="F100" s="1509" t="s">
        <v>1088</v>
      </c>
      <c r="G100" s="1510">
        <v>9479</v>
      </c>
      <c r="H100" s="1508" t="s">
        <v>1084</v>
      </c>
      <c r="I100" s="1508"/>
      <c r="J100" s="1511"/>
      <c r="K100" s="1512">
        <v>0</v>
      </c>
      <c r="L100" s="1512">
        <v>1</v>
      </c>
      <c r="M100" s="1512">
        <v>2.4</v>
      </c>
      <c r="N100" s="1512">
        <v>0</v>
      </c>
      <c r="O100" s="1508">
        <v>0</v>
      </c>
      <c r="P100" s="1508">
        <v>0</v>
      </c>
      <c r="Q100" s="1508">
        <v>0</v>
      </c>
      <c r="R100" s="1508">
        <v>0</v>
      </c>
      <c r="S100" s="1508">
        <v>0</v>
      </c>
      <c r="T100" s="1508">
        <v>0</v>
      </c>
      <c r="U100" s="1508">
        <v>0</v>
      </c>
      <c r="V100" s="1513" t="s">
        <v>1179</v>
      </c>
      <c r="W100" s="1514">
        <v>0</v>
      </c>
      <c r="X100" s="3074" t="s">
        <v>1082</v>
      </c>
      <c r="Y100" s="3075"/>
      <c r="Z100" s="1515" t="s">
        <v>706</v>
      </c>
      <c r="AA100" s="1516">
        <v>3.6</v>
      </c>
      <c r="AB100" s="1516">
        <v>2</v>
      </c>
      <c r="AC100" s="1516">
        <v>3</v>
      </c>
      <c r="AD100" s="1517"/>
      <c r="AE100" s="1517"/>
      <c r="AF100" s="1517"/>
      <c r="AG100" s="1517"/>
      <c r="AH100" s="1517"/>
      <c r="AI100" s="1517"/>
      <c r="AJ100" s="1518"/>
      <c r="AK100" s="1517"/>
      <c r="AL100" s="1517"/>
      <c r="AM100" s="1517"/>
      <c r="AN100" s="1517"/>
      <c r="AO100" s="1517"/>
      <c r="AP100" s="1518"/>
      <c r="AQ100" s="1518"/>
    </row>
    <row r="101" spans="1:45" ht="39" customHeight="1" thickBot="1">
      <c r="B101" s="2320" t="s">
        <v>1180</v>
      </c>
      <c r="C101" s="1508">
        <v>15534</v>
      </c>
      <c r="D101" s="1508">
        <v>70</v>
      </c>
      <c r="E101" s="1508"/>
      <c r="F101" s="1509"/>
      <c r="G101" s="1510">
        <v>14000</v>
      </c>
      <c r="H101" s="1508" t="s">
        <v>955</v>
      </c>
      <c r="I101" s="1508"/>
      <c r="J101" s="1511"/>
      <c r="K101" s="1512"/>
      <c r="L101" s="1512"/>
      <c r="M101" s="1512"/>
      <c r="N101" s="1512"/>
      <c r="O101" s="1508">
        <v>0</v>
      </c>
      <c r="P101" s="1508">
        <v>0</v>
      </c>
      <c r="Q101" s="1508">
        <v>0</v>
      </c>
      <c r="R101" s="1508">
        <v>0</v>
      </c>
      <c r="S101" s="1508">
        <v>0</v>
      </c>
      <c r="T101" s="1508">
        <v>0</v>
      </c>
      <c r="U101" s="1508">
        <v>0</v>
      </c>
      <c r="V101" s="1519" t="s">
        <v>718</v>
      </c>
      <c r="W101" s="1514">
        <v>0</v>
      </c>
      <c r="X101" s="3076" t="s">
        <v>1181</v>
      </c>
      <c r="Y101" s="3077"/>
      <c r="Z101" s="1516"/>
      <c r="AA101" s="1516"/>
      <c r="AB101" s="1516"/>
      <c r="AC101" s="1516"/>
      <c r="AD101" s="1517">
        <v>0</v>
      </c>
      <c r="AE101" s="1517">
        <v>0</v>
      </c>
      <c r="AF101" s="1517">
        <v>8000</v>
      </c>
      <c r="AG101" s="1517">
        <v>8</v>
      </c>
      <c r="AH101" s="1517">
        <v>8</v>
      </c>
      <c r="AI101" s="1506">
        <f>AF101+AE101+AD101</f>
        <v>8000</v>
      </c>
      <c r="AJ101" s="1518">
        <v>8</v>
      </c>
      <c r="AK101" s="1506">
        <f>AD101-P101</f>
        <v>0</v>
      </c>
      <c r="AL101" s="1506">
        <f>AE101</f>
        <v>0</v>
      </c>
      <c r="AM101" s="1506">
        <f>AF101-S101</f>
        <v>8000</v>
      </c>
      <c r="AN101" s="1517">
        <f>AG101</f>
        <v>8</v>
      </c>
      <c r="AO101" s="1517">
        <f>AH101</f>
        <v>8</v>
      </c>
      <c r="AP101" s="1507">
        <f>AI101-O101</f>
        <v>8000</v>
      </c>
      <c r="AQ101" s="1507">
        <f>AJ101-W101</f>
        <v>8</v>
      </c>
    </row>
    <row r="102" spans="1:45" ht="28.5" customHeight="1" thickBot="1">
      <c r="B102" s="1520" t="s">
        <v>1182</v>
      </c>
      <c r="C102" s="1521"/>
      <c r="D102" s="1522"/>
      <c r="E102" s="1523"/>
      <c r="F102" s="1523"/>
      <c r="G102" s="1524">
        <f>SUM(G99:G101)</f>
        <v>72044</v>
      </c>
      <c r="H102" s="1522"/>
      <c r="I102" s="1525"/>
      <c r="J102" s="1522"/>
      <c r="K102" s="1522"/>
      <c r="L102" s="1526"/>
      <c r="M102" s="1526"/>
      <c r="N102" s="1527"/>
      <c r="O102" s="1528">
        <f t="shared" ref="O102:U102" si="14">SUM(O99:O101)</f>
        <v>0</v>
      </c>
      <c r="P102" s="1528">
        <f t="shared" si="14"/>
        <v>0</v>
      </c>
      <c r="Q102" s="1528">
        <f t="shared" si="14"/>
        <v>0</v>
      </c>
      <c r="R102" s="1528">
        <f t="shared" si="14"/>
        <v>0</v>
      </c>
      <c r="S102" s="1528">
        <f t="shared" si="14"/>
        <v>0</v>
      </c>
      <c r="T102" s="1528">
        <f t="shared" si="14"/>
        <v>0</v>
      </c>
      <c r="U102" s="1528">
        <f t="shared" si="14"/>
        <v>0</v>
      </c>
      <c r="V102" s="1528"/>
      <c r="W102" s="1524">
        <f>SUM(W99:W101)</f>
        <v>60</v>
      </c>
      <c r="X102" s="1522"/>
      <c r="Y102" s="1522"/>
      <c r="Z102" s="1522"/>
      <c r="AA102" s="1522"/>
      <c r="AB102" s="1522"/>
      <c r="AC102" s="1522"/>
      <c r="AD102" s="1528">
        <f t="shared" ref="AD102:AO102" si="15">SUM(AD99:AD101)</f>
        <v>7421</v>
      </c>
      <c r="AE102" s="1528">
        <f t="shared" si="15"/>
        <v>11557</v>
      </c>
      <c r="AF102" s="1528">
        <f t="shared" si="15"/>
        <v>185238</v>
      </c>
      <c r="AG102" s="1528">
        <f t="shared" si="15"/>
        <v>184</v>
      </c>
      <c r="AH102" s="1528">
        <f t="shared" si="15"/>
        <v>184</v>
      </c>
      <c r="AI102" s="1528">
        <f t="shared" si="15"/>
        <v>204216</v>
      </c>
      <c r="AJ102" s="1529">
        <f t="shared" si="15"/>
        <v>48</v>
      </c>
      <c r="AK102" s="1528">
        <f t="shared" si="15"/>
        <v>7421</v>
      </c>
      <c r="AL102" s="1528">
        <f t="shared" si="15"/>
        <v>11557</v>
      </c>
      <c r="AM102" s="1528">
        <f t="shared" si="15"/>
        <v>185238</v>
      </c>
      <c r="AN102" s="1528">
        <f t="shared" si="15"/>
        <v>184</v>
      </c>
      <c r="AO102" s="1528">
        <f t="shared" si="15"/>
        <v>184</v>
      </c>
      <c r="AP102" s="1529">
        <f>AI102-O102</f>
        <v>204216</v>
      </c>
      <c r="AQ102" s="1529">
        <f>AJ102-W102</f>
        <v>-12</v>
      </c>
      <c r="AR102" s="1530"/>
    </row>
    <row r="103" spans="1:45" s="1424" customFormat="1" ht="41.25" customHeight="1">
      <c r="B103" s="1425"/>
      <c r="C103" s="1426"/>
      <c r="D103" s="1427"/>
      <c r="E103" s="1428"/>
      <c r="F103" s="1428"/>
      <c r="G103" s="1429"/>
      <c r="H103" s="1426"/>
      <c r="I103" s="1426"/>
      <c r="J103" s="1427"/>
      <c r="K103" s="1427"/>
      <c r="L103" s="1427"/>
      <c r="M103" s="1427"/>
      <c r="N103" s="1429"/>
      <c r="O103" s="1429"/>
      <c r="P103" s="1429"/>
      <c r="Q103" s="1429"/>
      <c r="R103" s="1429"/>
      <c r="S103" s="1429"/>
      <c r="T103" s="1429"/>
      <c r="U103" s="1429"/>
      <c r="V103" s="1429"/>
      <c r="W103" s="1427"/>
      <c r="X103" s="1426"/>
      <c r="Y103" s="1426"/>
      <c r="Z103" s="1426"/>
      <c r="AA103" s="1426"/>
      <c r="AB103" s="1426"/>
      <c r="AC103" s="1426"/>
      <c r="AD103" s="1430"/>
      <c r="AE103" s="1430"/>
      <c r="AF103" s="1430"/>
      <c r="AG103" s="1430"/>
      <c r="AH103" s="1430"/>
      <c r="AI103" s="1430"/>
      <c r="AJ103" s="1430"/>
    </row>
    <row r="104" spans="1:45" s="1424" customFormat="1" ht="18" customHeight="1" thickBot="1">
      <c r="B104" s="1426"/>
      <c r="C104" s="1426"/>
      <c r="D104" s="1427"/>
      <c r="E104" s="1428"/>
      <c r="F104" s="1428"/>
      <c r="G104" s="1429"/>
      <c r="H104" s="1426"/>
      <c r="I104" s="1426"/>
      <c r="J104" s="1427"/>
      <c r="K104" s="1427"/>
      <c r="L104" s="1427"/>
      <c r="M104" s="1427"/>
      <c r="N104" s="1429"/>
      <c r="O104" s="1429"/>
      <c r="P104" s="1429"/>
      <c r="Q104" s="1429"/>
      <c r="R104" s="1429"/>
      <c r="S104" s="1429"/>
      <c r="T104" s="1429"/>
      <c r="U104" s="1429"/>
      <c r="V104" s="1429"/>
      <c r="W104" s="1427"/>
      <c r="X104" s="1426"/>
      <c r="Y104" s="1426"/>
      <c r="Z104" s="1426"/>
      <c r="AA104" s="1426"/>
      <c r="AB104" s="1426"/>
      <c r="AC104" s="1426"/>
      <c r="AD104" s="1430"/>
      <c r="AE104" s="1430"/>
      <c r="AF104" s="1430"/>
      <c r="AG104" s="1430"/>
      <c r="AH104" s="1430"/>
      <c r="AI104" s="1430"/>
      <c r="AJ104" s="1430"/>
    </row>
    <row r="105" spans="1:45" s="1539" customFormat="1" ht="31.5" customHeight="1" thickBot="1">
      <c r="A105" s="1531"/>
      <c r="B105" s="1532" t="s">
        <v>1183</v>
      </c>
      <c r="C105" s="1533"/>
      <c r="D105" s="1534"/>
      <c r="E105" s="1535"/>
      <c r="F105" s="1535"/>
      <c r="G105" s="1536"/>
      <c r="H105" s="1533"/>
      <c r="I105" s="1533"/>
      <c r="J105" s="1534"/>
      <c r="K105" s="1534"/>
      <c r="L105" s="1534"/>
      <c r="M105" s="1534"/>
      <c r="N105" s="1536"/>
      <c r="O105" s="1537">
        <f t="shared" ref="O105:U105" si="16">O102+O87+O46</f>
        <v>227148</v>
      </c>
      <c r="P105" s="1537">
        <f t="shared" si="16"/>
        <v>95092</v>
      </c>
      <c r="Q105" s="1537">
        <f t="shared" si="16"/>
        <v>5000</v>
      </c>
      <c r="R105" s="1537">
        <f t="shared" si="16"/>
        <v>43822</v>
      </c>
      <c r="S105" s="1537">
        <f t="shared" si="16"/>
        <v>7645</v>
      </c>
      <c r="T105" s="1537">
        <f t="shared" si="16"/>
        <v>8</v>
      </c>
      <c r="U105" s="1537">
        <f t="shared" si="16"/>
        <v>0</v>
      </c>
      <c r="V105" s="1536"/>
      <c r="W105" s="1536">
        <f>W102+W87+W46</f>
        <v>310</v>
      </c>
      <c r="X105" s="1533"/>
      <c r="Y105" s="1533"/>
      <c r="Z105" s="1533"/>
      <c r="AA105" s="1533"/>
      <c r="AB105" s="1533"/>
      <c r="AC105" s="1533"/>
      <c r="AD105" s="1537">
        <f t="shared" ref="AD105:AQ105" si="17">AD102+AD87+AD46</f>
        <v>259686.59999999998</v>
      </c>
      <c r="AE105" s="1537">
        <f t="shared" si="17"/>
        <v>85947</v>
      </c>
      <c r="AF105" s="1537">
        <f t="shared" si="17"/>
        <v>3157367</v>
      </c>
      <c r="AG105" s="1537">
        <f t="shared" si="17"/>
        <v>3136.9130000000005</v>
      </c>
      <c r="AH105" s="1537">
        <f t="shared" si="17"/>
        <v>1585.76</v>
      </c>
      <c r="AI105" s="1537">
        <f t="shared" si="17"/>
        <v>3503000.6</v>
      </c>
      <c r="AJ105" s="1537">
        <f t="shared" si="17"/>
        <v>1246.8258333333333</v>
      </c>
      <c r="AK105" s="1537">
        <f t="shared" si="17"/>
        <v>168554.59999999998</v>
      </c>
      <c r="AL105" s="1537">
        <f t="shared" si="17"/>
        <v>80947</v>
      </c>
      <c r="AM105" s="1537">
        <f t="shared" si="17"/>
        <v>3149722</v>
      </c>
      <c r="AN105" s="1537">
        <f t="shared" si="17"/>
        <v>3128.9130000000005</v>
      </c>
      <c r="AO105" s="1537">
        <f t="shared" si="17"/>
        <v>1487.76</v>
      </c>
      <c r="AP105" s="1538">
        <f t="shared" si="17"/>
        <v>3275852.6</v>
      </c>
      <c r="AQ105" s="1538">
        <f t="shared" si="17"/>
        <v>936.82583333333332</v>
      </c>
      <c r="AR105" s="1531"/>
      <c r="AS105" s="1531"/>
    </row>
    <row r="106" spans="1:45" s="1424" customFormat="1" ht="18" customHeight="1">
      <c r="B106" s="1426"/>
      <c r="C106" s="1426"/>
      <c r="D106" s="1427"/>
      <c r="E106" s="1428"/>
      <c r="F106" s="1428"/>
      <c r="G106" s="1429"/>
      <c r="H106" s="1426"/>
      <c r="I106" s="1426"/>
      <c r="J106" s="1427"/>
      <c r="K106" s="1427"/>
      <c r="L106" s="1427"/>
      <c r="M106" s="1427"/>
      <c r="N106" s="1429"/>
      <c r="O106" s="1429"/>
      <c r="P106" s="1429"/>
      <c r="Q106" s="1429"/>
      <c r="R106" s="1429"/>
      <c r="S106" s="1429"/>
      <c r="T106" s="1429"/>
      <c r="U106" s="1429"/>
      <c r="V106" s="1429"/>
      <c r="W106" s="1427"/>
      <c r="X106" s="1426"/>
      <c r="Y106" s="1426"/>
      <c r="Z106" s="1426"/>
      <c r="AA106" s="1426"/>
      <c r="AB106" s="1426"/>
      <c r="AC106" s="1426"/>
      <c r="AD106" s="1430"/>
      <c r="AE106" s="1430"/>
      <c r="AF106" s="1430"/>
      <c r="AG106" s="1430"/>
      <c r="AH106" s="1430"/>
      <c r="AI106" s="1430"/>
      <c r="AJ106" s="1430"/>
    </row>
    <row r="107" spans="1:45" s="1424" customFormat="1" ht="18" customHeight="1">
      <c r="B107" s="1426"/>
      <c r="C107" s="1426"/>
      <c r="D107" s="1427"/>
      <c r="E107" s="1428"/>
      <c r="F107" s="1428"/>
      <c r="G107" s="1429"/>
      <c r="H107" s="1426"/>
      <c r="I107" s="1426"/>
      <c r="J107" s="1427"/>
      <c r="K107" s="1427"/>
      <c r="L107" s="1427"/>
      <c r="M107" s="1427"/>
      <c r="N107" s="1429"/>
      <c r="O107" s="1429"/>
      <c r="P107" s="1429"/>
      <c r="Q107" s="1429"/>
      <c r="R107" s="1429"/>
      <c r="S107" s="1429"/>
      <c r="T107" s="1429"/>
      <c r="U107" s="1429"/>
      <c r="V107" s="1429"/>
      <c r="W107" s="1427"/>
      <c r="X107" s="1426"/>
      <c r="Y107" s="1426"/>
      <c r="Z107" s="1426"/>
      <c r="AA107" s="1426"/>
      <c r="AB107" s="1426"/>
      <c r="AC107" s="1426"/>
      <c r="AD107" s="1430"/>
      <c r="AE107" s="1430"/>
      <c r="AF107" s="1430"/>
      <c r="AG107" s="1430"/>
      <c r="AH107" s="1430"/>
      <c r="AI107" s="1430"/>
      <c r="AJ107" s="1430"/>
      <c r="AK107" s="1431"/>
      <c r="AL107" s="1431"/>
      <c r="AR107" s="1431"/>
    </row>
    <row r="108" spans="1:45" s="1424" customFormat="1" ht="18" customHeight="1">
      <c r="B108" s="1426"/>
      <c r="C108" s="1426"/>
      <c r="D108" s="1427"/>
      <c r="E108" s="1428"/>
      <c r="F108" s="1428"/>
      <c r="G108" s="1429"/>
      <c r="H108" s="1426"/>
      <c r="I108" s="1426"/>
      <c r="J108" s="1427"/>
      <c r="K108" s="1427"/>
      <c r="L108" s="1427"/>
      <c r="M108" s="1427"/>
      <c r="N108" s="1429"/>
      <c r="O108" s="1429"/>
      <c r="P108" s="1429"/>
      <c r="Q108" s="1429"/>
      <c r="R108" s="1429"/>
      <c r="S108" s="1429"/>
      <c r="T108" s="1429"/>
      <c r="U108" s="1429"/>
      <c r="V108" s="1429"/>
      <c r="W108" s="1427"/>
      <c r="X108" s="1426"/>
      <c r="Y108" s="1426"/>
      <c r="Z108" s="1426"/>
      <c r="AA108" s="1426"/>
      <c r="AB108" s="1426"/>
      <c r="AC108" s="1426"/>
      <c r="AD108" s="1430"/>
      <c r="AE108" s="1430"/>
      <c r="AF108" s="1430"/>
      <c r="AG108" s="1430"/>
      <c r="AH108" s="1430"/>
      <c r="AI108" s="1430"/>
      <c r="AJ108" s="1430"/>
      <c r="AK108" s="1431"/>
    </row>
    <row r="109" spans="1:45" s="1424" customFormat="1" ht="70.5" customHeight="1" thickBot="1">
      <c r="B109" s="1440" t="s">
        <v>1139</v>
      </c>
      <c r="C109" s="1426"/>
      <c r="D109" s="1427"/>
      <c r="E109" s="1428"/>
      <c r="F109" s="1428"/>
      <c r="G109" s="1429"/>
      <c r="H109" s="1426"/>
      <c r="I109" s="1426"/>
      <c r="J109" s="1427"/>
      <c r="K109" s="1427"/>
      <c r="L109" s="1427"/>
      <c r="M109" s="1427"/>
      <c r="N109" s="1429"/>
      <c r="O109" s="1429"/>
      <c r="P109" s="1429"/>
      <c r="Q109" s="1429"/>
      <c r="R109" s="1429"/>
      <c r="S109" s="1429"/>
      <c r="T109" s="1429"/>
      <c r="U109" s="1429"/>
      <c r="V109" s="1429"/>
      <c r="W109" s="1427"/>
      <c r="X109" s="1426"/>
      <c r="Y109" s="1426"/>
      <c r="Z109" s="1426"/>
      <c r="AA109" s="1426"/>
      <c r="AB109" s="1426"/>
      <c r="AC109" s="1426"/>
      <c r="AD109" s="1430"/>
      <c r="AE109" s="1430"/>
      <c r="AF109" s="1430"/>
      <c r="AG109" s="1430"/>
      <c r="AH109" s="1430"/>
      <c r="AI109" s="1430"/>
      <c r="AJ109" s="1430"/>
      <c r="AK109" s="1431"/>
    </row>
    <row r="110" spans="1:45" s="1424" customFormat="1" ht="36" customHeight="1" thickBot="1">
      <c r="B110" s="1296" t="s">
        <v>1184</v>
      </c>
      <c r="C110" s="1297"/>
      <c r="D110" s="1297"/>
      <c r="E110" s="1297"/>
      <c r="F110" s="1297"/>
      <c r="G110" s="1297"/>
      <c r="H110" s="1297"/>
      <c r="I110" s="1297"/>
      <c r="J110" s="1297"/>
      <c r="K110" s="1297"/>
      <c r="L110" s="1297"/>
      <c r="M110" s="1297"/>
      <c r="N110" s="1297"/>
      <c r="O110" s="1297"/>
      <c r="P110" s="1297"/>
      <c r="Q110" s="1297"/>
      <c r="R110" s="1297"/>
      <c r="S110" s="1297"/>
      <c r="T110" s="1297"/>
      <c r="U110" s="1297"/>
      <c r="V110" s="1297"/>
      <c r="W110" s="1297"/>
      <c r="X110" s="1297"/>
      <c r="Y110" s="1297"/>
      <c r="Z110" s="1297"/>
      <c r="AA110" s="1297"/>
      <c r="AB110" s="1297"/>
      <c r="AC110" s="1297"/>
      <c r="AD110" s="1297"/>
      <c r="AE110" s="1297"/>
      <c r="AF110" s="1297"/>
      <c r="AG110" s="1297"/>
      <c r="AH110" s="1297"/>
      <c r="AI110" s="1297"/>
      <c r="AJ110" s="1297"/>
      <c r="AK110" s="1297"/>
      <c r="AL110" s="1297"/>
      <c r="AM110" s="1297"/>
      <c r="AN110" s="1297"/>
      <c r="AO110" s="1297"/>
      <c r="AP110" s="1298"/>
      <c r="AQ110" s="1298"/>
    </row>
    <row r="111" spans="1:45" ht="16.5" customHeight="1" thickBot="1">
      <c r="B111" s="2875" t="s">
        <v>609</v>
      </c>
      <c r="C111" s="2876"/>
      <c r="D111" s="2877"/>
      <c r="E111" s="2877"/>
      <c r="F111" s="2878"/>
      <c r="G111" s="2879"/>
      <c r="H111" s="3032" t="s">
        <v>1185</v>
      </c>
      <c r="I111" s="3033"/>
      <c r="J111" s="3033"/>
      <c r="K111" s="3033"/>
      <c r="L111" s="3033"/>
      <c r="M111" s="3033"/>
      <c r="N111" s="3033"/>
      <c r="O111" s="3033"/>
      <c r="P111" s="3033"/>
      <c r="Q111" s="3033"/>
      <c r="R111" s="3033"/>
      <c r="S111" s="3033"/>
      <c r="T111" s="3033"/>
      <c r="U111" s="3033"/>
      <c r="V111" s="3033"/>
      <c r="W111" s="3033"/>
      <c r="X111" s="2900" t="s">
        <v>1186</v>
      </c>
      <c r="Y111" s="3034"/>
      <c r="Z111" s="3034"/>
      <c r="AA111" s="3034"/>
      <c r="AB111" s="3034"/>
      <c r="AC111" s="3034"/>
      <c r="AD111" s="3035"/>
      <c r="AE111" s="3035"/>
      <c r="AF111" s="3035"/>
      <c r="AG111" s="3035"/>
      <c r="AH111" s="3035"/>
      <c r="AI111" s="3035"/>
      <c r="AJ111" s="3036"/>
      <c r="AK111" s="3042" t="s">
        <v>1048</v>
      </c>
      <c r="AL111" s="3043"/>
      <c r="AM111" s="3043"/>
      <c r="AN111" s="3043"/>
      <c r="AO111" s="3043"/>
      <c r="AP111" s="3044"/>
      <c r="AQ111" s="1441"/>
    </row>
    <row r="112" spans="1:45" ht="26.25" customHeight="1" thickBot="1">
      <c r="B112" s="2886" t="s">
        <v>1049</v>
      </c>
      <c r="C112" s="2886" t="s">
        <v>936</v>
      </c>
      <c r="D112" s="2889" t="s">
        <v>937</v>
      </c>
      <c r="E112" s="2892" t="s">
        <v>1050</v>
      </c>
      <c r="F112" s="2895" t="s">
        <v>1051</v>
      </c>
      <c r="G112" s="2897" t="s">
        <v>1052</v>
      </c>
      <c r="H112" s="2924" t="s">
        <v>1053</v>
      </c>
      <c r="I112" s="2925"/>
      <c r="J112" s="2926"/>
      <c r="K112" s="2906" t="s">
        <v>1054</v>
      </c>
      <c r="L112" s="2927"/>
      <c r="M112" s="2927"/>
      <c r="N112" s="2927"/>
      <c r="O112" s="2928" t="s">
        <v>1055</v>
      </c>
      <c r="P112" s="3048"/>
      <c r="Q112" s="3048"/>
      <c r="R112" s="3048"/>
      <c r="S112" s="3049"/>
      <c r="T112" s="2929" t="s">
        <v>1056</v>
      </c>
      <c r="U112" s="2929" t="s">
        <v>823</v>
      </c>
      <c r="V112" s="3053" t="s">
        <v>986</v>
      </c>
      <c r="W112" s="2901" t="s">
        <v>1143</v>
      </c>
      <c r="X112" s="3058" t="s">
        <v>1053</v>
      </c>
      <c r="Y112" s="3059"/>
      <c r="Z112" s="3060"/>
      <c r="AA112" s="3061" t="s">
        <v>1054</v>
      </c>
      <c r="AB112" s="3062"/>
      <c r="AC112" s="3063"/>
      <c r="AD112" s="3050" t="s">
        <v>1058</v>
      </c>
      <c r="AE112" s="3051"/>
      <c r="AF112" s="3051"/>
      <c r="AG112" s="3051"/>
      <c r="AH112" s="3051"/>
      <c r="AI112" s="3051"/>
      <c r="AJ112" s="3052"/>
      <c r="AK112" s="3045"/>
      <c r="AL112" s="3046"/>
      <c r="AM112" s="3046"/>
      <c r="AN112" s="3046"/>
      <c r="AO112" s="3046"/>
      <c r="AP112" s="3047"/>
      <c r="AQ112" s="1442"/>
    </row>
    <row r="113" spans="2:43" ht="15" customHeight="1">
      <c r="B113" s="2887"/>
      <c r="C113" s="2887"/>
      <c r="D113" s="2890"/>
      <c r="E113" s="2893"/>
      <c r="F113" s="3695"/>
      <c r="G113" s="2898"/>
      <c r="H113" s="2912" t="s">
        <v>939</v>
      </c>
      <c r="I113" s="2913"/>
      <c r="J113" s="2918" t="s">
        <v>1059</v>
      </c>
      <c r="K113" s="2918" t="s">
        <v>1060</v>
      </c>
      <c r="L113" s="2918" t="s">
        <v>1061</v>
      </c>
      <c r="M113" s="2918" t="s">
        <v>1062</v>
      </c>
      <c r="N113" s="2921" t="s">
        <v>1063</v>
      </c>
      <c r="O113" s="2922" t="s">
        <v>1064</v>
      </c>
      <c r="P113" s="2922" t="s">
        <v>1065</v>
      </c>
      <c r="Q113" s="2922" t="s">
        <v>1066</v>
      </c>
      <c r="R113" s="2922" t="s">
        <v>1067</v>
      </c>
      <c r="S113" s="2922" t="s">
        <v>1068</v>
      </c>
      <c r="T113" s="2930"/>
      <c r="U113" s="2930"/>
      <c r="V113" s="3054"/>
      <c r="W113" s="3056"/>
      <c r="X113" s="2948" t="s">
        <v>990</v>
      </c>
      <c r="Y113" s="2949"/>
      <c r="Z113" s="2954" t="s">
        <v>1069</v>
      </c>
      <c r="AA113" s="2918" t="s">
        <v>1070</v>
      </c>
      <c r="AB113" s="2918" t="s">
        <v>1061</v>
      </c>
      <c r="AC113" s="2918" t="s">
        <v>1071</v>
      </c>
      <c r="AD113" s="2929" t="s">
        <v>1072</v>
      </c>
      <c r="AE113" s="2929" t="s">
        <v>1073</v>
      </c>
      <c r="AF113" s="2929" t="s">
        <v>1074</v>
      </c>
      <c r="AG113" s="2945" t="s">
        <v>1075</v>
      </c>
      <c r="AH113" s="2945" t="s">
        <v>822</v>
      </c>
      <c r="AI113" s="2929" t="s">
        <v>1076</v>
      </c>
      <c r="AJ113" s="2929" t="s">
        <v>1057</v>
      </c>
      <c r="AK113" s="2929" t="s">
        <v>1072</v>
      </c>
      <c r="AL113" s="2929" t="s">
        <v>1073</v>
      </c>
      <c r="AM113" s="2929" t="s">
        <v>1074</v>
      </c>
      <c r="AN113" s="2945" t="s">
        <v>1075</v>
      </c>
      <c r="AO113" s="2945" t="s">
        <v>822</v>
      </c>
      <c r="AP113" s="2929" t="s">
        <v>1076</v>
      </c>
      <c r="AQ113" s="2929" t="s">
        <v>1057</v>
      </c>
    </row>
    <row r="114" spans="2:43" ht="15" customHeight="1">
      <c r="B114" s="2887"/>
      <c r="C114" s="2887"/>
      <c r="D114" s="2890"/>
      <c r="E114" s="2893"/>
      <c r="F114" s="3695"/>
      <c r="G114" s="2898"/>
      <c r="H114" s="2914"/>
      <c r="I114" s="2915"/>
      <c r="J114" s="2919"/>
      <c r="K114" s="2919"/>
      <c r="L114" s="2919"/>
      <c r="M114" s="2919"/>
      <c r="N114" s="2922"/>
      <c r="O114" s="2922"/>
      <c r="P114" s="2922"/>
      <c r="Q114" s="2922"/>
      <c r="R114" s="2922"/>
      <c r="S114" s="2922"/>
      <c r="T114" s="2930"/>
      <c r="U114" s="2930"/>
      <c r="V114" s="3054"/>
      <c r="W114" s="3056"/>
      <c r="X114" s="2950"/>
      <c r="Y114" s="2951"/>
      <c r="Z114" s="2955"/>
      <c r="AA114" s="2919"/>
      <c r="AB114" s="2919"/>
      <c r="AC114" s="2919"/>
      <c r="AD114" s="2932"/>
      <c r="AE114" s="2932"/>
      <c r="AF114" s="2932"/>
      <c r="AG114" s="2946"/>
      <c r="AH114" s="2946"/>
      <c r="AI114" s="2932"/>
      <c r="AJ114" s="2932"/>
      <c r="AK114" s="2932"/>
      <c r="AL114" s="2932"/>
      <c r="AM114" s="2932"/>
      <c r="AN114" s="2946"/>
      <c r="AO114" s="2946"/>
      <c r="AP114" s="2932"/>
      <c r="AQ114" s="2932"/>
    </row>
    <row r="115" spans="2:43" ht="21.75" customHeight="1" thickBot="1">
      <c r="B115" s="2888"/>
      <c r="C115" s="2888"/>
      <c r="D115" s="2891"/>
      <c r="E115" s="2894"/>
      <c r="F115" s="2896"/>
      <c r="G115" s="2899"/>
      <c r="H115" s="2916"/>
      <c r="I115" s="2917"/>
      <c r="J115" s="2920"/>
      <c r="K115" s="2920"/>
      <c r="L115" s="2920"/>
      <c r="M115" s="2920"/>
      <c r="N115" s="2923"/>
      <c r="O115" s="2923"/>
      <c r="P115" s="2923"/>
      <c r="Q115" s="2923"/>
      <c r="R115" s="2923"/>
      <c r="S115" s="2923"/>
      <c r="T115" s="2931"/>
      <c r="U115" s="2931"/>
      <c r="V115" s="3055"/>
      <c r="W115" s="3057"/>
      <c r="X115" s="2952"/>
      <c r="Y115" s="2953"/>
      <c r="Z115" s="2956"/>
      <c r="AA115" s="2920"/>
      <c r="AB115" s="2920"/>
      <c r="AC115" s="2920"/>
      <c r="AD115" s="2933"/>
      <c r="AE115" s="2933"/>
      <c r="AF115" s="2933"/>
      <c r="AG115" s="2947"/>
      <c r="AH115" s="2947"/>
      <c r="AI115" s="2933"/>
      <c r="AJ115" s="2933"/>
      <c r="AK115" s="2933"/>
      <c r="AL115" s="2933"/>
      <c r="AM115" s="2933"/>
      <c r="AN115" s="2947"/>
      <c r="AO115" s="2947"/>
      <c r="AP115" s="2933"/>
      <c r="AQ115" s="2933"/>
    </row>
    <row r="116" spans="2:43" s="1548" customFormat="1" ht="26.25" customHeight="1" thickBot="1">
      <c r="B116" s="1540" t="s">
        <v>1187</v>
      </c>
      <c r="C116" s="2315">
        <v>15661</v>
      </c>
      <c r="D116" s="2315">
        <v>1</v>
      </c>
      <c r="E116" s="1541" t="s">
        <v>1188</v>
      </c>
      <c r="F116" s="1541" t="s">
        <v>1078</v>
      </c>
      <c r="G116" s="1542">
        <v>12112</v>
      </c>
      <c r="H116" s="3078" t="s">
        <v>1079</v>
      </c>
      <c r="I116" s="3079"/>
      <c r="J116" s="2315" t="s">
        <v>1080</v>
      </c>
      <c r="K116" s="2315">
        <v>1.25</v>
      </c>
      <c r="L116" s="1543">
        <v>1</v>
      </c>
      <c r="M116" s="1543">
        <v>2</v>
      </c>
      <c r="N116" s="1543">
        <v>0.13</v>
      </c>
      <c r="O116" s="1542">
        <v>1601</v>
      </c>
      <c r="P116" s="1542">
        <v>1601</v>
      </c>
      <c r="Q116" s="1542">
        <v>0</v>
      </c>
      <c r="R116" s="1542">
        <v>0</v>
      </c>
      <c r="S116" s="2315">
        <v>0</v>
      </c>
      <c r="T116" s="2315">
        <v>0</v>
      </c>
      <c r="U116" s="2315">
        <v>0</v>
      </c>
      <c r="V116" s="1544" t="s">
        <v>884</v>
      </c>
      <c r="W116" s="2315">
        <v>10</v>
      </c>
      <c r="X116" s="3080" t="s">
        <v>1082</v>
      </c>
      <c r="Y116" s="3080"/>
      <c r="Z116" s="2316" t="s">
        <v>706</v>
      </c>
      <c r="AA116" s="2315">
        <v>3.6</v>
      </c>
      <c r="AB116" s="2315">
        <v>2</v>
      </c>
      <c r="AC116" s="2315">
        <v>3</v>
      </c>
      <c r="AD116" s="1545">
        <f>'[2]Potential Site Summary'!J3</f>
        <v>5610</v>
      </c>
      <c r="AE116" s="1545">
        <v>0</v>
      </c>
      <c r="AF116" s="1545">
        <f>'[2]Potential Site Summary'!F3</f>
        <v>37800</v>
      </c>
      <c r="AG116" s="1545">
        <f t="shared" ref="AG116:AG124" si="18">ROUND(AF116/1000, 0)</f>
        <v>38</v>
      </c>
      <c r="AH116" s="1545">
        <f t="shared" ref="AH116:AH125" si="19">AG116*0.3</f>
        <v>11.4</v>
      </c>
      <c r="AI116" s="1545">
        <f t="shared" ref="AI116:AI124" si="20">SUM(AD116:AF116)</f>
        <v>43410</v>
      </c>
      <c r="AJ116" s="1546">
        <f>'[2]Potential Site Summary'!L3</f>
        <v>13.702499999999997</v>
      </c>
      <c r="AK116" s="1545">
        <f t="shared" ref="AK116:AK124" si="21">AD116-P116</f>
        <v>4009</v>
      </c>
      <c r="AL116" s="1545">
        <f t="shared" ref="AL116:AL124" si="22">AE116</f>
        <v>0</v>
      </c>
      <c r="AM116" s="1545">
        <f t="shared" ref="AM116:AO124" si="23">AF116-S116</f>
        <v>37800</v>
      </c>
      <c r="AN116" s="1545">
        <f t="shared" si="23"/>
        <v>38</v>
      </c>
      <c r="AO116" s="1545">
        <f t="shared" si="23"/>
        <v>11.4</v>
      </c>
      <c r="AP116" s="1546">
        <f t="shared" ref="AP116:AP124" si="24">AI116-O116</f>
        <v>41809</v>
      </c>
      <c r="AQ116" s="1547">
        <f t="shared" ref="AQ116:AQ124" si="25">AJ116-W116</f>
        <v>3.702499999999997</v>
      </c>
    </row>
    <row r="117" spans="2:43" s="1548" customFormat="1" ht="26.25" customHeight="1" thickBot="1">
      <c r="B117" s="1549" t="s">
        <v>848</v>
      </c>
      <c r="C117" s="2313">
        <v>15709</v>
      </c>
      <c r="D117" s="2313">
        <v>101</v>
      </c>
      <c r="E117" s="1550" t="s">
        <v>1189</v>
      </c>
      <c r="F117" s="1550" t="s">
        <v>1078</v>
      </c>
      <c r="G117" s="1551">
        <v>19600</v>
      </c>
      <c r="H117" s="3081" t="s">
        <v>1079</v>
      </c>
      <c r="I117" s="3082"/>
      <c r="J117" s="2313" t="s">
        <v>1080</v>
      </c>
      <c r="K117" s="2313">
        <v>1.25</v>
      </c>
      <c r="L117" s="1552">
        <v>1</v>
      </c>
      <c r="M117" s="1552">
        <v>2</v>
      </c>
      <c r="N117" s="1552">
        <v>0.21</v>
      </c>
      <c r="O117" s="1551">
        <v>4100</v>
      </c>
      <c r="P117" s="1551">
        <v>4100</v>
      </c>
      <c r="Q117" s="1551">
        <v>0</v>
      </c>
      <c r="R117" s="1551">
        <v>0</v>
      </c>
      <c r="S117" s="2313">
        <v>0</v>
      </c>
      <c r="T117" s="2313">
        <v>0</v>
      </c>
      <c r="U117" s="2313">
        <v>0</v>
      </c>
      <c r="V117" s="1553" t="s">
        <v>884</v>
      </c>
      <c r="W117" s="2313">
        <v>15</v>
      </c>
      <c r="X117" s="3083" t="s">
        <v>1082</v>
      </c>
      <c r="Y117" s="3083"/>
      <c r="Z117" s="2314" t="s">
        <v>706</v>
      </c>
      <c r="AA117" s="2313">
        <v>3.6</v>
      </c>
      <c r="AB117" s="2313">
        <v>2</v>
      </c>
      <c r="AC117" s="2313">
        <v>3</v>
      </c>
      <c r="AD117" s="1554">
        <f>'[2]Potential Site Summary'!J5</f>
        <v>8075</v>
      </c>
      <c r="AE117" s="1554">
        <v>0</v>
      </c>
      <c r="AF117" s="1554">
        <f>'[2]Potential Site Summary'!F5</f>
        <v>62000</v>
      </c>
      <c r="AG117" s="1554">
        <f t="shared" si="18"/>
        <v>62</v>
      </c>
      <c r="AH117" s="1554">
        <f t="shared" si="19"/>
        <v>18.599999999999998</v>
      </c>
      <c r="AI117" s="1554">
        <f t="shared" si="20"/>
        <v>70075</v>
      </c>
      <c r="AJ117" s="1555">
        <f>'[2]Potential Site Summary'!L5</f>
        <v>22.475000000000001</v>
      </c>
      <c r="AK117" s="1554">
        <f t="shared" si="21"/>
        <v>3975</v>
      </c>
      <c r="AL117" s="1554">
        <f t="shared" si="22"/>
        <v>0</v>
      </c>
      <c r="AM117" s="1554">
        <f t="shared" si="23"/>
        <v>62000</v>
      </c>
      <c r="AN117" s="1554">
        <f t="shared" si="23"/>
        <v>62</v>
      </c>
      <c r="AO117" s="1554">
        <f t="shared" si="23"/>
        <v>18.599999999999998</v>
      </c>
      <c r="AP117" s="1555">
        <f t="shared" si="24"/>
        <v>65975</v>
      </c>
      <c r="AQ117" s="1556">
        <f t="shared" si="25"/>
        <v>7.4750000000000014</v>
      </c>
    </row>
    <row r="118" spans="2:43" s="1548" customFormat="1" ht="26.25" customHeight="1" thickBot="1">
      <c r="B118" s="1540" t="s">
        <v>850</v>
      </c>
      <c r="C118" s="2315">
        <v>15709</v>
      </c>
      <c r="D118" s="2315">
        <v>109</v>
      </c>
      <c r="E118" s="1541" t="s">
        <v>1190</v>
      </c>
      <c r="F118" s="1541" t="s">
        <v>1088</v>
      </c>
      <c r="G118" s="1542">
        <v>21278</v>
      </c>
      <c r="H118" s="3078" t="s">
        <v>1079</v>
      </c>
      <c r="I118" s="3079"/>
      <c r="J118" s="2315" t="s">
        <v>1080</v>
      </c>
      <c r="K118" s="2315">
        <v>1.25</v>
      </c>
      <c r="L118" s="1543">
        <v>0</v>
      </c>
      <c r="M118" s="1543">
        <v>2</v>
      </c>
      <c r="N118" s="1543">
        <v>0.23</v>
      </c>
      <c r="O118" s="1542">
        <v>6050</v>
      </c>
      <c r="P118" s="1542">
        <v>6050</v>
      </c>
      <c r="Q118" s="1542">
        <v>0</v>
      </c>
      <c r="R118" s="1542">
        <v>0</v>
      </c>
      <c r="S118" s="2315">
        <v>0</v>
      </c>
      <c r="T118" s="2315">
        <v>0</v>
      </c>
      <c r="U118" s="2315">
        <v>0</v>
      </c>
      <c r="V118" s="1544" t="s">
        <v>1191</v>
      </c>
      <c r="W118" s="2315">
        <v>0</v>
      </c>
      <c r="X118" s="3080" t="s">
        <v>1106</v>
      </c>
      <c r="Y118" s="3080"/>
      <c r="Z118" s="2316" t="s">
        <v>706</v>
      </c>
      <c r="AA118" s="1544" t="s">
        <v>1108</v>
      </c>
      <c r="AB118" s="1557" t="s">
        <v>1192</v>
      </c>
      <c r="AC118" s="2315">
        <v>3</v>
      </c>
      <c r="AD118" s="1545">
        <f>'[2]Potential Site Summary'!J7</f>
        <v>9350</v>
      </c>
      <c r="AE118" s="1545">
        <v>0</v>
      </c>
      <c r="AF118" s="1545">
        <f>'[2]Potential Site Summary'!F7</f>
        <v>85000</v>
      </c>
      <c r="AG118" s="1545">
        <f t="shared" si="18"/>
        <v>85</v>
      </c>
      <c r="AH118" s="1545">
        <f t="shared" si="19"/>
        <v>25.5</v>
      </c>
      <c r="AI118" s="1545">
        <f t="shared" si="20"/>
        <v>94350</v>
      </c>
      <c r="AJ118" s="1546">
        <f>'[2]Potential Site Summary'!L7</f>
        <v>31.875</v>
      </c>
      <c r="AK118" s="1545">
        <f t="shared" si="21"/>
        <v>3300</v>
      </c>
      <c r="AL118" s="1545">
        <f t="shared" si="22"/>
        <v>0</v>
      </c>
      <c r="AM118" s="1545">
        <f t="shared" si="23"/>
        <v>85000</v>
      </c>
      <c r="AN118" s="1545">
        <f t="shared" si="23"/>
        <v>85</v>
      </c>
      <c r="AO118" s="1545">
        <f t="shared" si="23"/>
        <v>25.5</v>
      </c>
      <c r="AP118" s="1546">
        <f t="shared" si="24"/>
        <v>88300</v>
      </c>
      <c r="AQ118" s="1547">
        <f t="shared" si="25"/>
        <v>31.875</v>
      </c>
    </row>
    <row r="119" spans="2:43" s="1548" customFormat="1" ht="26.25" customHeight="1" thickBot="1">
      <c r="B119" s="1549" t="s">
        <v>851</v>
      </c>
      <c r="C119" s="2313">
        <v>15528</v>
      </c>
      <c r="D119" s="2313">
        <v>5</v>
      </c>
      <c r="E119" s="1550" t="s">
        <v>1193</v>
      </c>
      <c r="F119" s="1550" t="s">
        <v>1088</v>
      </c>
      <c r="G119" s="1551">
        <v>10500</v>
      </c>
      <c r="H119" s="3081" t="s">
        <v>1079</v>
      </c>
      <c r="I119" s="3082"/>
      <c r="J119" s="2313" t="s">
        <v>1080</v>
      </c>
      <c r="K119" s="2313">
        <v>1.25</v>
      </c>
      <c r="L119" s="1552">
        <v>1</v>
      </c>
      <c r="M119" s="1552">
        <v>2</v>
      </c>
      <c r="N119" s="1552">
        <v>0.13</v>
      </c>
      <c r="O119" s="1551">
        <v>1400</v>
      </c>
      <c r="P119" s="1551">
        <v>1400</v>
      </c>
      <c r="Q119" s="1551">
        <v>0</v>
      </c>
      <c r="R119" s="1551">
        <v>0</v>
      </c>
      <c r="S119" s="2313">
        <v>0</v>
      </c>
      <c r="T119" s="2313">
        <v>0</v>
      </c>
      <c r="U119" s="2313">
        <v>0</v>
      </c>
      <c r="V119" s="1553" t="s">
        <v>884</v>
      </c>
      <c r="W119" s="2313">
        <v>10</v>
      </c>
      <c r="X119" s="3083" t="s">
        <v>1082</v>
      </c>
      <c r="Y119" s="3083"/>
      <c r="Z119" s="2314" t="s">
        <v>706</v>
      </c>
      <c r="AA119" s="2313">
        <v>3.6</v>
      </c>
      <c r="AB119" s="2313">
        <v>2</v>
      </c>
      <c r="AC119" s="2313">
        <v>3</v>
      </c>
      <c r="AD119" s="1554">
        <f>'[2]Potential Site Summary'!J9</f>
        <v>3825</v>
      </c>
      <c r="AE119" s="1554">
        <v>0</v>
      </c>
      <c r="AF119" s="1554">
        <f>'[2]Potential Site Summary'!F9</f>
        <v>28400</v>
      </c>
      <c r="AG119" s="1554">
        <f t="shared" si="18"/>
        <v>28</v>
      </c>
      <c r="AH119" s="1554">
        <f t="shared" si="19"/>
        <v>8.4</v>
      </c>
      <c r="AI119" s="1554">
        <f t="shared" si="20"/>
        <v>32225</v>
      </c>
      <c r="AJ119" s="1555">
        <f>'[2]Potential Site Summary'!L9</f>
        <v>10.294999999999998</v>
      </c>
      <c r="AK119" s="1554">
        <f t="shared" si="21"/>
        <v>2425</v>
      </c>
      <c r="AL119" s="1554">
        <f t="shared" si="22"/>
        <v>0</v>
      </c>
      <c r="AM119" s="1554">
        <f t="shared" si="23"/>
        <v>28400</v>
      </c>
      <c r="AN119" s="1554">
        <f t="shared" si="23"/>
        <v>28</v>
      </c>
      <c r="AO119" s="1554">
        <f t="shared" si="23"/>
        <v>8.4</v>
      </c>
      <c r="AP119" s="1555">
        <f t="shared" si="24"/>
        <v>30825</v>
      </c>
      <c r="AQ119" s="1556">
        <f t="shared" si="25"/>
        <v>0.29499999999999815</v>
      </c>
    </row>
    <row r="120" spans="2:43" s="1548" customFormat="1" ht="26.25" customHeight="1" thickBot="1">
      <c r="B120" s="1540" t="s">
        <v>1001</v>
      </c>
      <c r="C120" s="2315">
        <v>15564</v>
      </c>
      <c r="D120" s="2315">
        <v>45</v>
      </c>
      <c r="E120" s="1541" t="s">
        <v>1194</v>
      </c>
      <c r="F120" s="1541" t="s">
        <v>1088</v>
      </c>
      <c r="G120" s="1542">
        <v>11107</v>
      </c>
      <c r="H120" s="3078" t="s">
        <v>1079</v>
      </c>
      <c r="I120" s="3079"/>
      <c r="J120" s="2315"/>
      <c r="K120" s="2315">
        <v>1.25</v>
      </c>
      <c r="L120" s="1543"/>
      <c r="M120" s="1543">
        <v>2</v>
      </c>
      <c r="N120" s="1543">
        <v>0.82</v>
      </c>
      <c r="O120" s="1542">
        <v>9150</v>
      </c>
      <c r="P120" s="1542">
        <v>9150</v>
      </c>
      <c r="Q120" s="1542">
        <v>0</v>
      </c>
      <c r="R120" s="1542">
        <v>0</v>
      </c>
      <c r="S120" s="2315">
        <v>0</v>
      </c>
      <c r="T120" s="2315">
        <v>0</v>
      </c>
      <c r="U120" s="2315">
        <v>0</v>
      </c>
      <c r="V120" s="1544" t="s">
        <v>637</v>
      </c>
      <c r="W120" s="2315">
        <v>0</v>
      </c>
      <c r="X120" s="3080" t="s">
        <v>1082</v>
      </c>
      <c r="Y120" s="3080"/>
      <c r="Z120" s="2316" t="s">
        <v>706</v>
      </c>
      <c r="AA120" s="2315">
        <v>3.6</v>
      </c>
      <c r="AB120" s="2315">
        <v>2</v>
      </c>
      <c r="AC120" s="2315">
        <v>3</v>
      </c>
      <c r="AD120" s="1545">
        <f>'[2]Potential Site Summary'!J11</f>
        <v>5865</v>
      </c>
      <c r="AE120" s="1545"/>
      <c r="AF120" s="1545">
        <f>'[2]Potential Site Summary'!F11</f>
        <v>34000</v>
      </c>
      <c r="AG120" s="1545">
        <f t="shared" si="18"/>
        <v>34</v>
      </c>
      <c r="AH120" s="1545">
        <f t="shared" si="19"/>
        <v>10.199999999999999</v>
      </c>
      <c r="AI120" s="1545">
        <f t="shared" si="20"/>
        <v>39865</v>
      </c>
      <c r="AJ120" s="1546">
        <f>'[2]Potential Site Summary'!L11</f>
        <v>12.324999999999999</v>
      </c>
      <c r="AK120" s="1545">
        <f t="shared" si="21"/>
        <v>-3285</v>
      </c>
      <c r="AL120" s="1545">
        <f t="shared" si="22"/>
        <v>0</v>
      </c>
      <c r="AM120" s="1545">
        <f t="shared" si="23"/>
        <v>34000</v>
      </c>
      <c r="AN120" s="1545">
        <f t="shared" si="23"/>
        <v>34</v>
      </c>
      <c r="AO120" s="1545">
        <f t="shared" si="23"/>
        <v>10.199999999999999</v>
      </c>
      <c r="AP120" s="1546">
        <f t="shared" si="24"/>
        <v>30715</v>
      </c>
      <c r="AQ120" s="1547">
        <f t="shared" si="25"/>
        <v>12.324999999999999</v>
      </c>
    </row>
    <row r="121" spans="2:43" s="1548" customFormat="1" ht="26.25" customHeight="1" thickBot="1">
      <c r="B121" s="1549" t="s">
        <v>1004</v>
      </c>
      <c r="C121" s="2313">
        <v>15561</v>
      </c>
      <c r="D121" s="2313">
        <v>34</v>
      </c>
      <c r="E121" s="1550" t="s">
        <v>1195</v>
      </c>
      <c r="F121" s="1550" t="s">
        <v>1088</v>
      </c>
      <c r="G121" s="1551">
        <v>23048</v>
      </c>
      <c r="H121" s="3081" t="s">
        <v>1097</v>
      </c>
      <c r="I121" s="3082"/>
      <c r="J121" s="2313" t="s">
        <v>1100</v>
      </c>
      <c r="K121" s="2313">
        <v>1.25</v>
      </c>
      <c r="L121" s="1552">
        <v>0</v>
      </c>
      <c r="M121" s="1552">
        <v>2</v>
      </c>
      <c r="N121" s="1552">
        <v>0.45</v>
      </c>
      <c r="O121" s="1551">
        <v>10400</v>
      </c>
      <c r="P121" s="1551">
        <v>10400</v>
      </c>
      <c r="Q121" s="1551">
        <v>0</v>
      </c>
      <c r="R121" s="1551">
        <v>0</v>
      </c>
      <c r="S121" s="2313">
        <v>0</v>
      </c>
      <c r="T121" s="2313">
        <v>0</v>
      </c>
      <c r="U121" s="2313">
        <v>0</v>
      </c>
      <c r="V121" s="1553" t="s">
        <v>637</v>
      </c>
      <c r="W121" s="2313">
        <v>15</v>
      </c>
      <c r="X121" s="3083" t="s">
        <v>1082</v>
      </c>
      <c r="Y121" s="3083"/>
      <c r="Z121" s="2314" t="s">
        <v>706</v>
      </c>
      <c r="AA121" s="2313">
        <v>2.42</v>
      </c>
      <c r="AB121" s="2313">
        <v>2</v>
      </c>
      <c r="AC121" s="2313">
        <v>6.5</v>
      </c>
      <c r="AD121" s="1554">
        <f>'[2]Potential Site Summary'!J13</f>
        <v>10880</v>
      </c>
      <c r="AE121" s="1554">
        <f>'[2]Potential Site Summary'!I13</f>
        <v>5500</v>
      </c>
      <c r="AF121" s="1554">
        <f>'[2]Potential Site Summary'!F13</f>
        <v>66400</v>
      </c>
      <c r="AG121" s="1554">
        <f t="shared" si="18"/>
        <v>66</v>
      </c>
      <c r="AH121" s="1554">
        <f t="shared" si="19"/>
        <v>19.8</v>
      </c>
      <c r="AI121" s="1554">
        <f t="shared" si="20"/>
        <v>82780</v>
      </c>
      <c r="AJ121" s="1555">
        <f>'[2]Potential Site Summary'!L13</f>
        <v>24.070000000000004</v>
      </c>
      <c r="AK121" s="1554">
        <f t="shared" si="21"/>
        <v>480</v>
      </c>
      <c r="AL121" s="1554">
        <f t="shared" si="22"/>
        <v>5500</v>
      </c>
      <c r="AM121" s="1554">
        <f t="shared" si="23"/>
        <v>66400</v>
      </c>
      <c r="AN121" s="1554">
        <f t="shared" si="23"/>
        <v>66</v>
      </c>
      <c r="AO121" s="1554">
        <f t="shared" si="23"/>
        <v>19.8</v>
      </c>
      <c r="AP121" s="1555">
        <f t="shared" si="24"/>
        <v>72380</v>
      </c>
      <c r="AQ121" s="1556">
        <f t="shared" si="25"/>
        <v>9.0700000000000038</v>
      </c>
    </row>
    <row r="122" spans="2:43" ht="45" customHeight="1" thickBot="1">
      <c r="B122" s="1540" t="s">
        <v>1006</v>
      </c>
      <c r="C122" s="2315">
        <v>15544</v>
      </c>
      <c r="D122" s="2315">
        <v>40</v>
      </c>
      <c r="E122" s="1541" t="s">
        <v>1196</v>
      </c>
      <c r="F122" s="1541" t="s">
        <v>1088</v>
      </c>
      <c r="G122" s="1542">
        <v>10950</v>
      </c>
      <c r="H122" s="3078" t="s">
        <v>1084</v>
      </c>
      <c r="I122" s="3079"/>
      <c r="J122" s="2315"/>
      <c r="K122" s="2315">
        <v>0</v>
      </c>
      <c r="L122" s="1543">
        <v>1</v>
      </c>
      <c r="M122" s="1543">
        <v>2.4</v>
      </c>
      <c r="N122" s="1543">
        <v>0.13</v>
      </c>
      <c r="O122" s="1542">
        <v>1440</v>
      </c>
      <c r="P122" s="1542">
        <v>1440</v>
      </c>
      <c r="Q122" s="1542">
        <v>0</v>
      </c>
      <c r="R122" s="1542">
        <v>0</v>
      </c>
      <c r="S122" s="2315">
        <v>0</v>
      </c>
      <c r="T122" s="2315">
        <v>0</v>
      </c>
      <c r="U122" s="2315">
        <v>0</v>
      </c>
      <c r="V122" s="1544" t="s">
        <v>637</v>
      </c>
      <c r="W122" s="2315">
        <v>15</v>
      </c>
      <c r="X122" s="3080" t="s">
        <v>1082</v>
      </c>
      <c r="Y122" s="3080"/>
      <c r="Z122" s="2316" t="s">
        <v>706</v>
      </c>
      <c r="AA122" s="2315">
        <v>3.6</v>
      </c>
      <c r="AB122" s="2315">
        <v>2</v>
      </c>
      <c r="AC122" s="2315">
        <v>6.5</v>
      </c>
      <c r="AD122" s="1545">
        <f>'[2]Potential Site Summary'!J15</f>
        <v>4675</v>
      </c>
      <c r="AE122" s="1545"/>
      <c r="AF122" s="1545">
        <f>'[2]Potential Site Summary'!F15</f>
        <v>34700</v>
      </c>
      <c r="AG122" s="1545">
        <f t="shared" si="18"/>
        <v>35</v>
      </c>
      <c r="AH122" s="1545">
        <f t="shared" si="19"/>
        <v>10.5</v>
      </c>
      <c r="AI122" s="1545">
        <f t="shared" si="20"/>
        <v>39375</v>
      </c>
      <c r="AJ122" s="1546">
        <f>'[2]Potential Site Summary'!L15</f>
        <v>12.578749999999999</v>
      </c>
      <c r="AK122" s="1545">
        <f t="shared" si="21"/>
        <v>3235</v>
      </c>
      <c r="AL122" s="1545">
        <f t="shared" si="22"/>
        <v>0</v>
      </c>
      <c r="AM122" s="1545">
        <f t="shared" si="23"/>
        <v>34700</v>
      </c>
      <c r="AN122" s="1545">
        <f t="shared" si="23"/>
        <v>35</v>
      </c>
      <c r="AO122" s="1545">
        <f t="shared" si="23"/>
        <v>10.5</v>
      </c>
      <c r="AP122" s="1546">
        <f t="shared" si="24"/>
        <v>37935</v>
      </c>
      <c r="AQ122" s="1547">
        <f t="shared" si="25"/>
        <v>-2.4212500000000006</v>
      </c>
    </row>
    <row r="123" spans="2:43" ht="45" customHeight="1" thickBot="1">
      <c r="B123" s="1558" t="s">
        <v>1009</v>
      </c>
      <c r="C123" s="2313">
        <v>15535</v>
      </c>
      <c r="D123" s="2313">
        <v>1</v>
      </c>
      <c r="E123" s="1550" t="s">
        <v>1197</v>
      </c>
      <c r="F123" s="1550" t="s">
        <v>1088</v>
      </c>
      <c r="G123" s="1551">
        <v>10450</v>
      </c>
      <c r="H123" s="3081" t="s">
        <v>1079</v>
      </c>
      <c r="I123" s="3082"/>
      <c r="J123" s="2313" t="s">
        <v>1080</v>
      </c>
      <c r="K123" s="2313">
        <v>1.25</v>
      </c>
      <c r="L123" s="1552">
        <v>0</v>
      </c>
      <c r="M123" s="1552">
        <v>2</v>
      </c>
      <c r="N123" s="1552">
        <v>0.31</v>
      </c>
      <c r="O123" s="1551">
        <v>3200</v>
      </c>
      <c r="P123" s="1551">
        <v>3200</v>
      </c>
      <c r="Q123" s="1551">
        <v>0</v>
      </c>
      <c r="R123" s="1551">
        <v>0</v>
      </c>
      <c r="S123" s="2313">
        <v>0</v>
      </c>
      <c r="T123" s="2313">
        <v>0</v>
      </c>
      <c r="U123" s="2313">
        <v>0</v>
      </c>
      <c r="V123" s="1553" t="s">
        <v>1191</v>
      </c>
      <c r="W123" s="2313">
        <v>0</v>
      </c>
      <c r="X123" s="3083" t="s">
        <v>1082</v>
      </c>
      <c r="Y123" s="3083"/>
      <c r="Z123" s="2314" t="s">
        <v>706</v>
      </c>
      <c r="AA123" s="2313">
        <v>3.6</v>
      </c>
      <c r="AB123" s="2313">
        <v>2</v>
      </c>
      <c r="AC123" s="2313">
        <v>3</v>
      </c>
      <c r="AD123" s="1554">
        <f>'[2]Potential Site Summary'!J17</f>
        <v>5440</v>
      </c>
      <c r="AE123" s="1554">
        <v>0</v>
      </c>
      <c r="AF123" s="1554">
        <f>'[2]Potential Site Summary'!F17</f>
        <v>29600</v>
      </c>
      <c r="AG123" s="1554">
        <f t="shared" si="18"/>
        <v>30</v>
      </c>
      <c r="AH123" s="1554">
        <f t="shared" si="19"/>
        <v>9</v>
      </c>
      <c r="AI123" s="1554">
        <f t="shared" si="20"/>
        <v>35040</v>
      </c>
      <c r="AJ123" s="1555">
        <f>'[2]Potential Site Summary'!L17</f>
        <v>10.73</v>
      </c>
      <c r="AK123" s="1554">
        <f t="shared" si="21"/>
        <v>2240</v>
      </c>
      <c r="AL123" s="1554">
        <f t="shared" si="22"/>
        <v>0</v>
      </c>
      <c r="AM123" s="1554">
        <f t="shared" si="23"/>
        <v>29600</v>
      </c>
      <c r="AN123" s="1554">
        <f t="shared" si="23"/>
        <v>30</v>
      </c>
      <c r="AO123" s="1554">
        <f t="shared" si="23"/>
        <v>9</v>
      </c>
      <c r="AP123" s="1555">
        <f t="shared" si="24"/>
        <v>31840</v>
      </c>
      <c r="AQ123" s="1556">
        <f t="shared" si="25"/>
        <v>10.73</v>
      </c>
    </row>
    <row r="124" spans="2:43" ht="45" customHeight="1">
      <c r="B124" s="3084" t="s">
        <v>1011</v>
      </c>
      <c r="C124" s="2310">
        <v>15559</v>
      </c>
      <c r="D124" s="2310">
        <v>12</v>
      </c>
      <c r="E124" s="1559" t="s">
        <v>1198</v>
      </c>
      <c r="F124" s="1559" t="s">
        <v>1088</v>
      </c>
      <c r="G124" s="1560">
        <v>60650</v>
      </c>
      <c r="H124" s="3086" t="s">
        <v>1096</v>
      </c>
      <c r="I124" s="3087" t="s">
        <v>1084</v>
      </c>
      <c r="J124" s="2310"/>
      <c r="K124" s="2310">
        <v>2.4300000000000002</v>
      </c>
      <c r="L124" s="1561">
        <v>3.4</v>
      </c>
      <c r="M124" s="1561">
        <v>4.8</v>
      </c>
      <c r="N124" s="1561">
        <v>0.39</v>
      </c>
      <c r="O124" s="1560">
        <v>23368</v>
      </c>
      <c r="P124" s="1560">
        <v>23368</v>
      </c>
      <c r="Q124" s="1560">
        <v>0</v>
      </c>
      <c r="R124" s="1560">
        <v>0</v>
      </c>
      <c r="S124" s="2310">
        <v>0</v>
      </c>
      <c r="T124" s="2311">
        <v>0</v>
      </c>
      <c r="U124" s="2311">
        <v>0</v>
      </c>
      <c r="V124" s="3088" t="s">
        <v>1199</v>
      </c>
      <c r="W124" s="3089">
        <v>65</v>
      </c>
      <c r="X124" s="3090" t="s">
        <v>1082</v>
      </c>
      <c r="Y124" s="3090" t="s">
        <v>1086</v>
      </c>
      <c r="Z124" s="1562" t="s">
        <v>706</v>
      </c>
      <c r="AA124" s="2310">
        <v>3.6</v>
      </c>
      <c r="AB124" s="2310">
        <v>2</v>
      </c>
      <c r="AC124" s="2310">
        <v>3</v>
      </c>
      <c r="AD124" s="1563">
        <f>'[2]Potential Site Summary'!J19</f>
        <v>34775</v>
      </c>
      <c r="AE124" s="1563">
        <v>0</v>
      </c>
      <c r="AF124" s="1563">
        <f>'[2]Potential Site Summary'!F19</f>
        <v>174360</v>
      </c>
      <c r="AG124" s="1563">
        <f t="shared" si="18"/>
        <v>174</v>
      </c>
      <c r="AH124" s="1563">
        <f t="shared" si="19"/>
        <v>52.199999999999996</v>
      </c>
      <c r="AI124" s="1563">
        <f t="shared" si="20"/>
        <v>209135</v>
      </c>
      <c r="AJ124" s="1564">
        <f>'[2]Potential Site Summary'!L19</f>
        <v>63.205499999999994</v>
      </c>
      <c r="AK124" s="1563">
        <f t="shared" si="21"/>
        <v>11407</v>
      </c>
      <c r="AL124" s="1563">
        <f t="shared" si="22"/>
        <v>0</v>
      </c>
      <c r="AM124" s="1563">
        <f t="shared" si="23"/>
        <v>174360</v>
      </c>
      <c r="AN124" s="1563">
        <f t="shared" si="23"/>
        <v>174</v>
      </c>
      <c r="AO124" s="1563">
        <f t="shared" si="23"/>
        <v>52.199999999999996</v>
      </c>
      <c r="AP124" s="1564">
        <f t="shared" si="24"/>
        <v>185767</v>
      </c>
      <c r="AQ124" s="1565">
        <f t="shared" si="25"/>
        <v>-1.7945000000000064</v>
      </c>
    </row>
    <row r="125" spans="2:43" ht="45" customHeight="1" thickBot="1">
      <c r="B125" s="3085"/>
      <c r="C125" s="2312">
        <v>15559</v>
      </c>
      <c r="D125" s="2312">
        <v>54</v>
      </c>
      <c r="E125" s="1566" t="s">
        <v>1116</v>
      </c>
      <c r="F125" s="1566" t="s">
        <v>1088</v>
      </c>
      <c r="G125" s="1567">
        <v>10150</v>
      </c>
      <c r="H125" s="3091" t="s">
        <v>1096</v>
      </c>
      <c r="I125" s="3092" t="s">
        <v>1079</v>
      </c>
      <c r="J125" s="2312"/>
      <c r="K125" s="2312">
        <v>2.4300000000000002</v>
      </c>
      <c r="L125" s="1568">
        <v>3.4</v>
      </c>
      <c r="M125" s="1568">
        <v>4.8</v>
      </c>
      <c r="N125" s="1568">
        <v>0</v>
      </c>
      <c r="O125" s="1567">
        <v>0</v>
      </c>
      <c r="P125" s="1567">
        <v>0</v>
      </c>
      <c r="Q125" s="1567">
        <v>0</v>
      </c>
      <c r="R125" s="1567">
        <v>0</v>
      </c>
      <c r="S125" s="2312">
        <v>0</v>
      </c>
      <c r="T125" s="2312">
        <v>0</v>
      </c>
      <c r="U125" s="2312">
        <v>0</v>
      </c>
      <c r="V125" s="2963"/>
      <c r="W125" s="2963"/>
      <c r="X125" s="3093" t="s">
        <v>1082</v>
      </c>
      <c r="Y125" s="3093" t="s">
        <v>1086</v>
      </c>
      <c r="Z125" s="1569" t="s">
        <v>706</v>
      </c>
      <c r="AA125" s="2312">
        <v>3.6</v>
      </c>
      <c r="AB125" s="2312">
        <v>2</v>
      </c>
      <c r="AC125" s="2312">
        <v>3</v>
      </c>
      <c r="AD125" s="1570"/>
      <c r="AE125" s="1570"/>
      <c r="AF125" s="1570"/>
      <c r="AG125" s="1570"/>
      <c r="AH125" s="1571">
        <f t="shared" si="19"/>
        <v>0</v>
      </c>
      <c r="AI125" s="1570"/>
      <c r="AJ125" s="1572"/>
      <c r="AK125" s="1570"/>
      <c r="AL125" s="1570"/>
      <c r="AM125" s="1570"/>
      <c r="AN125" s="1570"/>
      <c r="AO125" s="1570">
        <f>AH125-U125</f>
        <v>0</v>
      </c>
      <c r="AP125" s="1572"/>
      <c r="AQ125" s="1573"/>
    </row>
    <row r="126" spans="2:43" s="1485" customFormat="1" ht="30.75" customHeight="1" thickBot="1">
      <c r="B126" s="1574" t="s">
        <v>1200</v>
      </c>
      <c r="C126" s="1575"/>
      <c r="D126" s="1576"/>
      <c r="E126" s="1577"/>
      <c r="F126" s="1577"/>
      <c r="G126" s="1578">
        <f>SUM(G116:G125)</f>
        <v>189845</v>
      </c>
      <c r="H126" s="1576"/>
      <c r="I126" s="1579"/>
      <c r="J126" s="1576"/>
      <c r="K126" s="1576"/>
      <c r="L126" s="1580"/>
      <c r="M126" s="1580"/>
      <c r="N126" s="1581"/>
      <c r="O126" s="1578">
        <f t="shared" ref="O126:U126" si="26">SUM(O116:O125)</f>
        <v>60709</v>
      </c>
      <c r="P126" s="1578">
        <f t="shared" si="26"/>
        <v>60709</v>
      </c>
      <c r="Q126" s="1578">
        <f t="shared" si="26"/>
        <v>0</v>
      </c>
      <c r="R126" s="1578">
        <f t="shared" si="26"/>
        <v>0</v>
      </c>
      <c r="S126" s="1578">
        <f t="shared" si="26"/>
        <v>0</v>
      </c>
      <c r="T126" s="1578">
        <f t="shared" si="26"/>
        <v>0</v>
      </c>
      <c r="U126" s="1578">
        <f t="shared" si="26"/>
        <v>0</v>
      </c>
      <c r="V126" s="1582"/>
      <c r="W126" s="1578">
        <f>SUM(W116:W125)</f>
        <v>130</v>
      </c>
      <c r="X126" s="1576"/>
      <c r="Y126" s="1576"/>
      <c r="Z126" s="1576"/>
      <c r="AA126" s="1576"/>
      <c r="AB126" s="1576"/>
      <c r="AC126" s="1576"/>
      <c r="AD126" s="1582">
        <f t="shared" ref="AD126:AJ126" si="27">SUM(AD116:AD125)</f>
        <v>88495</v>
      </c>
      <c r="AE126" s="1582">
        <f t="shared" si="27"/>
        <v>5500</v>
      </c>
      <c r="AF126" s="1582">
        <f t="shared" si="27"/>
        <v>552260</v>
      </c>
      <c r="AG126" s="1582">
        <f t="shared" si="27"/>
        <v>552</v>
      </c>
      <c r="AH126" s="1582">
        <f t="shared" si="27"/>
        <v>165.6</v>
      </c>
      <c r="AI126" s="1582">
        <f t="shared" si="27"/>
        <v>646255</v>
      </c>
      <c r="AJ126" s="1583">
        <f t="shared" si="27"/>
        <v>201.25675000000001</v>
      </c>
      <c r="AK126" s="1582">
        <f>AD126-P126</f>
        <v>27786</v>
      </c>
      <c r="AL126" s="1582">
        <f>AE126</f>
        <v>5500</v>
      </c>
      <c r="AM126" s="1582">
        <f>AF126-S126</f>
        <v>552260</v>
      </c>
      <c r="AN126" s="1582">
        <f>AG126-T126</f>
        <v>552</v>
      </c>
      <c r="AO126" s="1582">
        <f>AH126-U126</f>
        <v>165.6</v>
      </c>
      <c r="AP126" s="1583">
        <f>AI126-O126</f>
        <v>585546</v>
      </c>
      <c r="AQ126" s="1583">
        <f>AJ126-W126</f>
        <v>71.256750000000011</v>
      </c>
    </row>
    <row r="127" spans="2:43" s="23" customFormat="1" ht="39" customHeight="1">
      <c r="B127" s="1425"/>
      <c r="C127" s="1584"/>
      <c r="D127" s="1487"/>
      <c r="E127" s="1488"/>
      <c r="F127" s="1488"/>
      <c r="G127" s="1585"/>
      <c r="H127" s="1487"/>
      <c r="I127" s="1586"/>
      <c r="J127" s="1487"/>
      <c r="K127" s="1487"/>
      <c r="L127" s="1491"/>
      <c r="M127" s="1491"/>
      <c r="N127" s="1492"/>
      <c r="O127" s="1585"/>
      <c r="P127" s="1487"/>
      <c r="Q127" s="1585"/>
      <c r="R127" s="1585"/>
      <c r="S127" s="1585"/>
      <c r="T127" s="1585"/>
      <c r="U127" s="1585"/>
      <c r="V127" s="1585"/>
      <c r="W127" s="1487"/>
      <c r="X127" s="1487"/>
      <c r="Y127" s="1487"/>
      <c r="Z127" s="1487"/>
      <c r="AA127" s="1487"/>
      <c r="AB127" s="1487"/>
      <c r="AC127" s="1487"/>
      <c r="AD127" s="1587"/>
      <c r="AE127" s="1587"/>
      <c r="AF127" s="1587"/>
      <c r="AG127" s="1587"/>
      <c r="AH127" s="1587"/>
      <c r="AI127" s="1587"/>
      <c r="AJ127" s="1587"/>
    </row>
    <row r="128" spans="2:43">
      <c r="Q128" s="659"/>
      <c r="R128" s="659"/>
    </row>
    <row r="129" spans="2:43" ht="27" hidden="1" customHeight="1" thickBot="1">
      <c r="B129" s="1588" t="s">
        <v>1201</v>
      </c>
      <c r="C129" s="1589"/>
      <c r="D129" s="1589"/>
      <c r="E129" s="1590"/>
      <c r="F129" s="1589"/>
      <c r="G129" s="1591">
        <f>G102+G87+G46</f>
        <v>910239</v>
      </c>
      <c r="H129" s="1590"/>
      <c r="I129" s="1589"/>
      <c r="J129" s="1590"/>
      <c r="K129" s="1592"/>
      <c r="L129" s="1592"/>
      <c r="M129" s="1593"/>
      <c r="N129" s="1589"/>
      <c r="O129" s="1591">
        <f t="shared" ref="O129:U129" si="28">O126+O105</f>
        <v>287857</v>
      </c>
      <c r="P129" s="1591">
        <f t="shared" si="28"/>
        <v>155801</v>
      </c>
      <c r="Q129" s="1591">
        <f t="shared" si="28"/>
        <v>5000</v>
      </c>
      <c r="R129" s="1591">
        <f t="shared" si="28"/>
        <v>43822</v>
      </c>
      <c r="S129" s="1591">
        <f t="shared" si="28"/>
        <v>7645</v>
      </c>
      <c r="T129" s="1591">
        <f t="shared" si="28"/>
        <v>8</v>
      </c>
      <c r="U129" s="1591">
        <f t="shared" si="28"/>
        <v>0</v>
      </c>
      <c r="V129" s="1591"/>
      <c r="W129" s="1591">
        <f>W126+W105</f>
        <v>440</v>
      </c>
      <c r="X129" s="1594"/>
      <c r="Y129" s="1594"/>
      <c r="Z129" s="1594"/>
      <c r="AA129" s="1594"/>
      <c r="AB129" s="1595"/>
      <c r="AC129" s="1595"/>
      <c r="AD129" s="1591">
        <f t="shared" ref="AD129:AJ129" si="29">AD102+AD87+AD46</f>
        <v>259686.59999999998</v>
      </c>
      <c r="AE129" s="1591">
        <f t="shared" si="29"/>
        <v>85947</v>
      </c>
      <c r="AF129" s="1591">
        <f t="shared" si="29"/>
        <v>3157367</v>
      </c>
      <c r="AG129" s="1591">
        <f t="shared" si="29"/>
        <v>3136.9130000000005</v>
      </c>
      <c r="AH129" s="1591">
        <f t="shared" si="29"/>
        <v>1585.76</v>
      </c>
      <c r="AI129" s="1591">
        <f t="shared" si="29"/>
        <v>3503000.6</v>
      </c>
      <c r="AJ129" s="1591">
        <f t="shared" si="29"/>
        <v>1246.8258333333333</v>
      </c>
      <c r="AK129" s="1591">
        <f>AD129-P129</f>
        <v>103885.59999999998</v>
      </c>
      <c r="AL129" s="1591">
        <f>AE129</f>
        <v>85947</v>
      </c>
      <c r="AM129" s="1591">
        <f>AF129-S129</f>
        <v>3149722</v>
      </c>
      <c r="AN129" s="1591">
        <f>AG129-T129</f>
        <v>3128.9130000000005</v>
      </c>
      <c r="AO129" s="1591">
        <f>AH129-U129</f>
        <v>1585.76</v>
      </c>
      <c r="AP129" s="1591">
        <f>AI129-O129</f>
        <v>3215143.6</v>
      </c>
      <c r="AQ129" s="1596">
        <f>AJ129-W129</f>
        <v>806.82583333333332</v>
      </c>
    </row>
    <row r="130" spans="2:43" hidden="1">
      <c r="Q130" s="659"/>
      <c r="R130" s="659"/>
    </row>
    <row r="131" spans="2:43" hidden="1">
      <c r="Q131" s="659"/>
      <c r="R131" s="659"/>
    </row>
    <row r="132" spans="2:43" ht="27" hidden="1" customHeight="1" thickBot="1">
      <c r="B132" s="1588" t="s">
        <v>1202</v>
      </c>
      <c r="C132" s="1589"/>
      <c r="D132" s="1589"/>
      <c r="E132" s="1590"/>
      <c r="F132" s="1589"/>
      <c r="G132" s="1591">
        <f>G129+G126</f>
        <v>1100084</v>
      </c>
      <c r="H132" s="1590"/>
      <c r="I132" s="1589"/>
      <c r="J132" s="1590"/>
      <c r="K132" s="1592"/>
      <c r="L132" s="1592"/>
      <c r="M132" s="1593"/>
      <c r="N132" s="1589"/>
      <c r="O132" s="1591">
        <f t="shared" ref="O132:U132" si="30">O126+O105</f>
        <v>287857</v>
      </c>
      <c r="P132" s="1591">
        <f t="shared" si="30"/>
        <v>155801</v>
      </c>
      <c r="Q132" s="1591">
        <f t="shared" si="30"/>
        <v>5000</v>
      </c>
      <c r="R132" s="1591">
        <f t="shared" si="30"/>
        <v>43822</v>
      </c>
      <c r="S132" s="1591">
        <f t="shared" si="30"/>
        <v>7645</v>
      </c>
      <c r="T132" s="1591">
        <f t="shared" si="30"/>
        <v>8</v>
      </c>
      <c r="U132" s="1591">
        <f t="shared" si="30"/>
        <v>0</v>
      </c>
      <c r="V132" s="1591"/>
      <c r="W132" s="1591">
        <f>W129+W126</f>
        <v>570</v>
      </c>
      <c r="X132" s="1594"/>
      <c r="Y132" s="1594"/>
      <c r="Z132" s="1594"/>
      <c r="AA132" s="1594"/>
      <c r="AB132" s="1595"/>
      <c r="AC132" s="1595"/>
      <c r="AD132" s="1591">
        <f t="shared" ref="AD132:AJ132" si="31">AD129+AD126</f>
        <v>348181.6</v>
      </c>
      <c r="AE132" s="1591">
        <f t="shared" si="31"/>
        <v>91447</v>
      </c>
      <c r="AF132" s="1591">
        <f t="shared" si="31"/>
        <v>3709627</v>
      </c>
      <c r="AG132" s="1591">
        <f t="shared" si="31"/>
        <v>3688.9130000000005</v>
      </c>
      <c r="AH132" s="1591">
        <f t="shared" si="31"/>
        <v>1751.36</v>
      </c>
      <c r="AI132" s="1591">
        <f t="shared" si="31"/>
        <v>4149255.6</v>
      </c>
      <c r="AJ132" s="1591">
        <f t="shared" si="31"/>
        <v>1448.0825833333333</v>
      </c>
      <c r="AK132" s="1591">
        <f>AD132-P132</f>
        <v>192380.59999999998</v>
      </c>
      <c r="AL132" s="1591">
        <f>AE132</f>
        <v>91447</v>
      </c>
      <c r="AM132" s="1591">
        <f>AF132-S132</f>
        <v>3701982</v>
      </c>
      <c r="AN132" s="1591">
        <f>AG132-T132</f>
        <v>3680.9130000000005</v>
      </c>
      <c r="AO132" s="1591">
        <f>AH132-U132</f>
        <v>1751.36</v>
      </c>
      <c r="AP132" s="1591">
        <f>AI132-O132</f>
        <v>3861398.6</v>
      </c>
      <c r="AQ132" s="1596">
        <f>AJ132-W132</f>
        <v>878.08258333333333</v>
      </c>
    </row>
    <row r="133" spans="2:43">
      <c r="B133" s="1494"/>
      <c r="C133" s="1494"/>
      <c r="D133" s="1494"/>
      <c r="E133" s="1494"/>
      <c r="G133" s="1494"/>
      <c r="H133" s="1494"/>
      <c r="J133" s="1494"/>
      <c r="K133" s="1496"/>
      <c r="L133" s="1496"/>
      <c r="M133" s="1496"/>
      <c r="N133" s="1496"/>
      <c r="O133" s="1494"/>
      <c r="P133" s="1494"/>
      <c r="Q133" s="1494"/>
      <c r="R133" s="1494"/>
      <c r="S133" s="1494"/>
      <c r="T133" s="1494"/>
      <c r="U133" s="1494"/>
      <c r="V133" s="1494"/>
      <c r="W133" s="1494"/>
      <c r="X133" s="1494"/>
      <c r="Z133" s="1494"/>
      <c r="AG133" s="1597"/>
    </row>
    <row r="134" spans="2:43">
      <c r="B134" s="1494"/>
      <c r="C134" s="1494"/>
      <c r="D134" s="1494"/>
      <c r="E134" s="1494"/>
      <c r="G134" s="1494"/>
      <c r="H134" s="1494"/>
      <c r="J134" s="1494"/>
      <c r="K134" s="1496"/>
      <c r="L134" s="1496"/>
      <c r="M134" s="1496"/>
      <c r="N134" s="1496"/>
      <c r="O134" s="1494"/>
      <c r="P134" s="1494"/>
      <c r="Q134" s="1494"/>
      <c r="R134" s="1494"/>
      <c r="S134" s="1494"/>
      <c r="T134" s="1494"/>
      <c r="U134" s="1494"/>
      <c r="W134" s="1494"/>
      <c r="X134" s="1494"/>
      <c r="Z134" s="1494"/>
    </row>
    <row r="135" spans="2:43">
      <c r="B135" s="1494"/>
      <c r="C135" s="1494"/>
      <c r="D135" s="1494"/>
      <c r="E135" s="1494"/>
      <c r="G135" s="1494"/>
      <c r="H135" s="1494"/>
      <c r="J135" s="1494"/>
      <c r="K135" s="1496"/>
      <c r="L135" s="1496"/>
      <c r="M135" s="1496"/>
      <c r="N135" s="1496"/>
      <c r="O135" s="1494"/>
      <c r="P135" s="1494"/>
      <c r="Q135" s="1494"/>
      <c r="R135" s="1494"/>
      <c r="S135" s="1494"/>
      <c r="T135" s="1494"/>
      <c r="U135" s="1494"/>
      <c r="V135" s="1494"/>
      <c r="W135" s="1494"/>
      <c r="X135" s="1494"/>
      <c r="Z135" s="1494"/>
    </row>
    <row r="136" spans="2:43">
      <c r="B136" s="1494"/>
      <c r="C136" s="1494"/>
      <c r="D136" s="1494"/>
      <c r="E136" s="1494"/>
      <c r="G136" s="1494"/>
      <c r="H136" s="1494"/>
      <c r="J136" s="1494"/>
      <c r="K136" s="1496"/>
      <c r="L136" s="1496"/>
      <c r="M136" s="1496"/>
      <c r="N136" s="1496"/>
      <c r="O136" s="1494"/>
      <c r="P136" s="1494"/>
      <c r="Q136" s="1494"/>
      <c r="R136" s="1494"/>
      <c r="S136" s="1494"/>
      <c r="T136" s="1494"/>
      <c r="U136" s="1494"/>
      <c r="V136" s="1494"/>
      <c r="W136" s="1494"/>
      <c r="X136" s="1494"/>
      <c r="Z136" s="1494"/>
    </row>
    <row r="137" spans="2:43">
      <c r="B137" s="1494"/>
      <c r="C137" s="1494"/>
      <c r="D137" s="1494"/>
      <c r="E137" s="1494"/>
      <c r="G137" s="1494"/>
      <c r="H137" s="1494"/>
      <c r="J137" s="1494"/>
      <c r="K137" s="1496"/>
      <c r="L137" s="1496"/>
      <c r="M137" s="1496"/>
      <c r="N137" s="1496"/>
      <c r="O137" s="1494"/>
      <c r="P137" s="1494"/>
      <c r="Q137" s="1494"/>
      <c r="R137" s="1494"/>
      <c r="S137" s="1494"/>
      <c r="T137" s="1494"/>
      <c r="U137" s="1494"/>
      <c r="V137" s="1494"/>
      <c r="W137" s="1494"/>
      <c r="X137" s="1494"/>
      <c r="Z137" s="1494"/>
    </row>
    <row r="138" spans="2:43">
      <c r="Q138" s="1494"/>
      <c r="R138" s="1494"/>
    </row>
    <row r="139" spans="2:43">
      <c r="Q139" s="1494"/>
      <c r="R139" s="1494"/>
    </row>
    <row r="140" spans="2:43">
      <c r="Q140" s="1494"/>
      <c r="R140" s="1494"/>
    </row>
    <row r="141" spans="2:43">
      <c r="Q141" s="1494"/>
      <c r="R141" s="1494"/>
    </row>
    <row r="142" spans="2:43">
      <c r="Q142" s="1494"/>
      <c r="R142" s="1494"/>
    </row>
    <row r="143" spans="2:43">
      <c r="Q143" s="1494"/>
      <c r="R143" s="1494"/>
    </row>
    <row r="144" spans="2:43">
      <c r="Q144" s="1494"/>
      <c r="R144" s="1494"/>
    </row>
    <row r="145" spans="1:45">
      <c r="Q145" s="1494"/>
      <c r="R145" s="1494"/>
    </row>
    <row r="146" spans="1:45">
      <c r="Q146" s="1494"/>
      <c r="R146" s="1494"/>
    </row>
    <row r="147" spans="1:45">
      <c r="Q147" s="1494"/>
      <c r="R147" s="1494"/>
    </row>
    <row r="148" spans="1:45">
      <c r="Q148" s="1494"/>
      <c r="R148" s="1494"/>
    </row>
    <row r="149" spans="1:45">
      <c r="Q149" s="1494"/>
      <c r="R149" s="1494"/>
    </row>
    <row r="150" spans="1:45">
      <c r="Q150" s="1494"/>
      <c r="R150" s="1494"/>
    </row>
    <row r="151" spans="1:45">
      <c r="Q151" s="1494"/>
      <c r="R151" s="1494"/>
    </row>
    <row r="152" spans="1:45">
      <c r="Q152" s="1494"/>
      <c r="R152" s="1494"/>
    </row>
    <row r="153" spans="1:45" s="659" customFormat="1">
      <c r="A153"/>
      <c r="B153"/>
      <c r="C153"/>
      <c r="E153" s="1294"/>
      <c r="F153" s="1294"/>
      <c r="H153"/>
      <c r="I153"/>
      <c r="Q153" s="1494"/>
      <c r="R153" s="1494"/>
      <c r="X153"/>
      <c r="Y153"/>
      <c r="Z153"/>
      <c r="AA153"/>
      <c r="AB153"/>
      <c r="AC153"/>
      <c r="AD153"/>
      <c r="AE153"/>
      <c r="AF153"/>
      <c r="AG153"/>
      <c r="AH153"/>
      <c r="AI153"/>
      <c r="AJ153"/>
      <c r="AK153"/>
      <c r="AL153"/>
      <c r="AM153"/>
      <c r="AN153"/>
      <c r="AO153"/>
      <c r="AP153"/>
      <c r="AQ153"/>
      <c r="AR153"/>
      <c r="AS153"/>
    </row>
    <row r="154" spans="1:45" s="659" customFormat="1">
      <c r="A154"/>
      <c r="B154"/>
      <c r="C154"/>
      <c r="E154" s="1294"/>
      <c r="F154" s="1294"/>
      <c r="H154"/>
      <c r="I154"/>
      <c r="Q154" s="1494"/>
      <c r="R154" s="1494"/>
      <c r="X154"/>
      <c r="Y154"/>
      <c r="Z154"/>
      <c r="AA154"/>
      <c r="AB154"/>
      <c r="AC154"/>
      <c r="AD154"/>
      <c r="AE154"/>
      <c r="AF154"/>
      <c r="AG154"/>
      <c r="AH154"/>
      <c r="AI154"/>
      <c r="AJ154"/>
      <c r="AK154"/>
      <c r="AL154"/>
      <c r="AM154"/>
      <c r="AN154"/>
      <c r="AO154"/>
      <c r="AP154"/>
      <c r="AQ154"/>
      <c r="AR154"/>
      <c r="AS154"/>
    </row>
    <row r="155" spans="1:45" s="659" customFormat="1">
      <c r="A155"/>
      <c r="B155"/>
      <c r="C155"/>
      <c r="E155" s="1294"/>
      <c r="F155" s="1294"/>
      <c r="H155"/>
      <c r="I155"/>
      <c r="Q155" s="1494"/>
      <c r="R155" s="1494"/>
      <c r="X155"/>
      <c r="Y155"/>
      <c r="Z155"/>
      <c r="AA155"/>
      <c r="AB155"/>
      <c r="AC155"/>
      <c r="AD155"/>
      <c r="AE155"/>
      <c r="AF155"/>
      <c r="AG155"/>
      <c r="AH155"/>
      <c r="AI155"/>
      <c r="AJ155"/>
      <c r="AK155"/>
      <c r="AL155"/>
      <c r="AM155"/>
      <c r="AN155"/>
      <c r="AO155"/>
      <c r="AP155"/>
      <c r="AQ155"/>
      <c r="AR155"/>
      <c r="AS155"/>
    </row>
    <row r="156" spans="1:45" s="659" customFormat="1">
      <c r="A156"/>
      <c r="B156"/>
      <c r="C156"/>
      <c r="E156" s="1294"/>
      <c r="F156" s="1294"/>
      <c r="H156"/>
      <c r="I156"/>
      <c r="Q156" s="1494"/>
      <c r="R156" s="1494"/>
      <c r="X156"/>
      <c r="Y156"/>
      <c r="Z156"/>
      <c r="AA156"/>
      <c r="AB156"/>
      <c r="AC156"/>
      <c r="AD156"/>
      <c r="AE156"/>
      <c r="AF156"/>
      <c r="AG156"/>
      <c r="AH156"/>
      <c r="AI156"/>
      <c r="AJ156"/>
      <c r="AK156"/>
      <c r="AL156"/>
      <c r="AM156"/>
      <c r="AN156"/>
      <c r="AO156"/>
      <c r="AP156"/>
      <c r="AQ156"/>
      <c r="AR156"/>
      <c r="AS156"/>
    </row>
    <row r="157" spans="1:45" s="659" customFormat="1">
      <c r="A157"/>
      <c r="B157"/>
      <c r="C157"/>
      <c r="E157" s="1294"/>
      <c r="F157" s="1294"/>
      <c r="H157"/>
      <c r="I157"/>
      <c r="Q157" s="1494"/>
      <c r="R157" s="1494"/>
      <c r="X157"/>
      <c r="Y157"/>
      <c r="Z157"/>
      <c r="AA157"/>
      <c r="AB157"/>
      <c r="AC157"/>
      <c r="AD157"/>
      <c r="AE157"/>
      <c r="AF157"/>
      <c r="AG157"/>
      <c r="AH157"/>
      <c r="AI157"/>
      <c r="AJ157"/>
      <c r="AK157"/>
      <c r="AL157"/>
      <c r="AM157"/>
      <c r="AN157"/>
      <c r="AO157"/>
      <c r="AP157"/>
      <c r="AQ157"/>
      <c r="AR157"/>
      <c r="AS157"/>
    </row>
    <row r="158" spans="1:45" s="659" customFormat="1">
      <c r="A158"/>
      <c r="B158"/>
      <c r="C158"/>
      <c r="E158" s="1294"/>
      <c r="F158" s="1294"/>
      <c r="H158"/>
      <c r="I158"/>
      <c r="Q158" s="1494"/>
      <c r="R158" s="1494"/>
      <c r="X158"/>
      <c r="Y158"/>
      <c r="Z158"/>
      <c r="AA158"/>
      <c r="AB158"/>
      <c r="AC158"/>
      <c r="AD158"/>
      <c r="AE158"/>
      <c r="AF158"/>
      <c r="AG158"/>
      <c r="AH158"/>
      <c r="AI158"/>
      <c r="AJ158"/>
      <c r="AK158"/>
      <c r="AL158"/>
      <c r="AM158"/>
      <c r="AN158"/>
      <c r="AO158"/>
      <c r="AP158"/>
      <c r="AQ158"/>
      <c r="AR158"/>
      <c r="AS158"/>
    </row>
    <row r="159" spans="1:45" s="659" customFormat="1">
      <c r="A159"/>
      <c r="B159"/>
      <c r="C159"/>
      <c r="E159" s="1294"/>
      <c r="F159" s="1294"/>
      <c r="H159"/>
      <c r="I159"/>
      <c r="Q159" s="1494"/>
      <c r="R159" s="1494"/>
      <c r="X159"/>
      <c r="Y159"/>
      <c r="Z159"/>
      <c r="AA159"/>
      <c r="AB159"/>
      <c r="AC159"/>
      <c r="AD159"/>
      <c r="AE159"/>
      <c r="AF159"/>
      <c r="AG159"/>
      <c r="AH159"/>
      <c r="AI159"/>
      <c r="AJ159"/>
      <c r="AK159"/>
      <c r="AL159"/>
      <c r="AM159"/>
      <c r="AN159"/>
      <c r="AO159"/>
      <c r="AP159"/>
      <c r="AQ159"/>
      <c r="AR159"/>
      <c r="AS159"/>
    </row>
    <row r="160" spans="1:45" s="659" customFormat="1">
      <c r="A160"/>
      <c r="B160"/>
      <c r="C160"/>
      <c r="E160" s="1294"/>
      <c r="F160" s="1294"/>
      <c r="H160"/>
      <c r="I160"/>
      <c r="Q160" s="1494"/>
      <c r="R160" s="1494"/>
      <c r="X160"/>
      <c r="Y160"/>
      <c r="Z160"/>
      <c r="AA160"/>
      <c r="AB160"/>
      <c r="AC160"/>
      <c r="AD160"/>
      <c r="AE160"/>
      <c r="AF160"/>
      <c r="AG160"/>
      <c r="AH160"/>
      <c r="AI160"/>
      <c r="AJ160"/>
      <c r="AK160"/>
      <c r="AL160"/>
      <c r="AM160"/>
      <c r="AN160"/>
      <c r="AO160"/>
      <c r="AP160"/>
      <c r="AQ160"/>
      <c r="AR160"/>
      <c r="AS160"/>
    </row>
    <row r="161" spans="1:45" s="659" customFormat="1">
      <c r="A161"/>
      <c r="B161"/>
      <c r="C161"/>
      <c r="E161" s="1294"/>
      <c r="F161" s="1294"/>
      <c r="H161"/>
      <c r="I161"/>
      <c r="Q161" s="1494"/>
      <c r="R161" s="1494"/>
      <c r="X161"/>
      <c r="Y161"/>
      <c r="Z161"/>
      <c r="AA161"/>
      <c r="AB161"/>
      <c r="AC161"/>
      <c r="AD161"/>
      <c r="AE161"/>
      <c r="AF161"/>
      <c r="AG161"/>
      <c r="AH161"/>
      <c r="AI161"/>
      <c r="AJ161"/>
      <c r="AK161"/>
      <c r="AL161"/>
      <c r="AM161"/>
      <c r="AN161"/>
      <c r="AO161"/>
      <c r="AP161"/>
      <c r="AQ161"/>
      <c r="AR161"/>
      <c r="AS161"/>
    </row>
    <row r="162" spans="1:45" s="659" customFormat="1">
      <c r="A162"/>
      <c r="B162"/>
      <c r="C162"/>
      <c r="E162" s="1294"/>
      <c r="F162" s="1294"/>
      <c r="H162"/>
      <c r="I162"/>
      <c r="Q162" s="1494"/>
      <c r="R162" s="1494"/>
      <c r="X162"/>
      <c r="Y162"/>
      <c r="Z162"/>
      <c r="AA162"/>
      <c r="AB162"/>
      <c r="AC162"/>
      <c r="AD162"/>
      <c r="AE162"/>
      <c r="AF162"/>
      <c r="AG162"/>
      <c r="AH162"/>
      <c r="AI162"/>
      <c r="AJ162"/>
      <c r="AK162"/>
      <c r="AL162"/>
      <c r="AM162"/>
      <c r="AN162"/>
      <c r="AO162"/>
      <c r="AP162"/>
      <c r="AQ162"/>
      <c r="AR162"/>
      <c r="AS162"/>
    </row>
    <row r="163" spans="1:45" s="659" customFormat="1">
      <c r="A163"/>
      <c r="B163"/>
      <c r="C163"/>
      <c r="E163" s="1294"/>
      <c r="F163" s="1294"/>
      <c r="H163"/>
      <c r="I163"/>
      <c r="Q163" s="1494"/>
      <c r="R163" s="1494"/>
      <c r="X163"/>
      <c r="Y163"/>
      <c r="Z163"/>
      <c r="AA163"/>
      <c r="AB163"/>
      <c r="AC163"/>
      <c r="AD163"/>
      <c r="AE163"/>
      <c r="AF163"/>
      <c r="AG163"/>
      <c r="AH163"/>
      <c r="AI163"/>
      <c r="AJ163"/>
      <c r="AK163"/>
      <c r="AL163"/>
      <c r="AM163"/>
      <c r="AN163"/>
      <c r="AO163"/>
      <c r="AP163"/>
      <c r="AQ163"/>
      <c r="AR163"/>
      <c r="AS163"/>
    </row>
    <row r="164" spans="1:45" s="659" customFormat="1">
      <c r="A164"/>
      <c r="B164"/>
      <c r="C164"/>
      <c r="E164" s="1294"/>
      <c r="F164" s="1294"/>
      <c r="H164"/>
      <c r="I164"/>
      <c r="Q164" s="1494"/>
      <c r="R164" s="1494"/>
      <c r="X164"/>
      <c r="Y164"/>
      <c r="Z164"/>
      <c r="AA164"/>
      <c r="AB164"/>
      <c r="AC164"/>
      <c r="AD164"/>
      <c r="AE164"/>
      <c r="AF164"/>
      <c r="AG164"/>
      <c r="AH164"/>
      <c r="AI164"/>
      <c r="AJ164"/>
      <c r="AK164"/>
      <c r="AL164"/>
      <c r="AM164"/>
      <c r="AN164"/>
      <c r="AO164"/>
      <c r="AP164"/>
      <c r="AQ164"/>
      <c r="AR164"/>
      <c r="AS164"/>
    </row>
    <row r="165" spans="1:45" s="659" customFormat="1">
      <c r="A165"/>
      <c r="B165"/>
      <c r="C165"/>
      <c r="E165" s="1294"/>
      <c r="F165" s="1294"/>
      <c r="H165"/>
      <c r="I165"/>
      <c r="Q165" s="1494"/>
      <c r="R165" s="1494"/>
      <c r="X165"/>
      <c r="Y165"/>
      <c r="Z165"/>
      <c r="AA165"/>
      <c r="AB165"/>
      <c r="AC165"/>
      <c r="AD165"/>
      <c r="AE165"/>
      <c r="AF165"/>
      <c r="AG165"/>
      <c r="AH165"/>
      <c r="AI165"/>
      <c r="AJ165"/>
      <c r="AK165"/>
      <c r="AL165"/>
      <c r="AM165"/>
      <c r="AN165"/>
      <c r="AO165"/>
      <c r="AP165"/>
      <c r="AQ165"/>
      <c r="AR165"/>
      <c r="AS165"/>
    </row>
    <row r="166" spans="1:45" s="659" customFormat="1">
      <c r="A166"/>
      <c r="B166"/>
      <c r="C166"/>
      <c r="E166" s="1294"/>
      <c r="F166" s="1294"/>
      <c r="H166"/>
      <c r="I166"/>
      <c r="Q166" s="1494"/>
      <c r="R166" s="1494"/>
      <c r="X166"/>
      <c r="Y166"/>
      <c r="Z166"/>
      <c r="AA166"/>
      <c r="AB166"/>
      <c r="AC166"/>
      <c r="AD166"/>
      <c r="AE166"/>
      <c r="AF166"/>
      <c r="AG166"/>
      <c r="AH166"/>
      <c r="AI166"/>
      <c r="AJ166"/>
      <c r="AK166"/>
      <c r="AL166"/>
      <c r="AM166"/>
      <c r="AN166"/>
      <c r="AO166"/>
      <c r="AP166"/>
      <c r="AQ166"/>
      <c r="AR166"/>
      <c r="AS166"/>
    </row>
    <row r="167" spans="1:45" s="659" customFormat="1">
      <c r="A167"/>
      <c r="B167"/>
      <c r="C167"/>
      <c r="E167" s="1294"/>
      <c r="F167" s="1294"/>
      <c r="H167"/>
      <c r="I167"/>
      <c r="Q167" s="1494"/>
      <c r="R167" s="1494"/>
      <c r="X167"/>
      <c r="Y167"/>
      <c r="Z167"/>
      <c r="AA167"/>
      <c r="AB167"/>
      <c r="AC167"/>
      <c r="AD167"/>
      <c r="AE167"/>
      <c r="AF167"/>
      <c r="AG167"/>
      <c r="AH167"/>
      <c r="AI167"/>
      <c r="AJ167"/>
      <c r="AK167"/>
      <c r="AL167"/>
      <c r="AM167"/>
      <c r="AN167"/>
      <c r="AO167"/>
      <c r="AP167"/>
      <c r="AQ167"/>
      <c r="AR167"/>
      <c r="AS167"/>
    </row>
  </sheetData>
  <mergeCells count="352">
    <mergeCell ref="B124:B125"/>
    <mergeCell ref="H124:I124"/>
    <mergeCell ref="V124:V125"/>
    <mergeCell ref="W124:W125"/>
    <mergeCell ref="X124:Y124"/>
    <mergeCell ref="H125:I125"/>
    <mergeCell ref="X125:Y125"/>
    <mergeCell ref="H121:I121"/>
    <mergeCell ref="X121:Y121"/>
    <mergeCell ref="H122:I122"/>
    <mergeCell ref="X122:Y122"/>
    <mergeCell ref="H123:I123"/>
    <mergeCell ref="X123:Y123"/>
    <mergeCell ref="H120:I120"/>
    <mergeCell ref="X120:Y120"/>
    <mergeCell ref="AP113:AP115"/>
    <mergeCell ref="AQ113:AQ115"/>
    <mergeCell ref="H116:I116"/>
    <mergeCell ref="X116:Y116"/>
    <mergeCell ref="H117:I117"/>
    <mergeCell ref="X117:Y117"/>
    <mergeCell ref="AJ113:AJ115"/>
    <mergeCell ref="AK113:AK115"/>
    <mergeCell ref="AL113:AL115"/>
    <mergeCell ref="AM113:AM115"/>
    <mergeCell ref="AN113:AN115"/>
    <mergeCell ref="AO113:AO115"/>
    <mergeCell ref="AD113:AD115"/>
    <mergeCell ref="AE113:AE115"/>
    <mergeCell ref="AF113:AF115"/>
    <mergeCell ref="AG113:AG115"/>
    <mergeCell ref="AH113:AH115"/>
    <mergeCell ref="AI113:AI115"/>
    <mergeCell ref="AA113:AA115"/>
    <mergeCell ref="AB113:AB115"/>
    <mergeCell ref="AC113:AC115"/>
    <mergeCell ref="W112:W115"/>
    <mergeCell ref="X112:Z112"/>
    <mergeCell ref="AA112:AC112"/>
    <mergeCell ref="H118:I118"/>
    <mergeCell ref="X118:Y118"/>
    <mergeCell ref="H119:I119"/>
    <mergeCell ref="X119:Y119"/>
    <mergeCell ref="U112:U115"/>
    <mergeCell ref="V112:V115"/>
    <mergeCell ref="O113:O115"/>
    <mergeCell ref="P113:P115"/>
    <mergeCell ref="Q113:Q115"/>
    <mergeCell ref="R113:R115"/>
    <mergeCell ref="S113:S115"/>
    <mergeCell ref="X113:Y115"/>
    <mergeCell ref="Z113:Z115"/>
    <mergeCell ref="Z96:Z98"/>
    <mergeCell ref="AA96:AA98"/>
    <mergeCell ref="AB96:AB98"/>
    <mergeCell ref="B111:G111"/>
    <mergeCell ref="H111:W111"/>
    <mergeCell ref="X111:AJ111"/>
    <mergeCell ref="AK111:AP112"/>
    <mergeCell ref="B112:B115"/>
    <mergeCell ref="C112:C115"/>
    <mergeCell ref="D112:D115"/>
    <mergeCell ref="E112:E115"/>
    <mergeCell ref="F112:F115"/>
    <mergeCell ref="G112:G115"/>
    <mergeCell ref="AD112:AJ112"/>
    <mergeCell ref="H113:I115"/>
    <mergeCell ref="J113:J115"/>
    <mergeCell ref="K113:K115"/>
    <mergeCell ref="L113:L115"/>
    <mergeCell ref="M113:M115"/>
    <mergeCell ref="N113:N115"/>
    <mergeCell ref="H112:J112"/>
    <mergeCell ref="K112:N112"/>
    <mergeCell ref="O112:S112"/>
    <mergeCell ref="T112:T115"/>
    <mergeCell ref="X95:Z95"/>
    <mergeCell ref="AA95:AC95"/>
    <mergeCell ref="AC96:AC98"/>
    <mergeCell ref="AP96:AP98"/>
    <mergeCell ref="AQ96:AQ98"/>
    <mergeCell ref="B99:B100"/>
    <mergeCell ref="X99:Y99"/>
    <mergeCell ref="X100:Y100"/>
    <mergeCell ref="X101:Y101"/>
    <mergeCell ref="AJ96:AJ98"/>
    <mergeCell ref="AK96:AK98"/>
    <mergeCell ref="AL96:AL98"/>
    <mergeCell ref="AM96:AM98"/>
    <mergeCell ref="AN96:AN98"/>
    <mergeCell ref="AO96:AO98"/>
    <mergeCell ref="AD96:AD98"/>
    <mergeCell ref="AE96:AE98"/>
    <mergeCell ref="AF96:AF98"/>
    <mergeCell ref="AG96:AG98"/>
    <mergeCell ref="AH96:AH98"/>
    <mergeCell ref="AI96:AI98"/>
    <mergeCell ref="R96:R98"/>
    <mergeCell ref="S96:S98"/>
    <mergeCell ref="X96:Y98"/>
    <mergeCell ref="AK94:AP95"/>
    <mergeCell ref="B95:B98"/>
    <mergeCell ref="C95:C98"/>
    <mergeCell ref="D95:D98"/>
    <mergeCell ref="E95:E98"/>
    <mergeCell ref="F95:F98"/>
    <mergeCell ref="G95:G98"/>
    <mergeCell ref="H95:J95"/>
    <mergeCell ref="K95:N95"/>
    <mergeCell ref="O95:S95"/>
    <mergeCell ref="AD95:AJ95"/>
    <mergeCell ref="H96:I98"/>
    <mergeCell ref="J96:J98"/>
    <mergeCell ref="K96:K98"/>
    <mergeCell ref="L96:L98"/>
    <mergeCell ref="M96:M98"/>
    <mergeCell ref="N96:N98"/>
    <mergeCell ref="O96:O98"/>
    <mergeCell ref="P96:P98"/>
    <mergeCell ref="Q96:Q98"/>
    <mergeCell ref="T95:T98"/>
    <mergeCell ref="U95:U98"/>
    <mergeCell ref="V95:V98"/>
    <mergeCell ref="W95:W98"/>
    <mergeCell ref="X67:Y67"/>
    <mergeCell ref="X68:Y68"/>
    <mergeCell ref="X69:Y69"/>
    <mergeCell ref="X70:Y70"/>
    <mergeCell ref="X71:Y71"/>
    <mergeCell ref="X84:Y84"/>
    <mergeCell ref="X85:Y85"/>
    <mergeCell ref="X86:Y86"/>
    <mergeCell ref="B94:G94"/>
    <mergeCell ref="H94:W94"/>
    <mergeCell ref="X94:AJ94"/>
    <mergeCell ref="X78:Y78"/>
    <mergeCell ref="X79:Y79"/>
    <mergeCell ref="X80:Y80"/>
    <mergeCell ref="X81:Y81"/>
    <mergeCell ref="X82:Y82"/>
    <mergeCell ref="X83:Y83"/>
    <mergeCell ref="B59:B86"/>
    <mergeCell ref="X59:Y59"/>
    <mergeCell ref="X60:Y60"/>
    <mergeCell ref="X61:Y61"/>
    <mergeCell ref="X62:Y62"/>
    <mergeCell ref="X63:Y63"/>
    <mergeCell ref="X64:Y64"/>
    <mergeCell ref="X65:Y65"/>
    <mergeCell ref="AJ56:AJ58"/>
    <mergeCell ref="AD56:AD58"/>
    <mergeCell ref="AE56:AE58"/>
    <mergeCell ref="AF56:AF58"/>
    <mergeCell ref="AG56:AG58"/>
    <mergeCell ref="AH56:AH58"/>
    <mergeCell ref="AI56:AI58"/>
    <mergeCell ref="R56:R58"/>
    <mergeCell ref="S56:S58"/>
    <mergeCell ref="X72:Y72"/>
    <mergeCell ref="X73:Y73"/>
    <mergeCell ref="X74:Y74"/>
    <mergeCell ref="X75:Y75"/>
    <mergeCell ref="X76:Y76"/>
    <mergeCell ref="X77:Y77"/>
    <mergeCell ref="X66:Y66"/>
    <mergeCell ref="T55:T58"/>
    <mergeCell ref="U55:U58"/>
    <mergeCell ref="V55:V58"/>
    <mergeCell ref="W55:W58"/>
    <mergeCell ref="X55:Z55"/>
    <mergeCell ref="AA55:AC55"/>
    <mergeCell ref="AC56:AC58"/>
    <mergeCell ref="AP56:AP58"/>
    <mergeCell ref="AQ56:AQ58"/>
    <mergeCell ref="AK56:AK58"/>
    <mergeCell ref="AL56:AL58"/>
    <mergeCell ref="AM56:AM58"/>
    <mergeCell ref="AN56:AN58"/>
    <mergeCell ref="AO56:AO58"/>
    <mergeCell ref="AK54:AP55"/>
    <mergeCell ref="B55:B58"/>
    <mergeCell ref="C55:C58"/>
    <mergeCell ref="D55:D58"/>
    <mergeCell ref="E55:E58"/>
    <mergeCell ref="F55:F58"/>
    <mergeCell ref="G55:G58"/>
    <mergeCell ref="H55:J55"/>
    <mergeCell ref="K55:N55"/>
    <mergeCell ref="O55:S55"/>
    <mergeCell ref="X56:Y58"/>
    <mergeCell ref="Z56:Z58"/>
    <mergeCell ref="AA56:AA58"/>
    <mergeCell ref="AB56:AB58"/>
    <mergeCell ref="AD55:AJ55"/>
    <mergeCell ref="H56:I58"/>
    <mergeCell ref="J56:J58"/>
    <mergeCell ref="K56:K58"/>
    <mergeCell ref="L56:L58"/>
    <mergeCell ref="M56:M58"/>
    <mergeCell ref="N56:N58"/>
    <mergeCell ref="O56:O58"/>
    <mergeCell ref="P56:P58"/>
    <mergeCell ref="Q56:Q58"/>
    <mergeCell ref="X43:Y43"/>
    <mergeCell ref="H44:I44"/>
    <mergeCell ref="X44:Y44"/>
    <mergeCell ref="H45:I45"/>
    <mergeCell ref="X45:Y45"/>
    <mergeCell ref="B54:G54"/>
    <mergeCell ref="H54:W54"/>
    <mergeCell ref="X54:AJ54"/>
    <mergeCell ref="H39:I39"/>
    <mergeCell ref="X39:Y39"/>
    <mergeCell ref="H40:I40"/>
    <mergeCell ref="X40:Y40"/>
    <mergeCell ref="B41:B45"/>
    <mergeCell ref="H41:I41"/>
    <mergeCell ref="X41:Y41"/>
    <mergeCell ref="H42:I42"/>
    <mergeCell ref="X42:Y42"/>
    <mergeCell ref="H43:I43"/>
    <mergeCell ref="B37:B38"/>
    <mergeCell ref="H37:I37"/>
    <mergeCell ref="V37:V38"/>
    <mergeCell ref="W37:W38"/>
    <mergeCell ref="X37:Y37"/>
    <mergeCell ref="H38:I38"/>
    <mergeCell ref="X38:Y38"/>
    <mergeCell ref="X33:Y33"/>
    <mergeCell ref="H34:I34"/>
    <mergeCell ref="X34:Y34"/>
    <mergeCell ref="H35:I35"/>
    <mergeCell ref="X35:Y35"/>
    <mergeCell ref="H36:I36"/>
    <mergeCell ref="X36:Y36"/>
    <mergeCell ref="H30:I30"/>
    <mergeCell ref="X30:Y30"/>
    <mergeCell ref="H31:I31"/>
    <mergeCell ref="X31:Y31"/>
    <mergeCell ref="B32:B36"/>
    <mergeCell ref="H32:I32"/>
    <mergeCell ref="V32:V36"/>
    <mergeCell ref="W32:W36"/>
    <mergeCell ref="X32:Y32"/>
    <mergeCell ref="H33:I33"/>
    <mergeCell ref="H27:I27"/>
    <mergeCell ref="X27:Y27"/>
    <mergeCell ref="H28:I28"/>
    <mergeCell ref="X28:Y28"/>
    <mergeCell ref="H29:I29"/>
    <mergeCell ref="X29:Y29"/>
    <mergeCell ref="B24:B26"/>
    <mergeCell ref="H24:I24"/>
    <mergeCell ref="V24:V26"/>
    <mergeCell ref="W24:W26"/>
    <mergeCell ref="X24:Y24"/>
    <mergeCell ref="H25:I25"/>
    <mergeCell ref="X25:Y25"/>
    <mergeCell ref="H26:I26"/>
    <mergeCell ref="X26:Y26"/>
    <mergeCell ref="H21:I21"/>
    <mergeCell ref="X21:Y21"/>
    <mergeCell ref="B22:B23"/>
    <mergeCell ref="H22:I22"/>
    <mergeCell ref="V22:V23"/>
    <mergeCell ref="W22:W23"/>
    <mergeCell ref="X22:Y22"/>
    <mergeCell ref="H23:I23"/>
    <mergeCell ref="X23:Y23"/>
    <mergeCell ref="B16:B17"/>
    <mergeCell ref="H16:I16"/>
    <mergeCell ref="V16:V17"/>
    <mergeCell ref="W16:W17"/>
    <mergeCell ref="X16:Y16"/>
    <mergeCell ref="H17:I17"/>
    <mergeCell ref="X17:Y17"/>
    <mergeCell ref="B18:B20"/>
    <mergeCell ref="H18:I18"/>
    <mergeCell ref="V18:V20"/>
    <mergeCell ref="W18:W20"/>
    <mergeCell ref="X18:Y18"/>
    <mergeCell ref="H19:I19"/>
    <mergeCell ref="X19:Y19"/>
    <mergeCell ref="H20:I20"/>
    <mergeCell ref="X20:Y20"/>
    <mergeCell ref="H11:I11"/>
    <mergeCell ref="X11:Y11"/>
    <mergeCell ref="B12:B15"/>
    <mergeCell ref="H12:I12"/>
    <mergeCell ref="V12:V15"/>
    <mergeCell ref="W12:W15"/>
    <mergeCell ref="X12:Y12"/>
    <mergeCell ref="H13:I13"/>
    <mergeCell ref="X13:Y13"/>
    <mergeCell ref="H14:I14"/>
    <mergeCell ref="X14:Y14"/>
    <mergeCell ref="H15:I15"/>
    <mergeCell ref="X15:Y15"/>
    <mergeCell ref="H10:I10"/>
    <mergeCell ref="X10:Y10"/>
    <mergeCell ref="AJ6:AJ8"/>
    <mergeCell ref="AK6:AK8"/>
    <mergeCell ref="AL6:AL8"/>
    <mergeCell ref="AM6:AM8"/>
    <mergeCell ref="AN6:AN8"/>
    <mergeCell ref="AO6:AO8"/>
    <mergeCell ref="AD6:AD8"/>
    <mergeCell ref="AE6:AE8"/>
    <mergeCell ref="AF6:AF8"/>
    <mergeCell ref="AG6:AG8"/>
    <mergeCell ref="AH6:AH8"/>
    <mergeCell ref="AI6:AI8"/>
    <mergeCell ref="S6:S8"/>
    <mergeCell ref="X6:Y8"/>
    <mergeCell ref="Z6:Z8"/>
    <mergeCell ref="AA6:AA8"/>
    <mergeCell ref="AB6:AB8"/>
    <mergeCell ref="AC6:AC8"/>
    <mergeCell ref="U5:U8"/>
    <mergeCell ref="V5:V8"/>
    <mergeCell ref="O6:O8"/>
    <mergeCell ref="P6:P8"/>
    <mergeCell ref="Q6:Q8"/>
    <mergeCell ref="R6:R8"/>
    <mergeCell ref="AP6:AP8"/>
    <mergeCell ref="AQ6:AQ8"/>
    <mergeCell ref="H9:I9"/>
    <mergeCell ref="X9:Y9"/>
    <mergeCell ref="B4:G4"/>
    <mergeCell ref="H4:W4"/>
    <mergeCell ref="X4:AJ4"/>
    <mergeCell ref="AK4:AP4"/>
    <mergeCell ref="B5:B8"/>
    <mergeCell ref="C5:C8"/>
    <mergeCell ref="D5:D8"/>
    <mergeCell ref="E5:E8"/>
    <mergeCell ref="F5:F8"/>
    <mergeCell ref="G5:G8"/>
    <mergeCell ref="W5:W8"/>
    <mergeCell ref="X5:Z5"/>
    <mergeCell ref="AA5:AC5"/>
    <mergeCell ref="AD5:AJ5"/>
    <mergeCell ref="H6:I8"/>
    <mergeCell ref="J6:J8"/>
    <mergeCell ref="K6:K8"/>
    <mergeCell ref="L6:L8"/>
    <mergeCell ref="M6:M8"/>
    <mergeCell ref="N6:N8"/>
    <mergeCell ref="H5:J5"/>
    <mergeCell ref="K5:N5"/>
    <mergeCell ref="O5:S5"/>
    <mergeCell ref="T5:T8"/>
  </mergeCells>
  <pageMargins left="0.7" right="0.7" top="0.75" bottom="0.75" header="0.3" footer="0.3"/>
  <pageSetup paperSize="3" scale="37" orientation="landscape" verticalDpi="1200" r:id="rId1"/>
  <headerFooter>
    <oddFooter>&amp;C1-2</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39997558519241921"/>
  </sheetPr>
  <dimension ref="A1"/>
  <sheetViews>
    <sheetView workbookViewId="0"/>
  </sheetViews>
  <sheetFormatPr defaultRowHeight="1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123"/>
  <sheetViews>
    <sheetView topLeftCell="A96" workbookViewId="0">
      <selection activeCell="D127" sqref="D127"/>
    </sheetView>
  </sheetViews>
  <sheetFormatPr defaultRowHeight="15"/>
  <cols>
    <col min="3" max="3" width="19" bestFit="1" customWidth="1"/>
    <col min="4" max="6" width="19" customWidth="1"/>
  </cols>
  <sheetData>
    <row r="1" spans="1:8" ht="75">
      <c r="A1" s="1599" t="s">
        <v>1203</v>
      </c>
      <c r="B1" s="1599" t="s">
        <v>936</v>
      </c>
      <c r="C1" s="1599" t="s">
        <v>1204</v>
      </c>
      <c r="D1" s="1599" t="s">
        <v>1205</v>
      </c>
      <c r="E1" s="1599" t="s">
        <v>1205</v>
      </c>
      <c r="F1" s="1599" t="s">
        <v>1206</v>
      </c>
      <c r="G1" s="1600"/>
      <c r="H1" s="491"/>
    </row>
    <row r="2" spans="1:8">
      <c r="A2" s="1120" t="s">
        <v>848</v>
      </c>
      <c r="B2" s="1120">
        <v>1772</v>
      </c>
      <c r="C2" s="1601">
        <v>69</v>
      </c>
      <c r="D2" s="1602">
        <v>1017720069</v>
      </c>
      <c r="E2" s="1601" t="str">
        <f t="shared" ref="E2:E65" si="0">CONCATENATE("10",B2,RIGHT(CONCATENATE("000", C2),4))</f>
        <v>1017720069</v>
      </c>
      <c r="F2" s="1603">
        <v>83.036444444444442</v>
      </c>
      <c r="G2" s="1600" t="s">
        <v>1207</v>
      </c>
      <c r="H2" s="491"/>
    </row>
    <row r="3" spans="1:8">
      <c r="A3" s="1120" t="s">
        <v>848</v>
      </c>
      <c r="B3" s="1120">
        <v>1772</v>
      </c>
      <c r="C3" s="1601">
        <v>70</v>
      </c>
      <c r="D3" s="1602">
        <v>1017720070</v>
      </c>
      <c r="E3" s="1601" t="str">
        <f t="shared" si="0"/>
        <v>1017720070</v>
      </c>
      <c r="F3" s="1603">
        <v>0</v>
      </c>
      <c r="G3" s="1600" t="s">
        <v>1207</v>
      </c>
      <c r="H3" s="491"/>
    </row>
    <row r="4" spans="1:8">
      <c r="A4" s="634" t="s">
        <v>851</v>
      </c>
      <c r="B4" s="1120">
        <v>1621</v>
      </c>
      <c r="C4" s="1601">
        <v>32</v>
      </c>
      <c r="D4" s="1602">
        <v>1016210032</v>
      </c>
      <c r="E4" s="1601" t="str">
        <f t="shared" si="0"/>
        <v>1016210032</v>
      </c>
      <c r="F4" s="1603">
        <v>38.025333333333336</v>
      </c>
      <c r="G4" s="1600" t="s">
        <v>1207</v>
      </c>
      <c r="H4" s="491"/>
    </row>
    <row r="5" spans="1:8">
      <c r="A5" s="634" t="s">
        <v>1001</v>
      </c>
      <c r="B5" s="1120">
        <v>1644</v>
      </c>
      <c r="C5" s="1601">
        <v>37</v>
      </c>
      <c r="D5" s="1602">
        <v>1016440037</v>
      </c>
      <c r="E5" s="1601" t="str">
        <f t="shared" si="0"/>
        <v>1016440037</v>
      </c>
      <c r="F5" s="1603">
        <v>82.831000000000003</v>
      </c>
      <c r="G5" s="1600" t="s">
        <v>1207</v>
      </c>
      <c r="H5" s="491"/>
    </row>
    <row r="6" spans="1:8">
      <c r="A6" s="634" t="s">
        <v>1001</v>
      </c>
      <c r="B6" s="1120">
        <v>1644</v>
      </c>
      <c r="C6" s="1601">
        <v>38</v>
      </c>
      <c r="D6" s="1602">
        <v>1016440038</v>
      </c>
      <c r="E6" s="1601" t="str">
        <f t="shared" si="0"/>
        <v>1016440038</v>
      </c>
      <c r="F6" s="1603">
        <v>0</v>
      </c>
      <c r="G6" s="1600" t="s">
        <v>1207</v>
      </c>
      <c r="H6" s="491"/>
    </row>
    <row r="7" spans="1:8">
      <c r="A7" s="634" t="s">
        <v>1001</v>
      </c>
      <c r="B7" s="1120">
        <v>1644</v>
      </c>
      <c r="C7" s="1601">
        <v>39</v>
      </c>
      <c r="D7" s="1602">
        <v>1016440039</v>
      </c>
      <c r="E7" s="1601" t="str">
        <f t="shared" si="0"/>
        <v>1016440039</v>
      </c>
      <c r="F7" s="1603">
        <v>0</v>
      </c>
      <c r="G7" s="1600" t="s">
        <v>1207</v>
      </c>
      <c r="H7" s="491"/>
    </row>
    <row r="8" spans="1:8">
      <c r="A8" s="634" t="s">
        <v>1004</v>
      </c>
      <c r="B8" s="1120">
        <v>1661</v>
      </c>
      <c r="C8" s="1601" t="s">
        <v>1208</v>
      </c>
      <c r="D8" s="1602">
        <v>1016610004</v>
      </c>
      <c r="E8" s="1601" t="str">
        <f t="shared" si="0"/>
        <v>1016610004</v>
      </c>
      <c r="F8" s="1603">
        <v>39.525444444444446</v>
      </c>
      <c r="G8" s="1600" t="s">
        <v>1207</v>
      </c>
      <c r="H8" s="491"/>
    </row>
    <row r="9" spans="1:8">
      <c r="A9" s="634" t="s">
        <v>1006</v>
      </c>
      <c r="B9" s="1120">
        <v>1645</v>
      </c>
      <c r="C9" s="1601">
        <v>35</v>
      </c>
      <c r="D9" s="1602">
        <v>1016450035</v>
      </c>
      <c r="E9" s="1601" t="str">
        <f t="shared" si="0"/>
        <v>1016450035</v>
      </c>
      <c r="F9" s="1603">
        <v>83.918333333333337</v>
      </c>
      <c r="G9" s="1600" t="s">
        <v>1207</v>
      </c>
      <c r="H9" s="491"/>
    </row>
    <row r="10" spans="1:8">
      <c r="A10" s="634" t="s">
        <v>1006</v>
      </c>
      <c r="B10" s="1120">
        <v>1645</v>
      </c>
      <c r="C10" s="1601">
        <v>33</v>
      </c>
      <c r="D10" s="1602">
        <v>1016450033</v>
      </c>
      <c r="E10" s="1601" t="str">
        <f t="shared" si="0"/>
        <v>1016450033</v>
      </c>
      <c r="F10" s="1603">
        <v>0</v>
      </c>
      <c r="G10" s="1600" t="s">
        <v>1207</v>
      </c>
      <c r="H10" s="491"/>
    </row>
    <row r="11" spans="1:8">
      <c r="A11" s="634" t="s">
        <v>1009</v>
      </c>
      <c r="B11" s="1120">
        <v>1633</v>
      </c>
      <c r="C11" s="1601">
        <v>39</v>
      </c>
      <c r="D11" s="1602">
        <v>1016330039</v>
      </c>
      <c r="E11" s="1601" t="str">
        <f t="shared" si="0"/>
        <v>1016330039</v>
      </c>
      <c r="F11" s="1603">
        <v>41.337555555555561</v>
      </c>
      <c r="G11" s="1600" t="s">
        <v>1207</v>
      </c>
      <c r="H11" s="491"/>
    </row>
    <row r="12" spans="1:8">
      <c r="A12" s="634" t="s">
        <v>1009</v>
      </c>
      <c r="B12" s="1120">
        <v>1633</v>
      </c>
      <c r="C12" s="1601">
        <v>38</v>
      </c>
      <c r="D12" s="1602">
        <v>1016330038</v>
      </c>
      <c r="E12" s="1601" t="str">
        <f t="shared" si="0"/>
        <v>1016330038</v>
      </c>
      <c r="F12" s="1603">
        <v>0</v>
      </c>
      <c r="G12" s="1600" t="s">
        <v>1207</v>
      </c>
      <c r="H12" s="491"/>
    </row>
    <row r="13" spans="1:8">
      <c r="A13" s="634" t="s">
        <v>1011</v>
      </c>
      <c r="B13" s="1120">
        <v>1643</v>
      </c>
      <c r="C13" s="1601">
        <v>38</v>
      </c>
      <c r="D13" s="1602">
        <v>1016430038</v>
      </c>
      <c r="E13" s="1601" t="str">
        <f t="shared" si="0"/>
        <v>1016430038</v>
      </c>
      <c r="F13" s="1603">
        <v>54.036333333333339</v>
      </c>
      <c r="G13" s="1600" t="s">
        <v>1207</v>
      </c>
      <c r="H13" s="491"/>
    </row>
    <row r="14" spans="1:8">
      <c r="A14" s="634" t="s">
        <v>1011</v>
      </c>
      <c r="B14" s="1120">
        <v>1643</v>
      </c>
      <c r="C14" s="1601">
        <v>39</v>
      </c>
      <c r="D14" s="1602">
        <v>1016430039</v>
      </c>
      <c r="E14" s="1601" t="str">
        <f t="shared" si="0"/>
        <v>1016430039</v>
      </c>
      <c r="F14" s="1603">
        <v>0</v>
      </c>
      <c r="G14" s="1600" t="s">
        <v>1207</v>
      </c>
      <c r="H14" s="491"/>
    </row>
    <row r="15" spans="1:8">
      <c r="A15" s="634" t="s">
        <v>1011</v>
      </c>
      <c r="B15" s="1120">
        <v>1643</v>
      </c>
      <c r="C15" s="1601">
        <v>40</v>
      </c>
      <c r="D15" s="1602">
        <v>1016430040</v>
      </c>
      <c r="E15" s="1601" t="str">
        <f t="shared" si="0"/>
        <v>1016430040</v>
      </c>
      <c r="F15" s="1603">
        <v>0</v>
      </c>
      <c r="G15" s="1600" t="s">
        <v>1207</v>
      </c>
      <c r="H15" s="491"/>
    </row>
    <row r="16" spans="1:8">
      <c r="A16" s="634" t="s">
        <v>1013</v>
      </c>
      <c r="B16" s="1120">
        <v>1639</v>
      </c>
      <c r="C16" s="1601">
        <v>39</v>
      </c>
      <c r="D16" s="1602">
        <v>1016390039</v>
      </c>
      <c r="E16" s="1601" t="str">
        <f t="shared" si="0"/>
        <v>1016390039</v>
      </c>
      <c r="F16" s="1603">
        <v>82.66</v>
      </c>
      <c r="G16" s="1600" t="s">
        <v>1207</v>
      </c>
      <c r="H16" s="491"/>
    </row>
    <row r="17" spans="1:8">
      <c r="A17" s="634" t="s">
        <v>1013</v>
      </c>
      <c r="B17" s="1120">
        <v>1639</v>
      </c>
      <c r="C17" s="1601">
        <v>40</v>
      </c>
      <c r="D17" s="1602">
        <v>1016390040</v>
      </c>
      <c r="E17" s="1601" t="str">
        <f t="shared" si="0"/>
        <v>1016390040</v>
      </c>
      <c r="F17" s="1603">
        <v>0</v>
      </c>
      <c r="G17" s="1600" t="s">
        <v>1207</v>
      </c>
      <c r="H17" s="491"/>
    </row>
    <row r="18" spans="1:8">
      <c r="A18" s="634" t="s">
        <v>1013</v>
      </c>
      <c r="B18" s="1120">
        <v>1639</v>
      </c>
      <c r="C18" s="1601">
        <v>41</v>
      </c>
      <c r="D18" s="1602">
        <v>1016390041</v>
      </c>
      <c r="E18" s="1601" t="str">
        <f t="shared" si="0"/>
        <v>1016390041</v>
      </c>
      <c r="F18" s="1603">
        <v>0</v>
      </c>
      <c r="G18" s="1600" t="s">
        <v>1207</v>
      </c>
      <c r="H18" s="491"/>
    </row>
    <row r="19" spans="1:8">
      <c r="A19" s="634" t="s">
        <v>1013</v>
      </c>
      <c r="B19" s="1120">
        <v>1639</v>
      </c>
      <c r="C19" s="1601">
        <v>38</v>
      </c>
      <c r="D19" s="1602">
        <v>1016390038</v>
      </c>
      <c r="E19" s="1601" t="str">
        <f t="shared" si="0"/>
        <v>1016390038</v>
      </c>
      <c r="F19" s="1603">
        <v>0</v>
      </c>
      <c r="G19" s="1600" t="s">
        <v>1207</v>
      </c>
      <c r="H19" s="491"/>
    </row>
    <row r="20" spans="1:8">
      <c r="A20" s="634" t="s">
        <v>1013</v>
      </c>
      <c r="B20" s="1120">
        <v>1639</v>
      </c>
      <c r="C20" s="1601">
        <v>137</v>
      </c>
      <c r="D20" s="1602">
        <v>1016390137</v>
      </c>
      <c r="E20" s="1601" t="str">
        <f t="shared" si="0"/>
        <v>1016390137</v>
      </c>
      <c r="F20" s="1603">
        <v>0</v>
      </c>
      <c r="G20" s="1600" t="s">
        <v>1207</v>
      </c>
      <c r="H20" s="491"/>
    </row>
    <row r="21" spans="1:8">
      <c r="A21" s="634" t="s">
        <v>1027</v>
      </c>
      <c r="B21" s="1120">
        <v>1784</v>
      </c>
      <c r="C21" s="1601">
        <v>45</v>
      </c>
      <c r="D21" s="1602">
        <v>1017840045</v>
      </c>
      <c r="E21" s="1601" t="str">
        <f t="shared" si="0"/>
        <v>1017840045</v>
      </c>
      <c r="F21" s="1603">
        <v>112.71888888888888</v>
      </c>
      <c r="G21" s="1600" t="s">
        <v>1207</v>
      </c>
      <c r="H21" s="491"/>
    </row>
    <row r="22" spans="1:8">
      <c r="A22" s="634" t="s">
        <v>1027</v>
      </c>
      <c r="B22" s="1120">
        <v>1784</v>
      </c>
      <c r="C22" s="1601">
        <v>4</v>
      </c>
      <c r="D22" s="1602">
        <v>1017840004</v>
      </c>
      <c r="E22" s="1601" t="str">
        <f t="shared" si="0"/>
        <v>1017840004</v>
      </c>
      <c r="F22" s="1603">
        <v>0</v>
      </c>
      <c r="G22" s="1600" t="s">
        <v>1207</v>
      </c>
      <c r="H22" s="491"/>
    </row>
    <row r="23" spans="1:8">
      <c r="A23" s="634" t="s">
        <v>1027</v>
      </c>
      <c r="B23" s="1120">
        <v>1784</v>
      </c>
      <c r="C23" s="1601">
        <v>47</v>
      </c>
      <c r="D23" s="1602">
        <v>1017840047</v>
      </c>
      <c r="E23" s="1601" t="str">
        <f t="shared" si="0"/>
        <v>1017840047</v>
      </c>
      <c r="F23" s="1603">
        <v>0</v>
      </c>
      <c r="G23" s="1600" t="s">
        <v>1207</v>
      </c>
      <c r="H23" s="491"/>
    </row>
    <row r="24" spans="1:8">
      <c r="A24" s="634" t="s">
        <v>1027</v>
      </c>
      <c r="B24" s="1120">
        <v>1784</v>
      </c>
      <c r="C24" s="1601">
        <v>48</v>
      </c>
      <c r="D24" s="1602">
        <v>1017840048</v>
      </c>
      <c r="E24" s="1601" t="str">
        <f t="shared" si="0"/>
        <v>1017840048</v>
      </c>
      <c r="F24" s="1603">
        <v>0</v>
      </c>
      <c r="G24" s="1600" t="s">
        <v>1207</v>
      </c>
      <c r="H24" s="491"/>
    </row>
    <row r="25" spans="1:8">
      <c r="A25" s="634" t="s">
        <v>1029</v>
      </c>
      <c r="B25" s="1120">
        <v>1748</v>
      </c>
      <c r="C25" s="1601">
        <v>35</v>
      </c>
      <c r="D25" s="1602">
        <v>1017480035</v>
      </c>
      <c r="E25" s="1601" t="str">
        <f t="shared" si="0"/>
        <v>1017480035</v>
      </c>
      <c r="F25" s="1603">
        <v>190.40777777777777</v>
      </c>
      <c r="G25" s="1600" t="s">
        <v>1207</v>
      </c>
      <c r="H25" s="491"/>
    </row>
    <row r="26" spans="1:8">
      <c r="A26" s="634" t="s">
        <v>1031</v>
      </c>
      <c r="B26" s="1120">
        <v>1748</v>
      </c>
      <c r="C26" s="1601">
        <v>1</v>
      </c>
      <c r="D26" s="1602">
        <v>1017480001</v>
      </c>
      <c r="E26" s="1601" t="str">
        <f t="shared" si="0"/>
        <v>1017480001</v>
      </c>
      <c r="F26" s="1603">
        <v>138.37444444444444</v>
      </c>
      <c r="G26" s="1600" t="s">
        <v>1207</v>
      </c>
      <c r="H26" s="491"/>
    </row>
    <row r="27" spans="1:8">
      <c r="A27" s="634" t="s">
        <v>1033</v>
      </c>
      <c r="B27" s="1120">
        <v>1667</v>
      </c>
      <c r="C27" s="1601">
        <v>45</v>
      </c>
      <c r="D27" s="1602">
        <v>1016670045</v>
      </c>
      <c r="E27" s="1601" t="str">
        <f t="shared" si="0"/>
        <v>1016670045</v>
      </c>
      <c r="F27" s="1603">
        <v>85.468666666666664</v>
      </c>
      <c r="G27" s="1600" t="s">
        <v>1207</v>
      </c>
      <c r="H27" s="491"/>
    </row>
    <row r="28" spans="1:8">
      <c r="A28" s="634" t="s">
        <v>1036</v>
      </c>
      <c r="B28" s="1120">
        <v>1771</v>
      </c>
      <c r="C28" s="1601">
        <v>70</v>
      </c>
      <c r="D28" s="1602">
        <v>1017710070</v>
      </c>
      <c r="E28" s="1601" t="str">
        <f t="shared" si="0"/>
        <v>1017710070</v>
      </c>
      <c r="F28" s="1603">
        <v>53.796666666666667</v>
      </c>
      <c r="G28" s="1600" t="s">
        <v>1207</v>
      </c>
      <c r="H28" s="491"/>
    </row>
    <row r="29" spans="1:8">
      <c r="A29" s="634" t="s">
        <v>1036</v>
      </c>
      <c r="B29" s="1120">
        <v>1771</v>
      </c>
      <c r="C29" s="1601">
        <v>69</v>
      </c>
      <c r="D29" s="1602">
        <v>1017710069</v>
      </c>
      <c r="E29" s="1601" t="str">
        <f t="shared" si="0"/>
        <v>1017710069</v>
      </c>
      <c r="F29" s="1603">
        <v>0</v>
      </c>
      <c r="G29" s="1600" t="s">
        <v>1207</v>
      </c>
      <c r="H29" s="491"/>
    </row>
    <row r="30" spans="1:8">
      <c r="A30" s="634" t="s">
        <v>1036</v>
      </c>
      <c r="B30" s="1120">
        <v>1771</v>
      </c>
      <c r="C30" s="1601">
        <v>71</v>
      </c>
      <c r="D30" s="1602">
        <v>1017710071</v>
      </c>
      <c r="E30" s="1601" t="str">
        <f t="shared" si="0"/>
        <v>1017710071</v>
      </c>
      <c r="F30" s="1603">
        <v>0</v>
      </c>
      <c r="G30" s="1600" t="s">
        <v>1207</v>
      </c>
      <c r="H30" s="491"/>
    </row>
    <row r="31" spans="1:8">
      <c r="A31" s="634" t="s">
        <v>1038</v>
      </c>
      <c r="B31" s="1120">
        <v>1655</v>
      </c>
      <c r="C31" s="1601">
        <v>45</v>
      </c>
      <c r="D31" s="1602">
        <v>1016550045</v>
      </c>
      <c r="E31" s="1601" t="str">
        <f t="shared" si="0"/>
        <v>1016550045</v>
      </c>
      <c r="F31" s="1603">
        <v>78.651111111111106</v>
      </c>
      <c r="G31" s="1600" t="s">
        <v>1207</v>
      </c>
      <c r="H31" s="491"/>
    </row>
    <row r="32" spans="1:8">
      <c r="A32" s="634" t="s">
        <v>1209</v>
      </c>
      <c r="B32" s="1120">
        <v>1775</v>
      </c>
      <c r="C32" s="1601">
        <v>170</v>
      </c>
      <c r="D32" s="1602">
        <v>1017750170</v>
      </c>
      <c r="E32" s="1601" t="str">
        <f t="shared" si="0"/>
        <v>1017750170</v>
      </c>
      <c r="F32" s="1603">
        <v>28.49</v>
      </c>
      <c r="G32" s="1600" t="s">
        <v>1207</v>
      </c>
      <c r="H32" s="491"/>
    </row>
    <row r="33" spans="1:8">
      <c r="A33" s="634" t="s">
        <v>1210</v>
      </c>
      <c r="B33" s="1120">
        <v>1638</v>
      </c>
      <c r="C33" s="1601">
        <v>33</v>
      </c>
      <c r="D33" s="1602">
        <v>1016380033</v>
      </c>
      <c r="E33" s="1601" t="str">
        <f t="shared" si="0"/>
        <v>1016380033</v>
      </c>
      <c r="F33" s="1603">
        <v>68.387111111111125</v>
      </c>
      <c r="G33" s="1600" t="s">
        <v>1207</v>
      </c>
      <c r="H33" s="491"/>
    </row>
    <row r="34" spans="1:8">
      <c r="A34" s="634" t="s">
        <v>1211</v>
      </c>
      <c r="B34" s="1120">
        <v>1788</v>
      </c>
      <c r="C34" s="1601">
        <v>4</v>
      </c>
      <c r="D34" s="1602">
        <v>1017880004</v>
      </c>
      <c r="E34" s="1601" t="str">
        <f t="shared" si="0"/>
        <v>1017880004</v>
      </c>
      <c r="F34" s="1603">
        <v>85.152444444444441</v>
      </c>
      <c r="G34" s="1600" t="s">
        <v>1207</v>
      </c>
      <c r="H34" s="491"/>
    </row>
    <row r="35" spans="1:8">
      <c r="A35" s="634" t="s">
        <v>1211</v>
      </c>
      <c r="B35" s="1120">
        <v>1788</v>
      </c>
      <c r="C35" s="1601">
        <v>48</v>
      </c>
      <c r="D35" s="1602">
        <v>1017880048</v>
      </c>
      <c r="E35" s="1601" t="str">
        <f t="shared" si="0"/>
        <v>1017880048</v>
      </c>
      <c r="F35" s="1603">
        <v>0</v>
      </c>
      <c r="G35" s="1600" t="s">
        <v>1207</v>
      </c>
      <c r="H35" s="491"/>
    </row>
    <row r="36" spans="1:8">
      <c r="A36" s="634" t="s">
        <v>1211</v>
      </c>
      <c r="B36" s="1120">
        <v>1788</v>
      </c>
      <c r="C36" s="1601">
        <v>49</v>
      </c>
      <c r="D36" s="1602">
        <v>1017880049</v>
      </c>
      <c r="E36" s="1601" t="str">
        <f t="shared" si="0"/>
        <v>1017880049</v>
      </c>
      <c r="F36" s="1603">
        <v>0</v>
      </c>
      <c r="G36" s="1600" t="s">
        <v>1207</v>
      </c>
      <c r="H36" s="491"/>
    </row>
    <row r="37" spans="1:8">
      <c r="A37" s="634" t="s">
        <v>1211</v>
      </c>
      <c r="B37" s="1120">
        <v>1788</v>
      </c>
      <c r="C37" s="1601">
        <v>50</v>
      </c>
      <c r="D37" s="1602">
        <v>1017880050</v>
      </c>
      <c r="E37" s="1601" t="str">
        <f t="shared" si="0"/>
        <v>1017880050</v>
      </c>
      <c r="F37" s="1603">
        <v>0</v>
      </c>
      <c r="G37" s="1600" t="s">
        <v>1207</v>
      </c>
      <c r="H37" s="491"/>
    </row>
    <row r="38" spans="1:8">
      <c r="A38" s="1600">
        <v>2</v>
      </c>
      <c r="B38" s="1600">
        <v>1769</v>
      </c>
      <c r="C38" s="1600">
        <v>3</v>
      </c>
      <c r="D38" s="1604">
        <v>1017690003</v>
      </c>
      <c r="E38" s="1601" t="str">
        <f t="shared" si="0"/>
        <v>1017690003</v>
      </c>
      <c r="F38" s="1605">
        <v>94.155000000000001</v>
      </c>
      <c r="G38" s="1600" t="s">
        <v>1212</v>
      </c>
      <c r="H38" s="491"/>
    </row>
    <row r="39" spans="1:8">
      <c r="A39" s="1600">
        <v>3</v>
      </c>
      <c r="B39" s="1600">
        <v>1623</v>
      </c>
      <c r="C39" s="1600">
        <v>33</v>
      </c>
      <c r="D39" s="1604">
        <v>1016230033</v>
      </c>
      <c r="E39" s="1601" t="str">
        <f t="shared" si="0"/>
        <v>1016230033</v>
      </c>
      <c r="F39" s="1605">
        <v>73.25311111111111</v>
      </c>
      <c r="G39" s="1600" t="s">
        <v>1212</v>
      </c>
      <c r="H39" s="491"/>
    </row>
    <row r="40" spans="1:8">
      <c r="A40" s="1600">
        <v>3</v>
      </c>
      <c r="B40" s="1600">
        <v>1623</v>
      </c>
      <c r="C40" s="1606">
        <v>34</v>
      </c>
      <c r="D40" s="1607">
        <v>1016230034</v>
      </c>
      <c r="E40" s="1601" t="str">
        <f t="shared" si="0"/>
        <v>1016230034</v>
      </c>
      <c r="F40" s="1608">
        <v>0</v>
      </c>
      <c r="G40" s="1600" t="s">
        <v>1212</v>
      </c>
      <c r="H40" s="491"/>
    </row>
    <row r="41" spans="1:8">
      <c r="A41" s="1600">
        <v>4</v>
      </c>
      <c r="B41" s="1600">
        <v>1775</v>
      </c>
      <c r="C41" s="1600">
        <v>3</v>
      </c>
      <c r="D41" s="1604">
        <v>1017750003</v>
      </c>
      <c r="E41" s="1601" t="str">
        <f t="shared" si="0"/>
        <v>1017750003</v>
      </c>
      <c r="F41" s="1605">
        <v>798</v>
      </c>
      <c r="G41" s="1600" t="s">
        <v>1212</v>
      </c>
      <c r="H41" s="491"/>
    </row>
    <row r="42" spans="1:8">
      <c r="A42" s="1600">
        <v>4</v>
      </c>
      <c r="B42" s="1600">
        <v>1775</v>
      </c>
      <c r="C42" s="1609">
        <v>6</v>
      </c>
      <c r="D42" s="1610">
        <v>1017750006</v>
      </c>
      <c r="E42" s="1601" t="str">
        <f t="shared" si="0"/>
        <v>1017750006</v>
      </c>
      <c r="F42" s="1611">
        <v>0</v>
      </c>
      <c r="G42" s="1600" t="s">
        <v>1212</v>
      </c>
      <c r="H42" s="491"/>
    </row>
    <row r="43" spans="1:8">
      <c r="A43" s="1600">
        <v>4</v>
      </c>
      <c r="B43" s="1600">
        <v>1775</v>
      </c>
      <c r="C43" s="1609">
        <v>165</v>
      </c>
      <c r="D43" s="1610">
        <v>1017750165</v>
      </c>
      <c r="E43" s="1601" t="str">
        <f t="shared" si="0"/>
        <v>1017750165</v>
      </c>
      <c r="F43" s="1611">
        <v>0</v>
      </c>
      <c r="G43" s="1600" t="s">
        <v>1212</v>
      </c>
      <c r="H43" s="491"/>
    </row>
    <row r="44" spans="1:8">
      <c r="A44" s="1600">
        <v>4</v>
      </c>
      <c r="B44" s="1600">
        <v>1775</v>
      </c>
      <c r="C44" s="1609">
        <v>168</v>
      </c>
      <c r="D44" s="1610">
        <v>1017750168</v>
      </c>
      <c r="E44" s="1601" t="str">
        <f t="shared" si="0"/>
        <v>1017750168</v>
      </c>
      <c r="F44" s="1611">
        <v>0</v>
      </c>
      <c r="G44" s="1600" t="s">
        <v>1212</v>
      </c>
      <c r="H44" s="491"/>
    </row>
    <row r="45" spans="1:8">
      <c r="A45" s="1600">
        <v>4</v>
      </c>
      <c r="B45" s="1600">
        <v>1775</v>
      </c>
      <c r="C45" s="1609">
        <v>71</v>
      </c>
      <c r="D45" s="1610">
        <v>1017750071</v>
      </c>
      <c r="E45" s="1601" t="str">
        <f t="shared" si="0"/>
        <v>1017750071</v>
      </c>
      <c r="F45" s="1611">
        <v>0</v>
      </c>
      <c r="G45" s="1600" t="s">
        <v>1212</v>
      </c>
      <c r="H45" s="491"/>
    </row>
    <row r="46" spans="1:8">
      <c r="A46" s="1600">
        <v>6</v>
      </c>
      <c r="B46" s="1600">
        <v>1746</v>
      </c>
      <c r="C46" s="1600">
        <v>33</v>
      </c>
      <c r="D46" s="1604">
        <v>1017460033</v>
      </c>
      <c r="E46" s="1601" t="str">
        <f t="shared" si="0"/>
        <v>1017460033</v>
      </c>
      <c r="F46" s="1605">
        <v>196.6838888888889</v>
      </c>
      <c r="G46" s="1600" t="s">
        <v>1212</v>
      </c>
      <c r="H46" s="491"/>
    </row>
    <row r="47" spans="1:8">
      <c r="A47" s="1600">
        <v>7</v>
      </c>
      <c r="B47" s="1600">
        <v>1745</v>
      </c>
      <c r="C47" s="1600">
        <v>134</v>
      </c>
      <c r="D47" s="1604">
        <v>1017450134</v>
      </c>
      <c r="E47" s="1601" t="str">
        <f t="shared" si="0"/>
        <v>1017450134</v>
      </c>
      <c r="F47" s="1605">
        <v>166.82488888888889</v>
      </c>
      <c r="G47" s="1600" t="s">
        <v>1212</v>
      </c>
      <c r="H47" s="491"/>
    </row>
    <row r="48" spans="1:8" ht="30">
      <c r="A48" s="1600">
        <v>11</v>
      </c>
      <c r="B48" s="1605">
        <v>142.55988888888888</v>
      </c>
      <c r="C48" s="1600">
        <f>INDEX([3]Sheet2!B:B,MATCH([3]Sheet1!A25,[3]Sheet2!A:A,0))</f>
        <v>1655</v>
      </c>
      <c r="D48" s="1604">
        <v>10142.5598888888</v>
      </c>
      <c r="E48" s="1601" t="str">
        <f t="shared" si="0"/>
        <v>10142.5598888888891655</v>
      </c>
      <c r="F48" s="1605">
        <v>142.55988888888888</v>
      </c>
      <c r="G48" s="1600" t="s">
        <v>1212</v>
      </c>
      <c r="H48" s="491"/>
    </row>
    <row r="49" spans="1:8">
      <c r="A49" s="1600">
        <v>12</v>
      </c>
      <c r="B49" s="1600">
        <v>1770</v>
      </c>
      <c r="C49" s="1600">
        <v>36</v>
      </c>
      <c r="D49" s="1604">
        <v>1017700036</v>
      </c>
      <c r="E49" s="1601" t="str">
        <f t="shared" si="0"/>
        <v>1017700036</v>
      </c>
      <c r="F49" s="1605">
        <v>122.05544444444445</v>
      </c>
      <c r="G49" s="1600" t="s">
        <v>1212</v>
      </c>
      <c r="H49" s="491"/>
    </row>
    <row r="50" spans="1:8">
      <c r="A50" s="1600">
        <v>13</v>
      </c>
      <c r="B50" s="1600">
        <v>1786</v>
      </c>
      <c r="C50" s="1600">
        <v>4</v>
      </c>
      <c r="D50" s="1604">
        <v>1017860004</v>
      </c>
      <c r="E50" s="1601" t="str">
        <f t="shared" si="0"/>
        <v>1017860004</v>
      </c>
      <c r="F50" s="1605">
        <v>109.14655555555557</v>
      </c>
      <c r="G50" s="1600" t="s">
        <v>1212</v>
      </c>
      <c r="H50" s="491"/>
    </row>
    <row r="51" spans="1:8">
      <c r="A51" s="1600">
        <v>13</v>
      </c>
      <c r="B51" s="1600">
        <v>1786</v>
      </c>
      <c r="C51" s="1600">
        <v>47</v>
      </c>
      <c r="D51" s="1604">
        <v>1017860047</v>
      </c>
      <c r="E51" s="1601" t="str">
        <f t="shared" si="0"/>
        <v>1017860047</v>
      </c>
      <c r="F51" s="1605">
        <v>0</v>
      </c>
      <c r="G51" s="1600" t="s">
        <v>1212</v>
      </c>
      <c r="H51" s="491"/>
    </row>
    <row r="52" spans="1:8">
      <c r="A52" s="1600">
        <v>14</v>
      </c>
      <c r="B52" s="1600">
        <v>1767</v>
      </c>
      <c r="C52" s="1600">
        <v>33</v>
      </c>
      <c r="D52" s="1604">
        <v>1017670033</v>
      </c>
      <c r="E52" s="1601" t="str">
        <f t="shared" si="0"/>
        <v>1017670033</v>
      </c>
      <c r="F52" s="1605">
        <v>92.003444444444455</v>
      </c>
      <c r="G52" s="1600" t="s">
        <v>1212</v>
      </c>
      <c r="H52" s="491"/>
    </row>
    <row r="53" spans="1:8">
      <c r="A53" s="1600">
        <v>15</v>
      </c>
      <c r="B53" s="1600">
        <v>1636</v>
      </c>
      <c r="C53" s="1600">
        <v>40</v>
      </c>
      <c r="D53" s="1604">
        <v>1016360040</v>
      </c>
      <c r="E53" s="1601" t="str">
        <f t="shared" si="0"/>
        <v>1016360040</v>
      </c>
      <c r="F53" s="1605">
        <v>65.251888888888885</v>
      </c>
      <c r="G53" s="1600" t="s">
        <v>1212</v>
      </c>
      <c r="H53" s="491"/>
    </row>
    <row r="54" spans="1:8">
      <c r="A54" s="1600">
        <v>15</v>
      </c>
      <c r="B54" s="1600">
        <v>1636</v>
      </c>
      <c r="C54" s="1600">
        <v>138</v>
      </c>
      <c r="D54" s="1604">
        <v>1016360138</v>
      </c>
      <c r="E54" s="1601" t="str">
        <f t="shared" si="0"/>
        <v>1016360138</v>
      </c>
      <c r="F54" s="1605">
        <v>0</v>
      </c>
      <c r="G54" s="1600" t="s">
        <v>1212</v>
      </c>
      <c r="H54" s="491"/>
    </row>
    <row r="55" spans="1:8">
      <c r="A55" s="1600">
        <v>15</v>
      </c>
      <c r="B55" s="1600">
        <v>1636</v>
      </c>
      <c r="C55" s="1600">
        <v>38</v>
      </c>
      <c r="D55" s="1604">
        <v>1016360038</v>
      </c>
      <c r="E55" s="1601" t="str">
        <f t="shared" si="0"/>
        <v>1016360038</v>
      </c>
      <c r="F55" s="1605">
        <v>0</v>
      </c>
      <c r="G55" s="1600" t="s">
        <v>1212</v>
      </c>
      <c r="H55" s="491"/>
    </row>
    <row r="56" spans="1:8">
      <c r="A56" s="1600">
        <v>15</v>
      </c>
      <c r="B56" s="1600">
        <v>1636</v>
      </c>
      <c r="C56" s="1600">
        <v>39</v>
      </c>
      <c r="D56" s="1604">
        <v>1016360039</v>
      </c>
      <c r="E56" s="1601" t="str">
        <f t="shared" si="0"/>
        <v>1016360039</v>
      </c>
      <c r="F56" s="1605">
        <v>0</v>
      </c>
      <c r="G56" s="1600" t="s">
        <v>1212</v>
      </c>
      <c r="H56" s="491"/>
    </row>
    <row r="57" spans="1:8">
      <c r="A57" s="1600">
        <v>15</v>
      </c>
      <c r="B57" s="1600">
        <v>1636</v>
      </c>
      <c r="C57" s="1600">
        <v>37</v>
      </c>
      <c r="D57" s="1604">
        <v>1016360037</v>
      </c>
      <c r="E57" s="1601" t="str">
        <f t="shared" si="0"/>
        <v>1016360037</v>
      </c>
      <c r="F57" s="1605">
        <v>0</v>
      </c>
      <c r="G57" s="1600" t="s">
        <v>1212</v>
      </c>
      <c r="H57" s="491"/>
    </row>
    <row r="58" spans="1:8">
      <c r="A58" s="1600">
        <v>15</v>
      </c>
      <c r="B58" s="1600">
        <v>1636</v>
      </c>
      <c r="C58" s="1600">
        <v>139</v>
      </c>
      <c r="D58" s="1604">
        <v>1016360139</v>
      </c>
      <c r="E58" s="1601" t="str">
        <f t="shared" si="0"/>
        <v>1016360139</v>
      </c>
      <c r="F58" s="1605">
        <v>0</v>
      </c>
      <c r="G58" s="1600" t="s">
        <v>1212</v>
      </c>
      <c r="H58" s="491"/>
    </row>
    <row r="59" spans="1:8">
      <c r="A59" s="1600">
        <v>16</v>
      </c>
      <c r="B59" s="1600">
        <v>1643</v>
      </c>
      <c r="C59" s="1600">
        <v>35</v>
      </c>
      <c r="D59" s="1604">
        <v>1016430035</v>
      </c>
      <c r="E59" s="1601" t="str">
        <f t="shared" si="0"/>
        <v>1016430035</v>
      </c>
      <c r="F59" s="1605">
        <v>99.75577777777778</v>
      </c>
      <c r="G59" s="1600" t="s">
        <v>1212</v>
      </c>
      <c r="H59" s="491"/>
    </row>
    <row r="60" spans="1:8">
      <c r="A60" s="1600">
        <v>16</v>
      </c>
      <c r="B60" s="1600">
        <v>1643</v>
      </c>
      <c r="C60" s="1600">
        <v>37</v>
      </c>
      <c r="D60" s="1604">
        <v>1016430037</v>
      </c>
      <c r="E60" s="1601" t="str">
        <f t="shared" si="0"/>
        <v>1016430037</v>
      </c>
      <c r="F60" s="1605">
        <v>0</v>
      </c>
      <c r="G60" s="1600" t="s">
        <v>1212</v>
      </c>
      <c r="H60" s="491"/>
    </row>
    <row r="61" spans="1:8">
      <c r="A61" s="1600">
        <v>16</v>
      </c>
      <c r="B61" s="1600">
        <v>1643</v>
      </c>
      <c r="C61" s="1600">
        <v>137</v>
      </c>
      <c r="D61" s="1604">
        <v>1016430137</v>
      </c>
      <c r="E61" s="1601" t="str">
        <f t="shared" si="0"/>
        <v>1016430137</v>
      </c>
      <c r="F61" s="1605">
        <v>0</v>
      </c>
      <c r="G61" s="1600" t="s">
        <v>1212</v>
      </c>
      <c r="H61" s="491"/>
    </row>
    <row r="62" spans="1:8">
      <c r="A62" s="1600">
        <v>16</v>
      </c>
      <c r="B62" s="1600">
        <v>1643</v>
      </c>
      <c r="C62" s="1600">
        <v>33</v>
      </c>
      <c r="D62" s="1604">
        <v>1016430033</v>
      </c>
      <c r="E62" s="1601" t="str">
        <f t="shared" si="0"/>
        <v>1016430033</v>
      </c>
      <c r="F62" s="1605">
        <v>0</v>
      </c>
      <c r="G62" s="1600" t="s">
        <v>1212</v>
      </c>
      <c r="H62" s="491"/>
    </row>
    <row r="63" spans="1:8">
      <c r="A63" s="1600">
        <v>17</v>
      </c>
      <c r="B63" s="1600">
        <v>1660</v>
      </c>
      <c r="C63" s="1600">
        <v>3</v>
      </c>
      <c r="D63" s="1604">
        <v>1016600003</v>
      </c>
      <c r="E63" s="1601" t="str">
        <f t="shared" si="0"/>
        <v>1016600003</v>
      </c>
      <c r="F63" s="1605">
        <v>179.46655555555554</v>
      </c>
      <c r="G63" s="1600" t="s">
        <v>1212</v>
      </c>
      <c r="H63" s="491"/>
    </row>
    <row r="64" spans="1:8">
      <c r="A64" s="1600">
        <v>17</v>
      </c>
      <c r="B64" s="1600">
        <v>1660</v>
      </c>
      <c r="C64" s="1600">
        <v>4</v>
      </c>
      <c r="D64" s="1604">
        <v>1016600004</v>
      </c>
      <c r="E64" s="1601" t="str">
        <f t="shared" si="0"/>
        <v>1016600004</v>
      </c>
      <c r="F64" s="1605">
        <v>0</v>
      </c>
      <c r="G64" s="1600" t="s">
        <v>1212</v>
      </c>
      <c r="H64" s="491"/>
    </row>
    <row r="65" spans="1:8">
      <c r="A65" s="1600">
        <v>17</v>
      </c>
      <c r="B65" s="1600">
        <v>1660</v>
      </c>
      <c r="C65" s="1600">
        <v>45</v>
      </c>
      <c r="D65" s="1604">
        <v>1016600045</v>
      </c>
      <c r="E65" s="1601" t="str">
        <f t="shared" si="0"/>
        <v>1016600045</v>
      </c>
      <c r="F65" s="1605">
        <v>0</v>
      </c>
      <c r="G65" s="1600" t="s">
        <v>1212</v>
      </c>
      <c r="H65" s="491"/>
    </row>
    <row r="66" spans="1:8">
      <c r="A66" s="1600">
        <v>17</v>
      </c>
      <c r="B66" s="1600">
        <v>1660</v>
      </c>
      <c r="C66" s="1600">
        <v>1</v>
      </c>
      <c r="D66" s="1604">
        <v>1016600001</v>
      </c>
      <c r="E66" s="1601" t="str">
        <f t="shared" ref="E66:E115" si="1">CONCATENATE("10",B66,RIGHT(CONCATENATE("000", C66),4))</f>
        <v>1016600001</v>
      </c>
      <c r="F66" s="1605">
        <v>0</v>
      </c>
      <c r="G66" s="1600" t="s">
        <v>1212</v>
      </c>
      <c r="H66" s="491"/>
    </row>
    <row r="67" spans="1:8">
      <c r="A67" s="1600">
        <v>18</v>
      </c>
      <c r="B67" s="1600">
        <v>1635</v>
      </c>
      <c r="C67" s="1600">
        <v>33</v>
      </c>
      <c r="D67" s="1604">
        <v>1016350033</v>
      </c>
      <c r="E67" s="1601" t="str">
        <f t="shared" si="1"/>
        <v>1016350033</v>
      </c>
      <c r="F67" s="1605">
        <v>142.77622222222223</v>
      </c>
      <c r="G67" s="1600" t="s">
        <v>1212</v>
      </c>
      <c r="H67" s="491"/>
    </row>
    <row r="68" spans="1:8">
      <c r="A68" s="1600">
        <v>18</v>
      </c>
      <c r="B68" s="1600">
        <v>1635</v>
      </c>
      <c r="C68" s="1600">
        <v>35</v>
      </c>
      <c r="D68" s="1604">
        <v>1016350035</v>
      </c>
      <c r="E68" s="1601" t="str">
        <f t="shared" si="1"/>
        <v>1016350035</v>
      </c>
      <c r="F68" s="1605">
        <v>0</v>
      </c>
      <c r="G68" s="1600" t="s">
        <v>1212</v>
      </c>
      <c r="H68" s="491"/>
    </row>
    <row r="69" spans="1:8">
      <c r="A69" s="1600">
        <v>18</v>
      </c>
      <c r="B69" s="1600">
        <v>1635</v>
      </c>
      <c r="C69" s="1600">
        <v>36</v>
      </c>
      <c r="D69" s="1604">
        <v>1016350036</v>
      </c>
      <c r="E69" s="1601" t="str">
        <f t="shared" si="1"/>
        <v>1016350036</v>
      </c>
      <c r="F69" s="1605">
        <v>0</v>
      </c>
      <c r="G69" s="1600" t="s">
        <v>1212</v>
      </c>
      <c r="H69" s="491"/>
    </row>
    <row r="70" spans="1:8">
      <c r="A70" s="1600">
        <v>18</v>
      </c>
      <c r="B70" s="1600">
        <v>1635</v>
      </c>
      <c r="C70" s="1600">
        <v>37</v>
      </c>
      <c r="D70" s="1604">
        <v>1016350037</v>
      </c>
      <c r="E70" s="1601" t="str">
        <f t="shared" si="1"/>
        <v>1016350037</v>
      </c>
      <c r="F70" s="1605">
        <v>0</v>
      </c>
      <c r="G70" s="1600" t="s">
        <v>1212</v>
      </c>
      <c r="H70" s="491"/>
    </row>
    <row r="71" spans="1:8">
      <c r="A71" s="1600">
        <v>18</v>
      </c>
      <c r="B71" s="1600">
        <v>1635</v>
      </c>
      <c r="C71" s="1600">
        <v>38</v>
      </c>
      <c r="D71" s="1604">
        <v>1016350038</v>
      </c>
      <c r="E71" s="1601" t="str">
        <f t="shared" si="1"/>
        <v>1016350038</v>
      </c>
      <c r="F71" s="1605">
        <v>0</v>
      </c>
      <c r="G71" s="1600" t="s">
        <v>1212</v>
      </c>
      <c r="H71" s="491"/>
    </row>
    <row r="72" spans="1:8">
      <c r="A72" s="1600">
        <v>18</v>
      </c>
      <c r="B72" s="1600">
        <v>1635</v>
      </c>
      <c r="C72" s="1600">
        <v>39</v>
      </c>
      <c r="D72" s="1604">
        <v>1016350039</v>
      </c>
      <c r="E72" s="1601" t="str">
        <f t="shared" si="1"/>
        <v>1016350039</v>
      </c>
      <c r="F72" s="1605">
        <v>0</v>
      </c>
      <c r="G72" s="1600" t="s">
        <v>1212</v>
      </c>
      <c r="H72" s="491"/>
    </row>
    <row r="73" spans="1:8">
      <c r="A73" s="1600">
        <v>18</v>
      </c>
      <c r="B73" s="1600">
        <v>1635</v>
      </c>
      <c r="C73" s="1600">
        <v>40</v>
      </c>
      <c r="D73" s="1604">
        <v>1016350040</v>
      </c>
      <c r="E73" s="1601" t="str">
        <f t="shared" si="1"/>
        <v>1016350040</v>
      </c>
      <c r="F73" s="1605">
        <v>0</v>
      </c>
      <c r="G73" s="1600" t="s">
        <v>1212</v>
      </c>
      <c r="H73" s="491" t="s">
        <v>1089</v>
      </c>
    </row>
    <row r="74" spans="1:8">
      <c r="A74" s="1600">
        <v>19</v>
      </c>
      <c r="B74" s="1600">
        <v>1634</v>
      </c>
      <c r="C74" s="1600">
        <v>34</v>
      </c>
      <c r="D74" s="1604">
        <v>1016340034</v>
      </c>
      <c r="E74" s="1601" t="str">
        <f t="shared" si="1"/>
        <v>1016340034</v>
      </c>
      <c r="F74" s="1605">
        <v>99.474444444444444</v>
      </c>
      <c r="G74" s="1600" t="s">
        <v>1212</v>
      </c>
      <c r="H74" s="491"/>
    </row>
    <row r="75" spans="1:8">
      <c r="A75" s="1600">
        <v>19</v>
      </c>
      <c r="B75" s="1600">
        <v>1634</v>
      </c>
      <c r="C75" s="1600">
        <v>35</v>
      </c>
      <c r="D75" s="1604">
        <v>1016340035</v>
      </c>
      <c r="E75" s="1601" t="str">
        <f t="shared" si="1"/>
        <v>1016340035</v>
      </c>
      <c r="F75" s="1605">
        <v>0</v>
      </c>
      <c r="G75" s="1600" t="s">
        <v>1212</v>
      </c>
      <c r="H75" s="491"/>
    </row>
    <row r="76" spans="1:8">
      <c r="A76" s="1600">
        <v>19</v>
      </c>
      <c r="B76" s="1600">
        <v>1634</v>
      </c>
      <c r="C76" s="1600">
        <v>36</v>
      </c>
      <c r="D76" s="1604">
        <v>1016340036</v>
      </c>
      <c r="E76" s="1601" t="str">
        <f t="shared" si="1"/>
        <v>1016340036</v>
      </c>
      <c r="F76" s="1605">
        <v>0</v>
      </c>
      <c r="G76" s="1600" t="s">
        <v>1212</v>
      </c>
      <c r="H76" s="491"/>
    </row>
    <row r="77" spans="1:8">
      <c r="A77" s="1600">
        <v>19</v>
      </c>
      <c r="B77" s="1600">
        <v>1634</v>
      </c>
      <c r="C77" s="1600">
        <v>37</v>
      </c>
      <c r="D77" s="1604">
        <v>1016340037</v>
      </c>
      <c r="E77" s="1601" t="str">
        <f t="shared" si="1"/>
        <v>1016340037</v>
      </c>
      <c r="F77" s="1605">
        <v>0</v>
      </c>
      <c r="G77" s="1600" t="s">
        <v>1212</v>
      </c>
      <c r="H77" s="491"/>
    </row>
    <row r="78" spans="1:8">
      <c r="A78" s="1600">
        <v>19</v>
      </c>
      <c r="B78" s="1600">
        <v>1634</v>
      </c>
      <c r="C78" s="1600">
        <v>38</v>
      </c>
      <c r="D78" s="1604">
        <v>1016340038</v>
      </c>
      <c r="E78" s="1601" t="str">
        <f t="shared" si="1"/>
        <v>1016340038</v>
      </c>
      <c r="F78" s="1605">
        <v>0</v>
      </c>
      <c r="G78" s="1600" t="s">
        <v>1212</v>
      </c>
      <c r="H78" s="491"/>
    </row>
    <row r="79" spans="1:8">
      <c r="A79" s="1600">
        <v>19</v>
      </c>
      <c r="B79" s="1600">
        <v>1634</v>
      </c>
      <c r="C79" s="1600">
        <v>33</v>
      </c>
      <c r="D79" s="1604">
        <v>1016340033</v>
      </c>
      <c r="E79" s="1601" t="str">
        <f t="shared" si="1"/>
        <v>1016340033</v>
      </c>
      <c r="F79" s="1605">
        <v>0</v>
      </c>
      <c r="G79" s="1600" t="s">
        <v>1212</v>
      </c>
      <c r="H79" s="491"/>
    </row>
    <row r="80" spans="1:8">
      <c r="A80" s="1600">
        <v>20</v>
      </c>
      <c r="B80" s="1600">
        <v>1654</v>
      </c>
      <c r="C80" s="1600">
        <v>3</v>
      </c>
      <c r="D80" s="1604">
        <v>1016540003</v>
      </c>
      <c r="E80" s="1601" t="str">
        <f t="shared" si="1"/>
        <v>1016540003</v>
      </c>
      <c r="F80" s="1605">
        <v>147.23044444444443</v>
      </c>
      <c r="G80" s="1600" t="s">
        <v>1212</v>
      </c>
      <c r="H80" s="491"/>
    </row>
    <row r="81" spans="1:8">
      <c r="A81" s="1600">
        <v>20</v>
      </c>
      <c r="B81" s="1600">
        <v>1654</v>
      </c>
      <c r="C81" s="1600">
        <v>4</v>
      </c>
      <c r="D81" s="1604">
        <v>1016540004</v>
      </c>
      <c r="E81" s="1601" t="str">
        <f t="shared" si="1"/>
        <v>1016540004</v>
      </c>
      <c r="F81" s="1605">
        <v>0</v>
      </c>
      <c r="G81" s="1600" t="s">
        <v>1212</v>
      </c>
      <c r="H81" s="491"/>
    </row>
    <row r="82" spans="1:8">
      <c r="A82" s="1600">
        <v>20</v>
      </c>
      <c r="B82" s="1600">
        <v>1654</v>
      </c>
      <c r="C82" s="1600">
        <v>45</v>
      </c>
      <c r="D82" s="1604">
        <v>1016540045</v>
      </c>
      <c r="E82" s="1601" t="str">
        <f t="shared" si="1"/>
        <v>1016540045</v>
      </c>
      <c r="F82" s="1605">
        <v>0</v>
      </c>
      <c r="G82" s="1600" t="s">
        <v>1212</v>
      </c>
      <c r="H82" s="491"/>
    </row>
    <row r="83" spans="1:8">
      <c r="A83" s="1600">
        <v>21</v>
      </c>
      <c r="B83" s="1600">
        <v>1632</v>
      </c>
      <c r="C83" s="1600">
        <v>37</v>
      </c>
      <c r="D83" s="1604">
        <v>1016320037</v>
      </c>
      <c r="E83" s="1601" t="str">
        <f t="shared" si="1"/>
        <v>1016320037</v>
      </c>
      <c r="F83" s="1605">
        <v>121.44233333333334</v>
      </c>
      <c r="G83" s="1600" t="s">
        <v>1212</v>
      </c>
      <c r="H83" s="491"/>
    </row>
    <row r="84" spans="1:8">
      <c r="A84" s="1600">
        <v>21</v>
      </c>
      <c r="B84" s="1600">
        <v>1632</v>
      </c>
      <c r="C84" s="1600">
        <v>40</v>
      </c>
      <c r="D84" s="1604">
        <v>1016320040</v>
      </c>
      <c r="E84" s="1601" t="str">
        <f t="shared" si="1"/>
        <v>1016320040</v>
      </c>
      <c r="F84" s="1605">
        <v>0</v>
      </c>
      <c r="G84" s="1600" t="s">
        <v>1212</v>
      </c>
      <c r="H84" s="491"/>
    </row>
    <row r="85" spans="1:8">
      <c r="A85" s="1600">
        <v>21</v>
      </c>
      <c r="B85" s="1600">
        <v>1632</v>
      </c>
      <c r="C85" s="1600">
        <v>35</v>
      </c>
      <c r="D85" s="1604">
        <v>1016320035</v>
      </c>
      <c r="E85" s="1601" t="str">
        <f t="shared" si="1"/>
        <v>1016320035</v>
      </c>
      <c r="F85" s="1605">
        <v>0</v>
      </c>
      <c r="G85" s="1600" t="s">
        <v>1212</v>
      </c>
      <c r="H85" s="491"/>
    </row>
    <row r="86" spans="1:8">
      <c r="A86" s="1600">
        <v>22</v>
      </c>
      <c r="B86" s="1600">
        <v>1771</v>
      </c>
      <c r="C86" s="1600">
        <v>33</v>
      </c>
      <c r="D86" s="1604">
        <v>1017710033</v>
      </c>
      <c r="E86" s="1601" t="str">
        <f t="shared" si="1"/>
        <v>1017710033</v>
      </c>
      <c r="F86" s="1605">
        <v>137.20766666666665</v>
      </c>
      <c r="G86" s="1600" t="s">
        <v>1212</v>
      </c>
      <c r="H86" s="491"/>
    </row>
    <row r="87" spans="1:8">
      <c r="A87" s="1600">
        <v>22</v>
      </c>
      <c r="B87" s="1600">
        <v>1771</v>
      </c>
      <c r="C87" s="1600">
        <v>36</v>
      </c>
      <c r="D87" s="1604">
        <v>1017710036</v>
      </c>
      <c r="E87" s="1601" t="str">
        <f t="shared" si="1"/>
        <v>1017710036</v>
      </c>
      <c r="F87" s="1605">
        <v>0</v>
      </c>
      <c r="G87" s="1600" t="s">
        <v>1212</v>
      </c>
      <c r="H87" s="491"/>
    </row>
    <row r="88" spans="1:8">
      <c r="A88" s="1600">
        <v>24</v>
      </c>
      <c r="B88" s="1600">
        <v>1768</v>
      </c>
      <c r="C88" s="1600">
        <v>71</v>
      </c>
      <c r="D88" s="1604">
        <v>1017680071</v>
      </c>
      <c r="E88" s="1601" t="str">
        <f t="shared" si="1"/>
        <v>1017680071</v>
      </c>
      <c r="F88" s="1605">
        <v>35.935000000000002</v>
      </c>
      <c r="G88" s="1600" t="s">
        <v>1212</v>
      </c>
      <c r="H88" s="491"/>
    </row>
    <row r="89" spans="1:8">
      <c r="A89" s="1600">
        <v>24</v>
      </c>
      <c r="B89" s="1600">
        <v>1768</v>
      </c>
      <c r="C89" s="1600">
        <v>169</v>
      </c>
      <c r="D89" s="1604">
        <v>1017680169</v>
      </c>
      <c r="E89" s="1601" t="str">
        <f t="shared" si="1"/>
        <v>1017680169</v>
      </c>
      <c r="F89" s="1605">
        <v>0</v>
      </c>
      <c r="G89" s="1600" t="s">
        <v>1212</v>
      </c>
      <c r="H89" s="491"/>
    </row>
    <row r="90" spans="1:8">
      <c r="A90" s="1600">
        <v>24</v>
      </c>
      <c r="B90" s="1600">
        <v>1768</v>
      </c>
      <c r="C90" s="1600">
        <v>69</v>
      </c>
      <c r="D90" s="1604">
        <v>1017680069</v>
      </c>
      <c r="E90" s="1601" t="str">
        <f t="shared" si="1"/>
        <v>1017680069</v>
      </c>
      <c r="F90" s="1605">
        <v>0</v>
      </c>
      <c r="G90" s="1600" t="s">
        <v>1212</v>
      </c>
      <c r="H90" s="491"/>
    </row>
    <row r="91" spans="1:8">
      <c r="A91" s="1600">
        <v>24</v>
      </c>
      <c r="B91" s="1600">
        <v>1768</v>
      </c>
      <c r="C91" s="1600">
        <v>70</v>
      </c>
      <c r="D91" s="1604">
        <v>1017680070</v>
      </c>
      <c r="E91" s="1601" t="str">
        <f t="shared" si="1"/>
        <v>1017680070</v>
      </c>
      <c r="F91" s="1605">
        <v>0</v>
      </c>
      <c r="G91" s="1600" t="s">
        <v>1212</v>
      </c>
      <c r="H91" s="491"/>
    </row>
    <row r="92" spans="1:8">
      <c r="A92" s="1600">
        <v>24</v>
      </c>
      <c r="B92" s="1600">
        <v>1768</v>
      </c>
      <c r="C92" s="1600">
        <v>170</v>
      </c>
      <c r="D92" s="1604">
        <v>1017680170</v>
      </c>
      <c r="E92" s="1601" t="str">
        <f t="shared" si="1"/>
        <v>1017680170</v>
      </c>
      <c r="F92" s="1605">
        <v>0</v>
      </c>
      <c r="G92" s="1600" t="s">
        <v>1212</v>
      </c>
      <c r="H92" s="491"/>
    </row>
    <row r="93" spans="1:8">
      <c r="A93" s="1600">
        <v>26</v>
      </c>
      <c r="B93" s="1600">
        <v>1655</v>
      </c>
      <c r="C93" s="1600">
        <v>29</v>
      </c>
      <c r="D93" s="1604">
        <v>1016550029</v>
      </c>
      <c r="E93" s="1601" t="str">
        <f t="shared" si="1"/>
        <v>1016550029</v>
      </c>
      <c r="F93" s="1605">
        <v>61.111333333333341</v>
      </c>
      <c r="G93" s="1600" t="s">
        <v>1212</v>
      </c>
      <c r="H93" s="491"/>
    </row>
    <row r="94" spans="1:8">
      <c r="A94" s="1600">
        <v>26</v>
      </c>
      <c r="B94" s="1600">
        <v>1655</v>
      </c>
      <c r="C94" s="1600">
        <v>24</v>
      </c>
      <c r="D94" s="1604">
        <v>1016550024</v>
      </c>
      <c r="E94" s="1601" t="str">
        <f t="shared" si="1"/>
        <v>1016550024</v>
      </c>
      <c r="F94" s="1605">
        <v>0</v>
      </c>
      <c r="G94" s="1600" t="s">
        <v>1212</v>
      </c>
      <c r="H94" s="491"/>
    </row>
    <row r="95" spans="1:8">
      <c r="A95" s="1600">
        <v>28</v>
      </c>
      <c r="B95" s="1600">
        <v>1643</v>
      </c>
      <c r="C95" s="1600">
        <v>71</v>
      </c>
      <c r="D95" s="1604">
        <v>1016430071</v>
      </c>
      <c r="E95" s="1601" t="str">
        <f t="shared" si="1"/>
        <v>1016430071</v>
      </c>
      <c r="F95" s="1605">
        <v>19.903666666666666</v>
      </c>
      <c r="G95" s="1600" t="s">
        <v>1212</v>
      </c>
      <c r="H95" s="491"/>
    </row>
    <row r="96" spans="1:8">
      <c r="A96" s="1600">
        <v>29</v>
      </c>
      <c r="B96" s="1600">
        <v>1659</v>
      </c>
      <c r="C96" s="1600">
        <v>1</v>
      </c>
      <c r="D96" s="1604">
        <v>1016590001</v>
      </c>
      <c r="E96" s="1601" t="str">
        <f t="shared" si="1"/>
        <v>1016590001</v>
      </c>
      <c r="F96" s="1605">
        <v>73.263888888888886</v>
      </c>
      <c r="G96" s="1600" t="s">
        <v>1212</v>
      </c>
      <c r="H96" s="491"/>
    </row>
    <row r="97" spans="1:8">
      <c r="A97" s="1600">
        <v>31</v>
      </c>
      <c r="B97" s="1600">
        <v>1622</v>
      </c>
      <c r="C97" s="1600">
        <v>33</v>
      </c>
      <c r="D97" s="1604">
        <v>1016220033</v>
      </c>
      <c r="E97" s="1601" t="str">
        <f t="shared" si="1"/>
        <v>1016220033</v>
      </c>
      <c r="F97" s="1605">
        <v>18.75</v>
      </c>
      <c r="G97" s="1600" t="s">
        <v>1212</v>
      </c>
      <c r="H97" s="491"/>
    </row>
    <row r="98" spans="1:8">
      <c r="A98" s="1600">
        <v>32</v>
      </c>
      <c r="B98" s="1600">
        <v>1768</v>
      </c>
      <c r="C98" s="1600">
        <v>40</v>
      </c>
      <c r="D98" s="1604">
        <v>1017680040</v>
      </c>
      <c r="E98" s="1601" t="str">
        <f t="shared" si="1"/>
        <v>1017680040</v>
      </c>
      <c r="F98" s="1605">
        <v>48.87</v>
      </c>
      <c r="G98" s="1600" t="s">
        <v>1212</v>
      </c>
      <c r="H98" s="491"/>
    </row>
    <row r="99" spans="1:8">
      <c r="A99" s="1600">
        <v>32</v>
      </c>
      <c r="B99" s="1600">
        <v>1768</v>
      </c>
      <c r="C99" s="1600">
        <v>39</v>
      </c>
      <c r="D99" s="1604">
        <v>1017680039</v>
      </c>
      <c r="E99" s="1601" t="str">
        <f t="shared" si="1"/>
        <v>1017680039</v>
      </c>
      <c r="F99" s="1605">
        <v>0</v>
      </c>
      <c r="G99" s="1600" t="s">
        <v>1212</v>
      </c>
      <c r="H99" s="491"/>
    </row>
    <row r="100" spans="1:8">
      <c r="A100" s="1600">
        <v>33</v>
      </c>
      <c r="B100" s="1600">
        <v>1655</v>
      </c>
      <c r="C100" s="1600">
        <v>1</v>
      </c>
      <c r="D100" s="1604">
        <v>1016550001</v>
      </c>
      <c r="E100" s="1601" t="str">
        <f t="shared" si="1"/>
        <v>1016550001</v>
      </c>
      <c r="F100" s="1605">
        <v>79.78155555555557</v>
      </c>
      <c r="G100" s="1600" t="s">
        <v>1212</v>
      </c>
      <c r="H100" s="491"/>
    </row>
    <row r="101" spans="1:8">
      <c r="A101" s="1600">
        <v>33</v>
      </c>
      <c r="B101" s="1600">
        <v>1655</v>
      </c>
      <c r="C101" s="1600">
        <v>3</v>
      </c>
      <c r="D101" s="1604">
        <v>1016550003</v>
      </c>
      <c r="E101" s="1601" t="str">
        <f t="shared" si="1"/>
        <v>1016550003</v>
      </c>
      <c r="F101" s="1605">
        <v>0</v>
      </c>
      <c r="G101" s="1600" t="s">
        <v>1212</v>
      </c>
      <c r="H101" s="491"/>
    </row>
    <row r="102" spans="1:8">
      <c r="A102" s="1600">
        <v>33</v>
      </c>
      <c r="B102" s="1600">
        <v>1655</v>
      </c>
      <c r="C102" s="1600">
        <v>102</v>
      </c>
      <c r="D102" s="1604">
        <v>1016550102</v>
      </c>
      <c r="E102" s="1601" t="str">
        <f t="shared" si="1"/>
        <v>1016550102</v>
      </c>
      <c r="F102" s="1605">
        <v>0</v>
      </c>
      <c r="G102" s="1600" t="s">
        <v>1212</v>
      </c>
      <c r="H102" s="491"/>
    </row>
    <row r="103" spans="1:8">
      <c r="A103" s="1600">
        <v>56</v>
      </c>
      <c r="B103" s="1600">
        <v>1784</v>
      </c>
      <c r="C103" s="1600">
        <v>128</v>
      </c>
      <c r="D103" s="1604">
        <v>1017840128</v>
      </c>
      <c r="E103" s="1601" t="str">
        <f t="shared" si="1"/>
        <v>1017840128</v>
      </c>
      <c r="F103" s="1605">
        <v>0</v>
      </c>
      <c r="G103" s="1600" t="s">
        <v>1212</v>
      </c>
      <c r="H103" s="491"/>
    </row>
    <row r="104" spans="1:8">
      <c r="A104" s="1600">
        <v>56</v>
      </c>
      <c r="B104" s="1600">
        <v>1784</v>
      </c>
      <c r="C104" s="1600">
        <v>28</v>
      </c>
      <c r="D104" s="1604">
        <v>1017840028</v>
      </c>
      <c r="E104" s="1601" t="str">
        <f t="shared" si="1"/>
        <v>1017840028</v>
      </c>
      <c r="F104" s="1605">
        <v>0</v>
      </c>
      <c r="G104" s="1600" t="s">
        <v>1212</v>
      </c>
      <c r="H104" s="491"/>
    </row>
    <row r="105" spans="1:8">
      <c r="A105" s="1600">
        <v>56</v>
      </c>
      <c r="B105" s="1600">
        <v>1784</v>
      </c>
      <c r="C105" s="1600">
        <v>27</v>
      </c>
      <c r="D105" s="1604">
        <v>1017840027</v>
      </c>
      <c r="E105" s="1601" t="str">
        <f t="shared" si="1"/>
        <v>1017840027</v>
      </c>
      <c r="F105" s="1605">
        <v>0</v>
      </c>
      <c r="G105" s="1600" t="s">
        <v>1212</v>
      </c>
      <c r="H105" s="491"/>
    </row>
    <row r="106" spans="1:8">
      <c r="A106" s="1600">
        <v>56</v>
      </c>
      <c r="B106" s="1600">
        <v>1784</v>
      </c>
      <c r="C106" s="1600">
        <v>26</v>
      </c>
      <c r="D106" s="1604">
        <v>1017840026</v>
      </c>
      <c r="E106" s="1601" t="str">
        <f t="shared" si="1"/>
        <v>1017840026</v>
      </c>
      <c r="F106" s="1605">
        <v>0</v>
      </c>
      <c r="G106" s="1600" t="s">
        <v>1212</v>
      </c>
      <c r="H106" s="491"/>
    </row>
    <row r="107" spans="1:8">
      <c r="A107" s="1600">
        <v>56</v>
      </c>
      <c r="B107" s="1600">
        <v>1784</v>
      </c>
      <c r="C107" s="1600">
        <v>25</v>
      </c>
      <c r="D107" s="1604">
        <v>1017840025</v>
      </c>
      <c r="E107" s="1601" t="str">
        <f t="shared" si="1"/>
        <v>1017840025</v>
      </c>
      <c r="F107" s="1605">
        <v>0</v>
      </c>
      <c r="G107" s="1600" t="s">
        <v>1212</v>
      </c>
      <c r="H107" s="491"/>
    </row>
    <row r="108" spans="1:8">
      <c r="A108" s="1600">
        <v>56</v>
      </c>
      <c r="B108" s="1600">
        <v>1784</v>
      </c>
      <c r="C108" s="1600">
        <v>120</v>
      </c>
      <c r="D108" s="1604">
        <v>1017840120</v>
      </c>
      <c r="E108" s="1601" t="str">
        <f t="shared" si="1"/>
        <v>1017840120</v>
      </c>
      <c r="F108" s="1605">
        <v>0</v>
      </c>
      <c r="G108" s="1600" t="s">
        <v>1212</v>
      </c>
      <c r="H108" s="491"/>
    </row>
    <row r="109" spans="1:8">
      <c r="A109" s="1600">
        <v>63</v>
      </c>
      <c r="B109" s="1600">
        <v>1665</v>
      </c>
      <c r="C109" s="1600">
        <v>25</v>
      </c>
      <c r="D109" s="1604">
        <v>1016650025</v>
      </c>
      <c r="E109" s="1601" t="str">
        <f t="shared" si="1"/>
        <v>1016650025</v>
      </c>
      <c r="F109" s="1605">
        <v>0</v>
      </c>
      <c r="G109" s="1600" t="s">
        <v>1212</v>
      </c>
      <c r="H109" s="491"/>
    </row>
    <row r="110" spans="1:8">
      <c r="A110" s="1600">
        <v>63</v>
      </c>
      <c r="B110" s="1600">
        <v>1665</v>
      </c>
      <c r="C110" s="1600">
        <v>24</v>
      </c>
      <c r="D110" s="1604">
        <v>1016650024</v>
      </c>
      <c r="E110" s="1601" t="str">
        <f t="shared" si="1"/>
        <v>1016650024</v>
      </c>
      <c r="F110" s="1605">
        <v>0</v>
      </c>
      <c r="G110" s="1600" t="s">
        <v>1212</v>
      </c>
      <c r="H110" s="491"/>
    </row>
    <row r="111" spans="1:8">
      <c r="A111" s="1600">
        <v>63</v>
      </c>
      <c r="B111" s="1600">
        <v>1665</v>
      </c>
      <c r="C111" s="1600">
        <v>23</v>
      </c>
      <c r="D111" s="1604">
        <v>1016650023</v>
      </c>
      <c r="E111" s="1601" t="str">
        <f t="shared" si="1"/>
        <v>1016650023</v>
      </c>
      <c r="F111" s="1605">
        <v>0</v>
      </c>
      <c r="G111" s="1600" t="s">
        <v>1212</v>
      </c>
      <c r="H111" s="491"/>
    </row>
    <row r="112" spans="1:8">
      <c r="A112" s="1600">
        <v>63</v>
      </c>
      <c r="B112" s="1600">
        <v>1665</v>
      </c>
      <c r="C112" s="1600">
        <v>122</v>
      </c>
      <c r="D112" s="1604">
        <v>1016650122</v>
      </c>
      <c r="E112" s="1601" t="str">
        <f t="shared" si="1"/>
        <v>1016650122</v>
      </c>
      <c r="F112" s="1605">
        <v>0</v>
      </c>
      <c r="G112" s="1600" t="s">
        <v>1212</v>
      </c>
      <c r="H112" s="491"/>
    </row>
    <row r="113" spans="1:11">
      <c r="A113" s="1600">
        <v>68</v>
      </c>
      <c r="B113" s="1600">
        <v>1644</v>
      </c>
      <c r="C113" s="1600">
        <v>12</v>
      </c>
      <c r="D113" s="1604">
        <v>1016440012</v>
      </c>
      <c r="E113" s="1601" t="str">
        <f t="shared" si="1"/>
        <v>1016440012</v>
      </c>
      <c r="F113" s="1605">
        <v>0</v>
      </c>
      <c r="G113" s="1600" t="s">
        <v>1212</v>
      </c>
      <c r="H113" s="491"/>
    </row>
    <row r="114" spans="1:11">
      <c r="A114" s="1600">
        <v>69</v>
      </c>
      <c r="B114" s="1600">
        <v>1771</v>
      </c>
      <c r="C114" s="1600">
        <v>1</v>
      </c>
      <c r="D114" s="1604">
        <v>1017710001</v>
      </c>
      <c r="E114" s="1601" t="str">
        <f t="shared" si="1"/>
        <v>1017710001</v>
      </c>
      <c r="F114" s="1605">
        <v>41.769333333333336</v>
      </c>
      <c r="G114" s="1600" t="s">
        <v>1212</v>
      </c>
      <c r="H114" s="491"/>
    </row>
    <row r="115" spans="1:11">
      <c r="A115" s="1600">
        <v>69</v>
      </c>
      <c r="B115" s="1600">
        <v>1771</v>
      </c>
      <c r="C115" s="1609">
        <v>2</v>
      </c>
      <c r="D115" s="1610">
        <v>1017710002</v>
      </c>
      <c r="E115" s="1601" t="str">
        <f t="shared" si="1"/>
        <v>1017710002</v>
      </c>
      <c r="F115" s="1611">
        <v>0</v>
      </c>
      <c r="G115" s="1600" t="s">
        <v>1212</v>
      </c>
      <c r="H115" s="491"/>
    </row>
    <row r="116" spans="1:11">
      <c r="D116" s="1494">
        <v>1016740104</v>
      </c>
      <c r="F116" s="1494">
        <v>20</v>
      </c>
      <c r="G116" s="1609" t="s">
        <v>1213</v>
      </c>
    </row>
    <row r="117" spans="1:11">
      <c r="D117" s="1494">
        <v>1017540167</v>
      </c>
      <c r="F117" s="1494">
        <v>20</v>
      </c>
      <c r="G117" s="1609" t="s">
        <v>1213</v>
      </c>
    </row>
    <row r="118" spans="1:11">
      <c r="D118" s="1494">
        <v>1018150005</v>
      </c>
      <c r="F118" s="1494">
        <v>20</v>
      </c>
      <c r="G118" s="1609" t="s">
        <v>1213</v>
      </c>
    </row>
    <row r="119" spans="1:11">
      <c r="D119" s="1494">
        <v>1018080010</v>
      </c>
      <c r="F119" s="1494">
        <v>179</v>
      </c>
      <c r="G119" s="1609" t="s">
        <v>1213</v>
      </c>
    </row>
    <row r="120" spans="1:11">
      <c r="D120" s="1494">
        <v>1016350017</v>
      </c>
      <c r="F120" s="1494">
        <v>400</v>
      </c>
      <c r="G120" s="1609" t="s">
        <v>1213</v>
      </c>
    </row>
    <row r="121" spans="1:11">
      <c r="D121" s="1494">
        <v>1018030001</v>
      </c>
      <c r="F121" s="1494">
        <v>584</v>
      </c>
      <c r="G121" s="1609" t="s">
        <v>1213</v>
      </c>
      <c r="K121" t="s">
        <v>1089</v>
      </c>
    </row>
    <row r="122" spans="1:11">
      <c r="D122" s="1494">
        <v>1016170020</v>
      </c>
      <c r="F122" s="1494">
        <v>680</v>
      </c>
      <c r="G122" s="1609" t="s">
        <v>1213</v>
      </c>
    </row>
    <row r="123" spans="1:11">
      <c r="D123" s="1494">
        <v>1017900013</v>
      </c>
      <c r="F123" s="1494">
        <v>760</v>
      </c>
      <c r="G123" s="1609" t="s">
        <v>1213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tint="0.39997558519241921"/>
  </sheetPr>
  <dimension ref="A1"/>
  <sheetViews>
    <sheetView workbookViewId="0"/>
  </sheetViews>
  <sheetFormatPr defaultRowHeight="1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DK90"/>
  <sheetViews>
    <sheetView view="pageBreakPreview" topLeftCell="A76" zoomScaleNormal="100" zoomScaleSheetLayoutView="100" workbookViewId="0">
      <selection activeCell="B81" sqref="B81:B82"/>
    </sheetView>
  </sheetViews>
  <sheetFormatPr defaultRowHeight="15"/>
  <cols>
    <col min="1" max="1" width="8.28515625" customWidth="1"/>
    <col min="2" max="2" width="12.42578125" style="2568" bestFit="1" customWidth="1"/>
    <col min="4" max="4" width="7" bestFit="1" customWidth="1"/>
    <col min="5" max="5" width="23.5703125" style="1824" customWidth="1"/>
    <col min="6" max="6" width="0" hidden="1" customWidth="1"/>
    <col min="8" max="8" width="10.28515625" hidden="1" customWidth="1"/>
    <col min="9" max="9" width="8.5703125" hidden="1" customWidth="1"/>
    <col min="10" max="10" width="0" hidden="1" customWidth="1"/>
    <col min="11" max="11" width="7.28515625" hidden="1" customWidth="1"/>
    <col min="12" max="12" width="11.42578125" hidden="1" customWidth="1"/>
    <col min="13" max="13" width="0" hidden="1" customWidth="1"/>
    <col min="14" max="14" width="13.42578125" hidden="1" customWidth="1"/>
    <col min="15" max="15" width="11.5703125" hidden="1" customWidth="1"/>
    <col min="16" max="16" width="0" hidden="1" customWidth="1"/>
    <col min="17" max="17" width="9.85546875" hidden="1" customWidth="1"/>
    <col min="18" max="18" width="0" hidden="1" customWidth="1"/>
    <col min="19" max="19" width="12.42578125" hidden="1" customWidth="1"/>
    <col min="20" max="20" width="11" hidden="1" customWidth="1"/>
    <col min="21" max="21" width="12" hidden="1" customWidth="1"/>
    <col min="22" max="22" width="12.28515625" hidden="1" customWidth="1"/>
    <col min="23" max="23" width="0" hidden="1" customWidth="1"/>
    <col min="24" max="24" width="16.42578125" hidden="1" customWidth="1"/>
    <col min="25" max="25" width="0" hidden="1" customWidth="1"/>
    <col min="26" max="26" width="13.140625" hidden="1" customWidth="1"/>
    <col min="27" max="30" width="0" hidden="1" customWidth="1"/>
    <col min="31" max="31" width="10" hidden="1" customWidth="1"/>
    <col min="32" max="32" width="0" hidden="1" customWidth="1"/>
    <col min="33" max="33" width="13.140625" hidden="1" customWidth="1"/>
    <col min="34" max="34" width="0" hidden="1" customWidth="1"/>
    <col min="35" max="35" width="12.28515625" hidden="1" customWidth="1"/>
    <col min="36" max="38" width="0" hidden="1" customWidth="1"/>
    <col min="39" max="39" width="12.140625" hidden="1" customWidth="1"/>
    <col min="40" max="40" width="11.5703125" hidden="1" customWidth="1"/>
    <col min="41" max="41" width="10.42578125" hidden="1" customWidth="1"/>
    <col min="42" max="48" width="0" hidden="1" customWidth="1"/>
    <col min="49" max="49" width="11.42578125" hidden="1" customWidth="1"/>
    <col min="50" max="50" width="9.140625" customWidth="1"/>
    <col min="51" max="52" width="9.140625" hidden="1" customWidth="1"/>
    <col min="53" max="53" width="12" hidden="1" customWidth="1"/>
    <col min="54" max="54" width="14" hidden="1" customWidth="1"/>
    <col min="55" max="56" width="11.5703125" hidden="1" customWidth="1"/>
    <col min="57" max="60" width="0" hidden="1" customWidth="1"/>
    <col min="61" max="61" width="11.7109375" hidden="1" customWidth="1"/>
    <col min="62" max="62" width="10.5703125" hidden="1" customWidth="1"/>
    <col min="63" max="63" width="13.140625" hidden="1" customWidth="1"/>
    <col min="64" max="65" width="12" hidden="1" customWidth="1"/>
    <col min="66" max="66" width="12.140625" hidden="1" customWidth="1"/>
    <col min="67" max="67" width="0" hidden="1" customWidth="1"/>
    <col min="68" max="68" width="12.7109375" hidden="1" customWidth="1"/>
    <col min="69" max="69" width="12.5703125" hidden="1" customWidth="1"/>
    <col min="70" max="70" width="0" hidden="1" customWidth="1"/>
    <col min="71" max="71" width="13.28515625" bestFit="1" customWidth="1"/>
    <col min="73" max="81" width="0" hidden="1" customWidth="1"/>
    <col min="83" max="83" width="13.42578125" hidden="1" customWidth="1"/>
    <col min="84" max="84" width="11.5703125" hidden="1" customWidth="1"/>
    <col min="85" max="85" width="12.140625" hidden="1" customWidth="1"/>
    <col min="86" max="89" width="0" hidden="1" customWidth="1"/>
    <col min="90" max="90" width="11.7109375" hidden="1" customWidth="1"/>
    <col min="91" max="91" width="0" hidden="1" customWidth="1"/>
    <col min="92" max="92" width="13" hidden="1" customWidth="1"/>
    <col min="93" max="93" width="0" hidden="1" customWidth="1"/>
    <col min="94" max="94" width="12" hidden="1" customWidth="1"/>
    <col min="95" max="95" width="11.7109375" hidden="1" customWidth="1"/>
    <col min="96" max="96" width="13.140625" hidden="1" customWidth="1"/>
    <col min="97" max="97" width="12.7109375" hidden="1" customWidth="1"/>
    <col min="98" max="98" width="11.28515625" hidden="1" customWidth="1"/>
    <col min="99" max="99" width="11.5703125" hidden="1" customWidth="1"/>
    <col min="100" max="100" width="12.5703125" hidden="1" customWidth="1"/>
    <col min="102" max="109" width="0" hidden="1" customWidth="1"/>
  </cols>
  <sheetData>
    <row r="1" spans="1:115" ht="15.75" thickBot="1">
      <c r="A1" s="1612" t="s">
        <v>1214</v>
      </c>
      <c r="B1" s="2555"/>
      <c r="D1" s="1613"/>
      <c r="E1" s="1614"/>
      <c r="F1" s="1615"/>
      <c r="G1" s="1616"/>
      <c r="H1" s="1094"/>
      <c r="I1" s="1094"/>
      <c r="J1" s="1617"/>
      <c r="K1" s="1618"/>
      <c r="L1" s="1616"/>
      <c r="M1" s="1616"/>
      <c r="N1" s="1616"/>
      <c r="O1" s="1619"/>
      <c r="P1" s="1619"/>
      <c r="Q1" s="1619"/>
      <c r="R1" s="1619"/>
      <c r="S1" s="1619"/>
      <c r="T1" s="1619"/>
      <c r="U1" s="1616"/>
      <c r="V1" s="1620"/>
      <c r="W1" s="1621"/>
      <c r="X1" s="1622"/>
      <c r="Y1" s="1623"/>
      <c r="Z1" s="1624"/>
      <c r="AA1" s="1624"/>
      <c r="AB1" s="1625"/>
      <c r="AC1" s="1625"/>
      <c r="AD1" s="1625"/>
      <c r="AE1" s="1625"/>
      <c r="AF1" s="1625"/>
      <c r="AG1" s="1624"/>
      <c r="AH1" s="1625"/>
      <c r="AI1" s="1625"/>
      <c r="AJ1" s="1625"/>
      <c r="AK1" s="1625"/>
      <c r="AL1" s="1625"/>
      <c r="AM1" s="1625"/>
      <c r="AN1" s="1624"/>
      <c r="AO1" s="1624"/>
      <c r="AP1" s="1626"/>
      <c r="AQ1" s="1615"/>
      <c r="AR1" s="1615"/>
      <c r="AS1" s="1615"/>
      <c r="AT1" s="1615"/>
      <c r="AU1" s="1613"/>
      <c r="AV1" s="1613"/>
      <c r="AW1" s="1627"/>
      <c r="AX1" s="1627"/>
      <c r="AY1" s="1627"/>
      <c r="AZ1" s="1627"/>
      <c r="BA1" s="1615"/>
      <c r="BB1" s="1624"/>
      <c r="BC1" s="1624"/>
      <c r="BD1" s="1625"/>
      <c r="BE1" s="1625"/>
      <c r="BF1" s="1625"/>
      <c r="BG1" s="1625"/>
      <c r="BH1" s="1625"/>
      <c r="BI1" s="1625"/>
      <c r="BJ1" s="1625"/>
      <c r="BK1" s="1624"/>
      <c r="BL1" s="1625"/>
      <c r="BM1" s="1625"/>
      <c r="BN1" s="1625"/>
      <c r="BO1" s="1625"/>
      <c r="BP1" s="1625"/>
      <c r="BQ1" s="1625"/>
      <c r="BR1" s="1625"/>
      <c r="BS1" s="1624"/>
      <c r="BT1" s="1615"/>
      <c r="BU1" s="1615"/>
      <c r="BV1" s="1615"/>
      <c r="BW1" s="1615"/>
      <c r="BX1" s="1615"/>
      <c r="BY1" s="1615"/>
      <c r="BZ1" s="1615"/>
      <c r="CA1" s="1615"/>
      <c r="CB1" s="1615"/>
      <c r="CC1" s="1615"/>
      <c r="CD1" s="1615"/>
      <c r="CE1" s="1624"/>
      <c r="CF1" s="1624"/>
      <c r="CG1" s="1625"/>
      <c r="CH1" s="1625"/>
      <c r="CI1" s="1625"/>
      <c r="CJ1" s="1625"/>
      <c r="CK1" s="1625"/>
      <c r="CL1" s="1625"/>
      <c r="CM1" s="1625"/>
      <c r="CN1" s="1624"/>
      <c r="CO1" s="1625"/>
      <c r="CP1" s="1625"/>
      <c r="CQ1" s="1625"/>
      <c r="CR1" s="1625"/>
      <c r="CS1" s="1625"/>
      <c r="CT1" s="1625"/>
      <c r="CU1" s="1624"/>
      <c r="CV1" s="1624"/>
      <c r="CW1" s="1624"/>
      <c r="CX1" s="1625"/>
      <c r="CY1" s="1625"/>
      <c r="CZ1" s="1625"/>
      <c r="DA1" s="1625"/>
      <c r="DB1" s="1625"/>
      <c r="DC1" s="1625"/>
      <c r="DD1" s="1615"/>
      <c r="DE1" s="1615"/>
      <c r="DF1" s="778"/>
      <c r="DG1" s="1628"/>
      <c r="DH1" s="1628"/>
      <c r="DI1" s="1628"/>
      <c r="DJ1" s="1628"/>
      <c r="DK1" s="1628"/>
    </row>
    <row r="2" spans="1:115" ht="15.75" thickBot="1">
      <c r="A2" s="3094" t="s">
        <v>0</v>
      </c>
      <c r="B2" s="2556"/>
      <c r="C2" s="3096" t="s">
        <v>1215</v>
      </c>
      <c r="D2" s="3097"/>
      <c r="E2" s="3097"/>
      <c r="F2" s="3097"/>
      <c r="G2" s="3098"/>
      <c r="H2" s="3099" t="s">
        <v>1216</v>
      </c>
      <c r="I2" s="3100"/>
      <c r="J2" s="3100"/>
      <c r="K2" s="3100"/>
      <c r="L2" s="3100"/>
      <c r="M2" s="3100"/>
      <c r="N2" s="3100"/>
      <c r="O2" s="3100"/>
      <c r="P2" s="3100"/>
      <c r="Q2" s="3100"/>
      <c r="R2" s="3100"/>
      <c r="S2" s="3100"/>
      <c r="T2" s="3100"/>
      <c r="U2" s="3100"/>
      <c r="V2" s="3101"/>
      <c r="W2" s="1629"/>
      <c r="X2" s="3096" t="s">
        <v>1217</v>
      </c>
      <c r="Y2" s="3100"/>
      <c r="Z2" s="3100"/>
      <c r="AA2" s="3100"/>
      <c r="AB2" s="3100"/>
      <c r="AC2" s="3100"/>
      <c r="AD2" s="3100"/>
      <c r="AE2" s="3100"/>
      <c r="AF2" s="3100"/>
      <c r="AG2" s="3100"/>
      <c r="AH2" s="3100"/>
      <c r="AI2" s="3100"/>
      <c r="AJ2" s="3100"/>
      <c r="AK2" s="3100"/>
      <c r="AL2" s="3100"/>
      <c r="AM2" s="3100"/>
      <c r="AN2" s="3100"/>
      <c r="AO2" s="3100"/>
      <c r="AP2" s="3100"/>
      <c r="AQ2" s="3100"/>
      <c r="AR2" s="3100"/>
      <c r="AS2" s="3100"/>
      <c r="AT2" s="3101"/>
      <c r="AU2" s="2399" t="s">
        <v>1218</v>
      </c>
      <c r="AV2" s="2400"/>
      <c r="AW2" s="2400"/>
      <c r="AX2" s="2400"/>
      <c r="AY2" s="2400"/>
      <c r="AZ2" s="2400"/>
      <c r="BA2" s="2400"/>
      <c r="BB2" s="2400"/>
      <c r="BC2" s="2400"/>
      <c r="BD2" s="2400"/>
      <c r="BE2" s="2400"/>
      <c r="BF2" s="2400"/>
      <c r="BG2" s="2400"/>
      <c r="BH2" s="2400"/>
      <c r="BI2" s="2400"/>
      <c r="BJ2" s="2400"/>
      <c r="BK2" s="2400"/>
      <c r="BL2" s="2400"/>
      <c r="BM2" s="2400"/>
      <c r="BN2" s="2400"/>
      <c r="BO2" s="2400"/>
      <c r="BP2" s="2400"/>
      <c r="BQ2" s="2400"/>
      <c r="BR2" s="2400"/>
      <c r="BS2" s="2400"/>
      <c r="BT2" s="2400"/>
      <c r="BU2" s="2400"/>
      <c r="BV2" s="2400"/>
      <c r="BW2" s="2400"/>
      <c r="BX2" s="2400"/>
      <c r="BY2" s="2400"/>
      <c r="BZ2" s="2400"/>
      <c r="CA2" s="2400"/>
      <c r="CB2" s="2400"/>
      <c r="CC2" s="2400"/>
      <c r="CD2" s="2401"/>
      <c r="CE2" s="3096" t="s">
        <v>1219</v>
      </c>
      <c r="CF2" s="3102"/>
      <c r="CG2" s="3102"/>
      <c r="CH2" s="3102"/>
      <c r="CI2" s="3102"/>
      <c r="CJ2" s="3102"/>
      <c r="CK2" s="3102"/>
      <c r="CL2" s="3102"/>
      <c r="CM2" s="3102"/>
      <c r="CN2" s="3102"/>
      <c r="CO2" s="3102"/>
      <c r="CP2" s="3102"/>
      <c r="CQ2" s="3102"/>
      <c r="CR2" s="3102"/>
      <c r="CS2" s="3102"/>
      <c r="CT2" s="3102"/>
      <c r="CU2" s="3102"/>
      <c r="CV2" s="3102"/>
      <c r="CW2" s="3102"/>
      <c r="CX2" s="3102"/>
      <c r="CY2" s="3102"/>
      <c r="CZ2" s="3102"/>
      <c r="DA2" s="3102"/>
      <c r="DB2" s="3102"/>
      <c r="DC2" s="3102"/>
      <c r="DD2" s="3102"/>
      <c r="DE2" s="3103"/>
      <c r="DF2" s="1630"/>
      <c r="DG2" s="1630"/>
      <c r="DH2" s="1631"/>
      <c r="DI2" s="1631"/>
      <c r="DJ2" s="1631"/>
      <c r="DK2" s="1631"/>
    </row>
    <row r="3" spans="1:115" s="1646" customFormat="1" ht="60.75" thickBot="1">
      <c r="A3" s="3095"/>
      <c r="B3" s="2557"/>
      <c r="C3" s="1632" t="s">
        <v>615</v>
      </c>
      <c r="D3" s="1633" t="s">
        <v>616</v>
      </c>
      <c r="E3" s="1633" t="s">
        <v>1050</v>
      </c>
      <c r="F3" s="1633" t="s">
        <v>1220</v>
      </c>
      <c r="G3" s="1634" t="s">
        <v>1221</v>
      </c>
      <c r="H3" s="1635" t="s">
        <v>1222</v>
      </c>
      <c r="I3" s="1633" t="s">
        <v>1223</v>
      </c>
      <c r="J3" s="1633" t="s">
        <v>1224</v>
      </c>
      <c r="K3" s="1636" t="s">
        <v>620</v>
      </c>
      <c r="L3" s="1637" t="s">
        <v>1074</v>
      </c>
      <c r="M3" s="1637" t="s">
        <v>1225</v>
      </c>
      <c r="N3" s="1637" t="s">
        <v>1226</v>
      </c>
      <c r="O3" s="1638" t="s">
        <v>1227</v>
      </c>
      <c r="P3" s="1638" t="s">
        <v>1228</v>
      </c>
      <c r="Q3" s="1638" t="s">
        <v>1229</v>
      </c>
      <c r="R3" s="1638" t="s">
        <v>1230</v>
      </c>
      <c r="S3" s="1638" t="s">
        <v>1231</v>
      </c>
      <c r="T3" s="1638" t="s">
        <v>1232</v>
      </c>
      <c r="U3" s="1637" t="s">
        <v>1233</v>
      </c>
      <c r="V3" s="1634" t="s">
        <v>1234</v>
      </c>
      <c r="W3" s="1639" t="s">
        <v>1235</v>
      </c>
      <c r="X3" s="1640"/>
      <c r="Y3" s="1633" t="s">
        <v>1236</v>
      </c>
      <c r="Z3" s="1637" t="s">
        <v>1074</v>
      </c>
      <c r="AA3" s="1637" t="s">
        <v>1237</v>
      </c>
      <c r="AB3" s="1638" t="s">
        <v>1238</v>
      </c>
      <c r="AC3" s="1638" t="s">
        <v>1239</v>
      </c>
      <c r="AD3" s="1638" t="s">
        <v>1240</v>
      </c>
      <c r="AE3" s="1638" t="s">
        <v>1241</v>
      </c>
      <c r="AF3" s="1638" t="s">
        <v>1242</v>
      </c>
      <c r="AG3" s="1637" t="s">
        <v>1243</v>
      </c>
      <c r="AH3" s="1638" t="s">
        <v>1244</v>
      </c>
      <c r="AI3" s="1638" t="s">
        <v>1245</v>
      </c>
      <c r="AJ3" s="1638" t="s">
        <v>1228</v>
      </c>
      <c r="AK3" s="1638" t="s">
        <v>1246</v>
      </c>
      <c r="AL3" s="1638" t="s">
        <v>1247</v>
      </c>
      <c r="AM3" s="1638" t="s">
        <v>1232</v>
      </c>
      <c r="AN3" s="1637" t="s">
        <v>1233</v>
      </c>
      <c r="AO3" s="1637" t="s">
        <v>1234</v>
      </c>
      <c r="AP3" s="1636" t="s">
        <v>1054</v>
      </c>
      <c r="AQ3" s="1633" t="s">
        <v>1248</v>
      </c>
      <c r="AR3" s="1641" t="s">
        <v>1249</v>
      </c>
      <c r="AS3" s="1633" t="s">
        <v>1250</v>
      </c>
      <c r="AT3" s="1642" t="s">
        <v>1251</v>
      </c>
      <c r="AU3" s="1632" t="s">
        <v>1252</v>
      </c>
      <c r="AV3" s="1633" t="s">
        <v>1253</v>
      </c>
      <c r="AW3" s="1636" t="s">
        <v>1254</v>
      </c>
      <c r="AX3" s="1636" t="s">
        <v>1255</v>
      </c>
      <c r="AY3" s="1636" t="s">
        <v>1256</v>
      </c>
      <c r="AZ3" s="1636" t="s">
        <v>1257</v>
      </c>
      <c r="BA3" s="1633" t="s">
        <v>1258</v>
      </c>
      <c r="BB3" s="1637" t="s">
        <v>1074</v>
      </c>
      <c r="BC3" s="1637" t="s">
        <v>1225</v>
      </c>
      <c r="BD3" s="1638" t="s">
        <v>1259</v>
      </c>
      <c r="BE3" s="1638" t="s">
        <v>1238</v>
      </c>
      <c r="BF3" s="1638" t="s">
        <v>1260</v>
      </c>
      <c r="BG3" s="1638" t="s">
        <v>1239</v>
      </c>
      <c r="BH3" s="1638" t="s">
        <v>1261</v>
      </c>
      <c r="BI3" s="1638" t="s">
        <v>1240</v>
      </c>
      <c r="BJ3" s="1638" t="s">
        <v>1242</v>
      </c>
      <c r="BK3" s="1637" t="s">
        <v>1243</v>
      </c>
      <c r="BL3" s="1638" t="s">
        <v>1262</v>
      </c>
      <c r="BM3" s="1638" t="s">
        <v>1263</v>
      </c>
      <c r="BN3" s="1638" t="s">
        <v>1264</v>
      </c>
      <c r="BO3" s="1638" t="s">
        <v>1246</v>
      </c>
      <c r="BP3" s="1638" t="s">
        <v>1247</v>
      </c>
      <c r="BQ3" s="1638" t="s">
        <v>1232</v>
      </c>
      <c r="BR3" s="1638" t="s">
        <v>1233</v>
      </c>
      <c r="BS3" s="1637" t="s">
        <v>1265</v>
      </c>
      <c r="BT3" s="1633" t="s">
        <v>1266</v>
      </c>
      <c r="BU3" s="1641" t="s">
        <v>1267</v>
      </c>
      <c r="BV3" s="1641" t="s">
        <v>1268</v>
      </c>
      <c r="BW3" s="1641" t="s">
        <v>1269</v>
      </c>
      <c r="BX3" s="1641" t="s">
        <v>1270</v>
      </c>
      <c r="BY3" s="1641" t="s">
        <v>1271</v>
      </c>
      <c r="BZ3" s="1641" t="s">
        <v>1272</v>
      </c>
      <c r="CA3" s="1641" t="s">
        <v>1273</v>
      </c>
      <c r="CB3" s="1641" t="s">
        <v>1274</v>
      </c>
      <c r="CC3" s="1641" t="s">
        <v>1275</v>
      </c>
      <c r="CD3" s="1643" t="s">
        <v>1276</v>
      </c>
      <c r="CE3" s="1640" t="s">
        <v>1074</v>
      </c>
      <c r="CF3" s="1637" t="s">
        <v>1225</v>
      </c>
      <c r="CG3" s="1638" t="s">
        <v>1259</v>
      </c>
      <c r="CH3" s="1638" t="s">
        <v>1238</v>
      </c>
      <c r="CI3" s="1638" t="s">
        <v>1277</v>
      </c>
      <c r="CJ3" s="1638" t="s">
        <v>1239</v>
      </c>
      <c r="CK3" s="1638" t="s">
        <v>1261</v>
      </c>
      <c r="CL3" s="1638" t="s">
        <v>1240</v>
      </c>
      <c r="CM3" s="1638" t="s">
        <v>1242</v>
      </c>
      <c r="CN3" s="1637" t="s">
        <v>1243</v>
      </c>
      <c r="CO3" s="1638" t="s">
        <v>1244</v>
      </c>
      <c r="CP3" s="1638" t="s">
        <v>1278</v>
      </c>
      <c r="CQ3" s="1638" t="s">
        <v>1228</v>
      </c>
      <c r="CR3" s="1638" t="s">
        <v>1279</v>
      </c>
      <c r="CS3" s="1638" t="s">
        <v>1230</v>
      </c>
      <c r="CT3" s="1638" t="s">
        <v>1232</v>
      </c>
      <c r="CU3" s="1637" t="s">
        <v>1280</v>
      </c>
      <c r="CV3" s="1637" t="s">
        <v>1281</v>
      </c>
      <c r="CW3" s="1637" t="s">
        <v>1266</v>
      </c>
      <c r="CX3" s="1638" t="s">
        <v>1267</v>
      </c>
      <c r="CY3" s="1638" t="s">
        <v>1268</v>
      </c>
      <c r="CZ3" s="1638" t="s">
        <v>1269</v>
      </c>
      <c r="DA3" s="1638" t="s">
        <v>1270</v>
      </c>
      <c r="DB3" s="1638" t="s">
        <v>1282</v>
      </c>
      <c r="DC3" s="1638" t="s">
        <v>1283</v>
      </c>
      <c r="DD3" s="1633" t="s">
        <v>1284</v>
      </c>
      <c r="DE3" s="1642" t="s">
        <v>1285</v>
      </c>
      <c r="DF3" s="1644"/>
      <c r="DG3" s="1644"/>
      <c r="DH3" s="1645"/>
      <c r="DI3" s="1645"/>
      <c r="DJ3" s="1645"/>
      <c r="DK3" s="1645"/>
    </row>
    <row r="4" spans="1:115" ht="26.25" customHeight="1">
      <c r="A4" s="1647">
        <v>1</v>
      </c>
      <c r="B4" s="2558" t="str">
        <f>1&amp;"0"&amp;C4&amp;IF(LEN(SUBSTITUTE(UPPER(D4),"P/O ",""))=1,"000"&amp;SUBSTITUTE(UPPER(D4),"P/O ",""),IF(LEN(SUBSTITUTE(UPPER(D4),"P/O ",""))=2,"00"&amp;SUBSTITUTE(UPPER(D4),"P/O ",""),IF(LEN(SUBSTITUTE(UPPER(D4),"P/O ",""))=3,"0"&amp;SUBSTITUTE(UPPER(D4),"P/O ",""),SUBSTITUTE(UPPER(D4),"P/O ",""))))</f>
        <v>1022140024</v>
      </c>
      <c r="C4" s="1648">
        <v>2214</v>
      </c>
      <c r="D4" s="1648">
        <v>24</v>
      </c>
      <c r="E4" s="1649" t="s">
        <v>1286</v>
      </c>
      <c r="F4" s="1650" t="s">
        <v>1287</v>
      </c>
      <c r="G4" s="1651">
        <v>20000</v>
      </c>
      <c r="H4" s="1652" t="s">
        <v>947</v>
      </c>
      <c r="I4" s="1653"/>
      <c r="J4" s="1654" t="s">
        <v>1288</v>
      </c>
      <c r="K4" s="1655">
        <f>V4/G4</f>
        <v>0.43280000000000002</v>
      </c>
      <c r="L4" s="1656">
        <v>0</v>
      </c>
      <c r="M4" s="1656">
        <v>0</v>
      </c>
      <c r="N4" s="1656">
        <f>O4+P4+Q4+R4+S4+T4</f>
        <v>8656</v>
      </c>
      <c r="O4" s="1657">
        <v>0</v>
      </c>
      <c r="P4" s="1657">
        <v>0</v>
      </c>
      <c r="Q4" s="1657">
        <v>8656</v>
      </c>
      <c r="R4" s="1657">
        <v>0</v>
      </c>
      <c r="S4" s="1657">
        <v>0</v>
      </c>
      <c r="T4" s="1657">
        <v>0</v>
      </c>
      <c r="U4" s="1656">
        <v>0</v>
      </c>
      <c r="V4" s="1658">
        <f>N4+M4+L4+U4</f>
        <v>8656</v>
      </c>
      <c r="W4" s="1656">
        <v>0</v>
      </c>
      <c r="X4" s="1659" t="s">
        <v>1289</v>
      </c>
      <c r="Y4" s="1660" t="s">
        <v>1023</v>
      </c>
      <c r="Z4" s="1656">
        <v>0</v>
      </c>
      <c r="AA4" s="1656">
        <f>AB4+AC4+AD4+AE4+AF4</f>
        <v>0</v>
      </c>
      <c r="AB4" s="1657">
        <v>0</v>
      </c>
      <c r="AC4" s="1657">
        <v>0</v>
      </c>
      <c r="AD4" s="1657">
        <v>0</v>
      </c>
      <c r="AE4" s="1657">
        <v>0</v>
      </c>
      <c r="AF4" s="1657">
        <v>0</v>
      </c>
      <c r="AG4" s="1656">
        <f>AH4+AI4+AJ4+AK4+AL4+AM4+AN4</f>
        <v>8656</v>
      </c>
      <c r="AH4" s="1657">
        <v>0</v>
      </c>
      <c r="AI4" s="1657">
        <v>0</v>
      </c>
      <c r="AJ4" s="1657">
        <v>0</v>
      </c>
      <c r="AK4" s="1657">
        <v>8656</v>
      </c>
      <c r="AL4" s="1657">
        <v>0</v>
      </c>
      <c r="AM4" s="1657">
        <v>0</v>
      </c>
      <c r="AN4" s="1656">
        <v>0</v>
      </c>
      <c r="AO4" s="1656">
        <f>AG4+AA4+Z4</f>
        <v>8656</v>
      </c>
      <c r="AP4" s="1661">
        <f>AO4/G4</f>
        <v>0.43280000000000002</v>
      </c>
      <c r="AQ4" s="1654">
        <v>0</v>
      </c>
      <c r="AR4" s="1654">
        <v>0</v>
      </c>
      <c r="AS4" s="1654">
        <v>0</v>
      </c>
      <c r="AT4" s="1662">
        <v>10</v>
      </c>
      <c r="AU4" s="1663" t="s">
        <v>1290</v>
      </c>
      <c r="AV4" s="1653"/>
      <c r="AW4" s="1655">
        <v>7.2</v>
      </c>
      <c r="AX4" s="1655">
        <v>6.45</v>
      </c>
      <c r="AY4" s="1655">
        <v>0.75</v>
      </c>
      <c r="AZ4" s="1655">
        <v>0</v>
      </c>
      <c r="BA4" s="1664" t="s">
        <v>1291</v>
      </c>
      <c r="BB4" s="1656">
        <f>ROUND(AX4*G4,0)</f>
        <v>129000</v>
      </c>
      <c r="BC4" s="1656">
        <f>ROUND(AZ4*G4,0)</f>
        <v>0</v>
      </c>
      <c r="BD4" s="1657">
        <v>0</v>
      </c>
      <c r="BE4" s="1657">
        <v>0</v>
      </c>
      <c r="BF4" s="1657">
        <v>0</v>
      </c>
      <c r="BG4" s="1657">
        <v>0</v>
      </c>
      <c r="BH4" s="1657">
        <v>0</v>
      </c>
      <c r="BI4" s="1657">
        <v>0</v>
      </c>
      <c r="BJ4" s="1657">
        <v>0</v>
      </c>
      <c r="BK4" s="1656">
        <f>ROUND(G4*AY4,0)</f>
        <v>15000</v>
      </c>
      <c r="BL4" s="1657">
        <f>BK4</f>
        <v>15000</v>
      </c>
      <c r="BM4" s="1657">
        <v>0</v>
      </c>
      <c r="BN4" s="1657">
        <v>0</v>
      </c>
      <c r="BO4" s="1657">
        <v>0</v>
      </c>
      <c r="BP4" s="1657">
        <v>0</v>
      </c>
      <c r="BQ4" s="1657">
        <v>0</v>
      </c>
      <c r="BR4" s="1657">
        <v>0</v>
      </c>
      <c r="BS4" s="1656">
        <f>ROUND(G4*AW4,0)</f>
        <v>144000</v>
      </c>
      <c r="BT4" s="1654">
        <f>ROUND(BB4/875,0)</f>
        <v>147</v>
      </c>
      <c r="BU4" s="1654">
        <f>ROUND(BT4*0.25,0)</f>
        <v>37</v>
      </c>
      <c r="BV4" s="1654">
        <f>BT4-BU4</f>
        <v>110</v>
      </c>
      <c r="BW4" s="1654">
        <f>ROUND(BT4*0.3,0)</f>
        <v>44</v>
      </c>
      <c r="BX4" s="1654">
        <f>BT4-BW4</f>
        <v>103</v>
      </c>
      <c r="BY4" s="1654">
        <f>ROUND(IF(((0.2*BV4)&gt;15),(0.2*BV4),0),0)</f>
        <v>22</v>
      </c>
      <c r="BZ4" s="1654">
        <f>ROUND(IF(((0.2*BX4)&gt;15),(0.2*BX4),0),0)</f>
        <v>21</v>
      </c>
      <c r="CA4" s="1654">
        <v>0</v>
      </c>
      <c r="CB4" s="1654">
        <f>BY4</f>
        <v>22</v>
      </c>
      <c r="CC4" s="1654">
        <f>BZ4</f>
        <v>21</v>
      </c>
      <c r="CD4" s="1662">
        <v>210</v>
      </c>
      <c r="CE4" s="1665">
        <f>BB4-Z4</f>
        <v>129000</v>
      </c>
      <c r="CF4" s="1656">
        <f>BC4-AA4</f>
        <v>0</v>
      </c>
      <c r="CG4" s="1657">
        <f>BD4</f>
        <v>0</v>
      </c>
      <c r="CH4" s="1657">
        <f>BE4-AB4</f>
        <v>0</v>
      </c>
      <c r="CI4" s="1657">
        <f>BF4</f>
        <v>0</v>
      </c>
      <c r="CJ4" s="1657">
        <f>BG4-AC4</f>
        <v>0</v>
      </c>
      <c r="CK4" s="1657">
        <f>BH4</f>
        <v>0</v>
      </c>
      <c r="CL4" s="1657">
        <f>BI4-AD4</f>
        <v>0</v>
      </c>
      <c r="CM4" s="1657">
        <f t="shared" ref="CM4:CV4" si="0">BJ4-AF4</f>
        <v>0</v>
      </c>
      <c r="CN4" s="1656">
        <f t="shared" si="0"/>
        <v>6344</v>
      </c>
      <c r="CO4" s="1657">
        <f t="shared" si="0"/>
        <v>15000</v>
      </c>
      <c r="CP4" s="1657">
        <f t="shared" si="0"/>
        <v>0</v>
      </c>
      <c r="CQ4" s="1657">
        <f t="shared" si="0"/>
        <v>0</v>
      </c>
      <c r="CR4" s="1657">
        <f t="shared" si="0"/>
        <v>-8656</v>
      </c>
      <c r="CS4" s="1657">
        <f t="shared" si="0"/>
        <v>0</v>
      </c>
      <c r="CT4" s="1657">
        <f t="shared" si="0"/>
        <v>0</v>
      </c>
      <c r="CU4" s="1656">
        <f t="shared" si="0"/>
        <v>0</v>
      </c>
      <c r="CV4" s="1656">
        <f t="shared" si="0"/>
        <v>135344</v>
      </c>
      <c r="CW4" s="1658">
        <f>BT4-AQ4</f>
        <v>147</v>
      </c>
      <c r="CX4" s="1666">
        <f>BU4</f>
        <v>37</v>
      </c>
      <c r="CY4" s="1666">
        <f>CW4-CX4</f>
        <v>110</v>
      </c>
      <c r="CZ4" s="1666">
        <f>BW4</f>
        <v>44</v>
      </c>
      <c r="DA4" s="1666">
        <f>CW4-CZ4</f>
        <v>103</v>
      </c>
      <c r="DB4" s="1666">
        <f>CB4-AR4</f>
        <v>22</v>
      </c>
      <c r="DC4" s="1666">
        <f>CC4-AR4</f>
        <v>21</v>
      </c>
      <c r="DD4" s="1667">
        <f>CB4-AS4</f>
        <v>22</v>
      </c>
      <c r="DE4" s="1668">
        <f>CC4-AS4</f>
        <v>21</v>
      </c>
      <c r="DF4" s="1630"/>
      <c r="DG4" s="1631"/>
      <c r="DH4" s="1631"/>
      <c r="DI4" s="1631"/>
      <c r="DJ4" s="1631"/>
      <c r="DK4" s="1631"/>
    </row>
    <row r="5" spans="1:115" ht="15.75" thickBot="1">
      <c r="A5" s="2377"/>
      <c r="B5" s="2559"/>
      <c r="C5" s="1669"/>
      <c r="D5" s="1669"/>
      <c r="E5" s="1670"/>
      <c r="F5" s="2363"/>
      <c r="G5" s="2384"/>
      <c r="H5" s="2369"/>
      <c r="I5" s="2369"/>
      <c r="J5" s="2353"/>
      <c r="K5" s="1671"/>
      <c r="L5" s="2374"/>
      <c r="M5" s="2374"/>
      <c r="N5" s="2374"/>
      <c r="O5" s="2372"/>
      <c r="P5" s="2372"/>
      <c r="Q5" s="2372"/>
      <c r="R5" s="2372"/>
      <c r="S5" s="2372"/>
      <c r="T5" s="2372"/>
      <c r="U5" s="2374"/>
      <c r="V5" s="2386"/>
      <c r="W5" s="2374"/>
      <c r="X5" s="1672"/>
      <c r="Y5" s="2362"/>
      <c r="Z5" s="2374"/>
      <c r="AA5" s="2374"/>
      <c r="AB5" s="2372"/>
      <c r="AC5" s="2372"/>
      <c r="AD5" s="2372"/>
      <c r="AE5" s="2372"/>
      <c r="AF5" s="2372"/>
      <c r="AG5" s="2374"/>
      <c r="AH5" s="2372"/>
      <c r="AI5" s="2372"/>
      <c r="AJ5" s="2372"/>
      <c r="AK5" s="2372"/>
      <c r="AL5" s="2372"/>
      <c r="AM5" s="2372"/>
      <c r="AN5" s="2374"/>
      <c r="AO5" s="2374"/>
      <c r="AP5" s="2359"/>
      <c r="AQ5" s="2353"/>
      <c r="AR5" s="2353"/>
      <c r="AS5" s="2353"/>
      <c r="AT5" s="2357"/>
      <c r="AU5" s="1673"/>
      <c r="AV5" s="2369"/>
      <c r="AW5" s="1671"/>
      <c r="AX5" s="1671"/>
      <c r="AY5" s="1671"/>
      <c r="AZ5" s="1671"/>
      <c r="BA5" s="2353"/>
      <c r="BB5" s="2374"/>
      <c r="BC5" s="2374"/>
      <c r="BD5" s="2372"/>
      <c r="BE5" s="2372"/>
      <c r="BF5" s="2372"/>
      <c r="BG5" s="2372"/>
      <c r="BH5" s="2372"/>
      <c r="BI5" s="2372"/>
      <c r="BJ5" s="2372"/>
      <c r="BK5" s="2374"/>
      <c r="BL5" s="2372"/>
      <c r="BM5" s="2372"/>
      <c r="BN5" s="2372"/>
      <c r="BO5" s="2372"/>
      <c r="BP5" s="2372"/>
      <c r="BQ5" s="2372"/>
      <c r="BR5" s="2372"/>
      <c r="BS5" s="2374"/>
      <c r="BT5" s="2353"/>
      <c r="BU5" s="2353"/>
      <c r="BV5" s="2354"/>
      <c r="BW5" s="2354"/>
      <c r="BX5" s="2354"/>
      <c r="BY5" s="2354"/>
      <c r="BZ5" s="2354"/>
      <c r="CA5" s="2354"/>
      <c r="CB5" s="2354"/>
      <c r="CC5" s="2354"/>
      <c r="CD5" s="2358"/>
      <c r="CE5" s="2388" t="s">
        <v>1089</v>
      </c>
      <c r="CF5" s="2374"/>
      <c r="CG5" s="2372"/>
      <c r="CH5" s="2372"/>
      <c r="CI5" s="2372"/>
      <c r="CJ5" s="2372"/>
      <c r="CK5" s="2372"/>
      <c r="CL5" s="2372"/>
      <c r="CM5" s="2372"/>
      <c r="CN5" s="2374"/>
      <c r="CO5" s="2372"/>
      <c r="CP5" s="2372"/>
      <c r="CQ5" s="2372"/>
      <c r="CR5" s="2372"/>
      <c r="CS5" s="2372"/>
      <c r="CT5" s="2372"/>
      <c r="CU5" s="2374"/>
      <c r="CV5" s="2374"/>
      <c r="CW5" s="2386"/>
      <c r="CX5" s="2350"/>
      <c r="CY5" s="2350"/>
      <c r="CZ5" s="2350"/>
      <c r="DA5" s="2350"/>
      <c r="DB5" s="2350"/>
      <c r="DC5" s="2350"/>
      <c r="DD5" s="2363"/>
      <c r="DE5" s="2365"/>
      <c r="DF5" s="1630"/>
      <c r="DG5" s="1631"/>
      <c r="DH5" s="1631"/>
      <c r="DI5" s="1631"/>
      <c r="DJ5" s="1631"/>
      <c r="DK5" s="1631"/>
    </row>
    <row r="6" spans="1:115" ht="15" customHeight="1" thickBot="1">
      <c r="A6" s="3104">
        <v>2</v>
      </c>
      <c r="B6" s="2558" t="str">
        <f t="shared" ref="B6:B10" si="1">1&amp;"0"&amp;C6&amp;IF(LEN(SUBSTITUTE(UPPER(D6),"P/O ",""))=1,"000"&amp;SUBSTITUTE(UPPER(D6),"P/O ",""),IF(LEN(SUBSTITUTE(UPPER(D6),"P/O ",""))=2,"00"&amp;SUBSTITUTE(UPPER(D6),"P/O ",""),IF(LEN(SUBSTITUTE(UPPER(D6),"P/O ",""))=3,"0"&amp;SUBSTITUTE(UPPER(D6),"P/O ",""),SUBSTITUTE(UPPER(D6),"P/O ",""))))</f>
        <v>1022150842</v>
      </c>
      <c r="C6" s="1674">
        <v>2215</v>
      </c>
      <c r="D6" s="1674">
        <v>842</v>
      </c>
      <c r="E6" s="1675" t="s">
        <v>1292</v>
      </c>
      <c r="F6" s="1676" t="s">
        <v>1293</v>
      </c>
      <c r="G6" s="1677">
        <v>15925</v>
      </c>
      <c r="H6" s="1678" t="s">
        <v>947</v>
      </c>
      <c r="I6" s="2379"/>
      <c r="J6" s="2355" t="s">
        <v>1294</v>
      </c>
      <c r="K6" s="1679">
        <f t="shared" ref="K6:K18" si="2">V6/G6</f>
        <v>0</v>
      </c>
      <c r="L6" s="2355">
        <v>0</v>
      </c>
      <c r="M6" s="2355">
        <v>0</v>
      </c>
      <c r="N6" s="2355">
        <f>O6+P6+Q6+R6+S6+T6</f>
        <v>0</v>
      </c>
      <c r="O6" s="2352">
        <v>0</v>
      </c>
      <c r="P6" s="2352">
        <v>0</v>
      </c>
      <c r="Q6" s="2352">
        <v>0</v>
      </c>
      <c r="R6" s="2352">
        <v>0</v>
      </c>
      <c r="S6" s="2352">
        <v>0</v>
      </c>
      <c r="T6" s="2352">
        <v>0</v>
      </c>
      <c r="U6" s="2355">
        <v>0</v>
      </c>
      <c r="V6" s="2356">
        <f>N6+M6+L6+U6</f>
        <v>0</v>
      </c>
      <c r="W6" s="2355">
        <f>O6+N6+M6</f>
        <v>0</v>
      </c>
      <c r="X6" s="3107" t="s">
        <v>1295</v>
      </c>
      <c r="Y6" s="3109" t="s">
        <v>1023</v>
      </c>
      <c r="Z6" s="3112">
        <v>0</v>
      </c>
      <c r="AA6" s="3112">
        <f>AB6+AC6+AD6+AE6+AF6</f>
        <v>0</v>
      </c>
      <c r="AB6" s="3115">
        <v>0</v>
      </c>
      <c r="AC6" s="3115">
        <v>0</v>
      </c>
      <c r="AD6" s="3115">
        <v>0</v>
      </c>
      <c r="AE6" s="3115">
        <v>0</v>
      </c>
      <c r="AF6" s="3115">
        <v>0</v>
      </c>
      <c r="AG6" s="3112">
        <f>AH6+AI6+AJ6+AK6+AL6+AM6+AN6</f>
        <v>3040</v>
      </c>
      <c r="AH6" s="3115">
        <v>0</v>
      </c>
      <c r="AI6" s="3115">
        <v>0</v>
      </c>
      <c r="AJ6" s="3115">
        <v>0</v>
      </c>
      <c r="AK6" s="3115">
        <f>Q11</f>
        <v>0</v>
      </c>
      <c r="AL6" s="3115">
        <f>R11</f>
        <v>3040</v>
      </c>
      <c r="AM6" s="3115">
        <v>0</v>
      </c>
      <c r="AN6" s="3112">
        <v>0</v>
      </c>
      <c r="AO6" s="3112">
        <f>AG6+AA6+Z6</f>
        <v>3040</v>
      </c>
      <c r="AP6" s="3135">
        <f>AO6/G11</f>
        <v>5.5117396428247666E-2</v>
      </c>
      <c r="AQ6" s="3136">
        <v>0</v>
      </c>
      <c r="AR6" s="3136">
        <v>244</v>
      </c>
      <c r="AS6" s="3136">
        <f>AR6</f>
        <v>244</v>
      </c>
      <c r="AT6" s="3131">
        <v>15</v>
      </c>
      <c r="AU6" s="1680" t="s">
        <v>1296</v>
      </c>
      <c r="AV6" s="2379"/>
      <c r="AW6" s="2371">
        <v>6.5</v>
      </c>
      <c r="AX6" s="1679">
        <v>0</v>
      </c>
      <c r="AY6" s="1679">
        <v>4.5</v>
      </c>
      <c r="AZ6" s="1679">
        <v>2</v>
      </c>
      <c r="BA6" s="1681" t="s">
        <v>1297</v>
      </c>
      <c r="BB6" s="2355">
        <f>ROUND(AX6*G11,0)</f>
        <v>0</v>
      </c>
      <c r="BC6" s="2355">
        <f>ROUND(AZ6*G11,0)</f>
        <v>110310</v>
      </c>
      <c r="BD6" s="2352">
        <v>0</v>
      </c>
      <c r="BE6" s="2352">
        <v>0</v>
      </c>
      <c r="BF6" s="2352">
        <v>0</v>
      </c>
      <c r="BG6" s="2352">
        <v>0</v>
      </c>
      <c r="BH6" s="2352">
        <v>0</v>
      </c>
      <c r="BI6" s="2352">
        <f>BC6</f>
        <v>110310</v>
      </c>
      <c r="BJ6" s="2352">
        <v>0</v>
      </c>
      <c r="BK6" s="2355">
        <f>ROUND(G11*AY6,0)</f>
        <v>248198</v>
      </c>
      <c r="BL6" s="2352">
        <v>15000</v>
      </c>
      <c r="BM6" s="2352">
        <v>0</v>
      </c>
      <c r="BN6" s="2352">
        <f>BK6-BL6</f>
        <v>233198</v>
      </c>
      <c r="BO6" s="2352">
        <v>0</v>
      </c>
      <c r="BP6" s="2352">
        <v>0</v>
      </c>
      <c r="BQ6" s="2352">
        <v>0</v>
      </c>
      <c r="BR6" s="2352">
        <v>0</v>
      </c>
      <c r="BS6" s="2355">
        <f>ROUND(G11*AW6,0)</f>
        <v>358508</v>
      </c>
      <c r="BT6" s="2366">
        <f>ROUND(BB6/875,0)</f>
        <v>0</v>
      </c>
      <c r="BU6" s="2366">
        <v>0</v>
      </c>
      <c r="BV6" s="2366">
        <v>0</v>
      </c>
      <c r="BW6" s="2366">
        <v>0</v>
      </c>
      <c r="BX6" s="2366">
        <v>0</v>
      </c>
      <c r="BY6" s="2366">
        <v>0</v>
      </c>
      <c r="BZ6" s="2366">
        <v>0</v>
      </c>
      <c r="CA6" s="2366">
        <v>244</v>
      </c>
      <c r="CB6" s="2366">
        <f>CA6</f>
        <v>244</v>
      </c>
      <c r="CC6" s="2366">
        <f>CA6</f>
        <v>244</v>
      </c>
      <c r="CD6" s="2367">
        <v>265</v>
      </c>
      <c r="CE6" s="3132">
        <f>BB6-Z6</f>
        <v>0</v>
      </c>
      <c r="CF6" s="3112">
        <f>BC6-AA6</f>
        <v>110310</v>
      </c>
      <c r="CG6" s="3112">
        <f>BD6</f>
        <v>0</v>
      </c>
      <c r="CH6" s="3112">
        <f>BE6-AB6</f>
        <v>0</v>
      </c>
      <c r="CI6" s="3112">
        <f>BF6</f>
        <v>0</v>
      </c>
      <c r="CJ6" s="3112">
        <f>BG6-AC6</f>
        <v>0</v>
      </c>
      <c r="CK6" s="3112">
        <f>BH6</f>
        <v>0</v>
      </c>
      <c r="CL6" s="3112">
        <f>BI6-AD6</f>
        <v>110310</v>
      </c>
      <c r="CM6" s="3112">
        <f t="shared" ref="CM6:CV6" si="3">BJ6-AF6</f>
        <v>0</v>
      </c>
      <c r="CN6" s="3112">
        <f t="shared" si="3"/>
        <v>245158</v>
      </c>
      <c r="CO6" s="3115">
        <f t="shared" si="3"/>
        <v>15000</v>
      </c>
      <c r="CP6" s="3115">
        <f t="shared" si="3"/>
        <v>0</v>
      </c>
      <c r="CQ6" s="3115">
        <f t="shared" si="3"/>
        <v>233198</v>
      </c>
      <c r="CR6" s="3115">
        <f t="shared" si="3"/>
        <v>0</v>
      </c>
      <c r="CS6" s="3115">
        <f t="shared" si="3"/>
        <v>-3040</v>
      </c>
      <c r="CT6" s="3115">
        <f t="shared" si="3"/>
        <v>0</v>
      </c>
      <c r="CU6" s="3112">
        <f t="shared" si="3"/>
        <v>0</v>
      </c>
      <c r="CV6" s="3115">
        <f t="shared" si="3"/>
        <v>355468</v>
      </c>
      <c r="CW6" s="3125">
        <f>BT6-AQ6</f>
        <v>0</v>
      </c>
      <c r="CX6" s="3128">
        <f>BU6</f>
        <v>0</v>
      </c>
      <c r="CY6" s="3128">
        <f>BV6</f>
        <v>0</v>
      </c>
      <c r="CZ6" s="3128">
        <f>BW6</f>
        <v>0</v>
      </c>
      <c r="DA6" s="3128">
        <f>BX6</f>
        <v>0</v>
      </c>
      <c r="DB6" s="3128">
        <f>CA6-AR6</f>
        <v>0</v>
      </c>
      <c r="DC6" s="3128">
        <f>CA6-AR6</f>
        <v>0</v>
      </c>
      <c r="DD6" s="3128">
        <f>CB6-AS6</f>
        <v>0</v>
      </c>
      <c r="DE6" s="3118">
        <f>CC6-AS6</f>
        <v>0</v>
      </c>
      <c r="DF6" s="1630"/>
      <c r="DG6" s="1631"/>
      <c r="DH6" s="1631"/>
      <c r="DI6" s="1631"/>
      <c r="DJ6" s="1631"/>
      <c r="DK6" s="1631"/>
    </row>
    <row r="7" spans="1:115" ht="15.75" thickBot="1">
      <c r="A7" s="3105"/>
      <c r="B7" s="2558" t="str">
        <f t="shared" si="1"/>
        <v>1022150852</v>
      </c>
      <c r="C7" s="1682">
        <v>2215</v>
      </c>
      <c r="D7" s="1682">
        <v>852</v>
      </c>
      <c r="E7" s="1683" t="s">
        <v>1298</v>
      </c>
      <c r="F7" s="1684" t="s">
        <v>1293</v>
      </c>
      <c r="G7" s="2384">
        <v>10100</v>
      </c>
      <c r="H7" s="1685" t="s">
        <v>947</v>
      </c>
      <c r="I7" s="2369"/>
      <c r="J7" s="2374" t="s">
        <v>1294</v>
      </c>
      <c r="K7" s="1671">
        <f t="shared" si="2"/>
        <v>0.30099009900990098</v>
      </c>
      <c r="L7" s="2374">
        <v>0</v>
      </c>
      <c r="M7" s="2374">
        <v>0</v>
      </c>
      <c r="N7" s="2374">
        <f>O7+P7+Q7+R7+S7+T7</f>
        <v>3040</v>
      </c>
      <c r="O7" s="2372">
        <v>0</v>
      </c>
      <c r="P7" s="2372">
        <v>0</v>
      </c>
      <c r="Q7" s="2372">
        <v>0</v>
      </c>
      <c r="R7" s="2372">
        <v>3040</v>
      </c>
      <c r="S7" s="2372">
        <v>0</v>
      </c>
      <c r="T7" s="2372">
        <v>0</v>
      </c>
      <c r="U7" s="2374">
        <v>0</v>
      </c>
      <c r="V7" s="2386">
        <f>N7+M7+L7+U7</f>
        <v>3040</v>
      </c>
      <c r="W7" s="2374">
        <v>0</v>
      </c>
      <c r="X7" s="3108"/>
      <c r="Y7" s="3110"/>
      <c r="Z7" s="3113"/>
      <c r="AA7" s="3113"/>
      <c r="AB7" s="3116"/>
      <c r="AC7" s="3116"/>
      <c r="AD7" s="3116"/>
      <c r="AE7" s="3116"/>
      <c r="AF7" s="3113"/>
      <c r="AG7" s="3113"/>
      <c r="AH7" s="3116"/>
      <c r="AI7" s="3116"/>
      <c r="AJ7" s="3116"/>
      <c r="AK7" s="3116"/>
      <c r="AL7" s="3116"/>
      <c r="AM7" s="3116"/>
      <c r="AN7" s="3113"/>
      <c r="AO7" s="3113"/>
      <c r="AP7" s="3123"/>
      <c r="AQ7" s="3123"/>
      <c r="AR7" s="3123"/>
      <c r="AS7" s="3123"/>
      <c r="AT7" s="3126"/>
      <c r="AU7" s="1673"/>
      <c r="AV7" s="2369"/>
      <c r="AW7" s="2353"/>
      <c r="AX7" s="2369"/>
      <c r="AY7" s="2369"/>
      <c r="AZ7" s="2369"/>
      <c r="BA7" s="2398"/>
      <c r="BB7" s="2374"/>
      <c r="BC7" s="2374"/>
      <c r="BD7" s="2372"/>
      <c r="BE7" s="2372"/>
      <c r="BF7" s="2372"/>
      <c r="BG7" s="2372"/>
      <c r="BH7" s="2372"/>
      <c r="BI7" s="2372"/>
      <c r="BJ7" s="2372"/>
      <c r="BK7" s="2374"/>
      <c r="BL7" s="2372"/>
      <c r="BM7" s="2372"/>
      <c r="BN7" s="2372"/>
      <c r="BO7" s="2372"/>
      <c r="BP7" s="2372"/>
      <c r="BQ7" s="2372"/>
      <c r="BR7" s="2372"/>
      <c r="BS7" s="2374"/>
      <c r="BT7" s="2353"/>
      <c r="BU7" s="2353"/>
      <c r="BV7" s="2353"/>
      <c r="BW7" s="2353"/>
      <c r="BX7" s="2353"/>
      <c r="BY7" s="2353"/>
      <c r="BZ7" s="2353"/>
      <c r="CA7" s="2353"/>
      <c r="CB7" s="2353"/>
      <c r="CC7" s="2353"/>
      <c r="CD7" s="2357"/>
      <c r="CE7" s="3133"/>
      <c r="CF7" s="3123"/>
      <c r="CG7" s="3123"/>
      <c r="CH7" s="3123"/>
      <c r="CI7" s="3123"/>
      <c r="CJ7" s="3123"/>
      <c r="CK7" s="3123"/>
      <c r="CL7" s="3123"/>
      <c r="CM7" s="3123"/>
      <c r="CN7" s="3123"/>
      <c r="CO7" s="3123"/>
      <c r="CP7" s="3123"/>
      <c r="CQ7" s="3123"/>
      <c r="CR7" s="3123"/>
      <c r="CS7" s="3123"/>
      <c r="CT7" s="3123"/>
      <c r="CU7" s="3123"/>
      <c r="CV7" s="3123"/>
      <c r="CW7" s="3126"/>
      <c r="CX7" s="3129"/>
      <c r="CY7" s="3129"/>
      <c r="CZ7" s="3129"/>
      <c r="DA7" s="3129"/>
      <c r="DB7" s="3129"/>
      <c r="DC7" s="3129"/>
      <c r="DD7" s="3129"/>
      <c r="DE7" s="3119"/>
      <c r="DF7" s="1630"/>
      <c r="DG7" s="1631"/>
      <c r="DH7" s="1631"/>
      <c r="DI7" s="1631"/>
      <c r="DJ7" s="1631"/>
      <c r="DK7" s="1631"/>
    </row>
    <row r="8" spans="1:115" ht="15.75" thickBot="1">
      <c r="A8" s="3105"/>
      <c r="B8" s="2558" t="str">
        <f t="shared" si="1"/>
        <v>1022150857</v>
      </c>
      <c r="C8" s="1682">
        <v>2215</v>
      </c>
      <c r="D8" s="1682">
        <v>857</v>
      </c>
      <c r="E8" s="1683" t="s">
        <v>1299</v>
      </c>
      <c r="F8" s="1684" t="s">
        <v>1293</v>
      </c>
      <c r="G8" s="2384">
        <v>3205</v>
      </c>
      <c r="H8" s="1685" t="s">
        <v>947</v>
      </c>
      <c r="I8" s="2369"/>
      <c r="J8" s="2374" t="s">
        <v>1294</v>
      </c>
      <c r="K8" s="1671">
        <f t="shared" si="2"/>
        <v>0</v>
      </c>
      <c r="L8" s="2374">
        <v>0</v>
      </c>
      <c r="M8" s="2374">
        <v>0</v>
      </c>
      <c r="N8" s="2374">
        <f>O8+P8+Q8+R8+S8+T8</f>
        <v>0</v>
      </c>
      <c r="O8" s="2372">
        <v>0</v>
      </c>
      <c r="P8" s="2372">
        <v>0</v>
      </c>
      <c r="Q8" s="2372">
        <v>0</v>
      </c>
      <c r="R8" s="2372">
        <v>0</v>
      </c>
      <c r="S8" s="2372">
        <v>0</v>
      </c>
      <c r="T8" s="2372">
        <v>0</v>
      </c>
      <c r="U8" s="2374">
        <v>0</v>
      </c>
      <c r="V8" s="2386">
        <f>N8+M8+L8+U8</f>
        <v>0</v>
      </c>
      <c r="W8" s="2374">
        <v>0</v>
      </c>
      <c r="X8" s="3108"/>
      <c r="Y8" s="3110"/>
      <c r="Z8" s="3113"/>
      <c r="AA8" s="3113"/>
      <c r="AB8" s="3116"/>
      <c r="AC8" s="3116"/>
      <c r="AD8" s="3116"/>
      <c r="AE8" s="3116"/>
      <c r="AF8" s="3113"/>
      <c r="AG8" s="3113"/>
      <c r="AH8" s="3116"/>
      <c r="AI8" s="3116"/>
      <c r="AJ8" s="3116"/>
      <c r="AK8" s="3116"/>
      <c r="AL8" s="3116"/>
      <c r="AM8" s="3116"/>
      <c r="AN8" s="3113"/>
      <c r="AO8" s="3113"/>
      <c r="AP8" s="3123"/>
      <c r="AQ8" s="3123"/>
      <c r="AR8" s="3123"/>
      <c r="AS8" s="3123"/>
      <c r="AT8" s="3126"/>
      <c r="AU8" s="1673"/>
      <c r="AV8" s="2369"/>
      <c r="AW8" s="2353"/>
      <c r="AX8" s="2369"/>
      <c r="AY8" s="2369"/>
      <c r="AZ8" s="2369"/>
      <c r="BA8" s="2398"/>
      <c r="BB8" s="2374"/>
      <c r="BC8" s="2374"/>
      <c r="BD8" s="2372"/>
      <c r="BE8" s="2372"/>
      <c r="BF8" s="2372"/>
      <c r="BG8" s="2372"/>
      <c r="BH8" s="2372"/>
      <c r="BI8" s="2372"/>
      <c r="BJ8" s="2372"/>
      <c r="BK8" s="2374"/>
      <c r="BL8" s="2372"/>
      <c r="BM8" s="2372"/>
      <c r="BN8" s="2372"/>
      <c r="BO8" s="2372"/>
      <c r="BP8" s="2372"/>
      <c r="BQ8" s="2372"/>
      <c r="BR8" s="2372"/>
      <c r="BS8" s="2374"/>
      <c r="BT8" s="2353"/>
      <c r="BU8" s="2353"/>
      <c r="BV8" s="2353"/>
      <c r="BW8" s="2353"/>
      <c r="BX8" s="2353"/>
      <c r="BY8" s="2353"/>
      <c r="BZ8" s="2353"/>
      <c r="CA8" s="2353"/>
      <c r="CB8" s="2353"/>
      <c r="CC8" s="2353"/>
      <c r="CD8" s="2357"/>
      <c r="CE8" s="3133"/>
      <c r="CF8" s="3123"/>
      <c r="CG8" s="3123"/>
      <c r="CH8" s="3123"/>
      <c r="CI8" s="3123"/>
      <c r="CJ8" s="3123"/>
      <c r="CK8" s="3123"/>
      <c r="CL8" s="3123"/>
      <c r="CM8" s="3123"/>
      <c r="CN8" s="3123"/>
      <c r="CO8" s="3123"/>
      <c r="CP8" s="3123"/>
      <c r="CQ8" s="3123"/>
      <c r="CR8" s="3123"/>
      <c r="CS8" s="3123"/>
      <c r="CT8" s="3123"/>
      <c r="CU8" s="3123"/>
      <c r="CV8" s="3123"/>
      <c r="CW8" s="3126"/>
      <c r="CX8" s="3129"/>
      <c r="CY8" s="3129"/>
      <c r="CZ8" s="3129"/>
      <c r="DA8" s="3129"/>
      <c r="DB8" s="3129"/>
      <c r="DC8" s="3129"/>
      <c r="DD8" s="3129"/>
      <c r="DE8" s="3119"/>
      <c r="DF8" s="1630"/>
      <c r="DG8" s="1631"/>
      <c r="DH8" s="1631"/>
      <c r="DI8" s="1631"/>
      <c r="DJ8" s="1631"/>
      <c r="DK8" s="1631"/>
    </row>
    <row r="9" spans="1:115" ht="15.75" thickBot="1">
      <c r="A9" s="3105"/>
      <c r="B9" s="2558" t="str">
        <f t="shared" si="1"/>
        <v>1022150863</v>
      </c>
      <c r="C9" s="1682">
        <v>2215</v>
      </c>
      <c r="D9" s="1682">
        <v>863</v>
      </c>
      <c r="E9" s="1683" t="s">
        <v>1300</v>
      </c>
      <c r="F9" s="1684" t="s">
        <v>1293</v>
      </c>
      <c r="G9" s="2384">
        <v>5000</v>
      </c>
      <c r="H9" s="1685" t="s">
        <v>947</v>
      </c>
      <c r="I9" s="2369"/>
      <c r="J9" s="2374" t="s">
        <v>1294</v>
      </c>
      <c r="K9" s="1671">
        <f t="shared" si="2"/>
        <v>0</v>
      </c>
      <c r="L9" s="2374">
        <v>0</v>
      </c>
      <c r="M9" s="2374">
        <v>0</v>
      </c>
      <c r="N9" s="2374">
        <f>O9+P9+Q9+R9+S9+T9</f>
        <v>0</v>
      </c>
      <c r="O9" s="2372">
        <v>0</v>
      </c>
      <c r="P9" s="2372">
        <v>0</v>
      </c>
      <c r="Q9" s="2372">
        <v>0</v>
      </c>
      <c r="R9" s="2372">
        <v>0</v>
      </c>
      <c r="S9" s="2372">
        <v>0</v>
      </c>
      <c r="T9" s="2372">
        <v>0</v>
      </c>
      <c r="U9" s="2374">
        <v>0</v>
      </c>
      <c r="V9" s="2386">
        <f>N9+M9+L9+U9</f>
        <v>0</v>
      </c>
      <c r="W9" s="2374">
        <v>0</v>
      </c>
      <c r="X9" s="3108"/>
      <c r="Y9" s="3110"/>
      <c r="Z9" s="3113"/>
      <c r="AA9" s="3113"/>
      <c r="AB9" s="3116"/>
      <c r="AC9" s="3116"/>
      <c r="AD9" s="3116"/>
      <c r="AE9" s="3116"/>
      <c r="AF9" s="3113"/>
      <c r="AG9" s="3113"/>
      <c r="AH9" s="3116"/>
      <c r="AI9" s="3116"/>
      <c r="AJ9" s="3116"/>
      <c r="AK9" s="3116"/>
      <c r="AL9" s="3116"/>
      <c r="AM9" s="3116"/>
      <c r="AN9" s="3113"/>
      <c r="AO9" s="3113"/>
      <c r="AP9" s="3123"/>
      <c r="AQ9" s="3123"/>
      <c r="AR9" s="3123"/>
      <c r="AS9" s="3123"/>
      <c r="AT9" s="3126"/>
      <c r="AU9" s="1673"/>
      <c r="AV9" s="2369"/>
      <c r="AW9" s="2353"/>
      <c r="AX9" s="2369"/>
      <c r="AY9" s="2369"/>
      <c r="AZ9" s="2369"/>
      <c r="BA9" s="2398"/>
      <c r="BB9" s="2374"/>
      <c r="BC9" s="2374"/>
      <c r="BD9" s="2372"/>
      <c r="BE9" s="2372"/>
      <c r="BF9" s="2372"/>
      <c r="BG9" s="2372"/>
      <c r="BH9" s="2372"/>
      <c r="BI9" s="2372"/>
      <c r="BJ9" s="2372"/>
      <c r="BK9" s="2374"/>
      <c r="BL9" s="2372"/>
      <c r="BM9" s="2372"/>
      <c r="BN9" s="2372"/>
      <c r="BO9" s="2372"/>
      <c r="BP9" s="2372"/>
      <c r="BQ9" s="2372"/>
      <c r="BR9" s="2372"/>
      <c r="BS9" s="2374"/>
      <c r="BT9" s="2353"/>
      <c r="BU9" s="2353"/>
      <c r="BV9" s="2353"/>
      <c r="BW9" s="2353"/>
      <c r="BX9" s="2353"/>
      <c r="BY9" s="2353"/>
      <c r="BZ9" s="2353"/>
      <c r="CA9" s="2353"/>
      <c r="CB9" s="2353"/>
      <c r="CC9" s="2353"/>
      <c r="CD9" s="2357"/>
      <c r="CE9" s="3133"/>
      <c r="CF9" s="3123"/>
      <c r="CG9" s="3123"/>
      <c r="CH9" s="3123"/>
      <c r="CI9" s="3123"/>
      <c r="CJ9" s="3123"/>
      <c r="CK9" s="3123"/>
      <c r="CL9" s="3123"/>
      <c r="CM9" s="3123"/>
      <c r="CN9" s="3123"/>
      <c r="CO9" s="3123"/>
      <c r="CP9" s="3123"/>
      <c r="CQ9" s="3123"/>
      <c r="CR9" s="3123"/>
      <c r="CS9" s="3123"/>
      <c r="CT9" s="3123"/>
      <c r="CU9" s="3123"/>
      <c r="CV9" s="3123"/>
      <c r="CW9" s="3126"/>
      <c r="CX9" s="3129"/>
      <c r="CY9" s="3129"/>
      <c r="CZ9" s="3129"/>
      <c r="DA9" s="3129"/>
      <c r="DB9" s="3129"/>
      <c r="DC9" s="3129"/>
      <c r="DD9" s="3129"/>
      <c r="DE9" s="3119"/>
      <c r="DF9" s="1630"/>
      <c r="DG9" s="1631"/>
      <c r="DH9" s="1631"/>
      <c r="DI9" s="1631"/>
      <c r="DJ9" s="1631"/>
      <c r="DK9" s="1631"/>
    </row>
    <row r="10" spans="1:115">
      <c r="A10" s="3105"/>
      <c r="B10" s="2558" t="str">
        <f t="shared" si="1"/>
        <v>1022150866</v>
      </c>
      <c r="C10" s="1682">
        <v>2215</v>
      </c>
      <c r="D10" s="1682">
        <v>866</v>
      </c>
      <c r="E10" s="1683" t="s">
        <v>1301</v>
      </c>
      <c r="F10" s="1684" t="s">
        <v>1293</v>
      </c>
      <c r="G10" s="1686">
        <v>20925</v>
      </c>
      <c r="H10" s="1685" t="s">
        <v>947</v>
      </c>
      <c r="I10" s="2369"/>
      <c r="J10" s="2374" t="s">
        <v>1294</v>
      </c>
      <c r="K10" s="1671">
        <f t="shared" si="2"/>
        <v>0</v>
      </c>
      <c r="L10" s="1687">
        <v>0</v>
      </c>
      <c r="M10" s="1687">
        <v>0</v>
      </c>
      <c r="N10" s="1687">
        <f>O10+P10+Q10+R10+S10+T10</f>
        <v>0</v>
      </c>
      <c r="O10" s="1688">
        <v>0</v>
      </c>
      <c r="P10" s="1688">
        <v>0</v>
      </c>
      <c r="Q10" s="1688">
        <v>0</v>
      </c>
      <c r="R10" s="1688">
        <v>0</v>
      </c>
      <c r="S10" s="1688">
        <v>0</v>
      </c>
      <c r="T10" s="1688">
        <v>0</v>
      </c>
      <c r="U10" s="1687">
        <v>0</v>
      </c>
      <c r="V10" s="1689">
        <f>N10+M10+L10+U10</f>
        <v>0</v>
      </c>
      <c r="W10" s="1687">
        <v>0</v>
      </c>
      <c r="X10" s="3108"/>
      <c r="Y10" s="3110"/>
      <c r="Z10" s="3113"/>
      <c r="AA10" s="3113"/>
      <c r="AB10" s="3116"/>
      <c r="AC10" s="3116"/>
      <c r="AD10" s="3116"/>
      <c r="AE10" s="3116"/>
      <c r="AF10" s="3113"/>
      <c r="AG10" s="3113"/>
      <c r="AH10" s="3116"/>
      <c r="AI10" s="3116"/>
      <c r="AJ10" s="3116"/>
      <c r="AK10" s="3116"/>
      <c r="AL10" s="3116"/>
      <c r="AM10" s="3116"/>
      <c r="AN10" s="3113"/>
      <c r="AO10" s="3113"/>
      <c r="AP10" s="3123"/>
      <c r="AQ10" s="3123"/>
      <c r="AR10" s="3123"/>
      <c r="AS10" s="3123"/>
      <c r="AT10" s="3126"/>
      <c r="AU10" s="1673"/>
      <c r="AV10" s="2369"/>
      <c r="AW10" s="2353"/>
      <c r="AX10" s="2369"/>
      <c r="AY10" s="2369"/>
      <c r="AZ10" s="2369"/>
      <c r="BA10" s="2398"/>
      <c r="BB10" s="2374"/>
      <c r="BC10" s="2374"/>
      <c r="BD10" s="2372"/>
      <c r="BE10" s="2372"/>
      <c r="BF10" s="2372"/>
      <c r="BG10" s="2372"/>
      <c r="BH10" s="2372"/>
      <c r="BI10" s="2372"/>
      <c r="BJ10" s="2372"/>
      <c r="BK10" s="2374"/>
      <c r="BL10" s="2372"/>
      <c r="BM10" s="2372"/>
      <c r="BN10" s="2372"/>
      <c r="BO10" s="2372"/>
      <c r="BP10" s="2372"/>
      <c r="BQ10" s="2372"/>
      <c r="BR10" s="2372"/>
      <c r="BS10" s="2374"/>
      <c r="BT10" s="2353"/>
      <c r="BU10" s="2353"/>
      <c r="BV10" s="2353"/>
      <c r="BW10" s="2353"/>
      <c r="BX10" s="2353"/>
      <c r="BY10" s="2353"/>
      <c r="BZ10" s="2353"/>
      <c r="CA10" s="2353"/>
      <c r="CB10" s="2353"/>
      <c r="CC10" s="2353"/>
      <c r="CD10" s="2357"/>
      <c r="CE10" s="3133"/>
      <c r="CF10" s="3123"/>
      <c r="CG10" s="3123"/>
      <c r="CH10" s="3123"/>
      <c r="CI10" s="3123"/>
      <c r="CJ10" s="3123"/>
      <c r="CK10" s="3123"/>
      <c r="CL10" s="3123"/>
      <c r="CM10" s="3123"/>
      <c r="CN10" s="3123"/>
      <c r="CO10" s="3123"/>
      <c r="CP10" s="3123"/>
      <c r="CQ10" s="3123"/>
      <c r="CR10" s="3123"/>
      <c r="CS10" s="3123"/>
      <c r="CT10" s="3123"/>
      <c r="CU10" s="3123"/>
      <c r="CV10" s="3123"/>
      <c r="CW10" s="3126"/>
      <c r="CX10" s="3129"/>
      <c r="CY10" s="3129"/>
      <c r="CZ10" s="3129"/>
      <c r="DA10" s="3129"/>
      <c r="DB10" s="3129"/>
      <c r="DC10" s="3129"/>
      <c r="DD10" s="3129"/>
      <c r="DE10" s="3119"/>
      <c r="DF10" s="1630"/>
      <c r="DG10" s="1631"/>
      <c r="DH10" s="1631"/>
      <c r="DI10" s="1631"/>
      <c r="DJ10" s="1631"/>
      <c r="DK10" s="1631"/>
    </row>
    <row r="11" spans="1:115" ht="15.75" thickBot="1">
      <c r="A11" s="3106"/>
      <c r="B11" s="2560"/>
      <c r="C11" s="1690"/>
      <c r="D11" s="1690"/>
      <c r="E11" s="1691"/>
      <c r="F11" s="1692" t="s">
        <v>1302</v>
      </c>
      <c r="G11" s="1693">
        <f t="shared" ref="G11" si="4">SUM(G6:G10)</f>
        <v>55155</v>
      </c>
      <c r="H11" s="1694"/>
      <c r="I11" s="1694"/>
      <c r="J11" s="1695"/>
      <c r="K11" s="1696">
        <f t="shared" si="2"/>
        <v>5.5117396428247666E-2</v>
      </c>
      <c r="L11" s="1697">
        <f>SUM(L6:L10)</f>
        <v>0</v>
      </c>
      <c r="M11" s="1697">
        <f t="shared" ref="M11:W11" si="5">SUM(M6:M10)</f>
        <v>0</v>
      </c>
      <c r="N11" s="1697">
        <f t="shared" si="5"/>
        <v>3040</v>
      </c>
      <c r="O11" s="1698">
        <f t="shared" si="5"/>
        <v>0</v>
      </c>
      <c r="P11" s="1698">
        <f t="shared" si="5"/>
        <v>0</v>
      </c>
      <c r="Q11" s="1698">
        <f t="shared" si="5"/>
        <v>0</v>
      </c>
      <c r="R11" s="1698">
        <f t="shared" si="5"/>
        <v>3040</v>
      </c>
      <c r="S11" s="1698">
        <f t="shared" si="5"/>
        <v>0</v>
      </c>
      <c r="T11" s="1698">
        <f t="shared" si="5"/>
        <v>0</v>
      </c>
      <c r="U11" s="1697">
        <f t="shared" si="5"/>
        <v>0</v>
      </c>
      <c r="V11" s="1699">
        <f t="shared" si="5"/>
        <v>3040</v>
      </c>
      <c r="W11" s="1697">
        <f t="shared" si="5"/>
        <v>0</v>
      </c>
      <c r="X11" s="3108"/>
      <c r="Y11" s="3110"/>
      <c r="Z11" s="3114"/>
      <c r="AA11" s="3114"/>
      <c r="AB11" s="3117"/>
      <c r="AC11" s="3117"/>
      <c r="AD11" s="3117"/>
      <c r="AE11" s="3117"/>
      <c r="AF11" s="3114"/>
      <c r="AG11" s="3114"/>
      <c r="AH11" s="3117"/>
      <c r="AI11" s="3117"/>
      <c r="AJ11" s="3117"/>
      <c r="AK11" s="3117"/>
      <c r="AL11" s="3117"/>
      <c r="AM11" s="3117"/>
      <c r="AN11" s="3114"/>
      <c r="AO11" s="3114"/>
      <c r="AP11" s="3124"/>
      <c r="AQ11" s="3124"/>
      <c r="AR11" s="3124"/>
      <c r="AS11" s="3124"/>
      <c r="AT11" s="3127"/>
      <c r="AU11" s="1700"/>
      <c r="AV11" s="1701"/>
      <c r="AW11" s="2391"/>
      <c r="AX11" s="1701"/>
      <c r="AY11" s="1701"/>
      <c r="AZ11" s="1701"/>
      <c r="BA11" s="2398"/>
      <c r="BB11" s="2374"/>
      <c r="BC11" s="2374"/>
      <c r="BD11" s="2372"/>
      <c r="BE11" s="2372"/>
      <c r="BF11" s="2372"/>
      <c r="BG11" s="2372"/>
      <c r="BH11" s="2372"/>
      <c r="BI11" s="2372"/>
      <c r="BJ11" s="2396"/>
      <c r="BK11" s="2374"/>
      <c r="BL11" s="2372"/>
      <c r="BM11" s="2372"/>
      <c r="BN11" s="2372"/>
      <c r="BO11" s="2372"/>
      <c r="BP11" s="2372"/>
      <c r="BQ11" s="2372"/>
      <c r="BR11" s="2372"/>
      <c r="BS11" s="2374"/>
      <c r="BT11" s="2353"/>
      <c r="BU11" s="2353"/>
      <c r="BV11" s="2353"/>
      <c r="BW11" s="2353"/>
      <c r="BX11" s="2353"/>
      <c r="BY11" s="2353"/>
      <c r="BZ11" s="2353"/>
      <c r="CA11" s="2353"/>
      <c r="CB11" s="2353"/>
      <c r="CC11" s="2353"/>
      <c r="CD11" s="2357"/>
      <c r="CE11" s="3134"/>
      <c r="CF11" s="3124"/>
      <c r="CG11" s="3124"/>
      <c r="CH11" s="3124"/>
      <c r="CI11" s="3124"/>
      <c r="CJ11" s="3124"/>
      <c r="CK11" s="3124"/>
      <c r="CL11" s="3124"/>
      <c r="CM11" s="3124"/>
      <c r="CN11" s="3124"/>
      <c r="CO11" s="3124"/>
      <c r="CP11" s="3124"/>
      <c r="CQ11" s="3124"/>
      <c r="CR11" s="3124"/>
      <c r="CS11" s="3124"/>
      <c r="CT11" s="3124"/>
      <c r="CU11" s="3124"/>
      <c r="CV11" s="3124"/>
      <c r="CW11" s="3127"/>
      <c r="CX11" s="3130"/>
      <c r="CY11" s="3130"/>
      <c r="CZ11" s="3130"/>
      <c r="DA11" s="3130"/>
      <c r="DB11" s="3130"/>
      <c r="DC11" s="3130"/>
      <c r="DD11" s="3130"/>
      <c r="DE11" s="3120"/>
      <c r="DF11" s="1630"/>
      <c r="DG11" s="1631"/>
      <c r="DH11" s="1631"/>
      <c r="DI11" s="1631"/>
      <c r="DJ11" s="1631"/>
      <c r="DK11" s="1631"/>
    </row>
    <row r="12" spans="1:115" ht="15.75" thickBot="1">
      <c r="A12" s="3106"/>
      <c r="B12" s="2558" t="str">
        <f t="shared" ref="B12:B17" si="6">1&amp;"0"&amp;C12&amp;IF(LEN(SUBSTITUTE(UPPER(D12),"P/O ",""))=1,"000"&amp;SUBSTITUTE(UPPER(D12),"P/O ",""),IF(LEN(SUBSTITUTE(UPPER(D12),"P/O ",""))=2,"00"&amp;SUBSTITUTE(UPPER(D12),"P/O ",""),IF(LEN(SUBSTITUTE(UPPER(D12),"P/O ",""))=3,"0"&amp;SUBSTITUTE(UPPER(D12),"P/O ",""),SUBSTITUTE(UPPER(D12),"P/O ",""))))</f>
        <v>1022150877</v>
      </c>
      <c r="C12" s="1702">
        <v>2215</v>
      </c>
      <c r="D12" s="1702">
        <v>877</v>
      </c>
      <c r="E12" s="1703" t="s">
        <v>1303</v>
      </c>
      <c r="F12" s="1704" t="s">
        <v>1293</v>
      </c>
      <c r="G12" s="1705">
        <v>24333</v>
      </c>
      <c r="H12" s="1706" t="s">
        <v>1304</v>
      </c>
      <c r="I12" s="1707"/>
      <c r="J12" s="1708" t="s">
        <v>1294</v>
      </c>
      <c r="K12" s="1709">
        <f t="shared" si="2"/>
        <v>0</v>
      </c>
      <c r="L12" s="1708">
        <v>0</v>
      </c>
      <c r="M12" s="1708">
        <v>0</v>
      </c>
      <c r="N12" s="1708">
        <f t="shared" ref="N12:N17" si="7">O12+P12+Q12+R12+S12+T12</f>
        <v>0</v>
      </c>
      <c r="O12" s="1710">
        <v>0</v>
      </c>
      <c r="P12" s="1710">
        <v>0</v>
      </c>
      <c r="Q12" s="1710">
        <v>0</v>
      </c>
      <c r="R12" s="1710">
        <v>0</v>
      </c>
      <c r="S12" s="1710">
        <v>0</v>
      </c>
      <c r="T12" s="1710">
        <v>0</v>
      </c>
      <c r="U12" s="1708">
        <v>0</v>
      </c>
      <c r="V12" s="2386">
        <f t="shared" ref="V12:V17" si="8">N12+M12+L12+U12</f>
        <v>0</v>
      </c>
      <c r="W12" s="1708">
        <v>0</v>
      </c>
      <c r="X12" s="3108"/>
      <c r="Y12" s="3110"/>
      <c r="Z12" s="3121">
        <v>0</v>
      </c>
      <c r="AA12" s="3121">
        <f>AB12+AC12+AD12+AE12+AF12</f>
        <v>0</v>
      </c>
      <c r="AB12" s="3122">
        <v>0</v>
      </c>
      <c r="AC12" s="3122">
        <v>0</v>
      </c>
      <c r="AD12" s="3122">
        <v>0</v>
      </c>
      <c r="AE12" s="3122">
        <v>0</v>
      </c>
      <c r="AF12" s="3122">
        <v>0</v>
      </c>
      <c r="AG12" s="3121">
        <f>AH12+AI12+AJ12+AK12+AL12+AM12+AN12</f>
        <v>0</v>
      </c>
      <c r="AH12" s="3122">
        <v>0</v>
      </c>
      <c r="AI12" s="3122">
        <v>0</v>
      </c>
      <c r="AJ12" s="3122">
        <v>0</v>
      </c>
      <c r="AK12" s="3122">
        <v>0</v>
      </c>
      <c r="AL12" s="3122">
        <v>0</v>
      </c>
      <c r="AM12" s="3122">
        <v>0</v>
      </c>
      <c r="AN12" s="3121">
        <v>0</v>
      </c>
      <c r="AO12" s="3121">
        <f>AG12+AA12+Z12</f>
        <v>0</v>
      </c>
      <c r="AP12" s="3138">
        <f>AO12/G18</f>
        <v>0</v>
      </c>
      <c r="AQ12" s="3141">
        <v>0</v>
      </c>
      <c r="AR12" s="3141">
        <v>0</v>
      </c>
      <c r="AS12" s="3141">
        <v>98</v>
      </c>
      <c r="AT12" s="3151">
        <v>0</v>
      </c>
      <c r="AU12" s="1711" t="s">
        <v>1305</v>
      </c>
      <c r="AV12" s="1712"/>
      <c r="AW12" s="1713">
        <v>2</v>
      </c>
      <c r="AX12" s="1714">
        <v>0</v>
      </c>
      <c r="AY12" s="1714">
        <v>0</v>
      </c>
      <c r="AZ12" s="1714">
        <v>2</v>
      </c>
      <c r="BA12" s="2353"/>
      <c r="BB12" s="2392">
        <f>ROUND(AX12*G18,0)</f>
        <v>0</v>
      </c>
      <c r="BC12" s="2392">
        <f>ROUND(AZ12*G18,0)</f>
        <v>142000</v>
      </c>
      <c r="BD12" s="2390">
        <v>0</v>
      </c>
      <c r="BE12" s="2390">
        <v>0</v>
      </c>
      <c r="BF12" s="2390">
        <v>0</v>
      </c>
      <c r="BG12" s="2390">
        <v>0</v>
      </c>
      <c r="BH12" s="2390">
        <v>0</v>
      </c>
      <c r="BI12" s="2390">
        <f>BC12</f>
        <v>142000</v>
      </c>
      <c r="BJ12" s="2390">
        <v>0</v>
      </c>
      <c r="BK12" s="2392">
        <f>ROUND(G18*AY12,0)</f>
        <v>0</v>
      </c>
      <c r="BL12" s="2390">
        <v>0</v>
      </c>
      <c r="BM12" s="2390">
        <v>0</v>
      </c>
      <c r="BN12" s="2390">
        <v>0</v>
      </c>
      <c r="BO12" s="2390">
        <v>0</v>
      </c>
      <c r="BP12" s="2390">
        <v>0</v>
      </c>
      <c r="BQ12" s="2390">
        <v>0</v>
      </c>
      <c r="BR12" s="2390">
        <v>0</v>
      </c>
      <c r="BS12" s="2392">
        <f>ROUND(G18*AW12,0)</f>
        <v>142000</v>
      </c>
      <c r="BT12" s="2394">
        <f>ROUND(BB12/875,0)</f>
        <v>0</v>
      </c>
      <c r="BU12" s="2394">
        <v>0</v>
      </c>
      <c r="BV12" s="2394">
        <v>0</v>
      </c>
      <c r="BW12" s="2394">
        <v>0</v>
      </c>
      <c r="BX12" s="2394">
        <v>0</v>
      </c>
      <c r="BY12" s="2394">
        <v>0</v>
      </c>
      <c r="BZ12" s="2394">
        <v>0</v>
      </c>
      <c r="CA12" s="2394">
        <v>0</v>
      </c>
      <c r="CB12" s="2394">
        <v>0</v>
      </c>
      <c r="CC12" s="2394">
        <v>0</v>
      </c>
      <c r="CD12" s="2395">
        <v>85</v>
      </c>
      <c r="CE12" s="3137">
        <f>BB12-Z12</f>
        <v>0</v>
      </c>
      <c r="CF12" s="3121">
        <f>BC12-AA12</f>
        <v>142000</v>
      </c>
      <c r="CG12" s="3121">
        <f>BD12</f>
        <v>0</v>
      </c>
      <c r="CH12" s="3121">
        <f>BE12-AB12</f>
        <v>0</v>
      </c>
      <c r="CI12" s="3121">
        <f>BF12</f>
        <v>0</v>
      </c>
      <c r="CJ12" s="3121">
        <f>BG12-AC12</f>
        <v>0</v>
      </c>
      <c r="CK12" s="3121">
        <f>BH12</f>
        <v>0</v>
      </c>
      <c r="CL12" s="3121">
        <f>BI12-AD12</f>
        <v>142000</v>
      </c>
      <c r="CM12" s="3121">
        <f t="shared" ref="CM12:CV12" si="9">BJ12-AF12</f>
        <v>0</v>
      </c>
      <c r="CN12" s="3121">
        <f t="shared" si="9"/>
        <v>0</v>
      </c>
      <c r="CO12" s="3122">
        <f t="shared" si="9"/>
        <v>0</v>
      </c>
      <c r="CP12" s="3122">
        <f t="shared" si="9"/>
        <v>0</v>
      </c>
      <c r="CQ12" s="3122">
        <f t="shared" si="9"/>
        <v>0</v>
      </c>
      <c r="CR12" s="3122">
        <f t="shared" si="9"/>
        <v>0</v>
      </c>
      <c r="CS12" s="3122">
        <f t="shared" si="9"/>
        <v>0</v>
      </c>
      <c r="CT12" s="3122">
        <f t="shared" si="9"/>
        <v>0</v>
      </c>
      <c r="CU12" s="3121">
        <f t="shared" si="9"/>
        <v>0</v>
      </c>
      <c r="CV12" s="3122">
        <f t="shared" si="9"/>
        <v>142000</v>
      </c>
      <c r="CW12" s="3144">
        <f>BT12-AQ12</f>
        <v>0</v>
      </c>
      <c r="CX12" s="3142">
        <f>BU12</f>
        <v>0</v>
      </c>
      <c r="CY12" s="3142">
        <f>BV12</f>
        <v>0</v>
      </c>
      <c r="CZ12" s="3142">
        <f>BW12</f>
        <v>0</v>
      </c>
      <c r="DA12" s="3142">
        <f>BX12</f>
        <v>0</v>
      </c>
      <c r="DB12" s="3142">
        <f>BY12-AR12</f>
        <v>0</v>
      </c>
      <c r="DC12" s="3142">
        <f>BZ12-AR12</f>
        <v>0</v>
      </c>
      <c r="DD12" s="3142">
        <f>CB12-AS12</f>
        <v>-98</v>
      </c>
      <c r="DE12" s="3143">
        <f>CC12-AS12</f>
        <v>-98</v>
      </c>
      <c r="DF12" s="1630"/>
      <c r="DG12" s="1631"/>
      <c r="DH12" s="1631"/>
      <c r="DI12" s="1631"/>
      <c r="DJ12" s="1631"/>
      <c r="DK12" s="1631"/>
    </row>
    <row r="13" spans="1:115" ht="15.75" thickBot="1">
      <c r="A13" s="3106"/>
      <c r="B13" s="2558" t="str">
        <f t="shared" si="6"/>
        <v>1021970067</v>
      </c>
      <c r="C13" s="1682">
        <v>2197</v>
      </c>
      <c r="D13" s="1682">
        <v>67</v>
      </c>
      <c r="E13" s="1683" t="s">
        <v>1306</v>
      </c>
      <c r="F13" s="1684" t="s">
        <v>1293</v>
      </c>
      <c r="G13" s="2384">
        <v>17225</v>
      </c>
      <c r="H13" s="1685" t="s">
        <v>1304</v>
      </c>
      <c r="I13" s="2369"/>
      <c r="J13" s="2374" t="s">
        <v>1294</v>
      </c>
      <c r="K13" s="1671">
        <f t="shared" si="2"/>
        <v>0</v>
      </c>
      <c r="L13" s="2374">
        <v>0</v>
      </c>
      <c r="M13" s="2374">
        <v>0</v>
      </c>
      <c r="N13" s="2374">
        <f t="shared" si="7"/>
        <v>0</v>
      </c>
      <c r="O13" s="2372">
        <v>0</v>
      </c>
      <c r="P13" s="2372">
        <v>0</v>
      </c>
      <c r="Q13" s="2372">
        <v>0</v>
      </c>
      <c r="R13" s="2372">
        <v>0</v>
      </c>
      <c r="S13" s="2372">
        <v>0</v>
      </c>
      <c r="T13" s="2372">
        <v>0</v>
      </c>
      <c r="U13" s="2374">
        <v>0</v>
      </c>
      <c r="V13" s="2386">
        <f t="shared" si="8"/>
        <v>0</v>
      </c>
      <c r="W13" s="2374">
        <v>0</v>
      </c>
      <c r="X13" s="3108"/>
      <c r="Y13" s="3110"/>
      <c r="Z13" s="3113"/>
      <c r="AA13" s="3113"/>
      <c r="AB13" s="3116"/>
      <c r="AC13" s="3116"/>
      <c r="AD13" s="3116"/>
      <c r="AE13" s="3116"/>
      <c r="AF13" s="3113"/>
      <c r="AG13" s="3113"/>
      <c r="AH13" s="3116"/>
      <c r="AI13" s="3116"/>
      <c r="AJ13" s="3116"/>
      <c r="AK13" s="3116"/>
      <c r="AL13" s="3116"/>
      <c r="AM13" s="3116"/>
      <c r="AN13" s="3113"/>
      <c r="AO13" s="3113"/>
      <c r="AP13" s="3139"/>
      <c r="AQ13" s="3123"/>
      <c r="AR13" s="3123"/>
      <c r="AS13" s="3123"/>
      <c r="AT13" s="3126"/>
      <c r="AU13" s="1673"/>
      <c r="AV13" s="2369"/>
      <c r="AW13" s="2353"/>
      <c r="AX13" s="2369"/>
      <c r="AY13" s="2369"/>
      <c r="AZ13" s="2369"/>
      <c r="BA13" s="2353"/>
      <c r="BB13" s="2374"/>
      <c r="BC13" s="2374"/>
      <c r="BD13" s="2372"/>
      <c r="BE13" s="2372"/>
      <c r="BF13" s="2372"/>
      <c r="BG13" s="2372"/>
      <c r="BH13" s="2372"/>
      <c r="BI13" s="2372"/>
      <c r="BJ13" s="2372"/>
      <c r="BK13" s="2374"/>
      <c r="BL13" s="2372"/>
      <c r="BM13" s="2372"/>
      <c r="BN13" s="2372"/>
      <c r="BO13" s="2372"/>
      <c r="BP13" s="2372"/>
      <c r="BQ13" s="2372"/>
      <c r="BR13" s="2372"/>
      <c r="BS13" s="2374"/>
      <c r="BT13" s="2353"/>
      <c r="BU13" s="2353"/>
      <c r="BV13" s="2353"/>
      <c r="BW13" s="2353"/>
      <c r="BX13" s="2353"/>
      <c r="BY13" s="2353"/>
      <c r="BZ13" s="2353"/>
      <c r="CA13" s="2353"/>
      <c r="CB13" s="2353"/>
      <c r="CC13" s="2353"/>
      <c r="CD13" s="2357"/>
      <c r="CE13" s="3133"/>
      <c r="CF13" s="3123"/>
      <c r="CG13" s="3123"/>
      <c r="CH13" s="3123"/>
      <c r="CI13" s="3123"/>
      <c r="CJ13" s="3123"/>
      <c r="CK13" s="3123"/>
      <c r="CL13" s="3123"/>
      <c r="CM13" s="3123"/>
      <c r="CN13" s="3123"/>
      <c r="CO13" s="3123"/>
      <c r="CP13" s="3123"/>
      <c r="CQ13" s="3123"/>
      <c r="CR13" s="3123"/>
      <c r="CS13" s="3123"/>
      <c r="CT13" s="3123"/>
      <c r="CU13" s="3123"/>
      <c r="CV13" s="3123"/>
      <c r="CW13" s="3126"/>
      <c r="CX13" s="3129"/>
      <c r="CY13" s="3129"/>
      <c r="CZ13" s="3129"/>
      <c r="DA13" s="3129"/>
      <c r="DB13" s="3129"/>
      <c r="DC13" s="3129"/>
      <c r="DD13" s="3129"/>
      <c r="DE13" s="3119"/>
      <c r="DF13" s="1630"/>
      <c r="DG13" s="1631"/>
      <c r="DH13" s="1631"/>
      <c r="DI13" s="1631"/>
      <c r="DJ13" s="1631"/>
      <c r="DK13" s="1631"/>
    </row>
    <row r="14" spans="1:115" ht="15.75" thickBot="1">
      <c r="A14" s="3106"/>
      <c r="B14" s="2558" t="str">
        <f t="shared" si="6"/>
        <v>1021970071</v>
      </c>
      <c r="C14" s="1682">
        <v>2197</v>
      </c>
      <c r="D14" s="1682">
        <v>71</v>
      </c>
      <c r="E14" s="1683" t="s">
        <v>1299</v>
      </c>
      <c r="F14" s="1684" t="s">
        <v>1293</v>
      </c>
      <c r="G14" s="2384">
        <v>19075</v>
      </c>
      <c r="H14" s="1685" t="s">
        <v>1304</v>
      </c>
      <c r="I14" s="2369"/>
      <c r="J14" s="2374" t="s">
        <v>1294</v>
      </c>
      <c r="K14" s="1671">
        <f t="shared" si="2"/>
        <v>0</v>
      </c>
      <c r="L14" s="2374">
        <v>0</v>
      </c>
      <c r="M14" s="2374">
        <v>0</v>
      </c>
      <c r="N14" s="2374">
        <f t="shared" si="7"/>
        <v>0</v>
      </c>
      <c r="O14" s="2372">
        <v>0</v>
      </c>
      <c r="P14" s="2372">
        <v>0</v>
      </c>
      <c r="Q14" s="2372">
        <v>0</v>
      </c>
      <c r="R14" s="2372">
        <v>0</v>
      </c>
      <c r="S14" s="2372">
        <v>0</v>
      </c>
      <c r="T14" s="2372">
        <v>0</v>
      </c>
      <c r="U14" s="2374">
        <v>0</v>
      </c>
      <c r="V14" s="2386">
        <f t="shared" si="8"/>
        <v>0</v>
      </c>
      <c r="W14" s="2374">
        <v>0</v>
      </c>
      <c r="X14" s="3108"/>
      <c r="Y14" s="3110"/>
      <c r="Z14" s="3113"/>
      <c r="AA14" s="3113"/>
      <c r="AB14" s="3116"/>
      <c r="AC14" s="3116"/>
      <c r="AD14" s="3116"/>
      <c r="AE14" s="3116"/>
      <c r="AF14" s="3113"/>
      <c r="AG14" s="3113"/>
      <c r="AH14" s="3116"/>
      <c r="AI14" s="3116"/>
      <c r="AJ14" s="3116"/>
      <c r="AK14" s="3116"/>
      <c r="AL14" s="3116"/>
      <c r="AM14" s="3116"/>
      <c r="AN14" s="3113"/>
      <c r="AO14" s="3113"/>
      <c r="AP14" s="3139"/>
      <c r="AQ14" s="3123"/>
      <c r="AR14" s="3123"/>
      <c r="AS14" s="3123"/>
      <c r="AT14" s="3126"/>
      <c r="AU14" s="1673"/>
      <c r="AV14" s="2369"/>
      <c r="AW14" s="2353"/>
      <c r="AX14" s="2369"/>
      <c r="AY14" s="2369"/>
      <c r="AZ14" s="2369"/>
      <c r="BA14" s="2353"/>
      <c r="BB14" s="2374"/>
      <c r="BC14" s="2374"/>
      <c r="BD14" s="2372"/>
      <c r="BE14" s="2372"/>
      <c r="BF14" s="2372"/>
      <c r="BG14" s="2372"/>
      <c r="BH14" s="2372"/>
      <c r="BI14" s="2372"/>
      <c r="BJ14" s="2372"/>
      <c r="BK14" s="2374"/>
      <c r="BL14" s="2372"/>
      <c r="BM14" s="2372"/>
      <c r="BN14" s="2372"/>
      <c r="BO14" s="2372"/>
      <c r="BP14" s="2372"/>
      <c r="BQ14" s="2372"/>
      <c r="BR14" s="2372"/>
      <c r="BS14" s="2374"/>
      <c r="BT14" s="2353"/>
      <c r="BU14" s="2353"/>
      <c r="BV14" s="2353"/>
      <c r="BW14" s="2353"/>
      <c r="BX14" s="2353"/>
      <c r="BY14" s="2353"/>
      <c r="BZ14" s="2353"/>
      <c r="CA14" s="2353"/>
      <c r="CB14" s="2353"/>
      <c r="CC14" s="2353"/>
      <c r="CD14" s="2357"/>
      <c r="CE14" s="3133"/>
      <c r="CF14" s="3123"/>
      <c r="CG14" s="3123"/>
      <c r="CH14" s="3123"/>
      <c r="CI14" s="3123"/>
      <c r="CJ14" s="3123"/>
      <c r="CK14" s="3123"/>
      <c r="CL14" s="3123"/>
      <c r="CM14" s="3123"/>
      <c r="CN14" s="3123"/>
      <c r="CO14" s="3123"/>
      <c r="CP14" s="3123"/>
      <c r="CQ14" s="3123"/>
      <c r="CR14" s="3123"/>
      <c r="CS14" s="3123"/>
      <c r="CT14" s="3123"/>
      <c r="CU14" s="3123"/>
      <c r="CV14" s="3123"/>
      <c r="CW14" s="3126"/>
      <c r="CX14" s="3129"/>
      <c r="CY14" s="3129"/>
      <c r="CZ14" s="3129"/>
      <c r="DA14" s="3129"/>
      <c r="DB14" s="3129"/>
      <c r="DC14" s="3129"/>
      <c r="DD14" s="3129"/>
      <c r="DE14" s="3119"/>
      <c r="DF14" s="1630"/>
      <c r="DG14" s="1631"/>
      <c r="DH14" s="1631"/>
      <c r="DI14" s="1631"/>
      <c r="DJ14" s="1631"/>
      <c r="DK14" s="1631"/>
    </row>
    <row r="15" spans="1:115" ht="15.75" thickBot="1">
      <c r="A15" s="3106"/>
      <c r="B15" s="2558" t="str">
        <f t="shared" si="6"/>
        <v>1021970074</v>
      </c>
      <c r="C15" s="1682">
        <v>2197</v>
      </c>
      <c r="D15" s="1682">
        <v>74</v>
      </c>
      <c r="E15" s="1683" t="s">
        <v>1299</v>
      </c>
      <c r="F15" s="1684" t="s">
        <v>1293</v>
      </c>
      <c r="G15" s="2384">
        <v>1004</v>
      </c>
      <c r="H15" s="1685" t="s">
        <v>1304</v>
      </c>
      <c r="I15" s="2369"/>
      <c r="J15" s="2374" t="s">
        <v>1294</v>
      </c>
      <c r="K15" s="1671">
        <f t="shared" si="2"/>
        <v>0</v>
      </c>
      <c r="L15" s="2374">
        <v>0</v>
      </c>
      <c r="M15" s="2374">
        <v>0</v>
      </c>
      <c r="N15" s="2374">
        <f t="shared" si="7"/>
        <v>0</v>
      </c>
      <c r="O15" s="2372">
        <v>0</v>
      </c>
      <c r="P15" s="2372">
        <v>0</v>
      </c>
      <c r="Q15" s="2372">
        <v>0</v>
      </c>
      <c r="R15" s="2372">
        <v>0</v>
      </c>
      <c r="S15" s="2372">
        <v>0</v>
      </c>
      <c r="T15" s="2372">
        <v>0</v>
      </c>
      <c r="U15" s="2374">
        <v>0</v>
      </c>
      <c r="V15" s="2386">
        <f t="shared" si="8"/>
        <v>0</v>
      </c>
      <c r="W15" s="2374">
        <v>0</v>
      </c>
      <c r="X15" s="3108"/>
      <c r="Y15" s="3110"/>
      <c r="Z15" s="3113"/>
      <c r="AA15" s="3113"/>
      <c r="AB15" s="3116"/>
      <c r="AC15" s="3116"/>
      <c r="AD15" s="3116"/>
      <c r="AE15" s="3116"/>
      <c r="AF15" s="3113"/>
      <c r="AG15" s="3113"/>
      <c r="AH15" s="3116"/>
      <c r="AI15" s="3116"/>
      <c r="AJ15" s="3116"/>
      <c r="AK15" s="3116"/>
      <c r="AL15" s="3116"/>
      <c r="AM15" s="3116"/>
      <c r="AN15" s="3113"/>
      <c r="AO15" s="3113"/>
      <c r="AP15" s="3139"/>
      <c r="AQ15" s="3123"/>
      <c r="AR15" s="3123"/>
      <c r="AS15" s="3123"/>
      <c r="AT15" s="3126"/>
      <c r="AU15" s="1673"/>
      <c r="AV15" s="2369"/>
      <c r="AW15" s="2353"/>
      <c r="AX15" s="2369"/>
      <c r="AY15" s="2369"/>
      <c r="AZ15" s="2369"/>
      <c r="BA15" s="2353"/>
      <c r="BB15" s="2374"/>
      <c r="BC15" s="2374"/>
      <c r="BD15" s="2372"/>
      <c r="BE15" s="2372"/>
      <c r="BF15" s="2372"/>
      <c r="BG15" s="2372"/>
      <c r="BH15" s="2372"/>
      <c r="BI15" s="2372"/>
      <c r="BJ15" s="2372"/>
      <c r="BK15" s="2374"/>
      <c r="BL15" s="2372"/>
      <c r="BM15" s="2372"/>
      <c r="BN15" s="2372"/>
      <c r="BO15" s="2372"/>
      <c r="BP15" s="2372"/>
      <c r="BQ15" s="2372"/>
      <c r="BR15" s="2372"/>
      <c r="BS15" s="2374"/>
      <c r="BT15" s="2353"/>
      <c r="BU15" s="2353"/>
      <c r="BV15" s="2353"/>
      <c r="BW15" s="2353"/>
      <c r="BX15" s="2353"/>
      <c r="BY15" s="2353"/>
      <c r="BZ15" s="2353"/>
      <c r="CA15" s="2353"/>
      <c r="CB15" s="2353"/>
      <c r="CC15" s="2353"/>
      <c r="CD15" s="2357"/>
      <c r="CE15" s="3133"/>
      <c r="CF15" s="3123"/>
      <c r="CG15" s="3123"/>
      <c r="CH15" s="3123"/>
      <c r="CI15" s="3123"/>
      <c r="CJ15" s="3123"/>
      <c r="CK15" s="3123"/>
      <c r="CL15" s="3123"/>
      <c r="CM15" s="3123"/>
      <c r="CN15" s="3123"/>
      <c r="CO15" s="3123"/>
      <c r="CP15" s="3123"/>
      <c r="CQ15" s="3123"/>
      <c r="CR15" s="3123"/>
      <c r="CS15" s="3123"/>
      <c r="CT15" s="3123"/>
      <c r="CU15" s="3123"/>
      <c r="CV15" s="3123"/>
      <c r="CW15" s="3126"/>
      <c r="CX15" s="3129"/>
      <c r="CY15" s="3129"/>
      <c r="CZ15" s="3129"/>
      <c r="DA15" s="3129"/>
      <c r="DB15" s="3129"/>
      <c r="DC15" s="3129"/>
      <c r="DD15" s="3129"/>
      <c r="DE15" s="3119"/>
      <c r="DF15" s="1630"/>
      <c r="DG15" s="1631"/>
      <c r="DH15" s="1631"/>
      <c r="DI15" s="1631"/>
      <c r="DJ15" s="1631"/>
      <c r="DK15" s="1631"/>
    </row>
    <row r="16" spans="1:115" ht="15.75" thickBot="1">
      <c r="A16" s="3106"/>
      <c r="B16" s="2558" t="str">
        <f t="shared" si="6"/>
        <v>1021970174</v>
      </c>
      <c r="C16" s="1682">
        <v>2197</v>
      </c>
      <c r="D16" s="1682">
        <v>174</v>
      </c>
      <c r="E16" s="1683" t="s">
        <v>1307</v>
      </c>
      <c r="F16" s="1684" t="s">
        <v>1293</v>
      </c>
      <c r="G16" s="2384">
        <v>7252</v>
      </c>
      <c r="H16" s="1685" t="s">
        <v>1304</v>
      </c>
      <c r="I16" s="2369"/>
      <c r="J16" s="2374" t="s">
        <v>1294</v>
      </c>
      <c r="K16" s="1671">
        <f t="shared" si="2"/>
        <v>0</v>
      </c>
      <c r="L16" s="2374">
        <v>0</v>
      </c>
      <c r="M16" s="2374">
        <v>0</v>
      </c>
      <c r="N16" s="2374">
        <f t="shared" si="7"/>
        <v>0</v>
      </c>
      <c r="O16" s="2372">
        <v>0</v>
      </c>
      <c r="P16" s="2372">
        <v>0</v>
      </c>
      <c r="Q16" s="2372">
        <v>0</v>
      </c>
      <c r="R16" s="2372">
        <v>0</v>
      </c>
      <c r="S16" s="2372">
        <v>0</v>
      </c>
      <c r="T16" s="2372">
        <v>0</v>
      </c>
      <c r="U16" s="2374">
        <v>0</v>
      </c>
      <c r="V16" s="2386">
        <f t="shared" si="8"/>
        <v>0</v>
      </c>
      <c r="W16" s="2374">
        <v>0</v>
      </c>
      <c r="X16" s="3108"/>
      <c r="Y16" s="3110"/>
      <c r="Z16" s="3113"/>
      <c r="AA16" s="3113"/>
      <c r="AB16" s="3116"/>
      <c r="AC16" s="3116"/>
      <c r="AD16" s="3116"/>
      <c r="AE16" s="3116"/>
      <c r="AF16" s="3113"/>
      <c r="AG16" s="3113"/>
      <c r="AH16" s="3116"/>
      <c r="AI16" s="3116"/>
      <c r="AJ16" s="3116"/>
      <c r="AK16" s="3116"/>
      <c r="AL16" s="3116"/>
      <c r="AM16" s="3116"/>
      <c r="AN16" s="3113"/>
      <c r="AO16" s="3113"/>
      <c r="AP16" s="3139"/>
      <c r="AQ16" s="3123"/>
      <c r="AR16" s="3123"/>
      <c r="AS16" s="3123"/>
      <c r="AT16" s="3126"/>
      <c r="AU16" s="1673"/>
      <c r="AV16" s="2369"/>
      <c r="AW16" s="2353"/>
      <c r="AX16" s="2369"/>
      <c r="AY16" s="2369"/>
      <c r="AZ16" s="2369"/>
      <c r="BA16" s="2353"/>
      <c r="BB16" s="2374"/>
      <c r="BC16" s="2374"/>
      <c r="BD16" s="2372"/>
      <c r="BE16" s="2372"/>
      <c r="BF16" s="2372"/>
      <c r="BG16" s="2372"/>
      <c r="BH16" s="2372"/>
      <c r="BI16" s="2372"/>
      <c r="BJ16" s="2372"/>
      <c r="BK16" s="2374"/>
      <c r="BL16" s="2372"/>
      <c r="BM16" s="2372"/>
      <c r="BN16" s="2372"/>
      <c r="BO16" s="2372"/>
      <c r="BP16" s="2372"/>
      <c r="BQ16" s="2372"/>
      <c r="BR16" s="2372"/>
      <c r="BS16" s="2374"/>
      <c r="BT16" s="2353"/>
      <c r="BU16" s="2353"/>
      <c r="BV16" s="2353"/>
      <c r="BW16" s="2353"/>
      <c r="BX16" s="2353"/>
      <c r="BY16" s="2353"/>
      <c r="BZ16" s="2353"/>
      <c r="CA16" s="2353"/>
      <c r="CB16" s="2353"/>
      <c r="CC16" s="2353"/>
      <c r="CD16" s="2357"/>
      <c r="CE16" s="3133"/>
      <c r="CF16" s="3123"/>
      <c r="CG16" s="3123"/>
      <c r="CH16" s="3123"/>
      <c r="CI16" s="3123"/>
      <c r="CJ16" s="3123"/>
      <c r="CK16" s="3123"/>
      <c r="CL16" s="3123"/>
      <c r="CM16" s="3123"/>
      <c r="CN16" s="3123"/>
      <c r="CO16" s="3123"/>
      <c r="CP16" s="3123"/>
      <c r="CQ16" s="3123"/>
      <c r="CR16" s="3123"/>
      <c r="CS16" s="3123"/>
      <c r="CT16" s="3123"/>
      <c r="CU16" s="3123"/>
      <c r="CV16" s="3123"/>
      <c r="CW16" s="3126"/>
      <c r="CX16" s="3129"/>
      <c r="CY16" s="3129"/>
      <c r="CZ16" s="3129"/>
      <c r="DA16" s="3129"/>
      <c r="DB16" s="3129"/>
      <c r="DC16" s="3129"/>
      <c r="DD16" s="3129"/>
      <c r="DE16" s="3119"/>
      <c r="DF16" s="1630"/>
      <c r="DG16" s="1631"/>
      <c r="DH16" s="1631"/>
      <c r="DI16" s="1631"/>
      <c r="DJ16" s="1631"/>
      <c r="DK16" s="1631"/>
    </row>
    <row r="17" spans="1:115">
      <c r="A17" s="3106"/>
      <c r="B17" s="2558" t="str">
        <f t="shared" si="6"/>
        <v>1022150885</v>
      </c>
      <c r="C17" s="1682">
        <v>2215</v>
      </c>
      <c r="D17" s="1682">
        <v>885</v>
      </c>
      <c r="E17" s="1683" t="s">
        <v>1307</v>
      </c>
      <c r="F17" s="1684" t="s">
        <v>1293</v>
      </c>
      <c r="G17" s="1686">
        <v>11464</v>
      </c>
      <c r="H17" s="1685" t="s">
        <v>1304</v>
      </c>
      <c r="I17" s="2369"/>
      <c r="J17" s="2374" t="s">
        <v>1294</v>
      </c>
      <c r="K17" s="1671">
        <f t="shared" si="2"/>
        <v>0</v>
      </c>
      <c r="L17" s="1687">
        <v>0</v>
      </c>
      <c r="M17" s="1687">
        <v>0</v>
      </c>
      <c r="N17" s="1687">
        <f t="shared" si="7"/>
        <v>0</v>
      </c>
      <c r="O17" s="1688">
        <v>0</v>
      </c>
      <c r="P17" s="1688">
        <v>0</v>
      </c>
      <c r="Q17" s="1688">
        <v>0</v>
      </c>
      <c r="R17" s="1688">
        <v>0</v>
      </c>
      <c r="S17" s="1688">
        <v>0</v>
      </c>
      <c r="T17" s="1688">
        <v>0</v>
      </c>
      <c r="U17" s="1687">
        <v>0</v>
      </c>
      <c r="V17" s="1689">
        <f t="shared" si="8"/>
        <v>0</v>
      </c>
      <c r="W17" s="1687">
        <v>0</v>
      </c>
      <c r="X17" s="3108"/>
      <c r="Y17" s="3110"/>
      <c r="Z17" s="3113"/>
      <c r="AA17" s="3113"/>
      <c r="AB17" s="3116"/>
      <c r="AC17" s="3116"/>
      <c r="AD17" s="3116"/>
      <c r="AE17" s="3116"/>
      <c r="AF17" s="3113"/>
      <c r="AG17" s="3113"/>
      <c r="AH17" s="3116"/>
      <c r="AI17" s="3116"/>
      <c r="AJ17" s="3116"/>
      <c r="AK17" s="3116"/>
      <c r="AL17" s="3116"/>
      <c r="AM17" s="3116"/>
      <c r="AN17" s="3113"/>
      <c r="AO17" s="3113"/>
      <c r="AP17" s="3139"/>
      <c r="AQ17" s="3123"/>
      <c r="AR17" s="3123"/>
      <c r="AS17" s="3123"/>
      <c r="AT17" s="3126"/>
      <c r="AU17" s="1673"/>
      <c r="AV17" s="2369"/>
      <c r="AW17" s="2353"/>
      <c r="AX17" s="2369"/>
      <c r="AY17" s="2369"/>
      <c r="AZ17" s="2369"/>
      <c r="BA17" s="2353"/>
      <c r="BB17" s="2374"/>
      <c r="BC17" s="2374"/>
      <c r="BD17" s="2372"/>
      <c r="BE17" s="2372"/>
      <c r="BF17" s="2372"/>
      <c r="BG17" s="2372"/>
      <c r="BH17" s="2372"/>
      <c r="BI17" s="2372"/>
      <c r="BJ17" s="2372"/>
      <c r="BK17" s="2374"/>
      <c r="BL17" s="2372"/>
      <c r="BM17" s="2372"/>
      <c r="BN17" s="2372"/>
      <c r="BO17" s="2372"/>
      <c r="BP17" s="2372"/>
      <c r="BQ17" s="2372"/>
      <c r="BR17" s="2372"/>
      <c r="BS17" s="2374"/>
      <c r="BT17" s="2353"/>
      <c r="BU17" s="2353"/>
      <c r="BV17" s="2353"/>
      <c r="BW17" s="2353"/>
      <c r="BX17" s="2353"/>
      <c r="BY17" s="2353"/>
      <c r="BZ17" s="2353"/>
      <c r="CA17" s="2353"/>
      <c r="CB17" s="2353"/>
      <c r="CC17" s="2353"/>
      <c r="CD17" s="2357"/>
      <c r="CE17" s="3133"/>
      <c r="CF17" s="3123"/>
      <c r="CG17" s="3123"/>
      <c r="CH17" s="3123"/>
      <c r="CI17" s="3123"/>
      <c r="CJ17" s="3123"/>
      <c r="CK17" s="3123"/>
      <c r="CL17" s="3123"/>
      <c r="CM17" s="3123"/>
      <c r="CN17" s="3123"/>
      <c r="CO17" s="3123"/>
      <c r="CP17" s="3123"/>
      <c r="CQ17" s="3123"/>
      <c r="CR17" s="3123"/>
      <c r="CS17" s="3123"/>
      <c r="CT17" s="3123"/>
      <c r="CU17" s="3123"/>
      <c r="CV17" s="3123"/>
      <c r="CW17" s="3126"/>
      <c r="CX17" s="3129"/>
      <c r="CY17" s="3129"/>
      <c r="CZ17" s="3129"/>
      <c r="DA17" s="3129"/>
      <c r="DB17" s="3129"/>
      <c r="DC17" s="3129"/>
      <c r="DD17" s="3129"/>
      <c r="DE17" s="3119"/>
      <c r="DF17" s="1630"/>
      <c r="DG17" s="1631"/>
      <c r="DH17" s="1631"/>
      <c r="DI17" s="1631"/>
      <c r="DJ17" s="1631"/>
      <c r="DK17" s="1631"/>
    </row>
    <row r="18" spans="1:115">
      <c r="A18" s="1715"/>
      <c r="B18" s="2561"/>
      <c r="C18" s="1716"/>
      <c r="D18" s="1716"/>
      <c r="E18" s="1717"/>
      <c r="F18" s="1718" t="s">
        <v>1308</v>
      </c>
      <c r="G18" s="1719">
        <v>71000</v>
      </c>
      <c r="H18" s="1701"/>
      <c r="I18" s="1701"/>
      <c r="J18" s="2391"/>
      <c r="K18" s="1720">
        <f t="shared" si="2"/>
        <v>0</v>
      </c>
      <c r="L18" s="2397">
        <f>SUM(L12:L17)</f>
        <v>0</v>
      </c>
      <c r="M18" s="2397">
        <f t="shared" ref="M18:W18" si="10">SUM(M12:M17)</f>
        <v>0</v>
      </c>
      <c r="N18" s="2397">
        <f t="shared" si="10"/>
        <v>0</v>
      </c>
      <c r="O18" s="2396">
        <f t="shared" si="10"/>
        <v>0</v>
      </c>
      <c r="P18" s="2396">
        <f t="shared" si="10"/>
        <v>0</v>
      </c>
      <c r="Q18" s="2396">
        <f t="shared" si="10"/>
        <v>0</v>
      </c>
      <c r="R18" s="2396">
        <f t="shared" si="10"/>
        <v>0</v>
      </c>
      <c r="S18" s="2396">
        <f t="shared" si="10"/>
        <v>0</v>
      </c>
      <c r="T18" s="2396">
        <f t="shared" si="10"/>
        <v>0</v>
      </c>
      <c r="U18" s="2397">
        <f t="shared" si="10"/>
        <v>0</v>
      </c>
      <c r="V18" s="1721">
        <f>SUM(V12:V17)</f>
        <v>0</v>
      </c>
      <c r="W18" s="2397">
        <f t="shared" si="10"/>
        <v>0</v>
      </c>
      <c r="X18" s="3108"/>
      <c r="Y18" s="3110"/>
      <c r="Z18" s="3114"/>
      <c r="AA18" s="3114"/>
      <c r="AB18" s="3117"/>
      <c r="AC18" s="3117"/>
      <c r="AD18" s="3117"/>
      <c r="AE18" s="3117"/>
      <c r="AF18" s="3114"/>
      <c r="AG18" s="3114"/>
      <c r="AH18" s="3117"/>
      <c r="AI18" s="3117"/>
      <c r="AJ18" s="3117"/>
      <c r="AK18" s="3117"/>
      <c r="AL18" s="3117"/>
      <c r="AM18" s="3117"/>
      <c r="AN18" s="3114"/>
      <c r="AO18" s="3114"/>
      <c r="AP18" s="3140"/>
      <c r="AQ18" s="3124"/>
      <c r="AR18" s="3124"/>
      <c r="AS18" s="3124"/>
      <c r="AT18" s="3127"/>
      <c r="AU18" s="1700"/>
      <c r="AV18" s="1701"/>
      <c r="AW18" s="2391"/>
      <c r="AX18" s="1701"/>
      <c r="AY18" s="1701"/>
      <c r="AZ18" s="1701"/>
      <c r="BA18" s="2353"/>
      <c r="BB18" s="2397"/>
      <c r="BC18" s="2397"/>
      <c r="BD18" s="2396"/>
      <c r="BE18" s="2396"/>
      <c r="BF18" s="2396"/>
      <c r="BG18" s="2396"/>
      <c r="BH18" s="2396"/>
      <c r="BI18" s="2396"/>
      <c r="BJ18" s="2396"/>
      <c r="BK18" s="2397"/>
      <c r="BL18" s="2396"/>
      <c r="BM18" s="2396"/>
      <c r="BN18" s="2396"/>
      <c r="BO18" s="2396"/>
      <c r="BP18" s="2396"/>
      <c r="BQ18" s="2396"/>
      <c r="BR18" s="2396"/>
      <c r="BS18" s="2397"/>
      <c r="BT18" s="2391"/>
      <c r="BU18" s="2391"/>
      <c r="BV18" s="2391"/>
      <c r="BW18" s="2391"/>
      <c r="BX18" s="2391"/>
      <c r="BY18" s="2391"/>
      <c r="BZ18" s="2391"/>
      <c r="CA18" s="2391"/>
      <c r="CB18" s="2391"/>
      <c r="CC18" s="2391"/>
      <c r="CD18" s="2393"/>
      <c r="CE18" s="3134"/>
      <c r="CF18" s="3124"/>
      <c r="CG18" s="3124"/>
      <c r="CH18" s="3124"/>
      <c r="CI18" s="3124"/>
      <c r="CJ18" s="3124"/>
      <c r="CK18" s="3124"/>
      <c r="CL18" s="3124"/>
      <c r="CM18" s="3124"/>
      <c r="CN18" s="3124"/>
      <c r="CO18" s="3124"/>
      <c r="CP18" s="3124"/>
      <c r="CQ18" s="3124"/>
      <c r="CR18" s="3124"/>
      <c r="CS18" s="3124"/>
      <c r="CT18" s="3124"/>
      <c r="CU18" s="3124"/>
      <c r="CV18" s="3124"/>
      <c r="CW18" s="3127"/>
      <c r="CX18" s="3130"/>
      <c r="CY18" s="3130"/>
      <c r="CZ18" s="3130"/>
      <c r="DA18" s="3130"/>
      <c r="DB18" s="3130"/>
      <c r="DC18" s="3130"/>
      <c r="DD18" s="3130"/>
      <c r="DE18" s="3120"/>
      <c r="DF18" s="1630"/>
      <c r="DG18" s="1631"/>
      <c r="DH18" s="1631"/>
      <c r="DI18" s="1631"/>
      <c r="DJ18" s="1631"/>
      <c r="DK18" s="1631"/>
    </row>
    <row r="19" spans="1:115">
      <c r="A19" s="1722" t="s">
        <v>1309</v>
      </c>
      <c r="B19" s="2562"/>
      <c r="C19" s="1723"/>
      <c r="D19" s="1723"/>
      <c r="E19" s="1724"/>
      <c r="F19" s="1725" t="s">
        <v>1310</v>
      </c>
      <c r="G19" s="2385">
        <f>G18+G11</f>
        <v>126155</v>
      </c>
      <c r="H19" s="2370" t="s">
        <v>1311</v>
      </c>
      <c r="I19" s="2370"/>
      <c r="J19" s="2354"/>
      <c r="K19" s="1726">
        <f t="shared" ref="K19:W19" si="11">K18+K11</f>
        <v>5.5117396428247666E-2</v>
      </c>
      <c r="L19" s="2375">
        <f t="shared" si="11"/>
        <v>0</v>
      </c>
      <c r="M19" s="2375">
        <f t="shared" si="11"/>
        <v>0</v>
      </c>
      <c r="N19" s="2375">
        <f t="shared" si="11"/>
        <v>3040</v>
      </c>
      <c r="O19" s="2375">
        <f t="shared" si="11"/>
        <v>0</v>
      </c>
      <c r="P19" s="2375">
        <f t="shared" si="11"/>
        <v>0</v>
      </c>
      <c r="Q19" s="2375">
        <f t="shared" si="11"/>
        <v>0</v>
      </c>
      <c r="R19" s="2375">
        <f t="shared" si="11"/>
        <v>3040</v>
      </c>
      <c r="S19" s="2375">
        <f t="shared" si="11"/>
        <v>0</v>
      </c>
      <c r="T19" s="2375">
        <f t="shared" si="11"/>
        <v>0</v>
      </c>
      <c r="U19" s="2375">
        <f t="shared" si="11"/>
        <v>0</v>
      </c>
      <c r="V19" s="2387">
        <f>V18+V11</f>
        <v>3040</v>
      </c>
      <c r="W19" s="1727">
        <f t="shared" si="11"/>
        <v>0</v>
      </c>
      <c r="X19" s="1728" t="s">
        <v>1312</v>
      </c>
      <c r="Y19" s="3111"/>
      <c r="Z19" s="2373">
        <f t="shared" ref="Z19:AO19" si="12">Z12+Z6</f>
        <v>0</v>
      </c>
      <c r="AA19" s="2373">
        <f>AA12+AA6</f>
        <v>0</v>
      </c>
      <c r="AB19" s="2373">
        <f t="shared" si="12"/>
        <v>0</v>
      </c>
      <c r="AC19" s="2373">
        <f t="shared" si="12"/>
        <v>0</v>
      </c>
      <c r="AD19" s="2373">
        <f t="shared" si="12"/>
        <v>0</v>
      </c>
      <c r="AE19" s="2373">
        <f t="shared" si="12"/>
        <v>0</v>
      </c>
      <c r="AF19" s="2373">
        <f t="shared" si="12"/>
        <v>0</v>
      </c>
      <c r="AG19" s="2373">
        <f t="shared" si="12"/>
        <v>3040</v>
      </c>
      <c r="AH19" s="2373">
        <f t="shared" si="12"/>
        <v>0</v>
      </c>
      <c r="AI19" s="2373">
        <f t="shared" si="12"/>
        <v>0</v>
      </c>
      <c r="AJ19" s="2373">
        <f t="shared" si="12"/>
        <v>0</v>
      </c>
      <c r="AK19" s="2373">
        <f t="shared" si="12"/>
        <v>0</v>
      </c>
      <c r="AL19" s="2373">
        <f t="shared" si="12"/>
        <v>3040</v>
      </c>
      <c r="AM19" s="2373">
        <f t="shared" si="12"/>
        <v>0</v>
      </c>
      <c r="AN19" s="2375">
        <f t="shared" si="12"/>
        <v>0</v>
      </c>
      <c r="AO19" s="2373">
        <f t="shared" si="12"/>
        <v>3040</v>
      </c>
      <c r="AP19" s="2360">
        <f>AO19/G19</f>
        <v>2.4097340573104514E-2</v>
      </c>
      <c r="AQ19" s="2373">
        <f>AQ12+AQ6</f>
        <v>0</v>
      </c>
      <c r="AR19" s="2373">
        <f>AR12+AR6</f>
        <v>244</v>
      </c>
      <c r="AS19" s="2373">
        <f>AS12+AS6</f>
        <v>342</v>
      </c>
      <c r="AT19" s="1729">
        <v>15</v>
      </c>
      <c r="AU19" s="1730" t="s">
        <v>1313</v>
      </c>
      <c r="AV19" s="2370"/>
      <c r="AW19" s="1726">
        <f>BS19/G19</f>
        <v>3.9674051761721691</v>
      </c>
      <c r="AX19" s="1726">
        <v>0</v>
      </c>
      <c r="AY19" s="1726">
        <f>BK19/G19</f>
        <v>1.9674051761721691</v>
      </c>
      <c r="AZ19" s="1726">
        <f>BC19/G19</f>
        <v>2</v>
      </c>
      <c r="BA19" s="2354"/>
      <c r="BB19" s="2375">
        <f t="shared" ref="BB19:CC19" si="13">BB12+BB6</f>
        <v>0</v>
      </c>
      <c r="BC19" s="2375">
        <f t="shared" si="13"/>
        <v>252310</v>
      </c>
      <c r="BD19" s="2373">
        <f t="shared" si="13"/>
        <v>0</v>
      </c>
      <c r="BE19" s="2373">
        <f t="shared" si="13"/>
        <v>0</v>
      </c>
      <c r="BF19" s="2373">
        <f t="shared" si="13"/>
        <v>0</v>
      </c>
      <c r="BG19" s="2373">
        <f t="shared" si="13"/>
        <v>0</v>
      </c>
      <c r="BH19" s="2373">
        <f t="shared" si="13"/>
        <v>0</v>
      </c>
      <c r="BI19" s="2373">
        <f t="shared" si="13"/>
        <v>252310</v>
      </c>
      <c r="BJ19" s="2373">
        <f t="shared" si="13"/>
        <v>0</v>
      </c>
      <c r="BK19" s="2375">
        <f t="shared" si="13"/>
        <v>248198</v>
      </c>
      <c r="BL19" s="2373">
        <f t="shared" si="13"/>
        <v>15000</v>
      </c>
      <c r="BM19" s="2373">
        <f t="shared" si="13"/>
        <v>0</v>
      </c>
      <c r="BN19" s="2373">
        <f t="shared" si="13"/>
        <v>233198</v>
      </c>
      <c r="BO19" s="2373">
        <f t="shared" si="13"/>
        <v>0</v>
      </c>
      <c r="BP19" s="2373">
        <f t="shared" si="13"/>
        <v>0</v>
      </c>
      <c r="BQ19" s="2373">
        <f t="shared" si="13"/>
        <v>0</v>
      </c>
      <c r="BR19" s="2373">
        <f t="shared" si="13"/>
        <v>0</v>
      </c>
      <c r="BS19" s="2375">
        <f t="shared" si="13"/>
        <v>500508</v>
      </c>
      <c r="BT19" s="2375">
        <f t="shared" si="13"/>
        <v>0</v>
      </c>
      <c r="BU19" s="2375">
        <f t="shared" si="13"/>
        <v>0</v>
      </c>
      <c r="BV19" s="2375">
        <f t="shared" si="13"/>
        <v>0</v>
      </c>
      <c r="BW19" s="2375">
        <f t="shared" si="13"/>
        <v>0</v>
      </c>
      <c r="BX19" s="2375">
        <f t="shared" si="13"/>
        <v>0</v>
      </c>
      <c r="BY19" s="2375">
        <f t="shared" si="13"/>
        <v>0</v>
      </c>
      <c r="BZ19" s="2375">
        <f t="shared" si="13"/>
        <v>0</v>
      </c>
      <c r="CA19" s="2375">
        <f>CA12+CA6</f>
        <v>244</v>
      </c>
      <c r="CB19" s="2375">
        <f t="shared" si="13"/>
        <v>244</v>
      </c>
      <c r="CC19" s="2375">
        <f t="shared" si="13"/>
        <v>244</v>
      </c>
      <c r="CD19" s="2387">
        <v>265</v>
      </c>
      <c r="CE19" s="2389">
        <f>BB19-Z19</f>
        <v>0</v>
      </c>
      <c r="CF19" s="2375">
        <f>BC19-AA19</f>
        <v>252310</v>
      </c>
      <c r="CG19" s="2373">
        <f>BD21</f>
        <v>0</v>
      </c>
      <c r="CH19" s="2373">
        <f>BE21-AD21</f>
        <v>0</v>
      </c>
      <c r="CI19" s="2373">
        <f>BF21</f>
        <v>0</v>
      </c>
      <c r="CJ19" s="2373">
        <f>BG21-AC21</f>
        <v>0</v>
      </c>
      <c r="CK19" s="2373">
        <f>BH21</f>
        <v>0</v>
      </c>
      <c r="CL19" s="2373">
        <f>BI19-AH19</f>
        <v>252310</v>
      </c>
      <c r="CM19" s="2373">
        <f>BJ19-AI19</f>
        <v>0</v>
      </c>
      <c r="CN19" s="2375">
        <f t="shared" ref="CN19:CV19" si="14">BK19-AG19</f>
        <v>245158</v>
      </c>
      <c r="CO19" s="2373">
        <f t="shared" si="14"/>
        <v>15000</v>
      </c>
      <c r="CP19" s="2373">
        <f t="shared" si="14"/>
        <v>0</v>
      </c>
      <c r="CQ19" s="2373">
        <f t="shared" si="14"/>
        <v>233198</v>
      </c>
      <c r="CR19" s="2373">
        <f t="shared" si="14"/>
        <v>0</v>
      </c>
      <c r="CS19" s="2373">
        <f t="shared" si="14"/>
        <v>-3040</v>
      </c>
      <c r="CT19" s="2373">
        <f t="shared" si="14"/>
        <v>0</v>
      </c>
      <c r="CU19" s="2375">
        <f t="shared" si="14"/>
        <v>0</v>
      </c>
      <c r="CV19" s="2375">
        <f t="shared" si="14"/>
        <v>497468</v>
      </c>
      <c r="CW19" s="2387">
        <f>BT19-AQ19</f>
        <v>0</v>
      </c>
      <c r="CX19" s="2351">
        <f>BU19</f>
        <v>0</v>
      </c>
      <c r="CY19" s="2351">
        <f>BV19</f>
        <v>0</v>
      </c>
      <c r="CZ19" s="2351">
        <f>BW19</f>
        <v>0</v>
      </c>
      <c r="DA19" s="2351">
        <f>BX19</f>
        <v>0</v>
      </c>
      <c r="DB19" s="2351">
        <f>DB12+DB6</f>
        <v>0</v>
      </c>
      <c r="DC19" s="2351">
        <f>DC12+DC6</f>
        <v>0</v>
      </c>
      <c r="DD19" s="2383">
        <f>CB19-AS19</f>
        <v>-98</v>
      </c>
      <c r="DE19" s="2385">
        <f>CC19-AS19</f>
        <v>-98</v>
      </c>
      <c r="DF19" s="1630"/>
      <c r="DG19" s="1631"/>
      <c r="DH19" s="1631"/>
      <c r="DI19" s="1631"/>
      <c r="DJ19" s="1631"/>
      <c r="DK19" s="1631"/>
    </row>
    <row r="20" spans="1:115" ht="15.75" thickBot="1">
      <c r="A20" s="2377"/>
      <c r="B20" s="2559"/>
      <c r="C20" s="1669"/>
      <c r="D20" s="1669"/>
      <c r="E20" s="1670"/>
      <c r="F20" s="2363"/>
      <c r="G20" s="2384"/>
      <c r="H20" s="2369"/>
      <c r="I20" s="2369"/>
      <c r="J20" s="2353"/>
      <c r="K20" s="1671"/>
      <c r="L20" s="2374"/>
      <c r="M20" s="2374"/>
      <c r="N20" s="2374"/>
      <c r="O20" s="2372"/>
      <c r="P20" s="2372"/>
      <c r="Q20" s="2372"/>
      <c r="R20" s="2372"/>
      <c r="S20" s="2372"/>
      <c r="T20" s="2372"/>
      <c r="U20" s="2374"/>
      <c r="V20" s="2386"/>
      <c r="W20" s="2374"/>
      <c r="X20" s="1672"/>
      <c r="Y20" s="2362"/>
      <c r="Z20" s="2374"/>
      <c r="AA20" s="2374"/>
      <c r="AB20" s="2372"/>
      <c r="AC20" s="2372"/>
      <c r="AD20" s="2372"/>
      <c r="AE20" s="2372"/>
      <c r="AF20" s="2372"/>
      <c r="AG20" s="2374"/>
      <c r="AH20" s="2372"/>
      <c r="AI20" s="2372"/>
      <c r="AJ20" s="2372"/>
      <c r="AK20" s="2372"/>
      <c r="AL20" s="2372"/>
      <c r="AM20" s="2372"/>
      <c r="AN20" s="2374"/>
      <c r="AO20" s="2374"/>
      <c r="AP20" s="2359"/>
      <c r="AQ20" s="2353"/>
      <c r="AR20" s="2353"/>
      <c r="AS20" s="2353"/>
      <c r="AT20" s="2357"/>
      <c r="AU20" s="1673"/>
      <c r="AV20" s="2369"/>
      <c r="AW20" s="1671"/>
      <c r="AX20" s="1671"/>
      <c r="AY20" s="1671"/>
      <c r="AZ20" s="1671"/>
      <c r="BA20" s="2353"/>
      <c r="BB20" s="2374"/>
      <c r="BC20" s="2374"/>
      <c r="BD20" s="2372"/>
      <c r="BE20" s="2372"/>
      <c r="BF20" s="2372"/>
      <c r="BG20" s="2372"/>
      <c r="BH20" s="2372"/>
      <c r="BI20" s="2372"/>
      <c r="BJ20" s="2372"/>
      <c r="BK20" s="2374"/>
      <c r="BL20" s="2372"/>
      <c r="BM20" s="2372"/>
      <c r="BN20" s="2372"/>
      <c r="BO20" s="2372"/>
      <c r="BP20" s="2372"/>
      <c r="BQ20" s="2372"/>
      <c r="BR20" s="2372"/>
      <c r="BS20" s="2374"/>
      <c r="BT20" s="2353"/>
      <c r="BU20" s="2353"/>
      <c r="BV20" s="2353"/>
      <c r="BW20" s="2353"/>
      <c r="BX20" s="2353"/>
      <c r="BY20" s="2353"/>
      <c r="BZ20" s="2353"/>
      <c r="CA20" s="2353"/>
      <c r="CB20" s="2353"/>
      <c r="CC20" s="2353"/>
      <c r="CD20" s="2357"/>
      <c r="CE20" s="2388"/>
      <c r="CF20" s="2374"/>
      <c r="CG20" s="2372"/>
      <c r="CH20" s="2372"/>
      <c r="CI20" s="2372"/>
      <c r="CJ20" s="2372"/>
      <c r="CK20" s="2372"/>
      <c r="CL20" s="2372"/>
      <c r="CM20" s="2372"/>
      <c r="CN20" s="2374"/>
      <c r="CO20" s="2372"/>
      <c r="CP20" s="2372"/>
      <c r="CQ20" s="2372"/>
      <c r="CR20" s="2372"/>
      <c r="CS20" s="2372"/>
      <c r="CT20" s="2372"/>
      <c r="CU20" s="2374"/>
      <c r="CV20" s="2374"/>
      <c r="CW20" s="2386"/>
      <c r="CX20" s="2350"/>
      <c r="CY20" s="2350"/>
      <c r="CZ20" s="2350"/>
      <c r="DA20" s="2350"/>
      <c r="DB20" s="2350"/>
      <c r="DC20" s="2350"/>
      <c r="DD20" s="2363"/>
      <c r="DE20" s="2365"/>
      <c r="DF20" s="1630"/>
      <c r="DG20" s="1631"/>
      <c r="DH20" s="1631"/>
      <c r="DI20" s="1631"/>
      <c r="DJ20" s="1631"/>
      <c r="DK20" s="1631"/>
    </row>
    <row r="21" spans="1:115" ht="15.75" thickBot="1">
      <c r="A21" s="3104">
        <v>3</v>
      </c>
      <c r="B21" s="2558" t="str">
        <f t="shared" ref="B21:B22" si="15">1&amp;"0"&amp;C21&amp;IF(LEN(SUBSTITUTE(UPPER(D21),"P/O ",""))=1,"000"&amp;SUBSTITUTE(UPPER(D21),"P/O ",""),IF(LEN(SUBSTITUTE(UPPER(D21),"P/O ",""))=2,"00"&amp;SUBSTITUTE(UPPER(D21),"P/O ",""),IF(LEN(SUBSTITUTE(UPPER(D21),"P/O ",""))=3,"0"&amp;SUBSTITUTE(UPPER(D21),"P/O ",""),SUBSTITUTE(UPPER(D21),"P/O ",""))))</f>
        <v>1022430255</v>
      </c>
      <c r="C21" s="1674">
        <v>2243</v>
      </c>
      <c r="D21" s="1674">
        <v>255</v>
      </c>
      <c r="E21" s="1675" t="s">
        <v>1303</v>
      </c>
      <c r="F21" s="1676" t="s">
        <v>1314</v>
      </c>
      <c r="G21" s="1677">
        <v>7500</v>
      </c>
      <c r="H21" s="1678" t="s">
        <v>704</v>
      </c>
      <c r="I21" s="2379"/>
      <c r="J21" s="2361" t="s">
        <v>1315</v>
      </c>
      <c r="K21" s="1679">
        <f>V21/G21</f>
        <v>0</v>
      </c>
      <c r="L21" s="2355">
        <v>0</v>
      </c>
      <c r="M21" s="2355">
        <v>0</v>
      </c>
      <c r="N21" s="2355">
        <f>O21+P21+Q21+R21+S21+T21</f>
        <v>0</v>
      </c>
      <c r="O21" s="2352">
        <v>0</v>
      </c>
      <c r="P21" s="2352">
        <v>0</v>
      </c>
      <c r="Q21" s="2352">
        <v>0</v>
      </c>
      <c r="R21" s="2352">
        <v>0</v>
      </c>
      <c r="S21" s="2352">
        <v>0</v>
      </c>
      <c r="T21" s="2352">
        <v>0</v>
      </c>
      <c r="U21" s="2355">
        <v>0</v>
      </c>
      <c r="V21" s="2356">
        <f>N21+M21+L21+U21</f>
        <v>0</v>
      </c>
      <c r="W21" s="2355">
        <v>0</v>
      </c>
      <c r="X21" s="3107" t="s">
        <v>1289</v>
      </c>
      <c r="Y21" s="3109" t="s">
        <v>1023</v>
      </c>
      <c r="Z21" s="3112">
        <f>L23</f>
        <v>0</v>
      </c>
      <c r="AA21" s="3112">
        <f>M23</f>
        <v>0</v>
      </c>
      <c r="AB21" s="3115">
        <v>0</v>
      </c>
      <c r="AC21" s="3115">
        <v>0</v>
      </c>
      <c r="AD21" s="3115">
        <v>0</v>
      </c>
      <c r="AE21" s="3115">
        <v>0</v>
      </c>
      <c r="AF21" s="3115">
        <v>0</v>
      </c>
      <c r="AG21" s="3112">
        <f>N23</f>
        <v>6100</v>
      </c>
      <c r="AH21" s="3115">
        <f>O23</f>
        <v>0</v>
      </c>
      <c r="AI21" s="3115">
        <v>0</v>
      </c>
      <c r="AJ21" s="3115">
        <f>P23</f>
        <v>6100</v>
      </c>
      <c r="AK21" s="3115">
        <v>0</v>
      </c>
      <c r="AL21" s="3115">
        <v>0</v>
      </c>
      <c r="AM21" s="3115">
        <v>0</v>
      </c>
      <c r="AN21" s="3112">
        <v>0</v>
      </c>
      <c r="AO21" s="3115">
        <f>AG21+AA21+Z21</f>
        <v>6100</v>
      </c>
      <c r="AP21" s="3135">
        <f>AO21/G21</f>
        <v>0.81333333333333335</v>
      </c>
      <c r="AQ21" s="3136">
        <v>0</v>
      </c>
      <c r="AR21" s="3136">
        <v>0</v>
      </c>
      <c r="AS21" s="3136">
        <v>100</v>
      </c>
      <c r="AT21" s="3131">
        <v>15</v>
      </c>
      <c r="AU21" s="1680" t="s">
        <v>774</v>
      </c>
      <c r="AV21" s="2379" t="s">
        <v>706</v>
      </c>
      <c r="AW21" s="2371">
        <v>5.6</v>
      </c>
      <c r="AX21" s="1679">
        <v>4.8499999999999996</v>
      </c>
      <c r="AY21" s="1679">
        <v>0.75</v>
      </c>
      <c r="AZ21" s="1679">
        <v>0</v>
      </c>
      <c r="BA21" s="2366"/>
      <c r="BB21" s="2355">
        <f>ROUND(G23*AX21,0)</f>
        <v>84875</v>
      </c>
      <c r="BC21" s="2355">
        <f>ROUND(AZ21*G23,0)</f>
        <v>0</v>
      </c>
      <c r="BD21" s="2352">
        <v>0</v>
      </c>
      <c r="BE21" s="2352">
        <v>0</v>
      </c>
      <c r="BF21" s="2352">
        <v>0</v>
      </c>
      <c r="BG21" s="2352">
        <v>0</v>
      </c>
      <c r="BH21" s="2352">
        <v>0</v>
      </c>
      <c r="BI21" s="2352">
        <v>0</v>
      </c>
      <c r="BJ21" s="2352">
        <v>0</v>
      </c>
      <c r="BK21" s="2355">
        <f>ROUND(G23*AY21,0)</f>
        <v>13125</v>
      </c>
      <c r="BL21" s="2352">
        <f>BK21</f>
        <v>13125</v>
      </c>
      <c r="BM21" s="2352">
        <v>0</v>
      </c>
      <c r="BN21" s="2352">
        <v>0</v>
      </c>
      <c r="BO21" s="2352">
        <v>0</v>
      </c>
      <c r="BP21" s="2352">
        <v>0</v>
      </c>
      <c r="BQ21" s="2352">
        <v>0</v>
      </c>
      <c r="BR21" s="2352">
        <v>0</v>
      </c>
      <c r="BS21" s="2355">
        <f>ROUND(G23*AW21,0)</f>
        <v>98000</v>
      </c>
      <c r="BT21" s="2366">
        <f>ROUND(BB21/875,0)</f>
        <v>97</v>
      </c>
      <c r="BU21" s="2366">
        <f>ROUND(BT21*0.25,0)</f>
        <v>24</v>
      </c>
      <c r="BV21" s="2366">
        <f>BT21-BU21</f>
        <v>73</v>
      </c>
      <c r="BW21" s="2366">
        <f>ROUND(BT21*0.3,0)</f>
        <v>29</v>
      </c>
      <c r="BX21" s="2366">
        <f>BT21-BW21</f>
        <v>68</v>
      </c>
      <c r="BY21" s="2366">
        <f>ROUND(IF(((0.2*BV21)&gt;15),(0.2*BV21),0),0)</f>
        <v>0</v>
      </c>
      <c r="BZ21" s="2366">
        <f>ROUND(IF(((0.2*BX21)&gt;15),(0.2*BX21),0),0)</f>
        <v>0</v>
      </c>
      <c r="CA21" s="2366">
        <v>0</v>
      </c>
      <c r="CB21" s="2366">
        <f>BY21+CA21</f>
        <v>0</v>
      </c>
      <c r="CC21" s="2366">
        <f>CA21+BZ21</f>
        <v>0</v>
      </c>
      <c r="CD21" s="2367">
        <v>115</v>
      </c>
      <c r="CE21" s="3132">
        <f>BB21-Z21</f>
        <v>84875</v>
      </c>
      <c r="CF21" s="3112">
        <f>BC21-AA21</f>
        <v>0</v>
      </c>
      <c r="CG21" s="3115">
        <f>BD21</f>
        <v>0</v>
      </c>
      <c r="CH21" s="3115">
        <f>BE21-AB21</f>
        <v>0</v>
      </c>
      <c r="CI21" s="3115">
        <f>BF21</f>
        <v>0</v>
      </c>
      <c r="CJ21" s="3115">
        <f>BG21-AC21</f>
        <v>0</v>
      </c>
      <c r="CK21" s="3115">
        <f>BH21</f>
        <v>0</v>
      </c>
      <c r="CL21" s="3115">
        <f>BI21-AD21</f>
        <v>0</v>
      </c>
      <c r="CM21" s="3115">
        <f t="shared" ref="CM21:CV21" si="16">BJ21-AF21</f>
        <v>0</v>
      </c>
      <c r="CN21" s="3112">
        <f t="shared" si="16"/>
        <v>7025</v>
      </c>
      <c r="CO21" s="3115">
        <f t="shared" si="16"/>
        <v>13125</v>
      </c>
      <c r="CP21" s="3115">
        <f t="shared" si="16"/>
        <v>0</v>
      </c>
      <c r="CQ21" s="3115">
        <f t="shared" si="16"/>
        <v>-6100</v>
      </c>
      <c r="CR21" s="3115">
        <f t="shared" si="16"/>
        <v>0</v>
      </c>
      <c r="CS21" s="3115">
        <f t="shared" si="16"/>
        <v>0</v>
      </c>
      <c r="CT21" s="3115">
        <f t="shared" si="16"/>
        <v>0</v>
      </c>
      <c r="CU21" s="3112">
        <f t="shared" si="16"/>
        <v>0</v>
      </c>
      <c r="CV21" s="3112">
        <f t="shared" si="16"/>
        <v>91900</v>
      </c>
      <c r="CW21" s="3125">
        <f>BT21-AQ21</f>
        <v>97</v>
      </c>
      <c r="CX21" s="3128">
        <f>BU21</f>
        <v>24</v>
      </c>
      <c r="CY21" s="3128">
        <f>CW21-CX21</f>
        <v>73</v>
      </c>
      <c r="CZ21" s="3128">
        <f>BW21</f>
        <v>29</v>
      </c>
      <c r="DA21" s="3128">
        <f>CW21-CZ21</f>
        <v>68</v>
      </c>
      <c r="DB21" s="3128">
        <f>BY21-AR21</f>
        <v>0</v>
      </c>
      <c r="DC21" s="3128">
        <f>BZ21-AR21</f>
        <v>0</v>
      </c>
      <c r="DD21" s="3128">
        <f>CB21-AS21</f>
        <v>-100</v>
      </c>
      <c r="DE21" s="3118">
        <f>CC21-AS21</f>
        <v>-100</v>
      </c>
      <c r="DF21" s="1630"/>
      <c r="DG21" s="1631"/>
      <c r="DH21" s="1631"/>
      <c r="DI21" s="1631"/>
      <c r="DJ21" s="1631"/>
      <c r="DK21" s="1631"/>
    </row>
    <row r="22" spans="1:115">
      <c r="A22" s="3105"/>
      <c r="B22" s="2558" t="str">
        <f t="shared" si="15"/>
        <v>1022430250</v>
      </c>
      <c r="C22" s="1682">
        <v>2243</v>
      </c>
      <c r="D22" s="1682">
        <v>250</v>
      </c>
      <c r="E22" s="1683" t="s">
        <v>1316</v>
      </c>
      <c r="F22" s="1684" t="s">
        <v>1317</v>
      </c>
      <c r="G22" s="1686">
        <v>10000</v>
      </c>
      <c r="H22" s="1685" t="s">
        <v>704</v>
      </c>
      <c r="I22" s="2369"/>
      <c r="J22" s="2388" t="s">
        <v>1318</v>
      </c>
      <c r="K22" s="1671">
        <f>V22/G22</f>
        <v>0.61</v>
      </c>
      <c r="L22" s="1687">
        <v>0</v>
      </c>
      <c r="M22" s="1687">
        <v>0</v>
      </c>
      <c r="N22" s="1687">
        <f>O22+P22+Q22+R22+S22+T22</f>
        <v>6100</v>
      </c>
      <c r="O22" s="1688">
        <v>0</v>
      </c>
      <c r="P22" s="1688">
        <v>6100</v>
      </c>
      <c r="Q22" s="1688">
        <v>0</v>
      </c>
      <c r="R22" s="1688">
        <v>0</v>
      </c>
      <c r="S22" s="1688">
        <v>0</v>
      </c>
      <c r="T22" s="1688">
        <v>0</v>
      </c>
      <c r="U22" s="1687">
        <v>0</v>
      </c>
      <c r="V22" s="1689">
        <f>N22+M22+L22+U22</f>
        <v>6100</v>
      </c>
      <c r="W22" s="1687">
        <v>0</v>
      </c>
      <c r="X22" s="3108"/>
      <c r="Y22" s="3147"/>
      <c r="Z22" s="3113"/>
      <c r="AA22" s="3113"/>
      <c r="AB22" s="3116"/>
      <c r="AC22" s="3116"/>
      <c r="AD22" s="3116"/>
      <c r="AE22" s="3116"/>
      <c r="AF22" s="3113"/>
      <c r="AG22" s="3113"/>
      <c r="AH22" s="3116"/>
      <c r="AI22" s="3116"/>
      <c r="AJ22" s="3116"/>
      <c r="AK22" s="3116"/>
      <c r="AL22" s="3116"/>
      <c r="AM22" s="3116"/>
      <c r="AN22" s="3113"/>
      <c r="AO22" s="3113"/>
      <c r="AP22" s="3123"/>
      <c r="AQ22" s="3123"/>
      <c r="AR22" s="3123"/>
      <c r="AS22" s="3123"/>
      <c r="AT22" s="3126"/>
      <c r="AU22" s="1673"/>
      <c r="AV22" s="2369"/>
      <c r="AW22" s="2353"/>
      <c r="AX22" s="2369"/>
      <c r="AY22" s="2369"/>
      <c r="AZ22" s="2369"/>
      <c r="BA22" s="2353"/>
      <c r="BB22" s="2374"/>
      <c r="BC22" s="2374"/>
      <c r="BD22" s="2372"/>
      <c r="BE22" s="2372"/>
      <c r="BF22" s="2372"/>
      <c r="BG22" s="2372"/>
      <c r="BH22" s="2353"/>
      <c r="BI22" s="2353"/>
      <c r="BJ22" s="2353"/>
      <c r="BK22" s="2353"/>
      <c r="BL22" s="2353"/>
      <c r="BM22" s="2353"/>
      <c r="BN22" s="2353"/>
      <c r="BO22" s="2353"/>
      <c r="BP22" s="2353"/>
      <c r="BQ22" s="2353"/>
      <c r="BR22" s="2353"/>
      <c r="BS22" s="2353"/>
      <c r="BT22" s="2353"/>
      <c r="BU22" s="2353"/>
      <c r="BV22" s="2353"/>
      <c r="BW22" s="2353"/>
      <c r="BX22" s="2353"/>
      <c r="BY22" s="2353"/>
      <c r="BZ22" s="2353"/>
      <c r="CA22" s="2353"/>
      <c r="CB22" s="2353"/>
      <c r="CC22" s="2353"/>
      <c r="CD22" s="2357"/>
      <c r="CE22" s="3157"/>
      <c r="CF22" s="3113"/>
      <c r="CG22" s="3123"/>
      <c r="CH22" s="3123"/>
      <c r="CI22" s="3123"/>
      <c r="CJ22" s="3123"/>
      <c r="CK22" s="3123"/>
      <c r="CL22" s="3123"/>
      <c r="CM22" s="3123"/>
      <c r="CN22" s="3113"/>
      <c r="CO22" s="3113"/>
      <c r="CP22" s="3113"/>
      <c r="CQ22" s="3113"/>
      <c r="CR22" s="3113"/>
      <c r="CS22" s="3113"/>
      <c r="CT22" s="3113"/>
      <c r="CU22" s="3113"/>
      <c r="CV22" s="3113"/>
      <c r="CW22" s="3152"/>
      <c r="CX22" s="3154"/>
      <c r="CY22" s="3154"/>
      <c r="CZ22" s="3154"/>
      <c r="DA22" s="3154"/>
      <c r="DB22" s="3154"/>
      <c r="DC22" s="3154"/>
      <c r="DD22" s="3154"/>
      <c r="DE22" s="3159"/>
      <c r="DF22" s="1630"/>
      <c r="DG22" s="1631"/>
      <c r="DH22" s="1631"/>
      <c r="DI22" s="1631"/>
      <c r="DJ22" s="1631"/>
      <c r="DK22" s="1631"/>
    </row>
    <row r="23" spans="1:115">
      <c r="A23" s="3145"/>
      <c r="B23" s="2563"/>
      <c r="C23" s="1731"/>
      <c r="D23" s="1731"/>
      <c r="E23" s="1732"/>
      <c r="F23" s="1725" t="s">
        <v>1319</v>
      </c>
      <c r="G23" s="2385">
        <f>SUM(G21:G22)</f>
        <v>17500</v>
      </c>
      <c r="H23" s="2370" t="s">
        <v>704</v>
      </c>
      <c r="I23" s="2370"/>
      <c r="J23" s="2354"/>
      <c r="K23" s="1726">
        <f>V23/G23</f>
        <v>0.34857142857142859</v>
      </c>
      <c r="L23" s="2375">
        <f>SUM(L21:L22)</f>
        <v>0</v>
      </c>
      <c r="M23" s="2375">
        <f>SUM(M21:M22)</f>
        <v>0</v>
      </c>
      <c r="N23" s="2375">
        <f>SUM(N21:N22)</f>
        <v>6100</v>
      </c>
      <c r="O23" s="2373">
        <f t="shared" ref="O23:W23" si="17">SUM(O21:O22)</f>
        <v>0</v>
      </c>
      <c r="P23" s="2373">
        <f t="shared" si="17"/>
        <v>6100</v>
      </c>
      <c r="Q23" s="2373">
        <f t="shared" si="17"/>
        <v>0</v>
      </c>
      <c r="R23" s="2373">
        <f t="shared" si="17"/>
        <v>0</v>
      </c>
      <c r="S23" s="2373">
        <f t="shared" si="17"/>
        <v>0</v>
      </c>
      <c r="T23" s="2373">
        <f t="shared" si="17"/>
        <v>0</v>
      </c>
      <c r="U23" s="2375">
        <f t="shared" si="17"/>
        <v>0</v>
      </c>
      <c r="V23" s="2387">
        <f t="shared" si="17"/>
        <v>6100</v>
      </c>
      <c r="W23" s="2375">
        <f t="shared" si="17"/>
        <v>0</v>
      </c>
      <c r="X23" s="3146"/>
      <c r="Y23" s="3148"/>
      <c r="Z23" s="3149"/>
      <c r="AA23" s="3149"/>
      <c r="AB23" s="3150"/>
      <c r="AC23" s="3150"/>
      <c r="AD23" s="3150"/>
      <c r="AE23" s="3150"/>
      <c r="AF23" s="3149"/>
      <c r="AG23" s="3149"/>
      <c r="AH23" s="3150"/>
      <c r="AI23" s="3150"/>
      <c r="AJ23" s="3150"/>
      <c r="AK23" s="3150"/>
      <c r="AL23" s="3150"/>
      <c r="AM23" s="3150"/>
      <c r="AN23" s="3149"/>
      <c r="AO23" s="3149"/>
      <c r="AP23" s="3156"/>
      <c r="AQ23" s="3156"/>
      <c r="AR23" s="3156"/>
      <c r="AS23" s="3156"/>
      <c r="AT23" s="3161"/>
      <c r="AU23" s="1730"/>
      <c r="AV23" s="2370"/>
      <c r="AW23" s="2354"/>
      <c r="AX23" s="2370"/>
      <c r="AY23" s="2370"/>
      <c r="AZ23" s="2370"/>
      <c r="BA23" s="2354"/>
      <c r="BB23" s="2375"/>
      <c r="BC23" s="2375"/>
      <c r="BD23" s="2373"/>
      <c r="BE23" s="2373"/>
      <c r="BF23" s="2373"/>
      <c r="BG23" s="2373"/>
      <c r="BH23" s="2354"/>
      <c r="BI23" s="2354"/>
      <c r="BJ23" s="2354"/>
      <c r="BK23" s="2354"/>
      <c r="BL23" s="2354"/>
      <c r="BM23" s="2354"/>
      <c r="BN23" s="2354"/>
      <c r="BO23" s="2354"/>
      <c r="BP23" s="2354"/>
      <c r="BQ23" s="2354"/>
      <c r="BR23" s="2354"/>
      <c r="BS23" s="2354"/>
      <c r="BT23" s="2354"/>
      <c r="BU23" s="2354"/>
      <c r="BV23" s="2354"/>
      <c r="BW23" s="2354"/>
      <c r="BX23" s="2354"/>
      <c r="BY23" s="2354"/>
      <c r="BZ23" s="2354"/>
      <c r="CA23" s="2354"/>
      <c r="CB23" s="2354"/>
      <c r="CC23" s="2354"/>
      <c r="CD23" s="2358"/>
      <c r="CE23" s="3158"/>
      <c r="CF23" s="3149"/>
      <c r="CG23" s="3156"/>
      <c r="CH23" s="3156"/>
      <c r="CI23" s="3156"/>
      <c r="CJ23" s="3156"/>
      <c r="CK23" s="3156"/>
      <c r="CL23" s="3156"/>
      <c r="CM23" s="3156"/>
      <c r="CN23" s="3149"/>
      <c r="CO23" s="3149"/>
      <c r="CP23" s="3149"/>
      <c r="CQ23" s="3149"/>
      <c r="CR23" s="3149"/>
      <c r="CS23" s="3149"/>
      <c r="CT23" s="3149"/>
      <c r="CU23" s="3149"/>
      <c r="CV23" s="3149"/>
      <c r="CW23" s="3153"/>
      <c r="CX23" s="3155"/>
      <c r="CY23" s="3155"/>
      <c r="CZ23" s="3155"/>
      <c r="DA23" s="3155"/>
      <c r="DB23" s="3155"/>
      <c r="DC23" s="3155"/>
      <c r="DD23" s="3155"/>
      <c r="DE23" s="3160"/>
      <c r="DF23" s="1630"/>
      <c r="DG23" s="1631"/>
      <c r="DH23" s="1631"/>
      <c r="DI23" s="1631"/>
      <c r="DJ23" s="1631"/>
      <c r="DK23" s="1631"/>
    </row>
    <row r="24" spans="1:115" ht="15.75" thickBot="1">
      <c r="A24" s="2377"/>
      <c r="B24" s="2559"/>
      <c r="C24" s="1669"/>
      <c r="D24" s="1669"/>
      <c r="E24" s="1670"/>
      <c r="F24" s="2363"/>
      <c r="G24" s="2384"/>
      <c r="H24" s="2369"/>
      <c r="I24" s="2369"/>
      <c r="J24" s="2353"/>
      <c r="K24" s="1671"/>
      <c r="L24" s="2374"/>
      <c r="M24" s="2374"/>
      <c r="N24" s="2374"/>
      <c r="O24" s="2372"/>
      <c r="P24" s="2372"/>
      <c r="Q24" s="2372"/>
      <c r="R24" s="2372"/>
      <c r="S24" s="2372"/>
      <c r="T24" s="2372"/>
      <c r="U24" s="2374"/>
      <c r="V24" s="2386"/>
      <c r="W24" s="2374"/>
      <c r="X24" s="1672"/>
      <c r="Y24" s="2362"/>
      <c r="Z24" s="2374"/>
      <c r="AA24" s="2374"/>
      <c r="AB24" s="2372"/>
      <c r="AC24" s="2372"/>
      <c r="AD24" s="2372"/>
      <c r="AE24" s="2372"/>
      <c r="AF24" s="2372"/>
      <c r="AG24" s="2374"/>
      <c r="AH24" s="2372"/>
      <c r="AI24" s="2372"/>
      <c r="AJ24" s="2372"/>
      <c r="AK24" s="2372"/>
      <c r="AL24" s="2372"/>
      <c r="AM24" s="2372"/>
      <c r="AN24" s="2374"/>
      <c r="AO24" s="2374"/>
      <c r="AP24" s="2359"/>
      <c r="AQ24" s="2353"/>
      <c r="AR24" s="2353"/>
      <c r="AS24" s="2353"/>
      <c r="AT24" s="2357"/>
      <c r="AU24" s="1673"/>
      <c r="AV24" s="2369"/>
      <c r="AW24" s="1671"/>
      <c r="AX24" s="1671"/>
      <c r="AY24" s="1671"/>
      <c r="AZ24" s="1671"/>
      <c r="BA24" s="2353"/>
      <c r="BB24" s="2374"/>
      <c r="BC24" s="2374"/>
      <c r="BD24" s="2372"/>
      <c r="BE24" s="2372"/>
      <c r="BF24" s="2372"/>
      <c r="BG24" s="2372"/>
      <c r="BH24" s="2372"/>
      <c r="BI24" s="2372"/>
      <c r="BJ24" s="2372"/>
      <c r="BK24" s="2374"/>
      <c r="BL24" s="2372"/>
      <c r="BM24" s="2372"/>
      <c r="BN24" s="2372"/>
      <c r="BO24" s="2372"/>
      <c r="BP24" s="2372"/>
      <c r="BQ24" s="2372"/>
      <c r="BR24" s="2372"/>
      <c r="BS24" s="2374"/>
      <c r="BT24" s="2353"/>
      <c r="BU24" s="2353"/>
      <c r="BV24" s="2353"/>
      <c r="BW24" s="2353"/>
      <c r="BX24" s="2353"/>
      <c r="BY24" s="2353"/>
      <c r="BZ24" s="2353"/>
      <c r="CA24" s="2353"/>
      <c r="CB24" s="2353"/>
      <c r="CC24" s="2353"/>
      <c r="CD24" s="2357"/>
      <c r="CE24" s="2388"/>
      <c r="CF24" s="2374"/>
      <c r="CG24" s="2372"/>
      <c r="CH24" s="2372"/>
      <c r="CI24" s="2372"/>
      <c r="CJ24" s="2372"/>
      <c r="CK24" s="2372"/>
      <c r="CL24" s="2372"/>
      <c r="CM24" s="2372"/>
      <c r="CN24" s="2374"/>
      <c r="CO24" s="2372"/>
      <c r="CP24" s="2372"/>
      <c r="CQ24" s="2372"/>
      <c r="CR24" s="2372"/>
      <c r="CS24" s="2372"/>
      <c r="CT24" s="2372"/>
      <c r="CU24" s="2374"/>
      <c r="CV24" s="2374"/>
      <c r="CW24" s="2386"/>
      <c r="CX24" s="2350"/>
      <c r="CY24" s="2350"/>
      <c r="CZ24" s="2350"/>
      <c r="DA24" s="2350"/>
      <c r="DB24" s="2350"/>
      <c r="DC24" s="2350"/>
      <c r="DD24" s="2363"/>
      <c r="DE24" s="2365"/>
      <c r="DF24" s="1630"/>
      <c r="DG24" s="1631"/>
      <c r="DH24" s="1631"/>
      <c r="DI24" s="1631"/>
      <c r="DJ24" s="1631"/>
      <c r="DK24" s="1631"/>
    </row>
    <row r="25" spans="1:115" ht="15.75" thickBot="1">
      <c r="A25" s="3104">
        <v>4</v>
      </c>
      <c r="B25" s="2558" t="str">
        <f t="shared" ref="B25:B26" si="18">1&amp;"0"&amp;C25&amp;IF(LEN(SUBSTITUTE(UPPER(D25),"P/O ",""))=1,"000"&amp;SUBSTITUTE(UPPER(D25),"P/O ",""),IF(LEN(SUBSTITUTE(UPPER(D25),"P/O ",""))=2,"00"&amp;SUBSTITUTE(UPPER(D25),"P/O ",""),IF(LEN(SUBSTITUTE(UPPER(D25),"P/O ",""))=3,"0"&amp;SUBSTITUTE(UPPER(D25),"P/O ",""),SUBSTITUTE(UPPER(D25),"P/O ",""))))</f>
        <v>1021970075</v>
      </c>
      <c r="C25" s="1674">
        <v>2197</v>
      </c>
      <c r="D25" s="1674" t="s">
        <v>1320</v>
      </c>
      <c r="E25" s="1675" t="s">
        <v>1321</v>
      </c>
      <c r="F25" s="1676" t="s">
        <v>1322</v>
      </c>
      <c r="G25" s="1677">
        <f>ROUND(106450/2,0)</f>
        <v>53225</v>
      </c>
      <c r="H25" s="1678" t="s">
        <v>1323</v>
      </c>
      <c r="I25" s="2379"/>
      <c r="J25" s="2361" t="s">
        <v>1294</v>
      </c>
      <c r="K25" s="1679">
        <f>V25/G25</f>
        <v>0</v>
      </c>
      <c r="L25" s="2355">
        <v>0</v>
      </c>
      <c r="M25" s="2355">
        <v>0</v>
      </c>
      <c r="N25" s="2355">
        <f>O25+P25+Q25+R25+S25+T25</f>
        <v>0</v>
      </c>
      <c r="O25" s="2352">
        <v>0</v>
      </c>
      <c r="P25" s="2352">
        <v>0</v>
      </c>
      <c r="Q25" s="2352">
        <v>0</v>
      </c>
      <c r="R25" s="2352">
        <v>0</v>
      </c>
      <c r="S25" s="2352">
        <v>0</v>
      </c>
      <c r="T25" s="2352">
        <v>0</v>
      </c>
      <c r="U25" s="2355">
        <v>0</v>
      </c>
      <c r="V25" s="2356">
        <f>N25+M25+L25+U25</f>
        <v>0</v>
      </c>
      <c r="W25" s="2355">
        <v>0</v>
      </c>
      <c r="X25" s="3107" t="s">
        <v>1289</v>
      </c>
      <c r="Y25" s="3109" t="s">
        <v>1023</v>
      </c>
      <c r="Z25" s="3112">
        <v>0</v>
      </c>
      <c r="AA25" s="3112">
        <f>AB25+AC25+AD25+AE25+AF25</f>
        <v>0</v>
      </c>
      <c r="AB25" s="3115">
        <v>0</v>
      </c>
      <c r="AC25" s="3115">
        <v>0</v>
      </c>
      <c r="AD25" s="3115">
        <v>0</v>
      </c>
      <c r="AE25" s="3115">
        <v>0</v>
      </c>
      <c r="AF25" s="3115">
        <v>0</v>
      </c>
      <c r="AG25" s="3112">
        <f>AH25+AI25+AJ25+AK25+AL25+AM25+AN25</f>
        <v>0</v>
      </c>
      <c r="AH25" s="3115">
        <v>0</v>
      </c>
      <c r="AI25" s="3115">
        <v>0</v>
      </c>
      <c r="AJ25" s="3115">
        <v>0</v>
      </c>
      <c r="AK25" s="3115">
        <v>0</v>
      </c>
      <c r="AL25" s="3115">
        <v>0</v>
      </c>
      <c r="AM25" s="3115">
        <v>0</v>
      </c>
      <c r="AN25" s="3112">
        <v>0</v>
      </c>
      <c r="AO25" s="3112">
        <f>Z25+AA25+AG25</f>
        <v>0</v>
      </c>
      <c r="AP25" s="3135">
        <f>AO25/G25</f>
        <v>0</v>
      </c>
      <c r="AQ25" s="3112">
        <v>0</v>
      </c>
      <c r="AR25" s="3112">
        <v>0</v>
      </c>
      <c r="AS25" s="3112">
        <v>245</v>
      </c>
      <c r="AT25" s="3125">
        <v>0</v>
      </c>
      <c r="AU25" s="1680" t="s">
        <v>1290</v>
      </c>
      <c r="AV25" s="2379"/>
      <c r="AW25" s="2371">
        <v>7.2</v>
      </c>
      <c r="AX25" s="1679">
        <v>5.95</v>
      </c>
      <c r="AY25" s="1679">
        <v>0</v>
      </c>
      <c r="AZ25" s="1679">
        <v>1.25</v>
      </c>
      <c r="BA25" s="2366"/>
      <c r="BB25" s="2355">
        <f>ROUND(G27*AX25,0)</f>
        <v>502775</v>
      </c>
      <c r="BC25" s="2355">
        <f>ROUND(AZ25*G27,0)</f>
        <v>105625</v>
      </c>
      <c r="BD25" s="2352">
        <v>55454</v>
      </c>
      <c r="BE25" s="2352">
        <v>0</v>
      </c>
      <c r="BF25" s="2352">
        <v>0</v>
      </c>
      <c r="BG25" s="2352">
        <v>0</v>
      </c>
      <c r="BH25" s="2352">
        <f>BC25-BD25</f>
        <v>50171</v>
      </c>
      <c r="BI25" s="2352">
        <v>0</v>
      </c>
      <c r="BJ25" s="2352">
        <v>0</v>
      </c>
      <c r="BK25" s="2355">
        <f>ROUND(G27*AY25,0)</f>
        <v>0</v>
      </c>
      <c r="BL25" s="2352">
        <v>0</v>
      </c>
      <c r="BM25" s="2352">
        <v>0</v>
      </c>
      <c r="BN25" s="2352">
        <v>0</v>
      </c>
      <c r="BO25" s="2352">
        <v>0</v>
      </c>
      <c r="BP25" s="2352">
        <v>0</v>
      </c>
      <c r="BQ25" s="2352">
        <v>0</v>
      </c>
      <c r="BR25" s="2352">
        <v>0</v>
      </c>
      <c r="BS25" s="2355">
        <f>ROUND(G27*AW25,0)</f>
        <v>608400</v>
      </c>
      <c r="BT25" s="2366">
        <f>ROUND(BB25/875,0)</f>
        <v>575</v>
      </c>
      <c r="BU25" s="2366">
        <f>ROUND(BT25*0.25,0)</f>
        <v>144</v>
      </c>
      <c r="BV25" s="2366">
        <f>BT25-BU25</f>
        <v>431</v>
      </c>
      <c r="BW25" s="2366">
        <f>ROUND(BT25*0.3,0)</f>
        <v>173</v>
      </c>
      <c r="BX25" s="2366">
        <f>BT25-BW25</f>
        <v>402</v>
      </c>
      <c r="BY25" s="2366">
        <f>ROUND(IF(((0.2*BV25)&gt;15),(0.2*BV25),0),0)</f>
        <v>86</v>
      </c>
      <c r="BZ25" s="2366">
        <f>ROUND(IF(((0.2*BX25)&gt;15),(0.2*BX25),0),0)</f>
        <v>80</v>
      </c>
      <c r="CA25" s="2366">
        <v>0</v>
      </c>
      <c r="CB25" s="2366">
        <f>BY25+CA25</f>
        <v>86</v>
      </c>
      <c r="CC25" s="2366">
        <f>CA25+BZ25</f>
        <v>80</v>
      </c>
      <c r="CD25" s="2367">
        <v>265</v>
      </c>
      <c r="CE25" s="3132">
        <f>BB25-Z25</f>
        <v>502775</v>
      </c>
      <c r="CF25" s="3112">
        <f>BC25-AA25</f>
        <v>105625</v>
      </c>
      <c r="CG25" s="3115">
        <f>BD25</f>
        <v>55454</v>
      </c>
      <c r="CH25" s="3115">
        <f>BE25-AB25</f>
        <v>0</v>
      </c>
      <c r="CI25" s="3115">
        <f>BF25</f>
        <v>0</v>
      </c>
      <c r="CJ25" s="3115">
        <f>BG25-AC25</f>
        <v>0</v>
      </c>
      <c r="CK25" s="3115">
        <f>BH25</f>
        <v>50171</v>
      </c>
      <c r="CL25" s="3115">
        <f>BI25-AD25</f>
        <v>0</v>
      </c>
      <c r="CM25" s="3115">
        <f t="shared" ref="CM25:CV25" si="19">BJ25-AF25</f>
        <v>0</v>
      </c>
      <c r="CN25" s="3112">
        <f t="shared" si="19"/>
        <v>0</v>
      </c>
      <c r="CO25" s="3115">
        <f t="shared" si="19"/>
        <v>0</v>
      </c>
      <c r="CP25" s="3115">
        <f t="shared" si="19"/>
        <v>0</v>
      </c>
      <c r="CQ25" s="3115">
        <f t="shared" si="19"/>
        <v>0</v>
      </c>
      <c r="CR25" s="3115">
        <f t="shared" si="19"/>
        <v>0</v>
      </c>
      <c r="CS25" s="3115">
        <f t="shared" si="19"/>
        <v>0</v>
      </c>
      <c r="CT25" s="3115">
        <f t="shared" si="19"/>
        <v>0</v>
      </c>
      <c r="CU25" s="3112">
        <f t="shared" si="19"/>
        <v>0</v>
      </c>
      <c r="CV25" s="3112">
        <f t="shared" si="19"/>
        <v>608400</v>
      </c>
      <c r="CW25" s="3125">
        <f>BT25-AQ25</f>
        <v>575</v>
      </c>
      <c r="CX25" s="3128">
        <f>BU25</f>
        <v>144</v>
      </c>
      <c r="CY25" s="3128">
        <f>CW25-CX25</f>
        <v>431</v>
      </c>
      <c r="CZ25" s="3128">
        <f>BW25</f>
        <v>173</v>
      </c>
      <c r="DA25" s="3128">
        <f>CW25-CZ25</f>
        <v>402</v>
      </c>
      <c r="DB25" s="3128">
        <f>BY25-AR25</f>
        <v>86</v>
      </c>
      <c r="DC25" s="3128">
        <f>BZ25-AR25</f>
        <v>80</v>
      </c>
      <c r="DD25" s="3128">
        <f>CB25-AS25</f>
        <v>-159</v>
      </c>
      <c r="DE25" s="3118">
        <f>CC25-AS25</f>
        <v>-165</v>
      </c>
      <c r="DF25" s="1630"/>
      <c r="DG25" s="1631"/>
      <c r="DH25" s="1631"/>
      <c r="DI25" s="1631"/>
      <c r="DJ25" s="1631"/>
      <c r="DK25" s="1631"/>
    </row>
    <row r="26" spans="1:115">
      <c r="A26" s="3105"/>
      <c r="B26" s="2558" t="str">
        <f t="shared" si="18"/>
        <v>1021970047</v>
      </c>
      <c r="C26" s="1682">
        <v>2197</v>
      </c>
      <c r="D26" s="1682" t="s">
        <v>1324</v>
      </c>
      <c r="E26" s="1683" t="s">
        <v>1325</v>
      </c>
      <c r="F26" s="1684" t="s">
        <v>1326</v>
      </c>
      <c r="G26" s="1686">
        <f>ROUND(62275/2,0)</f>
        <v>31138</v>
      </c>
      <c r="H26" s="1685" t="s">
        <v>1323</v>
      </c>
      <c r="I26" s="2369"/>
      <c r="J26" s="2388" t="s">
        <v>1294</v>
      </c>
      <c r="K26" s="1671">
        <f>V26/G26</f>
        <v>0</v>
      </c>
      <c r="L26" s="1687">
        <v>0</v>
      </c>
      <c r="M26" s="1687">
        <v>0</v>
      </c>
      <c r="N26" s="1687">
        <f>O26+P26+Q26+R26+S26+T26</f>
        <v>0</v>
      </c>
      <c r="O26" s="1688">
        <v>0</v>
      </c>
      <c r="P26" s="1688">
        <v>0</v>
      </c>
      <c r="Q26" s="1688">
        <v>0</v>
      </c>
      <c r="R26" s="1688">
        <v>0</v>
      </c>
      <c r="S26" s="1688">
        <v>0</v>
      </c>
      <c r="T26" s="1688">
        <v>0</v>
      </c>
      <c r="U26" s="1687">
        <v>0</v>
      </c>
      <c r="V26" s="1689">
        <f>N26+M26+L26+U26</f>
        <v>0</v>
      </c>
      <c r="W26" s="1687">
        <v>0</v>
      </c>
      <c r="X26" s="3108"/>
      <c r="Y26" s="3110"/>
      <c r="Z26" s="3113"/>
      <c r="AA26" s="3113"/>
      <c r="AB26" s="3116"/>
      <c r="AC26" s="3116"/>
      <c r="AD26" s="3116"/>
      <c r="AE26" s="3116"/>
      <c r="AF26" s="3113"/>
      <c r="AG26" s="3113"/>
      <c r="AH26" s="3116"/>
      <c r="AI26" s="3116"/>
      <c r="AJ26" s="3116"/>
      <c r="AK26" s="3116"/>
      <c r="AL26" s="3116"/>
      <c r="AM26" s="3116"/>
      <c r="AN26" s="3113"/>
      <c r="AO26" s="3113"/>
      <c r="AP26" s="3123"/>
      <c r="AQ26" s="3123"/>
      <c r="AR26" s="3123"/>
      <c r="AS26" s="3123"/>
      <c r="AT26" s="3126"/>
      <c r="AU26" s="1673"/>
      <c r="AV26" s="2369"/>
      <c r="AW26" s="2353"/>
      <c r="AX26" s="2369"/>
      <c r="AY26" s="2369"/>
      <c r="AZ26" s="2369"/>
      <c r="BA26" s="2353"/>
      <c r="BB26" s="2374"/>
      <c r="BC26" s="2374"/>
      <c r="BD26" s="2372"/>
      <c r="BE26" s="2372"/>
      <c r="BF26" s="2372"/>
      <c r="BG26" s="2372"/>
      <c r="BH26" s="2353"/>
      <c r="BI26" s="2353"/>
      <c r="BJ26" s="2353"/>
      <c r="BK26" s="2353"/>
      <c r="BL26" s="2353"/>
      <c r="BM26" s="2353"/>
      <c r="BN26" s="2353"/>
      <c r="BO26" s="2353"/>
      <c r="BP26" s="2353"/>
      <c r="BQ26" s="2353"/>
      <c r="BR26" s="2353"/>
      <c r="BS26" s="2353"/>
      <c r="BT26" s="2353"/>
      <c r="BU26" s="2353"/>
      <c r="BV26" s="2353"/>
      <c r="BW26" s="2353"/>
      <c r="BX26" s="2353"/>
      <c r="BY26" s="2353"/>
      <c r="BZ26" s="2353"/>
      <c r="CA26" s="2353"/>
      <c r="CB26" s="2353"/>
      <c r="CC26" s="2353"/>
      <c r="CD26" s="2357"/>
      <c r="CE26" s="3133"/>
      <c r="CF26" s="3123"/>
      <c r="CG26" s="3123"/>
      <c r="CH26" s="3123"/>
      <c r="CI26" s="3123"/>
      <c r="CJ26" s="3123"/>
      <c r="CK26" s="3123"/>
      <c r="CL26" s="3123"/>
      <c r="CM26" s="3123"/>
      <c r="CN26" s="3123"/>
      <c r="CO26" s="3123"/>
      <c r="CP26" s="3123"/>
      <c r="CQ26" s="3123"/>
      <c r="CR26" s="3123"/>
      <c r="CS26" s="3123"/>
      <c r="CT26" s="3123"/>
      <c r="CU26" s="3123"/>
      <c r="CV26" s="3123"/>
      <c r="CW26" s="3126"/>
      <c r="CX26" s="3129"/>
      <c r="CY26" s="3129"/>
      <c r="CZ26" s="3129"/>
      <c r="DA26" s="3129"/>
      <c r="DB26" s="3129"/>
      <c r="DC26" s="3129"/>
      <c r="DD26" s="3129"/>
      <c r="DE26" s="3119"/>
      <c r="DF26" s="1630"/>
      <c r="DG26" s="1631"/>
      <c r="DH26" s="1631"/>
      <c r="DI26" s="1631"/>
      <c r="DJ26" s="1631"/>
      <c r="DK26" s="1631"/>
    </row>
    <row r="27" spans="1:115">
      <c r="A27" s="3145"/>
      <c r="B27" s="2563"/>
      <c r="C27" s="1731"/>
      <c r="D27" s="1731"/>
      <c r="E27" s="1732"/>
      <c r="F27" s="1725" t="s">
        <v>1327</v>
      </c>
      <c r="G27" s="2385">
        <v>84500</v>
      </c>
      <c r="H27" s="2370" t="s">
        <v>1323</v>
      </c>
      <c r="I27" s="2370"/>
      <c r="J27" s="2354"/>
      <c r="K27" s="1726">
        <f>V27/G27</f>
        <v>0</v>
      </c>
      <c r="L27" s="2375">
        <f>SUM(L25:L26)</f>
        <v>0</v>
      </c>
      <c r="M27" s="2375">
        <f t="shared" ref="M27:W27" si="20">SUM(M25:M26)</f>
        <v>0</v>
      </c>
      <c r="N27" s="2375">
        <f t="shared" si="20"/>
        <v>0</v>
      </c>
      <c r="O27" s="2373">
        <f t="shared" si="20"/>
        <v>0</v>
      </c>
      <c r="P27" s="2373">
        <f t="shared" si="20"/>
        <v>0</v>
      </c>
      <c r="Q27" s="2373">
        <f t="shared" si="20"/>
        <v>0</v>
      </c>
      <c r="R27" s="2373">
        <f t="shared" si="20"/>
        <v>0</v>
      </c>
      <c r="S27" s="2373">
        <f t="shared" si="20"/>
        <v>0</v>
      </c>
      <c r="T27" s="2373">
        <f t="shared" si="20"/>
        <v>0</v>
      </c>
      <c r="U27" s="2375">
        <f t="shared" si="20"/>
        <v>0</v>
      </c>
      <c r="V27" s="2387">
        <f>SUM(V25:V26)</f>
        <v>0</v>
      </c>
      <c r="W27" s="2375">
        <f t="shared" si="20"/>
        <v>0</v>
      </c>
      <c r="X27" s="3146"/>
      <c r="Y27" s="3111"/>
      <c r="Z27" s="3149"/>
      <c r="AA27" s="3149"/>
      <c r="AB27" s="3150"/>
      <c r="AC27" s="3150"/>
      <c r="AD27" s="3150"/>
      <c r="AE27" s="3150"/>
      <c r="AF27" s="3149"/>
      <c r="AG27" s="3149"/>
      <c r="AH27" s="3150"/>
      <c r="AI27" s="3150"/>
      <c r="AJ27" s="3150"/>
      <c r="AK27" s="3150"/>
      <c r="AL27" s="3150"/>
      <c r="AM27" s="3150"/>
      <c r="AN27" s="3149"/>
      <c r="AO27" s="3149"/>
      <c r="AP27" s="3156"/>
      <c r="AQ27" s="3156"/>
      <c r="AR27" s="3156"/>
      <c r="AS27" s="3156"/>
      <c r="AT27" s="3161"/>
      <c r="AU27" s="1730"/>
      <c r="AV27" s="2370"/>
      <c r="AW27" s="2354"/>
      <c r="AX27" s="2370"/>
      <c r="AY27" s="2370"/>
      <c r="AZ27" s="2370"/>
      <c r="BA27" s="2354"/>
      <c r="BB27" s="2375"/>
      <c r="BC27" s="2375"/>
      <c r="BD27" s="2373"/>
      <c r="BE27" s="2373"/>
      <c r="BF27" s="2373"/>
      <c r="BG27" s="2373"/>
      <c r="BH27" s="2354"/>
      <c r="BI27" s="2354"/>
      <c r="BJ27" s="2354"/>
      <c r="BK27" s="2354"/>
      <c r="BL27" s="2354"/>
      <c r="BM27" s="2354"/>
      <c r="BN27" s="2354"/>
      <c r="BO27" s="2354"/>
      <c r="BP27" s="2354"/>
      <c r="BQ27" s="2354"/>
      <c r="BR27" s="2354"/>
      <c r="BS27" s="2354"/>
      <c r="BT27" s="2354"/>
      <c r="BU27" s="2354"/>
      <c r="BV27" s="2354"/>
      <c r="BW27" s="2354"/>
      <c r="BX27" s="2354"/>
      <c r="BY27" s="2354"/>
      <c r="BZ27" s="2354"/>
      <c r="CA27" s="2354"/>
      <c r="CB27" s="2354"/>
      <c r="CC27" s="2354"/>
      <c r="CD27" s="2358"/>
      <c r="CE27" s="3162"/>
      <c r="CF27" s="3156"/>
      <c r="CG27" s="3156"/>
      <c r="CH27" s="3156"/>
      <c r="CI27" s="3156"/>
      <c r="CJ27" s="3156"/>
      <c r="CK27" s="3156"/>
      <c r="CL27" s="3156"/>
      <c r="CM27" s="3156"/>
      <c r="CN27" s="3156"/>
      <c r="CO27" s="3156"/>
      <c r="CP27" s="3156"/>
      <c r="CQ27" s="3156"/>
      <c r="CR27" s="3156"/>
      <c r="CS27" s="3156"/>
      <c r="CT27" s="3156"/>
      <c r="CU27" s="3156"/>
      <c r="CV27" s="3156"/>
      <c r="CW27" s="3161"/>
      <c r="CX27" s="3163"/>
      <c r="CY27" s="3163"/>
      <c r="CZ27" s="3163"/>
      <c r="DA27" s="3163"/>
      <c r="DB27" s="3163"/>
      <c r="DC27" s="3163"/>
      <c r="DD27" s="3163"/>
      <c r="DE27" s="3164"/>
      <c r="DF27" s="1630"/>
      <c r="DG27" s="1631"/>
      <c r="DH27" s="1631"/>
      <c r="DI27" s="1631"/>
      <c r="DJ27" s="1631"/>
      <c r="DK27" s="1631"/>
    </row>
    <row r="28" spans="1:115" ht="15.75" thickBot="1">
      <c r="A28" s="2377"/>
      <c r="B28" s="2559"/>
      <c r="C28" s="1669"/>
      <c r="D28" s="1669"/>
      <c r="E28" s="1670"/>
      <c r="F28" s="2363"/>
      <c r="G28" s="1677"/>
      <c r="H28" s="2369"/>
      <c r="I28" s="2369"/>
      <c r="J28" s="2353"/>
      <c r="K28" s="1671"/>
      <c r="L28" s="2374"/>
      <c r="M28" s="2374"/>
      <c r="N28" s="2374"/>
      <c r="O28" s="2372"/>
      <c r="P28" s="2372"/>
      <c r="Q28" s="2372"/>
      <c r="R28" s="2372"/>
      <c r="S28" s="2372"/>
      <c r="T28" s="2372"/>
      <c r="U28" s="2374"/>
      <c r="V28" s="2386"/>
      <c r="W28" s="2374"/>
      <c r="X28" s="1672"/>
      <c r="Y28" s="2362"/>
      <c r="Z28" s="2374"/>
      <c r="AA28" s="2374"/>
      <c r="AB28" s="2372"/>
      <c r="AC28" s="2372"/>
      <c r="AD28" s="2372"/>
      <c r="AE28" s="2372"/>
      <c r="AF28" s="2372"/>
      <c r="AG28" s="2374"/>
      <c r="AH28" s="2372"/>
      <c r="AI28" s="2372"/>
      <c r="AJ28" s="2372"/>
      <c r="AK28" s="2372"/>
      <c r="AL28" s="2372"/>
      <c r="AM28" s="2372"/>
      <c r="AN28" s="2374"/>
      <c r="AO28" s="2374"/>
      <c r="AP28" s="2359"/>
      <c r="AQ28" s="2353"/>
      <c r="AR28" s="2353"/>
      <c r="AS28" s="2353"/>
      <c r="AT28" s="2357"/>
      <c r="AU28" s="1673"/>
      <c r="AV28" s="2369"/>
      <c r="AW28" s="1671"/>
      <c r="AX28" s="1671"/>
      <c r="AY28" s="1671"/>
      <c r="AZ28" s="1671"/>
      <c r="BA28" s="2353"/>
      <c r="BB28" s="2374"/>
      <c r="BC28" s="2374"/>
      <c r="BD28" s="2372"/>
      <c r="BE28" s="2372"/>
      <c r="BF28" s="2372"/>
      <c r="BG28" s="2372"/>
      <c r="BH28" s="2372"/>
      <c r="BI28" s="2372"/>
      <c r="BJ28" s="2372"/>
      <c r="BK28" s="2374"/>
      <c r="BL28" s="2372"/>
      <c r="BM28" s="2372"/>
      <c r="BN28" s="2372"/>
      <c r="BO28" s="2372"/>
      <c r="BP28" s="2372"/>
      <c r="BQ28" s="2372"/>
      <c r="BR28" s="2372"/>
      <c r="BS28" s="2374"/>
      <c r="BT28" s="2353"/>
      <c r="BU28" s="2353"/>
      <c r="BV28" s="2353"/>
      <c r="BW28" s="2353"/>
      <c r="BX28" s="2353"/>
      <c r="BY28" s="2353"/>
      <c r="BZ28" s="2353"/>
      <c r="CA28" s="2353"/>
      <c r="CB28" s="2353"/>
      <c r="CC28" s="2353"/>
      <c r="CD28" s="2357"/>
      <c r="CE28" s="2388"/>
      <c r="CF28" s="2374"/>
      <c r="CG28" s="2372"/>
      <c r="CH28" s="2372"/>
      <c r="CI28" s="2372"/>
      <c r="CJ28" s="2372"/>
      <c r="CK28" s="2372"/>
      <c r="CL28" s="2372"/>
      <c r="CM28" s="2372"/>
      <c r="CN28" s="2374"/>
      <c r="CO28" s="2372"/>
      <c r="CP28" s="2372"/>
      <c r="CQ28" s="2372"/>
      <c r="CR28" s="2372"/>
      <c r="CS28" s="2372"/>
      <c r="CT28" s="2372"/>
      <c r="CU28" s="2374"/>
      <c r="CV28" s="2374"/>
      <c r="CW28" s="2386"/>
      <c r="CX28" s="2350"/>
      <c r="CY28" s="2350"/>
      <c r="CZ28" s="2350"/>
      <c r="DA28" s="2350"/>
      <c r="DB28" s="2350"/>
      <c r="DC28" s="2350"/>
      <c r="DD28" s="2363"/>
      <c r="DE28" s="2365"/>
      <c r="DF28" s="1630"/>
      <c r="DG28" s="1631"/>
      <c r="DH28" s="1631"/>
      <c r="DI28" s="1631"/>
      <c r="DJ28" s="1631"/>
      <c r="DK28" s="1631"/>
    </row>
    <row r="29" spans="1:115" ht="38.25" customHeight="1">
      <c r="A29" s="1733">
        <v>5</v>
      </c>
      <c r="B29" s="2558" t="str">
        <f>1&amp;"0"&amp;C29&amp;IF(LEN(SUBSTITUTE(UPPER(D29),"P/O ",""))=1,"000"&amp;SUBSTITUTE(UPPER(D29),"P/O ",""),IF(LEN(SUBSTITUTE(UPPER(D29),"P/O ",""))=2,"00"&amp;SUBSTITUTE(UPPER(D29),"P/O ",""),IF(LEN(SUBSTITUTE(UPPER(D29),"P/O ",""))=3,"0"&amp;SUBSTITUTE(UPPER(D29),"P/O ",""),SUBSTITUTE(UPPER(D29),"P/O ",""))))</f>
        <v>1022300021</v>
      </c>
      <c r="C29" s="1734">
        <v>2230</v>
      </c>
      <c r="D29" s="1734">
        <v>21</v>
      </c>
      <c r="E29" s="1735" t="s">
        <v>1328</v>
      </c>
      <c r="F29" s="1736" t="s">
        <v>1329</v>
      </c>
      <c r="G29" s="1737">
        <v>15410</v>
      </c>
      <c r="H29" s="1738" t="s">
        <v>704</v>
      </c>
      <c r="I29" s="1739"/>
      <c r="J29" s="1740" t="s">
        <v>1330</v>
      </c>
      <c r="K29" s="1741">
        <f>V29/G29</f>
        <v>0</v>
      </c>
      <c r="L29" s="1742">
        <v>0</v>
      </c>
      <c r="M29" s="1742">
        <v>0</v>
      </c>
      <c r="N29" s="1742">
        <f>O29+P29+Q29+R29+S29+T29</f>
        <v>0</v>
      </c>
      <c r="O29" s="1743">
        <v>0</v>
      </c>
      <c r="P29" s="1743">
        <v>0</v>
      </c>
      <c r="Q29" s="1743">
        <v>0</v>
      </c>
      <c r="R29" s="1743">
        <v>0</v>
      </c>
      <c r="S29" s="1743">
        <v>0</v>
      </c>
      <c r="T29" s="1743">
        <v>0</v>
      </c>
      <c r="U29" s="1742">
        <v>0</v>
      </c>
      <c r="V29" s="1744">
        <f>N29+M29+L29+U29</f>
        <v>0</v>
      </c>
      <c r="W29" s="1742">
        <v>0</v>
      </c>
      <c r="X29" s="1745" t="s">
        <v>1289</v>
      </c>
      <c r="Y29" s="1746" t="s">
        <v>1023</v>
      </c>
      <c r="Z29" s="1742">
        <v>0</v>
      </c>
      <c r="AA29" s="1742">
        <f>AB29+AC29+AD29+AE29+AF29</f>
        <v>0</v>
      </c>
      <c r="AB29" s="1743">
        <v>0</v>
      </c>
      <c r="AC29" s="1743">
        <v>0</v>
      </c>
      <c r="AD29" s="1743">
        <v>0</v>
      </c>
      <c r="AE29" s="1743">
        <v>0</v>
      </c>
      <c r="AF29" s="1743">
        <v>0</v>
      </c>
      <c r="AG29" s="1742">
        <f>AH29+AI29+AJ29+AK29+AL29+AM29+AN29</f>
        <v>0</v>
      </c>
      <c r="AH29" s="1743">
        <v>0</v>
      </c>
      <c r="AI29" s="1743">
        <v>0</v>
      </c>
      <c r="AJ29" s="1743">
        <v>0</v>
      </c>
      <c r="AK29" s="1743">
        <v>0</v>
      </c>
      <c r="AL29" s="1743">
        <v>0</v>
      </c>
      <c r="AM29" s="1743">
        <v>0</v>
      </c>
      <c r="AN29" s="1742">
        <v>0</v>
      </c>
      <c r="AO29" s="1742">
        <f>AG29+Z29+AA29</f>
        <v>0</v>
      </c>
      <c r="AP29" s="1747">
        <f>AO29/G29</f>
        <v>0</v>
      </c>
      <c r="AQ29" s="1742">
        <v>0</v>
      </c>
      <c r="AR29" s="1748">
        <v>0</v>
      </c>
      <c r="AS29" s="1748">
        <v>88</v>
      </c>
      <c r="AT29" s="1749">
        <v>0</v>
      </c>
      <c r="AU29" s="1750" t="s">
        <v>1331</v>
      </c>
      <c r="AV29" s="1739"/>
      <c r="AW29" s="1741">
        <v>7.2</v>
      </c>
      <c r="AX29" s="1741">
        <f>AW29-AY29</f>
        <v>4.2</v>
      </c>
      <c r="AY29" s="1741">
        <v>3</v>
      </c>
      <c r="AZ29" s="1741">
        <v>0</v>
      </c>
      <c r="BA29" s="1748"/>
      <c r="BB29" s="1742">
        <f>ROUND(G29*AX29,0)</f>
        <v>64722</v>
      </c>
      <c r="BC29" s="1742">
        <f>ROUND(AZ29*G29,0)</f>
        <v>0</v>
      </c>
      <c r="BD29" s="1743">
        <v>0</v>
      </c>
      <c r="BE29" s="1743">
        <v>0</v>
      </c>
      <c r="BF29" s="1743">
        <v>0</v>
      </c>
      <c r="BG29" s="1743">
        <v>0</v>
      </c>
      <c r="BH29" s="1743">
        <v>0</v>
      </c>
      <c r="BI29" s="1743">
        <f>BC29</f>
        <v>0</v>
      </c>
      <c r="BJ29" s="1743">
        <v>0</v>
      </c>
      <c r="BK29" s="1742">
        <f>ROUND(G29*AY29,0)</f>
        <v>46230</v>
      </c>
      <c r="BL29" s="1743">
        <f>15000</f>
        <v>15000</v>
      </c>
      <c r="BM29" s="1743">
        <v>0</v>
      </c>
      <c r="BN29" s="1743">
        <f>BK29-BL29</f>
        <v>31230</v>
      </c>
      <c r="BO29" s="1743">
        <v>0</v>
      </c>
      <c r="BP29" s="1743">
        <v>0</v>
      </c>
      <c r="BQ29" s="1743">
        <v>0</v>
      </c>
      <c r="BR29" s="1743">
        <v>0</v>
      </c>
      <c r="BS29" s="1742">
        <f>ROUND(G29*AW29,0)</f>
        <v>110952</v>
      </c>
      <c r="BT29" s="1748">
        <f>ROUND(BB29/875,0)</f>
        <v>74</v>
      </c>
      <c r="BU29" s="1748">
        <f>ROUND(BT29*0.25,0)</f>
        <v>19</v>
      </c>
      <c r="BV29" s="1748">
        <f>BT29-BU29</f>
        <v>55</v>
      </c>
      <c r="BW29" s="1748">
        <f>ROUND(BT29*0.3,0)</f>
        <v>22</v>
      </c>
      <c r="BX29" s="1748">
        <f>BT29-BW29</f>
        <v>52</v>
      </c>
      <c r="BY29" s="1748">
        <f>ROUND(IF(((0.2*BV29)&gt;15),(0.2*BV29),0),0)</f>
        <v>0</v>
      </c>
      <c r="BZ29" s="1748">
        <f>ROUND(IF(((0.2*BX29)&gt;15),(0.2*BX29),0),0)</f>
        <v>0</v>
      </c>
      <c r="CA29" s="1748">
        <v>0</v>
      </c>
      <c r="CB29" s="1748">
        <v>0</v>
      </c>
      <c r="CC29" s="1748">
        <v>0</v>
      </c>
      <c r="CD29" s="1749">
        <v>165</v>
      </c>
      <c r="CE29" s="1740">
        <f>BB29-Z29</f>
        <v>64722</v>
      </c>
      <c r="CF29" s="1742">
        <f>BC29-AA29</f>
        <v>0</v>
      </c>
      <c r="CG29" s="1743">
        <f>BD29</f>
        <v>0</v>
      </c>
      <c r="CH29" s="1743">
        <f>BE29-AB29</f>
        <v>0</v>
      </c>
      <c r="CI29" s="1743">
        <f>BF29</f>
        <v>0</v>
      </c>
      <c r="CJ29" s="1743">
        <f>BG29-AC29</f>
        <v>0</v>
      </c>
      <c r="CK29" s="1743">
        <f>BH29</f>
        <v>0</v>
      </c>
      <c r="CL29" s="1743">
        <f>BI29-AD29</f>
        <v>0</v>
      </c>
      <c r="CM29" s="1743">
        <f t="shared" ref="CM29:CV29" si="21">BJ29-AF29</f>
        <v>0</v>
      </c>
      <c r="CN29" s="1742">
        <f t="shared" si="21"/>
        <v>46230</v>
      </c>
      <c r="CO29" s="1743">
        <f t="shared" si="21"/>
        <v>15000</v>
      </c>
      <c r="CP29" s="1743">
        <f t="shared" si="21"/>
        <v>0</v>
      </c>
      <c r="CQ29" s="1743">
        <f t="shared" si="21"/>
        <v>31230</v>
      </c>
      <c r="CR29" s="1743">
        <f t="shared" si="21"/>
        <v>0</v>
      </c>
      <c r="CS29" s="1743">
        <f t="shared" si="21"/>
        <v>0</v>
      </c>
      <c r="CT29" s="1743">
        <f t="shared" si="21"/>
        <v>0</v>
      </c>
      <c r="CU29" s="1742">
        <f t="shared" si="21"/>
        <v>0</v>
      </c>
      <c r="CV29" s="1742">
        <f t="shared" si="21"/>
        <v>110952</v>
      </c>
      <c r="CW29" s="1744">
        <f>BT29-AQ29</f>
        <v>74</v>
      </c>
      <c r="CX29" s="1751">
        <f>BU29</f>
        <v>19</v>
      </c>
      <c r="CY29" s="1751">
        <f>CW29-CX29</f>
        <v>55</v>
      </c>
      <c r="CZ29" s="1751">
        <f>BW29</f>
        <v>22</v>
      </c>
      <c r="DA29" s="1751">
        <f>CW29-CZ29</f>
        <v>52</v>
      </c>
      <c r="DB29" s="1751">
        <f>BY29-AR29</f>
        <v>0</v>
      </c>
      <c r="DC29" s="1751">
        <f>BZ29-AR29</f>
        <v>0</v>
      </c>
      <c r="DD29" s="1752">
        <f>CB29-AS29</f>
        <v>-88</v>
      </c>
      <c r="DE29" s="1753">
        <f>CC29-AS29</f>
        <v>-88</v>
      </c>
      <c r="DF29" s="1630"/>
      <c r="DG29" s="1631"/>
      <c r="DH29" s="1631"/>
      <c r="DI29" s="1631"/>
      <c r="DJ29" s="1631"/>
      <c r="DK29" s="1631"/>
    </row>
    <row r="30" spans="1:115" ht="15.75" thickBot="1">
      <c r="A30" s="2377"/>
      <c r="B30" s="2559"/>
      <c r="C30" s="1669"/>
      <c r="D30" s="1669"/>
      <c r="E30" s="1670"/>
      <c r="F30" s="2363"/>
      <c r="G30" s="2384"/>
      <c r="H30" s="2369"/>
      <c r="I30" s="2369"/>
      <c r="J30" s="2353"/>
      <c r="K30" s="1671"/>
      <c r="L30" s="2374"/>
      <c r="M30" s="2374"/>
      <c r="N30" s="2374"/>
      <c r="O30" s="2372"/>
      <c r="P30" s="2372"/>
      <c r="Q30" s="2372"/>
      <c r="R30" s="2372"/>
      <c r="S30" s="2372"/>
      <c r="T30" s="2372"/>
      <c r="U30" s="2374"/>
      <c r="V30" s="2386"/>
      <c r="W30" s="2374"/>
      <c r="X30" s="1672"/>
      <c r="Y30" s="2362"/>
      <c r="Z30" s="2374"/>
      <c r="AA30" s="2374"/>
      <c r="AB30" s="2372"/>
      <c r="AC30" s="2372"/>
      <c r="AD30" s="2372"/>
      <c r="AE30" s="2372"/>
      <c r="AF30" s="2372"/>
      <c r="AG30" s="2374"/>
      <c r="AH30" s="2372"/>
      <c r="AI30" s="2372"/>
      <c r="AJ30" s="2372"/>
      <c r="AK30" s="2372"/>
      <c r="AL30" s="2372"/>
      <c r="AM30" s="2372"/>
      <c r="AN30" s="2374"/>
      <c r="AO30" s="2374"/>
      <c r="AP30" s="2359"/>
      <c r="AQ30" s="2353"/>
      <c r="AR30" s="2353"/>
      <c r="AS30" s="2353"/>
      <c r="AT30" s="2357"/>
      <c r="AU30" s="1673"/>
      <c r="AV30" s="2369"/>
      <c r="AW30" s="1671"/>
      <c r="AX30" s="1671"/>
      <c r="AY30" s="1671"/>
      <c r="AZ30" s="1671"/>
      <c r="BA30" s="2353"/>
      <c r="BB30" s="2374"/>
      <c r="BC30" s="2374"/>
      <c r="BD30" s="2372"/>
      <c r="BE30" s="2372"/>
      <c r="BF30" s="2372"/>
      <c r="BG30" s="2372"/>
      <c r="BH30" s="2372"/>
      <c r="BI30" s="2372"/>
      <c r="BJ30" s="2372"/>
      <c r="BK30" s="2374"/>
      <c r="BL30" s="2372"/>
      <c r="BM30" s="2372"/>
      <c r="BN30" s="2372"/>
      <c r="BO30" s="2372"/>
      <c r="BP30" s="2372"/>
      <c r="BQ30" s="2372"/>
      <c r="BR30" s="2372"/>
      <c r="BS30" s="2374"/>
      <c r="BT30" s="2353"/>
      <c r="BU30" s="2353"/>
      <c r="BV30" s="2353"/>
      <c r="BW30" s="2353"/>
      <c r="BX30" s="2353"/>
      <c r="BY30" s="2353"/>
      <c r="BZ30" s="2353"/>
      <c r="CA30" s="2353"/>
      <c r="CB30" s="2353"/>
      <c r="CC30" s="2353"/>
      <c r="CD30" s="2357"/>
      <c r="CE30" s="2388"/>
      <c r="CF30" s="2374"/>
      <c r="CG30" s="2372"/>
      <c r="CH30" s="2372"/>
      <c r="CI30" s="2372"/>
      <c r="CJ30" s="2372"/>
      <c r="CK30" s="2372"/>
      <c r="CL30" s="2372"/>
      <c r="CM30" s="2372"/>
      <c r="CN30" s="2374"/>
      <c r="CO30" s="2372"/>
      <c r="CP30" s="2372"/>
      <c r="CQ30" s="2372"/>
      <c r="CR30" s="2372"/>
      <c r="CS30" s="2372"/>
      <c r="CT30" s="2372"/>
      <c r="CU30" s="2374"/>
      <c r="CV30" s="2374"/>
      <c r="CW30" s="2386"/>
      <c r="CX30" s="2350"/>
      <c r="CY30" s="2350"/>
      <c r="CZ30" s="2350"/>
      <c r="DA30" s="2350"/>
      <c r="DB30" s="2350"/>
      <c r="DC30" s="2350"/>
      <c r="DD30" s="2363"/>
      <c r="DE30" s="2365"/>
      <c r="DF30" s="1630"/>
      <c r="DG30" s="1631"/>
      <c r="DH30" s="1631"/>
      <c r="DI30" s="1631"/>
      <c r="DJ30" s="1631"/>
      <c r="DK30" s="1631"/>
    </row>
    <row r="31" spans="1:115" ht="15.75" thickBot="1">
      <c r="A31" s="3104">
        <v>6</v>
      </c>
      <c r="B31" s="2558" t="str">
        <f t="shared" ref="B31:B32" si="22">1&amp;"0"&amp;C31&amp;IF(LEN(SUBSTITUTE(UPPER(D31),"P/O ",""))=1,"000"&amp;SUBSTITUTE(UPPER(D31),"P/O ",""),IF(LEN(SUBSTITUTE(UPPER(D31),"P/O ",""))=2,"00"&amp;SUBSTITUTE(UPPER(D31),"P/O ",""),IF(LEN(SUBSTITUTE(UPPER(D31),"P/O ",""))=3,"0"&amp;SUBSTITUTE(UPPER(D31),"P/O ",""),SUBSTITUTE(UPPER(D31),"P/O ",""))))</f>
        <v>1021880010</v>
      </c>
      <c r="C31" s="1674">
        <v>2188</v>
      </c>
      <c r="D31" s="1674">
        <v>10</v>
      </c>
      <c r="E31" s="1675" t="s">
        <v>1332</v>
      </c>
      <c r="F31" s="1676" t="s">
        <v>1333</v>
      </c>
      <c r="G31" s="1677">
        <v>39307</v>
      </c>
      <c r="H31" s="1678" t="s">
        <v>947</v>
      </c>
      <c r="I31" s="2379"/>
      <c r="J31" s="2366" t="s">
        <v>1334</v>
      </c>
      <c r="K31" s="1679">
        <f>V31/G31</f>
        <v>0</v>
      </c>
      <c r="L31" s="2355">
        <v>0</v>
      </c>
      <c r="M31" s="2355">
        <v>0</v>
      </c>
      <c r="N31" s="2355">
        <f>O31+P31+Q31+R31+S31+T31</f>
        <v>0</v>
      </c>
      <c r="O31" s="2352">
        <v>0</v>
      </c>
      <c r="P31" s="2352">
        <v>0</v>
      </c>
      <c r="Q31" s="2352">
        <v>0</v>
      </c>
      <c r="R31" s="2352">
        <v>0</v>
      </c>
      <c r="S31" s="2352">
        <v>0</v>
      </c>
      <c r="T31" s="2352">
        <v>0</v>
      </c>
      <c r="U31" s="2355">
        <v>0</v>
      </c>
      <c r="V31" s="2356">
        <f>N31+M31+L31+U31</f>
        <v>0</v>
      </c>
      <c r="W31" s="2355">
        <v>0</v>
      </c>
      <c r="X31" s="3107" t="s">
        <v>1289</v>
      </c>
      <c r="Y31" s="3109" t="s">
        <v>1023</v>
      </c>
      <c r="Z31" s="3112">
        <v>0</v>
      </c>
      <c r="AA31" s="3112">
        <f>AB31+AC31+AD31+AE31+AF31</f>
        <v>0</v>
      </c>
      <c r="AB31" s="3115">
        <v>0</v>
      </c>
      <c r="AC31" s="3115">
        <v>0</v>
      </c>
      <c r="AD31" s="3115">
        <v>0</v>
      </c>
      <c r="AE31" s="3115">
        <v>0</v>
      </c>
      <c r="AF31" s="3115">
        <v>0</v>
      </c>
      <c r="AG31" s="3112">
        <f>AH31+AI31+AJ31+AK31+AL31+AM31+AN31</f>
        <v>0</v>
      </c>
      <c r="AH31" s="3115">
        <v>0</v>
      </c>
      <c r="AI31" s="3115">
        <v>0</v>
      </c>
      <c r="AJ31" s="3115">
        <v>0</v>
      </c>
      <c r="AK31" s="3115">
        <v>0</v>
      </c>
      <c r="AL31" s="3115">
        <v>0</v>
      </c>
      <c r="AM31" s="3115">
        <v>0</v>
      </c>
      <c r="AN31" s="3112">
        <v>0</v>
      </c>
      <c r="AO31" s="3112">
        <f>AG31+Z31+AA31</f>
        <v>0</v>
      </c>
      <c r="AP31" s="3135">
        <f>AO31/G31</f>
        <v>0</v>
      </c>
      <c r="AQ31" s="3112">
        <v>0</v>
      </c>
      <c r="AR31" s="3112">
        <v>0</v>
      </c>
      <c r="AS31" s="3112">
        <v>149</v>
      </c>
      <c r="AT31" s="3125">
        <v>0</v>
      </c>
      <c r="AU31" s="1680" t="s">
        <v>1335</v>
      </c>
      <c r="AV31" s="2379" t="s">
        <v>706</v>
      </c>
      <c r="AW31" s="2371" t="s">
        <v>1336</v>
      </c>
      <c r="AX31" s="1679" t="s">
        <v>1337</v>
      </c>
      <c r="AY31" s="1679">
        <v>0.75</v>
      </c>
      <c r="AZ31" s="1679">
        <v>0.25</v>
      </c>
      <c r="BA31" s="2366"/>
      <c r="BB31" s="2355">
        <f>ROUND(18983*7.5,0)+ROUND(57854*6.2,0)</f>
        <v>501068</v>
      </c>
      <c r="BC31" s="2355">
        <f>ROUND(G34*AZ31,0)</f>
        <v>19209</v>
      </c>
      <c r="BD31" s="2352">
        <f>BC31</f>
        <v>19209</v>
      </c>
      <c r="BE31" s="2352">
        <v>0</v>
      </c>
      <c r="BF31" s="2352">
        <v>0</v>
      </c>
      <c r="BG31" s="2352">
        <v>0</v>
      </c>
      <c r="BH31" s="2352">
        <v>0</v>
      </c>
      <c r="BI31" s="2352">
        <v>0</v>
      </c>
      <c r="BJ31" s="2352">
        <v>0</v>
      </c>
      <c r="BK31" s="2355">
        <f>ROUND(G34*AY31,0)</f>
        <v>57628</v>
      </c>
      <c r="BL31" s="2352">
        <f>BK31</f>
        <v>57628</v>
      </c>
      <c r="BM31" s="2352">
        <v>0</v>
      </c>
      <c r="BN31" s="2352">
        <v>0</v>
      </c>
      <c r="BO31" s="2352">
        <v>0</v>
      </c>
      <c r="BP31" s="2352">
        <v>0</v>
      </c>
      <c r="BQ31" s="2352">
        <v>0</v>
      </c>
      <c r="BR31" s="2352">
        <v>0</v>
      </c>
      <c r="BS31" s="2355">
        <f>ROUND(8.5*18983,0)+ROUND(7.2*57854,0)</f>
        <v>577905</v>
      </c>
      <c r="BT31" s="2366">
        <f>ROUND(BB31/875,0)</f>
        <v>573</v>
      </c>
      <c r="BU31" s="2366">
        <f>ROUND(BT31*0.25,0)</f>
        <v>143</v>
      </c>
      <c r="BV31" s="2366">
        <f>BT31-BU31</f>
        <v>430</v>
      </c>
      <c r="BW31" s="2366">
        <f>ROUND(BT31*0.3,0)</f>
        <v>172</v>
      </c>
      <c r="BX31" s="2366">
        <f>BT31-BW31</f>
        <v>401</v>
      </c>
      <c r="BY31" s="2366">
        <f>ROUND(IF(((0.2*BV31)&gt;15),(0.2*BV31),0),0)</f>
        <v>86</v>
      </c>
      <c r="BZ31" s="2366">
        <f>ROUND(IF(((0.2*BX31)&gt;15),(0.2*BX31),0),0)</f>
        <v>80</v>
      </c>
      <c r="CA31" s="2366">
        <v>0</v>
      </c>
      <c r="CB31" s="2366">
        <f>BY31</f>
        <v>86</v>
      </c>
      <c r="CC31" s="2366">
        <f>BZ31</f>
        <v>80</v>
      </c>
      <c r="CD31" s="2367">
        <v>295</v>
      </c>
      <c r="CE31" s="3132">
        <f>BB31-Z31</f>
        <v>501068</v>
      </c>
      <c r="CF31" s="3112">
        <f>BC31-AA31</f>
        <v>19209</v>
      </c>
      <c r="CG31" s="3115">
        <f>BD31</f>
        <v>19209</v>
      </c>
      <c r="CH31" s="3115">
        <f>BE31-AB31</f>
        <v>0</v>
      </c>
      <c r="CI31" s="3115">
        <f>BF31</f>
        <v>0</v>
      </c>
      <c r="CJ31" s="3115">
        <f>BG31-AC31</f>
        <v>0</v>
      </c>
      <c r="CK31" s="3115">
        <f>BH31</f>
        <v>0</v>
      </c>
      <c r="CL31" s="3115">
        <f>BI31-AD31</f>
        <v>0</v>
      </c>
      <c r="CM31" s="3115">
        <f t="shared" ref="CM31:CV31" si="23">BJ31-AF31</f>
        <v>0</v>
      </c>
      <c r="CN31" s="3112">
        <f t="shared" si="23"/>
        <v>57628</v>
      </c>
      <c r="CO31" s="3115">
        <f t="shared" si="23"/>
        <v>57628</v>
      </c>
      <c r="CP31" s="3115">
        <f t="shared" si="23"/>
        <v>0</v>
      </c>
      <c r="CQ31" s="3115">
        <f t="shared" si="23"/>
        <v>0</v>
      </c>
      <c r="CR31" s="3165">
        <f t="shared" si="23"/>
        <v>0</v>
      </c>
      <c r="CS31" s="3115">
        <f t="shared" si="23"/>
        <v>0</v>
      </c>
      <c r="CT31" s="3115">
        <f t="shared" si="23"/>
        <v>0</v>
      </c>
      <c r="CU31" s="3112">
        <f t="shared" si="23"/>
        <v>0</v>
      </c>
      <c r="CV31" s="3112">
        <f t="shared" si="23"/>
        <v>577905</v>
      </c>
      <c r="CW31" s="3125">
        <f>BT31-AQ31</f>
        <v>573</v>
      </c>
      <c r="CX31" s="3128">
        <f>BU31</f>
        <v>143</v>
      </c>
      <c r="CY31" s="3128">
        <f>CW31-CX31</f>
        <v>430</v>
      </c>
      <c r="CZ31" s="3128">
        <f>BW31</f>
        <v>172</v>
      </c>
      <c r="DA31" s="3128">
        <f>CW31-CZ31</f>
        <v>401</v>
      </c>
      <c r="DB31" s="3128">
        <f>BY31-AR31</f>
        <v>86</v>
      </c>
      <c r="DC31" s="3128">
        <f>BZ31-AR31</f>
        <v>80</v>
      </c>
      <c r="DD31" s="3128">
        <f>CB31-AS31</f>
        <v>-63</v>
      </c>
      <c r="DE31" s="3118">
        <f>CC31-AS31</f>
        <v>-69</v>
      </c>
      <c r="DF31" s="1630"/>
      <c r="DG31" s="1631"/>
      <c r="DH31" s="1631"/>
      <c r="DI31" s="1631"/>
      <c r="DJ31" s="1631"/>
      <c r="DK31" s="1631"/>
    </row>
    <row r="32" spans="1:115">
      <c r="A32" s="3105"/>
      <c r="B32" s="2558" t="str">
        <f t="shared" si="22"/>
        <v>1021880001</v>
      </c>
      <c r="C32" s="1682">
        <v>2188</v>
      </c>
      <c r="D32" s="1682">
        <v>1</v>
      </c>
      <c r="E32" s="1683" t="s">
        <v>1338</v>
      </c>
      <c r="F32" s="1684" t="s">
        <v>1333</v>
      </c>
      <c r="G32" s="2384">
        <v>32268</v>
      </c>
      <c r="H32" s="1685" t="s">
        <v>947</v>
      </c>
      <c r="I32" s="2369"/>
      <c r="J32" s="2353" t="s">
        <v>1334</v>
      </c>
      <c r="K32" s="1671">
        <f>V32/G32</f>
        <v>0</v>
      </c>
      <c r="L32" s="2374">
        <v>0</v>
      </c>
      <c r="M32" s="2374">
        <v>0</v>
      </c>
      <c r="N32" s="2374">
        <f>O32+P32+Q32+R32+S32+T32</f>
        <v>0</v>
      </c>
      <c r="O32" s="2372">
        <v>0</v>
      </c>
      <c r="P32" s="2372">
        <v>0</v>
      </c>
      <c r="Q32" s="2372">
        <v>0</v>
      </c>
      <c r="R32" s="2372">
        <v>0</v>
      </c>
      <c r="S32" s="2372">
        <v>0</v>
      </c>
      <c r="T32" s="2372">
        <v>0</v>
      </c>
      <c r="U32" s="2374">
        <v>0</v>
      </c>
      <c r="V32" s="2386">
        <f>N32+M32+L32+U32</f>
        <v>0</v>
      </c>
      <c r="W32" s="1687">
        <v>0</v>
      </c>
      <c r="X32" s="3108"/>
      <c r="Y32" s="3110"/>
      <c r="Z32" s="3113"/>
      <c r="AA32" s="3113"/>
      <c r="AB32" s="3116"/>
      <c r="AC32" s="3116"/>
      <c r="AD32" s="3116"/>
      <c r="AE32" s="3116"/>
      <c r="AF32" s="3113"/>
      <c r="AG32" s="3113"/>
      <c r="AH32" s="3116"/>
      <c r="AI32" s="3116"/>
      <c r="AJ32" s="3116"/>
      <c r="AK32" s="3116"/>
      <c r="AL32" s="3116"/>
      <c r="AM32" s="3116"/>
      <c r="AN32" s="3113"/>
      <c r="AO32" s="3113"/>
      <c r="AP32" s="3123"/>
      <c r="AQ32" s="3123"/>
      <c r="AR32" s="3123"/>
      <c r="AS32" s="3123"/>
      <c r="AT32" s="3126"/>
      <c r="AU32" s="1673"/>
      <c r="AV32" s="2369"/>
      <c r="AW32" s="2353"/>
      <c r="AX32" s="2369"/>
      <c r="AY32" s="2369"/>
      <c r="AZ32" s="2369"/>
      <c r="BA32" s="2353"/>
      <c r="BB32" s="2374"/>
      <c r="BC32" s="2374"/>
      <c r="BD32" s="2372"/>
      <c r="BE32" s="2372"/>
      <c r="BF32" s="2372"/>
      <c r="BG32" s="2372"/>
      <c r="BH32" s="2372"/>
      <c r="BI32" s="2372"/>
      <c r="BJ32" s="2353"/>
      <c r="BK32" s="2374"/>
      <c r="BL32" s="2353"/>
      <c r="BM32" s="2353"/>
      <c r="BN32" s="2353"/>
      <c r="BO32" s="2353"/>
      <c r="BP32" s="2353"/>
      <c r="BQ32" s="2372"/>
      <c r="BR32" s="2372"/>
      <c r="BS32" s="2374"/>
      <c r="BT32" s="2353"/>
      <c r="BU32" s="2353"/>
      <c r="BV32" s="2353"/>
      <c r="BW32" s="2353"/>
      <c r="BX32" s="2353"/>
      <c r="BY32" s="2353"/>
      <c r="BZ32" s="2353"/>
      <c r="CA32" s="2353"/>
      <c r="CB32" s="2353"/>
      <c r="CC32" s="2353"/>
      <c r="CD32" s="2357"/>
      <c r="CE32" s="3133"/>
      <c r="CF32" s="3123"/>
      <c r="CG32" s="3123"/>
      <c r="CH32" s="3123"/>
      <c r="CI32" s="3123"/>
      <c r="CJ32" s="3123"/>
      <c r="CK32" s="3123"/>
      <c r="CL32" s="3123"/>
      <c r="CM32" s="3123"/>
      <c r="CN32" s="3123"/>
      <c r="CO32" s="3123"/>
      <c r="CP32" s="3123"/>
      <c r="CQ32" s="3123"/>
      <c r="CR32" s="3166"/>
      <c r="CS32" s="3123"/>
      <c r="CT32" s="3123"/>
      <c r="CU32" s="3123"/>
      <c r="CV32" s="3123"/>
      <c r="CW32" s="3126"/>
      <c r="CX32" s="3129"/>
      <c r="CY32" s="3129"/>
      <c r="CZ32" s="3129"/>
      <c r="DA32" s="3129"/>
      <c r="DB32" s="3129"/>
      <c r="DC32" s="3129"/>
      <c r="DD32" s="3129"/>
      <c r="DE32" s="3119"/>
      <c r="DF32" s="1630"/>
      <c r="DG32" s="1631"/>
      <c r="DH32" s="1631"/>
      <c r="DI32" s="1631"/>
      <c r="DJ32" s="1631"/>
      <c r="DK32" s="1631"/>
    </row>
    <row r="33" spans="1:115">
      <c r="A33" s="3105"/>
      <c r="B33" s="2564"/>
      <c r="C33" s="1754" t="s">
        <v>1339</v>
      </c>
      <c r="D33" s="1682"/>
      <c r="E33" s="1683"/>
      <c r="F33" s="1684" t="s">
        <v>1340</v>
      </c>
      <c r="G33" s="1686">
        <v>5262</v>
      </c>
      <c r="H33" s="1685" t="s">
        <v>947</v>
      </c>
      <c r="I33" s="2369"/>
      <c r="J33" s="2353"/>
      <c r="K33" s="1671">
        <f>V33/G33</f>
        <v>0</v>
      </c>
      <c r="L33" s="2374">
        <v>0</v>
      </c>
      <c r="M33" s="2374">
        <v>0</v>
      </c>
      <c r="N33" s="2374">
        <v>0</v>
      </c>
      <c r="O33" s="2372">
        <v>0</v>
      </c>
      <c r="P33" s="2372">
        <v>0</v>
      </c>
      <c r="Q33" s="2372">
        <v>0</v>
      </c>
      <c r="R33" s="2372">
        <v>0</v>
      </c>
      <c r="S33" s="2372">
        <v>0</v>
      </c>
      <c r="T33" s="2372">
        <v>0</v>
      </c>
      <c r="U33" s="2374">
        <v>0</v>
      </c>
      <c r="V33" s="2386">
        <v>0</v>
      </c>
      <c r="W33" s="1687"/>
      <c r="X33" s="3108"/>
      <c r="Y33" s="3110"/>
      <c r="Z33" s="3113"/>
      <c r="AA33" s="3113"/>
      <c r="AB33" s="3116"/>
      <c r="AC33" s="3116"/>
      <c r="AD33" s="3116"/>
      <c r="AE33" s="3116"/>
      <c r="AF33" s="3113"/>
      <c r="AG33" s="3113"/>
      <c r="AH33" s="3116"/>
      <c r="AI33" s="3116"/>
      <c r="AJ33" s="3116"/>
      <c r="AK33" s="3116"/>
      <c r="AL33" s="3116"/>
      <c r="AM33" s="3116"/>
      <c r="AN33" s="3113"/>
      <c r="AO33" s="3113"/>
      <c r="AP33" s="3123"/>
      <c r="AQ33" s="3123"/>
      <c r="AR33" s="3123"/>
      <c r="AS33" s="3123"/>
      <c r="AT33" s="3126"/>
      <c r="AU33" s="1673"/>
      <c r="AV33" s="2369"/>
      <c r="AW33" s="2353"/>
      <c r="AX33" s="2369"/>
      <c r="AY33" s="2369"/>
      <c r="AZ33" s="2369"/>
      <c r="BA33" s="2353"/>
      <c r="BB33" s="2374"/>
      <c r="BC33" s="2374"/>
      <c r="BD33" s="2372"/>
      <c r="BE33" s="2372"/>
      <c r="BF33" s="2372"/>
      <c r="BG33" s="2372"/>
      <c r="BH33" s="2372"/>
      <c r="BI33" s="2372"/>
      <c r="BJ33" s="2353"/>
      <c r="BK33" s="2374"/>
      <c r="BL33" s="2353"/>
      <c r="BM33" s="2353"/>
      <c r="BN33" s="2353"/>
      <c r="BO33" s="2353"/>
      <c r="BP33" s="2353"/>
      <c r="BQ33" s="2372"/>
      <c r="BR33" s="2372"/>
      <c r="BS33" s="2374"/>
      <c r="BT33" s="2353"/>
      <c r="BU33" s="2353"/>
      <c r="BV33" s="2353"/>
      <c r="BW33" s="2353"/>
      <c r="BX33" s="2353"/>
      <c r="BY33" s="2353"/>
      <c r="BZ33" s="2353"/>
      <c r="CA33" s="2353"/>
      <c r="CB33" s="2353"/>
      <c r="CC33" s="2353"/>
      <c r="CD33" s="2357"/>
      <c r="CE33" s="3133"/>
      <c r="CF33" s="3123"/>
      <c r="CG33" s="3123"/>
      <c r="CH33" s="3123"/>
      <c r="CI33" s="3123"/>
      <c r="CJ33" s="3123"/>
      <c r="CK33" s="3123"/>
      <c r="CL33" s="3123"/>
      <c r="CM33" s="3123"/>
      <c r="CN33" s="3123"/>
      <c r="CO33" s="3123"/>
      <c r="CP33" s="3123"/>
      <c r="CQ33" s="3123"/>
      <c r="CR33" s="3166"/>
      <c r="CS33" s="3123"/>
      <c r="CT33" s="3123"/>
      <c r="CU33" s="3123"/>
      <c r="CV33" s="3123"/>
      <c r="CW33" s="3126"/>
      <c r="CX33" s="3129"/>
      <c r="CY33" s="3129"/>
      <c r="CZ33" s="3129"/>
      <c r="DA33" s="3129"/>
      <c r="DB33" s="3129"/>
      <c r="DC33" s="3129"/>
      <c r="DD33" s="3129"/>
      <c r="DE33" s="3119"/>
      <c r="DF33" s="1630"/>
      <c r="DG33" s="1631"/>
      <c r="DH33" s="1631"/>
      <c r="DI33" s="1631"/>
      <c r="DJ33" s="1631"/>
      <c r="DK33" s="1631"/>
    </row>
    <row r="34" spans="1:115">
      <c r="A34" s="3145"/>
      <c r="B34" s="2563"/>
      <c r="C34" s="1731"/>
      <c r="D34" s="1731"/>
      <c r="E34" s="1732"/>
      <c r="F34" s="1725" t="s">
        <v>1341</v>
      </c>
      <c r="G34" s="2385">
        <f>SUM(G31:G33)</f>
        <v>76837</v>
      </c>
      <c r="H34" s="2370" t="s">
        <v>947</v>
      </c>
      <c r="I34" s="2370"/>
      <c r="J34" s="2354"/>
      <c r="K34" s="1726">
        <f>V34/G34</f>
        <v>0</v>
      </c>
      <c r="L34" s="2375">
        <f>SUM(L31:L33)</f>
        <v>0</v>
      </c>
      <c r="M34" s="2375">
        <f>SUM(M31:M33)</f>
        <v>0</v>
      </c>
      <c r="N34" s="2375">
        <f t="shared" ref="N34:V34" si="24">SUM(N31:N32)</f>
        <v>0</v>
      </c>
      <c r="O34" s="2373">
        <f t="shared" ref="O34:U34" si="25">SUM(O31:O33)</f>
        <v>0</v>
      </c>
      <c r="P34" s="2373">
        <f t="shared" si="25"/>
        <v>0</v>
      </c>
      <c r="Q34" s="2373">
        <f t="shared" si="25"/>
        <v>0</v>
      </c>
      <c r="R34" s="2373">
        <f t="shared" si="25"/>
        <v>0</v>
      </c>
      <c r="S34" s="2373">
        <f t="shared" si="25"/>
        <v>0</v>
      </c>
      <c r="T34" s="2373">
        <f t="shared" si="25"/>
        <v>0</v>
      </c>
      <c r="U34" s="2375">
        <f t="shared" si="25"/>
        <v>0</v>
      </c>
      <c r="V34" s="2387">
        <f t="shared" si="24"/>
        <v>0</v>
      </c>
      <c r="W34" s="2375">
        <f>SUM(W31:W32)</f>
        <v>0</v>
      </c>
      <c r="X34" s="3146"/>
      <c r="Y34" s="3111"/>
      <c r="Z34" s="3149"/>
      <c r="AA34" s="3149"/>
      <c r="AB34" s="3150"/>
      <c r="AC34" s="3150"/>
      <c r="AD34" s="3150"/>
      <c r="AE34" s="3150"/>
      <c r="AF34" s="3149"/>
      <c r="AG34" s="3149"/>
      <c r="AH34" s="3150"/>
      <c r="AI34" s="3150"/>
      <c r="AJ34" s="3150"/>
      <c r="AK34" s="3150"/>
      <c r="AL34" s="3150"/>
      <c r="AM34" s="3150"/>
      <c r="AN34" s="3149"/>
      <c r="AO34" s="3149"/>
      <c r="AP34" s="3156"/>
      <c r="AQ34" s="3156"/>
      <c r="AR34" s="3156"/>
      <c r="AS34" s="3156"/>
      <c r="AT34" s="3161"/>
      <c r="AU34" s="1730"/>
      <c r="AV34" s="2370"/>
      <c r="AW34" s="2354"/>
      <c r="AX34" s="2370"/>
      <c r="AY34" s="2370"/>
      <c r="AZ34" s="2370"/>
      <c r="BA34" s="2354"/>
      <c r="BB34" s="2375"/>
      <c r="BC34" s="2375"/>
      <c r="BD34" s="2373"/>
      <c r="BE34" s="2373"/>
      <c r="BF34" s="2373"/>
      <c r="BG34" s="2373"/>
      <c r="BH34" s="2373"/>
      <c r="BI34" s="2373"/>
      <c r="BJ34" s="2354"/>
      <c r="BK34" s="2375"/>
      <c r="BL34" s="2354"/>
      <c r="BM34" s="2354"/>
      <c r="BN34" s="2354"/>
      <c r="BO34" s="2354"/>
      <c r="BP34" s="2354"/>
      <c r="BQ34" s="2373"/>
      <c r="BR34" s="2373"/>
      <c r="BS34" s="2375"/>
      <c r="BT34" s="2354"/>
      <c r="BU34" s="2354"/>
      <c r="BV34" s="2354"/>
      <c r="BW34" s="2354"/>
      <c r="BX34" s="2354"/>
      <c r="BY34" s="2354"/>
      <c r="BZ34" s="2354"/>
      <c r="CA34" s="2354"/>
      <c r="CB34" s="2354"/>
      <c r="CC34" s="2354"/>
      <c r="CD34" s="2358"/>
      <c r="CE34" s="3162"/>
      <c r="CF34" s="3156"/>
      <c r="CG34" s="3156"/>
      <c r="CH34" s="3156"/>
      <c r="CI34" s="3156"/>
      <c r="CJ34" s="3156"/>
      <c r="CK34" s="3156"/>
      <c r="CL34" s="3156"/>
      <c r="CM34" s="3156"/>
      <c r="CN34" s="3156"/>
      <c r="CO34" s="3156"/>
      <c r="CP34" s="3156"/>
      <c r="CQ34" s="3156"/>
      <c r="CR34" s="3167"/>
      <c r="CS34" s="3156"/>
      <c r="CT34" s="3156"/>
      <c r="CU34" s="3156"/>
      <c r="CV34" s="3156"/>
      <c r="CW34" s="3161"/>
      <c r="CX34" s="3163"/>
      <c r="CY34" s="3163"/>
      <c r="CZ34" s="3163"/>
      <c r="DA34" s="3163"/>
      <c r="DB34" s="3163"/>
      <c r="DC34" s="3163"/>
      <c r="DD34" s="3163"/>
      <c r="DE34" s="3164"/>
      <c r="DF34" s="1630"/>
      <c r="DG34" s="1631"/>
      <c r="DH34" s="1631"/>
      <c r="DI34" s="1631"/>
      <c r="DJ34" s="1631"/>
      <c r="DK34" s="1631"/>
    </row>
    <row r="35" spans="1:115" ht="15.75" thickBot="1">
      <c r="A35" s="2377"/>
      <c r="B35" s="2559"/>
      <c r="C35" s="1669"/>
      <c r="D35" s="1669"/>
      <c r="E35" s="1670"/>
      <c r="F35" s="2363"/>
      <c r="G35" s="1737"/>
      <c r="H35" s="1739"/>
      <c r="I35" s="2370"/>
      <c r="J35" s="2354"/>
      <c r="K35" s="1726"/>
      <c r="L35" s="2375"/>
      <c r="M35" s="2375"/>
      <c r="N35" s="2375"/>
      <c r="O35" s="2373"/>
      <c r="P35" s="2373"/>
      <c r="Q35" s="2373"/>
      <c r="R35" s="2373"/>
      <c r="S35" s="2373"/>
      <c r="T35" s="2373"/>
      <c r="U35" s="2375"/>
      <c r="V35" s="2387"/>
      <c r="W35" s="2375"/>
      <c r="X35" s="1672"/>
      <c r="Y35" s="2362"/>
      <c r="Z35" s="2374"/>
      <c r="AA35" s="2374"/>
      <c r="AB35" s="2372"/>
      <c r="AC35" s="2372"/>
      <c r="AD35" s="2372"/>
      <c r="AE35" s="2372"/>
      <c r="AF35" s="2372"/>
      <c r="AG35" s="2374"/>
      <c r="AH35" s="2372"/>
      <c r="AI35" s="2372"/>
      <c r="AJ35" s="2372"/>
      <c r="AK35" s="2372"/>
      <c r="AL35" s="2372"/>
      <c r="AM35" s="2372"/>
      <c r="AN35" s="2374"/>
      <c r="AO35" s="2374"/>
      <c r="AP35" s="2359"/>
      <c r="AQ35" s="2353"/>
      <c r="AR35" s="2353"/>
      <c r="AS35" s="2353"/>
      <c r="AT35" s="2357"/>
      <c r="AU35" s="1673"/>
      <c r="AV35" s="2369"/>
      <c r="AW35" s="1671"/>
      <c r="AX35" s="1671"/>
      <c r="AY35" s="1671"/>
      <c r="AZ35" s="1671"/>
      <c r="BA35" s="2353"/>
      <c r="BB35" s="2374"/>
      <c r="BC35" s="2374"/>
      <c r="BD35" s="2372"/>
      <c r="BE35" s="2372"/>
      <c r="BF35" s="2372"/>
      <c r="BG35" s="2372"/>
      <c r="BH35" s="2372"/>
      <c r="BI35" s="2372"/>
      <c r="BJ35" s="2372"/>
      <c r="BK35" s="2374"/>
      <c r="BL35" s="2372"/>
      <c r="BM35" s="2372"/>
      <c r="BN35" s="2372"/>
      <c r="BO35" s="2372"/>
      <c r="BP35" s="2372"/>
      <c r="BQ35" s="2372"/>
      <c r="BR35" s="2372"/>
      <c r="BS35" s="2374"/>
      <c r="BT35" s="2353"/>
      <c r="BU35" s="2353"/>
      <c r="BV35" s="2353"/>
      <c r="BW35" s="2353"/>
      <c r="BX35" s="2353"/>
      <c r="BY35" s="2353"/>
      <c r="BZ35" s="2353"/>
      <c r="CA35" s="2353"/>
      <c r="CB35" s="2353"/>
      <c r="CC35" s="2353"/>
      <c r="CD35" s="2357"/>
      <c r="CE35" s="2388"/>
      <c r="CF35" s="2374"/>
      <c r="CG35" s="2372"/>
      <c r="CH35" s="2372"/>
      <c r="CI35" s="2372"/>
      <c r="CJ35" s="2372"/>
      <c r="CK35" s="2372"/>
      <c r="CL35" s="2372"/>
      <c r="CM35" s="2372"/>
      <c r="CN35" s="2374"/>
      <c r="CO35" s="2372"/>
      <c r="CP35" s="2372"/>
      <c r="CQ35" s="2372"/>
      <c r="CR35" s="2372"/>
      <c r="CS35" s="2372"/>
      <c r="CT35" s="2372"/>
      <c r="CU35" s="2374"/>
      <c r="CV35" s="2374"/>
      <c r="CW35" s="2386"/>
      <c r="CX35" s="2350"/>
      <c r="CY35" s="2350"/>
      <c r="CZ35" s="2350"/>
      <c r="DA35" s="2350"/>
      <c r="DB35" s="2350"/>
      <c r="DC35" s="2350"/>
      <c r="DD35" s="2363"/>
      <c r="DE35" s="2365"/>
      <c r="DF35" s="1630"/>
      <c r="DG35" s="1631"/>
      <c r="DH35" s="1631"/>
      <c r="DI35" s="1631"/>
      <c r="DJ35" s="1631"/>
      <c r="DK35" s="1631"/>
    </row>
    <row r="36" spans="1:115" ht="15.75" thickBot="1">
      <c r="A36" s="3104">
        <v>7</v>
      </c>
      <c r="B36" s="2558" t="str">
        <f t="shared" ref="B36:B37" si="26">1&amp;"0"&amp;C36&amp;IF(LEN(SUBSTITUTE(UPPER(D36),"P/O ",""))=1,"000"&amp;SUBSTITUTE(UPPER(D36),"P/O ",""),IF(LEN(SUBSTITUTE(UPPER(D36),"P/O ",""))=2,"00"&amp;SUBSTITUTE(UPPER(D36),"P/O ",""),IF(LEN(SUBSTITUTE(UPPER(D36),"P/O ",""))=3,"0"&amp;SUBSTITUTE(UPPER(D36),"P/O ",""),SUBSTITUTE(UPPER(D36),"P/O ",""))))</f>
        <v>1022030009</v>
      </c>
      <c r="C36" s="1674">
        <v>2203</v>
      </c>
      <c r="D36" s="1674">
        <v>9</v>
      </c>
      <c r="E36" s="1675" t="s">
        <v>1342</v>
      </c>
      <c r="F36" s="1676" t="s">
        <v>1343</v>
      </c>
      <c r="G36" s="1677">
        <v>79600</v>
      </c>
      <c r="H36" s="2379" t="s">
        <v>1344</v>
      </c>
      <c r="I36" s="2379" t="s">
        <v>1345</v>
      </c>
      <c r="J36" s="2361" t="s">
        <v>1346</v>
      </c>
      <c r="K36" s="1679">
        <f>V36/G36</f>
        <v>0.40051507537688441</v>
      </c>
      <c r="L36" s="2355">
        <v>0</v>
      </c>
      <c r="M36" s="2355">
        <v>0</v>
      </c>
      <c r="N36" s="2355">
        <f>O36+P36+Q36+R36+S36+T36</f>
        <v>31881</v>
      </c>
      <c r="O36" s="2352">
        <v>31881</v>
      </c>
      <c r="P36" s="2352">
        <v>0</v>
      </c>
      <c r="Q36" s="2352">
        <v>0</v>
      </c>
      <c r="R36" s="2352">
        <v>0</v>
      </c>
      <c r="S36" s="2352">
        <v>0</v>
      </c>
      <c r="T36" s="2352">
        <v>0</v>
      </c>
      <c r="U36" s="2355">
        <v>0</v>
      </c>
      <c r="V36" s="2356">
        <f>N36+M36+L36+U36</f>
        <v>31881</v>
      </c>
      <c r="W36" s="2355">
        <v>0</v>
      </c>
      <c r="X36" s="3107" t="s">
        <v>1289</v>
      </c>
      <c r="Y36" s="3109" t="s">
        <v>1347</v>
      </c>
      <c r="Z36" s="3112">
        <v>0</v>
      </c>
      <c r="AA36" s="3112">
        <f>AB36+AC36+AD36+AE36+AF36</f>
        <v>0</v>
      </c>
      <c r="AB36" s="3115">
        <v>0</v>
      </c>
      <c r="AC36" s="3115">
        <v>0</v>
      </c>
      <c r="AD36" s="3115">
        <v>0</v>
      </c>
      <c r="AE36" s="3115">
        <v>0</v>
      </c>
      <c r="AF36" s="3115">
        <v>0</v>
      </c>
      <c r="AG36" s="3112">
        <f>AH36+AI36+AJ36+AK36+AL36+AM36+AN36</f>
        <v>31881</v>
      </c>
      <c r="AH36" s="3115">
        <v>31881</v>
      </c>
      <c r="AI36" s="3115">
        <v>0</v>
      </c>
      <c r="AJ36" s="3115">
        <v>0</v>
      </c>
      <c r="AK36" s="3115">
        <v>0</v>
      </c>
      <c r="AL36" s="3115">
        <v>0</v>
      </c>
      <c r="AM36" s="3115">
        <v>0</v>
      </c>
      <c r="AN36" s="3112">
        <v>0</v>
      </c>
      <c r="AO36" s="3112">
        <f>AG36+Z36+AA36</f>
        <v>31881</v>
      </c>
      <c r="AP36" s="3135">
        <f>AO36/G36</f>
        <v>0.40051507537688441</v>
      </c>
      <c r="AQ36" s="3136">
        <v>0</v>
      </c>
      <c r="AR36" s="3136">
        <v>198</v>
      </c>
      <c r="AS36" s="3136">
        <f>AR36</f>
        <v>198</v>
      </c>
      <c r="AT36" s="3131">
        <v>23</v>
      </c>
      <c r="AU36" s="1680" t="s">
        <v>741</v>
      </c>
      <c r="AV36" s="2379" t="s">
        <v>706</v>
      </c>
      <c r="AW36" s="1679">
        <v>7.2</v>
      </c>
      <c r="AX36" s="2371">
        <f>AW36-AY36</f>
        <v>5.7</v>
      </c>
      <c r="AY36" s="2371">
        <v>1.5</v>
      </c>
      <c r="AZ36" s="2371">
        <v>0</v>
      </c>
      <c r="BA36" s="2366"/>
      <c r="BB36" s="2355">
        <f>ROUND(AX36*G36,0)+ROUND(AX37*G37,0)+20000</f>
        <v>613608</v>
      </c>
      <c r="BC36" s="2355">
        <f>ROUND(AZ38*G38,0)</f>
        <v>0</v>
      </c>
      <c r="BD36" s="2352">
        <v>0</v>
      </c>
      <c r="BE36" s="2352">
        <v>0</v>
      </c>
      <c r="BF36" s="2352">
        <v>0</v>
      </c>
      <c r="BG36" s="2352">
        <v>0</v>
      </c>
      <c r="BH36" s="2352">
        <v>0</v>
      </c>
      <c r="BI36" s="2352">
        <v>0</v>
      </c>
      <c r="BJ36" s="2352">
        <v>0</v>
      </c>
      <c r="BK36" s="2355">
        <f>ROUND(G38*AY38,0)</f>
        <v>149376</v>
      </c>
      <c r="BL36" s="2352">
        <f>BK36-BM36</f>
        <v>104376</v>
      </c>
      <c r="BM36" s="2352">
        <v>45000</v>
      </c>
      <c r="BN36" s="2352">
        <v>0</v>
      </c>
      <c r="BO36" s="2352">
        <v>0</v>
      </c>
      <c r="BP36" s="2352">
        <v>0</v>
      </c>
      <c r="BQ36" s="2352">
        <v>0</v>
      </c>
      <c r="BR36" s="2352">
        <v>0</v>
      </c>
      <c r="BS36" s="2355">
        <f>ROUND(AW36*G36,0)+ROUND(G37*AW37,0)+20000</f>
        <v>762984</v>
      </c>
      <c r="BT36" s="2366">
        <f>ROUND(BB36/875,0)</f>
        <v>701</v>
      </c>
      <c r="BU36" s="2366">
        <f>ROUND(BT36*0.25,0)</f>
        <v>175</v>
      </c>
      <c r="BV36" s="2366">
        <f>BT36-BU36</f>
        <v>526</v>
      </c>
      <c r="BW36" s="2366">
        <f>ROUND(BT36*0.3,0)</f>
        <v>210</v>
      </c>
      <c r="BX36" s="2366">
        <f>BT36-BW36</f>
        <v>491</v>
      </c>
      <c r="BY36" s="2366">
        <f>ROUND(IF(((0.2*BV36)&gt;15),(0.2*BV36),0),0)</f>
        <v>105</v>
      </c>
      <c r="BZ36" s="2366">
        <f>ROUND(IF(((0.2*BX36)&gt;15),(0.2*BX36),0),0)</f>
        <v>98</v>
      </c>
      <c r="CA36" s="2366">
        <v>0</v>
      </c>
      <c r="CB36" s="2366">
        <f>BY36</f>
        <v>105</v>
      </c>
      <c r="CC36" s="2366">
        <f>BZ36</f>
        <v>98</v>
      </c>
      <c r="CD36" s="2367">
        <v>175</v>
      </c>
      <c r="CE36" s="3132">
        <f>BB36-Z36</f>
        <v>613608</v>
      </c>
      <c r="CF36" s="3112">
        <f>BC36-AA36</f>
        <v>0</v>
      </c>
      <c r="CG36" s="3115">
        <f>BD36</f>
        <v>0</v>
      </c>
      <c r="CH36" s="3115">
        <f>BE36-AB36</f>
        <v>0</v>
      </c>
      <c r="CI36" s="3115">
        <f>BF36</f>
        <v>0</v>
      </c>
      <c r="CJ36" s="3115">
        <f>BG36-AC36</f>
        <v>0</v>
      </c>
      <c r="CK36" s="3115">
        <f>BH36</f>
        <v>0</v>
      </c>
      <c r="CL36" s="3115">
        <f>BI36-AD36</f>
        <v>0</v>
      </c>
      <c r="CM36" s="3115">
        <f t="shared" ref="CM36:CV36" si="27">BJ36-AF36</f>
        <v>0</v>
      </c>
      <c r="CN36" s="3112">
        <f t="shared" si="27"/>
        <v>117495</v>
      </c>
      <c r="CO36" s="3115">
        <f t="shared" si="27"/>
        <v>72495</v>
      </c>
      <c r="CP36" s="3115">
        <f t="shared" si="27"/>
        <v>45000</v>
      </c>
      <c r="CQ36" s="3115">
        <f t="shared" si="27"/>
        <v>0</v>
      </c>
      <c r="CR36" s="3115">
        <f t="shared" si="27"/>
        <v>0</v>
      </c>
      <c r="CS36" s="3115">
        <f t="shared" si="27"/>
        <v>0</v>
      </c>
      <c r="CT36" s="3115">
        <f t="shared" si="27"/>
        <v>0</v>
      </c>
      <c r="CU36" s="3112">
        <f t="shared" si="27"/>
        <v>0</v>
      </c>
      <c r="CV36" s="3112">
        <f t="shared" si="27"/>
        <v>731103</v>
      </c>
      <c r="CW36" s="3125">
        <f>BT36-AQ36</f>
        <v>701</v>
      </c>
      <c r="CX36" s="3128">
        <f>BU36</f>
        <v>175</v>
      </c>
      <c r="CY36" s="3128">
        <f>CW36-CX36</f>
        <v>526</v>
      </c>
      <c r="CZ36" s="3128">
        <f>BW36</f>
        <v>210</v>
      </c>
      <c r="DA36" s="3128">
        <f>CW36-CZ36</f>
        <v>491</v>
      </c>
      <c r="DB36" s="3128">
        <f>BY36-AR36</f>
        <v>-93</v>
      </c>
      <c r="DC36" s="3128">
        <f>BZ36-AR36</f>
        <v>-100</v>
      </c>
      <c r="DD36" s="3128">
        <f>CB36-AS36</f>
        <v>-93</v>
      </c>
      <c r="DE36" s="3118">
        <f>CC36-AS36</f>
        <v>-100</v>
      </c>
      <c r="DF36" s="1630"/>
      <c r="DG36" s="1631"/>
      <c r="DH36" s="1631"/>
      <c r="DI36" s="1631"/>
      <c r="DJ36" s="1631"/>
      <c r="DK36" s="1631"/>
    </row>
    <row r="37" spans="1:115">
      <c r="A37" s="3105"/>
      <c r="B37" s="2558" t="str">
        <f t="shared" si="26"/>
        <v>1022030021</v>
      </c>
      <c r="C37" s="1755">
        <v>2203</v>
      </c>
      <c r="D37" s="1755">
        <v>21</v>
      </c>
      <c r="E37" s="1756" t="s">
        <v>1348</v>
      </c>
      <c r="F37" s="1757" t="s">
        <v>1349</v>
      </c>
      <c r="G37" s="1686">
        <v>19984</v>
      </c>
      <c r="H37" s="2369" t="s">
        <v>947</v>
      </c>
      <c r="I37" s="2369"/>
      <c r="J37" s="1758" t="s">
        <v>1315</v>
      </c>
      <c r="K37" s="1671">
        <f>V37/G37</f>
        <v>0</v>
      </c>
      <c r="L37" s="1687">
        <v>0</v>
      </c>
      <c r="M37" s="1687">
        <v>0</v>
      </c>
      <c r="N37" s="1687">
        <f>O37+P37+Q37+R37+S37+T37</f>
        <v>0</v>
      </c>
      <c r="O37" s="1688">
        <v>0</v>
      </c>
      <c r="P37" s="1688">
        <v>0</v>
      </c>
      <c r="Q37" s="1688">
        <v>0</v>
      </c>
      <c r="R37" s="1688">
        <v>0</v>
      </c>
      <c r="S37" s="1688">
        <v>0</v>
      </c>
      <c r="T37" s="1688">
        <v>0</v>
      </c>
      <c r="U37" s="1687">
        <v>0</v>
      </c>
      <c r="V37" s="1689">
        <f>N37+M37+L37+U37</f>
        <v>0</v>
      </c>
      <c r="W37" s="1687">
        <v>0</v>
      </c>
      <c r="X37" s="3108"/>
      <c r="Y37" s="3110"/>
      <c r="Z37" s="3113"/>
      <c r="AA37" s="3113"/>
      <c r="AB37" s="3116"/>
      <c r="AC37" s="3116"/>
      <c r="AD37" s="3116"/>
      <c r="AE37" s="3116"/>
      <c r="AF37" s="3113"/>
      <c r="AG37" s="3113"/>
      <c r="AH37" s="3116"/>
      <c r="AI37" s="3116"/>
      <c r="AJ37" s="3116"/>
      <c r="AK37" s="3116"/>
      <c r="AL37" s="3116"/>
      <c r="AM37" s="3116"/>
      <c r="AN37" s="3113"/>
      <c r="AO37" s="3113"/>
      <c r="AP37" s="3123"/>
      <c r="AQ37" s="3123"/>
      <c r="AR37" s="3123"/>
      <c r="AS37" s="3123"/>
      <c r="AT37" s="3126"/>
      <c r="AU37" s="1673" t="s">
        <v>1350</v>
      </c>
      <c r="AV37" s="2369" t="s">
        <v>706</v>
      </c>
      <c r="AW37" s="1671">
        <v>8.5</v>
      </c>
      <c r="AX37" s="2359">
        <f>AW37-AY37</f>
        <v>7</v>
      </c>
      <c r="AY37" s="2359">
        <v>1.5</v>
      </c>
      <c r="AZ37" s="2359">
        <v>0</v>
      </c>
      <c r="BA37" s="2353"/>
      <c r="BB37" s="2353"/>
      <c r="BC37" s="2353"/>
      <c r="BD37" s="2353"/>
      <c r="BE37" s="2353"/>
      <c r="BF37" s="2372"/>
      <c r="BG37" s="2353"/>
      <c r="BH37" s="2353"/>
      <c r="BI37" s="2353"/>
      <c r="BJ37" s="2353"/>
      <c r="BK37" s="2353"/>
      <c r="BL37" s="2353"/>
      <c r="BM37" s="2353"/>
      <c r="BN37" s="2353"/>
      <c r="BO37" s="2353"/>
      <c r="BP37" s="2353"/>
      <c r="BQ37" s="2353"/>
      <c r="BR37" s="2353"/>
      <c r="BS37" s="2353"/>
      <c r="BT37" s="2353"/>
      <c r="BU37" s="2353"/>
      <c r="BV37" s="2353"/>
      <c r="BW37" s="2353"/>
      <c r="BX37" s="2353"/>
      <c r="BY37" s="2353"/>
      <c r="BZ37" s="2353"/>
      <c r="CA37" s="2353"/>
      <c r="CB37" s="2353"/>
      <c r="CC37" s="2353"/>
      <c r="CD37" s="2357"/>
      <c r="CE37" s="3133"/>
      <c r="CF37" s="3123"/>
      <c r="CG37" s="3123"/>
      <c r="CH37" s="3123"/>
      <c r="CI37" s="3123"/>
      <c r="CJ37" s="3123"/>
      <c r="CK37" s="3123"/>
      <c r="CL37" s="3123"/>
      <c r="CM37" s="3123"/>
      <c r="CN37" s="3123"/>
      <c r="CO37" s="3123"/>
      <c r="CP37" s="3123"/>
      <c r="CQ37" s="3123"/>
      <c r="CR37" s="3123"/>
      <c r="CS37" s="3123"/>
      <c r="CT37" s="3123"/>
      <c r="CU37" s="3123"/>
      <c r="CV37" s="3123"/>
      <c r="CW37" s="3126"/>
      <c r="CX37" s="3129"/>
      <c r="CY37" s="3129"/>
      <c r="CZ37" s="3129"/>
      <c r="DA37" s="3129"/>
      <c r="DB37" s="3129"/>
      <c r="DC37" s="3129"/>
      <c r="DD37" s="3129"/>
      <c r="DE37" s="3119"/>
      <c r="DF37" s="1630"/>
      <c r="DG37" s="1631"/>
      <c r="DH37" s="1631"/>
      <c r="DI37" s="1631"/>
      <c r="DJ37" s="1631"/>
      <c r="DK37" s="1631"/>
    </row>
    <row r="38" spans="1:115">
      <c r="A38" s="3145"/>
      <c r="B38" s="2563"/>
      <c r="C38" s="1731"/>
      <c r="D38" s="1731"/>
      <c r="E38" s="1732"/>
      <c r="F38" s="1725" t="s">
        <v>1351</v>
      </c>
      <c r="G38" s="2385">
        <f>SUM(G36:G37)</f>
        <v>99584</v>
      </c>
      <c r="H38" s="2370" t="s">
        <v>1311</v>
      </c>
      <c r="I38" s="2370"/>
      <c r="J38" s="2354"/>
      <c r="K38" s="1726">
        <f>V38/G38</f>
        <v>0.32014178984575836</v>
      </c>
      <c r="L38" s="2375">
        <f>SUM(L36:L37)</f>
        <v>0</v>
      </c>
      <c r="M38" s="2375">
        <f t="shared" ref="M38:W38" si="28">SUM(M36:M37)</f>
        <v>0</v>
      </c>
      <c r="N38" s="2375">
        <f t="shared" si="28"/>
        <v>31881</v>
      </c>
      <c r="O38" s="2373">
        <f t="shared" si="28"/>
        <v>31881</v>
      </c>
      <c r="P38" s="2373">
        <f t="shared" si="28"/>
        <v>0</v>
      </c>
      <c r="Q38" s="2373">
        <f t="shared" si="28"/>
        <v>0</v>
      </c>
      <c r="R38" s="2373">
        <f t="shared" si="28"/>
        <v>0</v>
      </c>
      <c r="S38" s="2373">
        <f t="shared" si="28"/>
        <v>0</v>
      </c>
      <c r="T38" s="2373">
        <f t="shared" si="28"/>
        <v>0</v>
      </c>
      <c r="U38" s="2375">
        <f t="shared" si="28"/>
        <v>0</v>
      </c>
      <c r="V38" s="2387">
        <f>SUM(V36:V37)</f>
        <v>31881</v>
      </c>
      <c r="W38" s="2375">
        <f t="shared" si="28"/>
        <v>0</v>
      </c>
      <c r="X38" s="3146"/>
      <c r="Y38" s="3111"/>
      <c r="Z38" s="3149"/>
      <c r="AA38" s="3149"/>
      <c r="AB38" s="3150"/>
      <c r="AC38" s="3150"/>
      <c r="AD38" s="3150"/>
      <c r="AE38" s="3150"/>
      <c r="AF38" s="3149"/>
      <c r="AG38" s="3149"/>
      <c r="AH38" s="3150"/>
      <c r="AI38" s="3150"/>
      <c r="AJ38" s="3150"/>
      <c r="AK38" s="3150"/>
      <c r="AL38" s="3150"/>
      <c r="AM38" s="3150"/>
      <c r="AN38" s="3149"/>
      <c r="AO38" s="3149"/>
      <c r="AP38" s="3156"/>
      <c r="AQ38" s="3156"/>
      <c r="AR38" s="3156"/>
      <c r="AS38" s="3156"/>
      <c r="AT38" s="3161"/>
      <c r="AU38" s="1730" t="s">
        <v>1352</v>
      </c>
      <c r="AV38" s="2370" t="s">
        <v>706</v>
      </c>
      <c r="AW38" s="1726" t="s">
        <v>1353</v>
      </c>
      <c r="AX38" s="2360" t="s">
        <v>1354</v>
      </c>
      <c r="AY38" s="2360">
        <v>1.5</v>
      </c>
      <c r="AZ38" s="2360">
        <v>0</v>
      </c>
      <c r="BA38" s="2354"/>
      <c r="BB38" s="2354"/>
      <c r="BC38" s="2354"/>
      <c r="BD38" s="2354"/>
      <c r="BE38" s="2354"/>
      <c r="BF38" s="2373"/>
      <c r="BG38" s="2354"/>
      <c r="BH38" s="2354"/>
      <c r="BI38" s="2354"/>
      <c r="BJ38" s="2354"/>
      <c r="BK38" s="2354"/>
      <c r="BL38" s="2354"/>
      <c r="BM38" s="2354"/>
      <c r="BN38" s="2354"/>
      <c r="BO38" s="2354"/>
      <c r="BP38" s="2354"/>
      <c r="BQ38" s="2354"/>
      <c r="BR38" s="2354"/>
      <c r="BS38" s="2354"/>
      <c r="BT38" s="2354"/>
      <c r="BU38" s="2354"/>
      <c r="BV38" s="2354"/>
      <c r="BW38" s="2354"/>
      <c r="BX38" s="2354"/>
      <c r="BY38" s="2354"/>
      <c r="BZ38" s="2354"/>
      <c r="CA38" s="2354"/>
      <c r="CB38" s="2354"/>
      <c r="CC38" s="2354"/>
      <c r="CD38" s="2358"/>
      <c r="CE38" s="3162"/>
      <c r="CF38" s="3156"/>
      <c r="CG38" s="3156"/>
      <c r="CH38" s="3156"/>
      <c r="CI38" s="3156"/>
      <c r="CJ38" s="3156"/>
      <c r="CK38" s="3156"/>
      <c r="CL38" s="3156"/>
      <c r="CM38" s="3156"/>
      <c r="CN38" s="3156"/>
      <c r="CO38" s="3156"/>
      <c r="CP38" s="3156"/>
      <c r="CQ38" s="3156"/>
      <c r="CR38" s="3156"/>
      <c r="CS38" s="3156"/>
      <c r="CT38" s="3156"/>
      <c r="CU38" s="3156"/>
      <c r="CV38" s="3156"/>
      <c r="CW38" s="3161"/>
      <c r="CX38" s="3163"/>
      <c r="CY38" s="3163"/>
      <c r="CZ38" s="3163"/>
      <c r="DA38" s="3163"/>
      <c r="DB38" s="3163"/>
      <c r="DC38" s="3163"/>
      <c r="DD38" s="3163"/>
      <c r="DE38" s="3164"/>
      <c r="DF38" s="1630"/>
      <c r="DG38" s="1631"/>
      <c r="DH38" s="1631"/>
      <c r="DI38" s="1631"/>
      <c r="DJ38" s="1631"/>
      <c r="DK38" s="1631"/>
    </row>
    <row r="39" spans="1:115" ht="15.75" thickBot="1">
      <c r="A39" s="2377"/>
      <c r="B39" s="2559"/>
      <c r="C39" s="1669"/>
      <c r="D39" s="1669"/>
      <c r="E39" s="1670"/>
      <c r="F39" s="2363"/>
      <c r="G39" s="2384"/>
      <c r="H39" s="2369"/>
      <c r="I39" s="2369"/>
      <c r="J39" s="2353"/>
      <c r="K39" s="1671"/>
      <c r="L39" s="2374"/>
      <c r="M39" s="2374"/>
      <c r="N39" s="2374"/>
      <c r="O39" s="2372"/>
      <c r="P39" s="2372"/>
      <c r="Q39" s="2372"/>
      <c r="R39" s="2372"/>
      <c r="S39" s="2372"/>
      <c r="T39" s="2372"/>
      <c r="U39" s="2374"/>
      <c r="V39" s="2386"/>
      <c r="W39" s="2374"/>
      <c r="X39" s="1672"/>
      <c r="Y39" s="2362"/>
      <c r="Z39" s="2374"/>
      <c r="AA39" s="2374"/>
      <c r="AB39" s="2372"/>
      <c r="AC39" s="2372"/>
      <c r="AD39" s="2372"/>
      <c r="AE39" s="2372"/>
      <c r="AF39" s="2372"/>
      <c r="AG39" s="2374"/>
      <c r="AH39" s="2372"/>
      <c r="AI39" s="2372"/>
      <c r="AJ39" s="2372"/>
      <c r="AK39" s="2372"/>
      <c r="AL39" s="2372"/>
      <c r="AM39" s="2372"/>
      <c r="AN39" s="2374"/>
      <c r="AO39" s="2374"/>
      <c r="AP39" s="2359"/>
      <c r="AQ39" s="2353"/>
      <c r="AR39" s="2353"/>
      <c r="AS39" s="2353"/>
      <c r="AT39" s="2357"/>
      <c r="AU39" s="1673"/>
      <c r="AV39" s="2369"/>
      <c r="AW39" s="1671"/>
      <c r="AX39" s="1671"/>
      <c r="AY39" s="1671"/>
      <c r="AZ39" s="1671"/>
      <c r="BA39" s="2353"/>
      <c r="BB39" s="2374"/>
      <c r="BC39" s="2374"/>
      <c r="BD39" s="2372"/>
      <c r="BE39" s="2372"/>
      <c r="BF39" s="2372"/>
      <c r="BG39" s="2372"/>
      <c r="BH39" s="2372"/>
      <c r="BI39" s="2372"/>
      <c r="BJ39" s="2372"/>
      <c r="BK39" s="2374"/>
      <c r="BL39" s="2372"/>
      <c r="BM39" s="2372"/>
      <c r="BN39" s="2372"/>
      <c r="BO39" s="2372"/>
      <c r="BP39" s="2372"/>
      <c r="BQ39" s="2372"/>
      <c r="BR39" s="2372"/>
      <c r="BS39" s="2374"/>
      <c r="BT39" s="2353"/>
      <c r="BU39" s="2353"/>
      <c r="BV39" s="2353"/>
      <c r="BW39" s="2353"/>
      <c r="BX39" s="2353"/>
      <c r="BY39" s="2353"/>
      <c r="BZ39" s="2353"/>
      <c r="CA39" s="2353"/>
      <c r="CB39" s="2353"/>
      <c r="CC39" s="2353"/>
      <c r="CD39" s="2357"/>
      <c r="CE39" s="2388"/>
      <c r="CF39" s="2374"/>
      <c r="CG39" s="2372"/>
      <c r="CH39" s="2372"/>
      <c r="CI39" s="2372"/>
      <c r="CJ39" s="2372"/>
      <c r="CK39" s="2372"/>
      <c r="CL39" s="2372"/>
      <c r="CM39" s="2372"/>
      <c r="CN39" s="2374"/>
      <c r="CO39" s="2372"/>
      <c r="CP39" s="2372"/>
      <c r="CQ39" s="2372"/>
      <c r="CR39" s="2372"/>
      <c r="CS39" s="2372"/>
      <c r="CT39" s="2372"/>
      <c r="CU39" s="2374"/>
      <c r="CV39" s="2374"/>
      <c r="CW39" s="2386"/>
      <c r="CX39" s="2350"/>
      <c r="CY39" s="2350"/>
      <c r="CZ39" s="2350"/>
      <c r="DA39" s="2350"/>
      <c r="DB39" s="2350"/>
      <c r="DC39" s="2350"/>
      <c r="DD39" s="2363"/>
      <c r="DE39" s="2365"/>
      <c r="DF39" s="1630"/>
      <c r="DG39" s="1631"/>
      <c r="DH39" s="1631"/>
      <c r="DI39" s="1631"/>
      <c r="DJ39" s="1631"/>
      <c r="DK39" s="1631"/>
    </row>
    <row r="40" spans="1:115" ht="15.75" thickBot="1">
      <c r="A40" s="3104">
        <v>8</v>
      </c>
      <c r="B40" s="2558" t="str">
        <f t="shared" ref="B40:B42" si="29">1&amp;"0"&amp;C40&amp;IF(LEN(SUBSTITUTE(UPPER(D40),"P/O ",""))=1,"000"&amp;SUBSTITUTE(UPPER(D40),"P/O ",""),IF(LEN(SUBSTITUTE(UPPER(D40),"P/O ",""))=2,"00"&amp;SUBSTITUTE(UPPER(D40),"P/O ",""),IF(LEN(SUBSTITUTE(UPPER(D40),"P/O ",""))=3,"0"&amp;SUBSTITUTE(UPPER(D40),"P/O ",""),SUBSTITUTE(UPPER(D40),"P/O ",""))))</f>
        <v>1022000015</v>
      </c>
      <c r="C40" s="1674">
        <v>2200</v>
      </c>
      <c r="D40" s="1674">
        <v>15</v>
      </c>
      <c r="E40" s="1675" t="s">
        <v>1355</v>
      </c>
      <c r="F40" s="1676" t="s">
        <v>1356</v>
      </c>
      <c r="G40" s="1677">
        <v>14988</v>
      </c>
      <c r="H40" s="2379" t="s">
        <v>1344</v>
      </c>
      <c r="I40" s="2379"/>
      <c r="J40" s="2355" t="s">
        <v>1315</v>
      </c>
      <c r="K40" s="1679">
        <f>V40/G40</f>
        <v>0</v>
      </c>
      <c r="L40" s="2355">
        <v>0</v>
      </c>
      <c r="M40" s="2355">
        <v>0</v>
      </c>
      <c r="N40" s="2355">
        <f>O40+P40+Q40+R40+S40+T40</f>
        <v>0</v>
      </c>
      <c r="O40" s="2352">
        <v>0</v>
      </c>
      <c r="P40" s="2352">
        <v>0</v>
      </c>
      <c r="Q40" s="2352">
        <v>0</v>
      </c>
      <c r="R40" s="2352">
        <v>0</v>
      </c>
      <c r="S40" s="2352">
        <v>0</v>
      </c>
      <c r="T40" s="2352">
        <v>0</v>
      </c>
      <c r="U40" s="2355">
        <v>0</v>
      </c>
      <c r="V40" s="2356">
        <f>N40+M40+L40+U40</f>
        <v>0</v>
      </c>
      <c r="W40" s="2355">
        <v>0</v>
      </c>
      <c r="X40" s="3107" t="s">
        <v>1357</v>
      </c>
      <c r="Y40" s="3109" t="s">
        <v>1358</v>
      </c>
      <c r="Z40" s="2355">
        <f>ROUND(G40*3.44,0)</f>
        <v>51559</v>
      </c>
      <c r="AA40" s="2355">
        <f>AB40+AC40+AD40+AE40+AF40</f>
        <v>0</v>
      </c>
      <c r="AB40" s="2352">
        <v>0</v>
      </c>
      <c r="AC40" s="2352">
        <v>0</v>
      </c>
      <c r="AD40" s="2352">
        <v>0</v>
      </c>
      <c r="AE40" s="2352">
        <v>0</v>
      </c>
      <c r="AF40" s="2352">
        <v>0</v>
      </c>
      <c r="AG40" s="2355">
        <f>AH40+AI40+AJ40+AK40+AL40+AM40+AN40</f>
        <v>0</v>
      </c>
      <c r="AH40" s="2352">
        <v>0</v>
      </c>
      <c r="AI40" s="2352">
        <v>0</v>
      </c>
      <c r="AJ40" s="2352">
        <v>0</v>
      </c>
      <c r="AK40" s="2352">
        <v>0</v>
      </c>
      <c r="AL40" s="2352">
        <v>0</v>
      </c>
      <c r="AM40" s="2352">
        <v>0</v>
      </c>
      <c r="AN40" s="2355">
        <v>0</v>
      </c>
      <c r="AO40" s="2355">
        <f>AG40+Z40+AA40</f>
        <v>51559</v>
      </c>
      <c r="AP40" s="3135">
        <f>AO43/G43</f>
        <v>1.1464434216085206</v>
      </c>
      <c r="AQ40" s="3136">
        <f>ROUND(Z40/875,0)</f>
        <v>59</v>
      </c>
      <c r="AR40" s="3136">
        <f>ROUND(AQ40*0.5,0)</f>
        <v>30</v>
      </c>
      <c r="AS40" s="3136">
        <f>AR40</f>
        <v>30</v>
      </c>
      <c r="AT40" s="3131">
        <v>80</v>
      </c>
      <c r="AU40" s="1680" t="s">
        <v>705</v>
      </c>
      <c r="AV40" s="2379" t="s">
        <v>706</v>
      </c>
      <c r="AW40" s="1679">
        <v>4</v>
      </c>
      <c r="AX40" s="2371">
        <v>4</v>
      </c>
      <c r="AY40" s="2371">
        <v>0</v>
      </c>
      <c r="AZ40" s="2371">
        <v>0</v>
      </c>
      <c r="BA40" s="2366"/>
      <c r="BB40" s="2355">
        <f>ROUND(AX40*G40,0)+ROUND(AX41*G41,0)+ROUND(AX42*G42,0)</f>
        <v>234870</v>
      </c>
      <c r="BC40" s="2355">
        <v>14995</v>
      </c>
      <c r="BD40" s="2352">
        <v>0</v>
      </c>
      <c r="BE40" s="2352">
        <v>0</v>
      </c>
      <c r="BF40" s="2352">
        <v>7000</v>
      </c>
      <c r="BG40" s="2352">
        <v>0</v>
      </c>
      <c r="BH40" s="2352">
        <v>7995</v>
      </c>
      <c r="BI40" s="2352">
        <v>0</v>
      </c>
      <c r="BJ40" s="2352">
        <v>0</v>
      </c>
      <c r="BK40" s="2355">
        <v>0</v>
      </c>
      <c r="BL40" s="2352">
        <f>BK40</f>
        <v>0</v>
      </c>
      <c r="BM40" s="2352">
        <v>0</v>
      </c>
      <c r="BN40" s="2352">
        <v>0</v>
      </c>
      <c r="BO40" s="2352">
        <v>0</v>
      </c>
      <c r="BP40" s="2352">
        <v>0</v>
      </c>
      <c r="BQ40" s="2352">
        <v>0</v>
      </c>
      <c r="BR40" s="2352">
        <v>0</v>
      </c>
      <c r="BS40" s="2355">
        <f>ROUND(AW40*G40,0)+ROUND(G41*AW41,0)+ROUND(AW42*G42,0)</f>
        <v>249865</v>
      </c>
      <c r="BT40" s="2366">
        <f>ROUND(BB40/875,0)</f>
        <v>268</v>
      </c>
      <c r="BU40" s="2366">
        <f>ROUND((BT40-69)*0.25,0)</f>
        <v>50</v>
      </c>
      <c r="BV40" s="2366">
        <f>BT40-BU40</f>
        <v>218</v>
      </c>
      <c r="BW40" s="2366">
        <f>ROUND((BT40-69)*0.3,0)</f>
        <v>60</v>
      </c>
      <c r="BX40" s="2366">
        <f>BT40-BW40</f>
        <v>208</v>
      </c>
      <c r="BY40" s="2366">
        <f>ROUND(IF(((0.2*BV40)&gt;15),(0.2*BV40),0),0)</f>
        <v>44</v>
      </c>
      <c r="BZ40" s="2366">
        <f>ROUND(IF(((0.2*BX40)&gt;15),(0.2*BX40),0),0)</f>
        <v>42</v>
      </c>
      <c r="CA40" s="2366">
        <v>0</v>
      </c>
      <c r="CB40" s="2366">
        <f>BY40</f>
        <v>44</v>
      </c>
      <c r="CC40" s="2366">
        <f>BZ40</f>
        <v>42</v>
      </c>
      <c r="CD40" s="2367">
        <v>145</v>
      </c>
      <c r="CE40" s="3132">
        <f>BB40-Z43</f>
        <v>183311</v>
      </c>
      <c r="CF40" s="3112">
        <f>BC40-AA43</f>
        <v>14995</v>
      </c>
      <c r="CG40" s="3115">
        <f>BD40</f>
        <v>0</v>
      </c>
      <c r="CH40" s="3115">
        <f>BE40-AB43</f>
        <v>0</v>
      </c>
      <c r="CI40" s="3115">
        <f>BF40</f>
        <v>7000</v>
      </c>
      <c r="CJ40" s="3115">
        <f>BG40-AC43</f>
        <v>0</v>
      </c>
      <c r="CK40" s="3115">
        <f>BH40</f>
        <v>7995</v>
      </c>
      <c r="CL40" s="3115">
        <f>BI40-AD43</f>
        <v>0</v>
      </c>
      <c r="CM40" s="3115">
        <f t="shared" ref="CM40:CV40" si="30">BJ40-AF43</f>
        <v>0</v>
      </c>
      <c r="CN40" s="3112">
        <f t="shared" si="30"/>
        <v>0</v>
      </c>
      <c r="CO40" s="3115">
        <f t="shared" si="30"/>
        <v>0</v>
      </c>
      <c r="CP40" s="3115">
        <f t="shared" si="30"/>
        <v>0</v>
      </c>
      <c r="CQ40" s="3115">
        <f t="shared" si="30"/>
        <v>0</v>
      </c>
      <c r="CR40" s="3115">
        <f t="shared" si="30"/>
        <v>0</v>
      </c>
      <c r="CS40" s="3115">
        <f t="shared" si="30"/>
        <v>0</v>
      </c>
      <c r="CT40" s="3115">
        <f t="shared" si="30"/>
        <v>0</v>
      </c>
      <c r="CU40" s="3112">
        <f t="shared" si="30"/>
        <v>0</v>
      </c>
      <c r="CV40" s="3112">
        <f t="shared" si="30"/>
        <v>198306</v>
      </c>
      <c r="CW40" s="3125">
        <f>BT40-AQ40</f>
        <v>209</v>
      </c>
      <c r="CX40" s="3128">
        <f>BU40</f>
        <v>50</v>
      </c>
      <c r="CY40" s="3128">
        <f>CW40-CX40</f>
        <v>159</v>
      </c>
      <c r="CZ40" s="3128">
        <f>BW40</f>
        <v>60</v>
      </c>
      <c r="DA40" s="3128">
        <f>CW40-CZ40</f>
        <v>149</v>
      </c>
      <c r="DB40" s="3128">
        <f>BY40-AR40</f>
        <v>14</v>
      </c>
      <c r="DC40" s="3128">
        <f>BZ40-AR40</f>
        <v>12</v>
      </c>
      <c r="DD40" s="3128">
        <f>CB40-AS40</f>
        <v>14</v>
      </c>
      <c r="DE40" s="3118">
        <f>CC40-AS40</f>
        <v>12</v>
      </c>
      <c r="DF40" s="1630"/>
      <c r="DG40" s="1631"/>
      <c r="DH40" s="1631"/>
      <c r="DI40" s="1631"/>
      <c r="DJ40" s="1631"/>
      <c r="DK40" s="1631"/>
    </row>
    <row r="41" spans="1:115" ht="15.75" thickBot="1">
      <c r="A41" s="3168"/>
      <c r="B41" s="2558" t="str">
        <f t="shared" si="29"/>
        <v>1022000021</v>
      </c>
      <c r="C41" s="1682">
        <v>2200</v>
      </c>
      <c r="D41" s="1682">
        <v>21</v>
      </c>
      <c r="E41" s="1683" t="s">
        <v>1359</v>
      </c>
      <c r="F41" s="1684" t="s">
        <v>1356</v>
      </c>
      <c r="G41" s="2384">
        <v>19993</v>
      </c>
      <c r="H41" s="2369" t="s">
        <v>947</v>
      </c>
      <c r="I41" s="2369"/>
      <c r="J41" s="2374" t="s">
        <v>1315</v>
      </c>
      <c r="K41" s="1671">
        <f>V41/G41</f>
        <v>0</v>
      </c>
      <c r="L41" s="2374">
        <v>0</v>
      </c>
      <c r="M41" s="2374">
        <v>0</v>
      </c>
      <c r="N41" s="2374">
        <f>O41+P41+Q41+R41+S41+T41</f>
        <v>0</v>
      </c>
      <c r="O41" s="2372">
        <v>0</v>
      </c>
      <c r="P41" s="2372">
        <v>0</v>
      </c>
      <c r="Q41" s="2372">
        <v>0</v>
      </c>
      <c r="R41" s="2372">
        <v>0</v>
      </c>
      <c r="S41" s="2372">
        <v>0</v>
      </c>
      <c r="T41" s="2372">
        <v>0</v>
      </c>
      <c r="U41" s="2374">
        <v>0</v>
      </c>
      <c r="V41" s="2386">
        <f>N41+M41+L41+U41</f>
        <v>0</v>
      </c>
      <c r="W41" s="1687">
        <v>0</v>
      </c>
      <c r="X41" s="3108"/>
      <c r="Y41" s="3110"/>
      <c r="Z41" s="2374">
        <v>0</v>
      </c>
      <c r="AA41" s="2374">
        <f>AB41+AC41+AD41+AE41+AF41</f>
        <v>0</v>
      </c>
      <c r="AB41" s="2372">
        <v>0</v>
      </c>
      <c r="AC41" s="2372">
        <v>0</v>
      </c>
      <c r="AD41" s="2372">
        <v>0</v>
      </c>
      <c r="AE41" s="2372">
        <v>0</v>
      </c>
      <c r="AF41" s="2372">
        <v>0</v>
      </c>
      <c r="AG41" s="2374">
        <f>AH41+AI41+AJ41+AK41+AL41+AM41+AN41</f>
        <v>0</v>
      </c>
      <c r="AH41" s="2372">
        <v>0</v>
      </c>
      <c r="AI41" s="2372">
        <v>0</v>
      </c>
      <c r="AJ41" s="2372">
        <v>0</v>
      </c>
      <c r="AK41" s="2372">
        <v>0</v>
      </c>
      <c r="AL41" s="2372">
        <v>0</v>
      </c>
      <c r="AM41" s="2372">
        <v>0</v>
      </c>
      <c r="AN41" s="2374">
        <v>0</v>
      </c>
      <c r="AO41" s="2374">
        <f>AG41+Z41+AA41</f>
        <v>0</v>
      </c>
      <c r="AP41" s="3123"/>
      <c r="AQ41" s="3123"/>
      <c r="AR41" s="3123"/>
      <c r="AS41" s="3123"/>
      <c r="AT41" s="3126"/>
      <c r="AU41" s="1673" t="s">
        <v>741</v>
      </c>
      <c r="AV41" s="2369" t="s">
        <v>706</v>
      </c>
      <c r="AW41" s="1671">
        <v>7.2</v>
      </c>
      <c r="AX41" s="2359">
        <v>6.45</v>
      </c>
      <c r="AY41" s="2359">
        <v>0.75</v>
      </c>
      <c r="AZ41" s="2359">
        <v>0</v>
      </c>
      <c r="BA41" s="2353"/>
      <c r="BB41" s="2353"/>
      <c r="BC41" s="2353"/>
      <c r="BD41" s="2353"/>
      <c r="BE41" s="2353"/>
      <c r="BF41" s="2353"/>
      <c r="BG41" s="2353"/>
      <c r="BH41" s="2353"/>
      <c r="BI41" s="2353"/>
      <c r="BJ41" s="2353"/>
      <c r="BK41" s="2353"/>
      <c r="BL41" s="2353"/>
      <c r="BM41" s="2353"/>
      <c r="BN41" s="2353"/>
      <c r="BO41" s="2353"/>
      <c r="BP41" s="2353"/>
      <c r="BQ41" s="2353"/>
      <c r="BR41" s="2353"/>
      <c r="BS41" s="2353"/>
      <c r="BT41" s="2353"/>
      <c r="BU41" s="2353"/>
      <c r="BV41" s="2353"/>
      <c r="BW41" s="2353"/>
      <c r="BX41" s="2353"/>
      <c r="BY41" s="2353"/>
      <c r="BZ41" s="2353"/>
      <c r="CA41" s="2353"/>
      <c r="CB41" s="2353"/>
      <c r="CC41" s="2353"/>
      <c r="CD41" s="2357"/>
      <c r="CE41" s="3133"/>
      <c r="CF41" s="3123"/>
      <c r="CG41" s="3123"/>
      <c r="CH41" s="3123"/>
      <c r="CI41" s="3123"/>
      <c r="CJ41" s="3123"/>
      <c r="CK41" s="3123"/>
      <c r="CL41" s="3123"/>
      <c r="CM41" s="3123"/>
      <c r="CN41" s="3123"/>
      <c r="CO41" s="3123"/>
      <c r="CP41" s="3123"/>
      <c r="CQ41" s="3123"/>
      <c r="CR41" s="3123"/>
      <c r="CS41" s="3123"/>
      <c r="CT41" s="3123"/>
      <c r="CU41" s="3123"/>
      <c r="CV41" s="3123"/>
      <c r="CW41" s="3126"/>
      <c r="CX41" s="3129"/>
      <c r="CY41" s="3129"/>
      <c r="CZ41" s="3129"/>
      <c r="DA41" s="3129"/>
      <c r="DB41" s="3129"/>
      <c r="DC41" s="3129"/>
      <c r="DD41" s="3129"/>
      <c r="DE41" s="3119"/>
      <c r="DF41" s="1630"/>
      <c r="DG41" s="1631"/>
      <c r="DH41" s="1631"/>
      <c r="DI41" s="1631"/>
      <c r="DJ41" s="1631"/>
      <c r="DK41" s="1631"/>
    </row>
    <row r="42" spans="1:115">
      <c r="A42" s="3168"/>
      <c r="B42" s="2558" t="str">
        <f t="shared" si="29"/>
        <v>1022000029</v>
      </c>
      <c r="C42" s="1682">
        <v>2200</v>
      </c>
      <c r="D42" s="1682">
        <v>29</v>
      </c>
      <c r="E42" s="1683" t="s">
        <v>1360</v>
      </c>
      <c r="F42" s="1684" t="s">
        <v>1361</v>
      </c>
      <c r="G42" s="1686">
        <v>9992</v>
      </c>
      <c r="H42" s="2369" t="s">
        <v>947</v>
      </c>
      <c r="I42" s="2369"/>
      <c r="J42" s="2374" t="s">
        <v>1315</v>
      </c>
      <c r="K42" s="1671">
        <v>0</v>
      </c>
      <c r="L42" s="1687">
        <v>0</v>
      </c>
      <c r="M42" s="1687">
        <v>0</v>
      </c>
      <c r="N42" s="1687">
        <f>O42+P42+Q42+R42+S42+T42</f>
        <v>0</v>
      </c>
      <c r="O42" s="1688">
        <v>0</v>
      </c>
      <c r="P42" s="1688">
        <v>0</v>
      </c>
      <c r="Q42" s="1688">
        <v>0</v>
      </c>
      <c r="R42" s="1688">
        <v>0</v>
      </c>
      <c r="S42" s="1688">
        <v>0</v>
      </c>
      <c r="T42" s="1688">
        <v>0</v>
      </c>
      <c r="U42" s="1687">
        <v>0</v>
      </c>
      <c r="V42" s="1689">
        <f>N42+M42+L42+U42</f>
        <v>0</v>
      </c>
      <c r="W42" s="1687"/>
      <c r="X42" s="3108"/>
      <c r="Y42" s="3110"/>
      <c r="Z42" s="2374">
        <v>0</v>
      </c>
      <c r="AA42" s="2374">
        <v>0</v>
      </c>
      <c r="AB42" s="2372">
        <v>0</v>
      </c>
      <c r="AC42" s="2372">
        <v>0</v>
      </c>
      <c r="AD42" s="2372">
        <v>0</v>
      </c>
      <c r="AE42" s="2372">
        <v>0</v>
      </c>
      <c r="AF42" s="2372">
        <v>0</v>
      </c>
      <c r="AG42" s="2374">
        <v>0</v>
      </c>
      <c r="AH42" s="2372">
        <v>0</v>
      </c>
      <c r="AI42" s="2372">
        <v>0</v>
      </c>
      <c r="AJ42" s="2372">
        <v>0</v>
      </c>
      <c r="AK42" s="2372">
        <v>0</v>
      </c>
      <c r="AL42" s="2372">
        <v>0</v>
      </c>
      <c r="AM42" s="2372">
        <v>0</v>
      </c>
      <c r="AN42" s="2374">
        <v>0</v>
      </c>
      <c r="AO42" s="2374">
        <v>0</v>
      </c>
      <c r="AP42" s="3123"/>
      <c r="AQ42" s="3123"/>
      <c r="AR42" s="3123"/>
      <c r="AS42" s="3123"/>
      <c r="AT42" s="3126"/>
      <c r="AU42" s="1673" t="s">
        <v>705</v>
      </c>
      <c r="AV42" s="2369"/>
      <c r="AW42" s="1671">
        <v>4.5999999999999996</v>
      </c>
      <c r="AX42" s="2359">
        <v>4.5999999999999996</v>
      </c>
      <c r="AY42" s="2359">
        <v>0</v>
      </c>
      <c r="AZ42" s="2359">
        <v>0</v>
      </c>
      <c r="BA42" s="2353"/>
      <c r="BB42" s="2353"/>
      <c r="BC42" s="2353"/>
      <c r="BD42" s="2353"/>
      <c r="BE42" s="2353"/>
      <c r="BF42" s="2353"/>
      <c r="BG42" s="2353"/>
      <c r="BH42" s="2353"/>
      <c r="BI42" s="2353"/>
      <c r="BJ42" s="2353"/>
      <c r="BK42" s="2353"/>
      <c r="BL42" s="2353"/>
      <c r="BM42" s="2353"/>
      <c r="BN42" s="2353"/>
      <c r="BO42" s="2353"/>
      <c r="BP42" s="2353"/>
      <c r="BQ42" s="2353"/>
      <c r="BR42" s="2353"/>
      <c r="BS42" s="2353"/>
      <c r="BT42" s="2353"/>
      <c r="BU42" s="2353"/>
      <c r="BV42" s="2353"/>
      <c r="BW42" s="2353"/>
      <c r="BX42" s="2353"/>
      <c r="BY42" s="2353"/>
      <c r="BZ42" s="2353"/>
      <c r="CA42" s="2353"/>
      <c r="CB42" s="2353"/>
      <c r="CC42" s="2353"/>
      <c r="CD42" s="2357"/>
      <c r="CE42" s="3133"/>
      <c r="CF42" s="3123"/>
      <c r="CG42" s="3123"/>
      <c r="CH42" s="3123"/>
      <c r="CI42" s="3123"/>
      <c r="CJ42" s="3123"/>
      <c r="CK42" s="3123"/>
      <c r="CL42" s="3123"/>
      <c r="CM42" s="3123"/>
      <c r="CN42" s="3123"/>
      <c r="CO42" s="3123"/>
      <c r="CP42" s="3123"/>
      <c r="CQ42" s="3123"/>
      <c r="CR42" s="3123"/>
      <c r="CS42" s="3123"/>
      <c r="CT42" s="3123"/>
      <c r="CU42" s="3123"/>
      <c r="CV42" s="3123"/>
      <c r="CW42" s="3126"/>
      <c r="CX42" s="3129"/>
      <c r="CY42" s="3129"/>
      <c r="CZ42" s="3129"/>
      <c r="DA42" s="3129"/>
      <c r="DB42" s="3129"/>
      <c r="DC42" s="3129"/>
      <c r="DD42" s="3129"/>
      <c r="DE42" s="3119"/>
      <c r="DF42" s="1630"/>
      <c r="DG42" s="1631"/>
      <c r="DH42" s="1631"/>
      <c r="DI42" s="1631"/>
      <c r="DJ42" s="1631"/>
      <c r="DK42" s="1631"/>
    </row>
    <row r="43" spans="1:115">
      <c r="A43" s="3169"/>
      <c r="B43" s="2565"/>
      <c r="C43" s="1731"/>
      <c r="D43" s="1731"/>
      <c r="E43" s="1732"/>
      <c r="F43" s="1725" t="s">
        <v>1362</v>
      </c>
      <c r="G43" s="2385">
        <f>SUM(G40:G42)</f>
        <v>44973</v>
      </c>
      <c r="H43" s="2370" t="s">
        <v>1311</v>
      </c>
      <c r="I43" s="2370"/>
      <c r="J43" s="2354"/>
      <c r="K43" s="1726">
        <f>V43/G43</f>
        <v>0</v>
      </c>
      <c r="L43" s="2375">
        <f t="shared" ref="L43:U43" si="31">SUM(L40:L42)</f>
        <v>0</v>
      </c>
      <c r="M43" s="2375">
        <f t="shared" si="31"/>
        <v>0</v>
      </c>
      <c r="N43" s="2375">
        <f t="shared" si="31"/>
        <v>0</v>
      </c>
      <c r="O43" s="2373">
        <f t="shared" si="31"/>
        <v>0</v>
      </c>
      <c r="P43" s="2373">
        <f t="shared" si="31"/>
        <v>0</v>
      </c>
      <c r="Q43" s="2373">
        <f t="shared" si="31"/>
        <v>0</v>
      </c>
      <c r="R43" s="2373">
        <f t="shared" si="31"/>
        <v>0</v>
      </c>
      <c r="S43" s="2373">
        <f t="shared" si="31"/>
        <v>0</v>
      </c>
      <c r="T43" s="2373">
        <f t="shared" si="31"/>
        <v>0</v>
      </c>
      <c r="U43" s="2375">
        <f t="shared" si="31"/>
        <v>0</v>
      </c>
      <c r="V43" s="2387">
        <f>SUM(V40:V42)</f>
        <v>0</v>
      </c>
      <c r="W43" s="2375">
        <f t="shared" ref="W43" si="32">SUM(W40:W41)</f>
        <v>0</v>
      </c>
      <c r="X43" s="3146"/>
      <c r="Y43" s="3111"/>
      <c r="Z43" s="2375">
        <f t="shared" ref="Z43:AO43" si="33">SUM(Z40:Z42)</f>
        <v>51559</v>
      </c>
      <c r="AA43" s="2375">
        <f t="shared" si="33"/>
        <v>0</v>
      </c>
      <c r="AB43" s="2373">
        <f t="shared" si="33"/>
        <v>0</v>
      </c>
      <c r="AC43" s="2373">
        <f t="shared" si="33"/>
        <v>0</v>
      </c>
      <c r="AD43" s="2373">
        <f t="shared" si="33"/>
        <v>0</v>
      </c>
      <c r="AE43" s="2373">
        <f t="shared" si="33"/>
        <v>0</v>
      </c>
      <c r="AF43" s="2373">
        <f t="shared" si="33"/>
        <v>0</v>
      </c>
      <c r="AG43" s="2375">
        <f t="shared" si="33"/>
        <v>0</v>
      </c>
      <c r="AH43" s="2373">
        <f t="shared" si="33"/>
        <v>0</v>
      </c>
      <c r="AI43" s="2373">
        <f t="shared" si="33"/>
        <v>0</v>
      </c>
      <c r="AJ43" s="2373">
        <f t="shared" si="33"/>
        <v>0</v>
      </c>
      <c r="AK43" s="2373">
        <f t="shared" si="33"/>
        <v>0</v>
      </c>
      <c r="AL43" s="2373">
        <f t="shared" si="33"/>
        <v>0</v>
      </c>
      <c r="AM43" s="2373">
        <f t="shared" si="33"/>
        <v>0</v>
      </c>
      <c r="AN43" s="2375">
        <f t="shared" si="33"/>
        <v>0</v>
      </c>
      <c r="AO43" s="2375">
        <f t="shared" si="33"/>
        <v>51559</v>
      </c>
      <c r="AP43" s="3156"/>
      <c r="AQ43" s="3156"/>
      <c r="AR43" s="3156"/>
      <c r="AS43" s="3156"/>
      <c r="AT43" s="3161"/>
      <c r="AU43" s="1730" t="s">
        <v>1363</v>
      </c>
      <c r="AV43" s="2370" t="s">
        <v>706</v>
      </c>
      <c r="AW43" s="1726" t="s">
        <v>1364</v>
      </c>
      <c r="AX43" s="2360" t="s">
        <v>1365</v>
      </c>
      <c r="AY43" s="2360">
        <v>0.33</v>
      </c>
      <c r="AZ43" s="2360">
        <v>0</v>
      </c>
      <c r="BA43" s="2354"/>
      <c r="BB43" s="2354"/>
      <c r="BC43" s="2354"/>
      <c r="BD43" s="2354"/>
      <c r="BE43" s="2354"/>
      <c r="BF43" s="2354"/>
      <c r="BG43" s="2354"/>
      <c r="BH43" s="2354"/>
      <c r="BI43" s="2354"/>
      <c r="BJ43" s="2354"/>
      <c r="BK43" s="2354"/>
      <c r="BL43" s="2354"/>
      <c r="BM43" s="2354"/>
      <c r="BN43" s="2354"/>
      <c r="BO43" s="2354"/>
      <c r="BP43" s="2354"/>
      <c r="BQ43" s="2354"/>
      <c r="BR43" s="2354"/>
      <c r="BS43" s="2354"/>
      <c r="BT43" s="2354"/>
      <c r="BU43" s="2354"/>
      <c r="BV43" s="2354"/>
      <c r="BW43" s="2354"/>
      <c r="BX43" s="2354"/>
      <c r="BY43" s="2354"/>
      <c r="BZ43" s="2354"/>
      <c r="CA43" s="2354"/>
      <c r="CB43" s="2354"/>
      <c r="CC43" s="2354"/>
      <c r="CD43" s="2358"/>
      <c r="CE43" s="3162"/>
      <c r="CF43" s="3156"/>
      <c r="CG43" s="3156"/>
      <c r="CH43" s="3156"/>
      <c r="CI43" s="3156"/>
      <c r="CJ43" s="3156"/>
      <c r="CK43" s="3156"/>
      <c r="CL43" s="3156"/>
      <c r="CM43" s="3156"/>
      <c r="CN43" s="3156"/>
      <c r="CO43" s="3156"/>
      <c r="CP43" s="3156"/>
      <c r="CQ43" s="3156"/>
      <c r="CR43" s="3156"/>
      <c r="CS43" s="3156"/>
      <c r="CT43" s="3156"/>
      <c r="CU43" s="3156"/>
      <c r="CV43" s="3156"/>
      <c r="CW43" s="3161"/>
      <c r="CX43" s="3163"/>
      <c r="CY43" s="3163"/>
      <c r="CZ43" s="3163"/>
      <c r="DA43" s="3163"/>
      <c r="DB43" s="3163"/>
      <c r="DC43" s="3163"/>
      <c r="DD43" s="3163"/>
      <c r="DE43" s="3164"/>
      <c r="DF43" s="1630"/>
      <c r="DG43" s="1631"/>
      <c r="DH43" s="1631"/>
      <c r="DI43" s="1631"/>
      <c r="DJ43" s="1631"/>
      <c r="DK43" s="1631"/>
    </row>
    <row r="44" spans="1:115" ht="15.75" thickBot="1">
      <c r="A44" s="2377"/>
      <c r="B44" s="2559"/>
      <c r="C44" s="1669"/>
      <c r="D44" s="1669"/>
      <c r="E44" s="1670"/>
      <c r="F44" s="2363"/>
      <c r="G44" s="2385"/>
      <c r="H44" s="2369"/>
      <c r="I44" s="2369"/>
      <c r="J44" s="2353"/>
      <c r="K44" s="1671"/>
      <c r="L44" s="2374"/>
      <c r="M44" s="2374"/>
      <c r="N44" s="2374"/>
      <c r="O44" s="2372"/>
      <c r="P44" s="2372"/>
      <c r="Q44" s="2372"/>
      <c r="R44" s="2372"/>
      <c r="S44" s="2372"/>
      <c r="T44" s="2372"/>
      <c r="U44" s="2374"/>
      <c r="V44" s="2386"/>
      <c r="W44" s="2374"/>
      <c r="X44" s="1672"/>
      <c r="Y44" s="2362"/>
      <c r="Z44" s="2374"/>
      <c r="AA44" s="2374"/>
      <c r="AB44" s="2372"/>
      <c r="AC44" s="2372"/>
      <c r="AD44" s="2372"/>
      <c r="AE44" s="2372"/>
      <c r="AF44" s="2372"/>
      <c r="AG44" s="2374"/>
      <c r="AH44" s="2372"/>
      <c r="AI44" s="2372"/>
      <c r="AJ44" s="2372"/>
      <c r="AK44" s="2372"/>
      <c r="AL44" s="2372"/>
      <c r="AM44" s="2372"/>
      <c r="AN44" s="2374"/>
      <c r="AO44" s="2374"/>
      <c r="AP44" s="2359"/>
      <c r="AQ44" s="2353"/>
      <c r="AR44" s="2353"/>
      <c r="AS44" s="2353"/>
      <c r="AT44" s="2357"/>
      <c r="AU44" s="1673"/>
      <c r="AV44" s="2369"/>
      <c r="AW44" s="1671"/>
      <c r="AX44" s="1671"/>
      <c r="AY44" s="1671"/>
      <c r="AZ44" s="1671"/>
      <c r="BA44" s="2353"/>
      <c r="BB44" s="2374"/>
      <c r="BC44" s="2374"/>
      <c r="BD44" s="2372"/>
      <c r="BE44" s="2372"/>
      <c r="BF44" s="2372"/>
      <c r="BG44" s="2372"/>
      <c r="BH44" s="2372"/>
      <c r="BI44" s="2372"/>
      <c r="BJ44" s="2372"/>
      <c r="BK44" s="2374"/>
      <c r="BL44" s="2372"/>
      <c r="BM44" s="2372"/>
      <c r="BN44" s="2372"/>
      <c r="BO44" s="2372"/>
      <c r="BP44" s="2372"/>
      <c r="BQ44" s="2372"/>
      <c r="BR44" s="2372"/>
      <c r="BS44" s="2374"/>
      <c r="BT44" s="2353"/>
      <c r="BU44" s="2353"/>
      <c r="BV44" s="2353"/>
      <c r="BW44" s="2353"/>
      <c r="BX44" s="2353"/>
      <c r="BY44" s="2353"/>
      <c r="BZ44" s="2353"/>
      <c r="CA44" s="2353"/>
      <c r="CB44" s="2353"/>
      <c r="CC44" s="2353"/>
      <c r="CD44" s="2357"/>
      <c r="CE44" s="2388"/>
      <c r="CF44" s="2374"/>
      <c r="CG44" s="2372"/>
      <c r="CH44" s="2372"/>
      <c r="CI44" s="2372"/>
      <c r="CJ44" s="2372"/>
      <c r="CK44" s="2372"/>
      <c r="CL44" s="2372"/>
      <c r="CM44" s="2372"/>
      <c r="CN44" s="2374"/>
      <c r="CO44" s="2372"/>
      <c r="CP44" s="2372"/>
      <c r="CQ44" s="2372"/>
      <c r="CR44" s="2372"/>
      <c r="CS44" s="2372"/>
      <c r="CT44" s="2372"/>
      <c r="CU44" s="2374"/>
      <c r="CV44" s="2374"/>
      <c r="CW44" s="2386"/>
      <c r="CX44" s="2350"/>
      <c r="CY44" s="2350"/>
      <c r="CZ44" s="2350"/>
      <c r="DA44" s="2350"/>
      <c r="DB44" s="2350"/>
      <c r="DC44" s="2350"/>
      <c r="DD44" s="2363"/>
      <c r="DE44" s="2365"/>
      <c r="DF44" s="1630"/>
      <c r="DG44" s="1631"/>
      <c r="DH44" s="1631"/>
      <c r="DI44" s="1631"/>
      <c r="DJ44" s="1631"/>
      <c r="DK44" s="1631"/>
    </row>
    <row r="45" spans="1:115" ht="25.5">
      <c r="A45" s="1733">
        <v>9</v>
      </c>
      <c r="B45" s="2558" t="str">
        <f>1&amp;"0"&amp;C45&amp;IF(LEN(SUBSTITUTE(UPPER(D45),"P/O ",""))=1,"000"&amp;SUBSTITUTE(UPPER(D45),"P/O ",""),IF(LEN(SUBSTITUTE(UPPER(D45),"P/O ",""))=2,"00"&amp;SUBSTITUTE(UPPER(D45),"P/O ",""),IF(LEN(SUBSTITUTE(UPPER(D45),"P/O ",""))=3,"0"&amp;SUBSTITUTE(UPPER(D45),"P/O ",""),SUBSTITUTE(UPPER(D45),"P/O ",""))))</f>
        <v>1022010021</v>
      </c>
      <c r="C45" s="1734">
        <v>2201</v>
      </c>
      <c r="D45" s="1734">
        <v>21</v>
      </c>
      <c r="E45" s="1735" t="s">
        <v>1366</v>
      </c>
      <c r="F45" s="1736" t="s">
        <v>1367</v>
      </c>
      <c r="G45" s="1737">
        <v>19983</v>
      </c>
      <c r="H45" s="1738" t="s">
        <v>947</v>
      </c>
      <c r="I45" s="1739"/>
      <c r="J45" s="1748"/>
      <c r="K45" s="1741">
        <f>V45/G45</f>
        <v>1</v>
      </c>
      <c r="L45" s="1742">
        <v>0</v>
      </c>
      <c r="M45" s="1742">
        <v>19983</v>
      </c>
      <c r="N45" s="1742">
        <f>O45+P45+Q45+R45+S45+T45</f>
        <v>0</v>
      </c>
      <c r="O45" s="1743">
        <v>0</v>
      </c>
      <c r="P45" s="1743">
        <v>0</v>
      </c>
      <c r="Q45" s="1743">
        <v>0</v>
      </c>
      <c r="R45" s="1743">
        <v>0</v>
      </c>
      <c r="S45" s="1743">
        <v>0</v>
      </c>
      <c r="T45" s="1743">
        <v>0</v>
      </c>
      <c r="U45" s="1742">
        <v>0</v>
      </c>
      <c r="V45" s="1744">
        <f>N45+M45+L45+U45</f>
        <v>19983</v>
      </c>
      <c r="W45" s="1742">
        <v>0</v>
      </c>
      <c r="X45" s="1745" t="s">
        <v>1289</v>
      </c>
      <c r="Y45" s="1746" t="s">
        <v>1023</v>
      </c>
      <c r="Z45" s="1742">
        <v>0</v>
      </c>
      <c r="AA45" s="1742">
        <f>AB45+AC45+AD45+AE45+AF45</f>
        <v>19983</v>
      </c>
      <c r="AB45" s="1743">
        <v>0</v>
      </c>
      <c r="AC45" s="1743">
        <f>M45</f>
        <v>19983</v>
      </c>
      <c r="AD45" s="1743">
        <v>0</v>
      </c>
      <c r="AE45" s="1743">
        <v>0</v>
      </c>
      <c r="AF45" s="1743">
        <v>0</v>
      </c>
      <c r="AG45" s="1742">
        <v>0</v>
      </c>
      <c r="AH45" s="1743">
        <v>0</v>
      </c>
      <c r="AI45" s="1743">
        <v>0</v>
      </c>
      <c r="AJ45" s="1743">
        <v>0</v>
      </c>
      <c r="AK45" s="1743">
        <v>0</v>
      </c>
      <c r="AL45" s="1743">
        <v>0</v>
      </c>
      <c r="AM45" s="1743">
        <v>0</v>
      </c>
      <c r="AN45" s="1742">
        <v>0</v>
      </c>
      <c r="AO45" s="1742">
        <f>AG45+Z45+AA45</f>
        <v>19983</v>
      </c>
      <c r="AP45" s="1747">
        <f>AO45/G45</f>
        <v>1</v>
      </c>
      <c r="AQ45" s="1748">
        <v>0</v>
      </c>
      <c r="AR45" s="1748">
        <v>0</v>
      </c>
      <c r="AS45" s="1748">
        <v>0</v>
      </c>
      <c r="AT45" s="1749">
        <v>20</v>
      </c>
      <c r="AU45" s="1750" t="s">
        <v>741</v>
      </c>
      <c r="AV45" s="1739" t="s">
        <v>706</v>
      </c>
      <c r="AW45" s="1741">
        <v>7.2</v>
      </c>
      <c r="AX45" s="1747">
        <f>AW45-AZ45</f>
        <v>4.2</v>
      </c>
      <c r="AY45" s="1747">
        <v>0</v>
      </c>
      <c r="AZ45" s="1747">
        <v>3</v>
      </c>
      <c r="BA45" s="1748"/>
      <c r="BB45" s="1742">
        <f>ROUND(AX45*G45,0)</f>
        <v>83929</v>
      </c>
      <c r="BC45" s="1742">
        <f>ROUND(AZ45*G45,0)</f>
        <v>59949</v>
      </c>
      <c r="BD45" s="1743">
        <v>0</v>
      </c>
      <c r="BE45" s="1743">
        <f>ROUND(BC45*0.5,0)</f>
        <v>29975</v>
      </c>
      <c r="BF45" s="1743">
        <v>0</v>
      </c>
      <c r="BG45" s="1743">
        <f>ROUND(BC45*0.5,0)-1</f>
        <v>29974</v>
      </c>
      <c r="BH45" s="1743">
        <v>0</v>
      </c>
      <c r="BI45" s="1743">
        <v>0</v>
      </c>
      <c r="BJ45" s="1743">
        <v>0</v>
      </c>
      <c r="BK45" s="1742">
        <f>ROUND(G45*AY45,0)</f>
        <v>0</v>
      </c>
      <c r="BL45" s="1743">
        <f>BK45</f>
        <v>0</v>
      </c>
      <c r="BM45" s="1743">
        <v>0</v>
      </c>
      <c r="BN45" s="1743">
        <v>0</v>
      </c>
      <c r="BO45" s="1743">
        <v>0</v>
      </c>
      <c r="BP45" s="1743">
        <v>0</v>
      </c>
      <c r="BQ45" s="1743">
        <v>0</v>
      </c>
      <c r="BR45" s="1743">
        <v>0</v>
      </c>
      <c r="BS45" s="1742">
        <f>ROUND(G45*AW45,0)</f>
        <v>143878</v>
      </c>
      <c r="BT45" s="1748">
        <f>ROUND(BB45/875,0)</f>
        <v>96</v>
      </c>
      <c r="BU45" s="1748">
        <f>ROUND(BT45*0.25,0)</f>
        <v>24</v>
      </c>
      <c r="BV45" s="1748">
        <f>BT45-BU45</f>
        <v>72</v>
      </c>
      <c r="BW45" s="1748">
        <f>ROUND(BT45*0.3,0)</f>
        <v>29</v>
      </c>
      <c r="BX45" s="1748">
        <f>BT45-BW45</f>
        <v>67</v>
      </c>
      <c r="BY45" s="1748">
        <f>ROUND(IF(((0.2*BV45)&gt;15),(0.2*BV45),0),0)</f>
        <v>0</v>
      </c>
      <c r="BZ45" s="1748">
        <f>ROUND(IF(((0.2*BX45)&gt;15),(0.2*BX45),0),0)</f>
        <v>0</v>
      </c>
      <c r="CA45" s="1748">
        <v>0</v>
      </c>
      <c r="CB45" s="1748">
        <v>0</v>
      </c>
      <c r="CC45" s="1748">
        <v>0</v>
      </c>
      <c r="CD45" s="1749">
        <v>145</v>
      </c>
      <c r="CE45" s="1740">
        <f>BB45-Z45</f>
        <v>83929</v>
      </c>
      <c r="CF45" s="1742">
        <f>BC45-AA45</f>
        <v>39966</v>
      </c>
      <c r="CG45" s="1743">
        <f>BD45</f>
        <v>0</v>
      </c>
      <c r="CH45" s="1743">
        <f>BE45-AB45</f>
        <v>29975</v>
      </c>
      <c r="CI45" s="1743">
        <f>BF45</f>
        <v>0</v>
      </c>
      <c r="CJ45" s="1743">
        <f>BG45-AC45</f>
        <v>9991</v>
      </c>
      <c r="CK45" s="1743">
        <f>BH45</f>
        <v>0</v>
      </c>
      <c r="CL45" s="1743">
        <f>BI45-AD45</f>
        <v>0</v>
      </c>
      <c r="CM45" s="1743">
        <f t="shared" ref="CM45:CV45" si="34">BJ45-AF45</f>
        <v>0</v>
      </c>
      <c r="CN45" s="1742">
        <f t="shared" si="34"/>
        <v>0</v>
      </c>
      <c r="CO45" s="1743">
        <f t="shared" si="34"/>
        <v>0</v>
      </c>
      <c r="CP45" s="1743">
        <f t="shared" si="34"/>
        <v>0</v>
      </c>
      <c r="CQ45" s="1743">
        <f t="shared" si="34"/>
        <v>0</v>
      </c>
      <c r="CR45" s="1743">
        <f t="shared" si="34"/>
        <v>0</v>
      </c>
      <c r="CS45" s="1743">
        <f t="shared" si="34"/>
        <v>0</v>
      </c>
      <c r="CT45" s="1743">
        <f t="shared" si="34"/>
        <v>0</v>
      </c>
      <c r="CU45" s="1742">
        <f t="shared" si="34"/>
        <v>0</v>
      </c>
      <c r="CV45" s="1742">
        <f t="shared" si="34"/>
        <v>123895</v>
      </c>
      <c r="CW45" s="1744">
        <f>BT45-AQ45</f>
        <v>96</v>
      </c>
      <c r="CX45" s="1751">
        <f>BU45</f>
        <v>24</v>
      </c>
      <c r="CY45" s="1751">
        <f>CW45-CX45</f>
        <v>72</v>
      </c>
      <c r="CZ45" s="1751">
        <f>BW45</f>
        <v>29</v>
      </c>
      <c r="DA45" s="1751">
        <f>CW45-CZ45</f>
        <v>67</v>
      </c>
      <c r="DB45" s="1751">
        <f>BY45-AR45</f>
        <v>0</v>
      </c>
      <c r="DC45" s="1751">
        <f>BZ45-AR45</f>
        <v>0</v>
      </c>
      <c r="DD45" s="1752">
        <f>CB45-AS45</f>
        <v>0</v>
      </c>
      <c r="DE45" s="1753">
        <f>CC45-AS45</f>
        <v>0</v>
      </c>
      <c r="DF45" s="1630"/>
      <c r="DG45" s="1631"/>
      <c r="DH45" s="1631"/>
      <c r="DI45" s="1631"/>
      <c r="DJ45" s="1631"/>
      <c r="DK45" s="1631"/>
    </row>
    <row r="46" spans="1:115" ht="15.75" thickBot="1">
      <c r="A46" s="2377"/>
      <c r="B46" s="2559"/>
      <c r="C46" s="1669"/>
      <c r="D46" s="1669"/>
      <c r="E46" s="1670"/>
      <c r="F46" s="2363"/>
      <c r="G46" s="2384"/>
      <c r="H46" s="2369"/>
      <c r="I46" s="2369"/>
      <c r="J46" s="2353"/>
      <c r="K46" s="1671"/>
      <c r="L46" s="2374"/>
      <c r="M46" s="2374"/>
      <c r="N46" s="2374"/>
      <c r="O46" s="2372"/>
      <c r="P46" s="2372"/>
      <c r="Q46" s="2372"/>
      <c r="R46" s="2372"/>
      <c r="S46" s="2372"/>
      <c r="T46" s="2372"/>
      <c r="U46" s="2374"/>
      <c r="V46" s="2386"/>
      <c r="W46" s="2374"/>
      <c r="X46" s="1672"/>
      <c r="Y46" s="2362"/>
      <c r="Z46" s="2374"/>
      <c r="AA46" s="2374"/>
      <c r="AB46" s="2372"/>
      <c r="AC46" s="2372"/>
      <c r="AD46" s="2372"/>
      <c r="AE46" s="2372"/>
      <c r="AF46" s="2372"/>
      <c r="AG46" s="2374"/>
      <c r="AH46" s="2372"/>
      <c r="AI46" s="2372"/>
      <c r="AJ46" s="2372"/>
      <c r="AK46" s="2372"/>
      <c r="AL46" s="2372"/>
      <c r="AM46" s="2372"/>
      <c r="AN46" s="2374"/>
      <c r="AO46" s="2374"/>
      <c r="AP46" s="2359"/>
      <c r="AQ46" s="2353"/>
      <c r="AR46" s="2353"/>
      <c r="AS46" s="2353"/>
      <c r="AT46" s="2357"/>
      <c r="AU46" s="1673"/>
      <c r="AV46" s="2369"/>
      <c r="AW46" s="1671"/>
      <c r="AX46" s="1671"/>
      <c r="AY46" s="1671"/>
      <c r="AZ46" s="1671"/>
      <c r="BA46" s="2353"/>
      <c r="BB46" s="2374"/>
      <c r="BC46" s="2374"/>
      <c r="BD46" s="2372"/>
      <c r="BE46" s="2372"/>
      <c r="BF46" s="2372"/>
      <c r="BG46" s="2372"/>
      <c r="BH46" s="2372"/>
      <c r="BI46" s="2372"/>
      <c r="BJ46" s="2372"/>
      <c r="BK46" s="2374"/>
      <c r="BL46" s="2372"/>
      <c r="BM46" s="2372"/>
      <c r="BN46" s="2372"/>
      <c r="BO46" s="2372"/>
      <c r="BP46" s="2372"/>
      <c r="BQ46" s="2372"/>
      <c r="BR46" s="2372"/>
      <c r="BS46" s="2374"/>
      <c r="BT46" s="2353"/>
      <c r="BU46" s="2353"/>
      <c r="BV46" s="1748"/>
      <c r="BW46" s="1748"/>
      <c r="BX46" s="1748"/>
      <c r="BY46" s="1748"/>
      <c r="BZ46" s="1748"/>
      <c r="CA46" s="1748"/>
      <c r="CB46" s="1748"/>
      <c r="CC46" s="1748"/>
      <c r="CD46" s="1749"/>
      <c r="CE46" s="2388"/>
      <c r="CF46" s="2374"/>
      <c r="CG46" s="2372"/>
      <c r="CH46" s="2372"/>
      <c r="CI46" s="2372"/>
      <c r="CJ46" s="2372"/>
      <c r="CK46" s="2372"/>
      <c r="CL46" s="2372"/>
      <c r="CM46" s="2372"/>
      <c r="CN46" s="2374"/>
      <c r="CO46" s="2372"/>
      <c r="CP46" s="2372"/>
      <c r="CQ46" s="2372"/>
      <c r="CR46" s="2372"/>
      <c r="CS46" s="2372"/>
      <c r="CT46" s="2372"/>
      <c r="CU46" s="2374"/>
      <c r="CV46" s="2374"/>
      <c r="CW46" s="2386"/>
      <c r="CX46" s="2350"/>
      <c r="CY46" s="2350"/>
      <c r="CZ46" s="2350"/>
      <c r="DA46" s="2350"/>
      <c r="DB46" s="2350"/>
      <c r="DC46" s="2350"/>
      <c r="DD46" s="2363"/>
      <c r="DE46" s="2365"/>
      <c r="DF46" s="1630"/>
      <c r="DG46" s="1631"/>
      <c r="DH46" s="1631"/>
      <c r="DI46" s="1631"/>
      <c r="DJ46" s="1631"/>
      <c r="DK46" s="1631"/>
    </row>
    <row r="47" spans="1:115" ht="15.75" thickBot="1">
      <c r="A47" s="3104">
        <v>10</v>
      </c>
      <c r="B47" s="2558" t="str">
        <f t="shared" ref="B47:B49" si="35">1&amp;"0"&amp;C47&amp;IF(LEN(SUBSTITUTE(UPPER(D47),"P/O ",""))=1,"000"&amp;SUBSTITUTE(UPPER(D47),"P/O ",""),IF(LEN(SUBSTITUTE(UPPER(D47),"P/O ",""))=2,"00"&amp;SUBSTITUTE(UPPER(D47),"P/O ",""),IF(LEN(SUBSTITUTE(UPPER(D47),"P/O ",""))=3,"0"&amp;SUBSTITUTE(UPPER(D47),"P/O ",""),SUBSTITUTE(UPPER(D47),"P/O ",""))))</f>
        <v>1021850025</v>
      </c>
      <c r="C47" s="1674">
        <v>2185</v>
      </c>
      <c r="D47" s="1674">
        <v>25</v>
      </c>
      <c r="E47" s="1675" t="s">
        <v>1368</v>
      </c>
      <c r="F47" s="1676" t="s">
        <v>1369</v>
      </c>
      <c r="G47" s="1677">
        <v>19983</v>
      </c>
      <c r="H47" s="1678" t="s">
        <v>1323</v>
      </c>
      <c r="I47" s="2379"/>
      <c r="J47" s="2361" t="s">
        <v>1370</v>
      </c>
      <c r="K47" s="1679">
        <f>V47/G47</f>
        <v>0.90286743732172348</v>
      </c>
      <c r="L47" s="2355">
        <v>0</v>
      </c>
      <c r="M47" s="2355">
        <v>0</v>
      </c>
      <c r="N47" s="2355">
        <f>O47+P47+Q47+R47+S47+T47</f>
        <v>18042</v>
      </c>
      <c r="O47" s="2352">
        <v>18042</v>
      </c>
      <c r="P47" s="2352">
        <v>0</v>
      </c>
      <c r="Q47" s="2352">
        <v>0</v>
      </c>
      <c r="R47" s="2352">
        <v>0</v>
      </c>
      <c r="S47" s="2352">
        <v>0</v>
      </c>
      <c r="T47" s="2352">
        <v>0</v>
      </c>
      <c r="U47" s="2355">
        <v>0</v>
      </c>
      <c r="V47" s="2356">
        <f>N47+M47+L47+U47</f>
        <v>18042</v>
      </c>
      <c r="W47" s="2355">
        <v>0</v>
      </c>
      <c r="X47" s="3107" t="s">
        <v>1289</v>
      </c>
      <c r="Y47" s="3109" t="s">
        <v>1023</v>
      </c>
      <c r="Z47" s="3112">
        <v>0</v>
      </c>
      <c r="AA47" s="3112">
        <f>AB47+AC47+AD47+AE47+AF47</f>
        <v>0</v>
      </c>
      <c r="AB47" s="3115">
        <v>0</v>
      </c>
      <c r="AC47" s="3115">
        <v>0</v>
      </c>
      <c r="AD47" s="3115">
        <v>0</v>
      </c>
      <c r="AE47" s="3115">
        <v>0</v>
      </c>
      <c r="AF47" s="3115">
        <v>0</v>
      </c>
      <c r="AG47" s="3112">
        <f>AH47+AI47+AJ47+AK47+AL47+AM47+AN47</f>
        <v>18042</v>
      </c>
      <c r="AH47" s="3115">
        <v>0</v>
      </c>
      <c r="AI47" s="3115">
        <f>O47</f>
        <v>18042</v>
      </c>
      <c r="AJ47" s="3115">
        <v>0</v>
      </c>
      <c r="AK47" s="3115">
        <v>0</v>
      </c>
      <c r="AL47" s="3115">
        <v>0</v>
      </c>
      <c r="AM47" s="3115">
        <v>0</v>
      </c>
      <c r="AN47" s="3112">
        <v>0</v>
      </c>
      <c r="AO47" s="3112">
        <f>AG47+Z47+AA47</f>
        <v>18042</v>
      </c>
      <c r="AP47" s="3135">
        <f>AO47/G47</f>
        <v>0.90286743732172348</v>
      </c>
      <c r="AQ47" s="3136">
        <v>0</v>
      </c>
      <c r="AR47" s="3136">
        <v>0</v>
      </c>
      <c r="AS47" s="3136">
        <v>0</v>
      </c>
      <c r="AT47" s="3131">
        <v>20</v>
      </c>
      <c r="AU47" s="1680" t="s">
        <v>733</v>
      </c>
      <c r="AV47" s="2379" t="s">
        <v>706</v>
      </c>
      <c r="AW47" s="2371">
        <v>7.2</v>
      </c>
      <c r="AX47" s="2371">
        <v>6.45</v>
      </c>
      <c r="AY47" s="2371">
        <v>0.75</v>
      </c>
      <c r="AZ47" s="2371">
        <v>0</v>
      </c>
      <c r="BA47" s="2366"/>
      <c r="BB47" s="2355">
        <f>ROUND(AX47*G50,0)</f>
        <v>335400</v>
      </c>
      <c r="BC47" s="2355">
        <f>ROUND(AZ47*G50,0)</f>
        <v>0</v>
      </c>
      <c r="BD47" s="2352">
        <v>0</v>
      </c>
      <c r="BE47" s="2352">
        <v>0</v>
      </c>
      <c r="BF47" s="2352">
        <v>0</v>
      </c>
      <c r="BG47" s="2352">
        <v>0</v>
      </c>
      <c r="BH47" s="2352">
        <v>0</v>
      </c>
      <c r="BI47" s="2352">
        <v>0</v>
      </c>
      <c r="BJ47" s="2352">
        <v>0</v>
      </c>
      <c r="BK47" s="2355">
        <f>ROUND(AY47*G50,0)</f>
        <v>39000</v>
      </c>
      <c r="BL47" s="2352">
        <v>14987</v>
      </c>
      <c r="BM47" s="2352">
        <v>0</v>
      </c>
      <c r="BN47" s="2352">
        <f>BK47-BL47</f>
        <v>24013</v>
      </c>
      <c r="BO47" s="2352">
        <v>0</v>
      </c>
      <c r="BP47" s="2352">
        <v>0</v>
      </c>
      <c r="BQ47" s="2352">
        <v>0</v>
      </c>
      <c r="BR47" s="2352">
        <v>0</v>
      </c>
      <c r="BS47" s="2355">
        <f>ROUND(G50*AW47,0)</f>
        <v>374400</v>
      </c>
      <c r="BT47" s="2366">
        <f>ROUND(BB47/875,0)</f>
        <v>383</v>
      </c>
      <c r="BU47" s="2366">
        <f>ROUND(BT47*0.25,0)</f>
        <v>96</v>
      </c>
      <c r="BV47" s="2366">
        <f>BT47-BU47</f>
        <v>287</v>
      </c>
      <c r="BW47" s="2366">
        <f>ROUND(BT47*0.3,0)</f>
        <v>115</v>
      </c>
      <c r="BX47" s="2366">
        <f>BT47-BW47</f>
        <v>268</v>
      </c>
      <c r="BY47" s="2366">
        <f>ROUND(IF(((0.2*BV47)&gt;15),(0.2*BV47),0),0)</f>
        <v>57</v>
      </c>
      <c r="BZ47" s="2366">
        <f>ROUND(IF(((0.2*BX47)&gt;15),(0.2*BX47),0),0)</f>
        <v>54</v>
      </c>
      <c r="CA47" s="2366">
        <v>0</v>
      </c>
      <c r="CB47" s="2366">
        <f>CA47+BY47</f>
        <v>57</v>
      </c>
      <c r="CC47" s="2366">
        <f>BZ47+CA47</f>
        <v>54</v>
      </c>
      <c r="CD47" s="2367">
        <v>245</v>
      </c>
      <c r="CE47" s="3132">
        <f>BB47-Z47</f>
        <v>335400</v>
      </c>
      <c r="CF47" s="3112">
        <f>BC47-AA47</f>
        <v>0</v>
      </c>
      <c r="CG47" s="3115">
        <f>BD47</f>
        <v>0</v>
      </c>
      <c r="CH47" s="3115">
        <f>BE47-AB47</f>
        <v>0</v>
      </c>
      <c r="CI47" s="3115">
        <f>BF47</f>
        <v>0</v>
      </c>
      <c r="CJ47" s="3115">
        <f>BG47-AC47</f>
        <v>0</v>
      </c>
      <c r="CK47" s="3115">
        <f>BH47</f>
        <v>0</v>
      </c>
      <c r="CL47" s="3115">
        <f>BI47-AD47</f>
        <v>0</v>
      </c>
      <c r="CM47" s="3115">
        <f t="shared" ref="CM47:CU47" si="36">BJ47-AF47</f>
        <v>0</v>
      </c>
      <c r="CN47" s="3112">
        <f t="shared" si="36"/>
        <v>20958</v>
      </c>
      <c r="CO47" s="3115">
        <f t="shared" si="36"/>
        <v>14987</v>
      </c>
      <c r="CP47" s="3115">
        <f t="shared" si="36"/>
        <v>-18042</v>
      </c>
      <c r="CQ47" s="3115">
        <f t="shared" si="36"/>
        <v>24013</v>
      </c>
      <c r="CR47" s="3115">
        <f t="shared" si="36"/>
        <v>0</v>
      </c>
      <c r="CS47" s="3115">
        <f t="shared" si="36"/>
        <v>0</v>
      </c>
      <c r="CT47" s="3115">
        <f t="shared" si="36"/>
        <v>0</v>
      </c>
      <c r="CU47" s="3112">
        <f t="shared" si="36"/>
        <v>0</v>
      </c>
      <c r="CV47" s="3112">
        <f>BS47-AO47</f>
        <v>356358</v>
      </c>
      <c r="CW47" s="3125">
        <f>BT47-AQ47</f>
        <v>383</v>
      </c>
      <c r="CX47" s="3128">
        <f>BU47</f>
        <v>96</v>
      </c>
      <c r="CY47" s="3128">
        <f>CW47-CX47</f>
        <v>287</v>
      </c>
      <c r="CZ47" s="3128">
        <f>BW47</f>
        <v>115</v>
      </c>
      <c r="DA47" s="3128">
        <f>CW47-CZ47</f>
        <v>268</v>
      </c>
      <c r="DB47" s="3128">
        <f>BY47-AR47</f>
        <v>57</v>
      </c>
      <c r="DC47" s="3128">
        <f>BZ47-AR47</f>
        <v>54</v>
      </c>
      <c r="DD47" s="3128">
        <f>CB47-AS47</f>
        <v>57</v>
      </c>
      <c r="DE47" s="3118">
        <f>CC47-AS47</f>
        <v>54</v>
      </c>
      <c r="DF47" s="1630"/>
      <c r="DG47" s="1631"/>
      <c r="DH47" s="1631"/>
      <c r="DI47" s="1631"/>
      <c r="DJ47" s="1631"/>
      <c r="DK47" s="1631"/>
    </row>
    <row r="48" spans="1:115" ht="15.75" thickBot="1">
      <c r="A48" s="3105"/>
      <c r="B48" s="2558">
        <v>1021850036</v>
      </c>
      <c r="C48" s="1682">
        <v>2185</v>
      </c>
      <c r="D48" s="1682" t="s">
        <v>1371</v>
      </c>
      <c r="E48" s="1683" t="s">
        <v>1372</v>
      </c>
      <c r="F48" s="1684" t="s">
        <v>1373</v>
      </c>
      <c r="G48" s="2384">
        <v>6057</v>
      </c>
      <c r="H48" s="1685" t="s">
        <v>1323</v>
      </c>
      <c r="I48" s="2369"/>
      <c r="J48" s="2388" t="s">
        <v>1374</v>
      </c>
      <c r="K48" s="1671">
        <f>V48/G48</f>
        <v>0</v>
      </c>
      <c r="L48" s="2374">
        <v>0</v>
      </c>
      <c r="M48" s="2374">
        <v>0</v>
      </c>
      <c r="N48" s="2374">
        <f>O48+P48+Q48+R48+S48+T48</f>
        <v>0</v>
      </c>
      <c r="O48" s="2372">
        <v>0</v>
      </c>
      <c r="P48" s="2372">
        <v>0</v>
      </c>
      <c r="Q48" s="2372">
        <v>0</v>
      </c>
      <c r="R48" s="2372">
        <v>0</v>
      </c>
      <c r="S48" s="2372">
        <v>0</v>
      </c>
      <c r="T48" s="2372">
        <v>0</v>
      </c>
      <c r="U48" s="2374">
        <v>0</v>
      </c>
      <c r="V48" s="2386">
        <f>N48+M48+L48+U48</f>
        <v>0</v>
      </c>
      <c r="W48" s="2374">
        <v>0</v>
      </c>
      <c r="X48" s="3108"/>
      <c r="Y48" s="3110"/>
      <c r="Z48" s="3113"/>
      <c r="AA48" s="3113"/>
      <c r="AB48" s="3116"/>
      <c r="AC48" s="3116"/>
      <c r="AD48" s="3116"/>
      <c r="AE48" s="3116"/>
      <c r="AF48" s="3113"/>
      <c r="AG48" s="3113"/>
      <c r="AH48" s="3116"/>
      <c r="AI48" s="3116"/>
      <c r="AJ48" s="3116"/>
      <c r="AK48" s="3116"/>
      <c r="AL48" s="3116"/>
      <c r="AM48" s="3116"/>
      <c r="AN48" s="3113"/>
      <c r="AO48" s="3113"/>
      <c r="AP48" s="3123"/>
      <c r="AQ48" s="3123"/>
      <c r="AR48" s="3123"/>
      <c r="AS48" s="3123"/>
      <c r="AT48" s="3126"/>
      <c r="AU48" s="1673"/>
      <c r="AV48" s="2369"/>
      <c r="AW48" s="2353"/>
      <c r="AX48" s="2353"/>
      <c r="AY48" s="2353"/>
      <c r="AZ48" s="2353"/>
      <c r="BA48" s="2353"/>
      <c r="BB48" s="2353"/>
      <c r="BC48" s="2353"/>
      <c r="BD48" s="2353"/>
      <c r="BE48" s="2353"/>
      <c r="BF48" s="2353"/>
      <c r="BG48" s="2353"/>
      <c r="BH48" s="2353"/>
      <c r="BI48" s="2353"/>
      <c r="BJ48" s="2353"/>
      <c r="BK48" s="2353"/>
      <c r="BL48" s="2353"/>
      <c r="BM48" s="2353"/>
      <c r="BN48" s="2353"/>
      <c r="BO48" s="2353"/>
      <c r="BP48" s="2353"/>
      <c r="BQ48" s="2353"/>
      <c r="BR48" s="2353"/>
      <c r="BS48" s="2353"/>
      <c r="BT48" s="2353"/>
      <c r="BU48" s="2353"/>
      <c r="BV48" s="2353"/>
      <c r="BW48" s="2353"/>
      <c r="BX48" s="2353"/>
      <c r="BY48" s="2353"/>
      <c r="BZ48" s="2353"/>
      <c r="CA48" s="2353"/>
      <c r="CB48" s="2353"/>
      <c r="CC48" s="2353"/>
      <c r="CD48" s="2357"/>
      <c r="CE48" s="3133"/>
      <c r="CF48" s="3123"/>
      <c r="CG48" s="3123"/>
      <c r="CH48" s="3123"/>
      <c r="CI48" s="3123"/>
      <c r="CJ48" s="3123"/>
      <c r="CK48" s="3123"/>
      <c r="CL48" s="3123"/>
      <c r="CM48" s="3123"/>
      <c r="CN48" s="3123"/>
      <c r="CO48" s="3123"/>
      <c r="CP48" s="3123"/>
      <c r="CQ48" s="3123"/>
      <c r="CR48" s="3123"/>
      <c r="CS48" s="3123"/>
      <c r="CT48" s="3123"/>
      <c r="CU48" s="3123"/>
      <c r="CV48" s="3123"/>
      <c r="CW48" s="3126"/>
      <c r="CX48" s="3129"/>
      <c r="CY48" s="3129"/>
      <c r="CZ48" s="3129"/>
      <c r="DA48" s="3129"/>
      <c r="DB48" s="3129"/>
      <c r="DC48" s="3129"/>
      <c r="DD48" s="3129"/>
      <c r="DE48" s="3119"/>
      <c r="DF48" s="1630"/>
      <c r="DG48" s="1631"/>
      <c r="DH48" s="1631"/>
      <c r="DI48" s="1631"/>
      <c r="DJ48" s="1631"/>
      <c r="DK48" s="1631"/>
    </row>
    <row r="49" spans="1:115">
      <c r="A49" s="3105"/>
      <c r="B49" s="2558" t="str">
        <f t="shared" si="35"/>
        <v>1021850051</v>
      </c>
      <c r="C49" s="1682">
        <v>2185</v>
      </c>
      <c r="D49" s="1682">
        <v>51</v>
      </c>
      <c r="E49" s="1683" t="s">
        <v>1375</v>
      </c>
      <c r="F49" s="1684" t="s">
        <v>1356</v>
      </c>
      <c r="G49" s="1686">
        <v>25960</v>
      </c>
      <c r="H49" s="1685" t="s">
        <v>1323</v>
      </c>
      <c r="I49" s="2369"/>
      <c r="J49" s="2388" t="s">
        <v>1376</v>
      </c>
      <c r="K49" s="1671">
        <f>V49/G49</f>
        <v>0</v>
      </c>
      <c r="L49" s="1687">
        <v>0</v>
      </c>
      <c r="M49" s="1687">
        <v>0</v>
      </c>
      <c r="N49" s="1687">
        <f>O49+P49+Q49+R49+S49+T49</f>
        <v>0</v>
      </c>
      <c r="O49" s="1688">
        <v>0</v>
      </c>
      <c r="P49" s="1688">
        <v>0</v>
      </c>
      <c r="Q49" s="1688">
        <v>0</v>
      </c>
      <c r="R49" s="1688">
        <v>0</v>
      </c>
      <c r="S49" s="1688">
        <v>0</v>
      </c>
      <c r="T49" s="1688">
        <v>0</v>
      </c>
      <c r="U49" s="1687">
        <v>0</v>
      </c>
      <c r="V49" s="1689">
        <f>N49+M49+L49+U49</f>
        <v>0</v>
      </c>
      <c r="W49" s="1687">
        <v>0</v>
      </c>
      <c r="X49" s="3108"/>
      <c r="Y49" s="3110"/>
      <c r="Z49" s="3113"/>
      <c r="AA49" s="3113"/>
      <c r="AB49" s="3116"/>
      <c r="AC49" s="3116"/>
      <c r="AD49" s="3116"/>
      <c r="AE49" s="3116"/>
      <c r="AF49" s="3113"/>
      <c r="AG49" s="3113"/>
      <c r="AH49" s="3116"/>
      <c r="AI49" s="3116"/>
      <c r="AJ49" s="3116"/>
      <c r="AK49" s="3116"/>
      <c r="AL49" s="3116"/>
      <c r="AM49" s="3116"/>
      <c r="AN49" s="3113"/>
      <c r="AO49" s="3113"/>
      <c r="AP49" s="3123"/>
      <c r="AQ49" s="3123"/>
      <c r="AR49" s="3123"/>
      <c r="AS49" s="3123"/>
      <c r="AT49" s="3126"/>
      <c r="AU49" s="1673"/>
      <c r="AV49" s="2369"/>
      <c r="AW49" s="2353"/>
      <c r="AX49" s="2353"/>
      <c r="AY49" s="2353"/>
      <c r="AZ49" s="2353"/>
      <c r="BA49" s="2353"/>
      <c r="BB49" s="2353"/>
      <c r="BC49" s="2353"/>
      <c r="BD49" s="2353"/>
      <c r="BE49" s="2353"/>
      <c r="BF49" s="2353"/>
      <c r="BG49" s="2353"/>
      <c r="BH49" s="2353"/>
      <c r="BI49" s="2353"/>
      <c r="BJ49" s="2353"/>
      <c r="BK49" s="2353"/>
      <c r="BL49" s="2353"/>
      <c r="BM49" s="2353"/>
      <c r="BN49" s="2353"/>
      <c r="BO49" s="2353"/>
      <c r="BP49" s="2353"/>
      <c r="BQ49" s="2353"/>
      <c r="BR49" s="2353"/>
      <c r="BS49" s="2353"/>
      <c r="BT49" s="2353"/>
      <c r="BU49" s="2353"/>
      <c r="BV49" s="2353"/>
      <c r="BW49" s="2353"/>
      <c r="BX49" s="2353"/>
      <c r="BY49" s="2353"/>
      <c r="BZ49" s="2353"/>
      <c r="CA49" s="2353"/>
      <c r="CB49" s="2353"/>
      <c r="CC49" s="2353"/>
      <c r="CD49" s="2357"/>
      <c r="CE49" s="3133"/>
      <c r="CF49" s="3123"/>
      <c r="CG49" s="3123"/>
      <c r="CH49" s="3123"/>
      <c r="CI49" s="3123"/>
      <c r="CJ49" s="3123"/>
      <c r="CK49" s="3123"/>
      <c r="CL49" s="3123"/>
      <c r="CM49" s="3123"/>
      <c r="CN49" s="3123"/>
      <c r="CO49" s="3123"/>
      <c r="CP49" s="3123"/>
      <c r="CQ49" s="3123"/>
      <c r="CR49" s="3123"/>
      <c r="CS49" s="3123"/>
      <c r="CT49" s="3123"/>
      <c r="CU49" s="3123"/>
      <c r="CV49" s="3123"/>
      <c r="CW49" s="3126"/>
      <c r="CX49" s="3129"/>
      <c r="CY49" s="3129"/>
      <c r="CZ49" s="3129"/>
      <c r="DA49" s="3129"/>
      <c r="DB49" s="3129"/>
      <c r="DC49" s="3129"/>
      <c r="DD49" s="3129"/>
      <c r="DE49" s="3119"/>
      <c r="DF49" s="1630"/>
      <c r="DG49" s="1631"/>
      <c r="DH49" s="1631"/>
      <c r="DI49" s="1631"/>
      <c r="DJ49" s="1631"/>
      <c r="DK49" s="1631"/>
    </row>
    <row r="50" spans="1:115">
      <c r="A50" s="3145"/>
      <c r="B50" s="2563"/>
      <c r="C50" s="1731"/>
      <c r="D50" s="1731"/>
      <c r="E50" s="1732"/>
      <c r="F50" s="1725" t="s">
        <v>1377</v>
      </c>
      <c r="G50" s="2385">
        <f>SUM(G47:G49)</f>
        <v>52000</v>
      </c>
      <c r="H50" s="2370" t="s">
        <v>1323</v>
      </c>
      <c r="I50" s="2370"/>
      <c r="J50" s="2354"/>
      <c r="K50" s="1726">
        <f>V50/G50</f>
        <v>0.34696153846153849</v>
      </c>
      <c r="L50" s="2375">
        <f>SUM(L47:L49)</f>
        <v>0</v>
      </c>
      <c r="M50" s="2375">
        <f t="shared" ref="M50:W50" si="37">SUM(M47:M49)</f>
        <v>0</v>
      </c>
      <c r="N50" s="2375">
        <f t="shared" si="37"/>
        <v>18042</v>
      </c>
      <c r="O50" s="2373">
        <f t="shared" si="37"/>
        <v>18042</v>
      </c>
      <c r="P50" s="2373">
        <f t="shared" si="37"/>
        <v>0</v>
      </c>
      <c r="Q50" s="2373">
        <f t="shared" si="37"/>
        <v>0</v>
      </c>
      <c r="R50" s="2373">
        <f t="shared" si="37"/>
        <v>0</v>
      </c>
      <c r="S50" s="2373">
        <f t="shared" si="37"/>
        <v>0</v>
      </c>
      <c r="T50" s="2373">
        <f t="shared" si="37"/>
        <v>0</v>
      </c>
      <c r="U50" s="2375">
        <f t="shared" si="37"/>
        <v>0</v>
      </c>
      <c r="V50" s="2387">
        <f t="shared" si="37"/>
        <v>18042</v>
      </c>
      <c r="W50" s="2375">
        <f t="shared" si="37"/>
        <v>0</v>
      </c>
      <c r="X50" s="3146"/>
      <c r="Y50" s="3111"/>
      <c r="Z50" s="3149"/>
      <c r="AA50" s="3149"/>
      <c r="AB50" s="3150"/>
      <c r="AC50" s="3150"/>
      <c r="AD50" s="3150"/>
      <c r="AE50" s="3150"/>
      <c r="AF50" s="3149"/>
      <c r="AG50" s="3149"/>
      <c r="AH50" s="3150"/>
      <c r="AI50" s="3150"/>
      <c r="AJ50" s="3150"/>
      <c r="AK50" s="3150"/>
      <c r="AL50" s="3150"/>
      <c r="AM50" s="3150"/>
      <c r="AN50" s="3149"/>
      <c r="AO50" s="3149"/>
      <c r="AP50" s="3156"/>
      <c r="AQ50" s="3156"/>
      <c r="AR50" s="3156"/>
      <c r="AS50" s="3156"/>
      <c r="AT50" s="3161"/>
      <c r="AU50" s="1730"/>
      <c r="AV50" s="2370"/>
      <c r="AW50" s="2354"/>
      <c r="AX50" s="2354"/>
      <c r="AY50" s="2354"/>
      <c r="AZ50" s="2354"/>
      <c r="BA50" s="2354"/>
      <c r="BB50" s="2354"/>
      <c r="BC50" s="2354"/>
      <c r="BD50" s="2354"/>
      <c r="BE50" s="2354"/>
      <c r="BF50" s="2354"/>
      <c r="BG50" s="2354"/>
      <c r="BH50" s="2354"/>
      <c r="BI50" s="2354"/>
      <c r="BJ50" s="2354"/>
      <c r="BK50" s="2354"/>
      <c r="BL50" s="2354"/>
      <c r="BM50" s="2354"/>
      <c r="BN50" s="2354"/>
      <c r="BO50" s="2354"/>
      <c r="BP50" s="2354"/>
      <c r="BQ50" s="2354"/>
      <c r="BR50" s="2354"/>
      <c r="BS50" s="2354"/>
      <c r="BT50" s="2354"/>
      <c r="BU50" s="2354"/>
      <c r="BV50" s="2354"/>
      <c r="BW50" s="2354"/>
      <c r="BX50" s="2354"/>
      <c r="BY50" s="2354"/>
      <c r="BZ50" s="2354"/>
      <c r="CA50" s="2354"/>
      <c r="CB50" s="2354"/>
      <c r="CC50" s="2354"/>
      <c r="CD50" s="2358"/>
      <c r="CE50" s="3162"/>
      <c r="CF50" s="3156"/>
      <c r="CG50" s="3156"/>
      <c r="CH50" s="3156"/>
      <c r="CI50" s="3156"/>
      <c r="CJ50" s="3156"/>
      <c r="CK50" s="3156"/>
      <c r="CL50" s="3156"/>
      <c r="CM50" s="3156"/>
      <c r="CN50" s="3156"/>
      <c r="CO50" s="3156"/>
      <c r="CP50" s="3156"/>
      <c r="CQ50" s="3156"/>
      <c r="CR50" s="3156"/>
      <c r="CS50" s="3156"/>
      <c r="CT50" s="3156"/>
      <c r="CU50" s="3156"/>
      <c r="CV50" s="3156"/>
      <c r="CW50" s="3161"/>
      <c r="CX50" s="3163"/>
      <c r="CY50" s="3163"/>
      <c r="CZ50" s="3163"/>
      <c r="DA50" s="3163"/>
      <c r="DB50" s="3163"/>
      <c r="DC50" s="3163"/>
      <c r="DD50" s="3163"/>
      <c r="DE50" s="3164"/>
      <c r="DF50" s="1630"/>
      <c r="DG50" s="1631"/>
      <c r="DH50" s="1631"/>
      <c r="DI50" s="1631"/>
      <c r="DJ50" s="1631"/>
      <c r="DK50" s="1631"/>
    </row>
    <row r="51" spans="1:115" ht="15.75" thickBot="1">
      <c r="A51" s="2377"/>
      <c r="B51" s="2559"/>
      <c r="C51" s="1669"/>
      <c r="D51" s="1669"/>
      <c r="E51" s="1670"/>
      <c r="F51" s="2363"/>
      <c r="G51" s="2384"/>
      <c r="H51" s="2369"/>
      <c r="I51" s="2369"/>
      <c r="J51" s="2353"/>
      <c r="K51" s="1671"/>
      <c r="L51" s="2374"/>
      <c r="M51" s="2374"/>
      <c r="N51" s="2374"/>
      <c r="O51" s="2372"/>
      <c r="P51" s="2372"/>
      <c r="Q51" s="2372"/>
      <c r="R51" s="2372"/>
      <c r="S51" s="2372"/>
      <c r="T51" s="2372"/>
      <c r="U51" s="2374"/>
      <c r="V51" s="2386"/>
      <c r="W51" s="2374"/>
      <c r="X51" s="1672"/>
      <c r="Y51" s="2362"/>
      <c r="Z51" s="2374"/>
      <c r="AA51" s="2374"/>
      <c r="AB51" s="2372"/>
      <c r="AC51" s="2372"/>
      <c r="AD51" s="2372"/>
      <c r="AE51" s="2372"/>
      <c r="AF51" s="2372"/>
      <c r="AG51" s="2374"/>
      <c r="AH51" s="2372"/>
      <c r="AI51" s="2372"/>
      <c r="AJ51" s="2372"/>
      <c r="AK51" s="2372"/>
      <c r="AL51" s="2372"/>
      <c r="AM51" s="2372"/>
      <c r="AN51" s="2374"/>
      <c r="AO51" s="2374"/>
      <c r="AP51" s="2359"/>
      <c r="AQ51" s="2353"/>
      <c r="AR51" s="2353"/>
      <c r="AS51" s="2353"/>
      <c r="AT51" s="2357"/>
      <c r="AU51" s="1673"/>
      <c r="AV51" s="2369"/>
      <c r="AW51" s="1671"/>
      <c r="AX51" s="1671"/>
      <c r="AY51" s="1671"/>
      <c r="AZ51" s="1671"/>
      <c r="BA51" s="2353"/>
      <c r="BB51" s="2374"/>
      <c r="BC51" s="2374"/>
      <c r="BD51" s="2372"/>
      <c r="BE51" s="2372"/>
      <c r="BF51" s="2372"/>
      <c r="BG51" s="2372"/>
      <c r="BH51" s="2372"/>
      <c r="BI51" s="2372"/>
      <c r="BJ51" s="2372"/>
      <c r="BK51" s="2374"/>
      <c r="BL51" s="2372"/>
      <c r="BM51" s="2372"/>
      <c r="BN51" s="2372"/>
      <c r="BO51" s="2372"/>
      <c r="BP51" s="2372"/>
      <c r="BQ51" s="2372"/>
      <c r="BR51" s="2372"/>
      <c r="BS51" s="2374"/>
      <c r="BT51" s="2353"/>
      <c r="BU51" s="2353"/>
      <c r="BV51" s="2353"/>
      <c r="BW51" s="2353"/>
      <c r="BX51" s="2353"/>
      <c r="BY51" s="2353"/>
      <c r="BZ51" s="2353"/>
      <c r="CA51" s="2353"/>
      <c r="CB51" s="2353"/>
      <c r="CC51" s="2353"/>
      <c r="CD51" s="2357"/>
      <c r="CE51" s="2388"/>
      <c r="CF51" s="2374"/>
      <c r="CG51" s="2372"/>
      <c r="CH51" s="2372"/>
      <c r="CI51" s="2372"/>
      <c r="CJ51" s="2372"/>
      <c r="CK51" s="2372"/>
      <c r="CL51" s="2352"/>
      <c r="CM51" s="2372"/>
      <c r="CN51" s="2374"/>
      <c r="CO51" s="2372"/>
      <c r="CP51" s="2372"/>
      <c r="CQ51" s="2372"/>
      <c r="CR51" s="2372"/>
      <c r="CS51" s="2372"/>
      <c r="CT51" s="2372"/>
      <c r="CU51" s="2374"/>
      <c r="CV51" s="2374"/>
      <c r="CW51" s="2386"/>
      <c r="CX51" s="2350"/>
      <c r="CY51" s="2350"/>
      <c r="CZ51" s="2350"/>
      <c r="DA51" s="2350"/>
      <c r="DB51" s="2350"/>
      <c r="DC51" s="2350"/>
      <c r="DD51" s="2363"/>
      <c r="DE51" s="2365"/>
      <c r="DF51" s="1630"/>
      <c r="DG51" s="1631"/>
      <c r="DH51" s="1631"/>
      <c r="DI51" s="1631"/>
      <c r="DJ51" s="1631"/>
      <c r="DK51" s="1631"/>
    </row>
    <row r="52" spans="1:115" ht="15.75" thickBot="1">
      <c r="A52" s="3104">
        <v>11</v>
      </c>
      <c r="B52" s="2558" t="str">
        <f t="shared" ref="B52:B53" si="38">1&amp;"0"&amp;C52&amp;IF(LEN(SUBSTITUTE(UPPER(D52),"P/O ",""))=1,"000"&amp;SUBSTITUTE(UPPER(D52),"P/O ",""),IF(LEN(SUBSTITUTE(UPPER(D52),"P/O ",""))=2,"00"&amp;SUBSTITUTE(UPPER(D52),"P/O ",""),IF(LEN(SUBSTITUTE(UPPER(D52),"P/O ",""))=3,"0"&amp;SUBSTITUTE(UPPER(D52),"P/O ",""),SUBSTITUTE(UPPER(D52),"P/O ",""))))</f>
        <v>1022020001</v>
      </c>
      <c r="C52" s="1674">
        <v>2202</v>
      </c>
      <c r="D52" s="1674">
        <v>1</v>
      </c>
      <c r="E52" s="1675" t="s">
        <v>1378</v>
      </c>
      <c r="F52" s="1676" t="s">
        <v>1379</v>
      </c>
      <c r="G52" s="1677">
        <v>9992</v>
      </c>
      <c r="H52" s="1678" t="s">
        <v>1344</v>
      </c>
      <c r="I52" s="2379" t="s">
        <v>727</v>
      </c>
      <c r="J52" s="2361" t="s">
        <v>1370</v>
      </c>
      <c r="K52" s="1679">
        <f>V52/G52</f>
        <v>0.10008006405124099</v>
      </c>
      <c r="L52" s="2355">
        <v>0</v>
      </c>
      <c r="M52" s="2355">
        <v>0</v>
      </c>
      <c r="N52" s="2355">
        <f>O52+P52+Q52+R52+S52+T52</f>
        <v>1000</v>
      </c>
      <c r="O52" s="2352">
        <v>0</v>
      </c>
      <c r="P52" s="2352">
        <v>0</v>
      </c>
      <c r="Q52" s="2352">
        <v>1000</v>
      </c>
      <c r="R52" s="2352">
        <v>0</v>
      </c>
      <c r="S52" s="2352">
        <v>0</v>
      </c>
      <c r="T52" s="2352">
        <v>0</v>
      </c>
      <c r="U52" s="2355">
        <v>0</v>
      </c>
      <c r="V52" s="2356">
        <f>N52+M52+L52+U52</f>
        <v>1000</v>
      </c>
      <c r="W52" s="2355">
        <v>0</v>
      </c>
      <c r="X52" s="3107" t="s">
        <v>1380</v>
      </c>
      <c r="Y52" s="3109" t="s">
        <v>1381</v>
      </c>
      <c r="Z52" s="3112">
        <f>ROUND(G54*2.69,0)</f>
        <v>53757</v>
      </c>
      <c r="AA52" s="3112">
        <f>AB52+AC52+AD52+AE52+AF52</f>
        <v>0</v>
      </c>
      <c r="AB52" s="3115">
        <v>0</v>
      </c>
      <c r="AC52" s="3115">
        <v>0</v>
      </c>
      <c r="AD52" s="3115">
        <v>0</v>
      </c>
      <c r="AE52" s="3115">
        <v>0</v>
      </c>
      <c r="AF52" s="3115">
        <v>0</v>
      </c>
      <c r="AG52" s="3112">
        <f>AH52+AI52+AJ52+AK52+AL52+AM52+AN52</f>
        <v>14988</v>
      </c>
      <c r="AH52" s="3115">
        <f>ROUND(G54*0.75,0)</f>
        <v>14988</v>
      </c>
      <c r="AI52" s="3115">
        <v>0</v>
      </c>
      <c r="AJ52" s="3115">
        <v>0</v>
      </c>
      <c r="AK52" s="3115">
        <v>0</v>
      </c>
      <c r="AL52" s="3115">
        <v>0</v>
      </c>
      <c r="AM52" s="3115">
        <v>0</v>
      </c>
      <c r="AN52" s="3112">
        <v>0</v>
      </c>
      <c r="AO52" s="3112">
        <f>AG52+Z52+AA52</f>
        <v>68745</v>
      </c>
      <c r="AP52" s="3135">
        <f>AO52/G52</f>
        <v>6.8800040032025622</v>
      </c>
      <c r="AQ52" s="3136">
        <f>ROUND(Z52/875,0)</f>
        <v>61</v>
      </c>
      <c r="AR52" s="3136">
        <f>ROUND(AQ52*0.5,0)</f>
        <v>31</v>
      </c>
      <c r="AS52" s="3136">
        <f>AR52</f>
        <v>31</v>
      </c>
      <c r="AT52" s="3131">
        <v>80</v>
      </c>
      <c r="AU52" s="1680" t="s">
        <v>741</v>
      </c>
      <c r="AV52" s="2379" t="s">
        <v>706</v>
      </c>
      <c r="AW52" s="2371">
        <v>7.2</v>
      </c>
      <c r="AX52" s="2371">
        <v>6.45</v>
      </c>
      <c r="AY52" s="2371">
        <v>0.75</v>
      </c>
      <c r="AZ52" s="2371">
        <v>0</v>
      </c>
      <c r="BA52" s="2366"/>
      <c r="BB52" s="2355">
        <f>ROUND(AX52*G54,0)</f>
        <v>128897</v>
      </c>
      <c r="BC52" s="2355">
        <f>ROUND(AZ52*G54,0)</f>
        <v>0</v>
      </c>
      <c r="BD52" s="2352">
        <v>0</v>
      </c>
      <c r="BE52" s="2352">
        <v>0</v>
      </c>
      <c r="BF52" s="2352">
        <v>0</v>
      </c>
      <c r="BG52" s="2352">
        <v>0</v>
      </c>
      <c r="BH52" s="2352">
        <v>0</v>
      </c>
      <c r="BI52" s="2352">
        <v>0</v>
      </c>
      <c r="BJ52" s="2352">
        <v>0</v>
      </c>
      <c r="BK52" s="2355">
        <f>ROUND(G54*AY52,0)</f>
        <v>14988</v>
      </c>
      <c r="BL52" s="2352">
        <f>BK52</f>
        <v>14988</v>
      </c>
      <c r="BM52" s="2352">
        <v>0</v>
      </c>
      <c r="BN52" s="2352">
        <v>0</v>
      </c>
      <c r="BO52" s="2352">
        <v>0</v>
      </c>
      <c r="BP52" s="2352">
        <v>0</v>
      </c>
      <c r="BQ52" s="2352">
        <v>0</v>
      </c>
      <c r="BR52" s="2352">
        <v>0</v>
      </c>
      <c r="BS52" s="2355">
        <f>ROUND(G54*AW52,0)</f>
        <v>143885</v>
      </c>
      <c r="BT52" s="2366">
        <f>ROUND(BB52/875,0)</f>
        <v>147</v>
      </c>
      <c r="BU52" s="2366">
        <f>ROUND(BT52*0.25,0)</f>
        <v>37</v>
      </c>
      <c r="BV52" s="2366">
        <f>BT52-BU52</f>
        <v>110</v>
      </c>
      <c r="BW52" s="2366">
        <f>ROUND(BT52*0.3,0)</f>
        <v>44</v>
      </c>
      <c r="BX52" s="2366">
        <f>BT52-BW52</f>
        <v>103</v>
      </c>
      <c r="BY52" s="2366">
        <f>ROUND(IF(((0.2*BV52)&gt;15),(0.2*BV52),0),0)</f>
        <v>22</v>
      </c>
      <c r="BZ52" s="2366">
        <f>ROUND(IF(((0.2*BX52)&gt;15),(0.2*BX52),0),0)</f>
        <v>21</v>
      </c>
      <c r="CA52" s="2366">
        <v>0</v>
      </c>
      <c r="CB52" s="2366">
        <f>CA52+BY52</f>
        <v>22</v>
      </c>
      <c r="CC52" s="2366">
        <f>CA52+BZ52</f>
        <v>21</v>
      </c>
      <c r="CD52" s="2367">
        <v>165</v>
      </c>
      <c r="CE52" s="3132">
        <f>BB52-Z52</f>
        <v>75140</v>
      </c>
      <c r="CF52" s="3112">
        <f>BC52-AA52</f>
        <v>0</v>
      </c>
      <c r="CG52" s="3115">
        <f>BD52</f>
        <v>0</v>
      </c>
      <c r="CH52" s="3115">
        <f>BE52-AB52</f>
        <v>0</v>
      </c>
      <c r="CI52" s="3115">
        <f>BF52</f>
        <v>0</v>
      </c>
      <c r="CJ52" s="3115">
        <f>BG52-AC52</f>
        <v>0</v>
      </c>
      <c r="CK52" s="3115">
        <f>BH52</f>
        <v>0</v>
      </c>
      <c r="CL52" s="3115">
        <f>BI52-AD52</f>
        <v>0</v>
      </c>
      <c r="CM52" s="3115">
        <f t="shared" ref="CM52:CV52" si="39">BJ52-AF52</f>
        <v>0</v>
      </c>
      <c r="CN52" s="3112">
        <f t="shared" si="39"/>
        <v>0</v>
      </c>
      <c r="CO52" s="3115">
        <f t="shared" si="39"/>
        <v>0</v>
      </c>
      <c r="CP52" s="3115">
        <f t="shared" si="39"/>
        <v>0</v>
      </c>
      <c r="CQ52" s="3115">
        <f t="shared" si="39"/>
        <v>0</v>
      </c>
      <c r="CR52" s="3115">
        <f t="shared" si="39"/>
        <v>0</v>
      </c>
      <c r="CS52" s="3115">
        <f t="shared" si="39"/>
        <v>0</v>
      </c>
      <c r="CT52" s="3115">
        <f t="shared" si="39"/>
        <v>0</v>
      </c>
      <c r="CU52" s="3112">
        <f t="shared" si="39"/>
        <v>0</v>
      </c>
      <c r="CV52" s="3112">
        <f t="shared" si="39"/>
        <v>75140</v>
      </c>
      <c r="CW52" s="3125">
        <f>BT52-AQ52</f>
        <v>86</v>
      </c>
      <c r="CX52" s="3128">
        <f>BU52</f>
        <v>37</v>
      </c>
      <c r="CY52" s="3128">
        <f>CW52-CX52</f>
        <v>49</v>
      </c>
      <c r="CZ52" s="3128">
        <f>BW52</f>
        <v>44</v>
      </c>
      <c r="DA52" s="3128">
        <f>CW52-CZ52</f>
        <v>42</v>
      </c>
      <c r="DB52" s="3128">
        <f>BY52-AR52</f>
        <v>-9</v>
      </c>
      <c r="DC52" s="3128">
        <f>BZ52-AR52</f>
        <v>-10</v>
      </c>
      <c r="DD52" s="3128">
        <f>CB52-AS52</f>
        <v>-9</v>
      </c>
      <c r="DE52" s="3118">
        <f>CC52-AS52</f>
        <v>-10</v>
      </c>
      <c r="DF52" s="1630"/>
      <c r="DG52" s="1631"/>
      <c r="DH52" s="1631"/>
      <c r="DI52" s="1631"/>
      <c r="DJ52" s="1631"/>
      <c r="DK52" s="1631"/>
    </row>
    <row r="53" spans="1:115">
      <c r="A53" s="3105"/>
      <c r="B53" s="2558" t="str">
        <f t="shared" si="38"/>
        <v>1022020005</v>
      </c>
      <c r="C53" s="1682">
        <v>2202</v>
      </c>
      <c r="D53" s="1682">
        <v>5</v>
      </c>
      <c r="E53" s="1683" t="s">
        <v>1382</v>
      </c>
      <c r="F53" s="1684" t="s">
        <v>1379</v>
      </c>
      <c r="G53" s="1686">
        <v>9992</v>
      </c>
      <c r="H53" s="1685" t="s">
        <v>1344</v>
      </c>
      <c r="I53" s="2369" t="s">
        <v>706</v>
      </c>
      <c r="J53" s="2388" t="s">
        <v>1370</v>
      </c>
      <c r="K53" s="1671">
        <f>V53/G53</f>
        <v>0.75060048038430749</v>
      </c>
      <c r="L53" s="1687">
        <v>0</v>
      </c>
      <c r="M53" s="1687">
        <v>0</v>
      </c>
      <c r="N53" s="1687">
        <f>O53+P53+Q53+R53+S53+T53</f>
        <v>7500</v>
      </c>
      <c r="O53" s="1688">
        <v>7500</v>
      </c>
      <c r="P53" s="1688">
        <v>0</v>
      </c>
      <c r="Q53" s="1688">
        <v>0</v>
      </c>
      <c r="R53" s="1688">
        <v>0</v>
      </c>
      <c r="S53" s="1688">
        <v>0</v>
      </c>
      <c r="T53" s="1688">
        <v>0</v>
      </c>
      <c r="U53" s="1687">
        <v>0</v>
      </c>
      <c r="V53" s="1689">
        <f>N53+M53+L53+U53</f>
        <v>7500</v>
      </c>
      <c r="W53" s="1687">
        <v>0</v>
      </c>
      <c r="X53" s="3108"/>
      <c r="Y53" s="3110"/>
      <c r="Z53" s="3113"/>
      <c r="AA53" s="3113"/>
      <c r="AB53" s="3116"/>
      <c r="AC53" s="3116"/>
      <c r="AD53" s="3116"/>
      <c r="AE53" s="3116"/>
      <c r="AF53" s="3113"/>
      <c r="AG53" s="3113"/>
      <c r="AH53" s="3116"/>
      <c r="AI53" s="3116"/>
      <c r="AJ53" s="3116"/>
      <c r="AK53" s="3116"/>
      <c r="AL53" s="3116"/>
      <c r="AM53" s="3116"/>
      <c r="AN53" s="3113"/>
      <c r="AO53" s="3113"/>
      <c r="AP53" s="3123"/>
      <c r="AQ53" s="3123"/>
      <c r="AR53" s="3123"/>
      <c r="AS53" s="3123"/>
      <c r="AT53" s="3126"/>
      <c r="AU53" s="1673"/>
      <c r="AV53" s="2369"/>
      <c r="AW53" s="2353"/>
      <c r="AX53" s="2353"/>
      <c r="AY53" s="2353"/>
      <c r="AZ53" s="2353"/>
      <c r="BA53" s="2353"/>
      <c r="BB53" s="2353"/>
      <c r="BC53" s="2353"/>
      <c r="BD53" s="2353"/>
      <c r="BE53" s="2353"/>
      <c r="BF53" s="2353"/>
      <c r="BG53" s="2353"/>
      <c r="BH53" s="2353"/>
      <c r="BI53" s="2353"/>
      <c r="BJ53" s="2353"/>
      <c r="BK53" s="2353"/>
      <c r="BL53" s="2353"/>
      <c r="BM53" s="2353"/>
      <c r="BN53" s="2353"/>
      <c r="BO53" s="2353"/>
      <c r="BP53" s="2353"/>
      <c r="BQ53" s="2353"/>
      <c r="BR53" s="2353"/>
      <c r="BS53" s="2353"/>
      <c r="BT53" s="2353"/>
      <c r="BU53" s="2353"/>
      <c r="BV53" s="2353"/>
      <c r="BW53" s="2353"/>
      <c r="BX53" s="2353"/>
      <c r="BY53" s="2353"/>
      <c r="BZ53" s="2353"/>
      <c r="CA53" s="2353"/>
      <c r="CB53" s="2353"/>
      <c r="CC53" s="2353"/>
      <c r="CD53" s="2357"/>
      <c r="CE53" s="3133"/>
      <c r="CF53" s="3123"/>
      <c r="CG53" s="3123"/>
      <c r="CH53" s="3123"/>
      <c r="CI53" s="3123"/>
      <c r="CJ53" s="3123"/>
      <c r="CK53" s="3123"/>
      <c r="CL53" s="3123"/>
      <c r="CM53" s="3123"/>
      <c r="CN53" s="3123"/>
      <c r="CO53" s="3123"/>
      <c r="CP53" s="3123"/>
      <c r="CQ53" s="3123"/>
      <c r="CR53" s="3123"/>
      <c r="CS53" s="3123"/>
      <c r="CT53" s="3123"/>
      <c r="CU53" s="3123"/>
      <c r="CV53" s="3123"/>
      <c r="CW53" s="3126"/>
      <c r="CX53" s="3129"/>
      <c r="CY53" s="3129"/>
      <c r="CZ53" s="3129"/>
      <c r="DA53" s="3129"/>
      <c r="DB53" s="3129"/>
      <c r="DC53" s="3129"/>
      <c r="DD53" s="3129"/>
      <c r="DE53" s="3119"/>
      <c r="DF53" s="1630"/>
      <c r="DG53" s="1631"/>
      <c r="DH53" s="1631"/>
      <c r="DI53" s="1631"/>
      <c r="DJ53" s="1631"/>
      <c r="DK53" s="1631"/>
    </row>
    <row r="54" spans="1:115">
      <c r="A54" s="3145"/>
      <c r="B54" s="2563"/>
      <c r="C54" s="1731"/>
      <c r="D54" s="1731"/>
      <c r="E54" s="1732"/>
      <c r="F54" s="1725" t="s">
        <v>1383</v>
      </c>
      <c r="G54" s="2385">
        <f t="shared" ref="G54" si="40">SUM(G52:G53)</f>
        <v>19984</v>
      </c>
      <c r="H54" s="2370" t="s">
        <v>1344</v>
      </c>
      <c r="I54" s="2370" t="s">
        <v>706</v>
      </c>
      <c r="J54" s="2354"/>
      <c r="K54" s="1726">
        <f>V54/G54</f>
        <v>0.42534027221777421</v>
      </c>
      <c r="L54" s="2375">
        <f>SUM(L52:L53)</f>
        <v>0</v>
      </c>
      <c r="M54" s="2375">
        <f t="shared" ref="M54:U54" si="41">SUM(M52:M53)</f>
        <v>0</v>
      </c>
      <c r="N54" s="2375">
        <f t="shared" si="41"/>
        <v>8500</v>
      </c>
      <c r="O54" s="2373">
        <f t="shared" si="41"/>
        <v>7500</v>
      </c>
      <c r="P54" s="2373">
        <f t="shared" si="41"/>
        <v>0</v>
      </c>
      <c r="Q54" s="2373">
        <f t="shared" si="41"/>
        <v>1000</v>
      </c>
      <c r="R54" s="2373">
        <f t="shared" si="41"/>
        <v>0</v>
      </c>
      <c r="S54" s="2373">
        <f t="shared" si="41"/>
        <v>0</v>
      </c>
      <c r="T54" s="2373">
        <f t="shared" si="41"/>
        <v>0</v>
      </c>
      <c r="U54" s="2375">
        <f t="shared" si="41"/>
        <v>0</v>
      </c>
      <c r="V54" s="2387">
        <f>SUM(V52:V53)</f>
        <v>8500</v>
      </c>
      <c r="W54" s="2375">
        <f>SUM(W52:W53)</f>
        <v>0</v>
      </c>
      <c r="X54" s="3146"/>
      <c r="Y54" s="3111"/>
      <c r="Z54" s="3149"/>
      <c r="AA54" s="3149"/>
      <c r="AB54" s="3150"/>
      <c r="AC54" s="3150"/>
      <c r="AD54" s="3150"/>
      <c r="AE54" s="3150"/>
      <c r="AF54" s="3149"/>
      <c r="AG54" s="3149"/>
      <c r="AH54" s="3150"/>
      <c r="AI54" s="3150"/>
      <c r="AJ54" s="3150"/>
      <c r="AK54" s="3150"/>
      <c r="AL54" s="3150"/>
      <c r="AM54" s="3150"/>
      <c r="AN54" s="3149"/>
      <c r="AO54" s="3149"/>
      <c r="AP54" s="3156"/>
      <c r="AQ54" s="3156"/>
      <c r="AR54" s="3156"/>
      <c r="AS54" s="3156"/>
      <c r="AT54" s="3161"/>
      <c r="AU54" s="1730"/>
      <c r="AV54" s="2370"/>
      <c r="AW54" s="2354"/>
      <c r="AX54" s="2354"/>
      <c r="AY54" s="2354"/>
      <c r="AZ54" s="2354"/>
      <c r="BA54" s="2354"/>
      <c r="BB54" s="2354"/>
      <c r="BC54" s="2354"/>
      <c r="BD54" s="2354"/>
      <c r="BE54" s="2354"/>
      <c r="BF54" s="2354"/>
      <c r="BG54" s="2354"/>
      <c r="BH54" s="2354"/>
      <c r="BI54" s="2354"/>
      <c r="BJ54" s="2354"/>
      <c r="BK54" s="2354"/>
      <c r="BL54" s="2354"/>
      <c r="BM54" s="2354"/>
      <c r="BN54" s="2354"/>
      <c r="BO54" s="2354"/>
      <c r="BP54" s="2354"/>
      <c r="BQ54" s="2354"/>
      <c r="BR54" s="2354"/>
      <c r="BS54" s="2354"/>
      <c r="BT54" s="2354"/>
      <c r="BU54" s="2354"/>
      <c r="BV54" s="2354"/>
      <c r="BW54" s="2354"/>
      <c r="BX54" s="2354"/>
      <c r="BY54" s="2354"/>
      <c r="BZ54" s="2354"/>
      <c r="CA54" s="2354"/>
      <c r="CB54" s="2354"/>
      <c r="CC54" s="2354"/>
      <c r="CD54" s="2358"/>
      <c r="CE54" s="3162"/>
      <c r="CF54" s="3156"/>
      <c r="CG54" s="3156"/>
      <c r="CH54" s="3156"/>
      <c r="CI54" s="3156"/>
      <c r="CJ54" s="3156"/>
      <c r="CK54" s="3156"/>
      <c r="CL54" s="3156"/>
      <c r="CM54" s="3156"/>
      <c r="CN54" s="3156"/>
      <c r="CO54" s="3156"/>
      <c r="CP54" s="3156"/>
      <c r="CQ54" s="3156"/>
      <c r="CR54" s="3156"/>
      <c r="CS54" s="3156"/>
      <c r="CT54" s="3156"/>
      <c r="CU54" s="3156"/>
      <c r="CV54" s="3156"/>
      <c r="CW54" s="3161"/>
      <c r="CX54" s="3163"/>
      <c r="CY54" s="3163"/>
      <c r="CZ54" s="3163"/>
      <c r="DA54" s="3163"/>
      <c r="DB54" s="3163"/>
      <c r="DC54" s="3163"/>
      <c r="DD54" s="3163"/>
      <c r="DE54" s="3164"/>
      <c r="DF54" s="1630"/>
      <c r="DG54" s="1631"/>
      <c r="DH54" s="1631"/>
      <c r="DI54" s="1631"/>
      <c r="DJ54" s="1631"/>
      <c r="DK54" s="1631"/>
    </row>
    <row r="55" spans="1:115" ht="15.75" thickBot="1">
      <c r="A55" s="2377"/>
      <c r="B55" s="2559"/>
      <c r="C55" s="1669"/>
      <c r="D55" s="1669"/>
      <c r="E55" s="1670"/>
      <c r="F55" s="2363"/>
      <c r="G55" s="2384"/>
      <c r="H55" s="2369"/>
      <c r="I55" s="2369"/>
      <c r="J55" s="2353"/>
      <c r="K55" s="1671"/>
      <c r="L55" s="2374"/>
      <c r="M55" s="2374"/>
      <c r="N55" s="2374"/>
      <c r="O55" s="2372"/>
      <c r="P55" s="2372"/>
      <c r="Q55" s="2372"/>
      <c r="R55" s="2372"/>
      <c r="S55" s="2372"/>
      <c r="T55" s="2372"/>
      <c r="U55" s="2374"/>
      <c r="V55" s="2386"/>
      <c r="W55" s="2374"/>
      <c r="X55" s="1745"/>
      <c r="Y55" s="2362"/>
      <c r="Z55" s="2374"/>
      <c r="AA55" s="2374"/>
      <c r="AB55" s="2372"/>
      <c r="AC55" s="2372"/>
      <c r="AD55" s="2372"/>
      <c r="AE55" s="2372"/>
      <c r="AF55" s="2372"/>
      <c r="AG55" s="2374"/>
      <c r="AH55" s="2372"/>
      <c r="AI55" s="2372"/>
      <c r="AJ55" s="2372"/>
      <c r="AK55" s="2372"/>
      <c r="AL55" s="2372"/>
      <c r="AM55" s="2372"/>
      <c r="AN55" s="2374"/>
      <c r="AO55" s="2374"/>
      <c r="AP55" s="2359"/>
      <c r="AQ55" s="2353"/>
      <c r="AR55" s="2353"/>
      <c r="AS55" s="2353"/>
      <c r="AT55" s="2357"/>
      <c r="AU55" s="1673"/>
      <c r="AV55" s="2369"/>
      <c r="AW55" s="1671"/>
      <c r="AX55" s="1671"/>
      <c r="AY55" s="1671"/>
      <c r="AZ55" s="1671"/>
      <c r="BA55" s="2353"/>
      <c r="BB55" s="2374"/>
      <c r="BC55" s="2374"/>
      <c r="BD55" s="2372"/>
      <c r="BE55" s="2372"/>
      <c r="BF55" s="2372"/>
      <c r="BG55" s="2372"/>
      <c r="BH55" s="2372"/>
      <c r="BI55" s="2372"/>
      <c r="BJ55" s="2372"/>
      <c r="BK55" s="2374"/>
      <c r="BL55" s="2372"/>
      <c r="BM55" s="2372"/>
      <c r="BN55" s="2372"/>
      <c r="BO55" s="2372"/>
      <c r="BP55" s="2372"/>
      <c r="BQ55" s="2372"/>
      <c r="BR55" s="2372"/>
      <c r="BS55" s="2374"/>
      <c r="BT55" s="2353"/>
      <c r="BU55" s="2353"/>
      <c r="BV55" s="2353"/>
      <c r="BW55" s="2353"/>
      <c r="BX55" s="2353"/>
      <c r="BY55" s="2353"/>
      <c r="BZ55" s="2353"/>
      <c r="CA55" s="2353"/>
      <c r="CB55" s="2353"/>
      <c r="CC55" s="2353"/>
      <c r="CD55" s="2357"/>
      <c r="CE55" s="2388"/>
      <c r="CF55" s="2374"/>
      <c r="CG55" s="2372"/>
      <c r="CH55" s="2372"/>
      <c r="CI55" s="2372"/>
      <c r="CJ55" s="2372"/>
      <c r="CK55" s="2372"/>
      <c r="CL55" s="2372"/>
      <c r="CM55" s="2372"/>
      <c r="CN55" s="2374"/>
      <c r="CO55" s="2372"/>
      <c r="CP55" s="2372"/>
      <c r="CQ55" s="2372"/>
      <c r="CR55" s="2372"/>
      <c r="CS55" s="2372"/>
      <c r="CT55" s="2372"/>
      <c r="CU55" s="2374"/>
      <c r="CV55" s="2374"/>
      <c r="CW55" s="2386"/>
      <c r="CX55" s="2350"/>
      <c r="CY55" s="2350"/>
      <c r="CZ55" s="2350"/>
      <c r="DA55" s="2350"/>
      <c r="DB55" s="2350"/>
      <c r="DC55" s="2350"/>
      <c r="DD55" s="2363"/>
      <c r="DE55" s="2365"/>
      <c r="DF55" s="1630"/>
      <c r="DG55" s="1631"/>
      <c r="DH55" s="1631"/>
      <c r="DI55" s="1631"/>
      <c r="DJ55" s="1631"/>
      <c r="DK55" s="1631"/>
    </row>
    <row r="56" spans="1:115" ht="15.75" thickBot="1">
      <c r="A56" s="3104">
        <v>12</v>
      </c>
      <c r="B56" s="2558" t="str">
        <f t="shared" ref="B56:B57" si="42">1&amp;"0"&amp;C56&amp;IF(LEN(SUBSTITUTE(UPPER(D56),"P/O ",""))=1,"000"&amp;SUBSTITUTE(UPPER(D56),"P/O ",""),IF(LEN(SUBSTITUTE(UPPER(D56),"P/O ",""))=2,"00"&amp;SUBSTITUTE(UPPER(D56),"P/O ",""),IF(LEN(SUBSTITUTE(UPPER(D56),"P/O ",""))=3,"0"&amp;SUBSTITUTE(UPPER(D56),"P/O ",""),SUBSTITUTE(UPPER(D56),"P/O ",""))))</f>
        <v>1021850001</v>
      </c>
      <c r="C56" s="1674">
        <v>2185</v>
      </c>
      <c r="D56" s="1674">
        <v>1</v>
      </c>
      <c r="E56" s="1675" t="s">
        <v>1384</v>
      </c>
      <c r="F56" s="1676" t="s">
        <v>1356</v>
      </c>
      <c r="G56" s="1677">
        <v>39900</v>
      </c>
      <c r="H56" s="1678" t="s">
        <v>1323</v>
      </c>
      <c r="I56" s="2379"/>
      <c r="J56" s="2361" t="s">
        <v>1315</v>
      </c>
      <c r="K56" s="1679">
        <f>V56/G56</f>
        <v>0</v>
      </c>
      <c r="L56" s="2355">
        <v>0</v>
      </c>
      <c r="M56" s="2355">
        <v>0</v>
      </c>
      <c r="N56" s="2355">
        <f>O56+P56+Q56+R56+S56+T56</f>
        <v>0</v>
      </c>
      <c r="O56" s="2352">
        <v>0</v>
      </c>
      <c r="P56" s="2352">
        <v>0</v>
      </c>
      <c r="Q56" s="2352">
        <v>0</v>
      </c>
      <c r="R56" s="2352">
        <v>0</v>
      </c>
      <c r="S56" s="2352">
        <v>0</v>
      </c>
      <c r="T56" s="2352">
        <v>0</v>
      </c>
      <c r="U56" s="2355">
        <v>0</v>
      </c>
      <c r="V56" s="2356">
        <f>N56+M56+L56+U56</f>
        <v>0</v>
      </c>
      <c r="W56" s="2355">
        <v>0</v>
      </c>
      <c r="X56" s="3107" t="s">
        <v>1289</v>
      </c>
      <c r="Y56" s="3170" t="s">
        <v>1023</v>
      </c>
      <c r="Z56" s="3112">
        <v>0</v>
      </c>
      <c r="AA56" s="3112">
        <f>AB56+AC56+AD56+AE56+AF56</f>
        <v>0</v>
      </c>
      <c r="AB56" s="3115">
        <v>0</v>
      </c>
      <c r="AC56" s="3115">
        <v>0</v>
      </c>
      <c r="AD56" s="3115">
        <v>0</v>
      </c>
      <c r="AE56" s="3115">
        <v>0</v>
      </c>
      <c r="AF56" s="3115">
        <v>0</v>
      </c>
      <c r="AG56" s="3112">
        <f>AH56+AI56+AJ56+AK56+AL56+AM56+AN56</f>
        <v>0</v>
      </c>
      <c r="AH56" s="3115">
        <v>0</v>
      </c>
      <c r="AI56" s="3115">
        <v>0</v>
      </c>
      <c r="AJ56" s="3115">
        <v>0</v>
      </c>
      <c r="AK56" s="3115">
        <v>0</v>
      </c>
      <c r="AL56" s="3115">
        <v>0</v>
      </c>
      <c r="AM56" s="3115">
        <v>0</v>
      </c>
      <c r="AN56" s="3112">
        <v>0</v>
      </c>
      <c r="AO56" s="3112">
        <f>AG56+Z56+AA56</f>
        <v>0</v>
      </c>
      <c r="AP56" s="3135">
        <f>AO56/G56</f>
        <v>0</v>
      </c>
      <c r="AQ56" s="3136">
        <v>0</v>
      </c>
      <c r="AR56" s="3136">
        <v>0</v>
      </c>
      <c r="AS56" s="3136">
        <v>0</v>
      </c>
      <c r="AT56" s="3131">
        <v>0</v>
      </c>
      <c r="AU56" s="1680" t="s">
        <v>1385</v>
      </c>
      <c r="AV56" s="2379"/>
      <c r="AW56" s="2371">
        <v>3.4</v>
      </c>
      <c r="AX56" s="2371">
        <v>0</v>
      </c>
      <c r="AY56" s="2371">
        <v>3.4</v>
      </c>
      <c r="AZ56" s="2371">
        <v>0</v>
      </c>
      <c r="BA56" s="2366"/>
      <c r="BB56" s="2355">
        <f>ROUND(AX56*G58,0)</f>
        <v>0</v>
      </c>
      <c r="BC56" s="2355">
        <v>0</v>
      </c>
      <c r="BD56" s="2352">
        <v>0</v>
      </c>
      <c r="BE56" s="2352">
        <v>0</v>
      </c>
      <c r="BF56" s="2352">
        <v>0</v>
      </c>
      <c r="BG56" s="2352">
        <v>0</v>
      </c>
      <c r="BH56" s="2352">
        <v>0</v>
      </c>
      <c r="BI56" s="2352">
        <v>0</v>
      </c>
      <c r="BJ56" s="2352">
        <v>0</v>
      </c>
      <c r="BK56" s="2355">
        <f>ROUND(AY56*G58,0)</f>
        <v>250651</v>
      </c>
      <c r="BL56" s="2352">
        <v>0</v>
      </c>
      <c r="BM56" s="2352">
        <v>0</v>
      </c>
      <c r="BN56" s="2352">
        <f>BK56-BP56-BQ56</f>
        <v>54651</v>
      </c>
      <c r="BO56" s="2352">
        <v>0</v>
      </c>
      <c r="BP56" s="2352">
        <f>338*550</f>
        <v>185900</v>
      </c>
      <c r="BQ56" s="2352">
        <v>10100</v>
      </c>
      <c r="BR56" s="2352">
        <v>0</v>
      </c>
      <c r="BS56" s="2355">
        <f>ROUND(G58*AW56,0)</f>
        <v>250651</v>
      </c>
      <c r="BT56" s="2366">
        <f>ROUND(BB56/875,0)</f>
        <v>0</v>
      </c>
      <c r="BU56" s="2366">
        <f>ROUND(BT56*0.25,0)</f>
        <v>0</v>
      </c>
      <c r="BV56" s="2366">
        <f>BT56-BU56</f>
        <v>0</v>
      </c>
      <c r="BW56" s="2366">
        <f>ROUND(BT56*0.3,0)</f>
        <v>0</v>
      </c>
      <c r="BX56" s="2366">
        <f>BT56-BW56</f>
        <v>0</v>
      </c>
      <c r="BY56" s="2366">
        <f>ROUND(IF(((0.2*BV56)&gt;15),(0.2*BV56),0),0)</f>
        <v>0</v>
      </c>
      <c r="BZ56" s="2366">
        <f>ROUND(IF(((0.2*BX56)&gt;15),(0.2*BX56),0),0)</f>
        <v>0</v>
      </c>
      <c r="CA56" s="2366">
        <v>86</v>
      </c>
      <c r="CB56" s="2366">
        <v>338</v>
      </c>
      <c r="CC56" s="2366">
        <v>338</v>
      </c>
      <c r="CD56" s="2367">
        <v>60</v>
      </c>
      <c r="CE56" s="3132">
        <f>BB56-Z56</f>
        <v>0</v>
      </c>
      <c r="CF56" s="3112">
        <f>BC56-AA56</f>
        <v>0</v>
      </c>
      <c r="CG56" s="3115">
        <f>BD56</f>
        <v>0</v>
      </c>
      <c r="CH56" s="3115">
        <f>BE56-AB56</f>
        <v>0</v>
      </c>
      <c r="CI56" s="3115">
        <f>BF56</f>
        <v>0</v>
      </c>
      <c r="CJ56" s="3115">
        <f>BG56-AC56</f>
        <v>0</v>
      </c>
      <c r="CK56" s="3115">
        <f>BH56</f>
        <v>0</v>
      </c>
      <c r="CL56" s="3115">
        <f>BI56-AD56</f>
        <v>0</v>
      </c>
      <c r="CM56" s="3115">
        <f t="shared" ref="CM56:CV56" si="43">BJ56-AF56</f>
        <v>0</v>
      </c>
      <c r="CN56" s="3112">
        <f t="shared" si="43"/>
        <v>250651</v>
      </c>
      <c r="CO56" s="3115">
        <f t="shared" si="43"/>
        <v>0</v>
      </c>
      <c r="CP56" s="3115">
        <f t="shared" si="43"/>
        <v>0</v>
      </c>
      <c r="CQ56" s="3115">
        <f t="shared" si="43"/>
        <v>54651</v>
      </c>
      <c r="CR56" s="3115">
        <f t="shared" si="43"/>
        <v>0</v>
      </c>
      <c r="CS56" s="3115">
        <f t="shared" si="43"/>
        <v>185900</v>
      </c>
      <c r="CT56" s="3115">
        <f t="shared" si="43"/>
        <v>10100</v>
      </c>
      <c r="CU56" s="3112">
        <f t="shared" si="43"/>
        <v>0</v>
      </c>
      <c r="CV56" s="3112">
        <f t="shared" si="43"/>
        <v>250651</v>
      </c>
      <c r="CW56" s="3125">
        <f>BT56-AQ56</f>
        <v>0</v>
      </c>
      <c r="CX56" s="3128">
        <f>BU56</f>
        <v>0</v>
      </c>
      <c r="CY56" s="3128">
        <f>BV56</f>
        <v>0</v>
      </c>
      <c r="CZ56" s="3128">
        <f>BW56</f>
        <v>0</v>
      </c>
      <c r="DA56" s="3128">
        <f>BX56</f>
        <v>0</v>
      </c>
      <c r="DB56" s="3128">
        <f>CA56-AR56</f>
        <v>86</v>
      </c>
      <c r="DC56" s="3128">
        <f>CA56-AR56</f>
        <v>86</v>
      </c>
      <c r="DD56" s="3128">
        <f>CB56-AS56</f>
        <v>338</v>
      </c>
      <c r="DE56" s="3118">
        <f>CC56-AS56</f>
        <v>338</v>
      </c>
      <c r="DF56" s="1759"/>
      <c r="DG56" s="1760"/>
      <c r="DH56" s="1760"/>
      <c r="DI56" s="1760"/>
      <c r="DJ56" s="1760"/>
      <c r="DK56" s="1760"/>
    </row>
    <row r="57" spans="1:115">
      <c r="A57" s="3168"/>
      <c r="B57" s="2558" t="str">
        <f t="shared" si="42"/>
        <v>1021840020</v>
      </c>
      <c r="C57" s="1682">
        <v>2184</v>
      </c>
      <c r="D57" s="1682">
        <v>20</v>
      </c>
      <c r="E57" s="1683" t="s">
        <v>1386</v>
      </c>
      <c r="F57" s="2363" t="s">
        <v>1356</v>
      </c>
      <c r="G57" s="1686">
        <v>33821</v>
      </c>
      <c r="H57" s="1685" t="s">
        <v>1323</v>
      </c>
      <c r="I57" s="2369"/>
      <c r="J57" s="2361" t="s">
        <v>1315</v>
      </c>
      <c r="K57" s="1671">
        <f>V57/G57</f>
        <v>0</v>
      </c>
      <c r="L57" s="1687">
        <v>0</v>
      </c>
      <c r="M57" s="1687">
        <v>0</v>
      </c>
      <c r="N57" s="1687">
        <f>O57+P57+Q57+R57+S57+T57</f>
        <v>0</v>
      </c>
      <c r="O57" s="1688">
        <v>0</v>
      </c>
      <c r="P57" s="1688">
        <v>0</v>
      </c>
      <c r="Q57" s="1688">
        <v>0</v>
      </c>
      <c r="R57" s="1688">
        <v>0</v>
      </c>
      <c r="S57" s="1688">
        <v>0</v>
      </c>
      <c r="T57" s="1688">
        <v>0</v>
      </c>
      <c r="U57" s="1687">
        <v>0</v>
      </c>
      <c r="V57" s="1689">
        <f>N57+M57+L57+U57</f>
        <v>0</v>
      </c>
      <c r="W57" s="1687">
        <v>0</v>
      </c>
      <c r="X57" s="3108"/>
      <c r="Y57" s="3110"/>
      <c r="Z57" s="3113"/>
      <c r="AA57" s="3113"/>
      <c r="AB57" s="3116"/>
      <c r="AC57" s="3116"/>
      <c r="AD57" s="3116"/>
      <c r="AE57" s="3116"/>
      <c r="AF57" s="3113"/>
      <c r="AG57" s="3113"/>
      <c r="AH57" s="3116"/>
      <c r="AI57" s="3116"/>
      <c r="AJ57" s="3116"/>
      <c r="AK57" s="3116"/>
      <c r="AL57" s="3116"/>
      <c r="AM57" s="3116"/>
      <c r="AN57" s="3113"/>
      <c r="AO57" s="3113"/>
      <c r="AP57" s="3123"/>
      <c r="AQ57" s="3123"/>
      <c r="AR57" s="3123"/>
      <c r="AS57" s="3123"/>
      <c r="AT57" s="3126"/>
      <c r="AU57" s="1673"/>
      <c r="AV57" s="2369"/>
      <c r="AW57" s="2353"/>
      <c r="AX57" s="2353"/>
      <c r="AY57" s="2353"/>
      <c r="AZ57" s="2353"/>
      <c r="BA57" s="2353"/>
      <c r="BB57" s="2374"/>
      <c r="BC57" s="2374"/>
      <c r="BD57" s="2353"/>
      <c r="BE57" s="2353"/>
      <c r="BF57" s="2353"/>
      <c r="BG57" s="2353"/>
      <c r="BH57" s="2353"/>
      <c r="BI57" s="2353"/>
      <c r="BJ57" s="2353"/>
      <c r="BK57" s="2353"/>
      <c r="BL57" s="2353"/>
      <c r="BM57" s="2353"/>
      <c r="BN57" s="2353"/>
      <c r="BO57" s="2353"/>
      <c r="BP57" s="2353"/>
      <c r="BQ57" s="2353"/>
      <c r="BR57" s="2353"/>
      <c r="BS57" s="2353"/>
      <c r="BT57" s="2353"/>
      <c r="BU57" s="2353"/>
      <c r="BV57" s="2353"/>
      <c r="BW57" s="2353"/>
      <c r="BX57" s="2353"/>
      <c r="BY57" s="2353"/>
      <c r="BZ57" s="2353"/>
      <c r="CA57" s="2353"/>
      <c r="CB57" s="2353"/>
      <c r="CC57" s="2353"/>
      <c r="CD57" s="2357"/>
      <c r="CE57" s="3133"/>
      <c r="CF57" s="3123"/>
      <c r="CG57" s="3123"/>
      <c r="CH57" s="3123"/>
      <c r="CI57" s="3123"/>
      <c r="CJ57" s="3123"/>
      <c r="CK57" s="3123"/>
      <c r="CL57" s="3123"/>
      <c r="CM57" s="3123"/>
      <c r="CN57" s="3123"/>
      <c r="CO57" s="3123"/>
      <c r="CP57" s="3123"/>
      <c r="CQ57" s="3123"/>
      <c r="CR57" s="3123"/>
      <c r="CS57" s="3123"/>
      <c r="CT57" s="3123"/>
      <c r="CU57" s="3123"/>
      <c r="CV57" s="3123"/>
      <c r="CW57" s="3126"/>
      <c r="CX57" s="3129"/>
      <c r="CY57" s="3129"/>
      <c r="CZ57" s="3129"/>
      <c r="DA57" s="3129"/>
      <c r="DB57" s="3129"/>
      <c r="DC57" s="3129"/>
      <c r="DD57" s="3129"/>
      <c r="DE57" s="3119"/>
      <c r="DF57" s="1759"/>
      <c r="DG57" s="1760"/>
      <c r="DH57" s="1760"/>
      <c r="DI57" s="1760"/>
      <c r="DJ57" s="1760"/>
      <c r="DK57" s="1760"/>
    </row>
    <row r="58" spans="1:115">
      <c r="A58" s="3169"/>
      <c r="B58" s="2565"/>
      <c r="C58" s="1731"/>
      <c r="D58" s="1731"/>
      <c r="E58" s="1732"/>
      <c r="F58" s="1761" t="s">
        <v>1387</v>
      </c>
      <c r="G58" s="2385">
        <f>SUM(G56:G57)</f>
        <v>73721</v>
      </c>
      <c r="H58" s="2370" t="s">
        <v>1323</v>
      </c>
      <c r="I58" s="2370"/>
      <c r="J58" s="2354"/>
      <c r="K58" s="1726">
        <f>V58/G58</f>
        <v>0</v>
      </c>
      <c r="L58" s="2375">
        <f>SUM(L56:L57)</f>
        <v>0</v>
      </c>
      <c r="M58" s="2375">
        <f t="shared" ref="M58:W58" si="44">SUM(M56:M57)</f>
        <v>0</v>
      </c>
      <c r="N58" s="2375">
        <f t="shared" si="44"/>
        <v>0</v>
      </c>
      <c r="O58" s="2373">
        <f t="shared" si="44"/>
        <v>0</v>
      </c>
      <c r="P58" s="2373">
        <f t="shared" si="44"/>
        <v>0</v>
      </c>
      <c r="Q58" s="2373">
        <f t="shared" si="44"/>
        <v>0</v>
      </c>
      <c r="R58" s="2373">
        <f t="shared" si="44"/>
        <v>0</v>
      </c>
      <c r="S58" s="2373">
        <f t="shared" si="44"/>
        <v>0</v>
      </c>
      <c r="T58" s="2373">
        <f t="shared" si="44"/>
        <v>0</v>
      </c>
      <c r="U58" s="2375">
        <f t="shared" si="44"/>
        <v>0</v>
      </c>
      <c r="V58" s="2387">
        <f>SUM(V56:V57)</f>
        <v>0</v>
      </c>
      <c r="W58" s="2375">
        <f t="shared" si="44"/>
        <v>0</v>
      </c>
      <c r="X58" s="3146"/>
      <c r="Y58" s="3111"/>
      <c r="Z58" s="3149"/>
      <c r="AA58" s="3149"/>
      <c r="AB58" s="3150"/>
      <c r="AC58" s="3150"/>
      <c r="AD58" s="3150"/>
      <c r="AE58" s="3150"/>
      <c r="AF58" s="3149"/>
      <c r="AG58" s="3149"/>
      <c r="AH58" s="3150"/>
      <c r="AI58" s="3150"/>
      <c r="AJ58" s="3150"/>
      <c r="AK58" s="3150"/>
      <c r="AL58" s="3150"/>
      <c r="AM58" s="3150"/>
      <c r="AN58" s="3149"/>
      <c r="AO58" s="3149"/>
      <c r="AP58" s="3156"/>
      <c r="AQ58" s="3156"/>
      <c r="AR58" s="3156"/>
      <c r="AS58" s="3156"/>
      <c r="AT58" s="3161"/>
      <c r="AU58" s="1730"/>
      <c r="AV58" s="2370"/>
      <c r="AW58" s="2354"/>
      <c r="AX58" s="2354"/>
      <c r="AY58" s="2354"/>
      <c r="AZ58" s="2354"/>
      <c r="BA58" s="2354"/>
      <c r="BB58" s="2375"/>
      <c r="BC58" s="2375"/>
      <c r="BD58" s="2354"/>
      <c r="BE58" s="2354"/>
      <c r="BF58" s="2354"/>
      <c r="BG58" s="2354"/>
      <c r="BH58" s="2354"/>
      <c r="BI58" s="2354"/>
      <c r="BJ58" s="2354"/>
      <c r="BK58" s="2354"/>
      <c r="BL58" s="2354"/>
      <c r="BM58" s="2354"/>
      <c r="BN58" s="2354"/>
      <c r="BO58" s="2354"/>
      <c r="BP58" s="2354"/>
      <c r="BQ58" s="2354"/>
      <c r="BR58" s="2354"/>
      <c r="BS58" s="2354"/>
      <c r="BT58" s="2354"/>
      <c r="BU58" s="2354"/>
      <c r="BV58" s="2354"/>
      <c r="BW58" s="2354"/>
      <c r="BX58" s="2354"/>
      <c r="BY58" s="2354"/>
      <c r="BZ58" s="2354"/>
      <c r="CA58" s="2354"/>
      <c r="CB58" s="2354"/>
      <c r="CC58" s="2354"/>
      <c r="CD58" s="2358"/>
      <c r="CE58" s="3162"/>
      <c r="CF58" s="3156"/>
      <c r="CG58" s="3156"/>
      <c r="CH58" s="3156"/>
      <c r="CI58" s="3156"/>
      <c r="CJ58" s="3156"/>
      <c r="CK58" s="3156"/>
      <c r="CL58" s="3156"/>
      <c r="CM58" s="3156"/>
      <c r="CN58" s="3156"/>
      <c r="CO58" s="3156"/>
      <c r="CP58" s="3156"/>
      <c r="CQ58" s="3156"/>
      <c r="CR58" s="3156"/>
      <c r="CS58" s="3156"/>
      <c r="CT58" s="3156"/>
      <c r="CU58" s="3156"/>
      <c r="CV58" s="3156"/>
      <c r="CW58" s="3161"/>
      <c r="CX58" s="3163"/>
      <c r="CY58" s="3163"/>
      <c r="CZ58" s="3163"/>
      <c r="DA58" s="3163"/>
      <c r="DB58" s="3163"/>
      <c r="DC58" s="3163"/>
      <c r="DD58" s="3163"/>
      <c r="DE58" s="3164"/>
      <c r="DF58" s="1759"/>
      <c r="DG58" s="1760"/>
      <c r="DH58" s="1760"/>
      <c r="DI58" s="1760"/>
      <c r="DJ58" s="1760"/>
      <c r="DK58" s="1760"/>
    </row>
    <row r="59" spans="1:115" ht="15.75" thickBot="1">
      <c r="A59" s="2377"/>
      <c r="B59" s="2559"/>
      <c r="C59" s="1669"/>
      <c r="D59" s="1669"/>
      <c r="E59" s="1670"/>
      <c r="F59" s="2363"/>
      <c r="G59" s="2384"/>
      <c r="H59" s="2369"/>
      <c r="I59" s="2369"/>
      <c r="J59" s="2353"/>
      <c r="K59" s="1671"/>
      <c r="L59" s="2374"/>
      <c r="M59" s="2374"/>
      <c r="N59" s="2374"/>
      <c r="O59" s="2372"/>
      <c r="P59" s="2372"/>
      <c r="Q59" s="2372"/>
      <c r="R59" s="2372"/>
      <c r="S59" s="2372"/>
      <c r="T59" s="2372"/>
      <c r="U59" s="2374"/>
      <c r="V59" s="2386"/>
      <c r="W59" s="2374"/>
      <c r="X59" s="1745"/>
      <c r="Y59" s="2362"/>
      <c r="Z59" s="2374"/>
      <c r="AA59" s="2374"/>
      <c r="AB59" s="2372"/>
      <c r="AC59" s="2372"/>
      <c r="AD59" s="2372"/>
      <c r="AE59" s="2372"/>
      <c r="AF59" s="2372"/>
      <c r="AG59" s="2374"/>
      <c r="AH59" s="2372"/>
      <c r="AI59" s="2372"/>
      <c r="AJ59" s="2372"/>
      <c r="AK59" s="2372"/>
      <c r="AL59" s="2372"/>
      <c r="AM59" s="2372"/>
      <c r="AN59" s="2374"/>
      <c r="AO59" s="2374"/>
      <c r="AP59" s="2359"/>
      <c r="AQ59" s="2353"/>
      <c r="AR59" s="2353"/>
      <c r="AS59" s="2353"/>
      <c r="AT59" s="2357"/>
      <c r="AU59" s="1673"/>
      <c r="AV59" s="2369"/>
      <c r="AW59" s="1671"/>
      <c r="AX59" s="1671"/>
      <c r="AY59" s="1671"/>
      <c r="AZ59" s="1671"/>
      <c r="BA59" s="2353"/>
      <c r="BB59" s="2374"/>
      <c r="BC59" s="2374"/>
      <c r="BD59" s="2372"/>
      <c r="BE59" s="2372"/>
      <c r="BF59" s="2372"/>
      <c r="BG59" s="2372"/>
      <c r="BH59" s="2372"/>
      <c r="BI59" s="2372"/>
      <c r="BJ59" s="2372"/>
      <c r="BK59" s="2374"/>
      <c r="BL59" s="2372"/>
      <c r="BM59" s="2372"/>
      <c r="BN59" s="2372"/>
      <c r="BO59" s="2372"/>
      <c r="BP59" s="2372"/>
      <c r="BQ59" s="2372"/>
      <c r="BR59" s="2372"/>
      <c r="BS59" s="2374"/>
      <c r="BT59" s="2353"/>
      <c r="BU59" s="2353"/>
      <c r="BV59" s="2353"/>
      <c r="BW59" s="2353"/>
      <c r="BX59" s="2353"/>
      <c r="BY59" s="2353"/>
      <c r="BZ59" s="2353"/>
      <c r="CA59" s="2353"/>
      <c r="CB59" s="2353"/>
      <c r="CC59" s="2353"/>
      <c r="CD59" s="2357"/>
      <c r="CE59" s="2388"/>
      <c r="CF59" s="2374"/>
      <c r="CG59" s="2372"/>
      <c r="CH59" s="2372"/>
      <c r="CI59" s="2372"/>
      <c r="CJ59" s="2372"/>
      <c r="CK59" s="2372"/>
      <c r="CL59" s="2372"/>
      <c r="CM59" s="2372"/>
      <c r="CN59" s="2374"/>
      <c r="CO59" s="2372"/>
      <c r="CP59" s="2372"/>
      <c r="CQ59" s="2372"/>
      <c r="CR59" s="2372"/>
      <c r="CS59" s="2372"/>
      <c r="CT59" s="2372"/>
      <c r="CU59" s="2374"/>
      <c r="CV59" s="2374"/>
      <c r="CW59" s="2386"/>
      <c r="CX59" s="2350"/>
      <c r="CY59" s="2350"/>
      <c r="CZ59" s="2350"/>
      <c r="DA59" s="2350"/>
      <c r="DB59" s="2350"/>
      <c r="DC59" s="2350"/>
      <c r="DD59" s="2363"/>
      <c r="DE59" s="2365"/>
      <c r="DF59" s="1630"/>
      <c r="DG59" s="1631"/>
      <c r="DH59" s="1631"/>
      <c r="DI59" s="1631"/>
      <c r="DJ59" s="1631"/>
      <c r="DK59" s="1631"/>
    </row>
    <row r="60" spans="1:115" ht="15.75" thickBot="1">
      <c r="A60" s="3104">
        <v>13</v>
      </c>
      <c r="B60" s="2558" t="str">
        <f t="shared" ref="B60:B62" si="45">1&amp;"0"&amp;C60&amp;IF(LEN(SUBSTITUTE(UPPER(D60),"P/O ",""))=1,"000"&amp;SUBSTITUTE(UPPER(D60),"P/O ",""),IF(LEN(SUBSTITUTE(UPPER(D60),"P/O ",""))=2,"00"&amp;SUBSTITUTE(UPPER(D60),"P/O ",""),IF(LEN(SUBSTITUTE(UPPER(D60),"P/O ",""))=3,"0"&amp;SUBSTITUTE(UPPER(D60),"P/O ",""),SUBSTITUTE(UPPER(D60),"P/O ",""))))</f>
        <v>1021990001</v>
      </c>
      <c r="C60" s="1674">
        <v>2199</v>
      </c>
      <c r="D60" s="1674">
        <v>1</v>
      </c>
      <c r="E60" s="1675" t="s">
        <v>1388</v>
      </c>
      <c r="F60" s="1676" t="s">
        <v>1389</v>
      </c>
      <c r="G60" s="1677">
        <v>19900</v>
      </c>
      <c r="H60" s="1678" t="s">
        <v>947</v>
      </c>
      <c r="I60" s="2379"/>
      <c r="J60" s="2361" t="s">
        <v>1370</v>
      </c>
      <c r="K60" s="1679">
        <f>V60/G60</f>
        <v>2.0083417085427135</v>
      </c>
      <c r="L60" s="2355">
        <v>0</v>
      </c>
      <c r="M60" s="2355">
        <v>0</v>
      </c>
      <c r="N60" s="2355">
        <f>O60+P60+Q60+R60+S60+T60</f>
        <v>39966</v>
      </c>
      <c r="O60" s="2352">
        <v>0</v>
      </c>
      <c r="P60" s="2352">
        <v>0</v>
      </c>
      <c r="Q60" s="2352">
        <v>0</v>
      </c>
      <c r="R60" s="2352">
        <v>19983</v>
      </c>
      <c r="S60" s="2352">
        <v>14988</v>
      </c>
      <c r="T60" s="2352">
        <v>4995</v>
      </c>
      <c r="U60" s="2355">
        <v>0</v>
      </c>
      <c r="V60" s="2356">
        <f>N60+M60+L60+U60</f>
        <v>39966</v>
      </c>
      <c r="W60" s="2355">
        <v>0</v>
      </c>
      <c r="X60" s="3107" t="s">
        <v>1390</v>
      </c>
      <c r="Y60" s="3109" t="s">
        <v>1023</v>
      </c>
      <c r="Z60" s="3112">
        <v>0</v>
      </c>
      <c r="AA60" s="3112">
        <f>AB60+AC60+AD60+AE60+AF60</f>
        <v>0</v>
      </c>
      <c r="AB60" s="3115">
        <v>0</v>
      </c>
      <c r="AC60" s="3115">
        <v>0</v>
      </c>
      <c r="AD60" s="3115">
        <v>0</v>
      </c>
      <c r="AE60" s="3115">
        <v>0</v>
      </c>
      <c r="AF60" s="3115">
        <v>0</v>
      </c>
      <c r="AG60" s="3112">
        <f>AH60+AI60+AJ60+AK60+AL60+AM60+AN60</f>
        <v>61894</v>
      </c>
      <c r="AH60" s="3115">
        <f>O63+S63</f>
        <v>31916</v>
      </c>
      <c r="AI60" s="3115">
        <v>0</v>
      </c>
      <c r="AJ60" s="3115">
        <v>0</v>
      </c>
      <c r="AK60" s="3115">
        <f>Q63</f>
        <v>5000</v>
      </c>
      <c r="AL60" s="3115">
        <f>R63</f>
        <v>19983</v>
      </c>
      <c r="AM60" s="3115">
        <f>T63</f>
        <v>4995</v>
      </c>
      <c r="AN60" s="3112">
        <v>0</v>
      </c>
      <c r="AO60" s="3112">
        <f>AG60+Z60+AA60</f>
        <v>61894</v>
      </c>
      <c r="AP60" s="3135">
        <f>AO60/G60</f>
        <v>3.1102512562814071</v>
      </c>
      <c r="AQ60" s="3136">
        <v>0</v>
      </c>
      <c r="AR60" s="3136">
        <v>0</v>
      </c>
      <c r="AS60" s="3136">
        <v>165</v>
      </c>
      <c r="AT60" s="3131">
        <v>0</v>
      </c>
      <c r="AU60" s="1680" t="s">
        <v>1391</v>
      </c>
      <c r="AV60" s="2379"/>
      <c r="AW60" s="1679">
        <v>8.5</v>
      </c>
      <c r="AX60" s="1679">
        <v>7</v>
      </c>
      <c r="AY60" s="1679">
        <v>1.5</v>
      </c>
      <c r="AZ60" s="1679">
        <v>0</v>
      </c>
      <c r="BA60" s="2366"/>
      <c r="BB60" s="2355">
        <f>ROUND(G60*AX60,0)+ROUND(G61*AX61,0)+ROUND(G62*AX62,0)</f>
        <v>272644</v>
      </c>
      <c r="BC60" s="2355">
        <f>SUM(BD60:BJ63)</f>
        <v>0</v>
      </c>
      <c r="BD60" s="2380">
        <v>0</v>
      </c>
      <c r="BE60" s="2352">
        <v>0</v>
      </c>
      <c r="BF60" s="2352">
        <v>0</v>
      </c>
      <c r="BG60" s="2352">
        <v>0</v>
      </c>
      <c r="BH60" s="2352">
        <v>0</v>
      </c>
      <c r="BI60" s="2352">
        <f>ROUND(AZ60*G60,0)+ROUND(AZ61*G61,0)</f>
        <v>0</v>
      </c>
      <c r="BJ60" s="2352">
        <v>0</v>
      </c>
      <c r="BK60" s="2355">
        <f>SUM(BL60:BQ63)</f>
        <v>79600</v>
      </c>
      <c r="BL60" s="2352">
        <v>0</v>
      </c>
      <c r="BM60" s="2352">
        <v>0</v>
      </c>
      <c r="BN60" s="2352">
        <v>0</v>
      </c>
      <c r="BO60" s="2352">
        <v>0</v>
      </c>
      <c r="BP60" s="2352">
        <v>0</v>
      </c>
      <c r="BQ60" s="2352">
        <f>(ROUND(AY60*G60,0)+ROUND(AY61*G61,0)+ROUND(AY62*G62,0))-BL60</f>
        <v>79600</v>
      </c>
      <c r="BR60" s="2352">
        <v>0</v>
      </c>
      <c r="BS60" s="2355">
        <f>ROUND(AW60*G60,0)+ROUND(AW61*G61,0)+ROUND(AW62*G62,0)</f>
        <v>352244</v>
      </c>
      <c r="BT60" s="2366">
        <f>ROUND(BB60/875,0)</f>
        <v>312</v>
      </c>
      <c r="BU60" s="2366">
        <f>ROUND(BT60*0.25,0)</f>
        <v>78</v>
      </c>
      <c r="BV60" s="2366">
        <f>BT60-BU60</f>
        <v>234</v>
      </c>
      <c r="BW60" s="2366">
        <f>ROUND(BT60*0.3,0)</f>
        <v>94</v>
      </c>
      <c r="BX60" s="2366">
        <f>BT60-BW60</f>
        <v>218</v>
      </c>
      <c r="BY60" s="2366">
        <f>ROUND(IF(((0.2*BV60)&gt;15),(0.2*BV60),0),0)</f>
        <v>47</v>
      </c>
      <c r="BZ60" s="2366">
        <f>ROUND(IF(((0.2*BX60)&gt;15),(0.2*BX60),0),0)</f>
        <v>44</v>
      </c>
      <c r="CA60" s="2366">
        <v>0</v>
      </c>
      <c r="CB60" s="2366">
        <f>CA60+BY60</f>
        <v>47</v>
      </c>
      <c r="CC60" s="2366">
        <f>CA60+BZ60</f>
        <v>44</v>
      </c>
      <c r="CD60" s="2367">
        <v>175</v>
      </c>
      <c r="CE60" s="3132">
        <f>BB60-Z60</f>
        <v>272644</v>
      </c>
      <c r="CF60" s="3112">
        <f>BC60-AA60</f>
        <v>0</v>
      </c>
      <c r="CG60" s="3115">
        <f>BD60</f>
        <v>0</v>
      </c>
      <c r="CH60" s="3115">
        <f>BE60-AB60</f>
        <v>0</v>
      </c>
      <c r="CI60" s="3115">
        <f>BF60</f>
        <v>0</v>
      </c>
      <c r="CJ60" s="3115">
        <f>BG60-AC60</f>
        <v>0</v>
      </c>
      <c r="CK60" s="3115">
        <f>BH60</f>
        <v>0</v>
      </c>
      <c r="CL60" s="3115">
        <f>BI60-AD60</f>
        <v>0</v>
      </c>
      <c r="CM60" s="3115">
        <f t="shared" ref="CM60:CV60" si="46">BJ60-AF60</f>
        <v>0</v>
      </c>
      <c r="CN60" s="3112">
        <f>BK60-AG60</f>
        <v>17706</v>
      </c>
      <c r="CO60" s="3115">
        <f t="shared" si="46"/>
        <v>-31916</v>
      </c>
      <c r="CP60" s="3115">
        <f t="shared" si="46"/>
        <v>0</v>
      </c>
      <c r="CQ60" s="3115">
        <f t="shared" si="46"/>
        <v>0</v>
      </c>
      <c r="CR60" s="3115">
        <f t="shared" si="46"/>
        <v>-5000</v>
      </c>
      <c r="CS60" s="3115">
        <f t="shared" si="46"/>
        <v>-19983</v>
      </c>
      <c r="CT60" s="3115">
        <f t="shared" si="46"/>
        <v>74605</v>
      </c>
      <c r="CU60" s="3112">
        <f t="shared" si="46"/>
        <v>0</v>
      </c>
      <c r="CV60" s="3112">
        <f t="shared" si="46"/>
        <v>290350</v>
      </c>
      <c r="CW60" s="3125">
        <f>BT60-AQ60</f>
        <v>312</v>
      </c>
      <c r="CX60" s="3128">
        <f>BU60</f>
        <v>78</v>
      </c>
      <c r="CY60" s="3128">
        <f>CW60-CX60</f>
        <v>234</v>
      </c>
      <c r="CZ60" s="3128">
        <f>BW60</f>
        <v>94</v>
      </c>
      <c r="DA60" s="3128">
        <f>CW60-CZ60</f>
        <v>218</v>
      </c>
      <c r="DB60" s="3128">
        <f>BY60-AR60</f>
        <v>47</v>
      </c>
      <c r="DC60" s="3128">
        <f>BZ60-AR60</f>
        <v>44</v>
      </c>
      <c r="DD60" s="3128">
        <f>CB60-AS60</f>
        <v>-118</v>
      </c>
      <c r="DE60" s="3118">
        <f>CC60-AS60</f>
        <v>-121</v>
      </c>
      <c r="DF60" s="1762"/>
      <c r="DG60" s="1631"/>
      <c r="DH60" s="1631"/>
      <c r="DI60" s="1631"/>
      <c r="DJ60" s="1631"/>
      <c r="DK60" s="1631"/>
    </row>
    <row r="61" spans="1:115" ht="15.75" thickBot="1">
      <c r="A61" s="3105"/>
      <c r="B61" s="2558" t="str">
        <f t="shared" si="45"/>
        <v>1021990011</v>
      </c>
      <c r="C61" s="1682">
        <v>2199</v>
      </c>
      <c r="D61" s="1682">
        <v>11</v>
      </c>
      <c r="E61" s="1763" t="s">
        <v>1392</v>
      </c>
      <c r="F61" s="1684" t="s">
        <v>1393</v>
      </c>
      <c r="G61" s="2384">
        <v>24875</v>
      </c>
      <c r="H61" s="1685" t="s">
        <v>947</v>
      </c>
      <c r="I61" s="2369"/>
      <c r="J61" s="2388" t="s">
        <v>1394</v>
      </c>
      <c r="K61" s="1671">
        <f>V61/G61</f>
        <v>0.28140703517587939</v>
      </c>
      <c r="L61" s="2374">
        <v>0</v>
      </c>
      <c r="M61" s="2374">
        <v>0</v>
      </c>
      <c r="N61" s="2374">
        <f>O61+P61+Q61+R61+S61+T61</f>
        <v>7000</v>
      </c>
      <c r="O61" s="2372">
        <v>2000</v>
      </c>
      <c r="P61" s="2372">
        <v>0</v>
      </c>
      <c r="Q61" s="2372">
        <v>5000</v>
      </c>
      <c r="R61" s="2372">
        <v>0</v>
      </c>
      <c r="S61" s="2372">
        <v>0</v>
      </c>
      <c r="T61" s="2372">
        <v>0</v>
      </c>
      <c r="U61" s="2374">
        <v>0</v>
      </c>
      <c r="V61" s="2386">
        <f>N61+M61+L61+U61</f>
        <v>7000</v>
      </c>
      <c r="W61" s="1687">
        <v>0</v>
      </c>
      <c r="X61" s="3108"/>
      <c r="Y61" s="3110"/>
      <c r="Z61" s="3113"/>
      <c r="AA61" s="3113"/>
      <c r="AB61" s="3116"/>
      <c r="AC61" s="3116"/>
      <c r="AD61" s="3116"/>
      <c r="AE61" s="3116"/>
      <c r="AF61" s="3113"/>
      <c r="AG61" s="3113"/>
      <c r="AH61" s="3116"/>
      <c r="AI61" s="3116"/>
      <c r="AJ61" s="3116"/>
      <c r="AK61" s="3116"/>
      <c r="AL61" s="3116"/>
      <c r="AM61" s="3116"/>
      <c r="AN61" s="3113"/>
      <c r="AO61" s="3113"/>
      <c r="AP61" s="3123"/>
      <c r="AQ61" s="3123"/>
      <c r="AR61" s="3123"/>
      <c r="AS61" s="3123"/>
      <c r="AT61" s="3126"/>
      <c r="AU61" s="1673" t="s">
        <v>1395</v>
      </c>
      <c r="AV61" s="2369"/>
      <c r="AW61" s="1671">
        <v>4.5999999999999996</v>
      </c>
      <c r="AX61" s="1671">
        <v>2.6</v>
      </c>
      <c r="AY61" s="1671">
        <v>2</v>
      </c>
      <c r="AZ61" s="1671">
        <v>0</v>
      </c>
      <c r="BA61" s="2353"/>
      <c r="BB61" s="2353"/>
      <c r="BC61" s="2353"/>
      <c r="BD61" s="2381"/>
      <c r="BE61" s="2353"/>
      <c r="BF61" s="2353"/>
      <c r="BG61" s="2353"/>
      <c r="BH61" s="2353"/>
      <c r="BI61" s="2372"/>
      <c r="BJ61" s="2353"/>
      <c r="BK61" s="2353"/>
      <c r="BL61" s="2353"/>
      <c r="BM61" s="2353"/>
      <c r="BN61" s="2353"/>
      <c r="BO61" s="2353"/>
      <c r="BP61" s="2353"/>
      <c r="BQ61" s="2353"/>
      <c r="BR61" s="2353"/>
      <c r="BS61" s="2353"/>
      <c r="BT61" s="2353"/>
      <c r="BU61" s="2353"/>
      <c r="BV61" s="2353"/>
      <c r="BW61" s="2353"/>
      <c r="BX61" s="2353"/>
      <c r="BY61" s="2353"/>
      <c r="BZ61" s="2353"/>
      <c r="CA61" s="2353"/>
      <c r="CB61" s="2353"/>
      <c r="CC61" s="2353"/>
      <c r="CD61" s="2357"/>
      <c r="CE61" s="3133"/>
      <c r="CF61" s="3123"/>
      <c r="CG61" s="3123"/>
      <c r="CH61" s="3123"/>
      <c r="CI61" s="3123"/>
      <c r="CJ61" s="3123"/>
      <c r="CK61" s="3123"/>
      <c r="CL61" s="3123"/>
      <c r="CM61" s="3123"/>
      <c r="CN61" s="3123"/>
      <c r="CO61" s="3123"/>
      <c r="CP61" s="3123"/>
      <c r="CQ61" s="3123"/>
      <c r="CR61" s="3123"/>
      <c r="CS61" s="3123"/>
      <c r="CT61" s="3123"/>
      <c r="CU61" s="3123"/>
      <c r="CV61" s="3123"/>
      <c r="CW61" s="3126"/>
      <c r="CX61" s="3129"/>
      <c r="CY61" s="3129"/>
      <c r="CZ61" s="3129"/>
      <c r="DA61" s="3129"/>
      <c r="DB61" s="3129"/>
      <c r="DC61" s="3129"/>
      <c r="DD61" s="3129"/>
      <c r="DE61" s="3119"/>
      <c r="DF61" s="1762"/>
      <c r="DG61" s="1631"/>
      <c r="DH61" s="1631"/>
      <c r="DI61" s="1631"/>
      <c r="DJ61" s="1631"/>
      <c r="DK61" s="1631"/>
    </row>
    <row r="62" spans="1:115">
      <c r="A62" s="3105"/>
      <c r="B62" s="2558" t="str">
        <f t="shared" si="45"/>
        <v>1021990034</v>
      </c>
      <c r="C62" s="1682">
        <v>2199</v>
      </c>
      <c r="D62" s="1682">
        <v>34</v>
      </c>
      <c r="E62" s="1763" t="s">
        <v>1396</v>
      </c>
      <c r="F62" s="1684" t="s">
        <v>1397</v>
      </c>
      <c r="G62" s="2384">
        <v>14928</v>
      </c>
      <c r="H62" s="1685" t="s">
        <v>947</v>
      </c>
      <c r="I62" s="2369"/>
      <c r="J62" s="2374"/>
      <c r="K62" s="1671">
        <v>1</v>
      </c>
      <c r="L62" s="2374">
        <v>0</v>
      </c>
      <c r="M62" s="2374">
        <v>0</v>
      </c>
      <c r="N62" s="2374">
        <f>SUM(O62:T62)</f>
        <v>14928</v>
      </c>
      <c r="O62" s="2372">
        <v>14928</v>
      </c>
      <c r="P62" s="2372">
        <v>0</v>
      </c>
      <c r="Q62" s="2372">
        <v>0</v>
      </c>
      <c r="R62" s="2372">
        <v>0</v>
      </c>
      <c r="S62" s="2372">
        <v>0</v>
      </c>
      <c r="T62" s="2372">
        <v>0</v>
      </c>
      <c r="U62" s="2374">
        <v>0</v>
      </c>
      <c r="V62" s="2386">
        <f>N62+M62+L62+U62</f>
        <v>14928</v>
      </c>
      <c r="W62" s="1687"/>
      <c r="X62" s="3108"/>
      <c r="Y62" s="3110"/>
      <c r="Z62" s="3113"/>
      <c r="AA62" s="3113"/>
      <c r="AB62" s="3116"/>
      <c r="AC62" s="3116"/>
      <c r="AD62" s="3116"/>
      <c r="AE62" s="3116"/>
      <c r="AF62" s="3113"/>
      <c r="AG62" s="3113"/>
      <c r="AH62" s="3116"/>
      <c r="AI62" s="3116"/>
      <c r="AJ62" s="3116"/>
      <c r="AK62" s="3116"/>
      <c r="AL62" s="3116"/>
      <c r="AM62" s="3116"/>
      <c r="AN62" s="3113"/>
      <c r="AO62" s="3113"/>
      <c r="AP62" s="3123"/>
      <c r="AQ62" s="3123"/>
      <c r="AR62" s="3123"/>
      <c r="AS62" s="3123"/>
      <c r="AT62" s="3126"/>
      <c r="AU62" s="1673" t="s">
        <v>1395</v>
      </c>
      <c r="AV62" s="2369"/>
      <c r="AW62" s="1671">
        <v>4.5999999999999996</v>
      </c>
      <c r="AX62" s="1671">
        <v>4.5999999999999996</v>
      </c>
      <c r="AY62" s="1671">
        <v>0</v>
      </c>
      <c r="AZ62" s="1671">
        <v>0</v>
      </c>
      <c r="BA62" s="2353"/>
      <c r="BB62" s="2353"/>
      <c r="BC62" s="2353"/>
      <c r="BD62" s="2381"/>
      <c r="BE62" s="2353"/>
      <c r="BF62" s="2353"/>
      <c r="BG62" s="2353"/>
      <c r="BH62" s="2353"/>
      <c r="BI62" s="2372"/>
      <c r="BJ62" s="2353"/>
      <c r="BK62" s="2353"/>
      <c r="BL62" s="2353"/>
      <c r="BM62" s="2353"/>
      <c r="BN62" s="2353"/>
      <c r="BO62" s="2353"/>
      <c r="BP62" s="2353"/>
      <c r="BQ62" s="2353"/>
      <c r="BR62" s="2353"/>
      <c r="BS62" s="2353"/>
      <c r="BT62" s="2353"/>
      <c r="BU62" s="2353"/>
      <c r="BV62" s="2353"/>
      <c r="BW62" s="2353"/>
      <c r="BX62" s="2353"/>
      <c r="BY62" s="2353"/>
      <c r="BZ62" s="2353"/>
      <c r="CA62" s="2353"/>
      <c r="CB62" s="2353"/>
      <c r="CC62" s="2353"/>
      <c r="CD62" s="2357"/>
      <c r="CE62" s="3133"/>
      <c r="CF62" s="3123"/>
      <c r="CG62" s="3123"/>
      <c r="CH62" s="3123"/>
      <c r="CI62" s="3123"/>
      <c r="CJ62" s="3123"/>
      <c r="CK62" s="3123"/>
      <c r="CL62" s="3123"/>
      <c r="CM62" s="3123"/>
      <c r="CN62" s="3123"/>
      <c r="CO62" s="3123"/>
      <c r="CP62" s="3123"/>
      <c r="CQ62" s="3123"/>
      <c r="CR62" s="3123"/>
      <c r="CS62" s="3123"/>
      <c r="CT62" s="3123"/>
      <c r="CU62" s="3123"/>
      <c r="CV62" s="3123"/>
      <c r="CW62" s="3126"/>
      <c r="CX62" s="3129"/>
      <c r="CY62" s="3129"/>
      <c r="CZ62" s="3129"/>
      <c r="DA62" s="3129"/>
      <c r="DB62" s="3129"/>
      <c r="DC62" s="3129"/>
      <c r="DD62" s="3129"/>
      <c r="DE62" s="3119"/>
      <c r="DF62" s="1762"/>
      <c r="DG62" s="1631"/>
      <c r="DH62" s="1631"/>
      <c r="DI62" s="1631"/>
      <c r="DJ62" s="1631"/>
      <c r="DK62" s="1631"/>
    </row>
    <row r="63" spans="1:115">
      <c r="A63" s="3145"/>
      <c r="B63" s="2563"/>
      <c r="C63" s="1731"/>
      <c r="D63" s="1731"/>
      <c r="E63" s="1732"/>
      <c r="F63" s="1725" t="s">
        <v>1398</v>
      </c>
      <c r="G63" s="2385">
        <f>SUM(G60:G62)</f>
        <v>59703</v>
      </c>
      <c r="H63" s="2370" t="s">
        <v>947</v>
      </c>
      <c r="I63" s="2370"/>
      <c r="J63" s="2354"/>
      <c r="K63" s="1726">
        <f>V63/G63</f>
        <v>1.036698323367335</v>
      </c>
      <c r="L63" s="2375">
        <f>SUM(L60:L62)</f>
        <v>0</v>
      </c>
      <c r="M63" s="2375">
        <f>SUM(M60:M62)</f>
        <v>0</v>
      </c>
      <c r="N63" s="2375">
        <f t="shared" ref="N63:V63" si="47">SUM(N60:N62)</f>
        <v>61894</v>
      </c>
      <c r="O63" s="2373">
        <f t="shared" si="47"/>
        <v>16928</v>
      </c>
      <c r="P63" s="2373">
        <f t="shared" si="47"/>
        <v>0</v>
      </c>
      <c r="Q63" s="2373">
        <f t="shared" si="47"/>
        <v>5000</v>
      </c>
      <c r="R63" s="2373">
        <f t="shared" si="47"/>
        <v>19983</v>
      </c>
      <c r="S63" s="2373">
        <f t="shared" si="47"/>
        <v>14988</v>
      </c>
      <c r="T63" s="2373">
        <f t="shared" si="47"/>
        <v>4995</v>
      </c>
      <c r="U63" s="2375">
        <f t="shared" si="47"/>
        <v>0</v>
      </c>
      <c r="V63" s="2387">
        <f t="shared" si="47"/>
        <v>61894</v>
      </c>
      <c r="W63" s="2375">
        <f t="shared" ref="W63" si="48">SUM(W60:W61)</f>
        <v>0</v>
      </c>
      <c r="X63" s="3146"/>
      <c r="Y63" s="3111"/>
      <c r="Z63" s="3149"/>
      <c r="AA63" s="3149"/>
      <c r="AB63" s="3150"/>
      <c r="AC63" s="3150"/>
      <c r="AD63" s="3150"/>
      <c r="AE63" s="3150"/>
      <c r="AF63" s="3149"/>
      <c r="AG63" s="3149"/>
      <c r="AH63" s="3150"/>
      <c r="AI63" s="3150"/>
      <c r="AJ63" s="3150"/>
      <c r="AK63" s="3150"/>
      <c r="AL63" s="3150"/>
      <c r="AM63" s="3150"/>
      <c r="AN63" s="3149"/>
      <c r="AO63" s="3149"/>
      <c r="AP63" s="3156"/>
      <c r="AQ63" s="3156"/>
      <c r="AR63" s="3156"/>
      <c r="AS63" s="3156"/>
      <c r="AT63" s="3161"/>
      <c r="AU63" s="1764" t="s">
        <v>1399</v>
      </c>
      <c r="AV63" s="2370"/>
      <c r="AW63" s="1726"/>
      <c r="AX63" s="1726"/>
      <c r="AY63" s="1726"/>
      <c r="AZ63" s="1726"/>
      <c r="BA63" s="2354"/>
      <c r="BB63" s="2354"/>
      <c r="BC63" s="2354"/>
      <c r="BD63" s="2382"/>
      <c r="BE63" s="2354"/>
      <c r="BF63" s="2354"/>
      <c r="BG63" s="2354"/>
      <c r="BH63" s="2354"/>
      <c r="BI63" s="2373"/>
      <c r="BJ63" s="2354"/>
      <c r="BK63" s="2354"/>
      <c r="BL63" s="2354"/>
      <c r="BM63" s="2354"/>
      <c r="BN63" s="2354"/>
      <c r="BO63" s="2354"/>
      <c r="BP63" s="2354"/>
      <c r="BQ63" s="2354"/>
      <c r="BR63" s="2354"/>
      <c r="BS63" s="2354"/>
      <c r="BT63" s="2354"/>
      <c r="BU63" s="2354"/>
      <c r="BV63" s="2354"/>
      <c r="BW63" s="2354"/>
      <c r="BX63" s="2354"/>
      <c r="BY63" s="2354"/>
      <c r="BZ63" s="2354"/>
      <c r="CA63" s="2354"/>
      <c r="CB63" s="2354"/>
      <c r="CC63" s="2354"/>
      <c r="CD63" s="2358"/>
      <c r="CE63" s="3162"/>
      <c r="CF63" s="3156"/>
      <c r="CG63" s="3156"/>
      <c r="CH63" s="3156"/>
      <c r="CI63" s="3156"/>
      <c r="CJ63" s="3156"/>
      <c r="CK63" s="3156"/>
      <c r="CL63" s="3156"/>
      <c r="CM63" s="3156"/>
      <c r="CN63" s="3156"/>
      <c r="CO63" s="3156"/>
      <c r="CP63" s="3156"/>
      <c r="CQ63" s="3156"/>
      <c r="CR63" s="3156"/>
      <c r="CS63" s="3156"/>
      <c r="CT63" s="3156"/>
      <c r="CU63" s="3156"/>
      <c r="CV63" s="3156"/>
      <c r="CW63" s="3161"/>
      <c r="CX63" s="3163"/>
      <c r="CY63" s="3163"/>
      <c r="CZ63" s="3163"/>
      <c r="DA63" s="3163"/>
      <c r="DB63" s="3163"/>
      <c r="DC63" s="3163"/>
      <c r="DD63" s="3163"/>
      <c r="DE63" s="3164"/>
      <c r="DF63" s="1762"/>
      <c r="DG63" s="1631"/>
      <c r="DH63" s="1631"/>
      <c r="DI63" s="1631"/>
      <c r="DJ63" s="1631"/>
      <c r="DK63" s="1631"/>
    </row>
    <row r="64" spans="1:115" ht="15.75" thickBot="1">
      <c r="A64" s="2377"/>
      <c r="B64" s="2559"/>
      <c r="C64" s="1669"/>
      <c r="D64" s="1669"/>
      <c r="E64" s="1670"/>
      <c r="F64" s="2363"/>
      <c r="G64" s="2384"/>
      <c r="H64" s="2369"/>
      <c r="I64" s="2369"/>
      <c r="J64" s="2353"/>
      <c r="K64" s="1671"/>
      <c r="L64" s="2374"/>
      <c r="M64" s="2374"/>
      <c r="N64" s="2374"/>
      <c r="O64" s="2372"/>
      <c r="P64" s="2372"/>
      <c r="Q64" s="2372"/>
      <c r="R64" s="2372"/>
      <c r="S64" s="2372"/>
      <c r="T64" s="2372"/>
      <c r="U64" s="2374"/>
      <c r="V64" s="2386"/>
      <c r="W64" s="2374"/>
      <c r="X64" s="1745"/>
      <c r="Y64" s="2362"/>
      <c r="Z64" s="2374"/>
      <c r="AA64" s="2374"/>
      <c r="AB64" s="2372"/>
      <c r="AC64" s="2372"/>
      <c r="AD64" s="2372"/>
      <c r="AE64" s="2372"/>
      <c r="AF64" s="2372"/>
      <c r="AG64" s="2374"/>
      <c r="AH64" s="2372"/>
      <c r="AI64" s="2372"/>
      <c r="AJ64" s="2372"/>
      <c r="AK64" s="2372"/>
      <c r="AL64" s="2372"/>
      <c r="AM64" s="2372"/>
      <c r="AN64" s="2374"/>
      <c r="AO64" s="2374"/>
      <c r="AP64" s="2359"/>
      <c r="AQ64" s="2353"/>
      <c r="AR64" s="2353"/>
      <c r="AS64" s="2353"/>
      <c r="AT64" s="2357"/>
      <c r="AU64" s="1673"/>
      <c r="AV64" s="2369"/>
      <c r="AW64" s="1671"/>
      <c r="AX64" s="1671"/>
      <c r="AY64" s="1671"/>
      <c r="AZ64" s="1671"/>
      <c r="BA64" s="2353"/>
      <c r="BB64" s="2374"/>
      <c r="BC64" s="2374"/>
      <c r="BD64" s="2372"/>
      <c r="BE64" s="2372"/>
      <c r="BF64" s="2372"/>
      <c r="BG64" s="2372"/>
      <c r="BH64" s="2372"/>
      <c r="BI64" s="2372"/>
      <c r="BJ64" s="2372"/>
      <c r="BK64" s="2374"/>
      <c r="BL64" s="2372"/>
      <c r="BM64" s="2372"/>
      <c r="BN64" s="2372"/>
      <c r="BO64" s="2372"/>
      <c r="BP64" s="2372"/>
      <c r="BQ64" s="2372"/>
      <c r="BR64" s="2372"/>
      <c r="BS64" s="2374"/>
      <c r="BT64" s="2353"/>
      <c r="BU64" s="2353"/>
      <c r="BV64" s="2353"/>
      <c r="BW64" s="2353"/>
      <c r="BX64" s="2353"/>
      <c r="BY64" s="2353"/>
      <c r="BZ64" s="2353"/>
      <c r="CA64" s="2353"/>
      <c r="CB64" s="2353"/>
      <c r="CC64" s="2353"/>
      <c r="CD64" s="2357"/>
      <c r="CE64" s="2388"/>
      <c r="CF64" s="2374"/>
      <c r="CG64" s="2372"/>
      <c r="CH64" s="2372"/>
      <c r="CI64" s="2372"/>
      <c r="CJ64" s="2372"/>
      <c r="CK64" s="2372"/>
      <c r="CL64" s="2372"/>
      <c r="CM64" s="2372"/>
      <c r="CN64" s="2374"/>
      <c r="CO64" s="2372"/>
      <c r="CP64" s="2372"/>
      <c r="CQ64" s="2372"/>
      <c r="CR64" s="2372"/>
      <c r="CS64" s="2372"/>
      <c r="CT64" s="2372"/>
      <c r="CU64" s="2374"/>
      <c r="CV64" s="2374"/>
      <c r="CW64" s="2386"/>
      <c r="CX64" s="2350"/>
      <c r="CY64" s="2350"/>
      <c r="CZ64" s="2350"/>
      <c r="DA64" s="2350"/>
      <c r="DB64" s="2350"/>
      <c r="DC64" s="2350"/>
      <c r="DD64" s="2363"/>
      <c r="DE64" s="2365"/>
      <c r="DF64" s="1762"/>
      <c r="DG64" s="1631"/>
      <c r="DH64" s="1631"/>
      <c r="DI64" s="1631"/>
      <c r="DJ64" s="1631"/>
      <c r="DK64" s="1631"/>
    </row>
    <row r="65" spans="1:115" ht="15.75" thickBot="1">
      <c r="A65" s="3104">
        <v>14</v>
      </c>
      <c r="B65" s="2558" t="str">
        <f t="shared" ref="B65:B66" si="49">1&amp;"0"&amp;C65&amp;IF(LEN(SUBSTITUTE(UPPER(D65),"P/O ",""))=1,"000"&amp;SUBSTITUTE(UPPER(D65),"P/O ",""),IF(LEN(SUBSTITUTE(UPPER(D65),"P/O ",""))=2,"00"&amp;SUBSTITUTE(UPPER(D65),"P/O ",""),IF(LEN(SUBSTITUTE(UPPER(D65),"P/O ",""))=3,"0"&amp;SUBSTITUTE(UPPER(D65),"P/O ",""),SUBSTITUTE(UPPER(D65),"P/O ",""))))</f>
        <v>1021980001</v>
      </c>
      <c r="C65" s="1674">
        <v>2198</v>
      </c>
      <c r="D65" s="1674">
        <v>1</v>
      </c>
      <c r="E65" s="1675" t="s">
        <v>1400</v>
      </c>
      <c r="F65" s="1676" t="s">
        <v>1401</v>
      </c>
      <c r="G65" s="1677">
        <v>18900</v>
      </c>
      <c r="H65" s="1678" t="s">
        <v>947</v>
      </c>
      <c r="I65" s="2379"/>
      <c r="J65" s="2361" t="s">
        <v>1402</v>
      </c>
      <c r="K65" s="1679">
        <f>V65/G65</f>
        <v>0</v>
      </c>
      <c r="L65" s="2355">
        <v>0</v>
      </c>
      <c r="M65" s="2355">
        <v>0</v>
      </c>
      <c r="N65" s="2355">
        <f>O65+P65+Q65+R65+S65+T65</f>
        <v>0</v>
      </c>
      <c r="O65" s="2352">
        <v>0</v>
      </c>
      <c r="P65" s="2352">
        <v>0</v>
      </c>
      <c r="Q65" s="2352">
        <v>0</v>
      </c>
      <c r="R65" s="2352">
        <v>0</v>
      </c>
      <c r="S65" s="2352">
        <v>0</v>
      </c>
      <c r="T65" s="2352">
        <v>0</v>
      </c>
      <c r="U65" s="2355">
        <v>0</v>
      </c>
      <c r="V65" s="2356">
        <f>N65+M65+L65+U65</f>
        <v>0</v>
      </c>
      <c r="W65" s="2355">
        <v>0</v>
      </c>
      <c r="X65" s="3107" t="s">
        <v>1289</v>
      </c>
      <c r="Y65" s="3109" t="s">
        <v>1023</v>
      </c>
      <c r="Z65" s="3112">
        <v>0</v>
      </c>
      <c r="AA65" s="3112">
        <f>AB65+AC65+AD65+AE65+AF65</f>
        <v>0</v>
      </c>
      <c r="AB65" s="3115">
        <v>0</v>
      </c>
      <c r="AC65" s="3115">
        <v>0</v>
      </c>
      <c r="AD65" s="3115">
        <v>0</v>
      </c>
      <c r="AE65" s="3115">
        <v>0</v>
      </c>
      <c r="AF65" s="3115">
        <v>0</v>
      </c>
      <c r="AG65" s="3112">
        <f>AH65+AI65+AJ65+AK65+AL65+AM65+AN65</f>
        <v>10260</v>
      </c>
      <c r="AH65" s="3115">
        <v>8460</v>
      </c>
      <c r="AI65" s="3115">
        <v>0</v>
      </c>
      <c r="AJ65" s="3115">
        <v>0</v>
      </c>
      <c r="AK65" s="3115">
        <v>1800</v>
      </c>
      <c r="AL65" s="3115">
        <v>0</v>
      </c>
      <c r="AM65" s="3115">
        <v>0</v>
      </c>
      <c r="AN65" s="3112">
        <v>0</v>
      </c>
      <c r="AO65" s="3112">
        <f>AG65+Z65+AA65</f>
        <v>10260</v>
      </c>
      <c r="AP65" s="3135">
        <f>AO65/G65</f>
        <v>0.54285714285714282</v>
      </c>
      <c r="AQ65" s="3136">
        <v>0</v>
      </c>
      <c r="AR65" s="3136">
        <v>0</v>
      </c>
      <c r="AS65" s="3136">
        <v>0</v>
      </c>
      <c r="AT65" s="3131">
        <v>31</v>
      </c>
      <c r="AU65" s="1680" t="s">
        <v>1391</v>
      </c>
      <c r="AV65" s="2379"/>
      <c r="AW65" s="2371">
        <v>8.5</v>
      </c>
      <c r="AX65" s="2371">
        <v>6.6</v>
      </c>
      <c r="AY65" s="2371">
        <v>1.9</v>
      </c>
      <c r="AZ65" s="2371">
        <v>0</v>
      </c>
      <c r="BA65" s="2366"/>
      <c r="BB65" s="2355">
        <f>ROUND(AX65*G67,0)</f>
        <v>182886</v>
      </c>
      <c r="BC65" s="2355">
        <f>ROUND(AZ65*G67,0)</f>
        <v>0</v>
      </c>
      <c r="BD65" s="2352">
        <f>BC65</f>
        <v>0</v>
      </c>
      <c r="BE65" s="2352">
        <v>0</v>
      </c>
      <c r="BF65" s="2352">
        <v>0</v>
      </c>
      <c r="BG65" s="2352">
        <v>0</v>
      </c>
      <c r="BH65" s="2352">
        <v>0</v>
      </c>
      <c r="BI65" s="2352">
        <v>0</v>
      </c>
      <c r="BJ65" s="2352">
        <v>0</v>
      </c>
      <c r="BK65" s="2355">
        <f>ROUND(G67*AY65,0)</f>
        <v>52649</v>
      </c>
      <c r="BL65" s="2352">
        <v>0</v>
      </c>
      <c r="BM65" s="2352">
        <v>0</v>
      </c>
      <c r="BN65" s="2352">
        <v>0</v>
      </c>
      <c r="BO65" s="2352">
        <v>0</v>
      </c>
      <c r="BP65" s="2352">
        <v>0</v>
      </c>
      <c r="BQ65" s="2352">
        <f>(ROUND(G67*AY65,0))-BL65</f>
        <v>52649</v>
      </c>
      <c r="BR65" s="2352">
        <v>0</v>
      </c>
      <c r="BS65" s="2355">
        <f>ROUND(AW65*G67,0)</f>
        <v>235535</v>
      </c>
      <c r="BT65" s="2366">
        <f>ROUND(BB65/875,0)</f>
        <v>209</v>
      </c>
      <c r="BU65" s="2366">
        <f>ROUND(BT65*0.25,0)</f>
        <v>52</v>
      </c>
      <c r="BV65" s="2366">
        <f>BT65-BU65</f>
        <v>157</v>
      </c>
      <c r="BW65" s="2366">
        <f>ROUND(BT65*0.3,0)</f>
        <v>63</v>
      </c>
      <c r="BX65" s="2366">
        <f>BT65-BW65</f>
        <v>146</v>
      </c>
      <c r="BY65" s="2366">
        <f>ROUND(IF(((0.2*BV65)&gt;15),(0.2*BV65),0),0)</f>
        <v>31</v>
      </c>
      <c r="BZ65" s="2366">
        <f>ROUND(IF(((0.2*BX65)&gt;15),(0.2*BX65),0),0)</f>
        <v>29</v>
      </c>
      <c r="CA65" s="2366">
        <v>0</v>
      </c>
      <c r="CB65" s="2366">
        <f>CA65+BY65</f>
        <v>31</v>
      </c>
      <c r="CC65" s="2366">
        <f>BZ65+CA65</f>
        <v>29</v>
      </c>
      <c r="CD65" s="2367">
        <v>175</v>
      </c>
      <c r="CE65" s="3132">
        <f>BB65-Z65</f>
        <v>182886</v>
      </c>
      <c r="CF65" s="3112">
        <f>BC65-AA65</f>
        <v>0</v>
      </c>
      <c r="CG65" s="3115">
        <f>BD65</f>
        <v>0</v>
      </c>
      <c r="CH65" s="3115">
        <f>BE65-AB65</f>
        <v>0</v>
      </c>
      <c r="CI65" s="3115">
        <f>BF65</f>
        <v>0</v>
      </c>
      <c r="CJ65" s="3115">
        <f>BG65-AC65</f>
        <v>0</v>
      </c>
      <c r="CK65" s="3115">
        <f>BH65</f>
        <v>0</v>
      </c>
      <c r="CL65" s="3115">
        <f>BI65-AD65</f>
        <v>0</v>
      </c>
      <c r="CM65" s="3115">
        <f t="shared" ref="CM65:CV65" si="50">BJ65-AF65</f>
        <v>0</v>
      </c>
      <c r="CN65" s="3112">
        <f>BK65-AG65</f>
        <v>42389</v>
      </c>
      <c r="CO65" s="3115">
        <f>BL65-AH65</f>
        <v>-8460</v>
      </c>
      <c r="CP65" s="3115">
        <f t="shared" si="50"/>
        <v>0</v>
      </c>
      <c r="CQ65" s="3115">
        <f t="shared" si="50"/>
        <v>0</v>
      </c>
      <c r="CR65" s="3115">
        <f>BO65-AK65</f>
        <v>-1800</v>
      </c>
      <c r="CS65" s="3115">
        <f t="shared" si="50"/>
        <v>0</v>
      </c>
      <c r="CT65" s="3115">
        <f>BQ65-AM65</f>
        <v>52649</v>
      </c>
      <c r="CU65" s="3112">
        <f t="shared" si="50"/>
        <v>0</v>
      </c>
      <c r="CV65" s="3112">
        <f t="shared" si="50"/>
        <v>225275</v>
      </c>
      <c r="CW65" s="3125">
        <f>BT65-AQ65</f>
        <v>209</v>
      </c>
      <c r="CX65" s="3128">
        <f>BU65</f>
        <v>52</v>
      </c>
      <c r="CY65" s="3128">
        <f>CW65-CX65</f>
        <v>157</v>
      </c>
      <c r="CZ65" s="3128">
        <f>BW65</f>
        <v>63</v>
      </c>
      <c r="DA65" s="3128">
        <f>CW65-CZ65</f>
        <v>146</v>
      </c>
      <c r="DB65" s="3128">
        <f>BY65-AR65</f>
        <v>31</v>
      </c>
      <c r="DC65" s="3128">
        <f>BZ65-AR65</f>
        <v>29</v>
      </c>
      <c r="DD65" s="3128">
        <f>CB65-AS65</f>
        <v>31</v>
      </c>
      <c r="DE65" s="3118">
        <f>CC65-AS65</f>
        <v>29</v>
      </c>
      <c r="DF65" s="1762"/>
      <c r="DG65" s="1631"/>
      <c r="DH65" s="1631"/>
      <c r="DI65" s="1631"/>
      <c r="DJ65" s="1631"/>
      <c r="DK65" s="1631"/>
    </row>
    <row r="66" spans="1:115">
      <c r="A66" s="3105"/>
      <c r="B66" s="2558" t="str">
        <f t="shared" si="49"/>
        <v>1021980005</v>
      </c>
      <c r="C66" s="1682">
        <v>2198</v>
      </c>
      <c r="D66" s="1682">
        <v>5</v>
      </c>
      <c r="E66" s="1683" t="s">
        <v>1403</v>
      </c>
      <c r="F66" s="1684" t="s">
        <v>1401</v>
      </c>
      <c r="G66" s="1686">
        <v>8810</v>
      </c>
      <c r="H66" s="1685" t="s">
        <v>947</v>
      </c>
      <c r="I66" s="2369"/>
      <c r="J66" s="2388" t="s">
        <v>1402</v>
      </c>
      <c r="K66" s="1671">
        <f>V66/G66</f>
        <v>1.1645856980703746</v>
      </c>
      <c r="L66" s="1687">
        <v>0</v>
      </c>
      <c r="M66" s="1687">
        <v>0</v>
      </c>
      <c r="N66" s="1687">
        <f>O66+P66+Q66+R66+S66+T66</f>
        <v>10260</v>
      </c>
      <c r="O66" s="1688">
        <v>8460</v>
      </c>
      <c r="P66" s="1688">
        <v>0</v>
      </c>
      <c r="Q66" s="1688">
        <v>1800</v>
      </c>
      <c r="R66" s="1688">
        <v>0</v>
      </c>
      <c r="S66" s="1688">
        <v>0</v>
      </c>
      <c r="T66" s="1688">
        <v>0</v>
      </c>
      <c r="U66" s="1687">
        <v>0</v>
      </c>
      <c r="V66" s="1689">
        <f>N66+M66+L66+U66</f>
        <v>10260</v>
      </c>
      <c r="W66" s="1687">
        <v>0</v>
      </c>
      <c r="X66" s="3108"/>
      <c r="Y66" s="3110"/>
      <c r="Z66" s="3113"/>
      <c r="AA66" s="3113"/>
      <c r="AB66" s="3116"/>
      <c r="AC66" s="3116"/>
      <c r="AD66" s="3116"/>
      <c r="AE66" s="3116"/>
      <c r="AF66" s="3113"/>
      <c r="AG66" s="3113"/>
      <c r="AH66" s="3116"/>
      <c r="AI66" s="3116"/>
      <c r="AJ66" s="3116"/>
      <c r="AK66" s="3116"/>
      <c r="AL66" s="3116"/>
      <c r="AM66" s="3116"/>
      <c r="AN66" s="3113"/>
      <c r="AO66" s="3113"/>
      <c r="AP66" s="3123"/>
      <c r="AQ66" s="3123"/>
      <c r="AR66" s="3123"/>
      <c r="AS66" s="3123"/>
      <c r="AT66" s="3126"/>
      <c r="AU66" s="1673"/>
      <c r="AV66" s="2369"/>
      <c r="AW66" s="2353"/>
      <c r="AX66" s="2353"/>
      <c r="AY66" s="2353"/>
      <c r="AZ66" s="2353"/>
      <c r="BA66" s="2353"/>
      <c r="BB66" s="2353"/>
      <c r="BC66" s="2353"/>
      <c r="BD66" s="2353"/>
      <c r="BE66" s="2353"/>
      <c r="BF66" s="2353"/>
      <c r="BG66" s="2353"/>
      <c r="BH66" s="2353"/>
      <c r="BI66" s="2353"/>
      <c r="BJ66" s="2353"/>
      <c r="BK66" s="2353"/>
      <c r="BL66" s="2353"/>
      <c r="BM66" s="2353"/>
      <c r="BN66" s="2353"/>
      <c r="BO66" s="2353"/>
      <c r="BP66" s="2353"/>
      <c r="BQ66" s="2353"/>
      <c r="BR66" s="2353"/>
      <c r="BS66" s="2353"/>
      <c r="BT66" s="2353"/>
      <c r="BU66" s="2353"/>
      <c r="BV66" s="2353"/>
      <c r="BW66" s="2353"/>
      <c r="BX66" s="2353"/>
      <c r="BY66" s="2353"/>
      <c r="BZ66" s="2353"/>
      <c r="CA66" s="2353"/>
      <c r="CB66" s="2353"/>
      <c r="CC66" s="2353"/>
      <c r="CD66" s="2357"/>
      <c r="CE66" s="3133"/>
      <c r="CF66" s="3123"/>
      <c r="CG66" s="3123"/>
      <c r="CH66" s="3123"/>
      <c r="CI66" s="3123"/>
      <c r="CJ66" s="3123"/>
      <c r="CK66" s="3123"/>
      <c r="CL66" s="3123"/>
      <c r="CM66" s="3123"/>
      <c r="CN66" s="3123"/>
      <c r="CO66" s="3123"/>
      <c r="CP66" s="3123"/>
      <c r="CQ66" s="3123"/>
      <c r="CR66" s="3123"/>
      <c r="CS66" s="3123"/>
      <c r="CT66" s="3123"/>
      <c r="CU66" s="3123"/>
      <c r="CV66" s="3123"/>
      <c r="CW66" s="3126"/>
      <c r="CX66" s="3129"/>
      <c r="CY66" s="3129"/>
      <c r="CZ66" s="3129"/>
      <c r="DA66" s="3129"/>
      <c r="DB66" s="3129"/>
      <c r="DC66" s="3129"/>
      <c r="DD66" s="3129"/>
      <c r="DE66" s="3119"/>
      <c r="DF66" s="1762"/>
      <c r="DG66" s="1631"/>
      <c r="DH66" s="1631"/>
      <c r="DI66" s="1631"/>
      <c r="DJ66" s="1631"/>
      <c r="DK66" s="1631"/>
    </row>
    <row r="67" spans="1:115">
      <c r="A67" s="3145"/>
      <c r="B67" s="2563"/>
      <c r="C67" s="1731"/>
      <c r="D67" s="1731"/>
      <c r="E67" s="1732"/>
      <c r="F67" s="1725" t="s">
        <v>1404</v>
      </c>
      <c r="G67" s="2385">
        <f>SUM(G65:G66)</f>
        <v>27710</v>
      </c>
      <c r="H67" s="2370" t="s">
        <v>947</v>
      </c>
      <c r="I67" s="2370"/>
      <c r="J67" s="2354"/>
      <c r="K67" s="1726">
        <f>V67/G67</f>
        <v>0.37026344280043305</v>
      </c>
      <c r="L67" s="2375">
        <f>SUM(L65:L66)</f>
        <v>0</v>
      </c>
      <c r="M67" s="2375">
        <f t="shared" ref="M67:W67" si="51">SUM(M65:M66)</f>
        <v>0</v>
      </c>
      <c r="N67" s="2375">
        <f t="shared" si="51"/>
        <v>10260</v>
      </c>
      <c r="O67" s="2373">
        <f t="shared" si="51"/>
        <v>8460</v>
      </c>
      <c r="P67" s="2373">
        <f t="shared" si="51"/>
        <v>0</v>
      </c>
      <c r="Q67" s="2373">
        <f t="shared" si="51"/>
        <v>1800</v>
      </c>
      <c r="R67" s="2373">
        <f t="shared" si="51"/>
        <v>0</v>
      </c>
      <c r="S67" s="2373">
        <f t="shared" si="51"/>
        <v>0</v>
      </c>
      <c r="T67" s="2373">
        <f t="shared" si="51"/>
        <v>0</v>
      </c>
      <c r="U67" s="2375">
        <f t="shared" si="51"/>
        <v>0</v>
      </c>
      <c r="V67" s="2387">
        <f t="shared" si="51"/>
        <v>10260</v>
      </c>
      <c r="W67" s="2375">
        <f t="shared" si="51"/>
        <v>0</v>
      </c>
      <c r="X67" s="3146"/>
      <c r="Y67" s="3111"/>
      <c r="Z67" s="3149"/>
      <c r="AA67" s="3149"/>
      <c r="AB67" s="3150"/>
      <c r="AC67" s="3150"/>
      <c r="AD67" s="3150"/>
      <c r="AE67" s="3150"/>
      <c r="AF67" s="3149"/>
      <c r="AG67" s="3149"/>
      <c r="AH67" s="3150"/>
      <c r="AI67" s="3150"/>
      <c r="AJ67" s="3150"/>
      <c r="AK67" s="3150"/>
      <c r="AL67" s="3150"/>
      <c r="AM67" s="3150"/>
      <c r="AN67" s="3149"/>
      <c r="AO67" s="3149"/>
      <c r="AP67" s="3156"/>
      <c r="AQ67" s="3156"/>
      <c r="AR67" s="3156"/>
      <c r="AS67" s="3156"/>
      <c r="AT67" s="3161"/>
      <c r="AU67" s="1730"/>
      <c r="AV67" s="2370"/>
      <c r="AW67" s="2354"/>
      <c r="AX67" s="2354"/>
      <c r="AY67" s="2354"/>
      <c r="AZ67" s="2354"/>
      <c r="BA67" s="2354"/>
      <c r="BB67" s="2354"/>
      <c r="BC67" s="2354"/>
      <c r="BD67" s="2354"/>
      <c r="BE67" s="2354"/>
      <c r="BF67" s="2354"/>
      <c r="BG67" s="2354"/>
      <c r="BH67" s="2354"/>
      <c r="BI67" s="2354"/>
      <c r="BJ67" s="2354"/>
      <c r="BK67" s="2354"/>
      <c r="BL67" s="2354"/>
      <c r="BM67" s="2354"/>
      <c r="BN67" s="2354"/>
      <c r="BO67" s="2354"/>
      <c r="BP67" s="2354"/>
      <c r="BQ67" s="2354"/>
      <c r="BR67" s="2354"/>
      <c r="BS67" s="2354"/>
      <c r="BT67" s="2354"/>
      <c r="BU67" s="2354"/>
      <c r="BV67" s="2354"/>
      <c r="BW67" s="2354"/>
      <c r="BX67" s="2354"/>
      <c r="BY67" s="2354"/>
      <c r="BZ67" s="2354"/>
      <c r="CA67" s="2354"/>
      <c r="CB67" s="2354"/>
      <c r="CC67" s="2354"/>
      <c r="CD67" s="2358"/>
      <c r="CE67" s="3162"/>
      <c r="CF67" s="3156"/>
      <c r="CG67" s="3156"/>
      <c r="CH67" s="3156"/>
      <c r="CI67" s="3156"/>
      <c r="CJ67" s="3156"/>
      <c r="CK67" s="3156"/>
      <c r="CL67" s="3156"/>
      <c r="CM67" s="3156"/>
      <c r="CN67" s="3156"/>
      <c r="CO67" s="3156"/>
      <c r="CP67" s="3156"/>
      <c r="CQ67" s="3156"/>
      <c r="CR67" s="3156"/>
      <c r="CS67" s="3156"/>
      <c r="CT67" s="3156"/>
      <c r="CU67" s="3156"/>
      <c r="CV67" s="3156"/>
      <c r="CW67" s="3161"/>
      <c r="CX67" s="3163"/>
      <c r="CY67" s="3163"/>
      <c r="CZ67" s="3163"/>
      <c r="DA67" s="3163"/>
      <c r="DB67" s="3163"/>
      <c r="DC67" s="3163"/>
      <c r="DD67" s="3163"/>
      <c r="DE67" s="3164"/>
      <c r="DF67" s="1762"/>
      <c r="DG67" s="1631"/>
      <c r="DH67" s="1631"/>
      <c r="DI67" s="1631"/>
      <c r="DJ67" s="1631"/>
      <c r="DK67" s="1631"/>
    </row>
    <row r="68" spans="1:115" ht="15.75" thickBot="1">
      <c r="A68" s="1765"/>
      <c r="B68" s="2564"/>
      <c r="C68" s="1669"/>
      <c r="D68" s="1669"/>
      <c r="E68" s="1670"/>
      <c r="F68" s="1766"/>
      <c r="G68" s="2384"/>
      <c r="H68" s="2379"/>
      <c r="I68" s="2369"/>
      <c r="J68" s="2353"/>
      <c r="K68" s="1671"/>
      <c r="L68" s="2374"/>
      <c r="M68" s="2374"/>
      <c r="N68" s="2374"/>
      <c r="O68" s="2372"/>
      <c r="P68" s="2372"/>
      <c r="Q68" s="2372"/>
      <c r="R68" s="2372"/>
      <c r="S68" s="2372"/>
      <c r="T68" s="2372"/>
      <c r="U68" s="2374"/>
      <c r="V68" s="2356"/>
      <c r="W68" s="2374"/>
      <c r="X68" s="2368"/>
      <c r="Y68" s="2369"/>
      <c r="Z68" s="2374"/>
      <c r="AA68" s="2374"/>
      <c r="AB68" s="2372"/>
      <c r="AC68" s="2372"/>
      <c r="AD68" s="2372"/>
      <c r="AE68" s="2372"/>
      <c r="AF68" s="2372"/>
      <c r="AG68" s="2374"/>
      <c r="AH68" s="2372"/>
      <c r="AI68" s="2372"/>
      <c r="AJ68" s="2372"/>
      <c r="AK68" s="2372"/>
      <c r="AL68" s="2372"/>
      <c r="AM68" s="2372"/>
      <c r="AN68" s="2374"/>
      <c r="AO68" s="2374"/>
      <c r="AP68" s="2359"/>
      <c r="AQ68" s="2353"/>
      <c r="AR68" s="2353"/>
      <c r="AS68" s="2353"/>
      <c r="AT68" s="2357"/>
      <c r="AU68" s="1680"/>
      <c r="AV68" s="2369"/>
      <c r="AW68" s="1671"/>
      <c r="AX68" s="1671"/>
      <c r="AY68" s="1671"/>
      <c r="AZ68" s="1671"/>
      <c r="BA68" s="2353"/>
      <c r="BB68" s="2374"/>
      <c r="BC68" s="2374"/>
      <c r="BD68" s="2372"/>
      <c r="BE68" s="2372"/>
      <c r="BF68" s="2372"/>
      <c r="BG68" s="2372"/>
      <c r="BH68" s="2372"/>
      <c r="BI68" s="2372"/>
      <c r="BJ68" s="2372"/>
      <c r="BK68" s="2374"/>
      <c r="BL68" s="2372"/>
      <c r="BM68" s="2372"/>
      <c r="BN68" s="2372"/>
      <c r="BO68" s="2372"/>
      <c r="BP68" s="2372"/>
      <c r="BQ68" s="2372"/>
      <c r="BR68" s="2372"/>
      <c r="BS68" s="2374"/>
      <c r="BT68" s="2353"/>
      <c r="BU68" s="2353"/>
      <c r="BV68" s="2353"/>
      <c r="BW68" s="2353"/>
      <c r="BX68" s="2353"/>
      <c r="BY68" s="2353"/>
      <c r="BZ68" s="2353"/>
      <c r="CA68" s="2353"/>
      <c r="CB68" s="2353"/>
      <c r="CC68" s="2353"/>
      <c r="CD68" s="2367"/>
      <c r="CE68" s="2361"/>
      <c r="CF68" s="2374"/>
      <c r="CG68" s="2372"/>
      <c r="CH68" s="2372"/>
      <c r="CI68" s="2372"/>
      <c r="CJ68" s="2372"/>
      <c r="CK68" s="2372"/>
      <c r="CL68" s="2372"/>
      <c r="CM68" s="2372"/>
      <c r="CN68" s="2374"/>
      <c r="CO68" s="2372"/>
      <c r="CP68" s="2372"/>
      <c r="CQ68" s="2372"/>
      <c r="CR68" s="2372"/>
      <c r="CS68" s="2372"/>
      <c r="CT68" s="2372"/>
      <c r="CU68" s="2374"/>
      <c r="CV68" s="2374"/>
      <c r="CW68" s="2386"/>
      <c r="CX68" s="2350"/>
      <c r="CY68" s="2350"/>
      <c r="CZ68" s="2350"/>
      <c r="DA68" s="2350"/>
      <c r="DB68" s="2350"/>
      <c r="DC68" s="2350"/>
      <c r="DD68" s="2363"/>
      <c r="DE68" s="2365"/>
      <c r="DF68" s="1630"/>
      <c r="DG68" s="1631"/>
      <c r="DH68" s="1631"/>
      <c r="DI68" s="1631"/>
      <c r="DJ68" s="1631"/>
      <c r="DK68" s="1631"/>
    </row>
    <row r="69" spans="1:115" ht="25.5">
      <c r="A69" s="1733">
        <v>15</v>
      </c>
      <c r="B69" s="2558" t="str">
        <f>1&amp;"0"&amp;C69&amp;IF(LEN(SUBSTITUTE(UPPER(D69),"P/O ",""))=1,"000"&amp;SUBSTITUTE(UPPER(D69),"P/O ",""),IF(LEN(SUBSTITUTE(UPPER(D69),"P/O ",""))=2,"00"&amp;SUBSTITUTE(UPPER(D69),"P/O ",""),IF(LEN(SUBSTITUTE(UPPER(D69),"P/O ",""))=3,"0"&amp;SUBSTITUTE(UPPER(D69),"P/O ",""),SUBSTITUTE(UPPER(D69),"P/O ",""))))</f>
        <v>1022320018</v>
      </c>
      <c r="C69" s="1734">
        <v>2232</v>
      </c>
      <c r="D69" s="1734">
        <v>18</v>
      </c>
      <c r="E69" s="1735" t="s">
        <v>1405</v>
      </c>
      <c r="F69" s="1736" t="s">
        <v>1406</v>
      </c>
      <c r="G69" s="1737">
        <v>14100</v>
      </c>
      <c r="H69" s="1738" t="s">
        <v>704</v>
      </c>
      <c r="I69" s="1739"/>
      <c r="J69" s="1740" t="s">
        <v>1407</v>
      </c>
      <c r="K69" s="1741">
        <f>V69/G69</f>
        <v>1.6879432624113475</v>
      </c>
      <c r="L69" s="1742">
        <v>0</v>
      </c>
      <c r="M69" s="1742">
        <v>0</v>
      </c>
      <c r="N69" s="1742">
        <v>23800</v>
      </c>
      <c r="O69" s="1743">
        <v>1500</v>
      </c>
      <c r="P69" s="1743">
        <v>0</v>
      </c>
      <c r="Q69" s="1743">
        <v>4800</v>
      </c>
      <c r="R69" s="1743">
        <v>17500</v>
      </c>
      <c r="S69" s="1743">
        <v>0</v>
      </c>
      <c r="T69" s="1743">
        <v>0</v>
      </c>
      <c r="U69" s="1742">
        <v>0</v>
      </c>
      <c r="V69" s="1744">
        <f>N69+M69+L69+U69</f>
        <v>23800</v>
      </c>
      <c r="W69" s="1742">
        <v>0</v>
      </c>
      <c r="X69" s="1745" t="s">
        <v>1289</v>
      </c>
      <c r="Y69" s="1746" t="s">
        <v>1408</v>
      </c>
      <c r="Z69" s="1742">
        <v>0</v>
      </c>
      <c r="AA69" s="1742">
        <f>AB69+AC69+AD69+AE69+AF69</f>
        <v>0</v>
      </c>
      <c r="AB69" s="1743">
        <v>0</v>
      </c>
      <c r="AC69" s="1743">
        <v>0</v>
      </c>
      <c r="AD69" s="1743">
        <v>0</v>
      </c>
      <c r="AE69" s="1743">
        <v>0</v>
      </c>
      <c r="AF69" s="1743">
        <v>0</v>
      </c>
      <c r="AG69" s="1742">
        <f>AH69+AI69+AJ69+AK69+AL69+AM69+AN69</f>
        <v>23800</v>
      </c>
      <c r="AH69" s="1743">
        <v>1500</v>
      </c>
      <c r="AI69" s="1743">
        <v>0</v>
      </c>
      <c r="AJ69" s="1743">
        <v>0</v>
      </c>
      <c r="AK69" s="1743">
        <v>4800</v>
      </c>
      <c r="AL69" s="1743">
        <v>17500</v>
      </c>
      <c r="AM69" s="1743">
        <v>0</v>
      </c>
      <c r="AN69" s="1742">
        <v>0</v>
      </c>
      <c r="AO69" s="1742">
        <f>AG69+Z69+AA69</f>
        <v>23800</v>
      </c>
      <c r="AP69" s="1747">
        <f>AO69/G69</f>
        <v>1.6879432624113475</v>
      </c>
      <c r="AQ69" s="1748">
        <v>0</v>
      </c>
      <c r="AR69" s="1748">
        <v>0</v>
      </c>
      <c r="AS69" s="1748">
        <v>70</v>
      </c>
      <c r="AT69" s="1749">
        <v>17</v>
      </c>
      <c r="AU69" s="1750" t="s">
        <v>1331</v>
      </c>
      <c r="AV69" s="1739"/>
      <c r="AW69" s="1741">
        <v>7.2</v>
      </c>
      <c r="AX69" s="1741">
        <v>6.45</v>
      </c>
      <c r="AY69" s="1741">
        <v>0.75</v>
      </c>
      <c r="AZ69" s="1747">
        <v>0</v>
      </c>
      <c r="BA69" s="1748"/>
      <c r="BB69" s="1742">
        <f>ROUND(AX69*G69,0)</f>
        <v>90945</v>
      </c>
      <c r="BC69" s="1742">
        <f>ROUND(AZ69*G69,0)</f>
        <v>0</v>
      </c>
      <c r="BD69" s="1743">
        <v>0</v>
      </c>
      <c r="BE69" s="1743">
        <v>0</v>
      </c>
      <c r="BF69" s="1743">
        <v>0</v>
      </c>
      <c r="BG69" s="1743">
        <v>0</v>
      </c>
      <c r="BH69" s="1743">
        <v>0</v>
      </c>
      <c r="BI69" s="1743">
        <v>0</v>
      </c>
      <c r="BJ69" s="1743">
        <v>0</v>
      </c>
      <c r="BK69" s="1742">
        <f>ROUND(G69*AY69,0)</f>
        <v>10575</v>
      </c>
      <c r="BL69" s="1743">
        <f>BK69</f>
        <v>10575</v>
      </c>
      <c r="BM69" s="1743">
        <v>0</v>
      </c>
      <c r="BN69" s="1743">
        <v>0</v>
      </c>
      <c r="BO69" s="1743">
        <v>0</v>
      </c>
      <c r="BP69" s="1743">
        <v>0</v>
      </c>
      <c r="BQ69" s="1743">
        <v>0</v>
      </c>
      <c r="BR69" s="1743">
        <v>0</v>
      </c>
      <c r="BS69" s="1742">
        <f>ROUND(G69*AW69,0)</f>
        <v>101520</v>
      </c>
      <c r="BT69" s="1748">
        <f>ROUND(BB69/875,0)</f>
        <v>104</v>
      </c>
      <c r="BU69" s="1748">
        <f>ROUND(BT69*0.25,0)</f>
        <v>26</v>
      </c>
      <c r="BV69" s="1748">
        <f>BT69-BU69</f>
        <v>78</v>
      </c>
      <c r="BW69" s="1748">
        <f>ROUND(BT69*0.3,0)</f>
        <v>31</v>
      </c>
      <c r="BX69" s="1748">
        <f>BT69-BW69</f>
        <v>73</v>
      </c>
      <c r="BY69" s="1748">
        <f>ROUND(IF(((0.2*BV69)&gt;15),(0.2*BV69),0),0)</f>
        <v>16</v>
      </c>
      <c r="BZ69" s="1748">
        <f>ROUND(IF(((0.2*BX69)&gt;15),(0.2*BX69),0),0)</f>
        <v>0</v>
      </c>
      <c r="CA69" s="1748">
        <v>0</v>
      </c>
      <c r="CB69" s="1748">
        <f>CA69+BY69</f>
        <v>16</v>
      </c>
      <c r="CC69" s="1748">
        <f>CA69+BZ69</f>
        <v>0</v>
      </c>
      <c r="CD69" s="1749">
        <v>165</v>
      </c>
      <c r="CE69" s="1740">
        <f>BB69-Z69</f>
        <v>90945</v>
      </c>
      <c r="CF69" s="1742">
        <f>BC69-AA69</f>
        <v>0</v>
      </c>
      <c r="CG69" s="1743">
        <f>BD69</f>
        <v>0</v>
      </c>
      <c r="CH69" s="1743">
        <f>BE69-AB69</f>
        <v>0</v>
      </c>
      <c r="CI69" s="1743">
        <f>BF69</f>
        <v>0</v>
      </c>
      <c r="CJ69" s="1743">
        <f>BG69-AC69</f>
        <v>0</v>
      </c>
      <c r="CK69" s="1743">
        <f>BH69</f>
        <v>0</v>
      </c>
      <c r="CL69" s="1743">
        <f>BI69-AD69</f>
        <v>0</v>
      </c>
      <c r="CM69" s="1743">
        <f>BJ59-AF69</f>
        <v>0</v>
      </c>
      <c r="CN69" s="1742">
        <f t="shared" ref="CN69:CV69" si="52">BK69-AG69</f>
        <v>-13225</v>
      </c>
      <c r="CO69" s="1743">
        <f t="shared" si="52"/>
        <v>9075</v>
      </c>
      <c r="CP69" s="1743">
        <f t="shared" si="52"/>
        <v>0</v>
      </c>
      <c r="CQ69" s="1743">
        <f t="shared" si="52"/>
        <v>0</v>
      </c>
      <c r="CR69" s="1743">
        <f t="shared" si="52"/>
        <v>-4800</v>
      </c>
      <c r="CS69" s="1743">
        <f t="shared" si="52"/>
        <v>-17500</v>
      </c>
      <c r="CT69" s="1743">
        <f t="shared" si="52"/>
        <v>0</v>
      </c>
      <c r="CU69" s="1742">
        <f t="shared" si="52"/>
        <v>0</v>
      </c>
      <c r="CV69" s="1742">
        <f t="shared" si="52"/>
        <v>77720</v>
      </c>
      <c r="CW69" s="1744">
        <f>BT69-AQ69</f>
        <v>104</v>
      </c>
      <c r="CX69" s="1751">
        <f>BU69</f>
        <v>26</v>
      </c>
      <c r="CY69" s="1751">
        <f>CW69-CX69</f>
        <v>78</v>
      </c>
      <c r="CZ69" s="1751">
        <f>BW69</f>
        <v>31</v>
      </c>
      <c r="DA69" s="1751">
        <f>CW69-CZ69</f>
        <v>73</v>
      </c>
      <c r="DB69" s="1751">
        <f>BY69-AR69</f>
        <v>16</v>
      </c>
      <c r="DC69" s="1751">
        <f>BZ69-AR69</f>
        <v>0</v>
      </c>
      <c r="DD69" s="1752">
        <f>CB69-AS69</f>
        <v>-54</v>
      </c>
      <c r="DE69" s="1753">
        <f>CC69-AS69</f>
        <v>-70</v>
      </c>
      <c r="DF69" s="1630"/>
      <c r="DG69" s="1631"/>
      <c r="DH69" s="1631"/>
      <c r="DI69" s="1631"/>
      <c r="DJ69" s="1631"/>
      <c r="DK69" s="1631"/>
    </row>
    <row r="70" spans="1:115" ht="15.75" thickBot="1">
      <c r="A70" s="2377"/>
      <c r="B70" s="2559"/>
      <c r="C70" s="1669"/>
      <c r="D70" s="1669"/>
      <c r="E70" s="1670"/>
      <c r="F70" s="2363"/>
      <c r="G70" s="2384"/>
      <c r="H70" s="2369"/>
      <c r="I70" s="2369"/>
      <c r="J70" s="2353"/>
      <c r="K70" s="1671"/>
      <c r="L70" s="2374"/>
      <c r="M70" s="2374"/>
      <c r="N70" s="2374"/>
      <c r="O70" s="2372"/>
      <c r="P70" s="2372"/>
      <c r="Q70" s="2372"/>
      <c r="R70" s="2372"/>
      <c r="S70" s="2372"/>
      <c r="T70" s="2372"/>
      <c r="U70" s="2374"/>
      <c r="V70" s="2386"/>
      <c r="W70" s="2374"/>
      <c r="X70" s="1672"/>
      <c r="Y70" s="2362"/>
      <c r="Z70" s="2374"/>
      <c r="AA70" s="2374"/>
      <c r="AB70" s="2372"/>
      <c r="AC70" s="2372"/>
      <c r="AD70" s="2372"/>
      <c r="AE70" s="2372"/>
      <c r="AF70" s="2372"/>
      <c r="AG70" s="2374"/>
      <c r="AH70" s="2372"/>
      <c r="AI70" s="2372"/>
      <c r="AJ70" s="2372"/>
      <c r="AK70" s="2372"/>
      <c r="AL70" s="2372"/>
      <c r="AM70" s="2372"/>
      <c r="AN70" s="2374"/>
      <c r="AO70" s="2374"/>
      <c r="AP70" s="2359"/>
      <c r="AQ70" s="2353"/>
      <c r="AR70" s="2353"/>
      <c r="AS70" s="2353"/>
      <c r="AT70" s="2357"/>
      <c r="AU70" s="1673"/>
      <c r="AV70" s="2369"/>
      <c r="AW70" s="1671"/>
      <c r="AX70" s="1671"/>
      <c r="AY70" s="1671"/>
      <c r="AZ70" s="1671"/>
      <c r="BA70" s="2353"/>
      <c r="BB70" s="2374"/>
      <c r="BC70" s="2374"/>
      <c r="BD70" s="2372"/>
      <c r="BE70" s="2372"/>
      <c r="BF70" s="2372"/>
      <c r="BG70" s="2372"/>
      <c r="BH70" s="2372"/>
      <c r="BI70" s="2372"/>
      <c r="BJ70" s="2372"/>
      <c r="BK70" s="2374"/>
      <c r="BL70" s="2372"/>
      <c r="BM70" s="2372"/>
      <c r="BN70" s="2372"/>
      <c r="BO70" s="2372"/>
      <c r="BP70" s="2372"/>
      <c r="BQ70" s="2372"/>
      <c r="BR70" s="2372"/>
      <c r="BS70" s="2374"/>
      <c r="BT70" s="2353"/>
      <c r="BU70" s="2353"/>
      <c r="BV70" s="2353"/>
      <c r="BW70" s="2353"/>
      <c r="BX70" s="2353"/>
      <c r="BY70" s="2353"/>
      <c r="BZ70" s="2353"/>
      <c r="CA70" s="2353"/>
      <c r="CB70" s="2353"/>
      <c r="CC70" s="2353"/>
      <c r="CD70" s="2357"/>
      <c r="CE70" s="2388"/>
      <c r="CF70" s="2374"/>
      <c r="CG70" s="2372"/>
      <c r="CH70" s="2372"/>
      <c r="CI70" s="2372"/>
      <c r="CJ70" s="2372"/>
      <c r="CK70" s="2372"/>
      <c r="CL70" s="2372"/>
      <c r="CM70" s="2372"/>
      <c r="CN70" s="2374"/>
      <c r="CO70" s="2372"/>
      <c r="CP70" s="2372"/>
      <c r="CQ70" s="2372"/>
      <c r="CR70" s="2372"/>
      <c r="CS70" s="2372"/>
      <c r="CT70" s="2372"/>
      <c r="CU70" s="2374"/>
      <c r="CV70" s="2374"/>
      <c r="CW70" s="2386"/>
      <c r="CX70" s="2350"/>
      <c r="CY70" s="2350"/>
      <c r="CZ70" s="2350"/>
      <c r="DA70" s="2350"/>
      <c r="DB70" s="2350"/>
      <c r="DC70" s="2350"/>
      <c r="DD70" s="2363"/>
      <c r="DE70" s="2365"/>
      <c r="DF70" s="1630"/>
      <c r="DG70" s="1631"/>
      <c r="DH70" s="1631"/>
      <c r="DI70" s="1631"/>
      <c r="DJ70" s="1631"/>
      <c r="DK70" s="1631"/>
    </row>
    <row r="71" spans="1:115" ht="38.25">
      <c r="A71" s="1733">
        <v>23</v>
      </c>
      <c r="B71" s="2558" t="str">
        <f>1&amp;"0"&amp;C71&amp;IF(LEN(SUBSTITUTE(UPPER(D71),"P/O ",""))=1,"000"&amp;SUBSTITUTE(UPPER(D71),"P/O ",""),IF(LEN(SUBSTITUTE(UPPER(D71),"P/O ",""))=2,"00"&amp;SUBSTITUTE(UPPER(D71),"P/O ",""),IF(LEN(SUBSTITUTE(UPPER(D71),"P/O ",""))=3,"0"&amp;SUBSTITUTE(UPPER(D71),"P/O ",""),SUBSTITUTE(UPPER(D71),"P/O ",""))))</f>
        <v>1022330001</v>
      </c>
      <c r="C71" s="1767">
        <v>2233</v>
      </c>
      <c r="D71" s="1767">
        <v>1</v>
      </c>
      <c r="E71" s="1768" t="s">
        <v>1409</v>
      </c>
      <c r="F71" s="1752" t="s">
        <v>1410</v>
      </c>
      <c r="G71" s="1737">
        <v>11700</v>
      </c>
      <c r="H71" s="1739" t="s">
        <v>753</v>
      </c>
      <c r="I71" s="1739"/>
      <c r="J71" s="1748"/>
      <c r="K71" s="1741">
        <f>V71/G71</f>
        <v>0.79529914529914525</v>
      </c>
      <c r="L71" s="1742">
        <v>0</v>
      </c>
      <c r="M71" s="1742">
        <v>0</v>
      </c>
      <c r="N71" s="1742">
        <f>O71+P71+Q71+R71+S71+T71</f>
        <v>9305</v>
      </c>
      <c r="O71" s="1743">
        <v>9305</v>
      </c>
      <c r="P71" s="1743">
        <v>0</v>
      </c>
      <c r="Q71" s="1743">
        <v>0</v>
      </c>
      <c r="R71" s="1743">
        <v>0</v>
      </c>
      <c r="S71" s="1743">
        <v>0</v>
      </c>
      <c r="T71" s="1743">
        <v>0</v>
      </c>
      <c r="U71" s="1742">
        <v>0</v>
      </c>
      <c r="V71" s="1744">
        <f>N71+M71+L71+U71</f>
        <v>9305</v>
      </c>
      <c r="W71" s="1742">
        <v>0</v>
      </c>
      <c r="X71" s="1745" t="s">
        <v>1380</v>
      </c>
      <c r="Y71" s="1746" t="s">
        <v>1381</v>
      </c>
      <c r="Z71" s="1742">
        <f>ROUND(3.25*G71,0)</f>
        <v>38025</v>
      </c>
      <c r="AA71" s="1742">
        <f>ROUND(0*G71,0)</f>
        <v>0</v>
      </c>
      <c r="AB71" s="1743">
        <v>0</v>
      </c>
      <c r="AC71" s="1743">
        <v>0</v>
      </c>
      <c r="AD71" s="1743">
        <v>0</v>
      </c>
      <c r="AE71" s="1743">
        <v>0</v>
      </c>
      <c r="AF71" s="1743">
        <v>0</v>
      </c>
      <c r="AG71" s="1742">
        <f>ROUND(0.75*G71,0)</f>
        <v>8775</v>
      </c>
      <c r="AH71" s="1743">
        <f>AG71</f>
        <v>8775</v>
      </c>
      <c r="AI71" s="1743">
        <v>0</v>
      </c>
      <c r="AJ71" s="1743">
        <v>0</v>
      </c>
      <c r="AK71" s="1743">
        <v>0</v>
      </c>
      <c r="AL71" s="1743">
        <v>0</v>
      </c>
      <c r="AM71" s="1743">
        <v>0</v>
      </c>
      <c r="AN71" s="1742">
        <v>0</v>
      </c>
      <c r="AO71" s="1742">
        <f>AG71+AA71+Z71</f>
        <v>46800</v>
      </c>
      <c r="AP71" s="1747">
        <f>AO71/G71</f>
        <v>4</v>
      </c>
      <c r="AQ71" s="1748">
        <f>ROUND(Z71/875,0)</f>
        <v>43</v>
      </c>
      <c r="AR71" s="1748">
        <f>ROUND(IF(((0.3*AQ71)&gt;15),(0.3*AQ71),0),0)</f>
        <v>0</v>
      </c>
      <c r="AS71" s="1748">
        <f>AR71</f>
        <v>0</v>
      </c>
      <c r="AT71" s="1749">
        <v>80</v>
      </c>
      <c r="AU71" s="1750" t="s">
        <v>1331</v>
      </c>
      <c r="AV71" s="1739"/>
      <c r="AW71" s="1741">
        <v>7.2</v>
      </c>
      <c r="AX71" s="1741">
        <v>4.2</v>
      </c>
      <c r="AY71" s="1741">
        <v>3</v>
      </c>
      <c r="AZ71" s="1741">
        <v>0</v>
      </c>
      <c r="BA71" s="1748"/>
      <c r="BB71" s="1742">
        <f>ROUND(AX71*G71,0)</f>
        <v>49140</v>
      </c>
      <c r="BC71" s="1742">
        <f>ROUND(AZ71*G71,0)</f>
        <v>0</v>
      </c>
      <c r="BD71" s="1743">
        <v>0</v>
      </c>
      <c r="BE71" s="1743">
        <v>0</v>
      </c>
      <c r="BF71" s="1743">
        <v>0</v>
      </c>
      <c r="BG71" s="1743">
        <v>0</v>
      </c>
      <c r="BH71" s="1743">
        <v>0</v>
      </c>
      <c r="BI71" s="1743">
        <v>0</v>
      </c>
      <c r="BJ71" s="1743">
        <v>0</v>
      </c>
      <c r="BK71" s="1742">
        <f>ROUND(G71*AY71,0)</f>
        <v>35100</v>
      </c>
      <c r="BL71" s="1743">
        <v>10000</v>
      </c>
      <c r="BM71" s="1743">
        <v>0</v>
      </c>
      <c r="BN71" s="1743">
        <f>BK71-BL71</f>
        <v>25100</v>
      </c>
      <c r="BO71" s="1743">
        <v>0</v>
      </c>
      <c r="BP71" s="1743">
        <v>0</v>
      </c>
      <c r="BQ71" s="1743">
        <v>0</v>
      </c>
      <c r="BR71" s="1743">
        <v>0</v>
      </c>
      <c r="BS71" s="1742">
        <f>ROUND(G71*AW71,0)</f>
        <v>84240</v>
      </c>
      <c r="BT71" s="1748">
        <f>ROUND(BB71/875,0)</f>
        <v>56</v>
      </c>
      <c r="BU71" s="1748">
        <f>ROUND(BT71*0.25,0)</f>
        <v>14</v>
      </c>
      <c r="BV71" s="1748">
        <f>BT71-BU71</f>
        <v>42</v>
      </c>
      <c r="BW71" s="1748">
        <f>ROUND(BT71*0.3,0)</f>
        <v>17</v>
      </c>
      <c r="BX71" s="1748">
        <f>BT71-BW71</f>
        <v>39</v>
      </c>
      <c r="BY71" s="1748">
        <f>ROUND(IF(((0.2*BV71)&gt;15),(0.2*BV71),0),0)</f>
        <v>0</v>
      </c>
      <c r="BZ71" s="1748">
        <f>ROUND(IF(((0.2*BX71)&gt;15),(0.2*BX71),0),0)</f>
        <v>0</v>
      </c>
      <c r="CA71" s="1748">
        <v>0</v>
      </c>
      <c r="CB71" s="1748">
        <f>CA71+BY71</f>
        <v>0</v>
      </c>
      <c r="CC71" s="1748">
        <f>CA71+BZ71</f>
        <v>0</v>
      </c>
      <c r="CD71" s="1749">
        <v>155</v>
      </c>
      <c r="CE71" s="1740">
        <f>BB71-Z71</f>
        <v>11115</v>
      </c>
      <c r="CF71" s="1742">
        <f>BC71-AA71</f>
        <v>0</v>
      </c>
      <c r="CG71" s="1743">
        <f>BD71</f>
        <v>0</v>
      </c>
      <c r="CH71" s="1743">
        <f>BE71-AB71</f>
        <v>0</v>
      </c>
      <c r="CI71" s="1743">
        <f>BF71</f>
        <v>0</v>
      </c>
      <c r="CJ71" s="1743">
        <f>BG71-AC71</f>
        <v>0</v>
      </c>
      <c r="CK71" s="1743">
        <f>BH71</f>
        <v>0</v>
      </c>
      <c r="CL71" s="1743">
        <f>BI71-AD71</f>
        <v>0</v>
      </c>
      <c r="CM71" s="1743">
        <f t="shared" ref="CM71:CV71" si="53">BJ71-AF71</f>
        <v>0</v>
      </c>
      <c r="CN71" s="1742">
        <f t="shared" si="53"/>
        <v>26325</v>
      </c>
      <c r="CO71" s="1743">
        <f t="shared" si="53"/>
        <v>1225</v>
      </c>
      <c r="CP71" s="1743">
        <f t="shared" si="53"/>
        <v>0</v>
      </c>
      <c r="CQ71" s="1743">
        <f t="shared" si="53"/>
        <v>25100</v>
      </c>
      <c r="CR71" s="1743">
        <f t="shared" si="53"/>
        <v>0</v>
      </c>
      <c r="CS71" s="1743">
        <f t="shared" si="53"/>
        <v>0</v>
      </c>
      <c r="CT71" s="1743">
        <f t="shared" si="53"/>
        <v>0</v>
      </c>
      <c r="CU71" s="1742">
        <f t="shared" si="53"/>
        <v>0</v>
      </c>
      <c r="CV71" s="1742">
        <f t="shared" si="53"/>
        <v>37440</v>
      </c>
      <c r="CW71" s="1744">
        <f>BT71-AQ71</f>
        <v>13</v>
      </c>
      <c r="CX71" s="1751">
        <f>BU71</f>
        <v>14</v>
      </c>
      <c r="CY71" s="1751">
        <f>CW71-CX71</f>
        <v>-1</v>
      </c>
      <c r="CZ71" s="1751">
        <f>BW71</f>
        <v>17</v>
      </c>
      <c r="DA71" s="1751">
        <f>CW71-CZ71</f>
        <v>-4</v>
      </c>
      <c r="DB71" s="1751">
        <f>BY71-AR71</f>
        <v>0</v>
      </c>
      <c r="DC71" s="1751">
        <f>BZ71-AR71</f>
        <v>0</v>
      </c>
      <c r="DD71" s="1752">
        <f>CB71-AS71</f>
        <v>0</v>
      </c>
      <c r="DE71" s="1753">
        <f>CC71-AS71</f>
        <v>0</v>
      </c>
      <c r="DF71" s="1630"/>
      <c r="DG71" s="1631"/>
      <c r="DH71" s="1631"/>
      <c r="DI71" s="1631"/>
      <c r="DJ71" s="1631"/>
      <c r="DK71" s="1631"/>
    </row>
    <row r="72" spans="1:115" ht="15.75" thickBot="1">
      <c r="A72" s="2377"/>
      <c r="B72" s="2559"/>
      <c r="C72" s="1669"/>
      <c r="D72" s="1669"/>
      <c r="E72" s="1670"/>
      <c r="F72" s="2363"/>
      <c r="G72" s="1677"/>
      <c r="H72" s="2369"/>
      <c r="I72" s="2369"/>
      <c r="J72" s="2353"/>
      <c r="K72" s="1671"/>
      <c r="L72" s="2374"/>
      <c r="M72" s="2374"/>
      <c r="N72" s="2374"/>
      <c r="O72" s="2372"/>
      <c r="P72" s="2372"/>
      <c r="Q72" s="2372"/>
      <c r="R72" s="2372"/>
      <c r="S72" s="2372"/>
      <c r="T72" s="2372"/>
      <c r="U72" s="2374"/>
      <c r="V72" s="2386"/>
      <c r="W72" s="2374"/>
      <c r="X72" s="1769"/>
      <c r="Y72" s="2362"/>
      <c r="Z72" s="2374"/>
      <c r="AA72" s="2374"/>
      <c r="AB72" s="2372"/>
      <c r="AC72" s="2372"/>
      <c r="AD72" s="2372"/>
      <c r="AE72" s="2372"/>
      <c r="AF72" s="2372"/>
      <c r="AG72" s="2374"/>
      <c r="AH72" s="2372"/>
      <c r="AI72" s="2372"/>
      <c r="AJ72" s="2372"/>
      <c r="AK72" s="2372"/>
      <c r="AL72" s="2372"/>
      <c r="AM72" s="2372"/>
      <c r="AN72" s="2374"/>
      <c r="AO72" s="2374"/>
      <c r="AP72" s="2359"/>
      <c r="AQ72" s="2353"/>
      <c r="AR72" s="2353"/>
      <c r="AS72" s="2353"/>
      <c r="AT72" s="2357"/>
      <c r="AU72" s="1673"/>
      <c r="AV72" s="2369"/>
      <c r="AW72" s="1671"/>
      <c r="AX72" s="1671"/>
      <c r="AY72" s="1671"/>
      <c r="AZ72" s="1671"/>
      <c r="BA72" s="2353"/>
      <c r="BB72" s="2374"/>
      <c r="BC72" s="2374"/>
      <c r="BD72" s="2372"/>
      <c r="BE72" s="2372"/>
      <c r="BF72" s="2372"/>
      <c r="BG72" s="2372"/>
      <c r="BH72" s="2372"/>
      <c r="BI72" s="2372"/>
      <c r="BJ72" s="2372"/>
      <c r="BK72" s="2374"/>
      <c r="BL72" s="2372"/>
      <c r="BM72" s="2372"/>
      <c r="BN72" s="2372"/>
      <c r="BO72" s="2372"/>
      <c r="BP72" s="2372"/>
      <c r="BQ72" s="2372"/>
      <c r="BR72" s="2372"/>
      <c r="BS72" s="2374"/>
      <c r="BT72" s="2353"/>
      <c r="BU72" s="2353"/>
      <c r="BV72" s="2353"/>
      <c r="BW72" s="2353"/>
      <c r="BX72" s="2353"/>
      <c r="BY72" s="2353"/>
      <c r="BZ72" s="2353"/>
      <c r="CA72" s="2353"/>
      <c r="CB72" s="2353"/>
      <c r="CC72" s="2353"/>
      <c r="CD72" s="2357"/>
      <c r="CE72" s="2388"/>
      <c r="CF72" s="2374"/>
      <c r="CG72" s="2372"/>
      <c r="CH72" s="2372"/>
      <c r="CI72" s="2372"/>
      <c r="CJ72" s="2372"/>
      <c r="CK72" s="2372"/>
      <c r="CL72" s="2372"/>
      <c r="CM72" s="2372"/>
      <c r="CN72" s="2374"/>
      <c r="CO72" s="2372"/>
      <c r="CP72" s="2372"/>
      <c r="CQ72" s="2372"/>
      <c r="CR72" s="2372"/>
      <c r="CS72" s="2372"/>
      <c r="CT72" s="2372"/>
      <c r="CU72" s="2374"/>
      <c r="CV72" s="2374"/>
      <c r="CW72" s="2386"/>
      <c r="CX72" s="2350"/>
      <c r="CY72" s="2350"/>
      <c r="CZ72" s="2350"/>
      <c r="DA72" s="2350"/>
      <c r="DB72" s="2350"/>
      <c r="DC72" s="2350"/>
      <c r="DD72" s="2363"/>
      <c r="DE72" s="2365"/>
      <c r="DF72" s="1630"/>
      <c r="DG72" s="1631"/>
      <c r="DH72" s="1631"/>
      <c r="DI72" s="1631"/>
      <c r="DJ72" s="1631"/>
      <c r="DK72" s="1631"/>
    </row>
    <row r="73" spans="1:115" ht="15.75" thickBot="1">
      <c r="A73" s="2376">
        <v>24</v>
      </c>
      <c r="B73" s="2558" t="str">
        <f t="shared" ref="B73:B74" si="54">1&amp;"0"&amp;C73&amp;IF(LEN(SUBSTITUTE(UPPER(D73),"P/O ",""))=1,"000"&amp;SUBSTITUTE(UPPER(D73),"P/O ",""),IF(LEN(SUBSTITUTE(UPPER(D73),"P/O ",""))=2,"00"&amp;SUBSTITUTE(UPPER(D73),"P/O ",""),IF(LEN(SUBSTITUTE(UPPER(D73),"P/O ",""))=3,"0"&amp;SUBSTITUTE(UPPER(D73),"P/O ",""),SUBSTITUTE(UPPER(D73),"P/O ",""))))</f>
        <v>1022330005</v>
      </c>
      <c r="C73" s="1770">
        <v>2233</v>
      </c>
      <c r="D73" s="1770">
        <v>5</v>
      </c>
      <c r="E73" s="1771" t="s">
        <v>1411</v>
      </c>
      <c r="F73" s="1772" t="s">
        <v>1412</v>
      </c>
      <c r="G73" s="1677">
        <v>18575</v>
      </c>
      <c r="H73" s="2379" t="s">
        <v>1344</v>
      </c>
      <c r="I73" s="2379" t="s">
        <v>727</v>
      </c>
      <c r="J73" s="2366"/>
      <c r="K73" s="1679">
        <f>V73/G73</f>
        <v>0.94993270524899054</v>
      </c>
      <c r="L73" s="2355">
        <v>0</v>
      </c>
      <c r="M73" s="2355">
        <v>0</v>
      </c>
      <c r="N73" s="2355">
        <v>17645</v>
      </c>
      <c r="O73" s="2352">
        <v>17645</v>
      </c>
      <c r="P73" s="2352">
        <v>0</v>
      </c>
      <c r="Q73" s="2352">
        <v>0</v>
      </c>
      <c r="R73" s="2352">
        <v>0</v>
      </c>
      <c r="S73" s="2352">
        <v>0</v>
      </c>
      <c r="T73" s="2352">
        <v>0</v>
      </c>
      <c r="U73" s="2355">
        <v>0</v>
      </c>
      <c r="V73" s="2356">
        <f>N73+M73+L73+U73</f>
        <v>17645</v>
      </c>
      <c r="W73" s="2355">
        <v>0</v>
      </c>
      <c r="X73" s="3107" t="s">
        <v>1413</v>
      </c>
      <c r="Y73" s="3109" t="s">
        <v>1381</v>
      </c>
      <c r="Z73" s="3112">
        <f>ROUND(2.69*G75,0)</f>
        <v>81709</v>
      </c>
      <c r="AA73" s="3112">
        <f>ROUND(0*G75,0)</f>
        <v>0</v>
      </c>
      <c r="AB73" s="3115">
        <v>0</v>
      </c>
      <c r="AC73" s="3115">
        <v>0</v>
      </c>
      <c r="AD73" s="3115">
        <v>0</v>
      </c>
      <c r="AE73" s="3115">
        <v>0</v>
      </c>
      <c r="AF73" s="3115">
        <v>0</v>
      </c>
      <c r="AG73" s="3112">
        <f>ROUND(0.75*G75,0)</f>
        <v>22781</v>
      </c>
      <c r="AH73" s="3115">
        <v>0</v>
      </c>
      <c r="AI73" s="3115">
        <f>AG73</f>
        <v>22781</v>
      </c>
      <c r="AJ73" s="3115">
        <v>0</v>
      </c>
      <c r="AK73" s="3115">
        <v>0</v>
      </c>
      <c r="AL73" s="3115">
        <v>0</v>
      </c>
      <c r="AM73" s="3115">
        <v>0</v>
      </c>
      <c r="AN73" s="3112">
        <v>0</v>
      </c>
      <c r="AO73" s="3112">
        <f>AG73+AA73+Z73</f>
        <v>104490</v>
      </c>
      <c r="AP73" s="3135">
        <f>AO73/G75</f>
        <v>3.44</v>
      </c>
      <c r="AQ73" s="3136">
        <f>ROUND(Z73/875,0)</f>
        <v>93</v>
      </c>
      <c r="AR73" s="3136">
        <f>ROUND(AQ73*0.5,0)</f>
        <v>47</v>
      </c>
      <c r="AS73" s="3136">
        <f>AR73</f>
        <v>47</v>
      </c>
      <c r="AT73" s="3131">
        <v>163</v>
      </c>
      <c r="AU73" s="1680" t="s">
        <v>1331</v>
      </c>
      <c r="AV73" s="2379"/>
      <c r="AW73" s="2371">
        <v>7.2</v>
      </c>
      <c r="AX73" s="1679">
        <v>6.45</v>
      </c>
      <c r="AY73" s="1679">
        <v>0.75</v>
      </c>
      <c r="AZ73" s="1679">
        <v>0</v>
      </c>
      <c r="BA73" s="2366"/>
      <c r="BB73" s="2355">
        <f>ROUND(AX73*G75,0)+20000</f>
        <v>215919</v>
      </c>
      <c r="BC73" s="2355">
        <f>ROUND(AZ73*G75,0)</f>
        <v>0</v>
      </c>
      <c r="BD73" s="2352">
        <v>0</v>
      </c>
      <c r="BE73" s="2352">
        <v>0</v>
      </c>
      <c r="BF73" s="2352">
        <v>0</v>
      </c>
      <c r="BG73" s="2352">
        <v>0</v>
      </c>
      <c r="BH73" s="2352">
        <v>0</v>
      </c>
      <c r="BI73" s="2352">
        <v>0</v>
      </c>
      <c r="BJ73" s="2352">
        <v>0</v>
      </c>
      <c r="BK73" s="1773">
        <f>ROUND(G75*AY73,0)</f>
        <v>22781</v>
      </c>
      <c r="BL73" s="2352">
        <v>0</v>
      </c>
      <c r="BM73" s="2352">
        <f>BK73</f>
        <v>22781</v>
      </c>
      <c r="BN73" s="2352">
        <v>0</v>
      </c>
      <c r="BO73" s="2352">
        <v>0</v>
      </c>
      <c r="BP73" s="2352">
        <v>0</v>
      </c>
      <c r="BQ73" s="2352">
        <v>0</v>
      </c>
      <c r="BR73" s="2352">
        <v>0</v>
      </c>
      <c r="BS73" s="2355">
        <f>ROUND(G75*AW73,0)+20000</f>
        <v>238700</v>
      </c>
      <c r="BT73" s="2366">
        <f>ROUND(BB73/875,0)</f>
        <v>247</v>
      </c>
      <c r="BU73" s="2366">
        <f>ROUND(BT73*0.25,0)</f>
        <v>62</v>
      </c>
      <c r="BV73" s="2366">
        <f>BT73-BU73</f>
        <v>185</v>
      </c>
      <c r="BW73" s="2366">
        <f>ROUND(BT73*0.3,0)</f>
        <v>74</v>
      </c>
      <c r="BX73" s="2366">
        <f>BT73-BW73</f>
        <v>173</v>
      </c>
      <c r="BY73" s="2366">
        <f>ROUND(IF(((0.2*BV73)&gt;15),(0.2*BV73),0),0)</f>
        <v>37</v>
      </c>
      <c r="BZ73" s="2366">
        <f>ROUND(IF(((0.2*BX73)&gt;15),(0.2*BX73),0),0)</f>
        <v>35</v>
      </c>
      <c r="CA73" s="2366">
        <v>0</v>
      </c>
      <c r="CB73" s="2366">
        <f>CA73+BY73</f>
        <v>37</v>
      </c>
      <c r="CC73" s="2366">
        <f>CA73+BZ73</f>
        <v>35</v>
      </c>
      <c r="CD73" s="2367">
        <v>155</v>
      </c>
      <c r="CE73" s="3132">
        <f>BB73-Z73</f>
        <v>134210</v>
      </c>
      <c r="CF73" s="3112">
        <f>BC73-AA73</f>
        <v>0</v>
      </c>
      <c r="CG73" s="3115">
        <f>BD73</f>
        <v>0</v>
      </c>
      <c r="CH73" s="3115">
        <f>BE73-AB73</f>
        <v>0</v>
      </c>
      <c r="CI73" s="3115">
        <f>BF73</f>
        <v>0</v>
      </c>
      <c r="CJ73" s="3115">
        <f>BG73-AC73</f>
        <v>0</v>
      </c>
      <c r="CK73" s="3115">
        <f>BH73</f>
        <v>0</v>
      </c>
      <c r="CL73" s="3115">
        <f>BI73-AD73</f>
        <v>0</v>
      </c>
      <c r="CM73" s="3115">
        <f t="shared" ref="CM73:CV73" si="55">BJ73-AF73</f>
        <v>0</v>
      </c>
      <c r="CN73" s="3112">
        <f t="shared" si="55"/>
        <v>0</v>
      </c>
      <c r="CO73" s="3115">
        <f t="shared" si="55"/>
        <v>0</v>
      </c>
      <c r="CP73" s="3115">
        <f t="shared" si="55"/>
        <v>0</v>
      </c>
      <c r="CQ73" s="3115">
        <f t="shared" si="55"/>
        <v>0</v>
      </c>
      <c r="CR73" s="3115">
        <f t="shared" si="55"/>
        <v>0</v>
      </c>
      <c r="CS73" s="3115">
        <f t="shared" si="55"/>
        <v>0</v>
      </c>
      <c r="CT73" s="3115">
        <f t="shared" si="55"/>
        <v>0</v>
      </c>
      <c r="CU73" s="3112">
        <f t="shared" si="55"/>
        <v>0</v>
      </c>
      <c r="CV73" s="3112">
        <f t="shared" si="55"/>
        <v>134210</v>
      </c>
      <c r="CW73" s="3125">
        <f>BT73-AQ73</f>
        <v>154</v>
      </c>
      <c r="CX73" s="3128">
        <f>BU73</f>
        <v>62</v>
      </c>
      <c r="CY73" s="3128">
        <f>CW73-CX73</f>
        <v>92</v>
      </c>
      <c r="CZ73" s="3128">
        <f>BW73</f>
        <v>74</v>
      </c>
      <c r="DA73" s="3128">
        <f>CW73-CZ73</f>
        <v>80</v>
      </c>
      <c r="DB73" s="3128">
        <f>BY73-AR73</f>
        <v>-10</v>
      </c>
      <c r="DC73" s="3128">
        <f>BZ73-AR73</f>
        <v>-12</v>
      </c>
      <c r="DD73" s="3128">
        <f>CB73-AS73</f>
        <v>-10</v>
      </c>
      <c r="DE73" s="3118">
        <f>CC73-AS73</f>
        <v>-12</v>
      </c>
      <c r="DF73" s="1630"/>
      <c r="DG73" s="1631"/>
      <c r="DH73" s="1631"/>
      <c r="DI73" s="1631"/>
      <c r="DJ73" s="1631"/>
      <c r="DK73" s="1631"/>
    </row>
    <row r="74" spans="1:115">
      <c r="A74" s="2377"/>
      <c r="B74" s="2558" t="str">
        <f t="shared" si="54"/>
        <v>1022330010</v>
      </c>
      <c r="C74" s="1669">
        <v>2233</v>
      </c>
      <c r="D74" s="1669">
        <v>10</v>
      </c>
      <c r="E74" s="1670" t="s">
        <v>1414</v>
      </c>
      <c r="F74" s="2363" t="s">
        <v>1415</v>
      </c>
      <c r="G74" s="1686">
        <v>11800</v>
      </c>
      <c r="H74" s="2369" t="s">
        <v>1344</v>
      </c>
      <c r="I74" s="2369" t="s">
        <v>727</v>
      </c>
      <c r="J74" s="2353"/>
      <c r="K74" s="1671">
        <f>V74/G74</f>
        <v>0.21610169491525424</v>
      </c>
      <c r="L74" s="1687">
        <v>0</v>
      </c>
      <c r="M74" s="1687">
        <v>0</v>
      </c>
      <c r="N74" s="1687">
        <v>2550</v>
      </c>
      <c r="O74" s="1688">
        <v>0</v>
      </c>
      <c r="P74" s="1688">
        <v>0</v>
      </c>
      <c r="Q74" s="1688">
        <v>2550</v>
      </c>
      <c r="R74" s="1688">
        <v>0</v>
      </c>
      <c r="S74" s="1688">
        <v>0</v>
      </c>
      <c r="T74" s="1688">
        <v>0</v>
      </c>
      <c r="U74" s="1687">
        <v>0</v>
      </c>
      <c r="V74" s="1689">
        <f>N74+M74+L74+U74</f>
        <v>2550</v>
      </c>
      <c r="W74" s="1687">
        <v>0</v>
      </c>
      <c r="X74" s="3108"/>
      <c r="Y74" s="3110"/>
      <c r="Z74" s="3123"/>
      <c r="AA74" s="3123"/>
      <c r="AB74" s="3123"/>
      <c r="AC74" s="3123"/>
      <c r="AD74" s="3123"/>
      <c r="AE74" s="3123"/>
      <c r="AF74" s="3123"/>
      <c r="AG74" s="3123"/>
      <c r="AH74" s="3123"/>
      <c r="AI74" s="3123"/>
      <c r="AJ74" s="3123"/>
      <c r="AK74" s="3123"/>
      <c r="AL74" s="3123"/>
      <c r="AM74" s="3123"/>
      <c r="AN74" s="3123"/>
      <c r="AO74" s="3123"/>
      <c r="AP74" s="3123"/>
      <c r="AQ74" s="3123"/>
      <c r="AR74" s="3123"/>
      <c r="AS74" s="3123"/>
      <c r="AT74" s="3126"/>
      <c r="AU74" s="1673"/>
      <c r="AV74" s="2369"/>
      <c r="AW74" s="2353"/>
      <c r="AX74" s="2369"/>
      <c r="AY74" s="2369"/>
      <c r="AZ74" s="2369"/>
      <c r="BA74" s="2353"/>
      <c r="BB74" s="2353"/>
      <c r="BC74" s="2353"/>
      <c r="BD74" s="2353"/>
      <c r="BE74" s="2353"/>
      <c r="BF74" s="2353"/>
      <c r="BG74" s="2353"/>
      <c r="BH74" s="2353"/>
      <c r="BI74" s="2353"/>
      <c r="BJ74" s="2353"/>
      <c r="BK74" s="2381"/>
      <c r="BL74" s="2353"/>
      <c r="BM74" s="2353"/>
      <c r="BN74" s="2353"/>
      <c r="BO74" s="2353"/>
      <c r="BP74" s="2353"/>
      <c r="BQ74" s="2353"/>
      <c r="BR74" s="2353"/>
      <c r="BS74" s="2353"/>
      <c r="BT74" s="2353"/>
      <c r="BU74" s="2353"/>
      <c r="BV74" s="2353"/>
      <c r="BW74" s="2353"/>
      <c r="BX74" s="2353"/>
      <c r="BY74" s="2353"/>
      <c r="BZ74" s="2353"/>
      <c r="CA74" s="2353"/>
      <c r="CB74" s="2353"/>
      <c r="CC74" s="2353"/>
      <c r="CD74" s="2357"/>
      <c r="CE74" s="3133"/>
      <c r="CF74" s="3123"/>
      <c r="CG74" s="3123"/>
      <c r="CH74" s="3123"/>
      <c r="CI74" s="3123"/>
      <c r="CJ74" s="3123"/>
      <c r="CK74" s="3123"/>
      <c r="CL74" s="3123"/>
      <c r="CM74" s="3123"/>
      <c r="CN74" s="3123"/>
      <c r="CO74" s="3123"/>
      <c r="CP74" s="3123"/>
      <c r="CQ74" s="3123"/>
      <c r="CR74" s="3123"/>
      <c r="CS74" s="3123"/>
      <c r="CT74" s="3123"/>
      <c r="CU74" s="3123"/>
      <c r="CV74" s="3123"/>
      <c r="CW74" s="3126"/>
      <c r="CX74" s="3171"/>
      <c r="CY74" s="3171"/>
      <c r="CZ74" s="3171"/>
      <c r="DA74" s="3171"/>
      <c r="DB74" s="3171"/>
      <c r="DC74" s="3171"/>
      <c r="DD74" s="3171"/>
      <c r="DE74" s="3173"/>
      <c r="DF74" s="1630"/>
      <c r="DG74" s="1631"/>
      <c r="DH74" s="1631"/>
      <c r="DI74" s="1631"/>
      <c r="DJ74" s="1631"/>
      <c r="DK74" s="1631"/>
    </row>
    <row r="75" spans="1:115">
      <c r="A75" s="2378"/>
      <c r="B75" s="2565"/>
      <c r="C75" s="1731"/>
      <c r="D75" s="1731"/>
      <c r="E75" s="1732"/>
      <c r="F75" s="1774" t="s">
        <v>1416</v>
      </c>
      <c r="G75" s="2385">
        <f>SUM(G73:G74)</f>
        <v>30375</v>
      </c>
      <c r="H75" s="2370" t="s">
        <v>1344</v>
      </c>
      <c r="I75" s="2370" t="s">
        <v>727</v>
      </c>
      <c r="J75" s="2354"/>
      <c r="K75" s="1726">
        <f>V75/G75</f>
        <v>0.66485596707818928</v>
      </c>
      <c r="L75" s="2375">
        <f>SUM(L73:L74)</f>
        <v>0</v>
      </c>
      <c r="M75" s="2375">
        <f>SUM(M73:M74)</f>
        <v>0</v>
      </c>
      <c r="N75" s="2375">
        <f>SUM(N73:N74)</f>
        <v>20195</v>
      </c>
      <c r="O75" s="2373">
        <f t="shared" ref="O75:W75" si="56">SUM(O73:O74)</f>
        <v>17645</v>
      </c>
      <c r="P75" s="2373">
        <f t="shared" si="56"/>
        <v>0</v>
      </c>
      <c r="Q75" s="2373">
        <f t="shared" si="56"/>
        <v>2550</v>
      </c>
      <c r="R75" s="2373">
        <f t="shared" si="56"/>
        <v>0</v>
      </c>
      <c r="S75" s="2373">
        <f t="shared" si="56"/>
        <v>0</v>
      </c>
      <c r="T75" s="2373">
        <f t="shared" si="56"/>
        <v>0</v>
      </c>
      <c r="U75" s="2375">
        <f t="shared" si="56"/>
        <v>0</v>
      </c>
      <c r="V75" s="2387">
        <f t="shared" si="56"/>
        <v>20195</v>
      </c>
      <c r="W75" s="2375">
        <f t="shared" si="56"/>
        <v>0</v>
      </c>
      <c r="X75" s="3146"/>
      <c r="Y75" s="3111"/>
      <c r="Z75" s="3156"/>
      <c r="AA75" s="3156"/>
      <c r="AB75" s="3156"/>
      <c r="AC75" s="3156"/>
      <c r="AD75" s="3156"/>
      <c r="AE75" s="3156"/>
      <c r="AF75" s="3156"/>
      <c r="AG75" s="3156"/>
      <c r="AH75" s="3156"/>
      <c r="AI75" s="3156"/>
      <c r="AJ75" s="3156"/>
      <c r="AK75" s="3156"/>
      <c r="AL75" s="3156"/>
      <c r="AM75" s="3156"/>
      <c r="AN75" s="3156"/>
      <c r="AO75" s="3156"/>
      <c r="AP75" s="3156"/>
      <c r="AQ75" s="3156"/>
      <c r="AR75" s="3156"/>
      <c r="AS75" s="3156"/>
      <c r="AT75" s="3161"/>
      <c r="AU75" s="1730"/>
      <c r="AV75" s="2370"/>
      <c r="AW75" s="2354"/>
      <c r="AX75" s="2370"/>
      <c r="AY75" s="2370"/>
      <c r="AZ75" s="2370"/>
      <c r="BA75" s="2354"/>
      <c r="BB75" s="2354"/>
      <c r="BC75" s="2354"/>
      <c r="BD75" s="2354"/>
      <c r="BE75" s="2354"/>
      <c r="BF75" s="2354"/>
      <c r="BG75" s="2354"/>
      <c r="BH75" s="2354"/>
      <c r="BI75" s="2354"/>
      <c r="BJ75" s="2354"/>
      <c r="BK75" s="2382"/>
      <c r="BL75" s="2354"/>
      <c r="BM75" s="2354"/>
      <c r="BN75" s="2354"/>
      <c r="BO75" s="2354"/>
      <c r="BP75" s="2354"/>
      <c r="BQ75" s="2354"/>
      <c r="BR75" s="2354"/>
      <c r="BS75" s="2354"/>
      <c r="BT75" s="2354"/>
      <c r="BU75" s="2354"/>
      <c r="BV75" s="2354"/>
      <c r="BW75" s="2354"/>
      <c r="BX75" s="2354"/>
      <c r="BY75" s="2354"/>
      <c r="BZ75" s="2354"/>
      <c r="CA75" s="2354"/>
      <c r="CB75" s="2354"/>
      <c r="CC75" s="2354"/>
      <c r="CD75" s="2358"/>
      <c r="CE75" s="3162"/>
      <c r="CF75" s="3156"/>
      <c r="CG75" s="3156"/>
      <c r="CH75" s="3156"/>
      <c r="CI75" s="3156"/>
      <c r="CJ75" s="3156"/>
      <c r="CK75" s="3156"/>
      <c r="CL75" s="3156"/>
      <c r="CM75" s="3156"/>
      <c r="CN75" s="3156"/>
      <c r="CO75" s="3156"/>
      <c r="CP75" s="3156"/>
      <c r="CQ75" s="3156"/>
      <c r="CR75" s="3156"/>
      <c r="CS75" s="3156"/>
      <c r="CT75" s="3156"/>
      <c r="CU75" s="3156"/>
      <c r="CV75" s="3156"/>
      <c r="CW75" s="3161"/>
      <c r="CX75" s="3172"/>
      <c r="CY75" s="3172"/>
      <c r="CZ75" s="3172"/>
      <c r="DA75" s="3172"/>
      <c r="DB75" s="3172"/>
      <c r="DC75" s="3172"/>
      <c r="DD75" s="3172"/>
      <c r="DE75" s="3174"/>
      <c r="DF75" s="1630"/>
      <c r="DG75" s="1631"/>
      <c r="DH75" s="1631"/>
      <c r="DI75" s="1631"/>
      <c r="DJ75" s="1631"/>
      <c r="DK75" s="1631"/>
    </row>
    <row r="76" spans="1:115" ht="15.75" thickBot="1">
      <c r="A76" s="2377"/>
      <c r="B76" s="2559"/>
      <c r="C76" s="1669"/>
      <c r="D76" s="1669"/>
      <c r="E76" s="1670"/>
      <c r="F76" s="2363"/>
      <c r="G76" s="2384"/>
      <c r="H76" s="2369"/>
      <c r="I76" s="2369"/>
      <c r="J76" s="2353"/>
      <c r="K76" s="1671"/>
      <c r="L76" s="2374"/>
      <c r="M76" s="2374"/>
      <c r="N76" s="2374"/>
      <c r="O76" s="2372"/>
      <c r="P76" s="2372"/>
      <c r="Q76" s="2372"/>
      <c r="R76" s="2372"/>
      <c r="S76" s="2372"/>
      <c r="T76" s="2372"/>
      <c r="U76" s="2374"/>
      <c r="V76" s="2386"/>
      <c r="W76" s="2374"/>
      <c r="X76" s="1745"/>
      <c r="Y76" s="2362"/>
      <c r="Z76" s="2374"/>
      <c r="AA76" s="2374"/>
      <c r="AB76" s="2372"/>
      <c r="AC76" s="2372"/>
      <c r="AD76" s="2372"/>
      <c r="AE76" s="2372"/>
      <c r="AF76" s="2372"/>
      <c r="AG76" s="2374"/>
      <c r="AH76" s="2372"/>
      <c r="AI76" s="2372"/>
      <c r="AJ76" s="2372"/>
      <c r="AK76" s="2372"/>
      <c r="AL76" s="2372"/>
      <c r="AM76" s="2372"/>
      <c r="AN76" s="2374"/>
      <c r="AO76" s="2374"/>
      <c r="AP76" s="2359"/>
      <c r="AQ76" s="2353"/>
      <c r="AR76" s="2353"/>
      <c r="AS76" s="2353"/>
      <c r="AT76" s="2357"/>
      <c r="AU76" s="1673"/>
      <c r="AV76" s="2369"/>
      <c r="AW76" s="1671"/>
      <c r="AX76" s="1671"/>
      <c r="AY76" s="1671"/>
      <c r="AZ76" s="1671"/>
      <c r="BA76" s="2353"/>
      <c r="BB76" s="2374"/>
      <c r="BC76" s="2374"/>
      <c r="BD76" s="2372"/>
      <c r="BE76" s="2372"/>
      <c r="BF76" s="2372"/>
      <c r="BG76" s="2372"/>
      <c r="BH76" s="2372"/>
      <c r="BI76" s="2372"/>
      <c r="BJ76" s="2372"/>
      <c r="BK76" s="2374"/>
      <c r="BL76" s="2372"/>
      <c r="BM76" s="2372"/>
      <c r="BN76" s="2372"/>
      <c r="BO76" s="2372"/>
      <c r="BP76" s="2372"/>
      <c r="BQ76" s="2372"/>
      <c r="BR76" s="2372"/>
      <c r="BS76" s="2374"/>
      <c r="BT76" s="2353"/>
      <c r="BU76" s="2353"/>
      <c r="BV76" s="2353"/>
      <c r="BW76" s="2353"/>
      <c r="BX76" s="2353"/>
      <c r="BY76" s="2353"/>
      <c r="BZ76" s="2353"/>
      <c r="CA76" s="2353"/>
      <c r="CB76" s="2353"/>
      <c r="CC76" s="2353"/>
      <c r="CD76" s="2357"/>
      <c r="CE76" s="2388"/>
      <c r="CF76" s="2374"/>
      <c r="CG76" s="2372"/>
      <c r="CH76" s="2372"/>
      <c r="CI76" s="2372"/>
      <c r="CJ76" s="2372"/>
      <c r="CK76" s="2372"/>
      <c r="CL76" s="2372"/>
      <c r="CM76" s="2372"/>
      <c r="CN76" s="2374"/>
      <c r="CO76" s="2372"/>
      <c r="CP76" s="2372"/>
      <c r="CQ76" s="2372"/>
      <c r="CR76" s="2372"/>
      <c r="CS76" s="2372"/>
      <c r="CT76" s="2372"/>
      <c r="CU76" s="2374"/>
      <c r="CV76" s="2374"/>
      <c r="CW76" s="2386"/>
      <c r="CX76" s="2350"/>
      <c r="CY76" s="2350"/>
      <c r="CZ76" s="2350"/>
      <c r="DA76" s="2350"/>
      <c r="DB76" s="2350"/>
      <c r="DC76" s="2350"/>
      <c r="DD76" s="2363"/>
      <c r="DE76" s="2365"/>
      <c r="DF76" s="1630"/>
      <c r="DG76" s="1631"/>
      <c r="DH76" s="1631"/>
      <c r="DI76" s="1631"/>
      <c r="DJ76" s="1631"/>
      <c r="DK76" s="1631"/>
    </row>
    <row r="77" spans="1:115" ht="15.75" thickBot="1">
      <c r="A77" s="2376">
        <v>25</v>
      </c>
      <c r="B77" s="2558" t="str">
        <f t="shared" ref="B77:B78" si="57">1&amp;"0"&amp;C77&amp;IF(LEN(SUBSTITUTE(UPPER(D77),"P/O ",""))=1,"000"&amp;SUBSTITUTE(UPPER(D77),"P/O ",""),IF(LEN(SUBSTITUTE(UPPER(D77),"P/O ",""))=2,"00"&amp;SUBSTITUTE(UPPER(D77),"P/O ",""),IF(LEN(SUBSTITUTE(UPPER(D77),"P/O ",""))=3,"0"&amp;SUBSTITUTE(UPPER(D77),"P/O ",""),SUBSTITUTE(UPPER(D77),"P/O ",""))))</f>
        <v>1022330013</v>
      </c>
      <c r="C77" s="1770">
        <v>2233</v>
      </c>
      <c r="D77" s="1770">
        <v>13</v>
      </c>
      <c r="E77" s="1771" t="s">
        <v>1417</v>
      </c>
      <c r="F77" s="1772" t="s">
        <v>1418</v>
      </c>
      <c r="G77" s="1677">
        <v>11825</v>
      </c>
      <c r="H77" s="2379" t="s">
        <v>1344</v>
      </c>
      <c r="I77" s="2379" t="s">
        <v>727</v>
      </c>
      <c r="J77" s="2366"/>
      <c r="K77" s="1679">
        <f>V77/G77</f>
        <v>1.4658773784355179</v>
      </c>
      <c r="L77" s="2355">
        <v>0</v>
      </c>
      <c r="M77" s="2355">
        <v>17334</v>
      </c>
      <c r="N77" s="2355">
        <v>0</v>
      </c>
      <c r="O77" s="2352">
        <v>0</v>
      </c>
      <c r="P77" s="2352">
        <v>0</v>
      </c>
      <c r="Q77" s="2352"/>
      <c r="R77" s="2352">
        <v>0</v>
      </c>
      <c r="S77" s="2352">
        <v>0</v>
      </c>
      <c r="T77" s="2352">
        <v>0</v>
      </c>
      <c r="U77" s="2355">
        <v>0</v>
      </c>
      <c r="V77" s="2356">
        <f>N77+M77+L77+U77</f>
        <v>17334</v>
      </c>
      <c r="W77" s="2355">
        <v>0</v>
      </c>
      <c r="X77" s="3107" t="s">
        <v>1289</v>
      </c>
      <c r="Y77" s="3109" t="s">
        <v>1023</v>
      </c>
      <c r="Z77" s="3112">
        <v>0</v>
      </c>
      <c r="AA77" s="3112">
        <f>M77</f>
        <v>17334</v>
      </c>
      <c r="AB77" s="3115">
        <v>0</v>
      </c>
      <c r="AC77" s="3115">
        <v>0</v>
      </c>
      <c r="AD77" s="3115">
        <v>0</v>
      </c>
      <c r="AE77" s="3115">
        <v>0</v>
      </c>
      <c r="AF77" s="3115">
        <f>AA77</f>
        <v>17334</v>
      </c>
      <c r="AG77" s="3112">
        <v>0</v>
      </c>
      <c r="AH77" s="3115">
        <v>0</v>
      </c>
      <c r="AI77" s="3115">
        <v>0</v>
      </c>
      <c r="AJ77" s="3115">
        <v>0</v>
      </c>
      <c r="AK77" s="3115">
        <v>0</v>
      </c>
      <c r="AL77" s="3115">
        <v>0</v>
      </c>
      <c r="AM77" s="3115">
        <v>0</v>
      </c>
      <c r="AN77" s="3112">
        <v>0</v>
      </c>
      <c r="AO77" s="3112">
        <f>AG77+AA77+Z77</f>
        <v>17334</v>
      </c>
      <c r="AP77" s="3175">
        <f>AO77/G79</f>
        <v>0.83658301158301163</v>
      </c>
      <c r="AQ77" s="3136">
        <v>0</v>
      </c>
      <c r="AR77" s="3136">
        <v>15</v>
      </c>
      <c r="AS77" s="3136">
        <v>15</v>
      </c>
      <c r="AT77" s="3131">
        <v>10</v>
      </c>
      <c r="AU77" s="1680" t="s">
        <v>1331</v>
      </c>
      <c r="AV77" s="2379"/>
      <c r="AW77" s="2371">
        <v>7.2</v>
      </c>
      <c r="AX77" s="1679">
        <f>BB77/G79</f>
        <v>6.9654922779922783</v>
      </c>
      <c r="AY77" s="1679">
        <v>0</v>
      </c>
      <c r="AZ77" s="1679">
        <f>BC77/G79</f>
        <v>1.7075289575289576</v>
      </c>
      <c r="BA77" s="2366"/>
      <c r="BB77" s="2355">
        <v>144325</v>
      </c>
      <c r="BC77" s="2355">
        <f>BD77+BE77+BF77+BG77+BH77+BI77+BJ77</f>
        <v>35380</v>
      </c>
      <c r="BD77" s="2352">
        <v>0</v>
      </c>
      <c r="BE77" s="2352">
        <v>0</v>
      </c>
      <c r="BF77" s="2352">
        <v>7000</v>
      </c>
      <c r="BG77" s="2352">
        <v>0</v>
      </c>
      <c r="BH77" s="2352">
        <v>8020</v>
      </c>
      <c r="BI77" s="2352">
        <v>0</v>
      </c>
      <c r="BJ77" s="2352">
        <v>20360</v>
      </c>
      <c r="BK77" s="1773">
        <f>ROUND(G79*AY77,0)</f>
        <v>0</v>
      </c>
      <c r="BL77" s="2352">
        <v>0</v>
      </c>
      <c r="BM77" s="2352">
        <v>0</v>
      </c>
      <c r="BN77" s="2352">
        <v>0</v>
      </c>
      <c r="BO77" s="2352">
        <v>0</v>
      </c>
      <c r="BP77" s="2352">
        <v>0</v>
      </c>
      <c r="BQ77" s="2380">
        <v>0</v>
      </c>
      <c r="BR77" s="2352">
        <v>0</v>
      </c>
      <c r="BS77" s="2355">
        <f>BC77+BB77</f>
        <v>179705</v>
      </c>
      <c r="BT77" s="2366">
        <v>175</v>
      </c>
      <c r="BU77" s="2366">
        <f>BT77</f>
        <v>175</v>
      </c>
      <c r="BV77" s="2366">
        <f>BT77-BU77</f>
        <v>0</v>
      </c>
      <c r="BW77" s="2366">
        <f>BT77</f>
        <v>175</v>
      </c>
      <c r="BX77" s="2366">
        <f>BT77-BW77</f>
        <v>0</v>
      </c>
      <c r="BY77" s="2366">
        <f>ROUND(IF(((0.2*BV77)&gt;15),(0.2*BV77),0),0)</f>
        <v>0</v>
      </c>
      <c r="BZ77" s="2366">
        <f>ROUND(IF(((0.2*BX77)&gt;15),(0.2*BX77),0),0)</f>
        <v>0</v>
      </c>
      <c r="CA77" s="2366">
        <v>0</v>
      </c>
      <c r="CB77" s="2366">
        <v>0</v>
      </c>
      <c r="CC77" s="2366">
        <v>0</v>
      </c>
      <c r="CD77" s="2367">
        <v>145</v>
      </c>
      <c r="CE77" s="3132">
        <f>BB77-Z77</f>
        <v>144325</v>
      </c>
      <c r="CF77" s="3112">
        <f>BC77-AA77</f>
        <v>18046</v>
      </c>
      <c r="CG77" s="3115">
        <f>BD77</f>
        <v>0</v>
      </c>
      <c r="CH77" s="3115">
        <f>BE77-AB77</f>
        <v>0</v>
      </c>
      <c r="CI77" s="3115">
        <f>BF77</f>
        <v>7000</v>
      </c>
      <c r="CJ77" s="3115">
        <f>BG77-AC77</f>
        <v>0</v>
      </c>
      <c r="CK77" s="3115">
        <f>BH77</f>
        <v>8020</v>
      </c>
      <c r="CL77" s="3115">
        <f>BI77-AD77</f>
        <v>0</v>
      </c>
      <c r="CM77" s="3115">
        <f t="shared" ref="CM77:CV77" si="58">BJ77-AF77</f>
        <v>3026</v>
      </c>
      <c r="CN77" s="3112">
        <f t="shared" si="58"/>
        <v>0</v>
      </c>
      <c r="CO77" s="3115">
        <f t="shared" si="58"/>
        <v>0</v>
      </c>
      <c r="CP77" s="3115">
        <f t="shared" si="58"/>
        <v>0</v>
      </c>
      <c r="CQ77" s="3115">
        <f t="shared" si="58"/>
        <v>0</v>
      </c>
      <c r="CR77" s="3115">
        <f t="shared" si="58"/>
        <v>0</v>
      </c>
      <c r="CS77" s="3115">
        <f t="shared" si="58"/>
        <v>0</v>
      </c>
      <c r="CT77" s="3115">
        <f t="shared" si="58"/>
        <v>0</v>
      </c>
      <c r="CU77" s="3112">
        <f t="shared" si="58"/>
        <v>0</v>
      </c>
      <c r="CV77" s="3112">
        <f t="shared" si="58"/>
        <v>162371</v>
      </c>
      <c r="CW77" s="3125">
        <f>BT77-AQ77</f>
        <v>175</v>
      </c>
      <c r="CX77" s="3128">
        <f>BU77</f>
        <v>175</v>
      </c>
      <c r="CY77" s="3128">
        <f>BV77</f>
        <v>0</v>
      </c>
      <c r="CZ77" s="3128">
        <f>BW77</f>
        <v>175</v>
      </c>
      <c r="DA77" s="3128">
        <f>BX77</f>
        <v>0</v>
      </c>
      <c r="DB77" s="3128">
        <f>BY77-AR77</f>
        <v>-15</v>
      </c>
      <c r="DC77" s="3128">
        <f>BZ77-AR77</f>
        <v>-15</v>
      </c>
      <c r="DD77" s="3128">
        <f>CB77-AS77</f>
        <v>-15</v>
      </c>
      <c r="DE77" s="3118">
        <f>CC77-AS77</f>
        <v>-15</v>
      </c>
      <c r="DF77" s="1630"/>
      <c r="DG77" s="1631"/>
      <c r="DH77" s="1631"/>
      <c r="DI77" s="1631"/>
      <c r="DJ77" s="1631"/>
      <c r="DK77" s="1631"/>
    </row>
    <row r="78" spans="1:115">
      <c r="A78" s="2377"/>
      <c r="B78" s="2558" t="str">
        <f t="shared" si="57"/>
        <v>1022330020</v>
      </c>
      <c r="C78" s="1669">
        <v>2233</v>
      </c>
      <c r="D78" s="1669" t="s">
        <v>1419</v>
      </c>
      <c r="E78" s="1670" t="s">
        <v>1303</v>
      </c>
      <c r="F78" s="2363" t="s">
        <v>1420</v>
      </c>
      <c r="G78" s="1686">
        <f>6000+2895</f>
        <v>8895</v>
      </c>
      <c r="H78" s="2369" t="s">
        <v>1344</v>
      </c>
      <c r="I78" s="2369" t="s">
        <v>727</v>
      </c>
      <c r="J78" s="2353"/>
      <c r="K78" s="1671">
        <f>V78/G78</f>
        <v>0</v>
      </c>
      <c r="L78" s="1687">
        <v>0</v>
      </c>
      <c r="M78" s="1687">
        <v>0</v>
      </c>
      <c r="N78" s="1687">
        <v>0</v>
      </c>
      <c r="O78" s="1688">
        <v>0</v>
      </c>
      <c r="P78" s="1688">
        <v>0</v>
      </c>
      <c r="Q78" s="1688"/>
      <c r="R78" s="1688">
        <v>0</v>
      </c>
      <c r="S78" s="1688">
        <v>0</v>
      </c>
      <c r="T78" s="1688">
        <v>0</v>
      </c>
      <c r="U78" s="1687">
        <v>0</v>
      </c>
      <c r="V78" s="1689">
        <f>N78+M78+L78+U78</f>
        <v>0</v>
      </c>
      <c r="W78" s="1687">
        <v>0</v>
      </c>
      <c r="X78" s="3108"/>
      <c r="Y78" s="3110"/>
      <c r="Z78" s="3123"/>
      <c r="AA78" s="3123"/>
      <c r="AB78" s="3123"/>
      <c r="AC78" s="3123"/>
      <c r="AD78" s="3123"/>
      <c r="AE78" s="3123"/>
      <c r="AF78" s="3123"/>
      <c r="AG78" s="3123"/>
      <c r="AH78" s="3123"/>
      <c r="AI78" s="3123"/>
      <c r="AJ78" s="3123"/>
      <c r="AK78" s="3123"/>
      <c r="AL78" s="3123"/>
      <c r="AM78" s="3123"/>
      <c r="AN78" s="3123"/>
      <c r="AO78" s="3123"/>
      <c r="AP78" s="3176"/>
      <c r="AQ78" s="3123"/>
      <c r="AR78" s="3123"/>
      <c r="AS78" s="3123"/>
      <c r="AT78" s="3126"/>
      <c r="AU78" s="1673"/>
      <c r="AV78" s="2369"/>
      <c r="AW78" s="2353"/>
      <c r="AX78" s="1671"/>
      <c r="AY78" s="2369"/>
      <c r="AZ78" s="2369"/>
      <c r="BA78" s="2353"/>
      <c r="BB78" s="2353"/>
      <c r="BC78" s="2353"/>
      <c r="BD78" s="2353"/>
      <c r="BE78" s="2353"/>
      <c r="BF78" s="2353"/>
      <c r="BG78" s="2353"/>
      <c r="BH78" s="2353"/>
      <c r="BI78" s="2353"/>
      <c r="BJ78" s="2353"/>
      <c r="BK78" s="2381"/>
      <c r="BL78" s="2353"/>
      <c r="BM78" s="2353"/>
      <c r="BN78" s="2353"/>
      <c r="BO78" s="2353"/>
      <c r="BP78" s="2353"/>
      <c r="BQ78" s="2381"/>
      <c r="BR78" s="2353"/>
      <c r="BS78" s="2353"/>
      <c r="BT78" s="2353"/>
      <c r="BU78" s="2353"/>
      <c r="BV78" s="2353"/>
      <c r="BW78" s="2353"/>
      <c r="BX78" s="2353"/>
      <c r="BY78" s="2353"/>
      <c r="BZ78" s="2353"/>
      <c r="CA78" s="2353"/>
      <c r="CB78" s="2353"/>
      <c r="CC78" s="2353"/>
      <c r="CD78" s="2357"/>
      <c r="CE78" s="3133"/>
      <c r="CF78" s="3123"/>
      <c r="CG78" s="3123"/>
      <c r="CH78" s="3123"/>
      <c r="CI78" s="3123"/>
      <c r="CJ78" s="3123"/>
      <c r="CK78" s="3123"/>
      <c r="CL78" s="3123"/>
      <c r="CM78" s="3123"/>
      <c r="CN78" s="3123"/>
      <c r="CO78" s="3123"/>
      <c r="CP78" s="3123"/>
      <c r="CQ78" s="3123"/>
      <c r="CR78" s="3123"/>
      <c r="CS78" s="3123"/>
      <c r="CT78" s="3123"/>
      <c r="CU78" s="3123"/>
      <c r="CV78" s="3123"/>
      <c r="CW78" s="3126"/>
      <c r="CX78" s="3129"/>
      <c r="CY78" s="3129"/>
      <c r="CZ78" s="3129"/>
      <c r="DA78" s="3129"/>
      <c r="DB78" s="3129"/>
      <c r="DC78" s="3129"/>
      <c r="DD78" s="3129"/>
      <c r="DE78" s="3119"/>
      <c r="DF78" s="1630"/>
      <c r="DG78" s="1631"/>
      <c r="DH78" s="1631"/>
      <c r="DI78" s="1631"/>
      <c r="DJ78" s="1631"/>
      <c r="DK78" s="1631"/>
    </row>
    <row r="79" spans="1:115">
      <c r="A79" s="2378"/>
      <c r="B79" s="2565"/>
      <c r="C79" s="1731"/>
      <c r="D79" s="1731"/>
      <c r="E79" s="1775"/>
      <c r="F79" s="2364"/>
      <c r="G79" s="2385">
        <f>SUM(G77:G78)</f>
        <v>20720</v>
      </c>
      <c r="H79" s="2370" t="s">
        <v>1344</v>
      </c>
      <c r="I79" s="2370" t="s">
        <v>727</v>
      </c>
      <c r="J79" s="2354"/>
      <c r="K79" s="1726">
        <f>V79/G79</f>
        <v>0.83658301158301163</v>
      </c>
      <c r="L79" s="2375">
        <f>SUM(L77:L78)</f>
        <v>0</v>
      </c>
      <c r="M79" s="2375">
        <f t="shared" ref="M79:W79" si="59">SUM(M77:M78)</f>
        <v>17334</v>
      </c>
      <c r="N79" s="2375">
        <f t="shared" si="59"/>
        <v>0</v>
      </c>
      <c r="O79" s="2373">
        <f t="shared" si="59"/>
        <v>0</v>
      </c>
      <c r="P79" s="2373">
        <f t="shared" si="59"/>
        <v>0</v>
      </c>
      <c r="Q79" s="2373">
        <f t="shared" si="59"/>
        <v>0</v>
      </c>
      <c r="R79" s="2373">
        <f t="shared" si="59"/>
        <v>0</v>
      </c>
      <c r="S79" s="2373">
        <f t="shared" si="59"/>
        <v>0</v>
      </c>
      <c r="T79" s="2373">
        <f t="shared" si="59"/>
        <v>0</v>
      </c>
      <c r="U79" s="2375">
        <f t="shared" si="59"/>
        <v>0</v>
      </c>
      <c r="V79" s="2387">
        <f t="shared" si="59"/>
        <v>17334</v>
      </c>
      <c r="W79" s="2375">
        <f t="shared" si="59"/>
        <v>0</v>
      </c>
      <c r="X79" s="3146"/>
      <c r="Y79" s="3111"/>
      <c r="Z79" s="3156"/>
      <c r="AA79" s="3156"/>
      <c r="AB79" s="3156"/>
      <c r="AC79" s="3156"/>
      <c r="AD79" s="3156"/>
      <c r="AE79" s="3156"/>
      <c r="AF79" s="3156"/>
      <c r="AG79" s="3156"/>
      <c r="AH79" s="3156"/>
      <c r="AI79" s="3156"/>
      <c r="AJ79" s="3156"/>
      <c r="AK79" s="3156"/>
      <c r="AL79" s="3156"/>
      <c r="AM79" s="3156"/>
      <c r="AN79" s="3156"/>
      <c r="AO79" s="3156"/>
      <c r="AP79" s="3177"/>
      <c r="AQ79" s="3156"/>
      <c r="AR79" s="3156"/>
      <c r="AS79" s="3156"/>
      <c r="AT79" s="3161"/>
      <c r="AU79" s="1730"/>
      <c r="AV79" s="2370"/>
      <c r="AW79" s="2354"/>
      <c r="AX79" s="1726"/>
      <c r="AY79" s="2370"/>
      <c r="AZ79" s="2370"/>
      <c r="BA79" s="2354"/>
      <c r="BB79" s="2354"/>
      <c r="BC79" s="2354"/>
      <c r="BD79" s="2354"/>
      <c r="BE79" s="2354"/>
      <c r="BF79" s="2354"/>
      <c r="BG79" s="2354"/>
      <c r="BH79" s="2354"/>
      <c r="BI79" s="2354"/>
      <c r="BJ79" s="2354"/>
      <c r="BK79" s="2382"/>
      <c r="BL79" s="2354"/>
      <c r="BM79" s="2354"/>
      <c r="BN79" s="2354"/>
      <c r="BO79" s="2354"/>
      <c r="BP79" s="2354"/>
      <c r="BQ79" s="2382"/>
      <c r="BR79" s="2354"/>
      <c r="BS79" s="2354"/>
      <c r="BT79" s="2354"/>
      <c r="BU79" s="2354"/>
      <c r="BV79" s="2354"/>
      <c r="BW79" s="2354"/>
      <c r="BX79" s="2354"/>
      <c r="BY79" s="2354"/>
      <c r="BZ79" s="2354"/>
      <c r="CA79" s="2354"/>
      <c r="CB79" s="2354"/>
      <c r="CC79" s="2354"/>
      <c r="CD79" s="2358"/>
      <c r="CE79" s="3162"/>
      <c r="CF79" s="3156"/>
      <c r="CG79" s="3156"/>
      <c r="CH79" s="3156"/>
      <c r="CI79" s="3156"/>
      <c r="CJ79" s="3156"/>
      <c r="CK79" s="3156"/>
      <c r="CL79" s="3156"/>
      <c r="CM79" s="3156"/>
      <c r="CN79" s="3156"/>
      <c r="CO79" s="3156"/>
      <c r="CP79" s="3156"/>
      <c r="CQ79" s="3156"/>
      <c r="CR79" s="3156"/>
      <c r="CS79" s="3156"/>
      <c r="CT79" s="3156"/>
      <c r="CU79" s="3156"/>
      <c r="CV79" s="3156"/>
      <c r="CW79" s="3161"/>
      <c r="CX79" s="3163"/>
      <c r="CY79" s="3163"/>
      <c r="CZ79" s="3163"/>
      <c r="DA79" s="3163"/>
      <c r="DB79" s="3163"/>
      <c r="DC79" s="3163"/>
      <c r="DD79" s="3163"/>
      <c r="DE79" s="3164"/>
      <c r="DF79" s="1630"/>
      <c r="DG79" s="1631"/>
      <c r="DH79" s="1631"/>
      <c r="DI79" s="1631"/>
      <c r="DJ79" s="1631"/>
      <c r="DK79" s="1631"/>
    </row>
    <row r="80" spans="1:115" ht="15.75" thickBot="1">
      <c r="A80" s="2377"/>
      <c r="B80" s="2559"/>
      <c r="C80" s="1669"/>
      <c r="D80" s="1669"/>
      <c r="E80" s="1670"/>
      <c r="F80" s="2363"/>
      <c r="G80" s="2384"/>
      <c r="H80" s="2369"/>
      <c r="I80" s="2369"/>
      <c r="J80" s="2353"/>
      <c r="K80" s="1671"/>
      <c r="L80" s="2374"/>
      <c r="M80" s="2374"/>
      <c r="N80" s="2374"/>
      <c r="O80" s="2372"/>
      <c r="P80" s="2372"/>
      <c r="Q80" s="2372"/>
      <c r="R80" s="2372"/>
      <c r="S80" s="2372"/>
      <c r="T80" s="2372"/>
      <c r="U80" s="2374"/>
      <c r="V80" s="2386"/>
      <c r="W80" s="2374"/>
      <c r="X80" s="2368"/>
      <c r="Y80" s="2362"/>
      <c r="Z80" s="2374"/>
      <c r="AA80" s="2374"/>
      <c r="AB80" s="2372"/>
      <c r="AC80" s="2372"/>
      <c r="AD80" s="2372"/>
      <c r="AE80" s="2372"/>
      <c r="AF80" s="2372"/>
      <c r="AG80" s="2374"/>
      <c r="AH80" s="2372"/>
      <c r="AI80" s="2372"/>
      <c r="AJ80" s="2372"/>
      <c r="AK80" s="2372"/>
      <c r="AL80" s="2372"/>
      <c r="AM80" s="2372"/>
      <c r="AN80" s="2374"/>
      <c r="AO80" s="2374"/>
      <c r="AP80" s="2359"/>
      <c r="AQ80" s="2353"/>
      <c r="AR80" s="2353"/>
      <c r="AS80" s="2353"/>
      <c r="AT80" s="2357"/>
      <c r="AU80" s="1673"/>
      <c r="AV80" s="2369"/>
      <c r="AW80" s="1671"/>
      <c r="AX80" s="1671"/>
      <c r="AY80" s="1671"/>
      <c r="AZ80" s="1671"/>
      <c r="BA80" s="2353"/>
      <c r="BB80" s="2374"/>
      <c r="BC80" s="2374"/>
      <c r="BD80" s="2372"/>
      <c r="BE80" s="2372"/>
      <c r="BF80" s="2372"/>
      <c r="BG80" s="2372"/>
      <c r="BH80" s="2372"/>
      <c r="BI80" s="2372"/>
      <c r="BJ80" s="2372"/>
      <c r="BK80" s="2374"/>
      <c r="BL80" s="2372"/>
      <c r="BM80" s="2372"/>
      <c r="BN80" s="2372"/>
      <c r="BO80" s="2372"/>
      <c r="BP80" s="2372"/>
      <c r="BQ80" s="2372"/>
      <c r="BR80" s="2372"/>
      <c r="BS80" s="2374"/>
      <c r="BT80" s="2353"/>
      <c r="BU80" s="2353"/>
      <c r="BV80" s="2353"/>
      <c r="BW80" s="2353"/>
      <c r="BX80" s="2353"/>
      <c r="BY80" s="2353"/>
      <c r="BZ80" s="2353"/>
      <c r="CA80" s="2353"/>
      <c r="CB80" s="2353"/>
      <c r="CC80" s="2353"/>
      <c r="CD80" s="2357"/>
      <c r="CE80" s="2388"/>
      <c r="CF80" s="2374"/>
      <c r="CG80" s="2372"/>
      <c r="CH80" s="2372"/>
      <c r="CI80" s="2372"/>
      <c r="CJ80" s="2372"/>
      <c r="CK80" s="2372"/>
      <c r="CL80" s="2372"/>
      <c r="CM80" s="2372"/>
      <c r="CN80" s="2374"/>
      <c r="CO80" s="2372"/>
      <c r="CP80" s="2372"/>
      <c r="CQ80" s="2372"/>
      <c r="CR80" s="2372"/>
      <c r="CS80" s="2372"/>
      <c r="CT80" s="2372"/>
      <c r="CU80" s="2374"/>
      <c r="CV80" s="2374"/>
      <c r="CW80" s="2386"/>
      <c r="CX80" s="2350"/>
      <c r="CY80" s="2350"/>
      <c r="CZ80" s="2350"/>
      <c r="DA80" s="2350"/>
      <c r="DB80" s="2350"/>
      <c r="DC80" s="2350"/>
      <c r="DD80" s="2363"/>
      <c r="DE80" s="2365"/>
      <c r="DF80" s="1630"/>
      <c r="DG80" s="1631"/>
      <c r="DH80" s="1631"/>
      <c r="DI80" s="1631"/>
      <c r="DJ80" s="1631"/>
      <c r="DK80" s="1631"/>
    </row>
    <row r="81" spans="1:115" ht="15.75" thickBot="1">
      <c r="A81" s="2377">
        <v>33</v>
      </c>
      <c r="B81" s="2558" t="str">
        <f t="shared" ref="B81:B82" si="60">1&amp;"0"&amp;C81&amp;IF(LEN(SUBSTITUTE(UPPER(D81),"P/O ",""))=1,"000"&amp;SUBSTITUTE(UPPER(D81),"P/O ",""),IF(LEN(SUBSTITUTE(UPPER(D81),"P/O ",""))=2,"00"&amp;SUBSTITUTE(UPPER(D81),"P/O ",""),IF(LEN(SUBSTITUTE(UPPER(D81),"P/O ",""))=3,"0"&amp;SUBSTITUTE(UPPER(D81),"P/O ",""),SUBSTITUTE(UPPER(D81),"P/O ",""))))</f>
        <v>1021970075</v>
      </c>
      <c r="C81" s="1674">
        <v>2197</v>
      </c>
      <c r="D81" s="1674" t="s">
        <v>1421</v>
      </c>
      <c r="E81" s="1675" t="s">
        <v>1321</v>
      </c>
      <c r="F81" s="1676" t="s">
        <v>1322</v>
      </c>
      <c r="G81" s="1776">
        <f>ROUND(106450/2,0)</f>
        <v>53225</v>
      </c>
      <c r="H81" s="1678" t="s">
        <v>1323</v>
      </c>
      <c r="I81" s="2379"/>
      <c r="J81" s="2361" t="s">
        <v>1294</v>
      </c>
      <c r="K81" s="1679">
        <f>V81/G81</f>
        <v>0</v>
      </c>
      <c r="L81" s="2355">
        <v>0</v>
      </c>
      <c r="M81" s="2355">
        <v>0</v>
      </c>
      <c r="N81" s="2355">
        <f>O81+P81+Q81+R81+S81+T81</f>
        <v>0</v>
      </c>
      <c r="O81" s="2352">
        <v>0</v>
      </c>
      <c r="P81" s="2352">
        <v>0</v>
      </c>
      <c r="Q81" s="2352">
        <v>0</v>
      </c>
      <c r="R81" s="2352">
        <v>0</v>
      </c>
      <c r="S81" s="2352">
        <v>0</v>
      </c>
      <c r="T81" s="2352">
        <v>0</v>
      </c>
      <c r="U81" s="2355">
        <v>0</v>
      </c>
      <c r="V81" s="2356">
        <f>L81+M81+N81+U81</f>
        <v>0</v>
      </c>
      <c r="W81" s="2355">
        <v>0</v>
      </c>
      <c r="X81" s="3178" t="s">
        <v>1289</v>
      </c>
      <c r="Y81" s="3179" t="s">
        <v>1023</v>
      </c>
      <c r="Z81" s="3115">
        <f>M83</f>
        <v>0</v>
      </c>
      <c r="AA81" s="3115">
        <v>0</v>
      </c>
      <c r="AB81" s="3115">
        <v>0</v>
      </c>
      <c r="AC81" s="3115">
        <v>0</v>
      </c>
      <c r="AD81" s="3115">
        <v>0</v>
      </c>
      <c r="AE81" s="3115">
        <v>0</v>
      </c>
      <c r="AF81" s="3115">
        <v>0</v>
      </c>
      <c r="AG81" s="3115">
        <v>3329</v>
      </c>
      <c r="AH81" s="3115">
        <v>0</v>
      </c>
      <c r="AI81" s="3115">
        <v>0</v>
      </c>
      <c r="AJ81" s="3115">
        <v>0</v>
      </c>
      <c r="AK81" s="3115">
        <v>0</v>
      </c>
      <c r="AL81" s="3115">
        <v>3329</v>
      </c>
      <c r="AM81" s="3115">
        <v>0</v>
      </c>
      <c r="AN81" s="3112">
        <v>0</v>
      </c>
      <c r="AO81" s="3115">
        <v>3329</v>
      </c>
      <c r="AP81" s="3180">
        <f>AO81/G83</f>
        <v>5.98353584010353E-2</v>
      </c>
      <c r="AQ81" s="3115">
        <v>0</v>
      </c>
      <c r="AR81" s="3115">
        <v>142</v>
      </c>
      <c r="AS81" s="3115">
        <f>AR81</f>
        <v>142</v>
      </c>
      <c r="AT81" s="3183">
        <v>20</v>
      </c>
      <c r="AU81" s="1680" t="s">
        <v>1290</v>
      </c>
      <c r="AV81" s="2379"/>
      <c r="AW81" s="2371">
        <v>6</v>
      </c>
      <c r="AX81" s="1679">
        <v>0</v>
      </c>
      <c r="AY81" s="1679">
        <v>6</v>
      </c>
      <c r="AZ81" s="1679">
        <v>0</v>
      </c>
      <c r="BA81" s="1777">
        <f>ROUND(J83*AX81,0)</f>
        <v>0</v>
      </c>
      <c r="BB81" s="1777">
        <v>0</v>
      </c>
      <c r="BC81" s="1778">
        <v>0</v>
      </c>
      <c r="BD81" s="1778">
        <v>0</v>
      </c>
      <c r="BE81" s="1778">
        <v>0</v>
      </c>
      <c r="BF81" s="1778">
        <v>0</v>
      </c>
      <c r="BG81" s="1778">
        <v>0</v>
      </c>
      <c r="BH81" s="1778">
        <v>0</v>
      </c>
      <c r="BI81" s="1777">
        <f>ROUND(AY81*J83,0)</f>
        <v>0</v>
      </c>
      <c r="BJ81" s="1778">
        <v>0</v>
      </c>
      <c r="BK81" s="1777">
        <f>ROUND(AY81*G83,0)</f>
        <v>333816</v>
      </c>
      <c r="BL81" s="1778">
        <f>ROUND(G83*1,0)</f>
        <v>55636</v>
      </c>
      <c r="BM81" s="1778">
        <v>0</v>
      </c>
      <c r="BN81" s="1778">
        <f>BK81-BL81-BP81</f>
        <v>53180</v>
      </c>
      <c r="BO81" s="1778">
        <v>0</v>
      </c>
      <c r="BP81" s="1777">
        <f>ROUND(300*500,0)+ ROUND(250*300,0)</f>
        <v>225000</v>
      </c>
      <c r="BQ81" s="1777">
        <f>ROUND(J83*AW81,0)</f>
        <v>0</v>
      </c>
      <c r="BR81" s="2379">
        <f>ROUND(BA81/875,0)</f>
        <v>0</v>
      </c>
      <c r="BS81" s="1777">
        <f>ROUND(AW81*G83,0)</f>
        <v>333816</v>
      </c>
      <c r="BT81" s="1779">
        <v>0</v>
      </c>
      <c r="BU81" s="1779">
        <v>0</v>
      </c>
      <c r="BV81" s="1779">
        <v>0</v>
      </c>
      <c r="BW81" s="1780">
        <v>0</v>
      </c>
      <c r="BX81" s="1780">
        <v>0</v>
      </c>
      <c r="BY81" s="1780">
        <v>0</v>
      </c>
      <c r="BZ81" s="1780">
        <v>0</v>
      </c>
      <c r="CA81" s="1781">
        <v>250</v>
      </c>
      <c r="CB81" s="1780">
        <v>550</v>
      </c>
      <c r="CC81" s="1780">
        <v>550</v>
      </c>
      <c r="CD81" s="1782">
        <v>265</v>
      </c>
      <c r="CE81" s="3132">
        <f>BB81-Z81</f>
        <v>0</v>
      </c>
      <c r="CF81" s="3112">
        <f>BC81-AA81</f>
        <v>0</v>
      </c>
      <c r="CG81" s="3112">
        <f>BD81</f>
        <v>0</v>
      </c>
      <c r="CH81" s="3112">
        <f>BE81-AB81</f>
        <v>0</v>
      </c>
      <c r="CI81" s="3112">
        <f>BF81</f>
        <v>0</v>
      </c>
      <c r="CJ81" s="3112">
        <f>BG81-AC81</f>
        <v>0</v>
      </c>
      <c r="CK81" s="3112">
        <f>BH81</f>
        <v>0</v>
      </c>
      <c r="CL81" s="3112">
        <f>BI81-AD81</f>
        <v>0</v>
      </c>
      <c r="CM81" s="3112">
        <f t="shared" ref="CM81:CV81" si="61">BJ81-AF81</f>
        <v>0</v>
      </c>
      <c r="CN81" s="3112">
        <f t="shared" si="61"/>
        <v>330487</v>
      </c>
      <c r="CO81" s="3115">
        <f t="shared" si="61"/>
        <v>55636</v>
      </c>
      <c r="CP81" s="3115">
        <f t="shared" si="61"/>
        <v>0</v>
      </c>
      <c r="CQ81" s="3115">
        <f t="shared" si="61"/>
        <v>53180</v>
      </c>
      <c r="CR81" s="3115">
        <f t="shared" si="61"/>
        <v>0</v>
      </c>
      <c r="CS81" s="3115">
        <f t="shared" si="61"/>
        <v>221671</v>
      </c>
      <c r="CT81" s="3115">
        <f t="shared" si="61"/>
        <v>0</v>
      </c>
      <c r="CU81" s="3112">
        <f t="shared" si="61"/>
        <v>0</v>
      </c>
      <c r="CV81" s="3112">
        <f t="shared" si="61"/>
        <v>330487</v>
      </c>
      <c r="CW81" s="3125">
        <f>BT81-AQ81</f>
        <v>0</v>
      </c>
      <c r="CX81" s="3128">
        <f>BU81</f>
        <v>0</v>
      </c>
      <c r="CY81" s="3128">
        <f>CW81-CX81</f>
        <v>0</v>
      </c>
      <c r="CZ81" s="3128">
        <f>BW81</f>
        <v>0</v>
      </c>
      <c r="DA81" s="3128">
        <f>CW81-CZ81</f>
        <v>0</v>
      </c>
      <c r="DB81" s="3128">
        <f>CA81-AR81</f>
        <v>108</v>
      </c>
      <c r="DC81" s="3128">
        <f>CA81-AR81</f>
        <v>108</v>
      </c>
      <c r="DD81" s="3128">
        <f>CB81-AS81</f>
        <v>408</v>
      </c>
      <c r="DE81" s="3118">
        <f>CC81-AS81</f>
        <v>408</v>
      </c>
      <c r="DF81" s="1630"/>
      <c r="DG81" s="1630"/>
      <c r="DH81" s="1630"/>
      <c r="DI81" s="1630"/>
      <c r="DJ81" s="1630"/>
      <c r="DK81" s="1630"/>
    </row>
    <row r="82" spans="1:115">
      <c r="A82" s="2377"/>
      <c r="B82" s="2558" t="str">
        <f t="shared" si="60"/>
        <v>1021970047</v>
      </c>
      <c r="C82" s="1682">
        <v>2197</v>
      </c>
      <c r="D82" s="1682" t="s">
        <v>1422</v>
      </c>
      <c r="E82" s="1683" t="s">
        <v>1325</v>
      </c>
      <c r="F82" s="1684" t="s">
        <v>1326</v>
      </c>
      <c r="G82" s="1783">
        <f>ROUND(62275/2,0)</f>
        <v>31138</v>
      </c>
      <c r="H82" s="1685" t="s">
        <v>1323</v>
      </c>
      <c r="I82" s="2369"/>
      <c r="J82" s="2388" t="s">
        <v>1294</v>
      </c>
      <c r="K82" s="1671">
        <f>V82/G82</f>
        <v>0.10691116963196094</v>
      </c>
      <c r="L82" s="1687">
        <v>0</v>
      </c>
      <c r="M82" s="1687">
        <v>0</v>
      </c>
      <c r="N82" s="1687">
        <f>O82+P82+Q82+R82+S82+T82</f>
        <v>3329</v>
      </c>
      <c r="O82" s="1688">
        <v>0</v>
      </c>
      <c r="P82" s="1688">
        <v>0</v>
      </c>
      <c r="Q82" s="1688">
        <v>0</v>
      </c>
      <c r="R82" s="1688">
        <v>3329</v>
      </c>
      <c r="S82" s="1688">
        <v>0</v>
      </c>
      <c r="T82" s="1688">
        <v>0</v>
      </c>
      <c r="U82" s="1687">
        <v>0</v>
      </c>
      <c r="V82" s="1689">
        <f>L82+M82+N82+U82</f>
        <v>3329</v>
      </c>
      <c r="W82" s="1687">
        <v>0</v>
      </c>
      <c r="X82" s="3133"/>
      <c r="Y82" s="3147"/>
      <c r="Z82" s="3123"/>
      <c r="AA82" s="3123"/>
      <c r="AB82" s="3123"/>
      <c r="AC82" s="3123"/>
      <c r="AD82" s="3123"/>
      <c r="AE82" s="3123"/>
      <c r="AF82" s="3123"/>
      <c r="AG82" s="3123"/>
      <c r="AH82" s="3123"/>
      <c r="AI82" s="3123"/>
      <c r="AJ82" s="3123"/>
      <c r="AK82" s="3123"/>
      <c r="AL82" s="3123"/>
      <c r="AM82" s="3123"/>
      <c r="AN82" s="3123"/>
      <c r="AO82" s="3123"/>
      <c r="AP82" s="3181"/>
      <c r="AQ82" s="3123"/>
      <c r="AR82" s="3123"/>
      <c r="AS82" s="3123"/>
      <c r="AT82" s="3126"/>
      <c r="AU82" s="1673"/>
      <c r="AV82" s="2369"/>
      <c r="AW82" s="2359"/>
      <c r="AX82" s="1671"/>
      <c r="AY82" s="1671"/>
      <c r="AZ82" s="1671"/>
      <c r="BA82" s="1784"/>
      <c r="BB82" s="1784"/>
      <c r="BC82" s="1785"/>
      <c r="BD82" s="1785"/>
      <c r="BE82" s="1785"/>
      <c r="BF82" s="1785"/>
      <c r="BG82" s="1785"/>
      <c r="BH82" s="1785"/>
      <c r="BI82" s="1784"/>
      <c r="BJ82" s="1785"/>
      <c r="BK82" s="1784"/>
      <c r="BL82" s="1785"/>
      <c r="BM82" s="1785"/>
      <c r="BN82" s="1785"/>
      <c r="BO82" s="1785"/>
      <c r="BP82" s="1784"/>
      <c r="BQ82" s="1784"/>
      <c r="BR82" s="2369"/>
      <c r="BS82" s="1784"/>
      <c r="BT82" s="1786"/>
      <c r="BU82" s="1786"/>
      <c r="BV82" s="1786"/>
      <c r="BW82" s="1787"/>
      <c r="BX82" s="1787"/>
      <c r="BY82" s="1787"/>
      <c r="BZ82" s="1787"/>
      <c r="CA82" s="1788"/>
      <c r="CB82" s="1787"/>
      <c r="CC82" s="1787"/>
      <c r="CD82" s="1789"/>
      <c r="CE82" s="3133"/>
      <c r="CF82" s="3123"/>
      <c r="CG82" s="3123"/>
      <c r="CH82" s="3123"/>
      <c r="CI82" s="3123"/>
      <c r="CJ82" s="3123"/>
      <c r="CK82" s="3123"/>
      <c r="CL82" s="3123"/>
      <c r="CM82" s="3123"/>
      <c r="CN82" s="3123"/>
      <c r="CO82" s="3123"/>
      <c r="CP82" s="3123"/>
      <c r="CQ82" s="3123"/>
      <c r="CR82" s="3123"/>
      <c r="CS82" s="3123"/>
      <c r="CT82" s="3123"/>
      <c r="CU82" s="3123"/>
      <c r="CV82" s="3123"/>
      <c r="CW82" s="3126"/>
      <c r="CX82" s="3171"/>
      <c r="CY82" s="3171"/>
      <c r="CZ82" s="3171"/>
      <c r="DA82" s="3171"/>
      <c r="DB82" s="3171"/>
      <c r="DC82" s="3171"/>
      <c r="DD82" s="3171"/>
      <c r="DE82" s="3173"/>
      <c r="DF82" s="1630"/>
      <c r="DG82" s="1630"/>
      <c r="DH82" s="1630"/>
      <c r="DI82" s="1630"/>
      <c r="DJ82" s="1630"/>
      <c r="DK82" s="1630"/>
    </row>
    <row r="83" spans="1:115">
      <c r="A83" s="2377"/>
      <c r="B83" s="2559"/>
      <c r="C83" s="1731"/>
      <c r="D83" s="1731"/>
      <c r="E83" s="1732"/>
      <c r="F83" s="1725" t="s">
        <v>1423</v>
      </c>
      <c r="G83" s="1790">
        <v>55636</v>
      </c>
      <c r="H83" s="2370"/>
      <c r="I83" s="2370"/>
      <c r="J83" s="2354"/>
      <c r="K83" s="1726">
        <f>V83/G83</f>
        <v>5.98353584010353E-2</v>
      </c>
      <c r="L83" s="2375">
        <f>SUM(L81:L82)</f>
        <v>0</v>
      </c>
      <c r="M83" s="2375">
        <f t="shared" ref="M83:W83" si="62">SUM(M81:M82)</f>
        <v>0</v>
      </c>
      <c r="N83" s="2375">
        <f t="shared" si="62"/>
        <v>3329</v>
      </c>
      <c r="O83" s="2373">
        <f t="shared" si="62"/>
        <v>0</v>
      </c>
      <c r="P83" s="2373">
        <f t="shared" si="62"/>
        <v>0</v>
      </c>
      <c r="Q83" s="2373">
        <f t="shared" si="62"/>
        <v>0</v>
      </c>
      <c r="R83" s="2373">
        <f t="shared" si="62"/>
        <v>3329</v>
      </c>
      <c r="S83" s="2373">
        <f t="shared" si="62"/>
        <v>0</v>
      </c>
      <c r="T83" s="2373">
        <f t="shared" si="62"/>
        <v>0</v>
      </c>
      <c r="U83" s="2375">
        <f t="shared" si="62"/>
        <v>0</v>
      </c>
      <c r="V83" s="2387">
        <f t="shared" si="62"/>
        <v>3329</v>
      </c>
      <c r="W83" s="2375">
        <f t="shared" si="62"/>
        <v>0</v>
      </c>
      <c r="X83" s="3162"/>
      <c r="Y83" s="3148"/>
      <c r="Z83" s="3156"/>
      <c r="AA83" s="3156"/>
      <c r="AB83" s="3156"/>
      <c r="AC83" s="3156"/>
      <c r="AD83" s="3156"/>
      <c r="AE83" s="3156"/>
      <c r="AF83" s="3156"/>
      <c r="AG83" s="3156"/>
      <c r="AH83" s="3156"/>
      <c r="AI83" s="3156"/>
      <c r="AJ83" s="3156"/>
      <c r="AK83" s="3156"/>
      <c r="AL83" s="3156"/>
      <c r="AM83" s="3156"/>
      <c r="AN83" s="3156"/>
      <c r="AO83" s="3156"/>
      <c r="AP83" s="3182"/>
      <c r="AQ83" s="3156"/>
      <c r="AR83" s="3156"/>
      <c r="AS83" s="3156"/>
      <c r="AT83" s="3161"/>
      <c r="AU83" s="1730"/>
      <c r="AV83" s="2370"/>
      <c r="AW83" s="2360"/>
      <c r="AX83" s="1726"/>
      <c r="AY83" s="1726"/>
      <c r="AZ83" s="1726"/>
      <c r="BA83" s="1791"/>
      <c r="BB83" s="1791"/>
      <c r="BC83" s="1792"/>
      <c r="BD83" s="1792"/>
      <c r="BE83" s="1792"/>
      <c r="BF83" s="1792"/>
      <c r="BG83" s="1792"/>
      <c r="BH83" s="1792"/>
      <c r="BI83" s="1791"/>
      <c r="BJ83" s="1792"/>
      <c r="BK83" s="1791"/>
      <c r="BL83" s="1792"/>
      <c r="BM83" s="1792"/>
      <c r="BN83" s="1792"/>
      <c r="BO83" s="1792"/>
      <c r="BP83" s="1791"/>
      <c r="BQ83" s="1791"/>
      <c r="BR83" s="2370"/>
      <c r="BS83" s="1791"/>
      <c r="BT83" s="1793"/>
      <c r="BU83" s="1793"/>
      <c r="BV83" s="1793"/>
      <c r="BW83" s="1794"/>
      <c r="BX83" s="1794"/>
      <c r="BY83" s="1794"/>
      <c r="BZ83" s="1794"/>
      <c r="CA83" s="1795"/>
      <c r="CB83" s="1794"/>
      <c r="CC83" s="1794"/>
      <c r="CD83" s="1796"/>
      <c r="CE83" s="3162"/>
      <c r="CF83" s="3156"/>
      <c r="CG83" s="3156"/>
      <c r="CH83" s="3156"/>
      <c r="CI83" s="3156"/>
      <c r="CJ83" s="3156"/>
      <c r="CK83" s="3156"/>
      <c r="CL83" s="3156"/>
      <c r="CM83" s="3156"/>
      <c r="CN83" s="3156"/>
      <c r="CO83" s="3156"/>
      <c r="CP83" s="3156"/>
      <c r="CQ83" s="3156"/>
      <c r="CR83" s="3156"/>
      <c r="CS83" s="3156"/>
      <c r="CT83" s="3156"/>
      <c r="CU83" s="3156"/>
      <c r="CV83" s="3156"/>
      <c r="CW83" s="3161"/>
      <c r="CX83" s="3172"/>
      <c r="CY83" s="3172"/>
      <c r="CZ83" s="3172"/>
      <c r="DA83" s="3172"/>
      <c r="DB83" s="3172"/>
      <c r="DC83" s="3172"/>
      <c r="DD83" s="3172"/>
      <c r="DE83" s="3174"/>
      <c r="DF83" s="1630"/>
      <c r="DG83" s="1630"/>
      <c r="DH83" s="1630"/>
      <c r="DI83" s="1630"/>
      <c r="DJ83" s="1630"/>
      <c r="DK83" s="1630"/>
    </row>
    <row r="84" spans="1:115" ht="15.75" thickBot="1">
      <c r="A84" s="2376"/>
      <c r="B84" s="2566"/>
      <c r="C84" s="1770"/>
      <c r="D84" s="1770"/>
      <c r="E84" s="1771"/>
      <c r="F84" s="1772"/>
      <c r="G84" s="1677"/>
      <c r="H84" s="2369"/>
      <c r="I84" s="2369"/>
      <c r="J84" s="2353"/>
      <c r="K84" s="1671"/>
      <c r="L84" s="2374"/>
      <c r="M84" s="2374"/>
      <c r="N84" s="2374"/>
      <c r="O84" s="2372"/>
      <c r="P84" s="2372"/>
      <c r="Q84" s="2372"/>
      <c r="R84" s="2372"/>
      <c r="S84" s="2372"/>
      <c r="T84" s="2372"/>
      <c r="U84" s="2374"/>
      <c r="V84" s="2386"/>
      <c r="W84" s="2374"/>
      <c r="X84" s="2368"/>
      <c r="Y84" s="2362"/>
      <c r="Z84" s="2374"/>
      <c r="AA84" s="2374"/>
      <c r="AB84" s="2372"/>
      <c r="AC84" s="2372"/>
      <c r="AD84" s="2372"/>
      <c r="AE84" s="2372"/>
      <c r="AF84" s="2372"/>
      <c r="AG84" s="2374"/>
      <c r="AH84" s="2372"/>
      <c r="AI84" s="2372"/>
      <c r="AJ84" s="2372"/>
      <c r="AK84" s="2372"/>
      <c r="AL84" s="2372"/>
      <c r="AM84" s="2372"/>
      <c r="AN84" s="2374"/>
      <c r="AO84" s="2374"/>
      <c r="AP84" s="2359"/>
      <c r="AQ84" s="2353"/>
      <c r="AR84" s="2353"/>
      <c r="AS84" s="2353"/>
      <c r="AT84" s="2357"/>
      <c r="AU84" s="1797"/>
      <c r="AV84" s="1798"/>
      <c r="AW84" s="1799"/>
      <c r="AX84" s="1799"/>
      <c r="AY84" s="1799"/>
      <c r="AZ84" s="1799"/>
      <c r="BA84" s="1800"/>
      <c r="BB84" s="1801"/>
      <c r="BC84" s="1801"/>
      <c r="BD84" s="1802"/>
      <c r="BE84" s="1802"/>
      <c r="BF84" s="1802"/>
      <c r="BG84" s="1802"/>
      <c r="BH84" s="1802"/>
      <c r="BI84" s="1802"/>
      <c r="BJ84" s="1802"/>
      <c r="BK84" s="1801"/>
      <c r="BL84" s="1802"/>
      <c r="BM84" s="1802"/>
      <c r="BN84" s="1802"/>
      <c r="BO84" s="1802"/>
      <c r="BP84" s="1802"/>
      <c r="BQ84" s="1802"/>
      <c r="BR84" s="1802"/>
      <c r="BS84" s="1801"/>
      <c r="BT84" s="1800"/>
      <c r="BU84" s="1800"/>
      <c r="BV84" s="1800"/>
      <c r="BW84" s="1800"/>
      <c r="BX84" s="1800"/>
      <c r="BY84" s="1800"/>
      <c r="BZ84" s="1800"/>
      <c r="CA84" s="1800"/>
      <c r="CB84" s="1800"/>
      <c r="CC84" s="1800"/>
      <c r="CD84" s="1803"/>
      <c r="CE84" s="2388"/>
      <c r="CF84" s="2374"/>
      <c r="CG84" s="2372"/>
      <c r="CH84" s="2372"/>
      <c r="CI84" s="2372"/>
      <c r="CJ84" s="2372"/>
      <c r="CK84" s="2372"/>
      <c r="CL84" s="2372"/>
      <c r="CM84" s="2372"/>
      <c r="CN84" s="2374"/>
      <c r="CO84" s="2372"/>
      <c r="CP84" s="2372"/>
      <c r="CQ84" s="2372"/>
      <c r="CR84" s="2372"/>
      <c r="CS84" s="2372"/>
      <c r="CT84" s="2372"/>
      <c r="CU84" s="2374"/>
      <c r="CV84" s="2374"/>
      <c r="CW84" s="3708"/>
      <c r="CX84" s="2350"/>
      <c r="CY84" s="2350"/>
      <c r="CZ84" s="2350"/>
      <c r="DA84" s="2350"/>
      <c r="DB84" s="2350"/>
      <c r="DC84" s="2350"/>
      <c r="DD84" s="2363"/>
      <c r="DE84" s="2365"/>
      <c r="DF84" s="1630"/>
      <c r="DG84" s="1630"/>
      <c r="DH84" s="1630"/>
      <c r="DI84" s="1630"/>
      <c r="DJ84" s="1630"/>
      <c r="DK84" s="1630"/>
    </row>
    <row r="85" spans="1:115" ht="15.75" thickBot="1">
      <c r="A85" s="1804"/>
      <c r="B85" s="2567"/>
      <c r="C85" s="1805"/>
      <c r="D85" s="1805"/>
      <c r="E85" s="1806"/>
      <c r="F85" s="1807"/>
      <c r="G85" s="1808" t="s">
        <v>1424</v>
      </c>
      <c r="H85" s="1809"/>
      <c r="I85" s="1809"/>
      <c r="J85" s="1810"/>
      <c r="K85" s="1811"/>
      <c r="L85" s="1812">
        <f t="shared" ref="L85:V85" si="63">L79+L75+L71+L69+L67+L63+L58+L54+L50+L45+L43+L38+L34+L29+L27+L23+L19+L4+L83</f>
        <v>0</v>
      </c>
      <c r="M85" s="1812">
        <f t="shared" si="63"/>
        <v>37317</v>
      </c>
      <c r="N85" s="1812">
        <f t="shared" si="63"/>
        <v>205002</v>
      </c>
      <c r="O85" s="1812">
        <f t="shared" si="63"/>
        <v>111261</v>
      </c>
      <c r="P85" s="1812">
        <f t="shared" si="63"/>
        <v>6100</v>
      </c>
      <c r="Q85" s="1812">
        <f t="shared" si="63"/>
        <v>23806</v>
      </c>
      <c r="R85" s="1812">
        <f t="shared" si="63"/>
        <v>43852</v>
      </c>
      <c r="S85" s="1812">
        <f t="shared" si="63"/>
        <v>14988</v>
      </c>
      <c r="T85" s="1812">
        <f t="shared" si="63"/>
        <v>4995</v>
      </c>
      <c r="U85" s="1812">
        <f t="shared" si="63"/>
        <v>0</v>
      </c>
      <c r="V85" s="1813">
        <f t="shared" si="63"/>
        <v>242319</v>
      </c>
      <c r="W85" s="1812" t="e">
        <f>#REF!+#REF!+#REF!+#REF!+#REF!+#REF!+#REF!+W79+W75+W71+#REF!+#REF!+#REF!+#REF!+#REF!+#REF!+#REF!+W69+W67+W63+W58+W54+W50+W45+W43+W38+W34+W29+W27+W23+W19+W4</f>
        <v>#REF!</v>
      </c>
      <c r="X85" s="1814"/>
      <c r="Y85" s="1809"/>
      <c r="Z85" s="1812">
        <f t="shared" ref="Z85:AO85" si="64">Z77+Z73+Z71+Z69+Z65+Z60+Z56+Z52+Z47+Z45+Z43+Z36+Z31+Z29+Z25+Z21+Z19+Z4+Z81</f>
        <v>225050</v>
      </c>
      <c r="AA85" s="1812">
        <f t="shared" si="64"/>
        <v>37317</v>
      </c>
      <c r="AB85" s="1812">
        <f t="shared" si="64"/>
        <v>0</v>
      </c>
      <c r="AC85" s="1812">
        <f t="shared" si="64"/>
        <v>19983</v>
      </c>
      <c r="AD85" s="1812">
        <f t="shared" si="64"/>
        <v>0</v>
      </c>
      <c r="AE85" s="1812">
        <f t="shared" si="64"/>
        <v>0</v>
      </c>
      <c r="AF85" s="1812">
        <f t="shared" si="64"/>
        <v>17334</v>
      </c>
      <c r="AG85" s="1812">
        <f t="shared" si="64"/>
        <v>213546</v>
      </c>
      <c r="AH85" s="1812">
        <f t="shared" si="64"/>
        <v>97520</v>
      </c>
      <c r="AI85" s="1812">
        <f t="shared" si="64"/>
        <v>40823</v>
      </c>
      <c r="AJ85" s="1812">
        <f t="shared" si="64"/>
        <v>6100</v>
      </c>
      <c r="AK85" s="1812">
        <f t="shared" si="64"/>
        <v>20256</v>
      </c>
      <c r="AL85" s="1812">
        <f t="shared" si="64"/>
        <v>43852</v>
      </c>
      <c r="AM85" s="1812">
        <f t="shared" si="64"/>
        <v>4995</v>
      </c>
      <c r="AN85" s="1812">
        <f t="shared" si="64"/>
        <v>0</v>
      </c>
      <c r="AO85" s="1812">
        <f t="shared" si="64"/>
        <v>475913</v>
      </c>
      <c r="AP85" s="1812"/>
      <c r="AQ85" s="1812">
        <f>AQ77+AQ73+AQ71+AQ69+AQ65+AQ60+AQ56+AQ52+AQ47+AQ45+AQ43+AQ36+AQ31+AQ29+AQ25+AQ21+AQ19+AQ4+AQ81</f>
        <v>197</v>
      </c>
      <c r="AR85" s="1812">
        <f>AR77+AR73+AR71+AR69+AR65+AR60+AR56+AR52+AR47+AR45+AR43+AR36+AR31+AR29+AR25+AR21+AR19+AR4+AR81</f>
        <v>677</v>
      </c>
      <c r="AS85" s="1812">
        <f>AS77+AS73+AS71+AS69+AS65+AS60+AS56+AS52+AS47+AS45+AS43+AS36+AS31+AS29+AS25+AS21+AS19+AS4+AS81</f>
        <v>1592</v>
      </c>
      <c r="AT85" s="1815"/>
      <c r="AU85" s="1816"/>
      <c r="AV85" s="1809"/>
      <c r="AW85" s="1811"/>
      <c r="AX85" s="1811"/>
      <c r="AY85" s="1811"/>
      <c r="AZ85" s="1811"/>
      <c r="BA85" s="1810"/>
      <c r="BB85" s="1812">
        <f t="shared" ref="BB85:BT85" si="65">BB77+BB73+BB71+BB69+BB65+BB60+BB56+BB52+BB47+BB45+BB40+BB36+BB31+BB29+BB25+BB21+BB19+BB4+BB81</f>
        <v>3635003</v>
      </c>
      <c r="BC85" s="1812">
        <f t="shared" si="65"/>
        <v>487468</v>
      </c>
      <c r="BD85" s="1812">
        <f t="shared" si="65"/>
        <v>74663</v>
      </c>
      <c r="BE85" s="1812">
        <f t="shared" si="65"/>
        <v>29975</v>
      </c>
      <c r="BF85" s="1812">
        <f t="shared" si="65"/>
        <v>14000</v>
      </c>
      <c r="BG85" s="1812">
        <f t="shared" si="65"/>
        <v>29974</v>
      </c>
      <c r="BH85" s="1812">
        <f t="shared" si="65"/>
        <v>66186</v>
      </c>
      <c r="BI85" s="1812">
        <f t="shared" si="65"/>
        <v>252310</v>
      </c>
      <c r="BJ85" s="1812">
        <f t="shared" si="65"/>
        <v>20360</v>
      </c>
      <c r="BK85" s="1812">
        <f t="shared" si="65"/>
        <v>1368717</v>
      </c>
      <c r="BL85" s="1812">
        <f t="shared" si="65"/>
        <v>326315</v>
      </c>
      <c r="BM85" s="1812">
        <f t="shared" si="65"/>
        <v>67781</v>
      </c>
      <c r="BN85" s="1812">
        <f t="shared" si="65"/>
        <v>421372</v>
      </c>
      <c r="BO85" s="1812">
        <f t="shared" si="65"/>
        <v>0</v>
      </c>
      <c r="BP85" s="1812">
        <f t="shared" si="65"/>
        <v>410900</v>
      </c>
      <c r="BQ85" s="1812">
        <f t="shared" si="65"/>
        <v>142349</v>
      </c>
      <c r="BR85" s="1812">
        <f t="shared" si="65"/>
        <v>0</v>
      </c>
      <c r="BS85" s="1812">
        <f t="shared" si="65"/>
        <v>5491188</v>
      </c>
      <c r="BT85" s="1812">
        <f t="shared" si="65"/>
        <v>4164</v>
      </c>
      <c r="BU85" s="1812" t="e">
        <f>#REF!+BU77+BU73+BU71+#REF!+BU69+BU65+BU60+BU56+BU52+BU47+BU45+BU40+BU36+BU31+BU29+BU25+BU21+BU19+BU4+BU81</f>
        <v>#REF!</v>
      </c>
      <c r="BV85" s="1812" t="e">
        <f>#REF!+BV77+BV73+BV71+#REF!+BV69+BV65+BV60+BV56+BV52+BV47+BV45+BV40+BV36+BV31+BV29+BV25+BV21+BV19+BV4+BV81</f>
        <v>#REF!</v>
      </c>
      <c r="BW85" s="1812" t="e">
        <f>#REF!+BW77+BW73+BW71+#REF!+BW69+BW65+BW60+BW56+BW52+BW47+BW45+BW40+BW36+BW31+BW29+BW25+BW21+BW19+BW4+BW81</f>
        <v>#REF!</v>
      </c>
      <c r="BX85" s="1812" t="e">
        <f>#REF!+BX77+BX73+BX71+#REF!+BX69+BX65+BX60+BX56+BX52+BX47+BX45+BX40+BX36+BX31+BX29+BX25+BX21+BX19+BX4+BX81</f>
        <v>#REF!</v>
      </c>
      <c r="BY85" s="1812" t="e">
        <f>#REF!+BY77+BY73+BY71+#REF!+BY69+BY65+BY60+BY56+BY52+BY47+BY45+BY40+BY36+BY31+BY29+BY25+BY21+BY19+BY4+BY81</f>
        <v>#REF!</v>
      </c>
      <c r="BZ85" s="1812" t="e">
        <f>#REF!+BZ77+BZ73+BZ71+#REF!+BZ69+BZ65+BZ60+BZ56+BZ52+BZ47+BZ45+BZ40+BZ36+BZ31+BZ29+BZ25+BZ21+BZ19+BZ4+BZ81</f>
        <v>#REF!</v>
      </c>
      <c r="CA85" s="1812" t="e">
        <f>#REF!+CA77+CA73+CA71+#REF!+CA69+CA65+CA60+CA56+CA52+CA47+CA45+CA40+CA36+CA31+CA29+CA25+CA21+CA19+CA4+CA81</f>
        <v>#REF!</v>
      </c>
      <c r="CB85" s="1812" t="e">
        <f>#REF!+CB77+CB73+CB71+#REF!+CB69+CB65+CB60+CB56+CB52+CB47+CB45+CB40+CB36+CB31+CB29+CB25+CB21+CB19+CB4+CB81</f>
        <v>#REF!</v>
      </c>
      <c r="CC85" s="1812" t="e">
        <f>#REF!+CC77+CC73+CC71+#REF!+CC69+CC65+CC60+CC56+CC52+CC47+CC45+CC40+CC36+CC31+CC29+CC25+CC21+CC19+CC4+CC81</f>
        <v>#REF!</v>
      </c>
      <c r="CD85" s="1815"/>
      <c r="CE85" s="1812">
        <f t="shared" ref="CE85:CW85" si="66">CE77+CE73+CE71+CE69+CE65+CE60+CE56+CE52+CE47+CE45+CE40+CE36+CE31+CE29+CE25+CE21+CE19+CE4+CE81</f>
        <v>3409953</v>
      </c>
      <c r="CF85" s="1812">
        <f t="shared" si="66"/>
        <v>450151</v>
      </c>
      <c r="CG85" s="1812">
        <f t="shared" si="66"/>
        <v>74663</v>
      </c>
      <c r="CH85" s="1812">
        <f t="shared" si="66"/>
        <v>29975</v>
      </c>
      <c r="CI85" s="1812">
        <f t="shared" si="66"/>
        <v>14000</v>
      </c>
      <c r="CJ85" s="1812">
        <f t="shared" si="66"/>
        <v>9991</v>
      </c>
      <c r="CK85" s="1812">
        <f t="shared" si="66"/>
        <v>66186</v>
      </c>
      <c r="CL85" s="1812">
        <f t="shared" si="66"/>
        <v>252310</v>
      </c>
      <c r="CM85" s="1812">
        <f t="shared" si="66"/>
        <v>3026</v>
      </c>
      <c r="CN85" s="1812">
        <f t="shared" si="66"/>
        <v>1155171</v>
      </c>
      <c r="CO85" s="1812">
        <f t="shared" si="66"/>
        <v>228795</v>
      </c>
      <c r="CP85" s="1812">
        <f t="shared" si="66"/>
        <v>26958</v>
      </c>
      <c r="CQ85" s="1812">
        <f t="shared" si="66"/>
        <v>415272</v>
      </c>
      <c r="CR85" s="1812">
        <f t="shared" si="66"/>
        <v>-20256</v>
      </c>
      <c r="CS85" s="1812">
        <f t="shared" si="66"/>
        <v>367048</v>
      </c>
      <c r="CT85" s="1812">
        <f t="shared" si="66"/>
        <v>137354</v>
      </c>
      <c r="CU85" s="1812">
        <f t="shared" si="66"/>
        <v>0</v>
      </c>
      <c r="CV85" s="1812">
        <f t="shared" si="66"/>
        <v>5015275</v>
      </c>
      <c r="CW85" s="1817">
        <f t="shared" si="66"/>
        <v>3908</v>
      </c>
      <c r="CX85" s="1818" t="e">
        <f>#REF!+CX77+CX73+CX71+#REF!+CX69+CX65+CX60+CX56+CX52+CX47+CX40+CX45+CX36+CX31+CX29+CX25+CX21+CX19+CX4+CX81</f>
        <v>#REF!</v>
      </c>
      <c r="CY85" s="1818" t="e">
        <f>#REF!+CY77+CY73+CY71+#REF!+CY69+CY65+CY60+CY56+CY52+CY47+CY40+CY45+CY36+CY31+CY29+CY25+CY21+CY19+CY4+CY81</f>
        <v>#REF!</v>
      </c>
      <c r="CZ85" s="1818" t="e">
        <f>#REF!+CZ77+CZ73+CZ71+#REF!+CZ69+CZ65+CZ60+CZ56+CZ52+CZ47+CZ40+CZ45+CZ36+CZ31+CZ29+CZ25+CZ21+CZ19+CZ4+CZ81</f>
        <v>#REF!</v>
      </c>
      <c r="DA85" s="1818" t="e">
        <f>#REF!+DA77+DA73+DA71+#REF!+DA69+DA65+DA60+DA56+DA52+DA47+DA40+DA45+DA36+DA31+DA29+DA25+DA21+DA19+DA4+DA81</f>
        <v>#REF!</v>
      </c>
      <c r="DB85" s="1818" t="e">
        <f>#REF!+DB77+DB73+DB71+#REF!+DB69+DB65+DB60+DB56+DB52+DB47+DB40+DB45+DB36+DB31+DB29+DB25+DB21+DB19+DB4+DB81</f>
        <v>#REF!</v>
      </c>
      <c r="DC85" s="1818" t="e">
        <f>#REF!+DC77+DC73+DC71+#REF!+DC69+DC65+DC60+DC56+DC52+DC47+DC40+DC45+DC36+DC31+DC29+DC25+DC21+DC19+DC4+DC81</f>
        <v>#REF!</v>
      </c>
      <c r="DD85" s="1818" t="e">
        <f>#REF!+DD77+DD73+DD71+#REF!+DD69+DD65+DD60+DD56+DD52+DD47+DD40+DD45+DD36+DD31+DD29+DD25+DD21+DD19+DD4+DD81</f>
        <v>#REF!</v>
      </c>
      <c r="DE85" s="1818" t="e">
        <f>#REF!+DE77+DE73+DE71+#REF!+DE69+DE65+DE60+DE56+DE52+DE47+DE40+DE45+DE36+DE31+DE29+DE25+DE21+DE19+DE4+DE81</f>
        <v>#REF!</v>
      </c>
      <c r="DF85" s="1819"/>
      <c r="DG85" s="1820"/>
      <c r="DH85" s="1820"/>
      <c r="DI85" s="1820"/>
      <c r="DJ85" s="1820"/>
      <c r="DK85" s="1820"/>
    </row>
    <row r="86" spans="1:115" ht="28.5" customHeight="1">
      <c r="A86" s="3184" t="s">
        <v>1425</v>
      </c>
      <c r="B86" s="3184"/>
      <c r="C86" s="3184"/>
      <c r="D86" s="3184"/>
      <c r="E86" s="3184"/>
      <c r="F86" s="3184"/>
      <c r="G86" s="3184"/>
      <c r="H86" s="1613"/>
      <c r="I86" s="1613"/>
      <c r="J86" s="1615"/>
      <c r="K86" s="1627"/>
      <c r="L86" s="1624"/>
      <c r="M86" s="1624"/>
      <c r="N86" s="1624"/>
      <c r="O86" s="1625"/>
      <c r="P86" s="1625"/>
      <c r="Q86" s="1625"/>
      <c r="R86" s="1625"/>
      <c r="S86" s="1625"/>
      <c r="T86" s="1625"/>
      <c r="U86" s="1624"/>
      <c r="V86" s="1624"/>
      <c r="W86" s="1624"/>
      <c r="X86" s="1821"/>
      <c r="Y86" s="1623"/>
      <c r="Z86" s="1624"/>
      <c r="AA86" s="1624"/>
      <c r="AB86" s="1625"/>
      <c r="AC86" s="1625"/>
      <c r="AD86" s="1625"/>
      <c r="AE86" s="1625"/>
      <c r="AF86" s="1625"/>
      <c r="AG86" s="1624"/>
      <c r="AH86" s="1625"/>
      <c r="AI86" s="1625"/>
      <c r="AJ86" s="1625"/>
      <c r="AK86" s="1625"/>
      <c r="AL86" s="1625"/>
      <c r="AM86" s="1625"/>
      <c r="AN86" s="1624"/>
      <c r="AO86" s="1624"/>
      <c r="AP86" s="1626"/>
      <c r="AQ86" s="1615"/>
      <c r="AR86" s="1615"/>
      <c r="AS86" s="1615"/>
      <c r="AT86" s="1615"/>
      <c r="AU86" s="1613"/>
      <c r="AV86" s="1613"/>
      <c r="AW86" s="1627"/>
      <c r="AX86" s="1627"/>
      <c r="AY86" s="1627"/>
      <c r="AZ86" s="1627"/>
      <c r="BA86" s="1615"/>
      <c r="BB86" s="1624"/>
      <c r="BC86" s="1624"/>
      <c r="BD86" s="1625"/>
      <c r="BE86" s="1625"/>
      <c r="BF86" s="1625"/>
      <c r="BG86" s="1625"/>
      <c r="BH86" s="1625"/>
      <c r="BI86" s="1625"/>
      <c r="BJ86" s="1625"/>
      <c r="BK86" s="1624"/>
      <c r="BL86" s="1625"/>
      <c r="BM86" s="1625"/>
      <c r="BN86" s="1625"/>
      <c r="BO86" s="1625"/>
      <c r="BP86" s="1625"/>
      <c r="BQ86" s="1625"/>
      <c r="BR86" s="1625"/>
      <c r="BS86" s="1624"/>
      <c r="BT86" s="1615"/>
      <c r="BU86" s="1615"/>
      <c r="BV86" s="1615"/>
      <c r="BW86" s="1615"/>
      <c r="BX86" s="1615"/>
      <c r="BY86" s="1615"/>
      <c r="BZ86" s="1615"/>
      <c r="CA86" s="1615"/>
      <c r="CB86" s="1615"/>
      <c r="CC86" s="1615"/>
      <c r="CD86" s="1615"/>
      <c r="CE86" s="1624"/>
      <c r="CF86" s="1624"/>
      <c r="CG86" s="1625"/>
      <c r="CH86" s="1625"/>
      <c r="CI86" s="1625"/>
      <c r="CJ86" s="1625"/>
      <c r="CK86" s="1625"/>
      <c r="CL86" s="1625"/>
      <c r="CM86" s="1625"/>
      <c r="CN86" s="1624"/>
      <c r="CO86" s="1625"/>
      <c r="CP86" s="1625"/>
      <c r="CQ86" s="1625"/>
      <c r="CR86" s="1625"/>
      <c r="CS86" s="1625"/>
      <c r="CT86" s="1625"/>
      <c r="CU86" s="1624"/>
      <c r="CV86" s="1624"/>
      <c r="CW86" s="1624"/>
      <c r="CX86" s="1625"/>
      <c r="CY86" s="1625"/>
      <c r="CZ86" s="1625"/>
      <c r="DA86" s="1625"/>
      <c r="DB86" s="1625"/>
      <c r="DC86" s="1625"/>
      <c r="DD86" s="1615"/>
      <c r="DE86" s="1615"/>
      <c r="DF86" s="1630"/>
      <c r="DG86" s="1631"/>
      <c r="DH86" s="1631"/>
      <c r="DI86" s="1631"/>
      <c r="DJ86" s="1631"/>
      <c r="DK86" s="1631"/>
    </row>
    <row r="87" spans="1:115" ht="50.25" customHeight="1">
      <c r="A87" s="3185"/>
      <c r="B87" s="3185"/>
      <c r="C87" s="3186"/>
      <c r="D87" s="3186"/>
      <c r="E87" s="3186"/>
      <c r="F87" s="3186"/>
      <c r="G87" s="3186"/>
      <c r="H87" s="1613"/>
      <c r="I87" s="1613"/>
      <c r="J87" s="1615"/>
      <c r="K87" s="1627"/>
      <c r="L87" s="1624"/>
      <c r="M87" s="1624"/>
      <c r="N87" s="1624"/>
      <c r="O87" s="1625"/>
      <c r="P87" s="1625"/>
      <c r="Q87" s="1625"/>
      <c r="R87" s="1625"/>
      <c r="S87" s="1625"/>
      <c r="T87" s="1625"/>
      <c r="U87" s="1624"/>
      <c r="V87" s="1624"/>
      <c r="W87" s="1624"/>
      <c r="X87" s="1821"/>
      <c r="Y87" s="1623"/>
      <c r="Z87" s="1624"/>
      <c r="AA87" s="1624"/>
      <c r="AB87" s="1625"/>
      <c r="AC87" s="1625"/>
      <c r="AD87" s="1625"/>
      <c r="AE87" s="1625"/>
      <c r="AF87" s="1625"/>
      <c r="AG87" s="1624"/>
      <c r="AH87" s="1625"/>
      <c r="AI87" s="1625"/>
      <c r="AJ87" s="1625"/>
      <c r="AK87" s="1625"/>
      <c r="AL87" s="1625"/>
      <c r="AM87" s="1625"/>
      <c r="AN87" s="1624"/>
      <c r="AO87" s="1624"/>
      <c r="AP87" s="1626"/>
      <c r="AQ87" s="1615"/>
      <c r="AR87" s="1615"/>
      <c r="AS87" s="1615"/>
      <c r="AT87" s="1615"/>
      <c r="AU87" s="1613"/>
      <c r="AV87" s="1613"/>
      <c r="AW87" s="1627"/>
      <c r="AX87" s="1627"/>
      <c r="AY87" s="1627"/>
      <c r="AZ87" s="1627"/>
      <c r="BA87" s="1615"/>
      <c r="BB87" s="1624"/>
      <c r="BC87" s="1624"/>
      <c r="BD87" s="1625"/>
      <c r="BE87" s="1625"/>
      <c r="BF87" s="1625"/>
      <c r="BG87" s="1625"/>
      <c r="BH87" s="1625"/>
      <c r="BI87" s="1625"/>
      <c r="BJ87" s="1625"/>
      <c r="BK87" s="1624"/>
      <c r="BL87" s="1625"/>
      <c r="BM87" s="1625"/>
      <c r="BN87" s="1625"/>
      <c r="BO87" s="1625"/>
      <c r="BP87" s="1625"/>
      <c r="BQ87" s="1625"/>
      <c r="BR87" s="1625"/>
      <c r="BS87" s="1624"/>
      <c r="BT87" s="1615"/>
      <c r="BU87" s="1615"/>
      <c r="BV87" s="1615"/>
      <c r="BW87" s="1615"/>
      <c r="BX87" s="1615"/>
      <c r="BY87" s="1615"/>
      <c r="BZ87" s="1615"/>
      <c r="CA87" s="1615"/>
      <c r="CB87" s="1615"/>
      <c r="CC87" s="1615"/>
      <c r="CD87" s="1615"/>
      <c r="CE87" s="1624"/>
      <c r="CF87" s="1624"/>
      <c r="CG87" s="1625"/>
      <c r="CH87" s="1625"/>
      <c r="CI87" s="1625"/>
      <c r="CJ87" s="1625"/>
      <c r="CK87" s="1625"/>
      <c r="CL87" s="1625"/>
      <c r="CM87" s="1625"/>
      <c r="CN87" s="1624"/>
      <c r="CO87" s="1625"/>
      <c r="CP87" s="1625"/>
      <c r="CQ87" s="1625"/>
      <c r="CR87" s="1625"/>
      <c r="CS87" s="1625"/>
      <c r="CT87" s="1625"/>
      <c r="CU87" s="1624"/>
      <c r="CV87" s="1624"/>
      <c r="CW87" s="1624"/>
      <c r="CX87" s="1625"/>
      <c r="CY87" s="1625"/>
      <c r="CZ87" s="1625"/>
      <c r="DA87" s="1625"/>
      <c r="DB87" s="1625"/>
      <c r="DC87" s="1625"/>
      <c r="DD87" s="1615"/>
      <c r="DE87" s="1615"/>
      <c r="DF87" s="1630"/>
      <c r="DG87" s="1631"/>
      <c r="DH87" s="1631"/>
      <c r="DI87" s="1631"/>
      <c r="DJ87" s="1631"/>
      <c r="DK87" s="1631"/>
    </row>
    <row r="88" spans="1:115" ht="103.5" customHeight="1">
      <c r="A88" s="3185"/>
      <c r="B88" s="3185"/>
      <c r="C88" s="3187"/>
      <c r="D88" s="3187"/>
      <c r="E88" s="3187"/>
      <c r="F88" s="3187"/>
      <c r="G88" s="3187"/>
      <c r="H88" s="1613"/>
      <c r="I88" s="1613"/>
      <c r="J88" s="1615"/>
      <c r="K88" s="1627"/>
      <c r="L88" s="1624"/>
      <c r="M88" s="1624"/>
      <c r="N88" s="1624"/>
      <c r="O88" s="1625"/>
      <c r="P88" s="1625"/>
      <c r="Q88" s="1625"/>
      <c r="R88" s="1625"/>
      <c r="S88" s="1625"/>
      <c r="T88" s="1625"/>
      <c r="U88" s="1624"/>
      <c r="V88" s="1624"/>
      <c r="W88" s="1624"/>
      <c r="X88" s="1821"/>
      <c r="Y88" s="1623"/>
      <c r="Z88" s="1624"/>
      <c r="AA88" s="1624"/>
      <c r="AB88" s="1625"/>
      <c r="AC88" s="1625"/>
      <c r="AD88" s="1625"/>
      <c r="AE88" s="1625"/>
      <c r="AF88" s="1625"/>
      <c r="AG88" s="1624"/>
      <c r="AH88" s="1625"/>
      <c r="AI88" s="1625"/>
      <c r="AJ88" s="1625"/>
      <c r="AK88" s="1625"/>
      <c r="AL88" s="1625"/>
      <c r="AM88" s="1625"/>
      <c r="AN88" s="1624"/>
      <c r="AO88" s="1624"/>
      <c r="AP88" s="1626"/>
      <c r="AQ88" s="1615"/>
      <c r="AR88" s="1615"/>
      <c r="AS88" s="1615"/>
      <c r="AT88" s="1615"/>
      <c r="AU88" s="1613"/>
      <c r="AV88" s="1613"/>
      <c r="AW88" s="1627"/>
      <c r="AX88" s="1627"/>
      <c r="AY88" s="1627"/>
      <c r="AZ88" s="1627"/>
      <c r="BA88" s="1615"/>
      <c r="BB88" s="1624"/>
      <c r="BC88" s="1624"/>
      <c r="BD88" s="1625"/>
      <c r="BE88" s="1625"/>
      <c r="BF88" s="1625"/>
      <c r="BG88" s="1625"/>
      <c r="BH88" s="1625"/>
      <c r="BI88" s="1625"/>
      <c r="BJ88" s="1625"/>
      <c r="BK88" s="1624"/>
      <c r="BL88" s="1625"/>
      <c r="BM88" s="1625"/>
      <c r="BN88" s="1625"/>
      <c r="BO88" s="1625"/>
      <c r="BP88" s="1625"/>
      <c r="BQ88" s="1625"/>
      <c r="BR88" s="1625"/>
      <c r="BS88" s="1624"/>
      <c r="BT88" s="1615"/>
      <c r="BU88" s="1615"/>
      <c r="BV88" s="1615"/>
      <c r="BW88" s="1615"/>
      <c r="BX88" s="1615"/>
      <c r="BY88" s="1615"/>
      <c r="BZ88" s="1615"/>
      <c r="CA88" s="1615"/>
      <c r="CB88" s="1615"/>
      <c r="CC88" s="1615"/>
      <c r="CD88" s="1615"/>
      <c r="CE88" s="1624"/>
      <c r="CF88" s="1624"/>
      <c r="CG88" s="1625"/>
      <c r="CH88" s="1625"/>
      <c r="CI88" s="1625"/>
      <c r="CJ88" s="1625"/>
      <c r="CK88" s="1625"/>
      <c r="CL88" s="1625"/>
      <c r="CM88" s="1625"/>
      <c r="CN88" s="1624"/>
      <c r="CO88" s="1625"/>
      <c r="CP88" s="1625"/>
      <c r="CQ88" s="1625"/>
      <c r="CR88" s="1625"/>
      <c r="CS88" s="1625"/>
      <c r="CT88" s="1625"/>
      <c r="CU88" s="1624"/>
      <c r="CV88" s="1624"/>
      <c r="CW88" s="1624"/>
      <c r="CX88" s="1625"/>
      <c r="CY88" s="1625"/>
      <c r="CZ88" s="1625"/>
      <c r="DA88" s="1625"/>
      <c r="DB88" s="1625"/>
      <c r="DC88" s="1625"/>
      <c r="DD88" s="1615"/>
      <c r="DE88" s="1615"/>
      <c r="DF88" s="1630"/>
      <c r="DG88" s="1631"/>
      <c r="DH88" s="1631"/>
      <c r="DI88" s="1631"/>
      <c r="DJ88" s="1631"/>
      <c r="DK88" s="1631"/>
    </row>
    <row r="89" spans="1:115" ht="18" customHeight="1">
      <c r="A89" s="3188"/>
      <c r="B89" s="3188"/>
      <c r="C89" s="3189"/>
      <c r="D89" s="3189"/>
      <c r="E89" s="3189"/>
      <c r="F89" s="3189"/>
      <c r="G89" s="3189"/>
      <c r="H89" s="1613"/>
      <c r="I89" s="1613"/>
      <c r="J89" s="1615"/>
      <c r="K89" s="1627"/>
      <c r="L89" s="1624"/>
      <c r="M89" s="1624"/>
      <c r="N89" s="1624"/>
      <c r="O89" s="1625"/>
      <c r="P89" s="1625"/>
      <c r="Q89" s="1625"/>
      <c r="R89" s="1625"/>
      <c r="S89" s="1625"/>
      <c r="T89" s="1625"/>
      <c r="U89" s="1624"/>
      <c r="V89" s="1624"/>
      <c r="W89" s="1624"/>
      <c r="X89" s="1821"/>
      <c r="Y89" s="1623"/>
      <c r="Z89" s="1624"/>
      <c r="AA89" s="1624"/>
      <c r="AB89" s="1625"/>
      <c r="AC89" s="1625"/>
      <c r="AD89" s="1625"/>
      <c r="AE89" s="1625"/>
      <c r="AF89" s="1625"/>
      <c r="AG89" s="1624"/>
      <c r="AH89" s="1625"/>
      <c r="AI89" s="1625"/>
      <c r="AJ89" s="1625"/>
      <c r="AK89" s="1625"/>
      <c r="AL89" s="1625"/>
      <c r="AM89" s="1625"/>
      <c r="AN89" s="1624"/>
      <c r="AO89" s="1624"/>
      <c r="AP89" s="1626"/>
      <c r="AQ89" s="1615"/>
      <c r="AR89" s="1615"/>
      <c r="AS89" s="1615"/>
      <c r="AT89" s="1615"/>
      <c r="AU89" s="1613"/>
      <c r="AV89" s="1613"/>
      <c r="AW89" s="1627"/>
      <c r="AX89" s="1627"/>
      <c r="AY89" s="1627"/>
      <c r="AZ89" s="1627"/>
      <c r="BA89" s="1615"/>
      <c r="BB89" s="1624"/>
      <c r="BC89" s="1624"/>
      <c r="BD89" s="1625"/>
      <c r="BE89" s="1625"/>
      <c r="BF89" s="1625"/>
      <c r="BG89" s="1625"/>
      <c r="BH89" s="1625"/>
      <c r="BI89" s="1625"/>
      <c r="BJ89" s="1625"/>
      <c r="BK89" s="1624"/>
      <c r="BL89" s="1625"/>
      <c r="BM89" s="1625"/>
      <c r="BN89" s="1625"/>
      <c r="BO89" s="1625"/>
      <c r="BP89" s="1625"/>
      <c r="BQ89" s="1625"/>
      <c r="BR89" s="1625"/>
      <c r="BS89" s="1624"/>
      <c r="BT89" s="1615"/>
      <c r="BU89" s="1615"/>
      <c r="BV89" s="1615"/>
      <c r="BW89" s="1615"/>
      <c r="BX89" s="1615"/>
      <c r="BY89" s="1615"/>
      <c r="BZ89" s="1615"/>
      <c r="CA89" s="1615"/>
      <c r="CB89" s="1615"/>
      <c r="CC89" s="1615"/>
      <c r="CD89" s="1615"/>
      <c r="CE89" s="1624"/>
      <c r="CF89" s="1624"/>
      <c r="CG89" s="1625"/>
      <c r="CH89" s="1625"/>
      <c r="CI89" s="1625"/>
      <c r="CJ89" s="1625"/>
      <c r="CK89" s="1625"/>
      <c r="CL89" s="1625"/>
      <c r="CM89" s="1625"/>
      <c r="CN89" s="1624"/>
      <c r="CO89" s="1625"/>
      <c r="CP89" s="1625"/>
      <c r="CQ89" s="1625"/>
      <c r="CR89" s="1625"/>
      <c r="CS89" s="1625"/>
      <c r="CT89" s="1625"/>
      <c r="CU89" s="1624"/>
      <c r="CV89" s="1624"/>
      <c r="CW89" s="1624"/>
      <c r="CX89" s="1625"/>
      <c r="CY89" s="1625"/>
      <c r="CZ89" s="1625"/>
      <c r="DA89" s="1625"/>
      <c r="DB89" s="1625"/>
      <c r="DC89" s="1625"/>
      <c r="DD89" s="1615"/>
      <c r="DE89" s="1615"/>
      <c r="DF89" s="1630"/>
      <c r="DG89" s="1631"/>
      <c r="DH89" s="1631"/>
      <c r="DI89" s="1631"/>
      <c r="DJ89" s="1631"/>
      <c r="DK89" s="1631"/>
    </row>
    <row r="90" spans="1:115">
      <c r="C90" s="1822"/>
      <c r="D90" s="1822"/>
      <c r="E90" s="1822"/>
      <c r="F90" s="1822"/>
      <c r="G90" s="1823"/>
      <c r="H90" s="1613"/>
      <c r="I90" s="1613"/>
      <c r="J90" s="1615"/>
      <c r="K90" s="1627"/>
      <c r="L90" s="1624"/>
      <c r="M90" s="1624"/>
      <c r="N90" s="1624"/>
      <c r="O90" s="1625"/>
      <c r="P90" s="1625"/>
      <c r="Q90" s="1625"/>
      <c r="R90" s="1625"/>
      <c r="S90" s="1625"/>
      <c r="T90" s="1625"/>
      <c r="U90" s="1624"/>
      <c r="V90" s="1624"/>
      <c r="W90" s="1624"/>
      <c r="X90" s="1821"/>
      <c r="Y90" s="1623"/>
      <c r="Z90" s="1624"/>
      <c r="AA90" s="1624"/>
      <c r="AB90" s="1625"/>
      <c r="AC90" s="1625"/>
      <c r="AD90" s="1625"/>
      <c r="AE90" s="1625"/>
      <c r="AF90" s="1625"/>
      <c r="AG90" s="1624"/>
      <c r="AH90" s="1625"/>
      <c r="AI90" s="1625"/>
      <c r="AJ90" s="1625"/>
      <c r="AK90" s="1625"/>
      <c r="AL90" s="1625"/>
      <c r="AM90" s="1625"/>
      <c r="AN90" s="1624"/>
      <c r="AO90" s="1624"/>
      <c r="AP90" s="1626"/>
      <c r="AQ90" s="1615"/>
      <c r="AR90" s="1615"/>
      <c r="AS90" s="1615"/>
      <c r="AT90" s="1615"/>
      <c r="AU90" s="1613"/>
      <c r="AV90" s="1613"/>
      <c r="AW90" s="1627"/>
      <c r="AX90" s="1627"/>
      <c r="AY90" s="1627"/>
      <c r="AZ90" s="1627"/>
      <c r="BA90" s="1615"/>
      <c r="BB90" s="1624"/>
      <c r="BC90" s="1624"/>
      <c r="BD90" s="1625"/>
      <c r="BE90" s="1625"/>
      <c r="BF90" s="1625"/>
      <c r="BG90" s="1625"/>
      <c r="BH90" s="1625"/>
      <c r="BI90" s="1625"/>
      <c r="BJ90" s="1625"/>
      <c r="BK90" s="1624"/>
      <c r="BL90" s="1625"/>
      <c r="BM90" s="1625"/>
      <c r="BN90" s="1625"/>
      <c r="BO90" s="1625"/>
      <c r="BP90" s="1625"/>
      <c r="BQ90" s="1625"/>
      <c r="BR90" s="1625"/>
      <c r="BS90" s="1624"/>
      <c r="BT90" s="1615"/>
      <c r="BU90" s="1615"/>
      <c r="BV90" s="1615"/>
      <c r="BW90" s="1615"/>
      <c r="BX90" s="1615"/>
      <c r="BY90" s="1615"/>
      <c r="BZ90" s="1615"/>
      <c r="CA90" s="1615"/>
      <c r="CB90" s="1615"/>
      <c r="CC90" s="1615"/>
      <c r="CD90" s="1615"/>
      <c r="CE90" s="1624" t="s">
        <v>1426</v>
      </c>
      <c r="CF90" s="1624"/>
      <c r="CG90" s="1625">
        <f>ROUND(CG85/1000*3,0)</f>
        <v>224</v>
      </c>
      <c r="CH90" s="1625">
        <v>49</v>
      </c>
      <c r="CI90" s="1625">
        <v>6</v>
      </c>
      <c r="CJ90" s="1625">
        <f>ROUND(CJ85/1000*3,0)</f>
        <v>30</v>
      </c>
      <c r="CK90" s="1625">
        <f>ROUND(CK85/1000*3,0)</f>
        <v>199</v>
      </c>
      <c r="CL90" s="1625">
        <f>ROUND(CL85/1000*3,0)</f>
        <v>757</v>
      </c>
      <c r="CM90" s="1625">
        <f>ROUND(CM85/1000*3,0)</f>
        <v>9</v>
      </c>
      <c r="CN90" s="1624"/>
      <c r="CO90" s="1625">
        <f>ROUND(CO85/1000*3,0)</f>
        <v>686</v>
      </c>
      <c r="CP90" s="1625">
        <f>ROUND(CP85/1000*3,0)</f>
        <v>81</v>
      </c>
      <c r="CQ90" s="1625">
        <f>ROUND(CQ85/250,0)</f>
        <v>1661</v>
      </c>
      <c r="CR90" s="1625">
        <f>ROUND(CR85/1000,0)</f>
        <v>-20</v>
      </c>
      <c r="CS90" s="1625">
        <f>ROUND(CS85/1000,0)</f>
        <v>367</v>
      </c>
      <c r="CT90" s="1625">
        <f>ROUND(CT85/1000,0)</f>
        <v>137</v>
      </c>
      <c r="CU90" s="1624">
        <f>ROUND(CU85/1000,0)</f>
        <v>0</v>
      </c>
      <c r="CV90" s="1624"/>
      <c r="CW90" s="1624">
        <f>ROUND(CW85/25,0)</f>
        <v>156</v>
      </c>
      <c r="CX90" s="1625"/>
      <c r="CY90" s="1625"/>
      <c r="CZ90" s="1625"/>
      <c r="DA90" s="1625"/>
      <c r="DB90" s="1625"/>
      <c r="DC90" s="1625"/>
      <c r="DD90" s="1615"/>
      <c r="DE90" s="1615"/>
      <c r="DF90" s="1631"/>
      <c r="DG90" s="1631"/>
      <c r="DH90" s="1631"/>
      <c r="DI90" s="1631"/>
      <c r="DJ90" s="1631"/>
      <c r="DK90" s="1631"/>
    </row>
  </sheetData>
  <mergeCells count="752">
    <mergeCell ref="DD81:DD83"/>
    <mergeCell ref="DE81:DE83"/>
    <mergeCell ref="A86:G86"/>
    <mergeCell ref="A87:G87"/>
    <mergeCell ref="A88:G88"/>
    <mergeCell ref="A89:G89"/>
    <mergeCell ref="CX81:CX83"/>
    <mergeCell ref="CY81:CY83"/>
    <mergeCell ref="CZ81:CZ83"/>
    <mergeCell ref="DA81:DA83"/>
    <mergeCell ref="DB81:DB83"/>
    <mergeCell ref="DC81:DC83"/>
    <mergeCell ref="CR81:CR83"/>
    <mergeCell ref="CS81:CS83"/>
    <mergeCell ref="CT81:CT83"/>
    <mergeCell ref="CU81:CU83"/>
    <mergeCell ref="CV81:CV83"/>
    <mergeCell ref="CW81:CW83"/>
    <mergeCell ref="CL81:CL83"/>
    <mergeCell ref="CM81:CM83"/>
    <mergeCell ref="CN81:CN83"/>
    <mergeCell ref="CO81:CO83"/>
    <mergeCell ref="CP81:CP83"/>
    <mergeCell ref="CQ81:CQ83"/>
    <mergeCell ref="CF81:CF83"/>
    <mergeCell ref="CG81:CG83"/>
    <mergeCell ref="CH81:CH83"/>
    <mergeCell ref="CI81:CI83"/>
    <mergeCell ref="CJ81:CJ83"/>
    <mergeCell ref="CK81:CK83"/>
    <mergeCell ref="AP81:AP83"/>
    <mergeCell ref="AQ81:AQ83"/>
    <mergeCell ref="AR81:AR83"/>
    <mergeCell ref="AS81:AS83"/>
    <mergeCell ref="AT81:AT83"/>
    <mergeCell ref="CE81:CE83"/>
    <mergeCell ref="AJ81:AJ83"/>
    <mergeCell ref="AK81:AK83"/>
    <mergeCell ref="AL81:AL83"/>
    <mergeCell ref="AM81:AM83"/>
    <mergeCell ref="AN81:AN83"/>
    <mergeCell ref="AO81:AO83"/>
    <mergeCell ref="AD81:AD83"/>
    <mergeCell ref="AE81:AE83"/>
    <mergeCell ref="AF81:AF83"/>
    <mergeCell ref="AG81:AG83"/>
    <mergeCell ref="AH81:AH83"/>
    <mergeCell ref="AI81:AI83"/>
    <mergeCell ref="X81:X83"/>
    <mergeCell ref="Y81:Y83"/>
    <mergeCell ref="Z81:Z83"/>
    <mergeCell ref="AA81:AA83"/>
    <mergeCell ref="AB81:AB83"/>
    <mergeCell ref="AC81:AC83"/>
    <mergeCell ref="CZ77:CZ79"/>
    <mergeCell ref="DA77:DA79"/>
    <mergeCell ref="DB77:DB79"/>
    <mergeCell ref="CN77:CN79"/>
    <mergeCell ref="CO77:CO79"/>
    <mergeCell ref="CP77:CP79"/>
    <mergeCell ref="CQ77:CQ79"/>
    <mergeCell ref="CR77:CR79"/>
    <mergeCell ref="CS77:CS79"/>
    <mergeCell ref="CH77:CH79"/>
    <mergeCell ref="CI77:CI79"/>
    <mergeCell ref="CJ77:CJ79"/>
    <mergeCell ref="CK77:CK79"/>
    <mergeCell ref="CL77:CL79"/>
    <mergeCell ref="CM77:CM79"/>
    <mergeCell ref="AR77:AR79"/>
    <mergeCell ref="AS77:AS79"/>
    <mergeCell ref="AT77:AT79"/>
    <mergeCell ref="DC77:DC79"/>
    <mergeCell ref="DD77:DD79"/>
    <mergeCell ref="DE77:DE79"/>
    <mergeCell ref="CT77:CT79"/>
    <mergeCell ref="CU77:CU79"/>
    <mergeCell ref="CV77:CV79"/>
    <mergeCell ref="CW77:CW79"/>
    <mergeCell ref="CX77:CX79"/>
    <mergeCell ref="CY77:CY79"/>
    <mergeCell ref="CE77:CE79"/>
    <mergeCell ref="CF77:CF79"/>
    <mergeCell ref="CG77:CG79"/>
    <mergeCell ref="AL77:AL79"/>
    <mergeCell ref="AM77:AM79"/>
    <mergeCell ref="AN77:AN79"/>
    <mergeCell ref="AO77:AO79"/>
    <mergeCell ref="AP77:AP79"/>
    <mergeCell ref="AQ77:AQ79"/>
    <mergeCell ref="AF77:AF79"/>
    <mergeCell ref="AG77:AG79"/>
    <mergeCell ref="AH77:AH79"/>
    <mergeCell ref="AI77:AI79"/>
    <mergeCell ref="AJ77:AJ79"/>
    <mergeCell ref="AK77:AK79"/>
    <mergeCell ref="DD73:DD75"/>
    <mergeCell ref="DE73:DE75"/>
    <mergeCell ref="X77:X79"/>
    <mergeCell ref="Y77:Y79"/>
    <mergeCell ref="Z77:Z79"/>
    <mergeCell ref="AA77:AA79"/>
    <mergeCell ref="AB77:AB79"/>
    <mergeCell ref="AC77:AC79"/>
    <mergeCell ref="AD77:AD79"/>
    <mergeCell ref="AE77:AE79"/>
    <mergeCell ref="CX73:CX75"/>
    <mergeCell ref="CY73:CY75"/>
    <mergeCell ref="CZ73:CZ75"/>
    <mergeCell ref="DA73:DA75"/>
    <mergeCell ref="DB73:DB75"/>
    <mergeCell ref="DC73:DC75"/>
    <mergeCell ref="CR73:CR75"/>
    <mergeCell ref="CS73:CS75"/>
    <mergeCell ref="CT73:CT75"/>
    <mergeCell ref="CU73:CU75"/>
    <mergeCell ref="CV73:CV75"/>
    <mergeCell ref="CW73:CW75"/>
    <mergeCell ref="CL73:CL75"/>
    <mergeCell ref="CM73:CM75"/>
    <mergeCell ref="CN73:CN75"/>
    <mergeCell ref="CO73:CO75"/>
    <mergeCell ref="CP73:CP75"/>
    <mergeCell ref="CQ73:CQ75"/>
    <mergeCell ref="CF73:CF75"/>
    <mergeCell ref="CG73:CG75"/>
    <mergeCell ref="CH73:CH75"/>
    <mergeCell ref="CI73:CI75"/>
    <mergeCell ref="CJ73:CJ75"/>
    <mergeCell ref="CK73:CK75"/>
    <mergeCell ref="AP73:AP75"/>
    <mergeCell ref="AQ73:AQ75"/>
    <mergeCell ref="AR73:AR75"/>
    <mergeCell ref="AS73:AS75"/>
    <mergeCell ref="AT73:AT75"/>
    <mergeCell ref="CE73:CE75"/>
    <mergeCell ref="AJ73:AJ75"/>
    <mergeCell ref="AK73:AK75"/>
    <mergeCell ref="AL73:AL75"/>
    <mergeCell ref="AM73:AM75"/>
    <mergeCell ref="AN73:AN75"/>
    <mergeCell ref="AO73:AO75"/>
    <mergeCell ref="AD73:AD75"/>
    <mergeCell ref="AE73:AE75"/>
    <mergeCell ref="AF73:AF75"/>
    <mergeCell ref="AG73:AG75"/>
    <mergeCell ref="AH73:AH75"/>
    <mergeCell ref="AI73:AI75"/>
    <mergeCell ref="X73:X75"/>
    <mergeCell ref="Y73:Y75"/>
    <mergeCell ref="Z73:Z75"/>
    <mergeCell ref="AA73:AA75"/>
    <mergeCell ref="AB73:AB75"/>
    <mergeCell ref="AC73:AC75"/>
    <mergeCell ref="CZ65:CZ67"/>
    <mergeCell ref="DA65:DA67"/>
    <mergeCell ref="DB65:DB67"/>
    <mergeCell ref="CN65:CN67"/>
    <mergeCell ref="CO65:CO67"/>
    <mergeCell ref="CP65:CP67"/>
    <mergeCell ref="CQ65:CQ67"/>
    <mergeCell ref="CR65:CR67"/>
    <mergeCell ref="CS65:CS67"/>
    <mergeCell ref="CH65:CH67"/>
    <mergeCell ref="CI65:CI67"/>
    <mergeCell ref="CJ65:CJ67"/>
    <mergeCell ref="CK65:CK67"/>
    <mergeCell ref="CL65:CL67"/>
    <mergeCell ref="CM65:CM67"/>
    <mergeCell ref="AR65:AR67"/>
    <mergeCell ref="AS65:AS67"/>
    <mergeCell ref="AT65:AT67"/>
    <mergeCell ref="DC65:DC67"/>
    <mergeCell ref="DD65:DD67"/>
    <mergeCell ref="DE65:DE67"/>
    <mergeCell ref="CT65:CT67"/>
    <mergeCell ref="CU65:CU67"/>
    <mergeCell ref="CV65:CV67"/>
    <mergeCell ref="CW65:CW67"/>
    <mergeCell ref="CX65:CX67"/>
    <mergeCell ref="CY65:CY67"/>
    <mergeCell ref="CE65:CE67"/>
    <mergeCell ref="CF65:CF67"/>
    <mergeCell ref="CG65:CG67"/>
    <mergeCell ref="AL65:AL67"/>
    <mergeCell ref="AM65:AM67"/>
    <mergeCell ref="AN65:AN67"/>
    <mergeCell ref="AO65:AO67"/>
    <mergeCell ref="AP65:AP67"/>
    <mergeCell ref="AQ65:AQ67"/>
    <mergeCell ref="AF65:AF67"/>
    <mergeCell ref="AG65:AG67"/>
    <mergeCell ref="AH65:AH67"/>
    <mergeCell ref="AI65:AI67"/>
    <mergeCell ref="AJ65:AJ67"/>
    <mergeCell ref="AK65:AK67"/>
    <mergeCell ref="DE60:DE63"/>
    <mergeCell ref="A65:A67"/>
    <mergeCell ref="X65:X67"/>
    <mergeCell ref="Y65:Y67"/>
    <mergeCell ref="Z65:Z67"/>
    <mergeCell ref="AA65:AA67"/>
    <mergeCell ref="AB65:AB67"/>
    <mergeCell ref="AC65:AC67"/>
    <mergeCell ref="AD65:AD67"/>
    <mergeCell ref="AE65:AE67"/>
    <mergeCell ref="CY60:CY63"/>
    <mergeCell ref="CZ60:CZ63"/>
    <mergeCell ref="DA60:DA63"/>
    <mergeCell ref="DB60:DB63"/>
    <mergeCell ref="DC60:DC63"/>
    <mergeCell ref="DD60:DD63"/>
    <mergeCell ref="CS60:CS63"/>
    <mergeCell ref="CT60:CT63"/>
    <mergeCell ref="CU60:CU63"/>
    <mergeCell ref="CV60:CV63"/>
    <mergeCell ref="CW60:CW63"/>
    <mergeCell ref="CX60:CX63"/>
    <mergeCell ref="CM60:CM63"/>
    <mergeCell ref="CN60:CN63"/>
    <mergeCell ref="CO60:CO63"/>
    <mergeCell ref="CP60:CP63"/>
    <mergeCell ref="CQ60:CQ63"/>
    <mergeCell ref="CR60:CR63"/>
    <mergeCell ref="CG60:CG63"/>
    <mergeCell ref="CH60:CH63"/>
    <mergeCell ref="CI60:CI63"/>
    <mergeCell ref="CJ60:CJ63"/>
    <mergeCell ref="CK60:CK63"/>
    <mergeCell ref="CL60:CL63"/>
    <mergeCell ref="AQ60:AQ63"/>
    <mergeCell ref="AR60:AR63"/>
    <mergeCell ref="AS60:AS63"/>
    <mergeCell ref="AT60:AT63"/>
    <mergeCell ref="CE60:CE63"/>
    <mergeCell ref="CF60:CF63"/>
    <mergeCell ref="AK60:AK63"/>
    <mergeCell ref="AL60:AL63"/>
    <mergeCell ref="AM60:AM63"/>
    <mergeCell ref="AN60:AN63"/>
    <mergeCell ref="AO60:AO63"/>
    <mergeCell ref="AP60:AP63"/>
    <mergeCell ref="AE60:AE63"/>
    <mergeCell ref="AF60:AF63"/>
    <mergeCell ref="AG60:AG63"/>
    <mergeCell ref="AH60:AH63"/>
    <mergeCell ref="AI60:AI63"/>
    <mergeCell ref="AJ60:AJ63"/>
    <mergeCell ref="DD56:DD58"/>
    <mergeCell ref="DE56:DE58"/>
    <mergeCell ref="A60:A63"/>
    <mergeCell ref="X60:X63"/>
    <mergeCell ref="Y60:Y63"/>
    <mergeCell ref="Z60:Z63"/>
    <mergeCell ref="AA60:AA63"/>
    <mergeCell ref="AB60:AB63"/>
    <mergeCell ref="AC60:AC63"/>
    <mergeCell ref="AD60:AD63"/>
    <mergeCell ref="CX56:CX58"/>
    <mergeCell ref="CY56:CY58"/>
    <mergeCell ref="CZ56:CZ58"/>
    <mergeCell ref="DA56:DA58"/>
    <mergeCell ref="DB56:DB58"/>
    <mergeCell ref="DC56:DC58"/>
    <mergeCell ref="CR56:CR58"/>
    <mergeCell ref="CS56:CS58"/>
    <mergeCell ref="CT56:CT58"/>
    <mergeCell ref="CU56:CU58"/>
    <mergeCell ref="CV56:CV58"/>
    <mergeCell ref="CW56:CW58"/>
    <mergeCell ref="CL56:CL58"/>
    <mergeCell ref="CM56:CM58"/>
    <mergeCell ref="CN56:CN58"/>
    <mergeCell ref="CO56:CO58"/>
    <mergeCell ref="CP56:CP58"/>
    <mergeCell ref="CQ56:CQ58"/>
    <mergeCell ref="CF56:CF58"/>
    <mergeCell ref="CG56:CG58"/>
    <mergeCell ref="CH56:CH58"/>
    <mergeCell ref="CI56:CI58"/>
    <mergeCell ref="CJ56:CJ58"/>
    <mergeCell ref="CK56:CK58"/>
    <mergeCell ref="AP56:AP58"/>
    <mergeCell ref="AQ56:AQ58"/>
    <mergeCell ref="AR56:AR58"/>
    <mergeCell ref="AS56:AS58"/>
    <mergeCell ref="AT56:AT58"/>
    <mergeCell ref="CE56:CE58"/>
    <mergeCell ref="AJ56:AJ58"/>
    <mergeCell ref="AK56:AK58"/>
    <mergeCell ref="AL56:AL58"/>
    <mergeCell ref="AM56:AM58"/>
    <mergeCell ref="AN56:AN58"/>
    <mergeCell ref="AO56:AO58"/>
    <mergeCell ref="AD56:AD58"/>
    <mergeCell ref="AE56:AE58"/>
    <mergeCell ref="AF56:AF58"/>
    <mergeCell ref="AG56:AG58"/>
    <mergeCell ref="AH56:AH58"/>
    <mergeCell ref="AI56:AI58"/>
    <mergeCell ref="DC52:DC54"/>
    <mergeCell ref="DD52:DD54"/>
    <mergeCell ref="DE52:DE54"/>
    <mergeCell ref="CY52:CY54"/>
    <mergeCell ref="CZ52:CZ54"/>
    <mergeCell ref="DA52:DA54"/>
    <mergeCell ref="DB52:DB54"/>
    <mergeCell ref="CH52:CH54"/>
    <mergeCell ref="CI52:CI54"/>
    <mergeCell ref="CJ52:CJ54"/>
    <mergeCell ref="AO52:AO54"/>
    <mergeCell ref="AP52:AP54"/>
    <mergeCell ref="AQ52:AQ54"/>
    <mergeCell ref="AR52:AR54"/>
    <mergeCell ref="AS52:AS54"/>
    <mergeCell ref="AT52:AT54"/>
    <mergeCell ref="AI52:AI54"/>
    <mergeCell ref="AJ52:AJ54"/>
    <mergeCell ref="A56:A58"/>
    <mergeCell ref="X56:X58"/>
    <mergeCell ref="Y56:Y58"/>
    <mergeCell ref="Z56:Z58"/>
    <mergeCell ref="AA56:AA58"/>
    <mergeCell ref="AB56:AB58"/>
    <mergeCell ref="AC56:AC58"/>
    <mergeCell ref="CW52:CW54"/>
    <mergeCell ref="CX52:CX54"/>
    <mergeCell ref="CQ52:CQ54"/>
    <mergeCell ref="CR52:CR54"/>
    <mergeCell ref="CS52:CS54"/>
    <mergeCell ref="CT52:CT54"/>
    <mergeCell ref="CU52:CU54"/>
    <mergeCell ref="CV52:CV54"/>
    <mergeCell ref="CK52:CK54"/>
    <mergeCell ref="CL52:CL54"/>
    <mergeCell ref="CM52:CM54"/>
    <mergeCell ref="CN52:CN54"/>
    <mergeCell ref="CO52:CO54"/>
    <mergeCell ref="CP52:CP54"/>
    <mergeCell ref="CE52:CE54"/>
    <mergeCell ref="CF52:CF54"/>
    <mergeCell ref="CG52:CG54"/>
    <mergeCell ref="AK52:AK54"/>
    <mergeCell ref="AL52:AL54"/>
    <mergeCell ref="AM52:AM54"/>
    <mergeCell ref="AN52:AN54"/>
    <mergeCell ref="AC52:AC54"/>
    <mergeCell ref="AD52:AD54"/>
    <mergeCell ref="AE52:AE54"/>
    <mergeCell ref="AF52:AF54"/>
    <mergeCell ref="AG52:AG54"/>
    <mergeCell ref="AH52:AH54"/>
    <mergeCell ref="DB47:DB50"/>
    <mergeCell ref="DC47:DC50"/>
    <mergeCell ref="DD47:DD50"/>
    <mergeCell ref="DE47:DE50"/>
    <mergeCell ref="A52:A54"/>
    <mergeCell ref="X52:X54"/>
    <mergeCell ref="Y52:Y54"/>
    <mergeCell ref="Z52:Z54"/>
    <mergeCell ref="AA52:AA54"/>
    <mergeCell ref="AB52:AB54"/>
    <mergeCell ref="CV47:CV50"/>
    <mergeCell ref="CW47:CW50"/>
    <mergeCell ref="CX47:CX50"/>
    <mergeCell ref="CY47:CY50"/>
    <mergeCell ref="CZ47:CZ50"/>
    <mergeCell ref="DA47:DA50"/>
    <mergeCell ref="CP47:CP50"/>
    <mergeCell ref="CQ47:CQ50"/>
    <mergeCell ref="CR47:CR50"/>
    <mergeCell ref="CS47:CS50"/>
    <mergeCell ref="CT47:CT50"/>
    <mergeCell ref="CU47:CU50"/>
    <mergeCell ref="CJ47:CJ50"/>
    <mergeCell ref="CK47:CK50"/>
    <mergeCell ref="AJ47:AJ50"/>
    <mergeCell ref="AK47:AK50"/>
    <mergeCell ref="AL47:AL50"/>
    <mergeCell ref="AM47:AM50"/>
    <mergeCell ref="CL47:CL50"/>
    <mergeCell ref="CM47:CM50"/>
    <mergeCell ref="CN47:CN50"/>
    <mergeCell ref="CO47:CO50"/>
    <mergeCell ref="AT47:AT50"/>
    <mergeCell ref="CE47:CE50"/>
    <mergeCell ref="CF47:CF50"/>
    <mergeCell ref="CG47:CG50"/>
    <mergeCell ref="CH47:CH50"/>
    <mergeCell ref="CI47:CI50"/>
    <mergeCell ref="AB47:AB50"/>
    <mergeCell ref="AC47:AC50"/>
    <mergeCell ref="AD47:AD50"/>
    <mergeCell ref="AE47:AE50"/>
    <mergeCell ref="AF47:AF50"/>
    <mergeCell ref="AG47:AG50"/>
    <mergeCell ref="DA40:DA43"/>
    <mergeCell ref="DB40:DB43"/>
    <mergeCell ref="DC40:DC43"/>
    <mergeCell ref="CN40:CN43"/>
    <mergeCell ref="AS40:AS43"/>
    <mergeCell ref="AT40:AT43"/>
    <mergeCell ref="CE40:CE43"/>
    <mergeCell ref="CF40:CF43"/>
    <mergeCell ref="CG40:CG43"/>
    <mergeCell ref="CH40:CH43"/>
    <mergeCell ref="AN47:AN50"/>
    <mergeCell ref="AO47:AO50"/>
    <mergeCell ref="AP47:AP50"/>
    <mergeCell ref="AQ47:AQ50"/>
    <mergeCell ref="AR47:AR50"/>
    <mergeCell ref="AS47:AS50"/>
    <mergeCell ref="AH47:AH50"/>
    <mergeCell ref="AI47:AI50"/>
    <mergeCell ref="DD40:DD43"/>
    <mergeCell ref="DE40:DE43"/>
    <mergeCell ref="A47:A50"/>
    <mergeCell ref="X47:X50"/>
    <mergeCell ref="Y47:Y50"/>
    <mergeCell ref="Z47:Z50"/>
    <mergeCell ref="AA47:AA50"/>
    <mergeCell ref="CU40:CU43"/>
    <mergeCell ref="CV40:CV43"/>
    <mergeCell ref="CW40:CW43"/>
    <mergeCell ref="CX40:CX43"/>
    <mergeCell ref="CY40:CY43"/>
    <mergeCell ref="CZ40:CZ43"/>
    <mergeCell ref="CO40:CO43"/>
    <mergeCell ref="CP40:CP43"/>
    <mergeCell ref="CQ40:CQ43"/>
    <mergeCell ref="CR40:CR43"/>
    <mergeCell ref="CS40:CS43"/>
    <mergeCell ref="CT40:CT43"/>
    <mergeCell ref="CI40:CI43"/>
    <mergeCell ref="CJ40:CJ43"/>
    <mergeCell ref="CK40:CK43"/>
    <mergeCell ref="CL40:CL43"/>
    <mergeCell ref="CM40:CM43"/>
    <mergeCell ref="A40:A43"/>
    <mergeCell ref="X40:X43"/>
    <mergeCell ref="Y40:Y43"/>
    <mergeCell ref="AP40:AP43"/>
    <mergeCell ref="AQ40:AQ43"/>
    <mergeCell ref="AR40:AR43"/>
    <mergeCell ref="CZ36:CZ38"/>
    <mergeCell ref="DA36:DA38"/>
    <mergeCell ref="DB36:DB38"/>
    <mergeCell ref="CN36:CN38"/>
    <mergeCell ref="CO36:CO38"/>
    <mergeCell ref="CP36:CP38"/>
    <mergeCell ref="CQ36:CQ38"/>
    <mergeCell ref="CR36:CR38"/>
    <mergeCell ref="CS36:CS38"/>
    <mergeCell ref="CH36:CH38"/>
    <mergeCell ref="CI36:CI38"/>
    <mergeCell ref="CJ36:CJ38"/>
    <mergeCell ref="CK36:CK38"/>
    <mergeCell ref="CL36:CL38"/>
    <mergeCell ref="CM36:CM38"/>
    <mergeCell ref="AR36:AR38"/>
    <mergeCell ref="AS36:AS38"/>
    <mergeCell ref="AT36:AT38"/>
    <mergeCell ref="DC36:DC38"/>
    <mergeCell ref="DD36:DD38"/>
    <mergeCell ref="DE36:DE38"/>
    <mergeCell ref="CT36:CT38"/>
    <mergeCell ref="CU36:CU38"/>
    <mergeCell ref="CV36:CV38"/>
    <mergeCell ref="CW36:CW38"/>
    <mergeCell ref="CX36:CX38"/>
    <mergeCell ref="CY36:CY38"/>
    <mergeCell ref="CE36:CE38"/>
    <mergeCell ref="CF36:CF38"/>
    <mergeCell ref="CG36:CG38"/>
    <mergeCell ref="AL36:AL38"/>
    <mergeCell ref="AM36:AM38"/>
    <mergeCell ref="AN36:AN38"/>
    <mergeCell ref="AO36:AO38"/>
    <mergeCell ref="AP36:AP38"/>
    <mergeCell ref="AQ36:AQ38"/>
    <mergeCell ref="AF36:AF38"/>
    <mergeCell ref="AG36:AG38"/>
    <mergeCell ref="AH36:AH38"/>
    <mergeCell ref="AI36:AI38"/>
    <mergeCell ref="AJ36:AJ38"/>
    <mergeCell ref="AK36:AK38"/>
    <mergeCell ref="DE31:DE34"/>
    <mergeCell ref="A36:A38"/>
    <mergeCell ref="X36:X38"/>
    <mergeCell ref="Y36:Y38"/>
    <mergeCell ref="Z36:Z38"/>
    <mergeCell ref="AA36:AA38"/>
    <mergeCell ref="AB36:AB38"/>
    <mergeCell ref="AC36:AC38"/>
    <mergeCell ref="AD36:AD38"/>
    <mergeCell ref="AE36:AE38"/>
    <mergeCell ref="CY31:CY34"/>
    <mergeCell ref="CZ31:CZ34"/>
    <mergeCell ref="DA31:DA34"/>
    <mergeCell ref="DB31:DB34"/>
    <mergeCell ref="DC31:DC34"/>
    <mergeCell ref="DD31:DD34"/>
    <mergeCell ref="CS31:CS34"/>
    <mergeCell ref="CT31:CT34"/>
    <mergeCell ref="CU31:CU34"/>
    <mergeCell ref="CV31:CV34"/>
    <mergeCell ref="CW31:CW34"/>
    <mergeCell ref="CX31:CX34"/>
    <mergeCell ref="CM31:CM34"/>
    <mergeCell ref="CN31:CN34"/>
    <mergeCell ref="CO31:CO34"/>
    <mergeCell ref="CP31:CP34"/>
    <mergeCell ref="CQ31:CQ34"/>
    <mergeCell ref="CR31:CR34"/>
    <mergeCell ref="CG31:CG34"/>
    <mergeCell ref="CH31:CH34"/>
    <mergeCell ref="CI31:CI34"/>
    <mergeCell ref="CJ31:CJ34"/>
    <mergeCell ref="CK31:CK34"/>
    <mergeCell ref="CL31:CL34"/>
    <mergeCell ref="AQ31:AQ34"/>
    <mergeCell ref="AR31:AR34"/>
    <mergeCell ref="AS31:AS34"/>
    <mergeCell ref="AT31:AT34"/>
    <mergeCell ref="CE31:CE34"/>
    <mergeCell ref="CF31:CF34"/>
    <mergeCell ref="AK31:AK34"/>
    <mergeCell ref="AL31:AL34"/>
    <mergeCell ref="AM31:AM34"/>
    <mergeCell ref="AN31:AN34"/>
    <mergeCell ref="AO31:AO34"/>
    <mergeCell ref="AP31:AP34"/>
    <mergeCell ref="AE31:AE34"/>
    <mergeCell ref="AF31:AF34"/>
    <mergeCell ref="AG31:AG34"/>
    <mergeCell ref="AH31:AH34"/>
    <mergeCell ref="AI31:AI34"/>
    <mergeCell ref="AJ31:AJ34"/>
    <mergeCell ref="DD25:DD27"/>
    <mergeCell ref="DE25:DE27"/>
    <mergeCell ref="A31:A34"/>
    <mergeCell ref="X31:X34"/>
    <mergeCell ref="Y31:Y34"/>
    <mergeCell ref="Z31:Z34"/>
    <mergeCell ref="AA31:AA34"/>
    <mergeCell ref="AB31:AB34"/>
    <mergeCell ref="AC31:AC34"/>
    <mergeCell ref="AD31:AD34"/>
    <mergeCell ref="CX25:CX27"/>
    <mergeCell ref="CY25:CY27"/>
    <mergeCell ref="CZ25:CZ27"/>
    <mergeCell ref="DA25:DA27"/>
    <mergeCell ref="DB25:DB27"/>
    <mergeCell ref="DC25:DC27"/>
    <mergeCell ref="CR25:CR27"/>
    <mergeCell ref="CS25:CS27"/>
    <mergeCell ref="CT25:CT27"/>
    <mergeCell ref="CU25:CU27"/>
    <mergeCell ref="CV25:CV27"/>
    <mergeCell ref="CW25:CW27"/>
    <mergeCell ref="CL25:CL27"/>
    <mergeCell ref="CM25:CM27"/>
    <mergeCell ref="CN25:CN27"/>
    <mergeCell ref="CO25:CO27"/>
    <mergeCell ref="CP25:CP27"/>
    <mergeCell ref="CQ25:CQ27"/>
    <mergeCell ref="CF25:CF27"/>
    <mergeCell ref="CG25:CG27"/>
    <mergeCell ref="CH25:CH27"/>
    <mergeCell ref="CI25:CI27"/>
    <mergeCell ref="CJ25:CJ27"/>
    <mergeCell ref="CK25:CK27"/>
    <mergeCell ref="AP25:AP27"/>
    <mergeCell ref="AQ25:AQ27"/>
    <mergeCell ref="AR25:AR27"/>
    <mergeCell ref="AS25:AS27"/>
    <mergeCell ref="AT25:AT27"/>
    <mergeCell ref="CE25:CE27"/>
    <mergeCell ref="AJ25:AJ27"/>
    <mergeCell ref="AK25:AK27"/>
    <mergeCell ref="AL25:AL27"/>
    <mergeCell ref="AM25:AM27"/>
    <mergeCell ref="AN25:AN27"/>
    <mergeCell ref="AO25:AO27"/>
    <mergeCell ref="AD25:AD27"/>
    <mergeCell ref="AE25:AE27"/>
    <mergeCell ref="AF25:AF27"/>
    <mergeCell ref="AG25:AG27"/>
    <mergeCell ref="AH25:AH27"/>
    <mergeCell ref="AI25:AI27"/>
    <mergeCell ref="DC21:DC23"/>
    <mergeCell ref="DD21:DD23"/>
    <mergeCell ref="DE21:DE23"/>
    <mergeCell ref="CY21:CY23"/>
    <mergeCell ref="CZ21:CZ23"/>
    <mergeCell ref="DA21:DA23"/>
    <mergeCell ref="DB21:DB23"/>
    <mergeCell ref="CH21:CH23"/>
    <mergeCell ref="CI21:CI23"/>
    <mergeCell ref="CJ21:CJ23"/>
    <mergeCell ref="AO21:AO23"/>
    <mergeCell ref="AP21:AP23"/>
    <mergeCell ref="AQ21:AQ23"/>
    <mergeCell ref="AR21:AR23"/>
    <mergeCell ref="AS21:AS23"/>
    <mergeCell ref="AT21:AT23"/>
    <mergeCell ref="AI21:AI23"/>
    <mergeCell ref="AJ21:AJ23"/>
    <mergeCell ref="A25:A27"/>
    <mergeCell ref="X25:X27"/>
    <mergeCell ref="Y25:Y27"/>
    <mergeCell ref="Z25:Z27"/>
    <mergeCell ref="AA25:AA27"/>
    <mergeCell ref="AB25:AB27"/>
    <mergeCell ref="AC25:AC27"/>
    <mergeCell ref="CW21:CW23"/>
    <mergeCell ref="CX21:CX23"/>
    <mergeCell ref="CQ21:CQ23"/>
    <mergeCell ref="CR21:CR23"/>
    <mergeCell ref="CS21:CS23"/>
    <mergeCell ref="CT21:CT23"/>
    <mergeCell ref="CU21:CU23"/>
    <mergeCell ref="CV21:CV23"/>
    <mergeCell ref="CK21:CK23"/>
    <mergeCell ref="CL21:CL23"/>
    <mergeCell ref="CM21:CM23"/>
    <mergeCell ref="CN21:CN23"/>
    <mergeCell ref="CO21:CO23"/>
    <mergeCell ref="CP21:CP23"/>
    <mergeCell ref="CE21:CE23"/>
    <mergeCell ref="CF21:CF23"/>
    <mergeCell ref="CG21:CG23"/>
    <mergeCell ref="AK21:AK23"/>
    <mergeCell ref="AL21:AL23"/>
    <mergeCell ref="AM21:AM23"/>
    <mergeCell ref="AN21:AN23"/>
    <mergeCell ref="AC21:AC23"/>
    <mergeCell ref="AD21:AD23"/>
    <mergeCell ref="AE21:AE23"/>
    <mergeCell ref="AF21:AF23"/>
    <mergeCell ref="AG21:AG23"/>
    <mergeCell ref="AH21:AH23"/>
    <mergeCell ref="DE12:DE18"/>
    <mergeCell ref="CT12:CT18"/>
    <mergeCell ref="CU12:CU18"/>
    <mergeCell ref="CV12:CV18"/>
    <mergeCell ref="CW12:CW18"/>
    <mergeCell ref="CX12:CX18"/>
    <mergeCell ref="CY12:CY18"/>
    <mergeCell ref="A21:A23"/>
    <mergeCell ref="X21:X23"/>
    <mergeCell ref="Y21:Y23"/>
    <mergeCell ref="Z21:Z23"/>
    <mergeCell ref="AA21:AA23"/>
    <mergeCell ref="AB21:AB23"/>
    <mergeCell ref="CZ12:CZ18"/>
    <mergeCell ref="DA12:DA18"/>
    <mergeCell ref="DB12:DB18"/>
    <mergeCell ref="CN12:CN18"/>
    <mergeCell ref="CO12:CO18"/>
    <mergeCell ref="CP12:CP18"/>
    <mergeCell ref="CQ12:CQ18"/>
    <mergeCell ref="CR12:CR18"/>
    <mergeCell ref="CS12:CS18"/>
    <mergeCell ref="CH12:CH18"/>
    <mergeCell ref="CI12:CI18"/>
    <mergeCell ref="AH6:AH11"/>
    <mergeCell ref="AI6:AI11"/>
    <mergeCell ref="CE12:CE18"/>
    <mergeCell ref="CF12:CF18"/>
    <mergeCell ref="CG12:CG18"/>
    <mergeCell ref="AL12:AL18"/>
    <mergeCell ref="AM12:AM18"/>
    <mergeCell ref="AN12:AN18"/>
    <mergeCell ref="AO12:AO18"/>
    <mergeCell ref="AP12:AP18"/>
    <mergeCell ref="AQ12:AQ18"/>
    <mergeCell ref="AR12:AR18"/>
    <mergeCell ref="AS12:AS18"/>
    <mergeCell ref="AT12:AT18"/>
    <mergeCell ref="AJ12:AJ18"/>
    <mergeCell ref="AK12:AK18"/>
    <mergeCell ref="DB6:DB11"/>
    <mergeCell ref="DC6:DC11"/>
    <mergeCell ref="DD6:DD11"/>
    <mergeCell ref="CO6:CO11"/>
    <mergeCell ref="AT6:AT11"/>
    <mergeCell ref="CE6:CE11"/>
    <mergeCell ref="CF6:CF11"/>
    <mergeCell ref="CG6:CG11"/>
    <mergeCell ref="CH6:CH11"/>
    <mergeCell ref="CI6:CI11"/>
    <mergeCell ref="AN6:AN11"/>
    <mergeCell ref="AO6:AO11"/>
    <mergeCell ref="AP6:AP11"/>
    <mergeCell ref="AQ6:AQ11"/>
    <mergeCell ref="AR6:AR11"/>
    <mergeCell ref="AS6:AS11"/>
    <mergeCell ref="DC12:DC18"/>
    <mergeCell ref="DD12:DD18"/>
    <mergeCell ref="CJ12:CJ18"/>
    <mergeCell ref="CK12:CK18"/>
    <mergeCell ref="CL12:CL18"/>
    <mergeCell ref="CM12:CM18"/>
    <mergeCell ref="AC12:AC18"/>
    <mergeCell ref="AD12:AD18"/>
    <mergeCell ref="AE12:AE18"/>
    <mergeCell ref="CV6:CV11"/>
    <mergeCell ref="CW6:CW11"/>
    <mergeCell ref="CX6:CX11"/>
    <mergeCell ref="CY6:CY11"/>
    <mergeCell ref="CZ6:CZ11"/>
    <mergeCell ref="DA6:DA11"/>
    <mergeCell ref="CP6:CP11"/>
    <mergeCell ref="CQ6:CQ11"/>
    <mergeCell ref="CR6:CR11"/>
    <mergeCell ref="CS6:CS11"/>
    <mergeCell ref="CT6:CT11"/>
    <mergeCell ref="CU6:CU11"/>
    <mergeCell ref="CJ6:CJ11"/>
    <mergeCell ref="CK6:CK11"/>
    <mergeCell ref="CL6:CL11"/>
    <mergeCell ref="CM6:CM11"/>
    <mergeCell ref="CN6:CN11"/>
    <mergeCell ref="AF12:AF18"/>
    <mergeCell ref="AG12:AG18"/>
    <mergeCell ref="AH12:AH18"/>
    <mergeCell ref="AI12:AI18"/>
    <mergeCell ref="A2:A3"/>
    <mergeCell ref="C2:G2"/>
    <mergeCell ref="H2:V2"/>
    <mergeCell ref="X2:AT2"/>
    <mergeCell ref="CE2:DE2"/>
    <mergeCell ref="A6:A17"/>
    <mergeCell ref="X6:X18"/>
    <mergeCell ref="Y6:Y19"/>
    <mergeCell ref="Z6:Z11"/>
    <mergeCell ref="AA6:AA11"/>
    <mergeCell ref="AJ6:AJ11"/>
    <mergeCell ref="AK6:AK11"/>
    <mergeCell ref="AL6:AL11"/>
    <mergeCell ref="AM6:AM11"/>
    <mergeCell ref="AB6:AB11"/>
    <mergeCell ref="AC6:AC11"/>
    <mergeCell ref="AD6:AD11"/>
    <mergeCell ref="AE6:AE11"/>
    <mergeCell ref="AF6:AF11"/>
    <mergeCell ref="AG6:AG11"/>
    <mergeCell ref="DE6:DE11"/>
    <mergeCell ref="Z12:Z18"/>
    <mergeCell ref="AA12:AA18"/>
    <mergeCell ref="AB12:AB18"/>
  </mergeCells>
  <pageMargins left="0.7" right="0.7" top="0.75" bottom="0.75" header="0.3" footer="0.3"/>
  <pageSetup paperSize="3" scale="45" fitToWidth="0" orientation="landscape" r:id="rId1"/>
  <rowBreaks count="1" manualBreakCount="1">
    <brk id="86" max="99" man="1"/>
  </rowBreaks>
  <colBreaks count="2" manualBreakCount="2">
    <brk id="46" max="1048575" man="1"/>
    <brk id="82" max="1048575" man="1"/>
  </colBreaks>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CP76"/>
  <sheetViews>
    <sheetView view="pageBreakPreview" topLeftCell="A36" zoomScaleNormal="75" zoomScaleSheetLayoutView="100" workbookViewId="0">
      <selection activeCell="B36" sqref="B1:B1048576"/>
    </sheetView>
  </sheetViews>
  <sheetFormatPr defaultRowHeight="15"/>
  <cols>
    <col min="1" max="1" width="8.42578125" style="1964" customWidth="1"/>
    <col min="2" max="2" width="11" style="1964" bestFit="1" customWidth="1"/>
    <col min="3" max="3" width="9.5703125" style="1965" customWidth="1"/>
    <col min="4" max="4" width="6.42578125" style="1965" bestFit="1" customWidth="1"/>
    <col min="5" max="5" width="18.140625" style="1966" bestFit="1" customWidth="1"/>
    <col min="6" max="6" width="25.7109375" style="1966" hidden="1" customWidth="1"/>
    <col min="7" max="7" width="7.42578125" style="1967" customWidth="1"/>
    <col min="8" max="8" width="11" style="1968" customWidth="1"/>
    <col min="9" max="9" width="9.5703125" style="1968" customWidth="1"/>
    <col min="10" max="10" width="17.42578125" style="1969" hidden="1" customWidth="1"/>
    <col min="11" max="11" width="8.28515625" style="1970" customWidth="1"/>
    <col min="12" max="12" width="13.5703125" style="1971" customWidth="1"/>
    <col min="13" max="13" width="10.140625" style="1971" customWidth="1"/>
    <col min="14" max="14" width="14" style="1971" customWidth="1"/>
    <col min="15" max="15" width="7.42578125" style="1979" bestFit="1" customWidth="1"/>
    <col min="16" max="16" width="7.7109375" style="1979" customWidth="1"/>
    <col min="17" max="17" width="11.7109375" style="1979" customWidth="1"/>
    <col min="18" max="18" width="10.7109375" style="1979" customWidth="1"/>
    <col min="19" max="19" width="10.42578125" style="1979" hidden="1" customWidth="1"/>
    <col min="20" max="20" width="14.140625" style="1979" customWidth="1"/>
    <col min="21" max="21" width="12" style="1971" customWidth="1"/>
    <col min="22" max="22" width="9.140625" style="1979" hidden="1" customWidth="1"/>
    <col min="23" max="23" width="8.140625" style="1971" customWidth="1"/>
    <col min="24" max="24" width="8.28515625" style="1971" customWidth="1"/>
    <col min="25" max="25" width="11.7109375" style="1972" customWidth="1"/>
    <col min="26" max="26" width="13.5703125" style="1973" customWidth="1"/>
    <col min="27" max="27" width="9.42578125" style="1973" customWidth="1"/>
    <col min="28" max="30" width="9.140625" style="1980" hidden="1" customWidth="1"/>
    <col min="31" max="31" width="14" style="1973" customWidth="1"/>
    <col min="32" max="32" width="7.5703125" style="1980" customWidth="1"/>
    <col min="33" max="33" width="10.7109375" style="1980" hidden="1" customWidth="1"/>
    <col min="34" max="34" width="9.140625" style="1980" customWidth="1"/>
    <col min="35" max="35" width="9.5703125" style="1980" customWidth="1"/>
    <col min="36" max="36" width="8.85546875" style="1980" customWidth="1"/>
    <col min="37" max="37" width="13.28515625" style="1980" customWidth="1"/>
    <col min="38" max="38" width="8.7109375" style="1980" hidden="1" customWidth="1"/>
    <col min="39" max="39" width="8.85546875" style="1973" bestFit="1" customWidth="1"/>
    <col min="40" max="40" width="10.42578125" style="1973" customWidth="1"/>
    <col min="41" max="41" width="9.140625" style="1981" hidden="1" customWidth="1"/>
    <col min="42" max="42" width="1.7109375" style="1981" hidden="1" customWidth="1"/>
    <col min="43" max="43" width="9.140625" style="1981" customWidth="1"/>
    <col min="44" max="44" width="10.42578125" style="1974" customWidth="1"/>
    <col min="45" max="45" width="9.85546875" style="1974" customWidth="1"/>
    <col min="46" max="46" width="20.5703125" style="1975" hidden="1" customWidth="1"/>
    <col min="47" max="48" width="9.42578125" style="1976" customWidth="1"/>
    <col min="49" max="50" width="4.5703125" style="1976" customWidth="1"/>
    <col min="51" max="51" width="14.42578125" style="1977" customWidth="1"/>
    <col min="52" max="52" width="9.140625" style="1977" customWidth="1"/>
    <col min="53" max="53" width="10.7109375" style="1982" hidden="1" customWidth="1"/>
    <col min="54" max="56" width="9.140625" style="1982" hidden="1" customWidth="1"/>
    <col min="57" max="57" width="7.5703125" style="1982" hidden="1" customWidth="1"/>
    <col min="58" max="58" width="14.28515625" style="1977" customWidth="1"/>
    <col min="59" max="59" width="9.28515625" style="1982" customWidth="1"/>
    <col min="60" max="60" width="13.42578125" style="1982" customWidth="1"/>
    <col min="61" max="61" width="9.5703125" style="1982" customWidth="1"/>
    <col min="62" max="62" width="9.140625" style="1982" customWidth="1"/>
    <col min="63" max="63" width="10.42578125" style="1982" customWidth="1"/>
    <col min="64" max="64" width="15" style="1982" customWidth="1"/>
    <col min="65" max="65" width="12.28515625" style="1977" customWidth="1"/>
    <col min="66" max="66" width="8.85546875" style="1977" bestFit="1" customWidth="1"/>
    <col min="67" max="67" width="8.7109375" style="1983" customWidth="1"/>
    <col min="68" max="71" width="9.140625" style="1984" hidden="1" customWidth="1"/>
    <col min="72" max="75" width="9.140625" style="1983" hidden="1" customWidth="1"/>
    <col min="76" max="76" width="7.5703125" style="1983" hidden="1" customWidth="1"/>
    <col min="77" max="77" width="9.140625" style="1983"/>
    <col min="78" max="78" width="13.7109375" style="1985" customWidth="1"/>
    <col min="79" max="79" width="9.140625" style="1985"/>
    <col min="80" max="80" width="10.140625" style="1985" hidden="1" customWidth="1"/>
    <col min="81" max="84" width="0" style="1985" hidden="1" customWidth="1"/>
    <col min="85" max="85" width="14.28515625" style="1985" customWidth="1"/>
    <col min="86" max="86" width="9.140625" style="1985" customWidth="1"/>
    <col min="87" max="87" width="9.140625" style="1985" hidden="1" customWidth="1"/>
    <col min="88" max="88" width="9.28515625" style="1985" customWidth="1"/>
    <col min="89" max="89" width="10.140625" style="1985" customWidth="1"/>
    <col min="90" max="90" width="9.140625" style="1985" customWidth="1"/>
    <col min="91" max="91" width="14" style="1985" customWidth="1"/>
    <col min="92" max="92" width="11.5703125" style="1985" customWidth="1"/>
    <col min="93" max="94" width="9.140625" style="1985"/>
  </cols>
  <sheetData>
    <row r="1" spans="1:94" ht="15.75" thickBot="1">
      <c r="A1" s="1825" t="s">
        <v>1427</v>
      </c>
      <c r="B1" s="1825"/>
      <c r="C1" s="2408"/>
      <c r="D1" s="1094"/>
      <c r="E1" s="1617"/>
      <c r="F1" s="1617"/>
      <c r="G1" s="1826"/>
      <c r="H1" s="1094"/>
      <c r="I1" s="1094"/>
      <c r="J1" s="1617"/>
      <c r="K1" s="1618"/>
      <c r="L1" s="1616"/>
      <c r="M1" s="1616"/>
      <c r="N1" s="1616"/>
      <c r="O1" s="1619"/>
      <c r="P1" s="1619"/>
      <c r="Q1" s="1619"/>
      <c r="R1" s="1619"/>
      <c r="S1" s="1619"/>
      <c r="T1" s="1619"/>
      <c r="U1" s="1616"/>
      <c r="V1" s="1619"/>
      <c r="W1" s="1616"/>
      <c r="X1" s="1616"/>
      <c r="Y1" s="1827"/>
      <c r="Z1" s="1616"/>
      <c r="AA1" s="1616"/>
      <c r="AB1" s="1619"/>
      <c r="AC1" s="1619"/>
      <c r="AD1" s="1619"/>
      <c r="AE1" s="1616"/>
      <c r="AF1" s="1619"/>
      <c r="AG1" s="1619"/>
      <c r="AH1" s="1619"/>
      <c r="AI1" s="1619"/>
      <c r="AJ1" s="1619"/>
      <c r="AK1" s="1619"/>
      <c r="AL1" s="1619"/>
      <c r="AM1" s="1616"/>
      <c r="AN1" s="1616"/>
      <c r="AO1" s="1617"/>
      <c r="AP1" s="1617"/>
      <c r="AQ1" s="1617"/>
      <c r="AR1" s="1094"/>
      <c r="AS1" s="1094"/>
      <c r="AT1" s="1828"/>
      <c r="AU1" s="1829"/>
      <c r="AV1" s="1829"/>
      <c r="AW1" s="1829"/>
      <c r="AX1" s="1829"/>
      <c r="AY1" s="1616"/>
      <c r="AZ1" s="1616"/>
      <c r="BA1" s="1619"/>
      <c r="BB1" s="1619"/>
      <c r="BC1" s="1619"/>
      <c r="BD1" s="1619"/>
      <c r="BE1" s="1619"/>
      <c r="BF1" s="1616"/>
      <c r="BG1" s="1619"/>
      <c r="BH1" s="1619"/>
      <c r="BI1" s="1619"/>
      <c r="BJ1" s="1619"/>
      <c r="BK1" s="1619"/>
      <c r="BL1" s="1619"/>
      <c r="BM1" s="1616"/>
      <c r="BN1" s="1616"/>
      <c r="BO1" s="1617"/>
      <c r="BP1" s="1830"/>
      <c r="BQ1" s="1830"/>
      <c r="BR1" s="1830"/>
      <c r="BS1" s="1830"/>
      <c r="BT1" s="1617"/>
      <c r="BU1" s="1617"/>
      <c r="BV1" s="1617"/>
      <c r="BW1" s="1617"/>
      <c r="BX1" s="1617"/>
      <c r="BY1" s="1617"/>
      <c r="BZ1" s="1617"/>
      <c r="CA1" s="1617"/>
      <c r="CB1" s="1617"/>
      <c r="CC1" s="1617"/>
      <c r="CD1" s="1617"/>
      <c r="CE1" s="1617"/>
      <c r="CF1" s="1617"/>
      <c r="CG1" s="1617"/>
      <c r="CH1" s="1617"/>
      <c r="CI1" s="1617"/>
      <c r="CJ1" s="1617"/>
      <c r="CK1" s="1617"/>
      <c r="CL1" s="1617"/>
      <c r="CM1" s="1617"/>
      <c r="CN1" s="1617"/>
      <c r="CO1" s="1617"/>
      <c r="CP1" s="1617"/>
    </row>
    <row r="2" spans="1:94" ht="15.75" thickBot="1">
      <c r="A2" s="3190" t="s">
        <v>1428</v>
      </c>
      <c r="B2" s="2569"/>
      <c r="C2" s="3192" t="s">
        <v>1215</v>
      </c>
      <c r="D2" s="3193"/>
      <c r="E2" s="3194"/>
      <c r="F2" s="3194"/>
      <c r="G2" s="3195"/>
      <c r="H2" s="3192" t="s">
        <v>1216</v>
      </c>
      <c r="I2" s="3193"/>
      <c r="J2" s="3193"/>
      <c r="K2" s="3193"/>
      <c r="L2" s="3193"/>
      <c r="M2" s="3193"/>
      <c r="N2" s="3193"/>
      <c r="O2" s="3193"/>
      <c r="P2" s="3193"/>
      <c r="Q2" s="3193"/>
      <c r="R2" s="3193"/>
      <c r="S2" s="3193"/>
      <c r="T2" s="3193"/>
      <c r="U2" s="3193"/>
      <c r="V2" s="3193"/>
      <c r="W2" s="3193"/>
      <c r="X2" s="3195"/>
      <c r="Y2" s="3192" t="s">
        <v>1217</v>
      </c>
      <c r="Z2" s="3193"/>
      <c r="AA2" s="3193"/>
      <c r="AB2" s="3193"/>
      <c r="AC2" s="3193"/>
      <c r="AD2" s="3193"/>
      <c r="AE2" s="3193"/>
      <c r="AF2" s="3193"/>
      <c r="AG2" s="3193"/>
      <c r="AH2" s="3193"/>
      <c r="AI2" s="3193"/>
      <c r="AJ2" s="3193"/>
      <c r="AK2" s="3193"/>
      <c r="AL2" s="3193"/>
      <c r="AM2" s="3193"/>
      <c r="AN2" s="3193"/>
      <c r="AO2" s="3193"/>
      <c r="AP2" s="3193"/>
      <c r="AQ2" s="3195"/>
      <c r="AR2" s="3196" t="s">
        <v>1218</v>
      </c>
      <c r="AS2" s="3197"/>
      <c r="AT2" s="3197"/>
      <c r="AU2" s="3197"/>
      <c r="AV2" s="3197"/>
      <c r="AW2" s="3197"/>
      <c r="AX2" s="3197"/>
      <c r="AY2" s="3197"/>
      <c r="AZ2" s="3197"/>
      <c r="BA2" s="3197"/>
      <c r="BB2" s="3197"/>
      <c r="BC2" s="3197"/>
      <c r="BD2" s="3197"/>
      <c r="BE2" s="3197"/>
      <c r="BF2" s="3197"/>
      <c r="BG2" s="3197"/>
      <c r="BH2" s="3197"/>
      <c r="BI2" s="3197"/>
      <c r="BJ2" s="3197"/>
      <c r="BK2" s="3197"/>
      <c r="BL2" s="3197"/>
      <c r="BM2" s="3197"/>
      <c r="BN2" s="3197"/>
      <c r="BO2" s="3197"/>
      <c r="BP2" s="3197"/>
      <c r="BQ2" s="3197"/>
      <c r="BR2" s="3197"/>
      <c r="BS2" s="3197"/>
      <c r="BT2" s="3197"/>
      <c r="BU2" s="3197"/>
      <c r="BV2" s="3197"/>
      <c r="BW2" s="3197"/>
      <c r="BX2" s="3197"/>
      <c r="BY2" s="3198"/>
      <c r="BZ2" s="3196" t="s">
        <v>1219</v>
      </c>
      <c r="CA2" s="3197"/>
      <c r="CB2" s="3197"/>
      <c r="CC2" s="3197"/>
      <c r="CD2" s="3197"/>
      <c r="CE2" s="3197"/>
      <c r="CF2" s="3197"/>
      <c r="CG2" s="3197"/>
      <c r="CH2" s="3197"/>
      <c r="CI2" s="3197"/>
      <c r="CJ2" s="3197"/>
      <c r="CK2" s="3197"/>
      <c r="CL2" s="3197"/>
      <c r="CM2" s="3197"/>
      <c r="CN2" s="3197"/>
      <c r="CO2" s="3197"/>
      <c r="CP2" s="3198"/>
    </row>
    <row r="3" spans="1:94" ht="88.5" customHeight="1" thickBot="1">
      <c r="A3" s="3191"/>
      <c r="B3" s="2570"/>
      <c r="C3" s="1831" t="s">
        <v>615</v>
      </c>
      <c r="D3" s="1832" t="s">
        <v>616</v>
      </c>
      <c r="E3" s="1833" t="s">
        <v>1050</v>
      </c>
      <c r="F3" s="1833" t="s">
        <v>1220</v>
      </c>
      <c r="G3" s="1834" t="s">
        <v>1221</v>
      </c>
      <c r="H3" s="1831" t="s">
        <v>1222</v>
      </c>
      <c r="I3" s="1832" t="s">
        <v>1223</v>
      </c>
      <c r="J3" s="1832" t="s">
        <v>1224</v>
      </c>
      <c r="K3" s="1835" t="s">
        <v>620</v>
      </c>
      <c r="L3" s="1836" t="s">
        <v>1074</v>
      </c>
      <c r="M3" s="1836" t="s">
        <v>1225</v>
      </c>
      <c r="N3" s="1836" t="s">
        <v>1226</v>
      </c>
      <c r="O3" s="1837" t="s">
        <v>1227</v>
      </c>
      <c r="P3" s="1837" t="s">
        <v>1228</v>
      </c>
      <c r="Q3" s="1837" t="s">
        <v>1229</v>
      </c>
      <c r="R3" s="1837" t="s">
        <v>1230</v>
      </c>
      <c r="S3" s="1837" t="s">
        <v>1231</v>
      </c>
      <c r="T3" s="1837" t="s">
        <v>1232</v>
      </c>
      <c r="U3" s="1836" t="s">
        <v>1233</v>
      </c>
      <c r="V3" s="1837" t="s">
        <v>1429</v>
      </c>
      <c r="W3" s="1836" t="s">
        <v>1430</v>
      </c>
      <c r="X3" s="1834" t="s">
        <v>1235</v>
      </c>
      <c r="Y3" s="1831" t="s">
        <v>1236</v>
      </c>
      <c r="Z3" s="1836" t="s">
        <v>1074</v>
      </c>
      <c r="AA3" s="1836" t="s">
        <v>1237</v>
      </c>
      <c r="AB3" s="1837" t="s">
        <v>1238</v>
      </c>
      <c r="AC3" s="1837" t="s">
        <v>1239</v>
      </c>
      <c r="AD3" s="1837" t="s">
        <v>1240</v>
      </c>
      <c r="AE3" s="1836" t="s">
        <v>1243</v>
      </c>
      <c r="AF3" s="1837" t="s">
        <v>1244</v>
      </c>
      <c r="AG3" s="1837" t="s">
        <v>1245</v>
      </c>
      <c r="AH3" s="1837" t="s">
        <v>1228</v>
      </c>
      <c r="AI3" s="1837" t="s">
        <v>1246</v>
      </c>
      <c r="AJ3" s="1837" t="s">
        <v>1247</v>
      </c>
      <c r="AK3" s="1837" t="s">
        <v>1232</v>
      </c>
      <c r="AL3" s="1837" t="s">
        <v>1233</v>
      </c>
      <c r="AM3" s="1836" t="s">
        <v>1234</v>
      </c>
      <c r="AN3" s="1836" t="s">
        <v>1266</v>
      </c>
      <c r="AO3" s="1838" t="s">
        <v>1249</v>
      </c>
      <c r="AP3" s="1832" t="s">
        <v>1431</v>
      </c>
      <c r="AQ3" s="1839" t="s">
        <v>1251</v>
      </c>
      <c r="AR3" s="1840" t="s">
        <v>1252</v>
      </c>
      <c r="AS3" s="1841" t="s">
        <v>1253</v>
      </c>
      <c r="AT3" s="1842" t="s">
        <v>1258</v>
      </c>
      <c r="AU3" s="1843" t="s">
        <v>1432</v>
      </c>
      <c r="AV3" s="1843" t="s">
        <v>1255</v>
      </c>
      <c r="AW3" s="1843" t="s">
        <v>1256</v>
      </c>
      <c r="AX3" s="1843" t="s">
        <v>1257</v>
      </c>
      <c r="AY3" s="1844" t="s">
        <v>1074</v>
      </c>
      <c r="AZ3" s="1844" t="s">
        <v>1225</v>
      </c>
      <c r="BA3" s="1845" t="s">
        <v>1433</v>
      </c>
      <c r="BB3" s="1845" t="s">
        <v>1238</v>
      </c>
      <c r="BC3" s="1845" t="s">
        <v>1239</v>
      </c>
      <c r="BD3" s="1845" t="s">
        <v>1261</v>
      </c>
      <c r="BE3" s="1845" t="s">
        <v>1240</v>
      </c>
      <c r="BF3" s="1844" t="s">
        <v>1243</v>
      </c>
      <c r="BG3" s="1845" t="s">
        <v>1262</v>
      </c>
      <c r="BH3" s="1845" t="s">
        <v>1263</v>
      </c>
      <c r="BI3" s="1845" t="s">
        <v>1264</v>
      </c>
      <c r="BJ3" s="1845" t="s">
        <v>1246</v>
      </c>
      <c r="BK3" s="1845" t="s">
        <v>1247</v>
      </c>
      <c r="BL3" s="1845" t="s">
        <v>1232</v>
      </c>
      <c r="BM3" s="1844" t="s">
        <v>1233</v>
      </c>
      <c r="BN3" s="1844" t="s">
        <v>1265</v>
      </c>
      <c r="BO3" s="1841" t="s">
        <v>1266</v>
      </c>
      <c r="BP3" s="1846" t="s">
        <v>1434</v>
      </c>
      <c r="BQ3" s="1846" t="s">
        <v>1268</v>
      </c>
      <c r="BR3" s="1846" t="s">
        <v>1435</v>
      </c>
      <c r="BS3" s="1846" t="s">
        <v>1270</v>
      </c>
      <c r="BT3" s="1846" t="s">
        <v>1271</v>
      </c>
      <c r="BU3" s="1846" t="s">
        <v>1272</v>
      </c>
      <c r="BV3" s="1846" t="s">
        <v>1273</v>
      </c>
      <c r="BW3" s="1841" t="s">
        <v>1274</v>
      </c>
      <c r="BX3" s="1841" t="s">
        <v>1275</v>
      </c>
      <c r="BY3" s="1847" t="s">
        <v>1276</v>
      </c>
      <c r="BZ3" s="1840" t="s">
        <v>1074</v>
      </c>
      <c r="CA3" s="1841" t="s">
        <v>1225</v>
      </c>
      <c r="CB3" s="1846" t="s">
        <v>1433</v>
      </c>
      <c r="CC3" s="1846" t="s">
        <v>1238</v>
      </c>
      <c r="CD3" s="1846" t="s">
        <v>1239</v>
      </c>
      <c r="CE3" s="1846" t="s">
        <v>1261</v>
      </c>
      <c r="CF3" s="1846" t="s">
        <v>1240</v>
      </c>
      <c r="CG3" s="1841" t="s">
        <v>1243</v>
      </c>
      <c r="CH3" s="1846" t="s">
        <v>1244</v>
      </c>
      <c r="CI3" s="1846" t="s">
        <v>1245</v>
      </c>
      <c r="CJ3" s="1846" t="s">
        <v>1228</v>
      </c>
      <c r="CK3" s="1846" t="s">
        <v>1279</v>
      </c>
      <c r="CL3" s="1846" t="s">
        <v>1230</v>
      </c>
      <c r="CM3" s="1846" t="s">
        <v>1232</v>
      </c>
      <c r="CN3" s="1841" t="s">
        <v>1280</v>
      </c>
      <c r="CO3" s="1841" t="s">
        <v>1234</v>
      </c>
      <c r="CP3" s="1847" t="s">
        <v>1266</v>
      </c>
    </row>
    <row r="4" spans="1:94" ht="15.75" thickBot="1">
      <c r="A4" s="3202" t="s">
        <v>967</v>
      </c>
      <c r="B4" s="2558" t="str">
        <f>1&amp;"0"&amp;C4&amp;IF(LEN(SUBSTITUTE(UPPER(D4),"P/O ",""))=1,"000"&amp;SUBSTITUTE(UPPER(D4),"P/O ",""),IF(LEN(SUBSTITUTE(UPPER(D4),"P/O ",""))=2,"00"&amp;SUBSTITUTE(UPPER(D4),"P/O ",""),IF(LEN(SUBSTITUTE(UPPER(D4),"P/O ",""))=3,"0"&amp;SUBSTITUTE(UPPER(D4),"P/O ",""),SUBSTITUTE(UPPER(D4),"P/O ",""))))</f>
        <v>1022190019</v>
      </c>
      <c r="C4" s="1848">
        <v>2219</v>
      </c>
      <c r="D4" s="1848">
        <v>19</v>
      </c>
      <c r="E4" s="1849" t="s">
        <v>1436</v>
      </c>
      <c r="F4" s="1849" t="s">
        <v>1437</v>
      </c>
      <c r="G4" s="1850">
        <v>3750</v>
      </c>
      <c r="H4" s="2415" t="s">
        <v>1344</v>
      </c>
      <c r="I4" s="2407" t="s">
        <v>727</v>
      </c>
      <c r="J4" s="2406"/>
      <c r="K4" s="1851">
        <f>W4/G4</f>
        <v>1.9119999999999999</v>
      </c>
      <c r="L4" s="2402">
        <v>0</v>
      </c>
      <c r="M4" s="2402">
        <v>0</v>
      </c>
      <c r="N4" s="2402">
        <f>O4+P4+Q4+R4+S4+T4+V4</f>
        <v>7170</v>
      </c>
      <c r="O4" s="2411">
        <v>5170</v>
      </c>
      <c r="P4" s="2412">
        <v>2000</v>
      </c>
      <c r="Q4" s="2412">
        <v>0</v>
      </c>
      <c r="R4" s="2412">
        <v>0</v>
      </c>
      <c r="S4" s="2412">
        <v>0</v>
      </c>
      <c r="T4" s="2412">
        <v>0</v>
      </c>
      <c r="U4" s="2402">
        <v>0</v>
      </c>
      <c r="V4" s="2412">
        <v>0</v>
      </c>
      <c r="W4" s="2402">
        <f>N4+L4+M4+V4</f>
        <v>7170</v>
      </c>
      <c r="X4" s="2405">
        <v>0</v>
      </c>
      <c r="Y4" s="3205" t="s">
        <v>1381</v>
      </c>
      <c r="Z4" s="3208">
        <f>ROUND(G6*3.25,0)</f>
        <v>24375</v>
      </c>
      <c r="AA4" s="3208">
        <v>0</v>
      </c>
      <c r="AB4" s="2412">
        <v>0</v>
      </c>
      <c r="AC4" s="2412">
        <v>0</v>
      </c>
      <c r="AD4" s="2412">
        <v>0</v>
      </c>
      <c r="AE4" s="3208">
        <f>ROUND(0.75*G6,0)</f>
        <v>5625</v>
      </c>
      <c r="AF4" s="3209">
        <f>AE4</f>
        <v>5625</v>
      </c>
      <c r="AG4" s="3199">
        <v>0</v>
      </c>
      <c r="AH4" s="3199">
        <v>0</v>
      </c>
      <c r="AI4" s="3199">
        <v>0</v>
      </c>
      <c r="AJ4" s="3199">
        <v>0</v>
      </c>
      <c r="AK4" s="3199">
        <v>0</v>
      </c>
      <c r="AL4" s="3199">
        <v>0</v>
      </c>
      <c r="AM4" s="3208">
        <f>ROUND(4*G6,0)</f>
        <v>30000</v>
      </c>
      <c r="AN4" s="3208">
        <f>ROUND(Z4/875,0)</f>
        <v>28</v>
      </c>
      <c r="AO4" s="2406"/>
      <c r="AP4" s="2406"/>
      <c r="AQ4" s="3214">
        <v>80</v>
      </c>
      <c r="AR4" s="3217" t="s">
        <v>741</v>
      </c>
      <c r="AS4" s="3218" t="s">
        <v>706</v>
      </c>
      <c r="AT4" s="2420"/>
      <c r="AU4" s="3212">
        <v>7.2</v>
      </c>
      <c r="AV4" s="3212">
        <v>6.45</v>
      </c>
      <c r="AW4" s="3213">
        <v>0.75</v>
      </c>
      <c r="AX4" s="3212">
        <v>0</v>
      </c>
      <c r="AY4" s="3208">
        <f>ROUND(AV4*G6,0)</f>
        <v>48375</v>
      </c>
      <c r="AZ4" s="3208">
        <f>ROUND(AX4*G6,0)</f>
        <v>0</v>
      </c>
      <c r="BA4" s="3199">
        <v>0</v>
      </c>
      <c r="BB4" s="2412">
        <v>0</v>
      </c>
      <c r="BC4" s="2412">
        <v>0</v>
      </c>
      <c r="BD4" s="3199">
        <v>0</v>
      </c>
      <c r="BE4" s="3199">
        <v>0</v>
      </c>
      <c r="BF4" s="3208">
        <f>ROUND(AW4*G6,0)</f>
        <v>5625</v>
      </c>
      <c r="BG4" s="3199">
        <f>BF4</f>
        <v>5625</v>
      </c>
      <c r="BH4" s="3221">
        <v>0</v>
      </c>
      <c r="BI4" s="3225">
        <v>0</v>
      </c>
      <c r="BJ4" s="3221">
        <v>0</v>
      </c>
      <c r="BK4" s="3199">
        <v>0</v>
      </c>
      <c r="BL4" s="3199">
        <v>0</v>
      </c>
      <c r="BM4" s="3208">
        <v>0</v>
      </c>
      <c r="BN4" s="3208">
        <f>ROUND(AU4*G6,0)</f>
        <v>54000</v>
      </c>
      <c r="BO4" s="3224">
        <f>ROUND(AY4/875,0)</f>
        <v>55</v>
      </c>
      <c r="BP4" s="3229">
        <f>ROUND(BO4*0.25,0)</f>
        <v>14</v>
      </c>
      <c r="BQ4" s="3229">
        <f>BO4-BP4</f>
        <v>41</v>
      </c>
      <c r="BR4" s="3229">
        <f>ROUND(BO4*0.3,0)</f>
        <v>17</v>
      </c>
      <c r="BS4" s="3229">
        <f>BO4-BR4</f>
        <v>38</v>
      </c>
      <c r="BT4" s="3229">
        <f>ROUND(IF(((0.2*BQ4)&gt;15),(0.2*BQ4),0),0)</f>
        <v>0</v>
      </c>
      <c r="BU4" s="3229">
        <f>ROUND(IF(((0.2*BS4)&gt;15),(0.2*BS4),0),0)</f>
        <v>0</v>
      </c>
      <c r="BV4" s="2406"/>
      <c r="BW4" s="2406"/>
      <c r="BX4" s="2406"/>
      <c r="BY4" s="3214">
        <v>155</v>
      </c>
      <c r="BZ4" s="3226">
        <f>AY4-Z4</f>
        <v>24000</v>
      </c>
      <c r="CA4" s="3208">
        <f>AZ4-AA4</f>
        <v>0</v>
      </c>
      <c r="CB4" s="3208">
        <f>BA4</f>
        <v>0</v>
      </c>
      <c r="CC4" s="3224"/>
      <c r="CD4" s="3224"/>
      <c r="CE4" s="3208">
        <f>BD4</f>
        <v>0</v>
      </c>
      <c r="CF4" s="3208">
        <f>BE4-AD4</f>
        <v>0</v>
      </c>
      <c r="CG4" s="3208">
        <f>BF4-AE4</f>
        <v>0</v>
      </c>
      <c r="CH4" s="3208">
        <f>BG4-AF4</f>
        <v>0</v>
      </c>
      <c r="CI4" s="3224"/>
      <c r="CJ4" s="3208">
        <f>BI4-AH4</f>
        <v>0</v>
      </c>
      <c r="CK4" s="3208">
        <f>-AI4</f>
        <v>0</v>
      </c>
      <c r="CL4" s="3208">
        <f>BK4-AJ4</f>
        <v>0</v>
      </c>
      <c r="CM4" s="3208">
        <f>BL4-AK4</f>
        <v>0</v>
      </c>
      <c r="CN4" s="3208">
        <f>BM4-AL4</f>
        <v>0</v>
      </c>
      <c r="CO4" s="3208">
        <f>BN4-AM4</f>
        <v>24000</v>
      </c>
      <c r="CP4" s="3230">
        <f>BO4-AN4</f>
        <v>27</v>
      </c>
    </row>
    <row r="5" spans="1:94">
      <c r="A5" s="3203"/>
      <c r="B5" s="2558" t="str">
        <f>1&amp;"0"&amp;C5&amp;IF(LEN(SUBSTITUTE(UPPER(D5),"P/O ",""))=1,"000"&amp;SUBSTITUTE(UPPER(D5),"P/O ",""),IF(LEN(SUBSTITUTE(UPPER(D5),"P/O ",""))=2,"00"&amp;SUBSTITUTE(UPPER(D5),"P/O ",""),IF(LEN(SUBSTITUTE(UPPER(D5),"P/O ",""))=3,"0"&amp;SUBSTITUTE(UPPER(D5),"P/O ",""),SUBSTITUTE(UPPER(D5),"P/O ",""))))</f>
        <v>1022190017</v>
      </c>
      <c r="C5" s="1852">
        <v>2219</v>
      </c>
      <c r="D5" s="1852">
        <v>17</v>
      </c>
      <c r="E5" s="1853" t="s">
        <v>1438</v>
      </c>
      <c r="F5" s="1853" t="s">
        <v>1439</v>
      </c>
      <c r="G5" s="1854">
        <v>3750</v>
      </c>
      <c r="H5" s="2422" t="s">
        <v>1344</v>
      </c>
      <c r="I5" s="2408" t="s">
        <v>727</v>
      </c>
      <c r="J5" s="2431"/>
      <c r="K5" s="1855">
        <f>W5/G5</f>
        <v>0.66666666666666663</v>
      </c>
      <c r="L5" s="1856">
        <v>0</v>
      </c>
      <c r="M5" s="1856">
        <v>0</v>
      </c>
      <c r="N5" s="1856">
        <f>O5+P5+Q5+R5+S5+T5+V5</f>
        <v>2500</v>
      </c>
      <c r="O5" s="1857">
        <v>2500</v>
      </c>
      <c r="P5" s="1857">
        <v>0</v>
      </c>
      <c r="Q5" s="1857">
        <v>0</v>
      </c>
      <c r="R5" s="1857">
        <v>0</v>
      </c>
      <c r="S5" s="1857">
        <v>0</v>
      </c>
      <c r="T5" s="1857">
        <v>0</v>
      </c>
      <c r="U5" s="1856">
        <v>0</v>
      </c>
      <c r="V5" s="1857">
        <v>0</v>
      </c>
      <c r="W5" s="1856">
        <f>N5+L5+M5+V5</f>
        <v>2500</v>
      </c>
      <c r="X5" s="1858">
        <v>0</v>
      </c>
      <c r="Y5" s="3206"/>
      <c r="Z5" s="3200"/>
      <c r="AA5" s="3200"/>
      <c r="AB5" s="1859"/>
      <c r="AC5" s="1859"/>
      <c r="AD5" s="1859"/>
      <c r="AE5" s="3200"/>
      <c r="AF5" s="3210"/>
      <c r="AG5" s="3200"/>
      <c r="AH5" s="3200"/>
      <c r="AI5" s="3200"/>
      <c r="AJ5" s="3200"/>
      <c r="AK5" s="3200"/>
      <c r="AL5" s="3200"/>
      <c r="AM5" s="3200"/>
      <c r="AN5" s="3200"/>
      <c r="AO5" s="2431"/>
      <c r="AP5" s="2431"/>
      <c r="AQ5" s="3215"/>
      <c r="AR5" s="3206"/>
      <c r="AS5" s="3219"/>
      <c r="AT5" s="2424"/>
      <c r="AU5" s="3200"/>
      <c r="AV5" s="3200"/>
      <c r="AW5" s="3210"/>
      <c r="AX5" s="3200"/>
      <c r="AY5" s="3200"/>
      <c r="AZ5" s="3200"/>
      <c r="BA5" s="3200"/>
      <c r="BB5" s="1859"/>
      <c r="BC5" s="1859"/>
      <c r="BD5" s="3200"/>
      <c r="BE5" s="3200"/>
      <c r="BF5" s="3200"/>
      <c r="BG5" s="3200"/>
      <c r="BH5" s="3222"/>
      <c r="BI5" s="3219"/>
      <c r="BJ5" s="3222"/>
      <c r="BK5" s="3200"/>
      <c r="BL5" s="3200"/>
      <c r="BM5" s="3200"/>
      <c r="BN5" s="3200"/>
      <c r="BO5" s="3200"/>
      <c r="BP5" s="3200"/>
      <c r="BQ5" s="3200"/>
      <c r="BR5" s="3200"/>
      <c r="BS5" s="3200"/>
      <c r="BT5" s="3200"/>
      <c r="BU5" s="3200"/>
      <c r="BV5" s="2431">
        <v>0</v>
      </c>
      <c r="BW5" s="2431">
        <f>BT5</f>
        <v>0</v>
      </c>
      <c r="BX5" s="2431">
        <f>BU5</f>
        <v>0</v>
      </c>
      <c r="BY5" s="3215"/>
      <c r="BZ5" s="3227"/>
      <c r="CA5" s="3200"/>
      <c r="CB5" s="3200"/>
      <c r="CC5" s="3200"/>
      <c r="CD5" s="3200"/>
      <c r="CE5" s="3200"/>
      <c r="CF5" s="3200"/>
      <c r="CG5" s="3200"/>
      <c r="CH5" s="3200"/>
      <c r="CI5" s="3200"/>
      <c r="CJ5" s="3200"/>
      <c r="CK5" s="3200"/>
      <c r="CL5" s="3200"/>
      <c r="CM5" s="3200"/>
      <c r="CN5" s="3200"/>
      <c r="CO5" s="3200"/>
      <c r="CP5" s="3215"/>
    </row>
    <row r="6" spans="1:94">
      <c r="A6" s="3204"/>
      <c r="B6" s="451"/>
      <c r="C6" s="1860"/>
      <c r="D6" s="1861" t="s">
        <v>1440</v>
      </c>
      <c r="E6" s="1862"/>
      <c r="F6" s="1863" t="s">
        <v>1441</v>
      </c>
      <c r="G6" s="1864">
        <f>SUM(G4:G5)</f>
        <v>7500</v>
      </c>
      <c r="H6" s="2423" t="s">
        <v>1344</v>
      </c>
      <c r="I6" s="2409" t="s">
        <v>727</v>
      </c>
      <c r="J6" s="2432"/>
      <c r="K6" s="1865">
        <f>W6/G6</f>
        <v>1.2893333333333334</v>
      </c>
      <c r="L6" s="2432">
        <f>SUM(L4:L5)</f>
        <v>0</v>
      </c>
      <c r="M6" s="2432">
        <f>SUM(M4:M5)</f>
        <v>0</v>
      </c>
      <c r="N6" s="2432">
        <f>SUM(N4:N5)</f>
        <v>9670</v>
      </c>
      <c r="O6" s="1866">
        <f>SUM(O4:O5)</f>
        <v>7670</v>
      </c>
      <c r="P6" s="1866">
        <f>SUM(P4:P5)</f>
        <v>2000</v>
      </c>
      <c r="Q6" s="1867">
        <v>0</v>
      </c>
      <c r="R6" s="1866">
        <f t="shared" ref="R6:X6" si="0">SUM(R4:R5)</f>
        <v>0</v>
      </c>
      <c r="S6" s="1866">
        <f t="shared" si="0"/>
        <v>0</v>
      </c>
      <c r="T6" s="1866">
        <f t="shared" si="0"/>
        <v>0</v>
      </c>
      <c r="U6" s="2432">
        <f t="shared" si="0"/>
        <v>0</v>
      </c>
      <c r="V6" s="1866">
        <f t="shared" si="0"/>
        <v>0</v>
      </c>
      <c r="W6" s="2432">
        <f t="shared" si="0"/>
        <v>9670</v>
      </c>
      <c r="X6" s="1868">
        <f t="shared" si="0"/>
        <v>0</v>
      </c>
      <c r="Y6" s="3207"/>
      <c r="Z6" s="3201"/>
      <c r="AA6" s="3201"/>
      <c r="AB6" s="1867"/>
      <c r="AC6" s="1867"/>
      <c r="AD6" s="1867"/>
      <c r="AE6" s="3201"/>
      <c r="AF6" s="3211"/>
      <c r="AG6" s="3201"/>
      <c r="AH6" s="3201"/>
      <c r="AI6" s="3201"/>
      <c r="AJ6" s="3201"/>
      <c r="AK6" s="3201"/>
      <c r="AL6" s="3201"/>
      <c r="AM6" s="3201"/>
      <c r="AN6" s="3201"/>
      <c r="AO6" s="2432"/>
      <c r="AP6" s="2432"/>
      <c r="AQ6" s="3216"/>
      <c r="AR6" s="3207"/>
      <c r="AS6" s="3220"/>
      <c r="AT6" s="2425"/>
      <c r="AU6" s="3201"/>
      <c r="AV6" s="3201"/>
      <c r="AW6" s="3211"/>
      <c r="AX6" s="3201"/>
      <c r="AY6" s="3201"/>
      <c r="AZ6" s="3201"/>
      <c r="BA6" s="3201"/>
      <c r="BB6" s="1867"/>
      <c r="BC6" s="1867"/>
      <c r="BD6" s="3201"/>
      <c r="BE6" s="3201"/>
      <c r="BF6" s="3201"/>
      <c r="BG6" s="3201"/>
      <c r="BH6" s="3223"/>
      <c r="BI6" s="3220"/>
      <c r="BJ6" s="3223"/>
      <c r="BK6" s="3201"/>
      <c r="BL6" s="3201"/>
      <c r="BM6" s="3201"/>
      <c r="BN6" s="3201"/>
      <c r="BO6" s="3201"/>
      <c r="BP6" s="3201"/>
      <c r="BQ6" s="3201"/>
      <c r="BR6" s="3201"/>
      <c r="BS6" s="3201"/>
      <c r="BT6" s="3201"/>
      <c r="BU6" s="3201"/>
      <c r="BV6" s="2432"/>
      <c r="BW6" s="2432"/>
      <c r="BX6" s="2432"/>
      <c r="BY6" s="3216"/>
      <c r="BZ6" s="3228"/>
      <c r="CA6" s="3201"/>
      <c r="CB6" s="3201"/>
      <c r="CC6" s="3201"/>
      <c r="CD6" s="3201"/>
      <c r="CE6" s="3201"/>
      <c r="CF6" s="3201"/>
      <c r="CG6" s="3201"/>
      <c r="CH6" s="3201"/>
      <c r="CI6" s="3201"/>
      <c r="CJ6" s="3201"/>
      <c r="CK6" s="3201"/>
      <c r="CL6" s="3201"/>
      <c r="CM6" s="3201"/>
      <c r="CN6" s="3201"/>
      <c r="CO6" s="3201"/>
      <c r="CP6" s="3216"/>
    </row>
    <row r="7" spans="1:94" ht="15.75" thickBot="1">
      <c r="A7" s="1869"/>
      <c r="B7" s="1870"/>
      <c r="C7" s="1870"/>
      <c r="D7" s="1870"/>
      <c r="E7" s="1870"/>
      <c r="F7" s="1870"/>
      <c r="G7" s="1871"/>
      <c r="H7" s="1872"/>
      <c r="I7" s="1873"/>
      <c r="J7" s="1873"/>
      <c r="K7" s="1874"/>
      <c r="L7" s="1875"/>
      <c r="M7" s="1875"/>
      <c r="N7" s="1875"/>
      <c r="O7" s="1876"/>
      <c r="P7" s="1876"/>
      <c r="Q7" s="1876"/>
      <c r="R7" s="1876"/>
      <c r="S7" s="1876"/>
      <c r="T7" s="1876"/>
      <c r="U7" s="1877"/>
      <c r="V7" s="1876"/>
      <c r="W7" s="1875"/>
      <c r="X7" s="1878"/>
      <c r="Y7" s="1872"/>
      <c r="Z7" s="1875"/>
      <c r="AA7" s="1875"/>
      <c r="AB7" s="1876"/>
      <c r="AC7" s="1876"/>
      <c r="AD7" s="1876"/>
      <c r="AE7" s="1875"/>
      <c r="AF7" s="1876"/>
      <c r="AG7" s="1876"/>
      <c r="AH7" s="1876"/>
      <c r="AI7" s="1876"/>
      <c r="AJ7" s="1876"/>
      <c r="AK7" s="1876"/>
      <c r="AL7" s="1876"/>
      <c r="AM7" s="1875"/>
      <c r="AN7" s="1875"/>
      <c r="AO7" s="1879"/>
      <c r="AP7" s="1873"/>
      <c r="AQ7" s="1880"/>
      <c r="AR7" s="1872"/>
      <c r="AS7" s="1873"/>
      <c r="AT7" s="1881"/>
      <c r="AU7" s="1874"/>
      <c r="AV7" s="1874"/>
      <c r="AW7" s="1874"/>
      <c r="AX7" s="1874"/>
      <c r="AY7" s="1875"/>
      <c r="AZ7" s="1875"/>
      <c r="BA7" s="1876"/>
      <c r="BB7" s="1876"/>
      <c r="BC7" s="1876"/>
      <c r="BD7" s="1876"/>
      <c r="BE7" s="1876"/>
      <c r="BF7" s="1875"/>
      <c r="BG7" s="1876"/>
      <c r="BH7" s="1876"/>
      <c r="BI7" s="1876"/>
      <c r="BJ7" s="1876"/>
      <c r="BK7" s="1876"/>
      <c r="BL7" s="1876"/>
      <c r="BM7" s="1877"/>
      <c r="BN7" s="1875"/>
      <c r="BO7" s="1873"/>
      <c r="BP7" s="1879"/>
      <c r="BQ7" s="1879"/>
      <c r="BR7" s="1879"/>
      <c r="BS7" s="1879"/>
      <c r="BT7" s="1879"/>
      <c r="BU7" s="1879"/>
      <c r="BV7" s="1879"/>
      <c r="BW7" s="1873"/>
      <c r="BX7" s="1873"/>
      <c r="BY7" s="1880"/>
      <c r="BZ7" s="1872"/>
      <c r="CA7" s="1873"/>
      <c r="CB7" s="1879"/>
      <c r="CC7" s="1879"/>
      <c r="CD7" s="1879"/>
      <c r="CE7" s="1879"/>
      <c r="CF7" s="1879"/>
      <c r="CG7" s="1882"/>
      <c r="CH7" s="1879"/>
      <c r="CI7" s="1879"/>
      <c r="CJ7" s="1879"/>
      <c r="CK7" s="1879"/>
      <c r="CL7" s="1879"/>
      <c r="CM7" s="1879"/>
      <c r="CN7" s="1882"/>
      <c r="CO7" s="1873"/>
      <c r="CP7" s="1880"/>
    </row>
    <row r="8" spans="1:94" ht="15.75" thickBot="1">
      <c r="A8" s="3202" t="s">
        <v>848</v>
      </c>
      <c r="B8" s="2558" t="str">
        <f t="shared" ref="B8:B10" si="1">1&amp;"0"&amp;C8&amp;IF(LEN(SUBSTITUTE(UPPER(D8),"P/O ",""))=1,"000"&amp;SUBSTITUTE(UPPER(D8),"P/O ",""),IF(LEN(SUBSTITUTE(UPPER(D8),"P/O ",""))=2,"00"&amp;SUBSTITUTE(UPPER(D8),"P/O ",""),IF(LEN(SUBSTITUTE(UPPER(D8),"P/O ",""))=3,"0"&amp;SUBSTITUTE(UPPER(D8),"P/O ",""),SUBSTITUTE(UPPER(D8),"P/O ",""))))</f>
        <v>1022150801</v>
      </c>
      <c r="C8" s="1883">
        <v>2215</v>
      </c>
      <c r="D8" s="1883">
        <v>801</v>
      </c>
      <c r="E8" s="1884" t="s">
        <v>1442</v>
      </c>
      <c r="F8" s="1884" t="s">
        <v>1443</v>
      </c>
      <c r="G8" s="1850">
        <v>10432</v>
      </c>
      <c r="H8" s="1885" t="s">
        <v>947</v>
      </c>
      <c r="I8" s="2407"/>
      <c r="J8" s="2402" t="s">
        <v>1444</v>
      </c>
      <c r="K8" s="1851">
        <f>W8/G8</f>
        <v>0</v>
      </c>
      <c r="L8" s="2402">
        <v>0</v>
      </c>
      <c r="M8" s="2402">
        <v>0</v>
      </c>
      <c r="N8" s="2402">
        <f>O8+P8+Q8+R8+S8+T8</f>
        <v>0</v>
      </c>
      <c r="O8" s="2412">
        <v>0</v>
      </c>
      <c r="P8" s="2412">
        <v>0</v>
      </c>
      <c r="Q8" s="2412">
        <v>0</v>
      </c>
      <c r="R8" s="2412">
        <v>0</v>
      </c>
      <c r="S8" s="2412">
        <v>0</v>
      </c>
      <c r="T8" s="2412">
        <v>0</v>
      </c>
      <c r="U8" s="2402">
        <v>0</v>
      </c>
      <c r="V8" s="2412">
        <v>0</v>
      </c>
      <c r="W8" s="2402">
        <f>L8+M8+N8+U8</f>
        <v>0</v>
      </c>
      <c r="X8" s="2405">
        <v>0</v>
      </c>
      <c r="Y8" s="3205" t="s">
        <v>1023</v>
      </c>
      <c r="Z8" s="3208">
        <f>L11</f>
        <v>0</v>
      </c>
      <c r="AA8" s="3208">
        <f>M11</f>
        <v>0</v>
      </c>
      <c r="AB8" s="3199">
        <v>0</v>
      </c>
      <c r="AC8" s="3199">
        <v>0</v>
      </c>
      <c r="AD8" s="3199">
        <v>0</v>
      </c>
      <c r="AE8" s="3208">
        <f>N11</f>
        <v>6600</v>
      </c>
      <c r="AF8" s="3199">
        <f>O11</f>
        <v>0</v>
      </c>
      <c r="AG8" s="3199">
        <v>0</v>
      </c>
      <c r="AH8" s="3199">
        <f>P11</f>
        <v>1800</v>
      </c>
      <c r="AI8" s="3199">
        <v>4800</v>
      </c>
      <c r="AJ8" s="3199">
        <v>0</v>
      </c>
      <c r="AK8" s="3199">
        <f>T11</f>
        <v>0</v>
      </c>
      <c r="AL8" s="3199">
        <f>U11</f>
        <v>0</v>
      </c>
      <c r="AM8" s="3208">
        <f>W11</f>
        <v>6600</v>
      </c>
      <c r="AN8" s="3208">
        <f>X11</f>
        <v>0</v>
      </c>
      <c r="AO8" s="3224"/>
      <c r="AP8" s="3224"/>
      <c r="AQ8" s="3214">
        <v>30</v>
      </c>
      <c r="AR8" s="3217" t="s">
        <v>1296</v>
      </c>
      <c r="AS8" s="3218"/>
      <c r="AT8" s="3238" t="s">
        <v>1445</v>
      </c>
      <c r="AU8" s="3212">
        <v>6.5</v>
      </c>
      <c r="AV8" s="3212">
        <v>0</v>
      </c>
      <c r="AW8" s="3212">
        <v>0.75</v>
      </c>
      <c r="AX8" s="3212">
        <v>5.75</v>
      </c>
      <c r="AY8" s="3208">
        <f>ROUND(AV8*G11,0)</f>
        <v>0</v>
      </c>
      <c r="AZ8" s="3208">
        <f>ROUND(AX8*G11,0)</f>
        <v>98256</v>
      </c>
      <c r="BA8" s="3199">
        <v>0</v>
      </c>
      <c r="BB8" s="3199">
        <v>0</v>
      </c>
      <c r="BC8" s="3199">
        <v>0</v>
      </c>
      <c r="BD8" s="3199">
        <f>ROUND(AZ8*0.5,0)</f>
        <v>49128</v>
      </c>
      <c r="BE8" s="3199">
        <f>ROUND(AZ8*0.5,0)</f>
        <v>49128</v>
      </c>
      <c r="BF8" s="3208">
        <f>ROUND(AW8*G11,0)</f>
        <v>12816</v>
      </c>
      <c r="BG8" s="3199">
        <v>5000</v>
      </c>
      <c r="BH8" s="3199">
        <v>0</v>
      </c>
      <c r="BI8" s="3199">
        <f>BF8-BG8</f>
        <v>7816</v>
      </c>
      <c r="BJ8" s="3199">
        <v>0</v>
      </c>
      <c r="BK8" s="3199">
        <v>0</v>
      </c>
      <c r="BL8" s="3199">
        <v>0</v>
      </c>
      <c r="BM8" s="3208">
        <v>0</v>
      </c>
      <c r="BN8" s="3208">
        <f>ROUND(G11*AU8,0)</f>
        <v>111072</v>
      </c>
      <c r="BO8" s="3224">
        <f>ROUND(AY8/875,0)</f>
        <v>0</v>
      </c>
      <c r="BP8" s="3229">
        <f>ROUND(BO8*0.25,0)</f>
        <v>0</v>
      </c>
      <c r="BQ8" s="3229">
        <f>BO8-BP8</f>
        <v>0</v>
      </c>
      <c r="BR8" s="3229">
        <f>ROUND(BO8*0.3,0)</f>
        <v>0</v>
      </c>
      <c r="BS8" s="3229">
        <f>BO8-BR8</f>
        <v>0</v>
      </c>
      <c r="BT8" s="3224">
        <f>ROUND(IF(((0.2*BQ8)&gt;15),(0.2*BQ8),0),0)</f>
        <v>0</v>
      </c>
      <c r="BU8" s="3224">
        <f>ROUND(IF(((0.2*BS8)&gt;15),(0.2*BS8),0),0)</f>
        <v>0</v>
      </c>
      <c r="BV8" s="3224">
        <v>0</v>
      </c>
      <c r="BW8" s="3224">
        <f t="shared" ref="BW8:BX11" si="2">BT8</f>
        <v>0</v>
      </c>
      <c r="BX8" s="3224">
        <f t="shared" si="2"/>
        <v>0</v>
      </c>
      <c r="BY8" s="3214">
        <v>265</v>
      </c>
      <c r="BZ8" s="3226">
        <f>AY8-Z8</f>
        <v>0</v>
      </c>
      <c r="CA8" s="3208">
        <f>AZ8-AA8</f>
        <v>98256</v>
      </c>
      <c r="CB8" s="3208">
        <f>BA8</f>
        <v>0</v>
      </c>
      <c r="CC8" s="3224"/>
      <c r="CD8" s="3224"/>
      <c r="CE8" s="3208">
        <f>BD8</f>
        <v>49128</v>
      </c>
      <c r="CF8" s="3208">
        <f>BE8-AD8</f>
        <v>49128</v>
      </c>
      <c r="CG8" s="3208">
        <f>BF8-AE8</f>
        <v>6216</v>
      </c>
      <c r="CH8" s="3208">
        <f>BG8-AF8</f>
        <v>5000</v>
      </c>
      <c r="CI8" s="3224"/>
      <c r="CJ8" s="3208">
        <f>BI8-AH8</f>
        <v>6016</v>
      </c>
      <c r="CK8" s="3208">
        <f>-AI8</f>
        <v>-4800</v>
      </c>
      <c r="CL8" s="3208">
        <f>BK8-AJ8</f>
        <v>0</v>
      </c>
      <c r="CM8" s="3208">
        <f>BL8-AK8</f>
        <v>0</v>
      </c>
      <c r="CN8" s="3208">
        <f>BM8-AL8</f>
        <v>0</v>
      </c>
      <c r="CO8" s="3208">
        <f>BN8-AM8</f>
        <v>104472</v>
      </c>
      <c r="CP8" s="3230">
        <f>BO8-AN8</f>
        <v>0</v>
      </c>
    </row>
    <row r="9" spans="1:94" ht="15.75" thickBot="1">
      <c r="A9" s="3235"/>
      <c r="B9" s="2558" t="str">
        <f t="shared" si="1"/>
        <v>1022150806</v>
      </c>
      <c r="C9" s="1886">
        <v>2215</v>
      </c>
      <c r="D9" s="1886">
        <v>806</v>
      </c>
      <c r="E9" s="1887" t="s">
        <v>1446</v>
      </c>
      <c r="F9" s="1887" t="s">
        <v>1447</v>
      </c>
      <c r="G9" s="1888">
        <v>756</v>
      </c>
      <c r="H9" s="1889" t="s">
        <v>947</v>
      </c>
      <c r="I9" s="2408"/>
      <c r="J9" s="2433" t="s">
        <v>1444</v>
      </c>
      <c r="K9" s="1855">
        <f>W9/G9</f>
        <v>0</v>
      </c>
      <c r="L9" s="2433">
        <v>0</v>
      </c>
      <c r="M9" s="2433">
        <v>0</v>
      </c>
      <c r="N9" s="2433">
        <f>O9+P9+Q9+R9+S9+T9</f>
        <v>0</v>
      </c>
      <c r="O9" s="1859">
        <v>0</v>
      </c>
      <c r="P9" s="1859">
        <v>0</v>
      </c>
      <c r="Q9" s="1859">
        <v>0</v>
      </c>
      <c r="R9" s="1859">
        <v>0</v>
      </c>
      <c r="S9" s="1859">
        <v>0</v>
      </c>
      <c r="T9" s="1859">
        <v>0</v>
      </c>
      <c r="U9" s="2433">
        <v>0</v>
      </c>
      <c r="V9" s="1859">
        <v>0</v>
      </c>
      <c r="W9" s="2433">
        <f>L9+M9+N9+U9</f>
        <v>0</v>
      </c>
      <c r="X9" s="2435">
        <v>0</v>
      </c>
      <c r="Y9" s="3236"/>
      <c r="Z9" s="3233"/>
      <c r="AA9" s="3233"/>
      <c r="AB9" s="3231"/>
      <c r="AC9" s="3231"/>
      <c r="AD9" s="3231"/>
      <c r="AE9" s="3233"/>
      <c r="AF9" s="3231"/>
      <c r="AG9" s="3231"/>
      <c r="AH9" s="3231"/>
      <c r="AI9" s="3231"/>
      <c r="AJ9" s="3231"/>
      <c r="AK9" s="3231"/>
      <c r="AL9" s="3231"/>
      <c r="AM9" s="3233"/>
      <c r="AN9" s="3233"/>
      <c r="AO9" s="3200"/>
      <c r="AP9" s="3200"/>
      <c r="AQ9" s="3215"/>
      <c r="AR9" s="3206"/>
      <c r="AS9" s="3219"/>
      <c r="AT9" s="3239"/>
      <c r="AU9" s="3200"/>
      <c r="AV9" s="3200"/>
      <c r="AW9" s="3200"/>
      <c r="AX9" s="3200"/>
      <c r="AY9" s="3233"/>
      <c r="AZ9" s="3233"/>
      <c r="BA9" s="3231"/>
      <c r="BB9" s="3231"/>
      <c r="BC9" s="3231"/>
      <c r="BD9" s="3231"/>
      <c r="BE9" s="3231"/>
      <c r="BF9" s="3233"/>
      <c r="BG9" s="3231"/>
      <c r="BH9" s="3231"/>
      <c r="BI9" s="3231"/>
      <c r="BJ9" s="3231"/>
      <c r="BK9" s="3231"/>
      <c r="BL9" s="3231"/>
      <c r="BM9" s="3233"/>
      <c r="BN9" s="3233"/>
      <c r="BO9" s="3200"/>
      <c r="BP9" s="3241"/>
      <c r="BQ9" s="3241"/>
      <c r="BR9" s="3241"/>
      <c r="BS9" s="3241"/>
      <c r="BT9" s="3200">
        <f>ROUND(IF(((0.2*BQ9)&gt;15),(0.2*BQ9),0),0)</f>
        <v>0</v>
      </c>
      <c r="BU9" s="3200">
        <f>ROUND(IF(((0.2*BS9)&gt;15),(0.2*BS9),0),0)</f>
        <v>0</v>
      </c>
      <c r="BV9" s="3200"/>
      <c r="BW9" s="3200">
        <f t="shared" si="2"/>
        <v>0</v>
      </c>
      <c r="BX9" s="3200">
        <f t="shared" si="2"/>
        <v>0</v>
      </c>
      <c r="BY9" s="3215"/>
      <c r="BZ9" s="3227"/>
      <c r="CA9" s="3200"/>
      <c r="CB9" s="3200"/>
      <c r="CC9" s="3200"/>
      <c r="CD9" s="3200"/>
      <c r="CE9" s="3200"/>
      <c r="CF9" s="3200"/>
      <c r="CG9" s="3200"/>
      <c r="CH9" s="3200"/>
      <c r="CI9" s="3200"/>
      <c r="CJ9" s="3200"/>
      <c r="CK9" s="3200"/>
      <c r="CL9" s="3200"/>
      <c r="CM9" s="3200"/>
      <c r="CN9" s="3200"/>
      <c r="CO9" s="3200"/>
      <c r="CP9" s="3215"/>
    </row>
    <row r="10" spans="1:94">
      <c r="A10" s="3235"/>
      <c r="B10" s="2558" t="str">
        <f t="shared" si="1"/>
        <v>1022150807</v>
      </c>
      <c r="C10" s="1886">
        <v>2215</v>
      </c>
      <c r="D10" s="1886">
        <v>807</v>
      </c>
      <c r="E10" s="1887" t="s">
        <v>1448</v>
      </c>
      <c r="F10" s="1887" t="s">
        <v>1447</v>
      </c>
      <c r="G10" s="1854">
        <v>5900</v>
      </c>
      <c r="H10" s="1889" t="s">
        <v>947</v>
      </c>
      <c r="I10" s="2408"/>
      <c r="J10" s="2433" t="s">
        <v>1449</v>
      </c>
      <c r="K10" s="1855">
        <f>W10/G10</f>
        <v>1.1186440677966101</v>
      </c>
      <c r="L10" s="1856">
        <v>0</v>
      </c>
      <c r="M10" s="1856">
        <v>0</v>
      </c>
      <c r="N10" s="1856">
        <f>O10+P10+Q10+R10+S10+T10</f>
        <v>6600</v>
      </c>
      <c r="O10" s="1857">
        <v>0</v>
      </c>
      <c r="P10" s="1857">
        <v>1800</v>
      </c>
      <c r="Q10" s="1857">
        <v>4800</v>
      </c>
      <c r="R10" s="1857">
        <v>0</v>
      </c>
      <c r="S10" s="1857">
        <v>0</v>
      </c>
      <c r="T10" s="1857">
        <v>0</v>
      </c>
      <c r="U10" s="1856">
        <v>0</v>
      </c>
      <c r="V10" s="1857">
        <v>0</v>
      </c>
      <c r="W10" s="1856">
        <f>L10+M10+N10+U10</f>
        <v>6600</v>
      </c>
      <c r="X10" s="1858">
        <v>0</v>
      </c>
      <c r="Y10" s="3236"/>
      <c r="Z10" s="3233"/>
      <c r="AA10" s="3233"/>
      <c r="AB10" s="3231"/>
      <c r="AC10" s="3231"/>
      <c r="AD10" s="3231"/>
      <c r="AE10" s="3233"/>
      <c r="AF10" s="3231"/>
      <c r="AG10" s="3231"/>
      <c r="AH10" s="3231"/>
      <c r="AI10" s="3231"/>
      <c r="AJ10" s="3231"/>
      <c r="AK10" s="3231"/>
      <c r="AL10" s="3231"/>
      <c r="AM10" s="3233"/>
      <c r="AN10" s="3233"/>
      <c r="AO10" s="3200"/>
      <c r="AP10" s="3200"/>
      <c r="AQ10" s="3215"/>
      <c r="AR10" s="3206"/>
      <c r="AS10" s="3219"/>
      <c r="AT10" s="3239"/>
      <c r="AU10" s="3200"/>
      <c r="AV10" s="3200"/>
      <c r="AW10" s="3200"/>
      <c r="AX10" s="3200"/>
      <c r="AY10" s="3233"/>
      <c r="AZ10" s="3233"/>
      <c r="BA10" s="3231"/>
      <c r="BB10" s="3231"/>
      <c r="BC10" s="3231"/>
      <c r="BD10" s="3231"/>
      <c r="BE10" s="3231"/>
      <c r="BF10" s="3233"/>
      <c r="BG10" s="3231"/>
      <c r="BH10" s="3231"/>
      <c r="BI10" s="3231"/>
      <c r="BJ10" s="3231"/>
      <c r="BK10" s="3231"/>
      <c r="BL10" s="3231"/>
      <c r="BM10" s="3233"/>
      <c r="BN10" s="3233"/>
      <c r="BO10" s="3200"/>
      <c r="BP10" s="3241"/>
      <c r="BQ10" s="3241"/>
      <c r="BR10" s="3241"/>
      <c r="BS10" s="3241"/>
      <c r="BT10" s="3200">
        <f>ROUND(IF(((0.2*BQ10)&gt;15),(0.2*BQ10),0),0)</f>
        <v>0</v>
      </c>
      <c r="BU10" s="3200">
        <f>ROUND(IF(((0.2*BS10)&gt;15),(0.2*BS10),0),0)</f>
        <v>0</v>
      </c>
      <c r="BV10" s="3200"/>
      <c r="BW10" s="3200">
        <f t="shared" si="2"/>
        <v>0</v>
      </c>
      <c r="BX10" s="3200">
        <f t="shared" si="2"/>
        <v>0</v>
      </c>
      <c r="BY10" s="3215"/>
      <c r="BZ10" s="3227"/>
      <c r="CA10" s="3200"/>
      <c r="CB10" s="3200"/>
      <c r="CC10" s="3200"/>
      <c r="CD10" s="3200"/>
      <c r="CE10" s="3200"/>
      <c r="CF10" s="3200"/>
      <c r="CG10" s="3200"/>
      <c r="CH10" s="3200"/>
      <c r="CI10" s="3200"/>
      <c r="CJ10" s="3200"/>
      <c r="CK10" s="3200"/>
      <c r="CL10" s="3200"/>
      <c r="CM10" s="3200"/>
      <c r="CN10" s="3200"/>
      <c r="CO10" s="3200"/>
      <c r="CP10" s="3215"/>
    </row>
    <row r="11" spans="1:94">
      <c r="A11" s="3204"/>
      <c r="B11" s="451"/>
      <c r="C11" s="1860"/>
      <c r="D11" s="1861" t="s">
        <v>1450</v>
      </c>
      <c r="E11" s="1862"/>
      <c r="F11" s="1863" t="s">
        <v>1450</v>
      </c>
      <c r="G11" s="1864">
        <f>SUM(G8:G10)</f>
        <v>17088</v>
      </c>
      <c r="H11" s="2423"/>
      <c r="I11" s="2409"/>
      <c r="J11" s="2432"/>
      <c r="K11" s="1865">
        <f>W11/G11</f>
        <v>0.3862359550561798</v>
      </c>
      <c r="L11" s="2434">
        <f>SUM(L8:L10)</f>
        <v>0</v>
      </c>
      <c r="M11" s="2434">
        <f t="shared" ref="M11:X11" si="3">SUM(M8:M10)</f>
        <v>0</v>
      </c>
      <c r="N11" s="2434">
        <f>SUM(N8:N10)</f>
        <v>6600</v>
      </c>
      <c r="O11" s="1867">
        <f t="shared" si="3"/>
        <v>0</v>
      </c>
      <c r="P11" s="1867">
        <f t="shared" si="3"/>
        <v>1800</v>
      </c>
      <c r="Q11" s="1867">
        <f t="shared" si="3"/>
        <v>4800</v>
      </c>
      <c r="R11" s="1867">
        <f t="shared" si="3"/>
        <v>0</v>
      </c>
      <c r="S11" s="1867">
        <f t="shared" si="3"/>
        <v>0</v>
      </c>
      <c r="T11" s="1867">
        <f t="shared" si="3"/>
        <v>0</v>
      </c>
      <c r="U11" s="2434">
        <f t="shared" si="3"/>
        <v>0</v>
      </c>
      <c r="V11" s="1867">
        <f t="shared" si="3"/>
        <v>0</v>
      </c>
      <c r="W11" s="2434">
        <f t="shared" si="3"/>
        <v>6600</v>
      </c>
      <c r="X11" s="2436">
        <f t="shared" si="3"/>
        <v>0</v>
      </c>
      <c r="Y11" s="3237"/>
      <c r="Z11" s="3234"/>
      <c r="AA11" s="3234"/>
      <c r="AB11" s="3232"/>
      <c r="AC11" s="3232"/>
      <c r="AD11" s="3232"/>
      <c r="AE11" s="3234"/>
      <c r="AF11" s="3232"/>
      <c r="AG11" s="3232"/>
      <c r="AH11" s="3232"/>
      <c r="AI11" s="3232"/>
      <c r="AJ11" s="3232"/>
      <c r="AK11" s="3232"/>
      <c r="AL11" s="3232"/>
      <c r="AM11" s="3234"/>
      <c r="AN11" s="3234"/>
      <c r="AO11" s="3201"/>
      <c r="AP11" s="3201"/>
      <c r="AQ11" s="3216"/>
      <c r="AR11" s="3207"/>
      <c r="AS11" s="3220"/>
      <c r="AT11" s="3240"/>
      <c r="AU11" s="3201"/>
      <c r="AV11" s="3201"/>
      <c r="AW11" s="3201"/>
      <c r="AX11" s="3201"/>
      <c r="AY11" s="3234"/>
      <c r="AZ11" s="3234"/>
      <c r="BA11" s="3232"/>
      <c r="BB11" s="3232"/>
      <c r="BC11" s="3232"/>
      <c r="BD11" s="3232"/>
      <c r="BE11" s="3232"/>
      <c r="BF11" s="3234"/>
      <c r="BG11" s="3232"/>
      <c r="BH11" s="3232"/>
      <c r="BI11" s="3232"/>
      <c r="BJ11" s="3232"/>
      <c r="BK11" s="3232"/>
      <c r="BL11" s="3232"/>
      <c r="BM11" s="3234"/>
      <c r="BN11" s="3234"/>
      <c r="BO11" s="3201"/>
      <c r="BP11" s="3242"/>
      <c r="BQ11" s="3242"/>
      <c r="BR11" s="3242"/>
      <c r="BS11" s="3242"/>
      <c r="BT11" s="3201">
        <f>ROUND(IF(((0.2*BQ11)&gt;15),(0.2*BQ11),0),0)</f>
        <v>0</v>
      </c>
      <c r="BU11" s="3201">
        <f>ROUND(IF(((0.2*BS11)&gt;15),(0.2*BS11),0),0)</f>
        <v>0</v>
      </c>
      <c r="BV11" s="3201"/>
      <c r="BW11" s="3201">
        <f t="shared" si="2"/>
        <v>0</v>
      </c>
      <c r="BX11" s="3201">
        <f t="shared" si="2"/>
        <v>0</v>
      </c>
      <c r="BY11" s="3216"/>
      <c r="BZ11" s="3228"/>
      <c r="CA11" s="3201"/>
      <c r="CB11" s="3201"/>
      <c r="CC11" s="3201"/>
      <c r="CD11" s="3201"/>
      <c r="CE11" s="3201"/>
      <c r="CF11" s="3201"/>
      <c r="CG11" s="3201"/>
      <c r="CH11" s="3201"/>
      <c r="CI11" s="3201"/>
      <c r="CJ11" s="3201"/>
      <c r="CK11" s="3201"/>
      <c r="CL11" s="3201"/>
      <c r="CM11" s="3201"/>
      <c r="CN11" s="3201"/>
      <c r="CO11" s="3201"/>
      <c r="CP11" s="3216"/>
    </row>
    <row r="12" spans="1:94" ht="15.75" thickBot="1">
      <c r="A12" s="1890"/>
      <c r="B12" s="1827"/>
      <c r="C12" s="1094"/>
      <c r="D12" s="1094"/>
      <c r="E12" s="1617"/>
      <c r="F12" s="1617"/>
      <c r="G12" s="1888"/>
      <c r="H12" s="2422"/>
      <c r="I12" s="2408"/>
      <c r="J12" s="2431"/>
      <c r="K12" s="1855"/>
      <c r="L12" s="2433"/>
      <c r="M12" s="2433"/>
      <c r="N12" s="2433"/>
      <c r="O12" s="1859"/>
      <c r="P12" s="1859"/>
      <c r="Q12" s="1859"/>
      <c r="R12" s="1859"/>
      <c r="S12" s="1859"/>
      <c r="T12" s="1859"/>
      <c r="U12" s="2433"/>
      <c r="V12" s="1859"/>
      <c r="W12" s="2433"/>
      <c r="X12" s="2435"/>
      <c r="Y12" s="2429"/>
      <c r="Z12" s="2433"/>
      <c r="AA12" s="2433"/>
      <c r="AB12" s="1859"/>
      <c r="AC12" s="1859"/>
      <c r="AD12" s="1859"/>
      <c r="AE12" s="2433"/>
      <c r="AF12" s="1859"/>
      <c r="AG12" s="1859"/>
      <c r="AH12" s="1859"/>
      <c r="AI12" s="1859"/>
      <c r="AJ12" s="1859"/>
      <c r="AK12" s="1859"/>
      <c r="AL12" s="1859"/>
      <c r="AM12" s="2433"/>
      <c r="AN12" s="2433"/>
      <c r="AO12" s="2431"/>
      <c r="AP12" s="2431"/>
      <c r="AQ12" s="2426"/>
      <c r="AR12" s="2422"/>
      <c r="AS12" s="2408"/>
      <c r="AT12" s="2424"/>
      <c r="AU12" s="1891"/>
      <c r="AV12" s="1891"/>
      <c r="AW12" s="1891"/>
      <c r="AX12" s="1891"/>
      <c r="AY12" s="2433"/>
      <c r="AZ12" s="2433"/>
      <c r="BA12" s="1859"/>
      <c r="BB12" s="1859"/>
      <c r="BC12" s="1859"/>
      <c r="BD12" s="1859"/>
      <c r="BE12" s="1859"/>
      <c r="BF12" s="2433"/>
      <c r="BG12" s="1859"/>
      <c r="BH12" s="1859"/>
      <c r="BI12" s="1859"/>
      <c r="BJ12" s="1859"/>
      <c r="BK12" s="1859"/>
      <c r="BL12" s="1859"/>
      <c r="BM12" s="2433"/>
      <c r="BN12" s="2433"/>
      <c r="BO12" s="2431"/>
      <c r="BP12" s="1892"/>
      <c r="BQ12" s="1892"/>
      <c r="BR12" s="1892"/>
      <c r="BS12" s="1892"/>
      <c r="BT12" s="2431"/>
      <c r="BU12" s="2431"/>
      <c r="BV12" s="2431"/>
      <c r="BW12" s="2431"/>
      <c r="BX12" s="2431"/>
      <c r="BY12" s="2426"/>
      <c r="BZ12" s="1893"/>
      <c r="CA12" s="2431"/>
      <c r="CB12" s="2431"/>
      <c r="CC12" s="2431"/>
      <c r="CD12" s="2431"/>
      <c r="CE12" s="2431"/>
      <c r="CF12" s="2431"/>
      <c r="CG12" s="2431"/>
      <c r="CH12" s="2431"/>
      <c r="CI12" s="2431"/>
      <c r="CJ12" s="2431"/>
      <c r="CK12" s="2431"/>
      <c r="CL12" s="2431"/>
      <c r="CM12" s="2431"/>
      <c r="CN12" s="2431"/>
      <c r="CO12" s="2431"/>
      <c r="CP12" s="2426"/>
    </row>
    <row r="13" spans="1:94" ht="15.75" thickBot="1">
      <c r="A13" s="3202" t="s">
        <v>850</v>
      </c>
      <c r="B13" s="2558" t="str">
        <f t="shared" ref="B13:B15" si="4">1&amp;"0"&amp;C13&amp;IF(LEN(SUBSTITUTE(UPPER(D13),"P/O ",""))=1,"000"&amp;SUBSTITUTE(UPPER(D13),"P/O ",""),IF(LEN(SUBSTITUTE(UPPER(D13),"P/O ",""))=2,"00"&amp;SUBSTITUTE(UPPER(D13),"P/O ",""),IF(LEN(SUBSTITUTE(UPPER(D13),"P/O ",""))=3,"0"&amp;SUBSTITUTE(UPPER(D13),"P/O ",""),SUBSTITUTE(UPPER(D13),"P/O ",""))))</f>
        <v>1022140041</v>
      </c>
      <c r="C13" s="1883">
        <v>2214</v>
      </c>
      <c r="D13" s="1883">
        <v>41</v>
      </c>
      <c r="E13" s="1884" t="s">
        <v>1451</v>
      </c>
      <c r="F13" s="1884" t="s">
        <v>1452</v>
      </c>
      <c r="G13" s="1850">
        <v>10000</v>
      </c>
      <c r="H13" s="1885" t="s">
        <v>947</v>
      </c>
      <c r="I13" s="2407"/>
      <c r="J13" s="2402" t="s">
        <v>1453</v>
      </c>
      <c r="K13" s="1851">
        <f>W13/G13</f>
        <v>1</v>
      </c>
      <c r="L13" s="2402">
        <v>0</v>
      </c>
      <c r="M13" s="2402">
        <v>0</v>
      </c>
      <c r="N13" s="2402">
        <f>O13+P13+Q13+R13+S13+T13</f>
        <v>10000</v>
      </c>
      <c r="O13" s="2412">
        <v>0</v>
      </c>
      <c r="P13" s="2412">
        <v>0</v>
      </c>
      <c r="Q13" s="2412">
        <v>10000</v>
      </c>
      <c r="R13" s="2412">
        <v>0</v>
      </c>
      <c r="S13" s="2412">
        <v>0</v>
      </c>
      <c r="T13" s="2412">
        <v>0</v>
      </c>
      <c r="U13" s="2402">
        <v>0</v>
      </c>
      <c r="V13" s="2412">
        <v>0</v>
      </c>
      <c r="W13" s="2402">
        <f>L13+M13+N13+U13</f>
        <v>10000</v>
      </c>
      <c r="X13" s="2405">
        <v>0</v>
      </c>
      <c r="Y13" s="3205" t="s">
        <v>1023</v>
      </c>
      <c r="Z13" s="3208">
        <f>L16</f>
        <v>0</v>
      </c>
      <c r="AA13" s="3208">
        <f>M16</f>
        <v>0</v>
      </c>
      <c r="AB13" s="3199">
        <v>0</v>
      </c>
      <c r="AC13" s="3199">
        <v>0</v>
      </c>
      <c r="AD13" s="3199">
        <v>0</v>
      </c>
      <c r="AE13" s="3208">
        <f>N16</f>
        <v>22450</v>
      </c>
      <c r="AF13" s="3199">
        <f>O16</f>
        <v>0</v>
      </c>
      <c r="AG13" s="3199">
        <v>0</v>
      </c>
      <c r="AH13" s="3199">
        <f>P16</f>
        <v>0</v>
      </c>
      <c r="AI13" s="3199">
        <v>22450</v>
      </c>
      <c r="AJ13" s="3199">
        <v>0</v>
      </c>
      <c r="AK13" s="3199">
        <f>T16</f>
        <v>0</v>
      </c>
      <c r="AL13" s="3199">
        <f>U16</f>
        <v>0</v>
      </c>
      <c r="AM13" s="3208">
        <f>W16</f>
        <v>22450</v>
      </c>
      <c r="AN13" s="3208">
        <f>X16</f>
        <v>0</v>
      </c>
      <c r="AO13" s="3224"/>
      <c r="AP13" s="3224"/>
      <c r="AQ13" s="3214">
        <v>16</v>
      </c>
      <c r="AR13" s="3217" t="s">
        <v>1290</v>
      </c>
      <c r="AS13" s="3218"/>
      <c r="AT13" s="3238" t="s">
        <v>1291</v>
      </c>
      <c r="AU13" s="3212">
        <v>7.2</v>
      </c>
      <c r="AV13" s="3212">
        <v>6.45</v>
      </c>
      <c r="AW13" s="3212">
        <v>0.75</v>
      </c>
      <c r="AX13" s="3212">
        <v>0</v>
      </c>
      <c r="AY13" s="3208">
        <f>ROUND(AV13*G16,0)</f>
        <v>161250</v>
      </c>
      <c r="AZ13" s="3208">
        <f>ROUND(G16*AX13,0)</f>
        <v>0</v>
      </c>
      <c r="BA13" s="3199">
        <v>0</v>
      </c>
      <c r="BB13" s="3199">
        <v>0</v>
      </c>
      <c r="BC13" s="3199">
        <v>0</v>
      </c>
      <c r="BD13" s="3199">
        <v>0</v>
      </c>
      <c r="BE13" s="3199">
        <v>0</v>
      </c>
      <c r="BF13" s="3208">
        <f>ROUND(G16*AW13,0)</f>
        <v>18750</v>
      </c>
      <c r="BG13" s="3199">
        <f>BF13</f>
        <v>18750</v>
      </c>
      <c r="BH13" s="3199">
        <v>0</v>
      </c>
      <c r="BI13" s="3199">
        <v>0</v>
      </c>
      <c r="BJ13" s="3199">
        <v>0</v>
      </c>
      <c r="BK13" s="3199">
        <v>0</v>
      </c>
      <c r="BL13" s="3199">
        <v>0</v>
      </c>
      <c r="BM13" s="3208">
        <v>0</v>
      </c>
      <c r="BN13" s="3208">
        <f>ROUND(G16*AU13,0)</f>
        <v>180000</v>
      </c>
      <c r="BO13" s="3224">
        <f>ROUND(AY13/875,0)</f>
        <v>184</v>
      </c>
      <c r="BP13" s="3229">
        <f>ROUND(BO13*0.25,0)</f>
        <v>46</v>
      </c>
      <c r="BQ13" s="3229">
        <f>BO13-BP13</f>
        <v>138</v>
      </c>
      <c r="BR13" s="3229">
        <f>ROUND(0.3*BO2:BO13,0)</f>
        <v>55</v>
      </c>
      <c r="BS13" s="3229">
        <f>BO13-BR13</f>
        <v>129</v>
      </c>
      <c r="BT13" s="3224">
        <f>ROUND(IF(((0.2*BQ13)&gt;15),(0.2*BQ13),0),0)</f>
        <v>28</v>
      </c>
      <c r="BU13" s="3224">
        <f>ROUND(IF(((0.2*BS13)&gt;15),(0.2*BS13),0),0)</f>
        <v>26</v>
      </c>
      <c r="BV13" s="3224">
        <v>0</v>
      </c>
      <c r="BW13" s="3224">
        <f t="shared" ref="BW13:BX16" si="5">BT13</f>
        <v>28</v>
      </c>
      <c r="BX13" s="3224">
        <f t="shared" si="5"/>
        <v>26</v>
      </c>
      <c r="BY13" s="3214">
        <v>210</v>
      </c>
      <c r="BZ13" s="3226">
        <f>AY13-Z13</f>
        <v>161250</v>
      </c>
      <c r="CA13" s="3208">
        <f>AZ13-AA13</f>
        <v>0</v>
      </c>
      <c r="CB13" s="3208">
        <f>BA13</f>
        <v>0</v>
      </c>
      <c r="CC13" s="3224"/>
      <c r="CD13" s="3224"/>
      <c r="CE13" s="3208">
        <f>BD13</f>
        <v>0</v>
      </c>
      <c r="CF13" s="3208">
        <f>BE13-AD13</f>
        <v>0</v>
      </c>
      <c r="CG13" s="3208">
        <f>BF13-AE13</f>
        <v>-3700</v>
      </c>
      <c r="CH13" s="3208">
        <f>BG13-AF13</f>
        <v>18750</v>
      </c>
      <c r="CI13" s="3224"/>
      <c r="CJ13" s="3208">
        <f>BI13-AH13</f>
        <v>0</v>
      </c>
      <c r="CK13" s="3208">
        <f>-AI13</f>
        <v>-22450</v>
      </c>
      <c r="CL13" s="3208">
        <f>BK13-AJ13</f>
        <v>0</v>
      </c>
      <c r="CM13" s="3208">
        <f>BL13-AK13</f>
        <v>0</v>
      </c>
      <c r="CN13" s="3208">
        <f>BM13-AL13</f>
        <v>0</v>
      </c>
      <c r="CO13" s="3208">
        <f>BN13-AM13</f>
        <v>157550</v>
      </c>
      <c r="CP13" s="3230">
        <f>BO13-AN13</f>
        <v>184</v>
      </c>
    </row>
    <row r="14" spans="1:94" ht="15.75" thickBot="1">
      <c r="A14" s="3203"/>
      <c r="B14" s="2558" t="str">
        <f t="shared" si="4"/>
        <v>1022140035</v>
      </c>
      <c r="C14" s="1886">
        <v>2214</v>
      </c>
      <c r="D14" s="1886">
        <v>35</v>
      </c>
      <c r="E14" s="1887" t="s">
        <v>1454</v>
      </c>
      <c r="F14" s="1887" t="s">
        <v>1455</v>
      </c>
      <c r="G14" s="1888">
        <v>10000</v>
      </c>
      <c r="H14" s="1889" t="s">
        <v>947</v>
      </c>
      <c r="I14" s="2408"/>
      <c r="J14" s="2433" t="s">
        <v>1288</v>
      </c>
      <c r="K14" s="1855">
        <f>W14/G14</f>
        <v>1</v>
      </c>
      <c r="L14" s="2433">
        <v>0</v>
      </c>
      <c r="M14" s="2433">
        <v>0</v>
      </c>
      <c r="N14" s="2433">
        <f>O14+P14+Q14+R14+S14+T14</f>
        <v>10000</v>
      </c>
      <c r="O14" s="1859">
        <v>0</v>
      </c>
      <c r="P14" s="1859">
        <v>0</v>
      </c>
      <c r="Q14" s="1859">
        <v>10000</v>
      </c>
      <c r="R14" s="1859">
        <v>0</v>
      </c>
      <c r="S14" s="1859">
        <v>0</v>
      </c>
      <c r="T14" s="1859">
        <v>0</v>
      </c>
      <c r="U14" s="2433">
        <v>0</v>
      </c>
      <c r="V14" s="1859">
        <v>0</v>
      </c>
      <c r="W14" s="2433">
        <f>L14+M14+N14+U14</f>
        <v>10000</v>
      </c>
      <c r="X14" s="2435">
        <v>0</v>
      </c>
      <c r="Y14" s="3236"/>
      <c r="Z14" s="3233"/>
      <c r="AA14" s="3233"/>
      <c r="AB14" s="3231"/>
      <c r="AC14" s="3231"/>
      <c r="AD14" s="3231"/>
      <c r="AE14" s="3233"/>
      <c r="AF14" s="3231"/>
      <c r="AG14" s="3231"/>
      <c r="AH14" s="3231"/>
      <c r="AI14" s="3231"/>
      <c r="AJ14" s="3231"/>
      <c r="AK14" s="3231"/>
      <c r="AL14" s="3231"/>
      <c r="AM14" s="3233"/>
      <c r="AN14" s="3233"/>
      <c r="AO14" s="3200"/>
      <c r="AP14" s="3200"/>
      <c r="AQ14" s="3215"/>
      <c r="AR14" s="3206"/>
      <c r="AS14" s="3219"/>
      <c r="AT14" s="3239"/>
      <c r="AU14" s="3200"/>
      <c r="AV14" s="3200"/>
      <c r="AW14" s="3200"/>
      <c r="AX14" s="3200"/>
      <c r="AY14" s="3233"/>
      <c r="AZ14" s="3233"/>
      <c r="BA14" s="3231"/>
      <c r="BB14" s="3231"/>
      <c r="BC14" s="3231"/>
      <c r="BD14" s="3231"/>
      <c r="BE14" s="3231"/>
      <c r="BF14" s="3233"/>
      <c r="BG14" s="3231"/>
      <c r="BH14" s="3231"/>
      <c r="BI14" s="3231"/>
      <c r="BJ14" s="3231"/>
      <c r="BK14" s="3231"/>
      <c r="BL14" s="3231"/>
      <c r="BM14" s="3233"/>
      <c r="BN14" s="3233"/>
      <c r="BO14" s="3200"/>
      <c r="BP14" s="3241"/>
      <c r="BQ14" s="3241"/>
      <c r="BR14" s="3241"/>
      <c r="BS14" s="3241"/>
      <c r="BT14" s="3200">
        <f>ROUND(IF(((0.2*BQ14)&gt;15),(0.2*BQ14),0),0)</f>
        <v>0</v>
      </c>
      <c r="BU14" s="3200">
        <f>ROUND(IF(((0.2*BS14)&gt;15),(0.2*BS14),0),0)</f>
        <v>0</v>
      </c>
      <c r="BV14" s="3200"/>
      <c r="BW14" s="3200">
        <f t="shared" si="5"/>
        <v>0</v>
      </c>
      <c r="BX14" s="3200">
        <f t="shared" si="5"/>
        <v>0</v>
      </c>
      <c r="BY14" s="3215"/>
      <c r="BZ14" s="3243"/>
      <c r="CA14" s="3245"/>
      <c r="CB14" s="3245"/>
      <c r="CC14" s="3247"/>
      <c r="CD14" s="3247"/>
      <c r="CE14" s="3245"/>
      <c r="CF14" s="3245"/>
      <c r="CG14" s="3245"/>
      <c r="CH14" s="3245"/>
      <c r="CI14" s="3247"/>
      <c r="CJ14" s="3245"/>
      <c r="CK14" s="3247"/>
      <c r="CL14" s="3245"/>
      <c r="CM14" s="3245"/>
      <c r="CN14" s="3245"/>
      <c r="CO14" s="3245"/>
      <c r="CP14" s="3249"/>
    </row>
    <row r="15" spans="1:94">
      <c r="A15" s="3203"/>
      <c r="B15" s="2558" t="str">
        <f t="shared" si="4"/>
        <v>1022140039</v>
      </c>
      <c r="C15" s="1886">
        <v>2214</v>
      </c>
      <c r="D15" s="1886">
        <v>39</v>
      </c>
      <c r="E15" s="1887" t="s">
        <v>1456</v>
      </c>
      <c r="F15" s="1887" t="s">
        <v>1457</v>
      </c>
      <c r="G15" s="1854">
        <v>5000</v>
      </c>
      <c r="H15" s="1889" t="s">
        <v>947</v>
      </c>
      <c r="I15" s="2408"/>
      <c r="J15" s="2433" t="s">
        <v>1288</v>
      </c>
      <c r="K15" s="1855">
        <f>W15/G15</f>
        <v>0.49</v>
      </c>
      <c r="L15" s="1856">
        <v>0</v>
      </c>
      <c r="M15" s="1856">
        <v>0</v>
      </c>
      <c r="N15" s="1856">
        <f>O15+P15+Q15+R15+S15+T15</f>
        <v>2450</v>
      </c>
      <c r="O15" s="1857">
        <v>0</v>
      </c>
      <c r="P15" s="1857">
        <v>0</v>
      </c>
      <c r="Q15" s="1857">
        <v>2450</v>
      </c>
      <c r="R15" s="1857">
        <v>0</v>
      </c>
      <c r="S15" s="1857">
        <v>0</v>
      </c>
      <c r="T15" s="1857">
        <v>0</v>
      </c>
      <c r="U15" s="1856">
        <v>0</v>
      </c>
      <c r="V15" s="1857">
        <v>0</v>
      </c>
      <c r="W15" s="1856">
        <f>L15+M15+N15+U15</f>
        <v>2450</v>
      </c>
      <c r="X15" s="1858">
        <v>0</v>
      </c>
      <c r="Y15" s="3236"/>
      <c r="Z15" s="3233"/>
      <c r="AA15" s="3233"/>
      <c r="AB15" s="3231"/>
      <c r="AC15" s="3231"/>
      <c r="AD15" s="3231"/>
      <c r="AE15" s="3233"/>
      <c r="AF15" s="3231"/>
      <c r="AG15" s="3231"/>
      <c r="AH15" s="3231"/>
      <c r="AI15" s="3231"/>
      <c r="AJ15" s="3231"/>
      <c r="AK15" s="3231"/>
      <c r="AL15" s="3231"/>
      <c r="AM15" s="3233"/>
      <c r="AN15" s="3233"/>
      <c r="AO15" s="3200"/>
      <c r="AP15" s="3200"/>
      <c r="AQ15" s="3215"/>
      <c r="AR15" s="3206"/>
      <c r="AS15" s="3219"/>
      <c r="AT15" s="3239"/>
      <c r="AU15" s="3200"/>
      <c r="AV15" s="3200"/>
      <c r="AW15" s="3200"/>
      <c r="AX15" s="3200"/>
      <c r="AY15" s="3233"/>
      <c r="AZ15" s="3233"/>
      <c r="BA15" s="3231"/>
      <c r="BB15" s="3231"/>
      <c r="BC15" s="3231"/>
      <c r="BD15" s="3231"/>
      <c r="BE15" s="3231"/>
      <c r="BF15" s="3233"/>
      <c r="BG15" s="3231"/>
      <c r="BH15" s="3231"/>
      <c r="BI15" s="3231"/>
      <c r="BJ15" s="3231"/>
      <c r="BK15" s="3231"/>
      <c r="BL15" s="3231"/>
      <c r="BM15" s="3233"/>
      <c r="BN15" s="3233"/>
      <c r="BO15" s="3200"/>
      <c r="BP15" s="3241"/>
      <c r="BQ15" s="3241"/>
      <c r="BR15" s="3241"/>
      <c r="BS15" s="3241"/>
      <c r="BT15" s="3200">
        <f>ROUND(IF(((0.2*BQ15)&gt;15),(0.2*BQ15),0),0)</f>
        <v>0</v>
      </c>
      <c r="BU15" s="3200">
        <f>ROUND(IF(((0.2*BS15)&gt;15),(0.2*BS15),0),0)</f>
        <v>0</v>
      </c>
      <c r="BV15" s="3200"/>
      <c r="BW15" s="3200">
        <f t="shared" si="5"/>
        <v>0</v>
      </c>
      <c r="BX15" s="3200">
        <f t="shared" si="5"/>
        <v>0</v>
      </c>
      <c r="BY15" s="3215"/>
      <c r="BZ15" s="3243"/>
      <c r="CA15" s="3245"/>
      <c r="CB15" s="3245"/>
      <c r="CC15" s="3247"/>
      <c r="CD15" s="3247"/>
      <c r="CE15" s="3245"/>
      <c r="CF15" s="3245"/>
      <c r="CG15" s="3245"/>
      <c r="CH15" s="3245"/>
      <c r="CI15" s="3247"/>
      <c r="CJ15" s="3245"/>
      <c r="CK15" s="3247"/>
      <c r="CL15" s="3245"/>
      <c r="CM15" s="3245"/>
      <c r="CN15" s="3245"/>
      <c r="CO15" s="3245"/>
      <c r="CP15" s="3249"/>
    </row>
    <row r="16" spans="1:94">
      <c r="A16" s="3204"/>
      <c r="B16" s="451"/>
      <c r="C16" s="1860"/>
      <c r="D16" s="1861" t="s">
        <v>1458</v>
      </c>
      <c r="E16" s="1862"/>
      <c r="F16" s="1863" t="s">
        <v>1458</v>
      </c>
      <c r="G16" s="1864">
        <f>SUM(G13:G15)</f>
        <v>25000</v>
      </c>
      <c r="H16" s="2423"/>
      <c r="I16" s="2409"/>
      <c r="J16" s="2432"/>
      <c r="K16" s="1865">
        <f>W16/G16</f>
        <v>0.89800000000000002</v>
      </c>
      <c r="L16" s="2434">
        <f>SUM(L13:L15)</f>
        <v>0</v>
      </c>
      <c r="M16" s="2434">
        <f t="shared" ref="M16:X16" si="6">SUM(M13:M15)</f>
        <v>0</v>
      </c>
      <c r="N16" s="2434">
        <f t="shared" si="6"/>
        <v>22450</v>
      </c>
      <c r="O16" s="1867">
        <f t="shared" si="6"/>
        <v>0</v>
      </c>
      <c r="P16" s="1867">
        <f t="shared" si="6"/>
        <v>0</v>
      </c>
      <c r="Q16" s="1867">
        <f t="shared" si="6"/>
        <v>22450</v>
      </c>
      <c r="R16" s="1867">
        <f t="shared" si="6"/>
        <v>0</v>
      </c>
      <c r="S16" s="1867">
        <f t="shared" si="6"/>
        <v>0</v>
      </c>
      <c r="T16" s="1867">
        <f t="shared" si="6"/>
        <v>0</v>
      </c>
      <c r="U16" s="2434">
        <f t="shared" si="6"/>
        <v>0</v>
      </c>
      <c r="V16" s="1867">
        <f t="shared" si="6"/>
        <v>0</v>
      </c>
      <c r="W16" s="2434">
        <f t="shared" si="6"/>
        <v>22450</v>
      </c>
      <c r="X16" s="2436">
        <f t="shared" si="6"/>
        <v>0</v>
      </c>
      <c r="Y16" s="3237"/>
      <c r="Z16" s="3234"/>
      <c r="AA16" s="3234"/>
      <c r="AB16" s="3232"/>
      <c r="AC16" s="3232"/>
      <c r="AD16" s="3232"/>
      <c r="AE16" s="3234"/>
      <c r="AF16" s="3232"/>
      <c r="AG16" s="3232"/>
      <c r="AH16" s="3232"/>
      <c r="AI16" s="3232"/>
      <c r="AJ16" s="3232"/>
      <c r="AK16" s="3232"/>
      <c r="AL16" s="3232"/>
      <c r="AM16" s="3234"/>
      <c r="AN16" s="3234"/>
      <c r="AO16" s="3201"/>
      <c r="AP16" s="3201"/>
      <c r="AQ16" s="3216"/>
      <c r="AR16" s="3207"/>
      <c r="AS16" s="3220"/>
      <c r="AT16" s="3240"/>
      <c r="AU16" s="3201"/>
      <c r="AV16" s="3201"/>
      <c r="AW16" s="3201"/>
      <c r="AX16" s="3201"/>
      <c r="AY16" s="3234"/>
      <c r="AZ16" s="3234"/>
      <c r="BA16" s="3232"/>
      <c r="BB16" s="3232"/>
      <c r="BC16" s="3232"/>
      <c r="BD16" s="3232"/>
      <c r="BE16" s="3232"/>
      <c r="BF16" s="3234"/>
      <c r="BG16" s="3232"/>
      <c r="BH16" s="3232"/>
      <c r="BI16" s="3232"/>
      <c r="BJ16" s="3232"/>
      <c r="BK16" s="3232"/>
      <c r="BL16" s="3232"/>
      <c r="BM16" s="3234"/>
      <c r="BN16" s="3234"/>
      <c r="BO16" s="3201"/>
      <c r="BP16" s="3242"/>
      <c r="BQ16" s="3242"/>
      <c r="BR16" s="3242"/>
      <c r="BS16" s="3242"/>
      <c r="BT16" s="3201">
        <f>ROUND(IF(((0.2*BQ16)&gt;15),(0.2*BQ16),0),0)</f>
        <v>0</v>
      </c>
      <c r="BU16" s="3201">
        <f>ROUND(IF(((0.2*BS16)&gt;15),(0.2*BS16),0),0)</f>
        <v>0</v>
      </c>
      <c r="BV16" s="3201"/>
      <c r="BW16" s="3201">
        <f t="shared" si="5"/>
        <v>0</v>
      </c>
      <c r="BX16" s="3201">
        <f t="shared" si="5"/>
        <v>0</v>
      </c>
      <c r="BY16" s="3216"/>
      <c r="BZ16" s="3244"/>
      <c r="CA16" s="3246"/>
      <c r="CB16" s="3246"/>
      <c r="CC16" s="3248"/>
      <c r="CD16" s="3248"/>
      <c r="CE16" s="3246"/>
      <c r="CF16" s="3246"/>
      <c r="CG16" s="3246"/>
      <c r="CH16" s="3246"/>
      <c r="CI16" s="3248"/>
      <c r="CJ16" s="3246"/>
      <c r="CK16" s="3248"/>
      <c r="CL16" s="3246"/>
      <c r="CM16" s="3246"/>
      <c r="CN16" s="3246"/>
      <c r="CO16" s="3246"/>
      <c r="CP16" s="3250"/>
    </row>
    <row r="17" spans="1:94" ht="15.75" thickBot="1">
      <c r="A17" s="1894"/>
      <c r="B17" s="1827"/>
      <c r="C17" s="1094"/>
      <c r="D17" s="1094"/>
      <c r="E17" s="1617"/>
      <c r="F17" s="1617"/>
      <c r="G17" s="1888"/>
      <c r="H17" s="2422"/>
      <c r="I17" s="2408"/>
      <c r="J17" s="2431"/>
      <c r="K17" s="1855"/>
      <c r="L17" s="2433"/>
      <c r="M17" s="2433"/>
      <c r="N17" s="2433"/>
      <c r="O17" s="1859"/>
      <c r="P17" s="1859"/>
      <c r="Q17" s="1859"/>
      <c r="R17" s="1859"/>
      <c r="S17" s="1859"/>
      <c r="T17" s="1859"/>
      <c r="U17" s="2433"/>
      <c r="V17" s="1859"/>
      <c r="W17" s="2433"/>
      <c r="X17" s="2435"/>
      <c r="Y17" s="2429"/>
      <c r="Z17" s="2433"/>
      <c r="AA17" s="2433"/>
      <c r="AB17" s="1859"/>
      <c r="AC17" s="1859"/>
      <c r="AD17" s="1859"/>
      <c r="AE17" s="2433"/>
      <c r="AF17" s="1859"/>
      <c r="AG17" s="1859"/>
      <c r="AH17" s="1859"/>
      <c r="AI17" s="1859"/>
      <c r="AJ17" s="1859"/>
      <c r="AK17" s="1859"/>
      <c r="AL17" s="1859"/>
      <c r="AM17" s="2433"/>
      <c r="AN17" s="2433"/>
      <c r="AO17" s="2431"/>
      <c r="AP17" s="2431"/>
      <c r="AQ17" s="2426"/>
      <c r="AR17" s="2422"/>
      <c r="AS17" s="2408"/>
      <c r="AT17" s="2424"/>
      <c r="AU17" s="1891"/>
      <c r="AV17" s="1891"/>
      <c r="AW17" s="1891"/>
      <c r="AX17" s="1891"/>
      <c r="AY17" s="2433"/>
      <c r="AZ17" s="2433"/>
      <c r="BA17" s="1859"/>
      <c r="BB17" s="1859"/>
      <c r="BC17" s="1859"/>
      <c r="BD17" s="1859"/>
      <c r="BE17" s="1859"/>
      <c r="BF17" s="2433"/>
      <c r="BG17" s="1859"/>
      <c r="BH17" s="1859"/>
      <c r="BI17" s="1859"/>
      <c r="BJ17" s="1859"/>
      <c r="BK17" s="1859"/>
      <c r="BL17" s="1859"/>
      <c r="BM17" s="2433"/>
      <c r="BN17" s="2433"/>
      <c r="BO17" s="2431"/>
      <c r="BP17" s="1892"/>
      <c r="BQ17" s="1892"/>
      <c r="BR17" s="1892"/>
      <c r="BS17" s="1892"/>
      <c r="BT17" s="2431"/>
      <c r="BU17" s="2431"/>
      <c r="BV17" s="2431"/>
      <c r="BW17" s="2431"/>
      <c r="BX17" s="2431"/>
      <c r="BY17" s="2426"/>
      <c r="BZ17" s="1893"/>
      <c r="CA17" s="2431"/>
      <c r="CB17" s="2431"/>
      <c r="CC17" s="2431"/>
      <c r="CD17" s="2431"/>
      <c r="CE17" s="2431"/>
      <c r="CF17" s="2431"/>
      <c r="CG17" s="2431"/>
      <c r="CH17" s="2431"/>
      <c r="CI17" s="2431"/>
      <c r="CJ17" s="2431"/>
      <c r="CK17" s="2431"/>
      <c r="CL17" s="2431"/>
      <c r="CM17" s="2431"/>
      <c r="CN17" s="2431"/>
      <c r="CO17" s="2431"/>
      <c r="CP17" s="2426"/>
    </row>
    <row r="18" spans="1:94" ht="15.75" thickBot="1">
      <c r="A18" s="3202" t="s">
        <v>851</v>
      </c>
      <c r="B18" s="2558" t="str">
        <f t="shared" ref="B18:B20" si="7">1&amp;"0"&amp;C18&amp;IF(LEN(SUBSTITUTE(UPPER(D18),"P/O ",""))=1,"000"&amp;SUBSTITUTE(UPPER(D18),"P/O ",""),IF(LEN(SUBSTITUTE(UPPER(D18),"P/O ",""))=2,"00"&amp;SUBSTITUTE(UPPER(D18),"P/O ",""),IF(LEN(SUBSTITUTE(UPPER(D18),"P/O ",""))=3,"0"&amp;SUBSTITUTE(UPPER(D18),"P/O ",""),SUBSTITUTE(UPPER(D18),"P/O ",""))))</f>
        <v>1022430266</v>
      </c>
      <c r="C18" s="1883">
        <v>2243</v>
      </c>
      <c r="D18" s="1883">
        <v>266</v>
      </c>
      <c r="E18" s="1884" t="s">
        <v>1459</v>
      </c>
      <c r="F18" s="1884" t="s">
        <v>1460</v>
      </c>
      <c r="G18" s="1850">
        <v>5000</v>
      </c>
      <c r="H18" s="1885" t="s">
        <v>704</v>
      </c>
      <c r="I18" s="2407"/>
      <c r="J18" s="2402" t="s">
        <v>1407</v>
      </c>
      <c r="K18" s="1851">
        <f>W18/G18</f>
        <v>1.87</v>
      </c>
      <c r="L18" s="2402">
        <v>0</v>
      </c>
      <c r="M18" s="2402">
        <v>9350</v>
      </c>
      <c r="N18" s="2402">
        <f>O18+P18+Q18+R18+S18+T18</f>
        <v>0</v>
      </c>
      <c r="O18" s="2412">
        <v>0</v>
      </c>
      <c r="P18" s="2412">
        <v>0</v>
      </c>
      <c r="Q18" s="2412">
        <v>0</v>
      </c>
      <c r="R18" s="2412">
        <v>0</v>
      </c>
      <c r="S18" s="2412">
        <v>0</v>
      </c>
      <c r="T18" s="2412">
        <v>0</v>
      </c>
      <c r="U18" s="2402">
        <v>0</v>
      </c>
      <c r="V18" s="2412">
        <v>0</v>
      </c>
      <c r="W18" s="2402">
        <f>N18+M18+L18+U18</f>
        <v>9350</v>
      </c>
      <c r="X18" s="2405">
        <v>0</v>
      </c>
      <c r="Y18" s="3205" t="s">
        <v>1023</v>
      </c>
      <c r="Z18" s="3208">
        <f>L21</f>
        <v>0</v>
      </c>
      <c r="AA18" s="3208">
        <f>M21</f>
        <v>9350</v>
      </c>
      <c r="AB18" s="3199">
        <v>0</v>
      </c>
      <c r="AC18" s="3199">
        <v>0</v>
      </c>
      <c r="AD18" s="3199">
        <v>0</v>
      </c>
      <c r="AE18" s="3208">
        <f>N21</f>
        <v>14762</v>
      </c>
      <c r="AF18" s="3199">
        <f>O21</f>
        <v>8400</v>
      </c>
      <c r="AG18" s="3199">
        <v>0</v>
      </c>
      <c r="AH18" s="3199">
        <f>P21</f>
        <v>0</v>
      </c>
      <c r="AI18" s="3199">
        <f>Q21</f>
        <v>6362</v>
      </c>
      <c r="AJ18" s="3199">
        <f>R21</f>
        <v>0</v>
      </c>
      <c r="AK18" s="3199">
        <f>T21</f>
        <v>0</v>
      </c>
      <c r="AL18" s="3199">
        <f>U21</f>
        <v>0</v>
      </c>
      <c r="AM18" s="3208">
        <f>W21</f>
        <v>24112</v>
      </c>
      <c r="AN18" s="3208">
        <f>X21</f>
        <v>0</v>
      </c>
      <c r="AO18" s="3224"/>
      <c r="AP18" s="3224"/>
      <c r="AQ18" s="3214">
        <v>30</v>
      </c>
      <c r="AR18" s="3217" t="s">
        <v>774</v>
      </c>
      <c r="AS18" s="3218" t="s">
        <v>706</v>
      </c>
      <c r="AT18" s="3238" t="s">
        <v>1291</v>
      </c>
      <c r="AU18" s="3212">
        <v>5.6</v>
      </c>
      <c r="AV18" s="3212">
        <f>AU18-AW18</f>
        <v>4.8499999999999996</v>
      </c>
      <c r="AW18" s="3212">
        <v>0.75</v>
      </c>
      <c r="AX18" s="3212">
        <v>0</v>
      </c>
      <c r="AY18" s="3208">
        <f>ROUND(AV18*G21,0)</f>
        <v>92271</v>
      </c>
      <c r="AZ18" s="3208">
        <f>ROUND(AX18*G21,0)</f>
        <v>0</v>
      </c>
      <c r="BA18" s="3199">
        <v>0</v>
      </c>
      <c r="BB18" s="3199">
        <v>0</v>
      </c>
      <c r="BC18" s="3199">
        <v>0</v>
      </c>
      <c r="BD18" s="3199">
        <v>0</v>
      </c>
      <c r="BE18" s="3199">
        <v>0</v>
      </c>
      <c r="BF18" s="3208">
        <f>ROUND(AW18*G21,0)</f>
        <v>14269</v>
      </c>
      <c r="BG18" s="3199">
        <f>BF18</f>
        <v>14269</v>
      </c>
      <c r="BH18" s="3199">
        <v>0</v>
      </c>
      <c r="BI18" s="3199">
        <v>0</v>
      </c>
      <c r="BJ18" s="3199">
        <v>0</v>
      </c>
      <c r="BK18" s="3199">
        <v>0</v>
      </c>
      <c r="BL18" s="3199">
        <v>0</v>
      </c>
      <c r="BM18" s="3208">
        <v>0</v>
      </c>
      <c r="BN18" s="3208">
        <f>ROUND(G21*AU18,0)</f>
        <v>106540</v>
      </c>
      <c r="BO18" s="3224">
        <f>ROUND(AY18/875,0)</f>
        <v>105</v>
      </c>
      <c r="BP18" s="3229">
        <f>ROUND(BO18*0.25,0)</f>
        <v>26</v>
      </c>
      <c r="BQ18" s="3229">
        <f>BO18-BP18</f>
        <v>79</v>
      </c>
      <c r="BR18" s="3229">
        <f>ROUND(BO18*0.3,0)</f>
        <v>32</v>
      </c>
      <c r="BS18" s="3229">
        <f>BO18-BR18</f>
        <v>73</v>
      </c>
      <c r="BT18" s="3224">
        <f>ROUND(IF(((0.2*BQ18)&gt;15),(0.2*BQ18),0),0)</f>
        <v>16</v>
      </c>
      <c r="BU18" s="3224">
        <f>ROUND(IF(((0.2*BS18)&gt;15),(0.2*BS18),0),0)</f>
        <v>0</v>
      </c>
      <c r="BV18" s="3224">
        <v>0</v>
      </c>
      <c r="BW18" s="3224">
        <f>BT18</f>
        <v>16</v>
      </c>
      <c r="BX18" s="3224">
        <f t="shared" ref="BW18:BX21" si="8">BU18</f>
        <v>0</v>
      </c>
      <c r="BY18" s="3214">
        <v>115</v>
      </c>
      <c r="BZ18" s="3226">
        <f>AY18-Z18</f>
        <v>92271</v>
      </c>
      <c r="CA18" s="3208">
        <f>AZ18-AA18</f>
        <v>-9350</v>
      </c>
      <c r="CB18" s="3208">
        <f>BA18</f>
        <v>0</v>
      </c>
      <c r="CC18" s="3224"/>
      <c r="CD18" s="3224"/>
      <c r="CE18" s="3208">
        <f>BD18</f>
        <v>0</v>
      </c>
      <c r="CF18" s="3208">
        <f>BE18-AD18</f>
        <v>0</v>
      </c>
      <c r="CG18" s="3208">
        <f>BF18-AE18</f>
        <v>-493</v>
      </c>
      <c r="CH18" s="3208">
        <f>BG18-AF18</f>
        <v>5869</v>
      </c>
      <c r="CI18" s="3224"/>
      <c r="CJ18" s="3208">
        <f>BI18-AH18</f>
        <v>0</v>
      </c>
      <c r="CK18" s="3208">
        <f>-AI18</f>
        <v>-6362</v>
      </c>
      <c r="CL18" s="3208">
        <f>BK18-AJ18</f>
        <v>0</v>
      </c>
      <c r="CM18" s="3208">
        <f>BL18-AK18</f>
        <v>0</v>
      </c>
      <c r="CN18" s="3208">
        <f>BM18-AL18</f>
        <v>0</v>
      </c>
      <c r="CO18" s="3208">
        <f>BN18-AM18</f>
        <v>82428</v>
      </c>
      <c r="CP18" s="3230">
        <f>BO18-AN18</f>
        <v>105</v>
      </c>
    </row>
    <row r="19" spans="1:94" ht="15.75" thickBot="1">
      <c r="A19" s="3235"/>
      <c r="B19" s="2558" t="str">
        <f t="shared" si="7"/>
        <v>1022430261</v>
      </c>
      <c r="C19" s="1886">
        <v>2243</v>
      </c>
      <c r="D19" s="1886">
        <v>261</v>
      </c>
      <c r="E19" s="1887" t="s">
        <v>1461</v>
      </c>
      <c r="F19" s="1887" t="s">
        <v>1462</v>
      </c>
      <c r="G19" s="1888">
        <v>9025</v>
      </c>
      <c r="H19" s="1889" t="s">
        <v>704</v>
      </c>
      <c r="I19" s="2408"/>
      <c r="J19" s="2433" t="s">
        <v>1370</v>
      </c>
      <c r="K19" s="1855">
        <f>W19/G19</f>
        <v>1.0816620498614959</v>
      </c>
      <c r="L19" s="2433">
        <v>0</v>
      </c>
      <c r="M19" s="2433">
        <v>0</v>
      </c>
      <c r="N19" s="2433">
        <f>O19+P19+Q19+R19+S19+T19</f>
        <v>9762</v>
      </c>
      <c r="O19" s="1859">
        <v>3400</v>
      </c>
      <c r="P19" s="1859">
        <v>0</v>
      </c>
      <c r="Q19" s="1859">
        <v>6362</v>
      </c>
      <c r="R19" s="1859">
        <v>0</v>
      </c>
      <c r="S19" s="1859">
        <v>0</v>
      </c>
      <c r="T19" s="1859">
        <v>0</v>
      </c>
      <c r="U19" s="2433">
        <v>0</v>
      </c>
      <c r="V19" s="1859">
        <v>0</v>
      </c>
      <c r="W19" s="2433">
        <f>L19+M19+N19+U19</f>
        <v>9762</v>
      </c>
      <c r="X19" s="2435">
        <v>0</v>
      </c>
      <c r="Y19" s="3236"/>
      <c r="Z19" s="3233"/>
      <c r="AA19" s="3233"/>
      <c r="AB19" s="3231"/>
      <c r="AC19" s="3231"/>
      <c r="AD19" s="3231"/>
      <c r="AE19" s="3233"/>
      <c r="AF19" s="3231"/>
      <c r="AG19" s="3231"/>
      <c r="AH19" s="3231"/>
      <c r="AI19" s="3231"/>
      <c r="AJ19" s="3231"/>
      <c r="AK19" s="3231"/>
      <c r="AL19" s="3231"/>
      <c r="AM19" s="3233"/>
      <c r="AN19" s="3233"/>
      <c r="AO19" s="3200"/>
      <c r="AP19" s="3200"/>
      <c r="AQ19" s="3215"/>
      <c r="AR19" s="3206"/>
      <c r="AS19" s="3219"/>
      <c r="AT19" s="3239"/>
      <c r="AU19" s="3200"/>
      <c r="AV19" s="3200"/>
      <c r="AW19" s="3200"/>
      <c r="AX19" s="3200"/>
      <c r="AY19" s="3233"/>
      <c r="AZ19" s="3233"/>
      <c r="BA19" s="3231"/>
      <c r="BB19" s="3231"/>
      <c r="BC19" s="3231"/>
      <c r="BD19" s="3231"/>
      <c r="BE19" s="3231"/>
      <c r="BF19" s="3233"/>
      <c r="BG19" s="3231"/>
      <c r="BH19" s="3231"/>
      <c r="BI19" s="3231"/>
      <c r="BJ19" s="3231"/>
      <c r="BK19" s="3231"/>
      <c r="BL19" s="3231"/>
      <c r="BM19" s="3233"/>
      <c r="BN19" s="3233"/>
      <c r="BO19" s="3200"/>
      <c r="BP19" s="3241"/>
      <c r="BQ19" s="3241"/>
      <c r="BR19" s="3241"/>
      <c r="BS19" s="3241"/>
      <c r="BT19" s="3200">
        <f>ROUND(IF(((0.2*BQ19)&gt;15),(0.2*BQ19),0),0)</f>
        <v>0</v>
      </c>
      <c r="BU19" s="3200">
        <f>ROUND(IF(((0.2*BS19)&gt;15),(0.2*BS19),0),0)</f>
        <v>0</v>
      </c>
      <c r="BV19" s="3200"/>
      <c r="BW19" s="3200">
        <f t="shared" si="8"/>
        <v>0</v>
      </c>
      <c r="BX19" s="3200">
        <f t="shared" si="8"/>
        <v>0</v>
      </c>
      <c r="BY19" s="3215"/>
      <c r="BZ19" s="3227"/>
      <c r="CA19" s="3200"/>
      <c r="CB19" s="3200"/>
      <c r="CC19" s="3200"/>
      <c r="CD19" s="3200"/>
      <c r="CE19" s="3200"/>
      <c r="CF19" s="3200"/>
      <c r="CG19" s="3200"/>
      <c r="CH19" s="3200"/>
      <c r="CI19" s="3200"/>
      <c r="CJ19" s="3200"/>
      <c r="CK19" s="3200"/>
      <c r="CL19" s="3200"/>
      <c r="CM19" s="3200"/>
      <c r="CN19" s="3200"/>
      <c r="CO19" s="3200"/>
      <c r="CP19" s="3215"/>
    </row>
    <row r="20" spans="1:94">
      <c r="A20" s="3235"/>
      <c r="B20" s="2558" t="str">
        <f t="shared" si="7"/>
        <v>1022430264</v>
      </c>
      <c r="C20" s="1886">
        <v>2243</v>
      </c>
      <c r="D20" s="1886">
        <v>264</v>
      </c>
      <c r="E20" s="1887" t="s">
        <v>1463</v>
      </c>
      <c r="F20" s="1887" t="s">
        <v>1462</v>
      </c>
      <c r="G20" s="1854">
        <v>5000</v>
      </c>
      <c r="H20" s="1889" t="s">
        <v>704</v>
      </c>
      <c r="I20" s="2408"/>
      <c r="J20" s="2433" t="s">
        <v>1370</v>
      </c>
      <c r="K20" s="1855">
        <f>W20/G20</f>
        <v>1</v>
      </c>
      <c r="L20" s="1856">
        <v>0</v>
      </c>
      <c r="M20" s="1856">
        <v>0</v>
      </c>
      <c r="N20" s="1856">
        <f>O20+P20+Q20+R20+S20+T20</f>
        <v>5000</v>
      </c>
      <c r="O20" s="1857">
        <v>5000</v>
      </c>
      <c r="P20" s="1857">
        <v>0</v>
      </c>
      <c r="Q20" s="1857">
        <v>0</v>
      </c>
      <c r="R20" s="1857">
        <v>0</v>
      </c>
      <c r="S20" s="1857">
        <v>0</v>
      </c>
      <c r="T20" s="1857">
        <v>0</v>
      </c>
      <c r="U20" s="1856">
        <v>0</v>
      </c>
      <c r="V20" s="1857">
        <v>0</v>
      </c>
      <c r="W20" s="1856">
        <f>L20+M20+N20+U20</f>
        <v>5000</v>
      </c>
      <c r="X20" s="1858">
        <v>0</v>
      </c>
      <c r="Y20" s="3236"/>
      <c r="Z20" s="3233"/>
      <c r="AA20" s="3233"/>
      <c r="AB20" s="3231"/>
      <c r="AC20" s="3231"/>
      <c r="AD20" s="3231"/>
      <c r="AE20" s="3233"/>
      <c r="AF20" s="3231"/>
      <c r="AG20" s="3231"/>
      <c r="AH20" s="3231"/>
      <c r="AI20" s="3231"/>
      <c r="AJ20" s="3231"/>
      <c r="AK20" s="3231"/>
      <c r="AL20" s="3231"/>
      <c r="AM20" s="3233"/>
      <c r="AN20" s="3233"/>
      <c r="AO20" s="3200"/>
      <c r="AP20" s="3200"/>
      <c r="AQ20" s="3215"/>
      <c r="AR20" s="3206"/>
      <c r="AS20" s="3219"/>
      <c r="AT20" s="3239"/>
      <c r="AU20" s="3200"/>
      <c r="AV20" s="3200"/>
      <c r="AW20" s="3200"/>
      <c r="AX20" s="3200"/>
      <c r="AY20" s="3233"/>
      <c r="AZ20" s="3233"/>
      <c r="BA20" s="3231"/>
      <c r="BB20" s="3231"/>
      <c r="BC20" s="3231"/>
      <c r="BD20" s="3231"/>
      <c r="BE20" s="3231"/>
      <c r="BF20" s="3233"/>
      <c r="BG20" s="3231"/>
      <c r="BH20" s="3231"/>
      <c r="BI20" s="3231"/>
      <c r="BJ20" s="3231"/>
      <c r="BK20" s="3231"/>
      <c r="BL20" s="3231"/>
      <c r="BM20" s="3233"/>
      <c r="BN20" s="3233"/>
      <c r="BO20" s="3200"/>
      <c r="BP20" s="3241"/>
      <c r="BQ20" s="3241"/>
      <c r="BR20" s="3241"/>
      <c r="BS20" s="3241"/>
      <c r="BT20" s="3200">
        <f>ROUND(IF(((0.2*BQ20)&gt;15),(0.2*BQ20),0),0)</f>
        <v>0</v>
      </c>
      <c r="BU20" s="3200">
        <f>ROUND(IF(((0.2*BS20)&gt;15),(0.2*BS20),0),0)</f>
        <v>0</v>
      </c>
      <c r="BV20" s="3200"/>
      <c r="BW20" s="3200">
        <f t="shared" si="8"/>
        <v>0</v>
      </c>
      <c r="BX20" s="3200">
        <f t="shared" si="8"/>
        <v>0</v>
      </c>
      <c r="BY20" s="3215"/>
      <c r="BZ20" s="3227"/>
      <c r="CA20" s="3200"/>
      <c r="CB20" s="3200"/>
      <c r="CC20" s="3200"/>
      <c r="CD20" s="3200"/>
      <c r="CE20" s="3200"/>
      <c r="CF20" s="3200"/>
      <c r="CG20" s="3200"/>
      <c r="CH20" s="3200"/>
      <c r="CI20" s="3200"/>
      <c r="CJ20" s="3200"/>
      <c r="CK20" s="3200"/>
      <c r="CL20" s="3200"/>
      <c r="CM20" s="3200"/>
      <c r="CN20" s="3200"/>
      <c r="CO20" s="3200"/>
      <c r="CP20" s="3215"/>
    </row>
    <row r="21" spans="1:94">
      <c r="A21" s="3251"/>
      <c r="B21" s="1860"/>
      <c r="C21" s="1860"/>
      <c r="D21" s="1861" t="s">
        <v>1464</v>
      </c>
      <c r="E21" s="1862"/>
      <c r="F21" s="1863" t="s">
        <v>1464</v>
      </c>
      <c r="G21" s="1864">
        <f>SUM(G18:G20)</f>
        <v>19025</v>
      </c>
      <c r="H21" s="2423"/>
      <c r="I21" s="2409"/>
      <c r="J21" s="2432"/>
      <c r="K21" s="1865">
        <f>W21/G21</f>
        <v>1.2673850197109067</v>
      </c>
      <c r="L21" s="2434">
        <f>SUM(L18:L20)</f>
        <v>0</v>
      </c>
      <c r="M21" s="2434">
        <f t="shared" ref="M21:X21" si="9">SUM(M18:M20)</f>
        <v>9350</v>
      </c>
      <c r="N21" s="2434">
        <f t="shared" si="9"/>
        <v>14762</v>
      </c>
      <c r="O21" s="1867">
        <f t="shared" si="9"/>
        <v>8400</v>
      </c>
      <c r="P21" s="1867">
        <f t="shared" si="9"/>
        <v>0</v>
      </c>
      <c r="Q21" s="1867">
        <f t="shared" si="9"/>
        <v>6362</v>
      </c>
      <c r="R21" s="1867">
        <f t="shared" si="9"/>
        <v>0</v>
      </c>
      <c r="S21" s="1867">
        <f t="shared" si="9"/>
        <v>0</v>
      </c>
      <c r="T21" s="1867">
        <f t="shared" si="9"/>
        <v>0</v>
      </c>
      <c r="U21" s="2434">
        <f t="shared" si="9"/>
        <v>0</v>
      </c>
      <c r="V21" s="1867">
        <f t="shared" si="9"/>
        <v>0</v>
      </c>
      <c r="W21" s="2434">
        <f>SUM(W18:W20)</f>
        <v>24112</v>
      </c>
      <c r="X21" s="2436">
        <f t="shared" si="9"/>
        <v>0</v>
      </c>
      <c r="Y21" s="3237"/>
      <c r="Z21" s="3234"/>
      <c r="AA21" s="3234"/>
      <c r="AB21" s="3232"/>
      <c r="AC21" s="3232"/>
      <c r="AD21" s="3232"/>
      <c r="AE21" s="3234"/>
      <c r="AF21" s="3232"/>
      <c r="AG21" s="3232"/>
      <c r="AH21" s="3232"/>
      <c r="AI21" s="3232"/>
      <c r="AJ21" s="3232"/>
      <c r="AK21" s="3232"/>
      <c r="AL21" s="3232"/>
      <c r="AM21" s="3234"/>
      <c r="AN21" s="3234"/>
      <c r="AO21" s="3201"/>
      <c r="AP21" s="3201"/>
      <c r="AQ21" s="3216"/>
      <c r="AR21" s="3207"/>
      <c r="AS21" s="3220"/>
      <c r="AT21" s="3240"/>
      <c r="AU21" s="3201"/>
      <c r="AV21" s="3201"/>
      <c r="AW21" s="3201"/>
      <c r="AX21" s="3201"/>
      <c r="AY21" s="3234"/>
      <c r="AZ21" s="3234"/>
      <c r="BA21" s="3232"/>
      <c r="BB21" s="3232"/>
      <c r="BC21" s="3232"/>
      <c r="BD21" s="3232"/>
      <c r="BE21" s="3232"/>
      <c r="BF21" s="3234"/>
      <c r="BG21" s="3232"/>
      <c r="BH21" s="3232"/>
      <c r="BI21" s="3232"/>
      <c r="BJ21" s="3232"/>
      <c r="BK21" s="3232"/>
      <c r="BL21" s="3232"/>
      <c r="BM21" s="3234"/>
      <c r="BN21" s="3234"/>
      <c r="BO21" s="3201"/>
      <c r="BP21" s="3242"/>
      <c r="BQ21" s="3242"/>
      <c r="BR21" s="3242"/>
      <c r="BS21" s="3242"/>
      <c r="BT21" s="3201">
        <f>ROUND(IF(((0.2*BQ21)&gt;15),(0.2*BQ21),0),0)</f>
        <v>0</v>
      </c>
      <c r="BU21" s="3201">
        <f>ROUND(IF(((0.2*BS21)&gt;15),(0.2*BS21),0),0)</f>
        <v>0</v>
      </c>
      <c r="BV21" s="3201"/>
      <c r="BW21" s="3201">
        <f t="shared" si="8"/>
        <v>0</v>
      </c>
      <c r="BX21" s="3201">
        <f t="shared" si="8"/>
        <v>0</v>
      </c>
      <c r="BY21" s="3216"/>
      <c r="BZ21" s="3228"/>
      <c r="CA21" s="3201"/>
      <c r="CB21" s="3201"/>
      <c r="CC21" s="3201"/>
      <c r="CD21" s="3201"/>
      <c r="CE21" s="3201"/>
      <c r="CF21" s="3201"/>
      <c r="CG21" s="3201"/>
      <c r="CH21" s="3201"/>
      <c r="CI21" s="3201"/>
      <c r="CJ21" s="3201"/>
      <c r="CK21" s="3201"/>
      <c r="CL21" s="3201"/>
      <c r="CM21" s="3201"/>
      <c r="CN21" s="3201"/>
      <c r="CO21" s="3201"/>
      <c r="CP21" s="3216"/>
    </row>
    <row r="22" spans="1:94" ht="15.75" thickBot="1">
      <c r="A22" s="1894"/>
      <c r="B22" s="1827"/>
      <c r="C22" s="1094"/>
      <c r="D22" s="1094"/>
      <c r="E22" s="1617"/>
      <c r="F22" s="1617"/>
      <c r="G22" s="1888"/>
      <c r="H22" s="2422"/>
      <c r="I22" s="2408"/>
      <c r="J22" s="2431"/>
      <c r="K22" s="1855"/>
      <c r="L22" s="2433"/>
      <c r="M22" s="2433"/>
      <c r="N22" s="2433"/>
      <c r="O22" s="1859"/>
      <c r="P22" s="1859"/>
      <c r="Q22" s="1859"/>
      <c r="R22" s="1859"/>
      <c r="S22" s="1859"/>
      <c r="T22" s="1859"/>
      <c r="U22" s="2433"/>
      <c r="V22" s="1859"/>
      <c r="W22" s="2433"/>
      <c r="X22" s="2435"/>
      <c r="Y22" s="2429"/>
      <c r="Z22" s="2433"/>
      <c r="AA22" s="2433"/>
      <c r="AB22" s="1859"/>
      <c r="AC22" s="1859"/>
      <c r="AD22" s="1859"/>
      <c r="AE22" s="2433"/>
      <c r="AF22" s="1859"/>
      <c r="AG22" s="1859"/>
      <c r="AH22" s="1859"/>
      <c r="AI22" s="1859"/>
      <c r="AJ22" s="1859"/>
      <c r="AK22" s="1859"/>
      <c r="AL22" s="1859"/>
      <c r="AM22" s="2433"/>
      <c r="AN22" s="2433"/>
      <c r="AO22" s="2431"/>
      <c r="AP22" s="2431"/>
      <c r="AQ22" s="2426"/>
      <c r="AR22" s="2422"/>
      <c r="AS22" s="2408"/>
      <c r="AT22" s="2424"/>
      <c r="AU22" s="1891"/>
      <c r="AV22" s="1891"/>
      <c r="AW22" s="1891"/>
      <c r="AX22" s="1891"/>
      <c r="AY22" s="2433"/>
      <c r="AZ22" s="2433"/>
      <c r="BA22" s="1859"/>
      <c r="BB22" s="1859"/>
      <c r="BC22" s="1859"/>
      <c r="BD22" s="1859"/>
      <c r="BE22" s="1859"/>
      <c r="BF22" s="2433"/>
      <c r="BG22" s="1859"/>
      <c r="BH22" s="1859"/>
      <c r="BI22" s="1859"/>
      <c r="BJ22" s="1859"/>
      <c r="BK22" s="1859"/>
      <c r="BL22" s="1859"/>
      <c r="BM22" s="2433"/>
      <c r="BN22" s="2433"/>
      <c r="BO22" s="2431"/>
      <c r="BP22" s="1892"/>
      <c r="BQ22" s="1892"/>
      <c r="BR22" s="1892"/>
      <c r="BS22" s="1892"/>
      <c r="BT22" s="2431"/>
      <c r="BU22" s="2431"/>
      <c r="BV22" s="2431"/>
      <c r="BW22" s="2431"/>
      <c r="BX22" s="2431"/>
      <c r="BY22" s="2426"/>
      <c r="BZ22" s="1893"/>
      <c r="CA22" s="2431"/>
      <c r="CB22" s="2431"/>
      <c r="CC22" s="2431"/>
      <c r="CD22" s="2431"/>
      <c r="CE22" s="2431"/>
      <c r="CF22" s="2431"/>
      <c r="CG22" s="2431"/>
      <c r="CH22" s="2431"/>
      <c r="CI22" s="2431"/>
      <c r="CJ22" s="2431"/>
      <c r="CK22" s="2431"/>
      <c r="CL22" s="2431"/>
      <c r="CM22" s="2431"/>
      <c r="CN22" s="2431"/>
      <c r="CO22" s="2431"/>
      <c r="CP22" s="2426"/>
    </row>
    <row r="23" spans="1:94" ht="15.75" thickBot="1">
      <c r="A23" s="3252" t="s">
        <v>1001</v>
      </c>
      <c r="B23" s="2558" t="str">
        <f t="shared" ref="B23:B24" si="10">1&amp;"0"&amp;C23&amp;IF(LEN(SUBSTITUTE(UPPER(D23),"P/O ",""))=1,"000"&amp;SUBSTITUTE(UPPER(D23),"P/O ",""),IF(LEN(SUBSTITUTE(UPPER(D23),"P/O ",""))=2,"00"&amp;SUBSTITUTE(UPPER(D23),"P/O ",""),IF(LEN(SUBSTITUTE(UPPER(D23),"P/O ",""))=3,"0"&amp;SUBSTITUTE(UPPER(D23),"P/O ",""),SUBSTITUTE(UPPER(D23),"P/O ",""))))</f>
        <v>1022290025</v>
      </c>
      <c r="C23" s="1895">
        <v>2229</v>
      </c>
      <c r="D23" s="1883">
        <v>25</v>
      </c>
      <c r="E23" s="1884" t="s">
        <v>1465</v>
      </c>
      <c r="F23" s="1884" t="s">
        <v>1466</v>
      </c>
      <c r="G23" s="1850">
        <v>9992</v>
      </c>
      <c r="H23" s="1885" t="s">
        <v>704</v>
      </c>
      <c r="I23" s="2407"/>
      <c r="J23" s="2402" t="s">
        <v>1407</v>
      </c>
      <c r="K23" s="1851">
        <f>W23/G23</f>
        <v>0.45036028823058449</v>
      </c>
      <c r="L23" s="2402">
        <v>0</v>
      </c>
      <c r="M23" s="2402">
        <v>0</v>
      </c>
      <c r="N23" s="2402">
        <f>O23+P23+Q23+R23+S23+T23</f>
        <v>4500</v>
      </c>
      <c r="O23" s="2412">
        <v>1250</v>
      </c>
      <c r="P23" s="2412">
        <v>0</v>
      </c>
      <c r="Q23" s="2412">
        <v>3250</v>
      </c>
      <c r="R23" s="2412">
        <v>0</v>
      </c>
      <c r="S23" s="2412">
        <v>0</v>
      </c>
      <c r="T23" s="2412">
        <v>0</v>
      </c>
      <c r="U23" s="2402">
        <v>0</v>
      </c>
      <c r="V23" s="2412">
        <v>0</v>
      </c>
      <c r="W23" s="2402">
        <f>L23+M23+N23+U23</f>
        <v>4500</v>
      </c>
      <c r="X23" s="2405">
        <v>0</v>
      </c>
      <c r="Y23" s="3205" t="s">
        <v>1023</v>
      </c>
      <c r="Z23" s="3208">
        <f>L25</f>
        <v>0</v>
      </c>
      <c r="AA23" s="3208">
        <f>M25</f>
        <v>0</v>
      </c>
      <c r="AB23" s="3199">
        <v>0</v>
      </c>
      <c r="AC23" s="3199">
        <v>0</v>
      </c>
      <c r="AD23" s="3199">
        <v>0</v>
      </c>
      <c r="AE23" s="3208">
        <f>N25</f>
        <v>14491</v>
      </c>
      <c r="AF23" s="3199">
        <f>O25</f>
        <v>11241</v>
      </c>
      <c r="AG23" s="3199">
        <v>0</v>
      </c>
      <c r="AH23" s="3199">
        <f>P25</f>
        <v>0</v>
      </c>
      <c r="AI23" s="3199">
        <f>Q25</f>
        <v>3250</v>
      </c>
      <c r="AJ23" s="3199">
        <f>R25</f>
        <v>0</v>
      </c>
      <c r="AK23" s="3199">
        <f>T25</f>
        <v>0</v>
      </c>
      <c r="AL23" s="3199">
        <f>U25</f>
        <v>0</v>
      </c>
      <c r="AM23" s="3208">
        <f>W25</f>
        <v>14491</v>
      </c>
      <c r="AN23" s="3208">
        <f>X25</f>
        <v>0</v>
      </c>
      <c r="AO23" s="3224"/>
      <c r="AP23" s="3224"/>
      <c r="AQ23" s="3214">
        <v>18</v>
      </c>
      <c r="AR23" s="3217" t="s">
        <v>1331</v>
      </c>
      <c r="AS23" s="3218"/>
      <c r="AT23" s="3238" t="s">
        <v>1467</v>
      </c>
      <c r="AU23" s="3212">
        <v>7.2</v>
      </c>
      <c r="AV23" s="3213">
        <v>4</v>
      </c>
      <c r="AW23" s="3212">
        <v>3</v>
      </c>
      <c r="AX23" s="3212">
        <v>0.2</v>
      </c>
      <c r="AY23" s="3208">
        <f>ROUND(AV23*G25,0)</f>
        <v>79932</v>
      </c>
      <c r="AZ23" s="3208">
        <f>ROUND(AX23*G25,0)</f>
        <v>3997</v>
      </c>
      <c r="BA23" s="3199">
        <v>0</v>
      </c>
      <c r="BB23" s="3199">
        <v>0</v>
      </c>
      <c r="BC23" s="3199">
        <v>0</v>
      </c>
      <c r="BD23" s="3199">
        <v>0</v>
      </c>
      <c r="BE23" s="3199">
        <f>AZ23</f>
        <v>3997</v>
      </c>
      <c r="BF23" s="3208">
        <f>ROUND(G25*AW23,0)</f>
        <v>59949</v>
      </c>
      <c r="BG23" s="3199">
        <f>10000</f>
        <v>10000</v>
      </c>
      <c r="BH23" s="3199">
        <v>0</v>
      </c>
      <c r="BI23" s="3199">
        <f>BF23-BG23</f>
        <v>49949</v>
      </c>
      <c r="BJ23" s="3199">
        <v>0</v>
      </c>
      <c r="BK23" s="3199">
        <v>0</v>
      </c>
      <c r="BL23" s="3199">
        <v>0</v>
      </c>
      <c r="BM23" s="3208">
        <v>0</v>
      </c>
      <c r="BN23" s="3208">
        <f>ROUND(G25*AU23,0)</f>
        <v>143878</v>
      </c>
      <c r="BO23" s="3224">
        <f>ROUND(AY23/875,0)</f>
        <v>91</v>
      </c>
      <c r="BP23" s="3229">
        <f>ROUND(BO23*0.25,0)</f>
        <v>23</v>
      </c>
      <c r="BQ23" s="3229">
        <f>BO23-BP23</f>
        <v>68</v>
      </c>
      <c r="BR23" s="3229">
        <f>ROUND(BO23*0.3,0)</f>
        <v>27</v>
      </c>
      <c r="BS23" s="3229">
        <f>BO23-BR23</f>
        <v>64</v>
      </c>
      <c r="BT23" s="3224">
        <f>ROUND(IF(((0.2*BQ23)&gt;15),(0.2*BQ23),0),0)</f>
        <v>0</v>
      </c>
      <c r="BU23" s="3224">
        <f>ROUND(IF(((0.2*BS23)&gt;15),(0.2*BS23),0),0)</f>
        <v>0</v>
      </c>
      <c r="BV23" s="3224">
        <v>0</v>
      </c>
      <c r="BW23" s="3224">
        <f t="shared" ref="BW23:BX25" si="11">BT23</f>
        <v>0</v>
      </c>
      <c r="BX23" s="3224">
        <f t="shared" si="11"/>
        <v>0</v>
      </c>
      <c r="BY23" s="3214">
        <v>165</v>
      </c>
      <c r="BZ23" s="3226">
        <f>AY23-Z23</f>
        <v>79932</v>
      </c>
      <c r="CA23" s="3208">
        <f>AZ23-AA23</f>
        <v>3997</v>
      </c>
      <c r="CB23" s="3208">
        <f>BA23</f>
        <v>0</v>
      </c>
      <c r="CC23" s="3224"/>
      <c r="CD23" s="3224"/>
      <c r="CE23" s="3208">
        <f>BD23</f>
        <v>0</v>
      </c>
      <c r="CF23" s="3208">
        <f>BE23-AD23</f>
        <v>3997</v>
      </c>
      <c r="CG23" s="3208">
        <f>BF23-AE23</f>
        <v>45458</v>
      </c>
      <c r="CH23" s="3208">
        <f>BG23-AF23</f>
        <v>-1241</v>
      </c>
      <c r="CI23" s="3224"/>
      <c r="CJ23" s="3208">
        <f>BI23-AH23</f>
        <v>49949</v>
      </c>
      <c r="CK23" s="3208">
        <f>-AI23</f>
        <v>-3250</v>
      </c>
      <c r="CL23" s="3208">
        <f>BK23-AJ23</f>
        <v>0</v>
      </c>
      <c r="CM23" s="3208">
        <f>BL23-AK23</f>
        <v>0</v>
      </c>
      <c r="CN23" s="3208">
        <f>BM23-AL23</f>
        <v>0</v>
      </c>
      <c r="CO23" s="3208">
        <f>BN23-AM23</f>
        <v>129387</v>
      </c>
      <c r="CP23" s="3230">
        <f>BO23-AN23</f>
        <v>91</v>
      </c>
    </row>
    <row r="24" spans="1:94">
      <c r="A24" s="3253"/>
      <c r="B24" s="2558" t="str">
        <f t="shared" si="10"/>
        <v>1022290032</v>
      </c>
      <c r="C24" s="1896">
        <v>2229</v>
      </c>
      <c r="D24" s="1886">
        <v>32</v>
      </c>
      <c r="E24" s="1887" t="s">
        <v>1468</v>
      </c>
      <c r="F24" s="1887" t="s">
        <v>1469</v>
      </c>
      <c r="G24" s="1854">
        <v>9991</v>
      </c>
      <c r="H24" s="1889" t="s">
        <v>704</v>
      </c>
      <c r="I24" s="2408"/>
      <c r="J24" s="2433" t="s">
        <v>1370</v>
      </c>
      <c r="K24" s="1855">
        <f>W24/G24</f>
        <v>1</v>
      </c>
      <c r="L24" s="1856">
        <v>0</v>
      </c>
      <c r="M24" s="1856">
        <v>0</v>
      </c>
      <c r="N24" s="1856">
        <f>O24+P24+Q24+R24+S24+T24</f>
        <v>9991</v>
      </c>
      <c r="O24" s="1857">
        <v>9991</v>
      </c>
      <c r="P24" s="1857">
        <v>0</v>
      </c>
      <c r="Q24" s="1857">
        <v>0</v>
      </c>
      <c r="R24" s="1857">
        <v>0</v>
      </c>
      <c r="S24" s="1857">
        <v>0</v>
      </c>
      <c r="T24" s="1857">
        <v>0</v>
      </c>
      <c r="U24" s="1856">
        <v>0</v>
      </c>
      <c r="V24" s="1857">
        <v>0</v>
      </c>
      <c r="W24" s="1856">
        <f>L24+M24+N24+U24</f>
        <v>9991</v>
      </c>
      <c r="X24" s="1858">
        <v>0</v>
      </c>
      <c r="Y24" s="3255"/>
      <c r="Z24" s="3233"/>
      <c r="AA24" s="3233"/>
      <c r="AB24" s="3231"/>
      <c r="AC24" s="3231"/>
      <c r="AD24" s="3231"/>
      <c r="AE24" s="3233"/>
      <c r="AF24" s="3231"/>
      <c r="AG24" s="3231"/>
      <c r="AH24" s="3231"/>
      <c r="AI24" s="3231"/>
      <c r="AJ24" s="3231"/>
      <c r="AK24" s="3231"/>
      <c r="AL24" s="3231"/>
      <c r="AM24" s="3233"/>
      <c r="AN24" s="3233"/>
      <c r="AO24" s="3200"/>
      <c r="AP24" s="3200"/>
      <c r="AQ24" s="3215"/>
      <c r="AR24" s="3206"/>
      <c r="AS24" s="3219"/>
      <c r="AT24" s="3239"/>
      <c r="AU24" s="3200"/>
      <c r="AV24" s="3210"/>
      <c r="AW24" s="3200"/>
      <c r="AX24" s="3200"/>
      <c r="AY24" s="3233"/>
      <c r="AZ24" s="3233"/>
      <c r="BA24" s="3231"/>
      <c r="BB24" s="3231"/>
      <c r="BC24" s="3231"/>
      <c r="BD24" s="3231"/>
      <c r="BE24" s="3231"/>
      <c r="BF24" s="3233"/>
      <c r="BG24" s="3231"/>
      <c r="BH24" s="3231"/>
      <c r="BI24" s="3231"/>
      <c r="BJ24" s="3231"/>
      <c r="BK24" s="3231"/>
      <c r="BL24" s="3231"/>
      <c r="BM24" s="3233"/>
      <c r="BN24" s="3233"/>
      <c r="BO24" s="3200"/>
      <c r="BP24" s="3241"/>
      <c r="BQ24" s="3241"/>
      <c r="BR24" s="3241"/>
      <c r="BS24" s="3241"/>
      <c r="BT24" s="3200">
        <f>ROUND(IF(((0.2*BQ24)&gt;15),(0.2*BQ24),0),0)</f>
        <v>0</v>
      </c>
      <c r="BU24" s="3200">
        <f>ROUND(IF(((0.2*BS24)&gt;15),(0.2*BS24),0),0)</f>
        <v>0</v>
      </c>
      <c r="BV24" s="3200"/>
      <c r="BW24" s="3200">
        <f t="shared" si="11"/>
        <v>0</v>
      </c>
      <c r="BX24" s="3200">
        <f t="shared" si="11"/>
        <v>0</v>
      </c>
      <c r="BY24" s="3215"/>
      <c r="BZ24" s="3227"/>
      <c r="CA24" s="3200"/>
      <c r="CB24" s="3200"/>
      <c r="CC24" s="3200"/>
      <c r="CD24" s="3200"/>
      <c r="CE24" s="3200"/>
      <c r="CF24" s="3200"/>
      <c r="CG24" s="3200"/>
      <c r="CH24" s="3200"/>
      <c r="CI24" s="3200"/>
      <c r="CJ24" s="3200"/>
      <c r="CK24" s="3200"/>
      <c r="CL24" s="3200"/>
      <c r="CM24" s="3200"/>
      <c r="CN24" s="3200"/>
      <c r="CO24" s="3200"/>
      <c r="CP24" s="3215"/>
    </row>
    <row r="25" spans="1:94">
      <c r="A25" s="3254"/>
      <c r="B25" s="2428"/>
      <c r="C25" s="2428"/>
      <c r="D25" s="1861" t="s">
        <v>1470</v>
      </c>
      <c r="E25" s="1862"/>
      <c r="F25" s="1863" t="s">
        <v>1470</v>
      </c>
      <c r="G25" s="1864">
        <f>SUM(G23:G24)</f>
        <v>19983</v>
      </c>
      <c r="H25" s="2423"/>
      <c r="I25" s="2409"/>
      <c r="J25" s="2432"/>
      <c r="K25" s="1865">
        <f>W25/G25</f>
        <v>0.72516639143271777</v>
      </c>
      <c r="L25" s="2434">
        <f>SUM(L23:L24)</f>
        <v>0</v>
      </c>
      <c r="M25" s="2434">
        <f t="shared" ref="M25:X25" si="12">SUM(M23:M24)</f>
        <v>0</v>
      </c>
      <c r="N25" s="2434">
        <f t="shared" si="12"/>
        <v>14491</v>
      </c>
      <c r="O25" s="1867">
        <f t="shared" si="12"/>
        <v>11241</v>
      </c>
      <c r="P25" s="1867">
        <f t="shared" si="12"/>
        <v>0</v>
      </c>
      <c r="Q25" s="1867">
        <f t="shared" si="12"/>
        <v>3250</v>
      </c>
      <c r="R25" s="1867">
        <f t="shared" si="12"/>
        <v>0</v>
      </c>
      <c r="S25" s="1867">
        <f t="shared" si="12"/>
        <v>0</v>
      </c>
      <c r="T25" s="1867">
        <f t="shared" si="12"/>
        <v>0</v>
      </c>
      <c r="U25" s="2434">
        <f t="shared" si="12"/>
        <v>0</v>
      </c>
      <c r="V25" s="1867">
        <f t="shared" si="12"/>
        <v>0</v>
      </c>
      <c r="W25" s="2434">
        <f t="shared" si="12"/>
        <v>14491</v>
      </c>
      <c r="X25" s="2436">
        <f t="shared" si="12"/>
        <v>0</v>
      </c>
      <c r="Y25" s="3256"/>
      <c r="Z25" s="3234"/>
      <c r="AA25" s="3234"/>
      <c r="AB25" s="3232"/>
      <c r="AC25" s="3232"/>
      <c r="AD25" s="3232"/>
      <c r="AE25" s="3234"/>
      <c r="AF25" s="3232"/>
      <c r="AG25" s="3232"/>
      <c r="AH25" s="3232"/>
      <c r="AI25" s="3232"/>
      <c r="AJ25" s="3232"/>
      <c r="AK25" s="3232"/>
      <c r="AL25" s="3232"/>
      <c r="AM25" s="3234"/>
      <c r="AN25" s="3234"/>
      <c r="AO25" s="3201"/>
      <c r="AP25" s="3201"/>
      <c r="AQ25" s="3216"/>
      <c r="AR25" s="3207"/>
      <c r="AS25" s="3220"/>
      <c r="AT25" s="3240"/>
      <c r="AU25" s="3201"/>
      <c r="AV25" s="3211"/>
      <c r="AW25" s="3201"/>
      <c r="AX25" s="3201"/>
      <c r="AY25" s="3234"/>
      <c r="AZ25" s="3234"/>
      <c r="BA25" s="3232"/>
      <c r="BB25" s="3232"/>
      <c r="BC25" s="3232"/>
      <c r="BD25" s="3232"/>
      <c r="BE25" s="3232"/>
      <c r="BF25" s="3234"/>
      <c r="BG25" s="3232"/>
      <c r="BH25" s="3232"/>
      <c r="BI25" s="3232"/>
      <c r="BJ25" s="3232"/>
      <c r="BK25" s="3232"/>
      <c r="BL25" s="3232"/>
      <c r="BM25" s="3234"/>
      <c r="BN25" s="3234"/>
      <c r="BO25" s="3201"/>
      <c r="BP25" s="3242"/>
      <c r="BQ25" s="3242"/>
      <c r="BR25" s="3242"/>
      <c r="BS25" s="3242"/>
      <c r="BT25" s="3201">
        <f>ROUND(IF(((0.2*BQ25)&gt;15),(0.2*BQ25),0),0)</f>
        <v>0</v>
      </c>
      <c r="BU25" s="3201">
        <f>ROUND(IF(((0.2*BS25)&gt;15),(0.2*BS25),0),0)</f>
        <v>0</v>
      </c>
      <c r="BV25" s="3201"/>
      <c r="BW25" s="3201">
        <f t="shared" si="11"/>
        <v>0</v>
      </c>
      <c r="BX25" s="3201">
        <f t="shared" si="11"/>
        <v>0</v>
      </c>
      <c r="BY25" s="3216"/>
      <c r="BZ25" s="3228"/>
      <c r="CA25" s="3201"/>
      <c r="CB25" s="3201"/>
      <c r="CC25" s="3201"/>
      <c r="CD25" s="3201"/>
      <c r="CE25" s="3201"/>
      <c r="CF25" s="3201"/>
      <c r="CG25" s="3201"/>
      <c r="CH25" s="3201"/>
      <c r="CI25" s="3201"/>
      <c r="CJ25" s="3201"/>
      <c r="CK25" s="3201"/>
      <c r="CL25" s="3201"/>
      <c r="CM25" s="3201"/>
      <c r="CN25" s="3201"/>
      <c r="CO25" s="3201"/>
      <c r="CP25" s="3216"/>
    </row>
    <row r="26" spans="1:94" ht="15.75" thickBot="1">
      <c r="A26" s="2413"/>
      <c r="B26" s="1827"/>
      <c r="C26" s="1094"/>
      <c r="D26" s="1094"/>
      <c r="E26" s="1617"/>
      <c r="F26" s="1617"/>
      <c r="G26" s="1888"/>
      <c r="H26" s="2422"/>
      <c r="I26" s="2408"/>
      <c r="J26" s="2431"/>
      <c r="K26" s="1855"/>
      <c r="L26" s="2433"/>
      <c r="M26" s="2433"/>
      <c r="N26" s="2433"/>
      <c r="O26" s="1859"/>
      <c r="P26" s="1859"/>
      <c r="Q26" s="1859"/>
      <c r="R26" s="1859"/>
      <c r="S26" s="1859"/>
      <c r="T26" s="1859"/>
      <c r="U26" s="2433"/>
      <c r="V26" s="1859"/>
      <c r="W26" s="2433"/>
      <c r="X26" s="2435"/>
      <c r="Y26" s="2429"/>
      <c r="Z26" s="2433"/>
      <c r="AA26" s="2433"/>
      <c r="AB26" s="1859"/>
      <c r="AC26" s="1859"/>
      <c r="AD26" s="1859"/>
      <c r="AE26" s="2433"/>
      <c r="AF26" s="1859"/>
      <c r="AG26" s="1859"/>
      <c r="AH26" s="1859"/>
      <c r="AI26" s="1859"/>
      <c r="AJ26" s="1859"/>
      <c r="AK26" s="1859"/>
      <c r="AL26" s="1859"/>
      <c r="AM26" s="2433"/>
      <c r="AN26" s="2433"/>
      <c r="AO26" s="2431"/>
      <c r="AP26" s="2431"/>
      <c r="AQ26" s="2426"/>
      <c r="AR26" s="2422"/>
      <c r="AS26" s="2408"/>
      <c r="AT26" s="2424"/>
      <c r="AU26" s="1891"/>
      <c r="AV26" s="1891"/>
      <c r="AW26" s="1891"/>
      <c r="AX26" s="1891"/>
      <c r="AY26" s="2433"/>
      <c r="AZ26" s="2433"/>
      <c r="BA26" s="1859"/>
      <c r="BB26" s="1859"/>
      <c r="BC26" s="1859"/>
      <c r="BD26" s="1859"/>
      <c r="BE26" s="1859"/>
      <c r="BF26" s="2433"/>
      <c r="BG26" s="1859"/>
      <c r="BH26" s="1859"/>
      <c r="BI26" s="1859"/>
      <c r="BJ26" s="1859"/>
      <c r="BK26" s="1859"/>
      <c r="BL26" s="1859"/>
      <c r="BM26" s="2433"/>
      <c r="BN26" s="2433"/>
      <c r="BO26" s="2431"/>
      <c r="BP26" s="1892"/>
      <c r="BQ26" s="1892"/>
      <c r="BR26" s="1892"/>
      <c r="BS26" s="1892"/>
      <c r="BT26" s="2431"/>
      <c r="BU26" s="2431"/>
      <c r="BV26" s="2431"/>
      <c r="BW26" s="2431"/>
      <c r="BX26" s="2431"/>
      <c r="BY26" s="2426"/>
      <c r="BZ26" s="1893"/>
      <c r="CA26" s="2431"/>
      <c r="CB26" s="2431"/>
      <c r="CC26" s="2431"/>
      <c r="CD26" s="2431"/>
      <c r="CE26" s="2431"/>
      <c r="CF26" s="2431"/>
      <c r="CG26" s="2431"/>
      <c r="CH26" s="2431"/>
      <c r="CI26" s="2431"/>
      <c r="CJ26" s="2431"/>
      <c r="CK26" s="2431"/>
      <c r="CL26" s="2431"/>
      <c r="CM26" s="2431"/>
      <c r="CN26" s="2431"/>
      <c r="CO26" s="2431"/>
      <c r="CP26" s="2426"/>
    </row>
    <row r="27" spans="1:94" ht="33.75">
      <c r="A27" s="1894" t="s">
        <v>1004</v>
      </c>
      <c r="B27" s="2558" t="str">
        <f>1&amp;"0"&amp;C27&amp;IF(LEN(SUBSTITUTE(UPPER(D27),"P/O ",""))=1,"000"&amp;SUBSTITUTE(UPPER(D27),"P/O ",""),IF(LEN(SUBSTITUTE(UPPER(D27),"P/O ",""))=2,"00"&amp;SUBSTITUTE(UPPER(D27),"P/O ",""),IF(LEN(SUBSTITUTE(UPPER(D27),"P/O ",""))=3,"0"&amp;SUBSTITUTE(UPPER(D27),"P/O ",""),SUBSTITUTE(UPPER(D27),"P/O ",""))))</f>
        <v>1022430247</v>
      </c>
      <c r="C27" s="1897">
        <v>2243</v>
      </c>
      <c r="D27" s="1897">
        <v>247</v>
      </c>
      <c r="E27" s="1898" t="s">
        <v>1471</v>
      </c>
      <c r="F27" s="1898" t="s">
        <v>1472</v>
      </c>
      <c r="G27" s="1899">
        <v>9875</v>
      </c>
      <c r="H27" s="1900" t="s">
        <v>704</v>
      </c>
      <c r="I27" s="1901"/>
      <c r="J27" s="1902" t="s">
        <v>1318</v>
      </c>
      <c r="K27" s="1903">
        <f>W27/G27</f>
        <v>1.0025316455696203</v>
      </c>
      <c r="L27" s="1902">
        <v>0</v>
      </c>
      <c r="M27" s="1902">
        <v>0</v>
      </c>
      <c r="N27" s="1902">
        <f>O27+P27+Q27+R27+S27+T27</f>
        <v>9900</v>
      </c>
      <c r="O27" s="1904">
        <v>0</v>
      </c>
      <c r="P27" s="1904">
        <v>9900</v>
      </c>
      <c r="Q27" s="1904">
        <v>0</v>
      </c>
      <c r="R27" s="1904">
        <v>0</v>
      </c>
      <c r="S27" s="1904">
        <v>0</v>
      </c>
      <c r="T27" s="1904">
        <v>0</v>
      </c>
      <c r="U27" s="1902">
        <v>0</v>
      </c>
      <c r="V27" s="1904">
        <v>0</v>
      </c>
      <c r="W27" s="1902">
        <f>L27+M27+N27+U27</f>
        <v>9900</v>
      </c>
      <c r="X27" s="1905">
        <v>0</v>
      </c>
      <c r="Y27" s="1906" t="s">
        <v>1023</v>
      </c>
      <c r="Z27" s="1902">
        <f>L27</f>
        <v>0</v>
      </c>
      <c r="AA27" s="1902">
        <f>M27</f>
        <v>0</v>
      </c>
      <c r="AB27" s="1904">
        <v>0</v>
      </c>
      <c r="AC27" s="1904">
        <v>0</v>
      </c>
      <c r="AD27" s="1904">
        <v>0</v>
      </c>
      <c r="AE27" s="1902">
        <f>N27</f>
        <v>9900</v>
      </c>
      <c r="AF27" s="1904">
        <f>O27</f>
        <v>0</v>
      </c>
      <c r="AG27" s="1904">
        <v>0</v>
      </c>
      <c r="AH27" s="1904">
        <f>P27</f>
        <v>9900</v>
      </c>
      <c r="AI27" s="1904">
        <v>0</v>
      </c>
      <c r="AJ27" s="1904">
        <f>R27</f>
        <v>0</v>
      </c>
      <c r="AK27" s="1904">
        <f>T27</f>
        <v>0</v>
      </c>
      <c r="AL27" s="1904">
        <f>U27</f>
        <v>0</v>
      </c>
      <c r="AM27" s="1902">
        <f>W27</f>
        <v>9900</v>
      </c>
      <c r="AN27" s="1902">
        <f>X25</f>
        <v>0</v>
      </c>
      <c r="AO27" s="1907"/>
      <c r="AP27" s="1907"/>
      <c r="AQ27" s="1908">
        <v>24</v>
      </c>
      <c r="AR27" s="1909" t="s">
        <v>774</v>
      </c>
      <c r="AS27" s="1901" t="s">
        <v>706</v>
      </c>
      <c r="AT27" s="1910" t="s">
        <v>1291</v>
      </c>
      <c r="AU27" s="1911">
        <v>5.6</v>
      </c>
      <c r="AV27" s="1911">
        <f>AU27-AW27</f>
        <v>4.8499999999999996</v>
      </c>
      <c r="AW27" s="1911">
        <v>0.75</v>
      </c>
      <c r="AX27" s="1911">
        <v>0</v>
      </c>
      <c r="AY27" s="1902">
        <f>ROUND(AV27*G27,0)</f>
        <v>47894</v>
      </c>
      <c r="AZ27" s="1902">
        <f>ROUND(AX27*G27,0)</f>
        <v>0</v>
      </c>
      <c r="BA27" s="1904">
        <v>0</v>
      </c>
      <c r="BB27" s="1904">
        <v>0</v>
      </c>
      <c r="BC27" s="1904">
        <v>0</v>
      </c>
      <c r="BD27" s="1904">
        <v>0</v>
      </c>
      <c r="BE27" s="1904">
        <v>0</v>
      </c>
      <c r="BF27" s="1902">
        <f>ROUND(AW27*G27,0)</f>
        <v>7406</v>
      </c>
      <c r="BG27" s="1904">
        <f>BF27</f>
        <v>7406</v>
      </c>
      <c r="BH27" s="1904">
        <v>0</v>
      </c>
      <c r="BI27" s="1904">
        <v>0</v>
      </c>
      <c r="BJ27" s="1904">
        <v>0</v>
      </c>
      <c r="BK27" s="1904">
        <v>0</v>
      </c>
      <c r="BL27" s="1904">
        <v>0</v>
      </c>
      <c r="BM27" s="1902">
        <v>0</v>
      </c>
      <c r="BN27" s="1902">
        <f>ROUND(G27*AU27,0)</f>
        <v>55300</v>
      </c>
      <c r="BO27" s="1907">
        <f>ROUND(AY27/875,0)</f>
        <v>55</v>
      </c>
      <c r="BP27" s="1912">
        <f>ROUND(BO27*0.25,0)</f>
        <v>14</v>
      </c>
      <c r="BQ27" s="1912">
        <f>BO27-BP27</f>
        <v>41</v>
      </c>
      <c r="BR27" s="1912">
        <f>ROUND(BO27*0.3,0)</f>
        <v>17</v>
      </c>
      <c r="BS27" s="1912">
        <f>BO27-BR27</f>
        <v>38</v>
      </c>
      <c r="BT27" s="1907">
        <f>ROUND(IF(((0.2*BQ27)&gt;15),(0.2*BQ27),0),0)</f>
        <v>0</v>
      </c>
      <c r="BU27" s="1907">
        <f>ROUND(IF(((0.2*BS27)&gt;15),(0.2*BS27),0),0)</f>
        <v>0</v>
      </c>
      <c r="BV27" s="1907">
        <v>0</v>
      </c>
      <c r="BW27" s="1907">
        <f>BT27</f>
        <v>0</v>
      </c>
      <c r="BX27" s="1907">
        <f>BU27</f>
        <v>0</v>
      </c>
      <c r="BY27" s="1908">
        <v>115</v>
      </c>
      <c r="BZ27" s="1913">
        <f>AY27-Z27</f>
        <v>47894</v>
      </c>
      <c r="CA27" s="1902">
        <f>AZ27-AA27</f>
        <v>0</v>
      </c>
      <c r="CB27" s="1902">
        <f>BA27</f>
        <v>0</v>
      </c>
      <c r="CC27" s="1907"/>
      <c r="CD27" s="1907"/>
      <c r="CE27" s="1902">
        <f>BD27</f>
        <v>0</v>
      </c>
      <c r="CF27" s="1902">
        <f>BE27-AD27</f>
        <v>0</v>
      </c>
      <c r="CG27" s="1902">
        <f>BF27-AE27</f>
        <v>-2494</v>
      </c>
      <c r="CH27" s="1902">
        <f>BG27-AF27</f>
        <v>7406</v>
      </c>
      <c r="CI27" s="1907"/>
      <c r="CJ27" s="1902">
        <f>BI27-AH27</f>
        <v>-9900</v>
      </c>
      <c r="CK27" s="1902">
        <f>-AI27</f>
        <v>0</v>
      </c>
      <c r="CL27" s="1902">
        <f>BK27-AJ27</f>
        <v>0</v>
      </c>
      <c r="CM27" s="1902">
        <f>BL27-AK27</f>
        <v>0</v>
      </c>
      <c r="CN27" s="1902">
        <f>BM27-AL27</f>
        <v>0</v>
      </c>
      <c r="CO27" s="1902">
        <f>BN27-AM27</f>
        <v>45400</v>
      </c>
      <c r="CP27" s="1905">
        <f>BO27-AN27</f>
        <v>55</v>
      </c>
    </row>
    <row r="28" spans="1:94" ht="15.75" thickBot="1">
      <c r="A28" s="1890"/>
      <c r="B28" s="1827"/>
      <c r="C28" s="1094"/>
      <c r="D28" s="1094"/>
      <c r="E28" s="1617"/>
      <c r="F28" s="1617"/>
      <c r="G28" s="1888"/>
      <c r="H28" s="2422"/>
      <c r="I28" s="2408"/>
      <c r="J28" s="2431"/>
      <c r="K28" s="1855"/>
      <c r="L28" s="2433"/>
      <c r="M28" s="2433"/>
      <c r="N28" s="2433"/>
      <c r="O28" s="1859"/>
      <c r="P28" s="1859"/>
      <c r="Q28" s="1859"/>
      <c r="R28" s="1859"/>
      <c r="S28" s="1859"/>
      <c r="T28" s="1859"/>
      <c r="U28" s="2433"/>
      <c r="V28" s="1859"/>
      <c r="W28" s="2433"/>
      <c r="X28" s="2435"/>
      <c r="Y28" s="2429"/>
      <c r="Z28" s="2433"/>
      <c r="AA28" s="2433"/>
      <c r="AB28" s="1859"/>
      <c r="AC28" s="1859"/>
      <c r="AD28" s="1859"/>
      <c r="AE28" s="2433"/>
      <c r="AF28" s="1859"/>
      <c r="AG28" s="1859"/>
      <c r="AH28" s="1859"/>
      <c r="AI28" s="1859"/>
      <c r="AJ28" s="1859"/>
      <c r="AK28" s="1859"/>
      <c r="AL28" s="1859"/>
      <c r="AM28" s="2433"/>
      <c r="AN28" s="2433"/>
      <c r="AO28" s="2431"/>
      <c r="AP28" s="2431"/>
      <c r="AQ28" s="2426"/>
      <c r="AR28" s="2422"/>
      <c r="AS28" s="2408"/>
      <c r="AT28" s="2424"/>
      <c r="AU28" s="1891"/>
      <c r="AV28" s="1891"/>
      <c r="AW28" s="1891"/>
      <c r="AX28" s="1891"/>
      <c r="AY28" s="2402"/>
      <c r="AZ28" s="2433"/>
      <c r="BA28" s="1859"/>
      <c r="BB28" s="1859"/>
      <c r="BC28" s="1859"/>
      <c r="BD28" s="1859"/>
      <c r="BE28" s="1859"/>
      <c r="BF28" s="2433"/>
      <c r="BG28" s="1859"/>
      <c r="BH28" s="1859"/>
      <c r="BI28" s="1859"/>
      <c r="BJ28" s="1859"/>
      <c r="BK28" s="1859"/>
      <c r="BL28" s="1859"/>
      <c r="BM28" s="2433"/>
      <c r="BN28" s="2433"/>
      <c r="BO28" s="2431"/>
      <c r="BP28" s="1892"/>
      <c r="BQ28" s="1892"/>
      <c r="BR28" s="1892"/>
      <c r="BS28" s="1892"/>
      <c r="BT28" s="2431"/>
      <c r="BU28" s="2431"/>
      <c r="BV28" s="2431"/>
      <c r="BW28" s="2431"/>
      <c r="BX28" s="2431"/>
      <c r="BY28" s="2426"/>
      <c r="BZ28" s="1893"/>
      <c r="CA28" s="2431"/>
      <c r="CB28" s="2431"/>
      <c r="CC28" s="2431"/>
      <c r="CD28" s="2431"/>
      <c r="CE28" s="2431"/>
      <c r="CF28" s="2431"/>
      <c r="CG28" s="2431"/>
      <c r="CH28" s="2431"/>
      <c r="CI28" s="2431"/>
      <c r="CJ28" s="2431"/>
      <c r="CK28" s="2431"/>
      <c r="CL28" s="2431"/>
      <c r="CM28" s="2431"/>
      <c r="CN28" s="2431"/>
      <c r="CO28" s="2431"/>
      <c r="CP28" s="2426"/>
    </row>
    <row r="29" spans="1:94" ht="15.75" thickBot="1">
      <c r="A29" s="3202" t="s">
        <v>1006</v>
      </c>
      <c r="B29" s="2558" t="str">
        <f t="shared" ref="B29:B33" si="13">1&amp;"0"&amp;C29&amp;IF(LEN(SUBSTITUTE(UPPER(D29),"P/O ",""))=1,"000"&amp;SUBSTITUTE(UPPER(D29),"P/O ",""),IF(LEN(SUBSTITUTE(UPPER(D29),"P/O ",""))=2,"00"&amp;SUBSTITUTE(UPPER(D29),"P/O ",""),IF(LEN(SUBSTITUTE(UPPER(D29),"P/O ",""))=3,"0"&amp;SUBSTITUTE(UPPER(D29),"P/O ",""),SUBSTITUTE(UPPER(D29),"P/O ",""))))</f>
        <v>1022320001</v>
      </c>
      <c r="C29" s="1883">
        <v>2232</v>
      </c>
      <c r="D29" s="1883">
        <v>1</v>
      </c>
      <c r="E29" s="1884" t="s">
        <v>1473</v>
      </c>
      <c r="F29" s="1884" t="s">
        <v>1474</v>
      </c>
      <c r="G29" s="1850">
        <v>7125</v>
      </c>
      <c r="H29" s="1885" t="s">
        <v>704</v>
      </c>
      <c r="I29" s="2407"/>
      <c r="J29" s="2402" t="s">
        <v>1475</v>
      </c>
      <c r="K29" s="1851">
        <f t="shared" ref="K29:K34" si="14">W29/G29</f>
        <v>0.43017543859649121</v>
      </c>
      <c r="L29" s="2402">
        <v>0</v>
      </c>
      <c r="M29" s="2402">
        <v>0</v>
      </c>
      <c r="N29" s="2402">
        <f>O29+P29+Q29+R29+S29+T29</f>
        <v>3065</v>
      </c>
      <c r="O29" s="2412">
        <v>3065</v>
      </c>
      <c r="P29" s="2412">
        <v>0</v>
      </c>
      <c r="Q29" s="2412">
        <v>0</v>
      </c>
      <c r="R29" s="2412">
        <v>0</v>
      </c>
      <c r="S29" s="2412">
        <v>0</v>
      </c>
      <c r="T29" s="2412">
        <v>0</v>
      </c>
      <c r="U29" s="2402">
        <v>0</v>
      </c>
      <c r="V29" s="2412">
        <v>0</v>
      </c>
      <c r="W29" s="2402">
        <f>L29+M29+N29+U29</f>
        <v>3065</v>
      </c>
      <c r="X29" s="2405">
        <v>0</v>
      </c>
      <c r="Y29" s="3205" t="s">
        <v>1023</v>
      </c>
      <c r="Z29" s="3208">
        <f>L34</f>
        <v>0</v>
      </c>
      <c r="AA29" s="3208">
        <f>M34</f>
        <v>0</v>
      </c>
      <c r="AB29" s="3199">
        <v>0</v>
      </c>
      <c r="AC29" s="3199">
        <v>0</v>
      </c>
      <c r="AD29" s="3199">
        <v>0</v>
      </c>
      <c r="AE29" s="3208">
        <f>N34</f>
        <v>11476</v>
      </c>
      <c r="AF29" s="3199">
        <f>O34</f>
        <v>4890</v>
      </c>
      <c r="AG29" s="3199">
        <v>0</v>
      </c>
      <c r="AH29" s="3199">
        <f>P34</f>
        <v>6586</v>
      </c>
      <c r="AI29" s="3199">
        <v>0</v>
      </c>
      <c r="AJ29" s="3199">
        <v>0</v>
      </c>
      <c r="AK29" s="3199">
        <v>0</v>
      </c>
      <c r="AL29" s="3199">
        <v>0</v>
      </c>
      <c r="AM29" s="3208">
        <f>W34</f>
        <v>11476</v>
      </c>
      <c r="AN29" s="3208">
        <v>0</v>
      </c>
      <c r="AO29" s="3224">
        <v>0</v>
      </c>
      <c r="AP29" s="3224">
        <v>0</v>
      </c>
      <c r="AQ29" s="3214">
        <v>30</v>
      </c>
      <c r="AR29" s="3217" t="s">
        <v>1476</v>
      </c>
      <c r="AS29" s="3218"/>
      <c r="AT29" s="3238" t="s">
        <v>1477</v>
      </c>
      <c r="AU29" s="3212">
        <v>5.6</v>
      </c>
      <c r="AV29" s="3212">
        <f>AU29-(AW29+AX29)</f>
        <v>2.3999999999999995</v>
      </c>
      <c r="AW29" s="3212">
        <v>3</v>
      </c>
      <c r="AX29" s="3212">
        <v>0.2</v>
      </c>
      <c r="AY29" s="3208">
        <f>ROUND(AV29*G34,0)</f>
        <v>42636</v>
      </c>
      <c r="AZ29" s="3208">
        <f>ROUND(AX29*G34,0)</f>
        <v>3553</v>
      </c>
      <c r="BA29" s="3199">
        <f>AZ29</f>
        <v>3553</v>
      </c>
      <c r="BB29" s="3199">
        <v>0</v>
      </c>
      <c r="BC29" s="3199">
        <v>0</v>
      </c>
      <c r="BD29" s="3199">
        <v>0</v>
      </c>
      <c r="BE29" s="3199">
        <v>0</v>
      </c>
      <c r="BF29" s="3208">
        <f>ROUND(AW29*G34,0)</f>
        <v>53295</v>
      </c>
      <c r="BG29" s="3199">
        <f>10000</f>
        <v>10000</v>
      </c>
      <c r="BH29" s="3199">
        <v>0</v>
      </c>
      <c r="BI29" s="3199">
        <f>BF29-BG29</f>
        <v>43295</v>
      </c>
      <c r="BJ29" s="3199">
        <v>0</v>
      </c>
      <c r="BK29" s="3199">
        <v>0</v>
      </c>
      <c r="BL29" s="3199">
        <v>0</v>
      </c>
      <c r="BM29" s="3208">
        <v>0</v>
      </c>
      <c r="BN29" s="3208">
        <f>ROUND(AU29*G34,0)</f>
        <v>99484</v>
      </c>
      <c r="BO29" s="3224">
        <f>ROUND(AY29/875,0)</f>
        <v>49</v>
      </c>
      <c r="BP29" s="3229">
        <f>ROUND(0.25*BO29,0)</f>
        <v>12</v>
      </c>
      <c r="BQ29" s="3229">
        <f>BO29-BP29</f>
        <v>37</v>
      </c>
      <c r="BR29" s="3229">
        <f>ROUND(BO29*0.3,0)</f>
        <v>15</v>
      </c>
      <c r="BS29" s="3229">
        <f>BO29-BR29</f>
        <v>34</v>
      </c>
      <c r="BT29" s="3224">
        <f t="shared" ref="BT29:BT34" si="15">ROUND(IF(((0.2*BQ29)&gt;15),(0.2*BQ29),0),0)</f>
        <v>0</v>
      </c>
      <c r="BU29" s="3224">
        <f t="shared" ref="BU29:BU34" si="16">ROUND(IF(((0.2*BS29)&gt;15),(0.2*BS29),0),0)</f>
        <v>0</v>
      </c>
      <c r="BV29" s="3224">
        <v>0</v>
      </c>
      <c r="BW29" s="3224">
        <f t="shared" ref="BW29:BX34" si="17">BT29</f>
        <v>0</v>
      </c>
      <c r="BX29" s="3224">
        <f t="shared" si="17"/>
        <v>0</v>
      </c>
      <c r="BY29" s="3214">
        <v>135</v>
      </c>
      <c r="BZ29" s="3226">
        <f>AY29-Z29</f>
        <v>42636</v>
      </c>
      <c r="CA29" s="3208">
        <f>AZ29-AA29</f>
        <v>3553</v>
      </c>
      <c r="CB29" s="3208">
        <f>BA29</f>
        <v>3553</v>
      </c>
      <c r="CC29" s="3224"/>
      <c r="CD29" s="3224"/>
      <c r="CE29" s="3208">
        <f>BD29</f>
        <v>0</v>
      </c>
      <c r="CF29" s="3208">
        <f>BE29-AD29</f>
        <v>0</v>
      </c>
      <c r="CG29" s="3208">
        <f>BF29-AE29</f>
        <v>41819</v>
      </c>
      <c r="CH29" s="3208">
        <f>BG29-AF29</f>
        <v>5110</v>
      </c>
      <c r="CI29" s="3224"/>
      <c r="CJ29" s="3208">
        <f>BI29-AH29</f>
        <v>36709</v>
      </c>
      <c r="CK29" s="3208">
        <f>-AI29</f>
        <v>0</v>
      </c>
      <c r="CL29" s="3208">
        <f>BK29-AJ29</f>
        <v>0</v>
      </c>
      <c r="CM29" s="3208">
        <f>BL29-AK29</f>
        <v>0</v>
      </c>
      <c r="CN29" s="3208">
        <f>BM29-AL29</f>
        <v>0</v>
      </c>
      <c r="CO29" s="3208">
        <f>BN29-AM29</f>
        <v>88008</v>
      </c>
      <c r="CP29" s="3230">
        <f>BO29-AN29</f>
        <v>49</v>
      </c>
    </row>
    <row r="30" spans="1:94" ht="15.75" thickBot="1">
      <c r="A30" s="3235"/>
      <c r="B30" s="2558" t="str">
        <f t="shared" si="13"/>
        <v>1022320004</v>
      </c>
      <c r="C30" s="1886">
        <v>2232</v>
      </c>
      <c r="D30" s="1886">
        <v>4</v>
      </c>
      <c r="E30" s="1887" t="s">
        <v>1478</v>
      </c>
      <c r="F30" s="1887" t="s">
        <v>1479</v>
      </c>
      <c r="G30" s="1888">
        <v>1825</v>
      </c>
      <c r="H30" s="1889" t="s">
        <v>704</v>
      </c>
      <c r="I30" s="2408"/>
      <c r="J30" s="2433" t="s">
        <v>1475</v>
      </c>
      <c r="K30" s="1855">
        <f t="shared" si="14"/>
        <v>1</v>
      </c>
      <c r="L30" s="2433">
        <v>0</v>
      </c>
      <c r="M30" s="2433">
        <v>0</v>
      </c>
      <c r="N30" s="2433">
        <f>O30+P30+Q30+R30+S30+T30</f>
        <v>1825</v>
      </c>
      <c r="O30" s="1859">
        <v>1825</v>
      </c>
      <c r="P30" s="1859">
        <v>0</v>
      </c>
      <c r="Q30" s="1859">
        <v>0</v>
      </c>
      <c r="R30" s="1859">
        <v>0</v>
      </c>
      <c r="S30" s="1859">
        <v>0</v>
      </c>
      <c r="T30" s="1859">
        <v>0</v>
      </c>
      <c r="U30" s="2433">
        <v>0</v>
      </c>
      <c r="V30" s="1859">
        <v>0</v>
      </c>
      <c r="W30" s="2433">
        <f>L30+M30+N30+U30</f>
        <v>1825</v>
      </c>
      <c r="X30" s="2435">
        <v>0</v>
      </c>
      <c r="Y30" s="3236"/>
      <c r="Z30" s="3233"/>
      <c r="AA30" s="3233"/>
      <c r="AB30" s="3231"/>
      <c r="AC30" s="3231"/>
      <c r="AD30" s="3231"/>
      <c r="AE30" s="3233"/>
      <c r="AF30" s="3231"/>
      <c r="AG30" s="3231"/>
      <c r="AH30" s="3231"/>
      <c r="AI30" s="3231"/>
      <c r="AJ30" s="3231"/>
      <c r="AK30" s="3231"/>
      <c r="AL30" s="3231"/>
      <c r="AM30" s="3233"/>
      <c r="AN30" s="3233"/>
      <c r="AO30" s="3200"/>
      <c r="AP30" s="3200"/>
      <c r="AQ30" s="3215"/>
      <c r="AR30" s="3206"/>
      <c r="AS30" s="3219"/>
      <c r="AT30" s="3239"/>
      <c r="AU30" s="3200"/>
      <c r="AV30" s="3200"/>
      <c r="AW30" s="3200"/>
      <c r="AX30" s="3200"/>
      <c r="AY30" s="3233"/>
      <c r="AZ30" s="3233"/>
      <c r="BA30" s="3231"/>
      <c r="BB30" s="3231"/>
      <c r="BC30" s="3231"/>
      <c r="BD30" s="3231"/>
      <c r="BE30" s="3231"/>
      <c r="BF30" s="3233"/>
      <c r="BG30" s="3231"/>
      <c r="BH30" s="3231"/>
      <c r="BI30" s="3231"/>
      <c r="BJ30" s="3231"/>
      <c r="BK30" s="3231"/>
      <c r="BL30" s="3231"/>
      <c r="BM30" s="3233"/>
      <c r="BN30" s="3233"/>
      <c r="BO30" s="3200"/>
      <c r="BP30" s="3241"/>
      <c r="BQ30" s="3241"/>
      <c r="BR30" s="3241"/>
      <c r="BS30" s="3241"/>
      <c r="BT30" s="3200">
        <f t="shared" si="15"/>
        <v>0</v>
      </c>
      <c r="BU30" s="3200">
        <f t="shared" si="16"/>
        <v>0</v>
      </c>
      <c r="BV30" s="3200"/>
      <c r="BW30" s="3200">
        <f t="shared" si="17"/>
        <v>0</v>
      </c>
      <c r="BX30" s="3200">
        <f t="shared" si="17"/>
        <v>0</v>
      </c>
      <c r="BY30" s="3215"/>
      <c r="BZ30" s="3227"/>
      <c r="CA30" s="3200"/>
      <c r="CB30" s="3200"/>
      <c r="CC30" s="3200"/>
      <c r="CD30" s="3200"/>
      <c r="CE30" s="3200"/>
      <c r="CF30" s="3200"/>
      <c r="CG30" s="3200"/>
      <c r="CH30" s="3200"/>
      <c r="CI30" s="3200"/>
      <c r="CJ30" s="3200"/>
      <c r="CK30" s="3200"/>
      <c r="CL30" s="3200"/>
      <c r="CM30" s="3200"/>
      <c r="CN30" s="3200"/>
      <c r="CO30" s="3200"/>
      <c r="CP30" s="3215"/>
    </row>
    <row r="31" spans="1:94" ht="15.75" thickBot="1">
      <c r="A31" s="3235"/>
      <c r="B31" s="2558" t="str">
        <f t="shared" si="13"/>
        <v>1022320005</v>
      </c>
      <c r="C31" s="1886">
        <v>2232</v>
      </c>
      <c r="D31" s="1886">
        <v>5</v>
      </c>
      <c r="E31" s="1887" t="s">
        <v>1480</v>
      </c>
      <c r="F31" s="1887" t="s">
        <v>1479</v>
      </c>
      <c r="G31" s="1888">
        <v>2575</v>
      </c>
      <c r="H31" s="1889" t="s">
        <v>704</v>
      </c>
      <c r="I31" s="2408"/>
      <c r="J31" s="2433" t="s">
        <v>1475</v>
      </c>
      <c r="K31" s="1855">
        <f t="shared" si="14"/>
        <v>0</v>
      </c>
      <c r="L31" s="2433">
        <v>0</v>
      </c>
      <c r="M31" s="2433">
        <v>0</v>
      </c>
      <c r="N31" s="2433">
        <f>O31+P31+Q31+R31+S31+T31</f>
        <v>0</v>
      </c>
      <c r="O31" s="1859">
        <v>0</v>
      </c>
      <c r="P31" s="1859">
        <v>0</v>
      </c>
      <c r="Q31" s="1859">
        <v>0</v>
      </c>
      <c r="R31" s="1859">
        <v>0</v>
      </c>
      <c r="S31" s="1859">
        <v>0</v>
      </c>
      <c r="T31" s="1859">
        <v>0</v>
      </c>
      <c r="U31" s="2433">
        <v>0</v>
      </c>
      <c r="V31" s="1859">
        <v>0</v>
      </c>
      <c r="W31" s="2433">
        <f>L31+M31+N31+U31</f>
        <v>0</v>
      </c>
      <c r="X31" s="2435">
        <v>0</v>
      </c>
      <c r="Y31" s="3236"/>
      <c r="Z31" s="3233"/>
      <c r="AA31" s="3233"/>
      <c r="AB31" s="3231"/>
      <c r="AC31" s="3231"/>
      <c r="AD31" s="3231"/>
      <c r="AE31" s="3233"/>
      <c r="AF31" s="3231"/>
      <c r="AG31" s="3231"/>
      <c r="AH31" s="3231"/>
      <c r="AI31" s="3231"/>
      <c r="AJ31" s="3231"/>
      <c r="AK31" s="3231"/>
      <c r="AL31" s="3231"/>
      <c r="AM31" s="3233"/>
      <c r="AN31" s="3233"/>
      <c r="AO31" s="3200"/>
      <c r="AP31" s="3200"/>
      <c r="AQ31" s="3215"/>
      <c r="AR31" s="3206"/>
      <c r="AS31" s="3219"/>
      <c r="AT31" s="3239"/>
      <c r="AU31" s="3200"/>
      <c r="AV31" s="3200"/>
      <c r="AW31" s="3200"/>
      <c r="AX31" s="3200"/>
      <c r="AY31" s="3233"/>
      <c r="AZ31" s="3233"/>
      <c r="BA31" s="3231"/>
      <c r="BB31" s="3231"/>
      <c r="BC31" s="3231"/>
      <c r="BD31" s="3231"/>
      <c r="BE31" s="3231"/>
      <c r="BF31" s="3233"/>
      <c r="BG31" s="3231"/>
      <c r="BH31" s="3231"/>
      <c r="BI31" s="3231"/>
      <c r="BJ31" s="3231"/>
      <c r="BK31" s="3231"/>
      <c r="BL31" s="3231"/>
      <c r="BM31" s="3233"/>
      <c r="BN31" s="3233"/>
      <c r="BO31" s="3200"/>
      <c r="BP31" s="3241"/>
      <c r="BQ31" s="3241"/>
      <c r="BR31" s="3241"/>
      <c r="BS31" s="3241"/>
      <c r="BT31" s="3200">
        <f t="shared" si="15"/>
        <v>0</v>
      </c>
      <c r="BU31" s="3200">
        <f t="shared" si="16"/>
        <v>0</v>
      </c>
      <c r="BV31" s="3200"/>
      <c r="BW31" s="3200">
        <f t="shared" si="17"/>
        <v>0</v>
      </c>
      <c r="BX31" s="3200">
        <f t="shared" si="17"/>
        <v>0</v>
      </c>
      <c r="BY31" s="3215"/>
      <c r="BZ31" s="3227"/>
      <c r="CA31" s="3200"/>
      <c r="CB31" s="3200"/>
      <c r="CC31" s="3200"/>
      <c r="CD31" s="3200"/>
      <c r="CE31" s="3200"/>
      <c r="CF31" s="3200"/>
      <c r="CG31" s="3200"/>
      <c r="CH31" s="3200"/>
      <c r="CI31" s="3200"/>
      <c r="CJ31" s="3200"/>
      <c r="CK31" s="3200"/>
      <c r="CL31" s="3200"/>
      <c r="CM31" s="3200"/>
      <c r="CN31" s="3200"/>
      <c r="CO31" s="3200"/>
      <c r="CP31" s="3215"/>
    </row>
    <row r="32" spans="1:94" ht="15.75" thickBot="1">
      <c r="A32" s="3235"/>
      <c r="B32" s="2558" t="str">
        <f t="shared" si="13"/>
        <v>1022320013</v>
      </c>
      <c r="C32" s="1886">
        <v>2232</v>
      </c>
      <c r="D32" s="1886">
        <v>13</v>
      </c>
      <c r="E32" s="1887" t="s">
        <v>1481</v>
      </c>
      <c r="F32" s="1887" t="s">
        <v>1479</v>
      </c>
      <c r="G32" s="1888">
        <v>2500</v>
      </c>
      <c r="H32" s="1889" t="s">
        <v>704</v>
      </c>
      <c r="I32" s="2408"/>
      <c r="J32" s="2433" t="s">
        <v>1475</v>
      </c>
      <c r="K32" s="1855">
        <f t="shared" si="14"/>
        <v>0</v>
      </c>
      <c r="L32" s="2433">
        <v>0</v>
      </c>
      <c r="M32" s="2433">
        <v>0</v>
      </c>
      <c r="N32" s="2433">
        <f>O32+P32+Q32+R32+S32+T32</f>
        <v>0</v>
      </c>
      <c r="O32" s="1859">
        <v>0</v>
      </c>
      <c r="P32" s="1859">
        <v>0</v>
      </c>
      <c r="Q32" s="1859">
        <v>0</v>
      </c>
      <c r="R32" s="1859">
        <v>0</v>
      </c>
      <c r="S32" s="1859">
        <v>0</v>
      </c>
      <c r="T32" s="1859">
        <v>0</v>
      </c>
      <c r="U32" s="2433">
        <v>0</v>
      </c>
      <c r="V32" s="1859">
        <v>0</v>
      </c>
      <c r="W32" s="2433">
        <f>L32+M32+N32+U32</f>
        <v>0</v>
      </c>
      <c r="X32" s="2435">
        <v>0</v>
      </c>
      <c r="Y32" s="3236"/>
      <c r="Z32" s="3233"/>
      <c r="AA32" s="3233"/>
      <c r="AB32" s="3231"/>
      <c r="AC32" s="3231"/>
      <c r="AD32" s="3231"/>
      <c r="AE32" s="3233"/>
      <c r="AF32" s="3231"/>
      <c r="AG32" s="3231"/>
      <c r="AH32" s="3231"/>
      <c r="AI32" s="3231"/>
      <c r="AJ32" s="3231"/>
      <c r="AK32" s="3231"/>
      <c r="AL32" s="3231"/>
      <c r="AM32" s="3233"/>
      <c r="AN32" s="3233"/>
      <c r="AO32" s="3200"/>
      <c r="AP32" s="3200"/>
      <c r="AQ32" s="3215"/>
      <c r="AR32" s="3206"/>
      <c r="AS32" s="3219"/>
      <c r="AT32" s="3239"/>
      <c r="AU32" s="3200"/>
      <c r="AV32" s="3200"/>
      <c r="AW32" s="3200"/>
      <c r="AX32" s="3200"/>
      <c r="AY32" s="3233"/>
      <c r="AZ32" s="3233"/>
      <c r="BA32" s="3231"/>
      <c r="BB32" s="3231"/>
      <c r="BC32" s="3231"/>
      <c r="BD32" s="3231"/>
      <c r="BE32" s="3231"/>
      <c r="BF32" s="3233"/>
      <c r="BG32" s="3231"/>
      <c r="BH32" s="3231"/>
      <c r="BI32" s="3231"/>
      <c r="BJ32" s="3231"/>
      <c r="BK32" s="3231"/>
      <c r="BL32" s="3231"/>
      <c r="BM32" s="3233"/>
      <c r="BN32" s="3233"/>
      <c r="BO32" s="3200"/>
      <c r="BP32" s="3241"/>
      <c r="BQ32" s="3241"/>
      <c r="BR32" s="3241"/>
      <c r="BS32" s="3241"/>
      <c r="BT32" s="3200">
        <f t="shared" si="15"/>
        <v>0</v>
      </c>
      <c r="BU32" s="3200">
        <f t="shared" si="16"/>
        <v>0</v>
      </c>
      <c r="BV32" s="3200"/>
      <c r="BW32" s="3200">
        <f t="shared" si="17"/>
        <v>0</v>
      </c>
      <c r="BX32" s="3200">
        <f t="shared" si="17"/>
        <v>0</v>
      </c>
      <c r="BY32" s="3215"/>
      <c r="BZ32" s="3227"/>
      <c r="CA32" s="3200"/>
      <c r="CB32" s="3200"/>
      <c r="CC32" s="3200"/>
      <c r="CD32" s="3200"/>
      <c r="CE32" s="3200"/>
      <c r="CF32" s="3200"/>
      <c r="CG32" s="3200"/>
      <c r="CH32" s="3200"/>
      <c r="CI32" s="3200"/>
      <c r="CJ32" s="3200"/>
      <c r="CK32" s="3200"/>
      <c r="CL32" s="3200"/>
      <c r="CM32" s="3200"/>
      <c r="CN32" s="3200"/>
      <c r="CO32" s="3200"/>
      <c r="CP32" s="3215"/>
    </row>
    <row r="33" spans="1:94">
      <c r="A33" s="3235"/>
      <c r="B33" s="2558" t="str">
        <f t="shared" si="13"/>
        <v>1022320014</v>
      </c>
      <c r="C33" s="1886">
        <v>2232</v>
      </c>
      <c r="D33" s="1886">
        <v>14</v>
      </c>
      <c r="E33" s="1887" t="s">
        <v>1482</v>
      </c>
      <c r="F33" s="1887" t="s">
        <v>1483</v>
      </c>
      <c r="G33" s="1854">
        <v>3740</v>
      </c>
      <c r="H33" s="1889" t="s">
        <v>704</v>
      </c>
      <c r="I33" s="2408"/>
      <c r="J33" s="2433" t="s">
        <v>1475</v>
      </c>
      <c r="K33" s="1855">
        <f t="shared" si="14"/>
        <v>1.7609625668449198</v>
      </c>
      <c r="L33" s="1856">
        <v>0</v>
      </c>
      <c r="M33" s="1856">
        <v>0</v>
      </c>
      <c r="N33" s="1856">
        <f>O33+P33+Q33+R33+S33+T33</f>
        <v>6586</v>
      </c>
      <c r="O33" s="1857"/>
      <c r="P33" s="1857">
        <v>6586</v>
      </c>
      <c r="Q33" s="1857">
        <v>0</v>
      </c>
      <c r="R33" s="1857">
        <v>0</v>
      </c>
      <c r="S33" s="1857">
        <v>0</v>
      </c>
      <c r="T33" s="1857">
        <v>0</v>
      </c>
      <c r="U33" s="1856">
        <v>0</v>
      </c>
      <c r="V33" s="1857">
        <v>0</v>
      </c>
      <c r="W33" s="1856">
        <f>L33+M33+N33+U33</f>
        <v>6586</v>
      </c>
      <c r="X33" s="1858">
        <v>0</v>
      </c>
      <c r="Y33" s="3236"/>
      <c r="Z33" s="3233"/>
      <c r="AA33" s="3233"/>
      <c r="AB33" s="3231"/>
      <c r="AC33" s="3231"/>
      <c r="AD33" s="3231"/>
      <c r="AE33" s="3233"/>
      <c r="AF33" s="3231"/>
      <c r="AG33" s="3231"/>
      <c r="AH33" s="3231"/>
      <c r="AI33" s="3231"/>
      <c r="AJ33" s="3231"/>
      <c r="AK33" s="3231"/>
      <c r="AL33" s="3231"/>
      <c r="AM33" s="3233"/>
      <c r="AN33" s="3233"/>
      <c r="AO33" s="3200"/>
      <c r="AP33" s="3200"/>
      <c r="AQ33" s="3215"/>
      <c r="AR33" s="3206"/>
      <c r="AS33" s="3219"/>
      <c r="AT33" s="3239"/>
      <c r="AU33" s="3200"/>
      <c r="AV33" s="3200"/>
      <c r="AW33" s="3200"/>
      <c r="AX33" s="3200"/>
      <c r="AY33" s="3233"/>
      <c r="AZ33" s="3233"/>
      <c r="BA33" s="3231"/>
      <c r="BB33" s="3231"/>
      <c r="BC33" s="3231"/>
      <c r="BD33" s="3231"/>
      <c r="BE33" s="3231"/>
      <c r="BF33" s="3233"/>
      <c r="BG33" s="3231"/>
      <c r="BH33" s="3231"/>
      <c r="BI33" s="3231"/>
      <c r="BJ33" s="3231"/>
      <c r="BK33" s="3231"/>
      <c r="BL33" s="3231"/>
      <c r="BM33" s="3233"/>
      <c r="BN33" s="3233"/>
      <c r="BO33" s="3200"/>
      <c r="BP33" s="3241"/>
      <c r="BQ33" s="3241"/>
      <c r="BR33" s="3241"/>
      <c r="BS33" s="3241"/>
      <c r="BT33" s="3200">
        <f t="shared" si="15"/>
        <v>0</v>
      </c>
      <c r="BU33" s="3200">
        <f t="shared" si="16"/>
        <v>0</v>
      </c>
      <c r="BV33" s="3200"/>
      <c r="BW33" s="3200">
        <f t="shared" si="17"/>
        <v>0</v>
      </c>
      <c r="BX33" s="3200">
        <f t="shared" si="17"/>
        <v>0</v>
      </c>
      <c r="BY33" s="3215"/>
      <c r="BZ33" s="3227"/>
      <c r="CA33" s="3200"/>
      <c r="CB33" s="3200"/>
      <c r="CC33" s="3200"/>
      <c r="CD33" s="3200"/>
      <c r="CE33" s="3200"/>
      <c r="CF33" s="3200"/>
      <c r="CG33" s="3200"/>
      <c r="CH33" s="3200"/>
      <c r="CI33" s="3200"/>
      <c r="CJ33" s="3200"/>
      <c r="CK33" s="3200"/>
      <c r="CL33" s="3200"/>
      <c r="CM33" s="3200"/>
      <c r="CN33" s="3200"/>
      <c r="CO33" s="3200"/>
      <c r="CP33" s="3215"/>
    </row>
    <row r="34" spans="1:94">
      <c r="A34" s="3251"/>
      <c r="B34" s="1860"/>
      <c r="C34" s="1860"/>
      <c r="D34" s="1861" t="s">
        <v>1484</v>
      </c>
      <c r="E34" s="1862"/>
      <c r="F34" s="1863" t="s">
        <v>1485</v>
      </c>
      <c r="G34" s="1864">
        <f>SUM(G29:G33)</f>
        <v>17765</v>
      </c>
      <c r="H34" s="2423"/>
      <c r="I34" s="2409"/>
      <c r="J34" s="2432"/>
      <c r="K34" s="1865">
        <f t="shared" si="14"/>
        <v>0.64598930481283423</v>
      </c>
      <c r="L34" s="2434">
        <f>SUM(L29:L33)</f>
        <v>0</v>
      </c>
      <c r="M34" s="2434">
        <f t="shared" ref="M34:X34" si="18">SUM(M29:M33)</f>
        <v>0</v>
      </c>
      <c r="N34" s="2434">
        <f t="shared" si="18"/>
        <v>11476</v>
      </c>
      <c r="O34" s="1867">
        <f t="shared" si="18"/>
        <v>4890</v>
      </c>
      <c r="P34" s="1867">
        <f t="shared" si="18"/>
        <v>6586</v>
      </c>
      <c r="Q34" s="1867">
        <f t="shared" si="18"/>
        <v>0</v>
      </c>
      <c r="R34" s="1867">
        <f t="shared" si="18"/>
        <v>0</v>
      </c>
      <c r="S34" s="1867">
        <f t="shared" si="18"/>
        <v>0</v>
      </c>
      <c r="T34" s="1867">
        <f t="shared" si="18"/>
        <v>0</v>
      </c>
      <c r="U34" s="2434">
        <f t="shared" si="18"/>
        <v>0</v>
      </c>
      <c r="V34" s="1867">
        <f t="shared" si="18"/>
        <v>0</v>
      </c>
      <c r="W34" s="2434">
        <f t="shared" si="18"/>
        <v>11476</v>
      </c>
      <c r="X34" s="2436">
        <f t="shared" si="18"/>
        <v>0</v>
      </c>
      <c r="Y34" s="3237"/>
      <c r="Z34" s="3234"/>
      <c r="AA34" s="3234"/>
      <c r="AB34" s="3232"/>
      <c r="AC34" s="3232"/>
      <c r="AD34" s="3232"/>
      <c r="AE34" s="3234"/>
      <c r="AF34" s="3232"/>
      <c r="AG34" s="3232"/>
      <c r="AH34" s="3232"/>
      <c r="AI34" s="3232"/>
      <c r="AJ34" s="3232"/>
      <c r="AK34" s="3232"/>
      <c r="AL34" s="3232"/>
      <c r="AM34" s="3234"/>
      <c r="AN34" s="3234"/>
      <c r="AO34" s="3201"/>
      <c r="AP34" s="3201"/>
      <c r="AQ34" s="3216"/>
      <c r="AR34" s="3207"/>
      <c r="AS34" s="3220"/>
      <c r="AT34" s="3240"/>
      <c r="AU34" s="3201"/>
      <c r="AV34" s="3201"/>
      <c r="AW34" s="3201"/>
      <c r="AX34" s="3201"/>
      <c r="AY34" s="3234"/>
      <c r="AZ34" s="3234"/>
      <c r="BA34" s="3232"/>
      <c r="BB34" s="3232"/>
      <c r="BC34" s="3232"/>
      <c r="BD34" s="3232"/>
      <c r="BE34" s="3232"/>
      <c r="BF34" s="3234"/>
      <c r="BG34" s="3232"/>
      <c r="BH34" s="3232"/>
      <c r="BI34" s="3232"/>
      <c r="BJ34" s="3232"/>
      <c r="BK34" s="3232"/>
      <c r="BL34" s="3232"/>
      <c r="BM34" s="3234"/>
      <c r="BN34" s="3234"/>
      <c r="BO34" s="3201"/>
      <c r="BP34" s="3242"/>
      <c r="BQ34" s="3242"/>
      <c r="BR34" s="3242"/>
      <c r="BS34" s="3242"/>
      <c r="BT34" s="3201">
        <f t="shared" si="15"/>
        <v>0</v>
      </c>
      <c r="BU34" s="3201">
        <f t="shared" si="16"/>
        <v>0</v>
      </c>
      <c r="BV34" s="3201"/>
      <c r="BW34" s="3201">
        <f t="shared" si="17"/>
        <v>0</v>
      </c>
      <c r="BX34" s="3201">
        <f t="shared" si="17"/>
        <v>0</v>
      </c>
      <c r="BY34" s="3216"/>
      <c r="BZ34" s="3228"/>
      <c r="CA34" s="3201"/>
      <c r="CB34" s="3201"/>
      <c r="CC34" s="3201"/>
      <c r="CD34" s="3201"/>
      <c r="CE34" s="3201"/>
      <c r="CF34" s="3201"/>
      <c r="CG34" s="3201"/>
      <c r="CH34" s="3201"/>
      <c r="CI34" s="3201"/>
      <c r="CJ34" s="3201"/>
      <c r="CK34" s="3201"/>
      <c r="CL34" s="3201"/>
      <c r="CM34" s="3201"/>
      <c r="CN34" s="3201"/>
      <c r="CO34" s="3201"/>
      <c r="CP34" s="3216"/>
    </row>
    <row r="35" spans="1:94" ht="15.75" thickBot="1">
      <c r="A35" s="1894"/>
      <c r="B35" s="1827"/>
      <c r="C35" s="1094"/>
      <c r="D35" s="1094"/>
      <c r="E35" s="1617"/>
      <c r="F35" s="1617"/>
      <c r="G35" s="1888"/>
      <c r="H35" s="2422"/>
      <c r="I35" s="2408"/>
      <c r="J35" s="2431"/>
      <c r="K35" s="1855"/>
      <c r="L35" s="2433"/>
      <c r="M35" s="2433"/>
      <c r="N35" s="2433"/>
      <c r="O35" s="1859"/>
      <c r="P35" s="1859"/>
      <c r="Q35" s="1859"/>
      <c r="R35" s="1859"/>
      <c r="S35" s="1859"/>
      <c r="T35" s="1859"/>
      <c r="U35" s="2433"/>
      <c r="V35" s="1859"/>
      <c r="W35" s="2433"/>
      <c r="X35" s="2435"/>
      <c r="Y35" s="2429"/>
      <c r="Z35" s="2433"/>
      <c r="AA35" s="2433"/>
      <c r="AB35" s="1859"/>
      <c r="AC35" s="1859"/>
      <c r="AD35" s="1859"/>
      <c r="AE35" s="2433"/>
      <c r="AF35" s="1859"/>
      <c r="AG35" s="1859"/>
      <c r="AH35" s="1859"/>
      <c r="AI35" s="1859"/>
      <c r="AJ35" s="1859"/>
      <c r="AK35" s="1859"/>
      <c r="AL35" s="1859"/>
      <c r="AM35" s="2433"/>
      <c r="AN35" s="2433"/>
      <c r="AO35" s="2431"/>
      <c r="AP35" s="2431"/>
      <c r="AQ35" s="2426"/>
      <c r="AR35" s="2422"/>
      <c r="AS35" s="2408"/>
      <c r="AT35" s="2424"/>
      <c r="AU35" s="1891"/>
      <c r="AV35" s="1891"/>
      <c r="AW35" s="1891"/>
      <c r="AX35" s="1891"/>
      <c r="AY35" s="2433"/>
      <c r="AZ35" s="2433"/>
      <c r="BA35" s="1859"/>
      <c r="BB35" s="1859"/>
      <c r="BC35" s="1859"/>
      <c r="BD35" s="1859"/>
      <c r="BE35" s="1859"/>
      <c r="BF35" s="2433"/>
      <c r="BG35" s="1859"/>
      <c r="BH35" s="1859"/>
      <c r="BI35" s="1859"/>
      <c r="BJ35" s="1859"/>
      <c r="BK35" s="1859"/>
      <c r="BL35" s="1859"/>
      <c r="BM35" s="2433"/>
      <c r="BN35" s="2433"/>
      <c r="BO35" s="2431"/>
      <c r="BP35" s="1892"/>
      <c r="BQ35" s="1892"/>
      <c r="BR35" s="1892"/>
      <c r="BS35" s="1892"/>
      <c r="BT35" s="2431"/>
      <c r="BU35" s="2431"/>
      <c r="BV35" s="2431"/>
      <c r="BW35" s="2431"/>
      <c r="BX35" s="2431"/>
      <c r="BY35" s="1908"/>
      <c r="BZ35" s="1893"/>
      <c r="CA35" s="2431"/>
      <c r="CB35" s="2431"/>
      <c r="CC35" s="2431"/>
      <c r="CD35" s="2431"/>
      <c r="CE35" s="2431"/>
      <c r="CF35" s="2431"/>
      <c r="CG35" s="2431"/>
      <c r="CH35" s="2431"/>
      <c r="CI35" s="2431"/>
      <c r="CJ35" s="2431"/>
      <c r="CK35" s="2431"/>
      <c r="CL35" s="2431"/>
      <c r="CM35" s="2431"/>
      <c r="CN35" s="2431"/>
      <c r="CO35" s="2431"/>
      <c r="CP35" s="2426"/>
    </row>
    <row r="36" spans="1:94" ht="15.75" thickBot="1">
      <c r="A36" s="3202" t="s">
        <v>1009</v>
      </c>
      <c r="B36" s="2558" t="str">
        <f t="shared" ref="B36:B37" si="19">1&amp;"0"&amp;C36&amp;IF(LEN(SUBSTITUTE(UPPER(D36),"P/O ",""))=1,"000"&amp;SUBSTITUTE(UPPER(D36),"P/O ",""),IF(LEN(SUBSTITUTE(UPPER(D36),"P/O ",""))=2,"00"&amp;SUBSTITUTE(UPPER(D36),"P/O ",""),IF(LEN(SUBSTITUTE(UPPER(D36),"P/O ",""))=3,"0"&amp;SUBSTITUTE(UPPER(D36),"P/O ",""),SUBSTITUTE(UPPER(D36),"P/O ",""))))</f>
        <v>1022430273</v>
      </c>
      <c r="C36" s="1883">
        <v>2243</v>
      </c>
      <c r="D36" s="1883">
        <v>273</v>
      </c>
      <c r="E36" s="1884" t="s">
        <v>1486</v>
      </c>
      <c r="F36" s="1884" t="s">
        <v>1487</v>
      </c>
      <c r="G36" s="1850">
        <v>5225</v>
      </c>
      <c r="H36" s="1885" t="s">
        <v>704</v>
      </c>
      <c r="I36" s="2407"/>
      <c r="J36" s="2402" t="s">
        <v>1488</v>
      </c>
      <c r="K36" s="1851">
        <f>W36/G36</f>
        <v>0.46564593301435409</v>
      </c>
      <c r="L36" s="2402">
        <v>0</v>
      </c>
      <c r="M36" s="2402">
        <v>0</v>
      </c>
      <c r="N36" s="2402">
        <f>O36+P36+Q36+R36+S36+T36</f>
        <v>2433</v>
      </c>
      <c r="O36" s="2412">
        <v>2433</v>
      </c>
      <c r="P36" s="2412">
        <v>0</v>
      </c>
      <c r="Q36" s="2412">
        <v>0</v>
      </c>
      <c r="R36" s="2412">
        <v>0</v>
      </c>
      <c r="S36" s="2412">
        <v>0</v>
      </c>
      <c r="T36" s="2412">
        <v>0</v>
      </c>
      <c r="U36" s="2402">
        <v>0</v>
      </c>
      <c r="V36" s="2412">
        <v>0</v>
      </c>
      <c r="W36" s="2402">
        <f>L36+M36+N36+U36</f>
        <v>2433</v>
      </c>
      <c r="X36" s="2405">
        <v>0</v>
      </c>
      <c r="Y36" s="3205" t="s">
        <v>1023</v>
      </c>
      <c r="Z36" s="3208">
        <f>L38</f>
        <v>0</v>
      </c>
      <c r="AA36" s="3208">
        <f>M38</f>
        <v>0</v>
      </c>
      <c r="AB36" s="3199">
        <v>0</v>
      </c>
      <c r="AC36" s="3199">
        <v>0</v>
      </c>
      <c r="AD36" s="3199">
        <v>0</v>
      </c>
      <c r="AE36" s="3208">
        <f>N38</f>
        <v>2433</v>
      </c>
      <c r="AF36" s="3199">
        <f>O38</f>
        <v>2433</v>
      </c>
      <c r="AG36" s="3199">
        <v>0</v>
      </c>
      <c r="AH36" s="3199">
        <f>P38</f>
        <v>0</v>
      </c>
      <c r="AI36" s="3199">
        <v>0</v>
      </c>
      <c r="AJ36" s="3199">
        <f>R38</f>
        <v>0</v>
      </c>
      <c r="AK36" s="3199">
        <f>T38</f>
        <v>0</v>
      </c>
      <c r="AL36" s="3199">
        <f>U38</f>
        <v>0</v>
      </c>
      <c r="AM36" s="3208">
        <f>W38</f>
        <v>2433</v>
      </c>
      <c r="AN36" s="3208">
        <f>X38</f>
        <v>0</v>
      </c>
      <c r="AO36" s="3224">
        <v>0</v>
      </c>
      <c r="AP36" s="3224">
        <v>0</v>
      </c>
      <c r="AQ36" s="3214">
        <v>15</v>
      </c>
      <c r="AR36" s="3217" t="s">
        <v>774</v>
      </c>
      <c r="AS36" s="3218" t="s">
        <v>706</v>
      </c>
      <c r="AT36" s="3238" t="s">
        <v>1291</v>
      </c>
      <c r="AU36" s="3212">
        <v>5.6</v>
      </c>
      <c r="AV36" s="3212">
        <f>AU36-AW36</f>
        <v>4.8499999999999996</v>
      </c>
      <c r="AW36" s="3212">
        <v>0.75</v>
      </c>
      <c r="AX36" s="3212">
        <v>0</v>
      </c>
      <c r="AY36" s="3208">
        <f>ROUND(AV36*G38,0)</f>
        <v>60019</v>
      </c>
      <c r="AZ36" s="3208">
        <f>ROUND(AX36*G38,0)</f>
        <v>0</v>
      </c>
      <c r="BA36" s="3199">
        <v>0</v>
      </c>
      <c r="BB36" s="3199">
        <v>0</v>
      </c>
      <c r="BC36" s="3199">
        <v>0</v>
      </c>
      <c r="BD36" s="3199">
        <v>0</v>
      </c>
      <c r="BE36" s="3199">
        <f>AZ36</f>
        <v>0</v>
      </c>
      <c r="BF36" s="3208">
        <f>ROUND(G38*AW36,0)</f>
        <v>9281</v>
      </c>
      <c r="BG36" s="3199">
        <f>BF36</f>
        <v>9281</v>
      </c>
      <c r="BH36" s="3199">
        <v>0</v>
      </c>
      <c r="BI36" s="3199">
        <f>BF36-BG36</f>
        <v>0</v>
      </c>
      <c r="BJ36" s="3199">
        <v>0</v>
      </c>
      <c r="BK36" s="3199">
        <v>0</v>
      </c>
      <c r="BL36" s="3199">
        <v>0</v>
      </c>
      <c r="BM36" s="3208">
        <v>0</v>
      </c>
      <c r="BN36" s="3208">
        <f>ROUND(G38*AU36,0)</f>
        <v>69300</v>
      </c>
      <c r="BO36" s="3224">
        <f>ROUND(AY36/875,0)</f>
        <v>69</v>
      </c>
      <c r="BP36" s="3229">
        <f>ROUND(BO36*0.25,0)</f>
        <v>17</v>
      </c>
      <c r="BQ36" s="3229">
        <f>BO36-BP36</f>
        <v>52</v>
      </c>
      <c r="BR36" s="3229">
        <f>ROUND(BO36*0.3,0)</f>
        <v>21</v>
      </c>
      <c r="BS36" s="3229">
        <f>BO36-BR36</f>
        <v>48</v>
      </c>
      <c r="BT36" s="3224">
        <f>ROUND(IF(((0.2*BQ36)&gt;15),(0.2*BQ36),0),0)</f>
        <v>0</v>
      </c>
      <c r="BU36" s="3224">
        <f>ROUND(IF(((0.2*BS36)&gt;15),(0.2*BS36),0),0)</f>
        <v>0</v>
      </c>
      <c r="BV36" s="3224">
        <v>0</v>
      </c>
      <c r="BW36" s="3224">
        <f t="shared" ref="BW36:BX38" si="20">BT36</f>
        <v>0</v>
      </c>
      <c r="BX36" s="3224">
        <f t="shared" si="20"/>
        <v>0</v>
      </c>
      <c r="BY36" s="3257">
        <v>115</v>
      </c>
      <c r="BZ36" s="3226">
        <f>AY36-Z36</f>
        <v>60019</v>
      </c>
      <c r="CA36" s="3208">
        <f>AZ36-AA36</f>
        <v>0</v>
      </c>
      <c r="CB36" s="3208">
        <f>BA36</f>
        <v>0</v>
      </c>
      <c r="CC36" s="3224"/>
      <c r="CD36" s="3224"/>
      <c r="CE36" s="3208">
        <f>BD36</f>
        <v>0</v>
      </c>
      <c r="CF36" s="3208">
        <f>BE36-AD36</f>
        <v>0</v>
      </c>
      <c r="CG36" s="3208">
        <f>BF36-AE36</f>
        <v>6848</v>
      </c>
      <c r="CH36" s="3208">
        <f>BG36-AF36</f>
        <v>6848</v>
      </c>
      <c r="CI36" s="3224"/>
      <c r="CJ36" s="3208">
        <f>BI36-AH36</f>
        <v>0</v>
      </c>
      <c r="CK36" s="3208">
        <f>-AI36</f>
        <v>0</v>
      </c>
      <c r="CL36" s="3208">
        <f>BK36-AJ36</f>
        <v>0</v>
      </c>
      <c r="CM36" s="3208">
        <f>BL36-AK36</f>
        <v>0</v>
      </c>
      <c r="CN36" s="3208">
        <f>BM36-AL36</f>
        <v>0</v>
      </c>
      <c r="CO36" s="3208">
        <f>BN36-AM36</f>
        <v>66867</v>
      </c>
      <c r="CP36" s="3230">
        <f>BO36-AN36</f>
        <v>69</v>
      </c>
    </row>
    <row r="37" spans="1:94">
      <c r="A37" s="3235"/>
      <c r="B37" s="2558" t="str">
        <f t="shared" si="19"/>
        <v>1022430270</v>
      </c>
      <c r="C37" s="1886">
        <v>2243</v>
      </c>
      <c r="D37" s="1886">
        <v>270</v>
      </c>
      <c r="E37" s="1887" t="s">
        <v>1489</v>
      </c>
      <c r="F37" s="1887" t="s">
        <v>1490</v>
      </c>
      <c r="G37" s="1854">
        <v>7150</v>
      </c>
      <c r="H37" s="1889" t="s">
        <v>704</v>
      </c>
      <c r="I37" s="2408"/>
      <c r="J37" s="2433" t="s">
        <v>1315</v>
      </c>
      <c r="K37" s="1855">
        <f>W37/G37</f>
        <v>0</v>
      </c>
      <c r="L37" s="2433">
        <v>0</v>
      </c>
      <c r="M37" s="2433">
        <v>0</v>
      </c>
      <c r="N37" s="2433">
        <f>O37+P37+Q37+R37+S37+T37</f>
        <v>0</v>
      </c>
      <c r="O37" s="1859">
        <v>0</v>
      </c>
      <c r="P37" s="1859">
        <v>0</v>
      </c>
      <c r="Q37" s="1859">
        <v>0</v>
      </c>
      <c r="R37" s="1859">
        <v>0</v>
      </c>
      <c r="S37" s="1859">
        <v>0</v>
      </c>
      <c r="T37" s="1859">
        <v>0</v>
      </c>
      <c r="U37" s="2433">
        <v>0</v>
      </c>
      <c r="V37" s="1859">
        <v>0</v>
      </c>
      <c r="W37" s="2433">
        <f>L37+M37+N37+U37</f>
        <v>0</v>
      </c>
      <c r="X37" s="2435">
        <v>0</v>
      </c>
      <c r="Y37" s="3236"/>
      <c r="Z37" s="3233"/>
      <c r="AA37" s="3233"/>
      <c r="AB37" s="3231"/>
      <c r="AC37" s="3231"/>
      <c r="AD37" s="3231"/>
      <c r="AE37" s="3233"/>
      <c r="AF37" s="3231"/>
      <c r="AG37" s="3231"/>
      <c r="AH37" s="3231"/>
      <c r="AI37" s="3231"/>
      <c r="AJ37" s="3231"/>
      <c r="AK37" s="3231"/>
      <c r="AL37" s="3231"/>
      <c r="AM37" s="3233"/>
      <c r="AN37" s="3233"/>
      <c r="AO37" s="3200"/>
      <c r="AP37" s="3200"/>
      <c r="AQ37" s="3215"/>
      <c r="AR37" s="3206"/>
      <c r="AS37" s="3219"/>
      <c r="AT37" s="3239"/>
      <c r="AU37" s="3200"/>
      <c r="AV37" s="3200"/>
      <c r="AW37" s="3200"/>
      <c r="AX37" s="3200"/>
      <c r="AY37" s="3233"/>
      <c r="AZ37" s="3233"/>
      <c r="BA37" s="3231"/>
      <c r="BB37" s="3231"/>
      <c r="BC37" s="3231"/>
      <c r="BD37" s="3231"/>
      <c r="BE37" s="3231"/>
      <c r="BF37" s="3233"/>
      <c r="BG37" s="3231"/>
      <c r="BH37" s="3231"/>
      <c r="BI37" s="3231"/>
      <c r="BJ37" s="3231"/>
      <c r="BK37" s="3231"/>
      <c r="BL37" s="3231"/>
      <c r="BM37" s="3233"/>
      <c r="BN37" s="3233"/>
      <c r="BO37" s="3200"/>
      <c r="BP37" s="3241"/>
      <c r="BQ37" s="3241"/>
      <c r="BR37" s="3241"/>
      <c r="BS37" s="3241"/>
      <c r="BT37" s="3200">
        <f t="shared" ref="BT37:BT38" si="21">ROUND(IF(((0.2*BQ37)&gt;15),(0.2*BQ37),0),0)</f>
        <v>0</v>
      </c>
      <c r="BU37" s="3200">
        <f t="shared" ref="BU37:BU38" si="22">ROUND(IF(((0.2*BS37)&gt;15),(0.2*BS37),0),0)</f>
        <v>0</v>
      </c>
      <c r="BV37" s="3200"/>
      <c r="BW37" s="3200">
        <f t="shared" si="20"/>
        <v>0</v>
      </c>
      <c r="BX37" s="3200">
        <f t="shared" si="20"/>
        <v>0</v>
      </c>
      <c r="BY37" s="3215"/>
      <c r="BZ37" s="3227"/>
      <c r="CA37" s="3200"/>
      <c r="CB37" s="3200"/>
      <c r="CC37" s="3200"/>
      <c r="CD37" s="3200"/>
      <c r="CE37" s="3200"/>
      <c r="CF37" s="3200"/>
      <c r="CG37" s="3200"/>
      <c r="CH37" s="3200"/>
      <c r="CI37" s="3200"/>
      <c r="CJ37" s="3200"/>
      <c r="CK37" s="3200"/>
      <c r="CL37" s="3200"/>
      <c r="CM37" s="3200"/>
      <c r="CN37" s="3200"/>
      <c r="CO37" s="3200"/>
      <c r="CP37" s="3215"/>
    </row>
    <row r="38" spans="1:94">
      <c r="A38" s="3251"/>
      <c r="B38" s="1860"/>
      <c r="C38" s="1860"/>
      <c r="D38" s="1861" t="s">
        <v>1491</v>
      </c>
      <c r="E38" s="1862"/>
      <c r="F38" s="1863" t="s">
        <v>1491</v>
      </c>
      <c r="G38" s="1864">
        <f>SUM(G36:G37)</f>
        <v>12375</v>
      </c>
      <c r="H38" s="2423"/>
      <c r="I38" s="2409"/>
      <c r="J38" s="2432"/>
      <c r="K38" s="1865">
        <f>W38/G38</f>
        <v>0.19660606060606062</v>
      </c>
      <c r="L38" s="2434">
        <f>SUM(L36:L37)</f>
        <v>0</v>
      </c>
      <c r="M38" s="2434">
        <f t="shared" ref="M38:X38" si="23">SUM(M36:M37)</f>
        <v>0</v>
      </c>
      <c r="N38" s="2434">
        <f t="shared" si="23"/>
        <v>2433</v>
      </c>
      <c r="O38" s="1867">
        <f t="shared" si="23"/>
        <v>2433</v>
      </c>
      <c r="P38" s="1867">
        <f t="shared" si="23"/>
        <v>0</v>
      </c>
      <c r="Q38" s="1867">
        <f t="shared" si="23"/>
        <v>0</v>
      </c>
      <c r="R38" s="1867">
        <f t="shared" si="23"/>
        <v>0</v>
      </c>
      <c r="S38" s="1867">
        <f t="shared" si="23"/>
        <v>0</v>
      </c>
      <c r="T38" s="1867">
        <f t="shared" si="23"/>
        <v>0</v>
      </c>
      <c r="U38" s="2434">
        <f t="shared" si="23"/>
        <v>0</v>
      </c>
      <c r="V38" s="1867">
        <f t="shared" si="23"/>
        <v>0</v>
      </c>
      <c r="W38" s="2434">
        <f t="shared" si="23"/>
        <v>2433</v>
      </c>
      <c r="X38" s="2436">
        <f t="shared" si="23"/>
        <v>0</v>
      </c>
      <c r="Y38" s="3237"/>
      <c r="Z38" s="3234"/>
      <c r="AA38" s="3234"/>
      <c r="AB38" s="3232"/>
      <c r="AC38" s="3232"/>
      <c r="AD38" s="3232"/>
      <c r="AE38" s="3234"/>
      <c r="AF38" s="3232"/>
      <c r="AG38" s="3232"/>
      <c r="AH38" s="3232"/>
      <c r="AI38" s="3232"/>
      <c r="AJ38" s="3232"/>
      <c r="AK38" s="3232"/>
      <c r="AL38" s="3232"/>
      <c r="AM38" s="3234"/>
      <c r="AN38" s="3234"/>
      <c r="AO38" s="3201"/>
      <c r="AP38" s="3201"/>
      <c r="AQ38" s="3216"/>
      <c r="AR38" s="3207"/>
      <c r="AS38" s="3220"/>
      <c r="AT38" s="3240"/>
      <c r="AU38" s="3201"/>
      <c r="AV38" s="3201"/>
      <c r="AW38" s="3201"/>
      <c r="AX38" s="3201"/>
      <c r="AY38" s="3234"/>
      <c r="AZ38" s="3234"/>
      <c r="BA38" s="3232"/>
      <c r="BB38" s="3232"/>
      <c r="BC38" s="3232"/>
      <c r="BD38" s="3232"/>
      <c r="BE38" s="3232"/>
      <c r="BF38" s="3234"/>
      <c r="BG38" s="3232"/>
      <c r="BH38" s="3232"/>
      <c r="BI38" s="3232"/>
      <c r="BJ38" s="3232"/>
      <c r="BK38" s="3232"/>
      <c r="BL38" s="3232"/>
      <c r="BM38" s="3234"/>
      <c r="BN38" s="3234"/>
      <c r="BO38" s="3201"/>
      <c r="BP38" s="3242"/>
      <c r="BQ38" s="3242"/>
      <c r="BR38" s="3242"/>
      <c r="BS38" s="3242"/>
      <c r="BT38" s="3201">
        <f t="shared" si="21"/>
        <v>0</v>
      </c>
      <c r="BU38" s="3201">
        <f t="shared" si="22"/>
        <v>0</v>
      </c>
      <c r="BV38" s="3201"/>
      <c r="BW38" s="3201">
        <f t="shared" si="20"/>
        <v>0</v>
      </c>
      <c r="BX38" s="3201">
        <f t="shared" si="20"/>
        <v>0</v>
      </c>
      <c r="BY38" s="3215"/>
      <c r="BZ38" s="3228"/>
      <c r="CA38" s="3201"/>
      <c r="CB38" s="3201"/>
      <c r="CC38" s="3201"/>
      <c r="CD38" s="3201"/>
      <c r="CE38" s="3201"/>
      <c r="CF38" s="3201"/>
      <c r="CG38" s="3201"/>
      <c r="CH38" s="3201"/>
      <c r="CI38" s="3201"/>
      <c r="CJ38" s="3201"/>
      <c r="CK38" s="3201"/>
      <c r="CL38" s="3201"/>
      <c r="CM38" s="3201"/>
      <c r="CN38" s="3201"/>
      <c r="CO38" s="3201"/>
      <c r="CP38" s="3216"/>
    </row>
    <row r="39" spans="1:94" ht="15.75" thickBot="1">
      <c r="A39" s="1894"/>
      <c r="B39" s="1827"/>
      <c r="C39" s="1094"/>
      <c r="D39" s="1094"/>
      <c r="E39" s="1617"/>
      <c r="F39" s="1617"/>
      <c r="G39" s="1888"/>
      <c r="H39" s="2422"/>
      <c r="I39" s="2408"/>
      <c r="J39" s="2431"/>
      <c r="K39" s="1855"/>
      <c r="L39" s="2433"/>
      <c r="M39" s="2433"/>
      <c r="N39" s="2433"/>
      <c r="O39" s="1859"/>
      <c r="P39" s="1859"/>
      <c r="Q39" s="1859"/>
      <c r="R39" s="1859"/>
      <c r="S39" s="1859"/>
      <c r="T39" s="1859"/>
      <c r="U39" s="2433"/>
      <c r="V39" s="1859"/>
      <c r="W39" s="2433"/>
      <c r="X39" s="2435"/>
      <c r="Y39" s="2429"/>
      <c r="Z39" s="2433"/>
      <c r="AA39" s="2433"/>
      <c r="AB39" s="1859"/>
      <c r="AC39" s="1859"/>
      <c r="AD39" s="1859"/>
      <c r="AE39" s="2433"/>
      <c r="AF39" s="1859"/>
      <c r="AG39" s="1859"/>
      <c r="AH39" s="1859"/>
      <c r="AI39" s="1859"/>
      <c r="AJ39" s="1859"/>
      <c r="AK39" s="1859"/>
      <c r="AL39" s="1859"/>
      <c r="AM39" s="2433"/>
      <c r="AN39" s="2433"/>
      <c r="AO39" s="2431"/>
      <c r="AP39" s="2431"/>
      <c r="AQ39" s="2426"/>
      <c r="AR39" s="2422"/>
      <c r="AS39" s="2408"/>
      <c r="AT39" s="2424"/>
      <c r="AU39" s="1891"/>
      <c r="AV39" s="1891"/>
      <c r="AW39" s="1891"/>
      <c r="AX39" s="1891"/>
      <c r="AY39" s="2433"/>
      <c r="AZ39" s="2433"/>
      <c r="BA39" s="1859"/>
      <c r="BB39" s="1859"/>
      <c r="BC39" s="1859"/>
      <c r="BD39" s="1859"/>
      <c r="BE39" s="1859"/>
      <c r="BF39" s="2433"/>
      <c r="BG39" s="1859"/>
      <c r="BH39" s="1859"/>
      <c r="BI39" s="1859"/>
      <c r="BJ39" s="1859"/>
      <c r="BK39" s="1859"/>
      <c r="BL39" s="1859"/>
      <c r="BM39" s="2433"/>
      <c r="BN39" s="2433"/>
      <c r="BO39" s="2431"/>
      <c r="BP39" s="1892"/>
      <c r="BQ39" s="1892"/>
      <c r="BR39" s="1892"/>
      <c r="BS39" s="1892"/>
      <c r="BT39" s="2431"/>
      <c r="BU39" s="2431"/>
      <c r="BV39" s="2431"/>
      <c r="BW39" s="2431"/>
      <c r="BX39" s="2431"/>
      <c r="BY39" s="1908"/>
      <c r="BZ39" s="1893"/>
      <c r="CA39" s="2431"/>
      <c r="CB39" s="2431"/>
      <c r="CC39" s="2431"/>
      <c r="CD39" s="2431"/>
      <c r="CE39" s="2431"/>
      <c r="CF39" s="2433"/>
      <c r="CG39" s="2431"/>
      <c r="CH39" s="2431"/>
      <c r="CI39" s="2431"/>
      <c r="CJ39" s="2431"/>
      <c r="CK39" s="2431"/>
      <c r="CL39" s="2431"/>
      <c r="CM39" s="2431"/>
      <c r="CN39" s="2431"/>
      <c r="CO39" s="2431"/>
      <c r="CP39" s="2426"/>
    </row>
    <row r="40" spans="1:94" ht="15.75" thickBot="1">
      <c r="A40" s="3202" t="s">
        <v>1011</v>
      </c>
      <c r="B40" s="2558">
        <v>1021870020</v>
      </c>
      <c r="C40" s="1883">
        <v>2187</v>
      </c>
      <c r="D40" s="1883" t="s">
        <v>1492</v>
      </c>
      <c r="E40" s="1884" t="s">
        <v>1332</v>
      </c>
      <c r="F40" s="1884" t="s">
        <v>1493</v>
      </c>
      <c r="G40" s="1850">
        <v>4332</v>
      </c>
      <c r="H40" s="1885" t="s">
        <v>1323</v>
      </c>
      <c r="I40" s="2407"/>
      <c r="J40" s="2406" t="s">
        <v>1494</v>
      </c>
      <c r="K40" s="1851">
        <f>W40/G40</f>
        <v>0</v>
      </c>
      <c r="L40" s="2402">
        <v>0</v>
      </c>
      <c r="M40" s="2402">
        <v>0</v>
      </c>
      <c r="N40" s="2402">
        <f>O40+P40+Q40+R40+S40+T40</f>
        <v>0</v>
      </c>
      <c r="O40" s="2412">
        <v>0</v>
      </c>
      <c r="P40" s="2412">
        <v>0</v>
      </c>
      <c r="Q40" s="2412">
        <v>0</v>
      </c>
      <c r="R40" s="2412">
        <v>0</v>
      </c>
      <c r="S40" s="2412">
        <v>0</v>
      </c>
      <c r="T40" s="2412">
        <v>0</v>
      </c>
      <c r="U40" s="2402">
        <v>0</v>
      </c>
      <c r="V40" s="2412">
        <v>0</v>
      </c>
      <c r="W40" s="2402">
        <f>L40+M40+N40+U40</f>
        <v>0</v>
      </c>
      <c r="X40" s="2405">
        <v>0</v>
      </c>
      <c r="Y40" s="3205" t="s">
        <v>1023</v>
      </c>
      <c r="Z40" s="3208">
        <f>L44</f>
        <v>0</v>
      </c>
      <c r="AA40" s="3208">
        <f>M44</f>
        <v>0</v>
      </c>
      <c r="AB40" s="3199">
        <v>0</v>
      </c>
      <c r="AC40" s="3199">
        <v>0</v>
      </c>
      <c r="AD40" s="3199">
        <v>0</v>
      </c>
      <c r="AE40" s="3208">
        <f>N44</f>
        <v>37242</v>
      </c>
      <c r="AF40" s="3199">
        <f>O44</f>
        <v>2492</v>
      </c>
      <c r="AG40" s="3199">
        <v>0</v>
      </c>
      <c r="AH40" s="3199">
        <f>P44</f>
        <v>0</v>
      </c>
      <c r="AI40" s="3199">
        <v>0</v>
      </c>
      <c r="AJ40" s="3199">
        <f>R44</f>
        <v>0</v>
      </c>
      <c r="AK40" s="3199">
        <f>T44</f>
        <v>34750</v>
      </c>
      <c r="AL40" s="3199">
        <f>U44</f>
        <v>0</v>
      </c>
      <c r="AM40" s="3208">
        <f>W44</f>
        <v>37242</v>
      </c>
      <c r="AN40" s="3208">
        <f>X44</f>
        <v>0</v>
      </c>
      <c r="AO40" s="3208">
        <v>0</v>
      </c>
      <c r="AP40" s="3208">
        <v>0</v>
      </c>
      <c r="AQ40" s="3230">
        <v>27</v>
      </c>
      <c r="AR40" s="1914" t="s">
        <v>733</v>
      </c>
      <c r="AS40" s="1915" t="s">
        <v>706</v>
      </c>
      <c r="AT40" s="3258"/>
      <c r="AU40" s="2414">
        <v>7.2</v>
      </c>
      <c r="AV40" s="2414">
        <v>6.2</v>
      </c>
      <c r="AW40" s="2414">
        <v>0.75</v>
      </c>
      <c r="AX40" s="2414">
        <v>0.25</v>
      </c>
      <c r="AY40" s="3208">
        <f>ROUND(AV40*G40,0)+ROUND(AV42*G42,0)+ROUND(G43*AV43,0)+ROUND(3992*7.5,0)+ROUND(6.2*56658,0)</f>
        <v>520518</v>
      </c>
      <c r="AZ40" s="3208">
        <f>ROUND(AX44*G44,0)</f>
        <v>19994</v>
      </c>
      <c r="BA40" s="3199">
        <f>AZ40</f>
        <v>19994</v>
      </c>
      <c r="BB40" s="3199">
        <v>0</v>
      </c>
      <c r="BC40" s="3199">
        <v>0</v>
      </c>
      <c r="BD40" s="3199">
        <v>0</v>
      </c>
      <c r="BE40" s="3199">
        <v>0</v>
      </c>
      <c r="BF40" s="3208">
        <f>ROUND(AW44*G44,0)</f>
        <v>59981</v>
      </c>
      <c r="BG40" s="3199">
        <f>BF40-BI40</f>
        <v>29990</v>
      </c>
      <c r="BH40" s="3199">
        <v>0</v>
      </c>
      <c r="BI40" s="3199">
        <f>ROUND(BF40*0.5,0)</f>
        <v>29991</v>
      </c>
      <c r="BJ40" s="3199">
        <v>0</v>
      </c>
      <c r="BK40" s="3199">
        <v>0</v>
      </c>
      <c r="BL40" s="3199">
        <v>0</v>
      </c>
      <c r="BM40" s="3208">
        <v>0</v>
      </c>
      <c r="BN40" s="3208">
        <f>AY40+AZ40+BF40</f>
        <v>600493</v>
      </c>
      <c r="BO40" s="3208">
        <f>ROUND(AY40/875,0)</f>
        <v>595</v>
      </c>
      <c r="BP40" s="3199">
        <f>ROUND(BO40*0.25,0)</f>
        <v>149</v>
      </c>
      <c r="BQ40" s="3199">
        <f>BO40-BP40</f>
        <v>446</v>
      </c>
      <c r="BR40" s="3199">
        <f>ROUND(0.3*BO40,0)</f>
        <v>179</v>
      </c>
      <c r="BS40" s="3199">
        <f>BO40-BR40</f>
        <v>416</v>
      </c>
      <c r="BT40" s="3208">
        <f>ROUND(IF(((0.2*BQ40)&gt;15),(0.2*BQ40),0),0)</f>
        <v>89</v>
      </c>
      <c r="BU40" s="3208">
        <f>ROUND(IF(((0.2*BS40)&gt;15),(0.2*BS40),0),0)</f>
        <v>83</v>
      </c>
      <c r="BV40" s="3259">
        <v>0</v>
      </c>
      <c r="BW40" s="3260">
        <f>BV40+BT40</f>
        <v>89</v>
      </c>
      <c r="BX40" s="3260">
        <f>BU40+BV40</f>
        <v>83</v>
      </c>
      <c r="BY40" s="3230">
        <v>245</v>
      </c>
      <c r="BZ40" s="3226">
        <f>AY40-Z40</f>
        <v>520518</v>
      </c>
      <c r="CA40" s="3208">
        <f>AZ40-AA40</f>
        <v>19994</v>
      </c>
      <c r="CB40" s="3208">
        <f>BA40</f>
        <v>19994</v>
      </c>
      <c r="CC40" s="2402"/>
      <c r="CD40" s="2402"/>
      <c r="CE40" s="3208">
        <f>BD40</f>
        <v>0</v>
      </c>
      <c r="CF40" s="3208">
        <f>BE40-AD40</f>
        <v>0</v>
      </c>
      <c r="CG40" s="3208">
        <f>BF40-AE40</f>
        <v>22739</v>
      </c>
      <c r="CH40" s="3208">
        <f>BG40-AF40</f>
        <v>27498</v>
      </c>
      <c r="CI40" s="2402"/>
      <c r="CJ40" s="3208">
        <f>BI40-AH40</f>
        <v>29991</v>
      </c>
      <c r="CK40" s="3208">
        <f>-AI40</f>
        <v>0</v>
      </c>
      <c r="CL40" s="3208">
        <f>BK40-AJ40</f>
        <v>0</v>
      </c>
      <c r="CM40" s="3208">
        <f>BL40-AK40</f>
        <v>-34750</v>
      </c>
      <c r="CN40" s="3208">
        <f>BM40-AL40</f>
        <v>0</v>
      </c>
      <c r="CO40" s="3208">
        <f>BN40-AM40</f>
        <v>563251</v>
      </c>
      <c r="CP40" s="3230">
        <f>BO40-AN40</f>
        <v>595</v>
      </c>
    </row>
    <row r="41" spans="1:94" ht="15.75" thickBot="1">
      <c r="A41" s="3235"/>
      <c r="B41" s="2558" t="str">
        <f t="shared" ref="B40:B43" si="24">1&amp;"0"&amp;C41&amp;IF(LEN(SUBSTITUTE(UPPER(D41),"P/O ",""))=1,"000"&amp;SUBSTITUTE(UPPER(D41),"P/O ",""),IF(LEN(SUBSTITUTE(UPPER(D41),"P/O ",""))=2,"00"&amp;SUBSTITUTE(UPPER(D41),"P/O ",""),IF(LEN(SUBSTITUTE(UPPER(D41),"P/O ",""))=3,"0"&amp;SUBSTITUTE(UPPER(D41),"P/O ",""),SUBSTITUTE(UPPER(D41),"P/O ",""))))</f>
        <v>1021870007</v>
      </c>
      <c r="C41" s="1886">
        <v>2187</v>
      </c>
      <c r="D41" s="1886">
        <v>7</v>
      </c>
      <c r="E41" s="1887" t="s">
        <v>1495</v>
      </c>
      <c r="F41" s="1887" t="s">
        <v>1496</v>
      </c>
      <c r="G41" s="1888">
        <v>60650</v>
      </c>
      <c r="H41" s="1889" t="s">
        <v>1323</v>
      </c>
      <c r="I41" s="2408"/>
      <c r="J41" s="2433" t="s">
        <v>1407</v>
      </c>
      <c r="K41" s="1855">
        <f>W41/G41</f>
        <v>0.36685902720527619</v>
      </c>
      <c r="L41" s="2433">
        <v>0</v>
      </c>
      <c r="M41" s="2433">
        <v>0</v>
      </c>
      <c r="N41" s="2433">
        <f>O41+P41+Q41+R41+S41+T41</f>
        <v>22250</v>
      </c>
      <c r="O41" s="1859"/>
      <c r="P41" s="1859">
        <v>0</v>
      </c>
      <c r="Q41" s="1859">
        <v>0</v>
      </c>
      <c r="R41" s="1859">
        <v>0</v>
      </c>
      <c r="S41" s="1859">
        <v>0</v>
      </c>
      <c r="T41" s="1859">
        <v>22250</v>
      </c>
      <c r="U41" s="2433">
        <v>0</v>
      </c>
      <c r="V41" s="1859">
        <v>0</v>
      </c>
      <c r="W41" s="2433">
        <f>L41+M41+N41+U41</f>
        <v>22250</v>
      </c>
      <c r="X41" s="2435">
        <v>0</v>
      </c>
      <c r="Y41" s="3236"/>
      <c r="Z41" s="3233"/>
      <c r="AA41" s="3233"/>
      <c r="AB41" s="3231"/>
      <c r="AC41" s="3231"/>
      <c r="AD41" s="3231"/>
      <c r="AE41" s="3233"/>
      <c r="AF41" s="3231"/>
      <c r="AG41" s="3231"/>
      <c r="AH41" s="3231"/>
      <c r="AI41" s="3231"/>
      <c r="AJ41" s="3231"/>
      <c r="AK41" s="3231"/>
      <c r="AL41" s="3231"/>
      <c r="AM41" s="3233"/>
      <c r="AN41" s="3233"/>
      <c r="AO41" s="3200"/>
      <c r="AP41" s="3200"/>
      <c r="AQ41" s="3215"/>
      <c r="AR41" s="2416" t="s">
        <v>1497</v>
      </c>
      <c r="AS41" s="2418" t="s">
        <v>706</v>
      </c>
      <c r="AT41" s="3239"/>
      <c r="AU41" s="1916" t="s">
        <v>1353</v>
      </c>
      <c r="AV41" s="1916" t="s">
        <v>1498</v>
      </c>
      <c r="AW41" s="2414">
        <v>0.75</v>
      </c>
      <c r="AX41" s="1916">
        <v>0.25</v>
      </c>
      <c r="AY41" s="3200"/>
      <c r="AZ41" s="3200"/>
      <c r="BA41" s="3200"/>
      <c r="BB41" s="3200"/>
      <c r="BC41" s="3200"/>
      <c r="BD41" s="3200"/>
      <c r="BE41" s="3200"/>
      <c r="BF41" s="3200"/>
      <c r="BG41" s="3200"/>
      <c r="BH41" s="3200"/>
      <c r="BI41" s="3200"/>
      <c r="BJ41" s="3200"/>
      <c r="BK41" s="3200"/>
      <c r="BL41" s="3200"/>
      <c r="BM41" s="3200"/>
      <c r="BN41" s="3200"/>
      <c r="BO41" s="3200"/>
      <c r="BP41" s="3200"/>
      <c r="BQ41" s="3200"/>
      <c r="BR41" s="3200"/>
      <c r="BS41" s="3200"/>
      <c r="BT41" s="3200"/>
      <c r="BU41" s="3200"/>
      <c r="BV41" s="3200"/>
      <c r="BW41" s="3200"/>
      <c r="BX41" s="3200"/>
      <c r="BY41" s="3215"/>
      <c r="BZ41" s="3227"/>
      <c r="CA41" s="3200"/>
      <c r="CB41" s="3200"/>
      <c r="CC41" s="2403"/>
      <c r="CD41" s="2403"/>
      <c r="CE41" s="3200"/>
      <c r="CF41" s="3200"/>
      <c r="CG41" s="3200"/>
      <c r="CH41" s="3200"/>
      <c r="CI41" s="2403"/>
      <c r="CJ41" s="3200"/>
      <c r="CK41" s="3200"/>
      <c r="CL41" s="3200"/>
      <c r="CM41" s="3200"/>
      <c r="CN41" s="3200"/>
      <c r="CO41" s="3200"/>
      <c r="CP41" s="3215"/>
    </row>
    <row r="42" spans="1:94" ht="15.75" thickBot="1">
      <c r="A42" s="3235"/>
      <c r="B42" s="2558" t="str">
        <f t="shared" si="24"/>
        <v>1021870005</v>
      </c>
      <c r="C42" s="1886">
        <v>2187</v>
      </c>
      <c r="D42" s="1886">
        <v>5</v>
      </c>
      <c r="E42" s="1887" t="s">
        <v>1499</v>
      </c>
      <c r="F42" s="1887" t="s">
        <v>1496</v>
      </c>
      <c r="G42" s="1888">
        <v>12500</v>
      </c>
      <c r="H42" s="1889" t="s">
        <v>1323</v>
      </c>
      <c r="I42" s="2408"/>
      <c r="J42" s="2433" t="s">
        <v>1407</v>
      </c>
      <c r="K42" s="1855">
        <f>W42/G42</f>
        <v>1</v>
      </c>
      <c r="L42" s="2433">
        <v>0</v>
      </c>
      <c r="M42" s="2433">
        <v>0</v>
      </c>
      <c r="N42" s="2433">
        <f>O42+P42+Q42+R42+S42+T42</f>
        <v>12500</v>
      </c>
      <c r="O42" s="1859"/>
      <c r="P42" s="1859">
        <v>0</v>
      </c>
      <c r="Q42" s="1859">
        <v>0</v>
      </c>
      <c r="R42" s="1859">
        <v>0</v>
      </c>
      <c r="S42" s="1859">
        <v>0</v>
      </c>
      <c r="T42" s="1859">
        <v>12500</v>
      </c>
      <c r="U42" s="2433">
        <v>0</v>
      </c>
      <c r="V42" s="1859">
        <v>0</v>
      </c>
      <c r="W42" s="2433">
        <f>L42+M42+N42+U42</f>
        <v>12500</v>
      </c>
      <c r="X42" s="2435">
        <v>0</v>
      </c>
      <c r="Y42" s="3236"/>
      <c r="Z42" s="3233"/>
      <c r="AA42" s="3233"/>
      <c r="AB42" s="3231"/>
      <c r="AC42" s="3231"/>
      <c r="AD42" s="3231"/>
      <c r="AE42" s="3233"/>
      <c r="AF42" s="3231"/>
      <c r="AG42" s="3231"/>
      <c r="AH42" s="3231"/>
      <c r="AI42" s="3231"/>
      <c r="AJ42" s="3231"/>
      <c r="AK42" s="3231"/>
      <c r="AL42" s="3231"/>
      <c r="AM42" s="3233"/>
      <c r="AN42" s="3233"/>
      <c r="AO42" s="3200"/>
      <c r="AP42" s="3200"/>
      <c r="AQ42" s="3215"/>
      <c r="AR42" s="2416" t="s">
        <v>758</v>
      </c>
      <c r="AS42" s="2418" t="s">
        <v>706</v>
      </c>
      <c r="AT42" s="3239"/>
      <c r="AU42" s="1916">
        <v>8.5</v>
      </c>
      <c r="AV42" s="1916">
        <v>7.5</v>
      </c>
      <c r="AW42" s="2414">
        <v>0.75</v>
      </c>
      <c r="AX42" s="1916">
        <v>0.25</v>
      </c>
      <c r="AY42" s="3200"/>
      <c r="AZ42" s="3200"/>
      <c r="BA42" s="3200"/>
      <c r="BB42" s="3200"/>
      <c r="BC42" s="3200"/>
      <c r="BD42" s="3200"/>
      <c r="BE42" s="3200"/>
      <c r="BF42" s="3200"/>
      <c r="BG42" s="3200"/>
      <c r="BH42" s="3200"/>
      <c r="BI42" s="3200"/>
      <c r="BJ42" s="3200"/>
      <c r="BK42" s="3200"/>
      <c r="BL42" s="3200"/>
      <c r="BM42" s="3200"/>
      <c r="BN42" s="3200"/>
      <c r="BO42" s="3200"/>
      <c r="BP42" s="3200"/>
      <c r="BQ42" s="3200"/>
      <c r="BR42" s="3200"/>
      <c r="BS42" s="3200"/>
      <c r="BT42" s="3200"/>
      <c r="BU42" s="3200"/>
      <c r="BV42" s="3200"/>
      <c r="BW42" s="3200"/>
      <c r="BX42" s="3200"/>
      <c r="BY42" s="3215"/>
      <c r="BZ42" s="3227"/>
      <c r="CA42" s="3200"/>
      <c r="CB42" s="3200"/>
      <c r="CC42" s="2403"/>
      <c r="CD42" s="2403"/>
      <c r="CE42" s="3200"/>
      <c r="CF42" s="3200"/>
      <c r="CG42" s="3200"/>
      <c r="CH42" s="3200"/>
      <c r="CI42" s="2403"/>
      <c r="CJ42" s="3200"/>
      <c r="CK42" s="3200"/>
      <c r="CL42" s="3200"/>
      <c r="CM42" s="3200"/>
      <c r="CN42" s="3200"/>
      <c r="CO42" s="3200"/>
      <c r="CP42" s="3215"/>
    </row>
    <row r="43" spans="1:94">
      <c r="A43" s="3235"/>
      <c r="B43" s="2558" t="str">
        <f t="shared" si="24"/>
        <v>1021870001</v>
      </c>
      <c r="C43" s="1886">
        <v>2187</v>
      </c>
      <c r="D43" s="1886">
        <v>1</v>
      </c>
      <c r="E43" s="1887" t="s">
        <v>1500</v>
      </c>
      <c r="F43" s="1887" t="s">
        <v>1496</v>
      </c>
      <c r="G43" s="1854">
        <v>2492</v>
      </c>
      <c r="H43" s="1889" t="s">
        <v>1323</v>
      </c>
      <c r="I43" s="2408"/>
      <c r="J43" s="2433" t="s">
        <v>1407</v>
      </c>
      <c r="K43" s="1855">
        <f>W43/G43</f>
        <v>1</v>
      </c>
      <c r="L43" s="2433">
        <v>0</v>
      </c>
      <c r="M43" s="2433">
        <v>0</v>
      </c>
      <c r="N43" s="2433">
        <f>O43+P43+Q43+R43+S43+T43</f>
        <v>2492</v>
      </c>
      <c r="O43" s="1859">
        <v>2492</v>
      </c>
      <c r="P43" s="1859">
        <v>0</v>
      </c>
      <c r="Q43" s="1859">
        <v>0</v>
      </c>
      <c r="R43" s="1859">
        <v>0</v>
      </c>
      <c r="S43" s="1859">
        <v>0</v>
      </c>
      <c r="T43" s="1859">
        <v>0</v>
      </c>
      <c r="U43" s="2433">
        <v>0</v>
      </c>
      <c r="V43" s="1859">
        <v>0</v>
      </c>
      <c r="W43" s="2433">
        <f>L43+M43+N43+U43</f>
        <v>2492</v>
      </c>
      <c r="X43" s="2435">
        <v>0</v>
      </c>
      <c r="Y43" s="3236"/>
      <c r="Z43" s="3233"/>
      <c r="AA43" s="3233"/>
      <c r="AB43" s="3231"/>
      <c r="AC43" s="3231"/>
      <c r="AD43" s="3231"/>
      <c r="AE43" s="3233"/>
      <c r="AF43" s="3231"/>
      <c r="AG43" s="3231"/>
      <c r="AH43" s="3231"/>
      <c r="AI43" s="3231"/>
      <c r="AJ43" s="3231"/>
      <c r="AK43" s="3231"/>
      <c r="AL43" s="3231"/>
      <c r="AM43" s="3233"/>
      <c r="AN43" s="3233"/>
      <c r="AO43" s="3200"/>
      <c r="AP43" s="3200"/>
      <c r="AQ43" s="3215"/>
      <c r="AR43" s="2416" t="s">
        <v>758</v>
      </c>
      <c r="AS43" s="2418" t="s">
        <v>706</v>
      </c>
      <c r="AT43" s="3239"/>
      <c r="AU43" s="1916">
        <v>8.5</v>
      </c>
      <c r="AV43" s="1916">
        <v>7.5</v>
      </c>
      <c r="AW43" s="2414">
        <v>0.75</v>
      </c>
      <c r="AX43" s="1916">
        <v>0.25</v>
      </c>
      <c r="AY43" s="3200"/>
      <c r="AZ43" s="3200"/>
      <c r="BA43" s="3200"/>
      <c r="BB43" s="3200"/>
      <c r="BC43" s="3200"/>
      <c r="BD43" s="3200"/>
      <c r="BE43" s="3200"/>
      <c r="BF43" s="3200"/>
      <c r="BG43" s="3200"/>
      <c r="BH43" s="3200"/>
      <c r="BI43" s="3200"/>
      <c r="BJ43" s="3200"/>
      <c r="BK43" s="3200"/>
      <c r="BL43" s="3200"/>
      <c r="BM43" s="3200"/>
      <c r="BN43" s="3200"/>
      <c r="BO43" s="3200"/>
      <c r="BP43" s="3200"/>
      <c r="BQ43" s="3200"/>
      <c r="BR43" s="3200"/>
      <c r="BS43" s="3200"/>
      <c r="BT43" s="3200"/>
      <c r="BU43" s="3200"/>
      <c r="BV43" s="3200"/>
      <c r="BW43" s="3200"/>
      <c r="BX43" s="3200"/>
      <c r="BY43" s="3215"/>
      <c r="BZ43" s="3227"/>
      <c r="CA43" s="3200"/>
      <c r="CB43" s="3200"/>
      <c r="CC43" s="2403"/>
      <c r="CD43" s="2403"/>
      <c r="CE43" s="3200"/>
      <c r="CF43" s="3200"/>
      <c r="CG43" s="3200"/>
      <c r="CH43" s="3200"/>
      <c r="CI43" s="2403"/>
      <c r="CJ43" s="3200"/>
      <c r="CK43" s="3200"/>
      <c r="CL43" s="3200"/>
      <c r="CM43" s="3200"/>
      <c r="CN43" s="3200"/>
      <c r="CO43" s="3200"/>
      <c r="CP43" s="3215"/>
    </row>
    <row r="44" spans="1:94">
      <c r="A44" s="3251"/>
      <c r="B44" s="1860"/>
      <c r="C44" s="1860"/>
      <c r="D44" s="1861" t="s">
        <v>1501</v>
      </c>
      <c r="E44" s="1862"/>
      <c r="F44" s="1863" t="s">
        <v>1501</v>
      </c>
      <c r="G44" s="1864">
        <f t="shared" ref="G44" si="25">SUM(G40:G43)</f>
        <v>79974</v>
      </c>
      <c r="H44" s="2423"/>
      <c r="I44" s="2409"/>
      <c r="J44" s="2432"/>
      <c r="K44" s="1865">
        <f>W44/G44</f>
        <v>0.46567634481206394</v>
      </c>
      <c r="L44" s="2434">
        <f>SUM(L40:L43)</f>
        <v>0</v>
      </c>
      <c r="M44" s="2434">
        <f t="shared" ref="M44:X44" si="26">SUM(M40:M43)</f>
        <v>0</v>
      </c>
      <c r="N44" s="2434">
        <f t="shared" si="26"/>
        <v>37242</v>
      </c>
      <c r="O44" s="1867">
        <f t="shared" si="26"/>
        <v>2492</v>
      </c>
      <c r="P44" s="1867">
        <f t="shared" si="26"/>
        <v>0</v>
      </c>
      <c r="Q44" s="1867">
        <f t="shared" si="26"/>
        <v>0</v>
      </c>
      <c r="R44" s="1867">
        <f t="shared" si="26"/>
        <v>0</v>
      </c>
      <c r="S44" s="1867">
        <f t="shared" si="26"/>
        <v>0</v>
      </c>
      <c r="T44" s="1867">
        <f t="shared" si="26"/>
        <v>34750</v>
      </c>
      <c r="U44" s="2434">
        <f t="shared" si="26"/>
        <v>0</v>
      </c>
      <c r="V44" s="1867">
        <f t="shared" si="26"/>
        <v>0</v>
      </c>
      <c r="W44" s="2434">
        <f t="shared" si="26"/>
        <v>37242</v>
      </c>
      <c r="X44" s="2436">
        <f t="shared" si="26"/>
        <v>0</v>
      </c>
      <c r="Y44" s="3237"/>
      <c r="Z44" s="3234"/>
      <c r="AA44" s="3234"/>
      <c r="AB44" s="3232"/>
      <c r="AC44" s="3232"/>
      <c r="AD44" s="3232"/>
      <c r="AE44" s="3234"/>
      <c r="AF44" s="3232"/>
      <c r="AG44" s="3232"/>
      <c r="AH44" s="3232"/>
      <c r="AI44" s="3232"/>
      <c r="AJ44" s="3232"/>
      <c r="AK44" s="3232"/>
      <c r="AL44" s="3232"/>
      <c r="AM44" s="3234"/>
      <c r="AN44" s="3234"/>
      <c r="AO44" s="3201"/>
      <c r="AP44" s="3201"/>
      <c r="AQ44" s="3216"/>
      <c r="AR44" s="2417" t="s">
        <v>1497</v>
      </c>
      <c r="AS44" s="2419" t="s">
        <v>706</v>
      </c>
      <c r="AT44" s="3240"/>
      <c r="AU44" s="1917" t="s">
        <v>1353</v>
      </c>
      <c r="AV44" s="1917" t="s">
        <v>1502</v>
      </c>
      <c r="AW44" s="2414">
        <v>0.75</v>
      </c>
      <c r="AX44" s="1917">
        <v>0.25</v>
      </c>
      <c r="AY44" s="3201"/>
      <c r="AZ44" s="3201"/>
      <c r="BA44" s="3201"/>
      <c r="BB44" s="3201"/>
      <c r="BC44" s="3201"/>
      <c r="BD44" s="3201"/>
      <c r="BE44" s="3201"/>
      <c r="BF44" s="3201"/>
      <c r="BG44" s="3201"/>
      <c r="BH44" s="3201"/>
      <c r="BI44" s="3201"/>
      <c r="BJ44" s="3201"/>
      <c r="BK44" s="3201"/>
      <c r="BL44" s="3201"/>
      <c r="BM44" s="3201"/>
      <c r="BN44" s="3201"/>
      <c r="BO44" s="3201"/>
      <c r="BP44" s="3201"/>
      <c r="BQ44" s="3201"/>
      <c r="BR44" s="3201"/>
      <c r="BS44" s="3201"/>
      <c r="BT44" s="3201"/>
      <c r="BU44" s="3201"/>
      <c r="BV44" s="3201"/>
      <c r="BW44" s="3201"/>
      <c r="BX44" s="3201"/>
      <c r="BY44" s="3216"/>
      <c r="BZ44" s="3228"/>
      <c r="CA44" s="3201"/>
      <c r="CB44" s="3201"/>
      <c r="CC44" s="2404"/>
      <c r="CD44" s="2404"/>
      <c r="CE44" s="3201"/>
      <c r="CF44" s="3201"/>
      <c r="CG44" s="3201"/>
      <c r="CH44" s="3201"/>
      <c r="CI44" s="2404"/>
      <c r="CJ44" s="3201"/>
      <c r="CK44" s="3201"/>
      <c r="CL44" s="3201"/>
      <c r="CM44" s="3201"/>
      <c r="CN44" s="3201"/>
      <c r="CO44" s="3201"/>
      <c r="CP44" s="3216"/>
    </row>
    <row r="45" spans="1:94" ht="15.75" thickBot="1">
      <c r="A45" s="2413"/>
      <c r="B45" s="1827"/>
      <c r="C45" s="1094"/>
      <c r="D45" s="1094"/>
      <c r="E45" s="1617"/>
      <c r="F45" s="1617"/>
      <c r="G45" s="1888"/>
      <c r="H45" s="2422"/>
      <c r="I45" s="2408"/>
      <c r="J45" s="2431"/>
      <c r="K45" s="1855"/>
      <c r="L45" s="2433"/>
      <c r="M45" s="2433"/>
      <c r="N45" s="2433"/>
      <c r="O45" s="1859"/>
      <c r="P45" s="1859"/>
      <c r="Q45" s="1859"/>
      <c r="R45" s="1859"/>
      <c r="S45" s="1859"/>
      <c r="T45" s="1859"/>
      <c r="U45" s="2433"/>
      <c r="V45" s="1859"/>
      <c r="W45" s="2433"/>
      <c r="X45" s="2435"/>
      <c r="Y45" s="2429"/>
      <c r="Z45" s="2433"/>
      <c r="AA45" s="2433"/>
      <c r="AB45" s="1859"/>
      <c r="AC45" s="1859"/>
      <c r="AD45" s="1859"/>
      <c r="AE45" s="2433"/>
      <c r="AF45" s="1859"/>
      <c r="AG45" s="1859"/>
      <c r="AH45" s="1859"/>
      <c r="AI45" s="1859"/>
      <c r="AJ45" s="1859"/>
      <c r="AK45" s="1859"/>
      <c r="AL45" s="1859"/>
      <c r="AM45" s="2433"/>
      <c r="AN45" s="2433"/>
      <c r="AO45" s="2431"/>
      <c r="AP45" s="2431"/>
      <c r="AQ45" s="2426"/>
      <c r="AR45" s="2422"/>
      <c r="AS45" s="2408"/>
      <c r="AT45" s="2424"/>
      <c r="AU45" s="1891"/>
      <c r="AV45" s="1891"/>
      <c r="AW45" s="1891"/>
      <c r="AX45" s="1891"/>
      <c r="AY45" s="2433"/>
      <c r="AZ45" s="2433"/>
      <c r="BA45" s="1859"/>
      <c r="BB45" s="1859"/>
      <c r="BC45" s="1859"/>
      <c r="BD45" s="1859"/>
      <c r="BE45" s="1859"/>
      <c r="BF45" s="2433"/>
      <c r="BG45" s="1859"/>
      <c r="BH45" s="1859"/>
      <c r="BI45" s="1859"/>
      <c r="BJ45" s="1859"/>
      <c r="BK45" s="1859"/>
      <c r="BL45" s="1859"/>
      <c r="BM45" s="2433"/>
      <c r="BN45" s="2433"/>
      <c r="BO45" s="2431"/>
      <c r="BP45" s="1892"/>
      <c r="BQ45" s="1892"/>
      <c r="BR45" s="1892"/>
      <c r="BS45" s="1892"/>
      <c r="BT45" s="2431"/>
      <c r="BU45" s="2431"/>
      <c r="BV45" s="2431"/>
      <c r="BW45" s="2431"/>
      <c r="BX45" s="2431"/>
      <c r="BY45" s="2426"/>
      <c r="BZ45" s="1893"/>
      <c r="CA45" s="2431"/>
      <c r="CB45" s="2431"/>
      <c r="CC45" s="2431"/>
      <c r="CD45" s="2431"/>
      <c r="CE45" s="2431"/>
      <c r="CF45" s="2431"/>
      <c r="CG45" s="2431"/>
      <c r="CH45" s="2431"/>
      <c r="CI45" s="2431"/>
      <c r="CJ45" s="2431"/>
      <c r="CK45" s="2431"/>
      <c r="CL45" s="2431"/>
      <c r="CM45" s="2431"/>
      <c r="CN45" s="2431"/>
      <c r="CO45" s="2431"/>
      <c r="CP45" s="2426"/>
    </row>
    <row r="46" spans="1:94" ht="33.75">
      <c r="A46" s="1894" t="s">
        <v>1013</v>
      </c>
      <c r="B46" s="2558" t="str">
        <f>1&amp;"0"&amp;C46&amp;IF(LEN(SUBSTITUTE(UPPER(D46),"P/O ",""))=1,"000"&amp;SUBSTITUTE(UPPER(D46),"P/O ",""),IF(LEN(SUBSTITUTE(UPPER(D46),"P/O ",""))=2,"00"&amp;SUBSTITUTE(UPPER(D46),"P/O ",""),IF(LEN(SUBSTITUTE(UPPER(D46),"P/O ",""))=3,"0"&amp;SUBSTITUTE(UPPER(D46),"P/O ",""),SUBSTITUTE(UPPER(D46),"P/O ",""))))</f>
        <v>1022280032</v>
      </c>
      <c r="C46" s="1897">
        <v>2228</v>
      </c>
      <c r="D46" s="1897">
        <v>32</v>
      </c>
      <c r="E46" s="1898" t="s">
        <v>1503</v>
      </c>
      <c r="F46" s="1898" t="s">
        <v>1504</v>
      </c>
      <c r="G46" s="1899">
        <v>6500</v>
      </c>
      <c r="H46" s="1900" t="s">
        <v>704</v>
      </c>
      <c r="I46" s="1901"/>
      <c r="J46" s="1902" t="s">
        <v>1315</v>
      </c>
      <c r="K46" s="1903">
        <f>W46/G46</f>
        <v>0.13615384615384615</v>
      </c>
      <c r="L46" s="1902">
        <v>0</v>
      </c>
      <c r="M46" s="1902">
        <v>0</v>
      </c>
      <c r="N46" s="1902">
        <f>O46+P46+Q46+R46+S46+T46</f>
        <v>885</v>
      </c>
      <c r="O46" s="1904">
        <v>0</v>
      </c>
      <c r="P46" s="1904">
        <v>0</v>
      </c>
      <c r="Q46" s="1904">
        <v>885</v>
      </c>
      <c r="R46" s="1904">
        <v>0</v>
      </c>
      <c r="S46" s="1904">
        <v>0</v>
      </c>
      <c r="T46" s="1904">
        <v>0</v>
      </c>
      <c r="U46" s="1902">
        <v>0</v>
      </c>
      <c r="V46" s="1904">
        <v>0</v>
      </c>
      <c r="W46" s="1902">
        <f>L46+M46+N46+U46</f>
        <v>885</v>
      </c>
      <c r="X46" s="1905">
        <v>0</v>
      </c>
      <c r="Y46" s="1906" t="s">
        <v>1023</v>
      </c>
      <c r="Z46" s="1902">
        <f>L46</f>
        <v>0</v>
      </c>
      <c r="AA46" s="1902">
        <f>M46</f>
        <v>0</v>
      </c>
      <c r="AB46" s="1904">
        <v>0</v>
      </c>
      <c r="AC46" s="1904">
        <v>0</v>
      </c>
      <c r="AD46" s="1904">
        <v>0</v>
      </c>
      <c r="AE46" s="1902">
        <f>N46</f>
        <v>885</v>
      </c>
      <c r="AF46" s="1904">
        <f>O46</f>
        <v>0</v>
      </c>
      <c r="AG46" s="1904">
        <v>0</v>
      </c>
      <c r="AH46" s="1904">
        <f>P46</f>
        <v>0</v>
      </c>
      <c r="AI46" s="1904">
        <f>W46</f>
        <v>885</v>
      </c>
      <c r="AJ46" s="1904">
        <f>R46</f>
        <v>0</v>
      </c>
      <c r="AK46" s="1904">
        <f>T46</f>
        <v>0</v>
      </c>
      <c r="AL46" s="1904">
        <f>U46</f>
        <v>0</v>
      </c>
      <c r="AM46" s="1902">
        <f>W46</f>
        <v>885</v>
      </c>
      <c r="AN46" s="1902">
        <f>X46</f>
        <v>0</v>
      </c>
      <c r="AO46" s="1907">
        <v>0</v>
      </c>
      <c r="AP46" s="1907">
        <v>0</v>
      </c>
      <c r="AQ46" s="1908">
        <v>10</v>
      </c>
      <c r="AR46" s="1909" t="s">
        <v>1331</v>
      </c>
      <c r="AS46" s="1901"/>
      <c r="AT46" s="1910" t="s">
        <v>1291</v>
      </c>
      <c r="AU46" s="1911">
        <v>7.2</v>
      </c>
      <c r="AV46" s="1911">
        <v>6.45</v>
      </c>
      <c r="AW46" s="1911">
        <v>0.75</v>
      </c>
      <c r="AX46" s="1911">
        <v>0</v>
      </c>
      <c r="AY46" s="1902">
        <f>ROUND(AV46*G46,0)</f>
        <v>41925</v>
      </c>
      <c r="AZ46" s="1902">
        <f>ROUND(AX46*G46,0)</f>
        <v>0</v>
      </c>
      <c r="BA46" s="1904">
        <v>0</v>
      </c>
      <c r="BB46" s="1904">
        <v>0</v>
      </c>
      <c r="BC46" s="1904">
        <v>0</v>
      </c>
      <c r="BD46" s="1904">
        <v>0</v>
      </c>
      <c r="BE46" s="1904">
        <v>0</v>
      </c>
      <c r="BF46" s="1902">
        <f>ROUND(AW46*G46,0)</f>
        <v>4875</v>
      </c>
      <c r="BG46" s="1904">
        <f>BF46</f>
        <v>4875</v>
      </c>
      <c r="BH46" s="1904">
        <v>0</v>
      </c>
      <c r="BI46" s="1904">
        <v>0</v>
      </c>
      <c r="BJ46" s="1904">
        <v>0</v>
      </c>
      <c r="BK46" s="1904">
        <v>0</v>
      </c>
      <c r="BL46" s="1904">
        <v>0</v>
      </c>
      <c r="BM46" s="1902">
        <v>0</v>
      </c>
      <c r="BN46" s="1902">
        <f>ROUND(G46*AU46,0)</f>
        <v>46800</v>
      </c>
      <c r="BO46" s="1907">
        <f>ROUND(AY46/875,0)</f>
        <v>48</v>
      </c>
      <c r="BP46" s="1912">
        <f>ROUND(BO46*0.25,0)</f>
        <v>12</v>
      </c>
      <c r="BQ46" s="1912">
        <f>BO46-BP46</f>
        <v>36</v>
      </c>
      <c r="BR46" s="1912">
        <f>ROUND(BO46*0.3,0)</f>
        <v>14</v>
      </c>
      <c r="BS46" s="1912">
        <f>BO46-BR46</f>
        <v>34</v>
      </c>
      <c r="BT46" s="1907">
        <f>ROUND(IF(((0.2*BQ46)&gt;15),(0.2*BQ46),0),0)</f>
        <v>0</v>
      </c>
      <c r="BU46" s="1907">
        <f>ROUND(IF(((0.2*BS46)&gt;15),(0.2*BS46),0),0)</f>
        <v>0</v>
      </c>
      <c r="BV46" s="1907">
        <v>0</v>
      </c>
      <c r="BW46" s="1907">
        <f>BT46</f>
        <v>0</v>
      </c>
      <c r="BX46" s="1907">
        <f>BU46</f>
        <v>0</v>
      </c>
      <c r="BY46" s="1908">
        <v>165</v>
      </c>
      <c r="BZ46" s="1913">
        <f>AY46-Z46</f>
        <v>41925</v>
      </c>
      <c r="CA46" s="1902">
        <f>AZ46-AA46</f>
        <v>0</v>
      </c>
      <c r="CB46" s="1902">
        <f>BA46</f>
        <v>0</v>
      </c>
      <c r="CC46" s="1907"/>
      <c r="CD46" s="1907"/>
      <c r="CE46" s="1902">
        <f>BD46</f>
        <v>0</v>
      </c>
      <c r="CF46" s="1902">
        <f>BE46-AD46</f>
        <v>0</v>
      </c>
      <c r="CG46" s="1902">
        <f>BF46-AE46</f>
        <v>3990</v>
      </c>
      <c r="CH46" s="1902">
        <f>BG46-AF46</f>
        <v>4875</v>
      </c>
      <c r="CI46" s="1907"/>
      <c r="CJ46" s="1902">
        <f>BI46-AH46</f>
        <v>0</v>
      </c>
      <c r="CK46" s="1902">
        <f>-AI46</f>
        <v>-885</v>
      </c>
      <c r="CL46" s="1902">
        <f>BK46-AJ46</f>
        <v>0</v>
      </c>
      <c r="CM46" s="1902">
        <f>BL46-AK46</f>
        <v>0</v>
      </c>
      <c r="CN46" s="1902">
        <f>BM46-AL46</f>
        <v>0</v>
      </c>
      <c r="CO46" s="1902">
        <f>BN46-AM46</f>
        <v>45915</v>
      </c>
      <c r="CP46" s="1905">
        <f>BO46-AN46</f>
        <v>48</v>
      </c>
    </row>
    <row r="47" spans="1:94" ht="15.75" thickBot="1">
      <c r="A47" s="1918"/>
      <c r="B47" s="1827"/>
      <c r="C47" s="1886"/>
      <c r="D47" s="1886"/>
      <c r="E47" s="1887"/>
      <c r="F47" s="1887"/>
      <c r="G47" s="1888"/>
      <c r="H47" s="1889"/>
      <c r="I47" s="2408"/>
      <c r="J47" s="2433"/>
      <c r="K47" s="1855"/>
      <c r="L47" s="2433"/>
      <c r="M47" s="2433"/>
      <c r="N47" s="2433"/>
      <c r="O47" s="1859"/>
      <c r="P47" s="1859"/>
      <c r="Q47" s="1859"/>
      <c r="R47" s="1859"/>
      <c r="S47" s="1859"/>
      <c r="T47" s="1859"/>
      <c r="U47" s="2433"/>
      <c r="V47" s="1859"/>
      <c r="W47" s="2433"/>
      <c r="X47" s="2435"/>
      <c r="Y47" s="2429"/>
      <c r="Z47" s="2433"/>
      <c r="AA47" s="2433"/>
      <c r="AB47" s="1859"/>
      <c r="AC47" s="1859"/>
      <c r="AD47" s="1859"/>
      <c r="AE47" s="2433"/>
      <c r="AF47" s="1859"/>
      <c r="AG47" s="1859"/>
      <c r="AH47" s="1859"/>
      <c r="AI47" s="1859"/>
      <c r="AJ47" s="1859"/>
      <c r="AK47" s="1859"/>
      <c r="AL47" s="1859"/>
      <c r="AM47" s="2433"/>
      <c r="AN47" s="2433"/>
      <c r="AO47" s="2431"/>
      <c r="AP47" s="2431"/>
      <c r="AQ47" s="2426"/>
      <c r="AR47" s="2422"/>
      <c r="AS47" s="2408"/>
      <c r="AT47" s="2424"/>
      <c r="AU47" s="1891"/>
      <c r="AV47" s="1891"/>
      <c r="AW47" s="1891"/>
      <c r="AX47" s="1891"/>
      <c r="AY47" s="2433"/>
      <c r="AZ47" s="2433"/>
      <c r="BA47" s="1859"/>
      <c r="BB47" s="1859"/>
      <c r="BC47" s="1859"/>
      <c r="BD47" s="1859"/>
      <c r="BE47" s="1859"/>
      <c r="BF47" s="2433"/>
      <c r="BG47" s="1859"/>
      <c r="BH47" s="1859"/>
      <c r="BI47" s="1859"/>
      <c r="BJ47" s="1859"/>
      <c r="BK47" s="1859"/>
      <c r="BL47" s="1859"/>
      <c r="BM47" s="2433"/>
      <c r="BN47" s="2433"/>
      <c r="BO47" s="2431"/>
      <c r="BP47" s="1892"/>
      <c r="BQ47" s="1892"/>
      <c r="BR47" s="1892"/>
      <c r="BS47" s="1892"/>
      <c r="BT47" s="2431"/>
      <c r="BU47" s="2431"/>
      <c r="BV47" s="2431"/>
      <c r="BW47" s="2431"/>
      <c r="BX47" s="2431"/>
      <c r="BY47" s="2426"/>
      <c r="BZ47" s="1893"/>
      <c r="CA47" s="2431"/>
      <c r="CB47" s="2431"/>
      <c r="CC47" s="2431"/>
      <c r="CD47" s="2431"/>
      <c r="CE47" s="2431"/>
      <c r="CF47" s="2431"/>
      <c r="CG47" s="2431"/>
      <c r="CH47" s="2431"/>
      <c r="CI47" s="2431"/>
      <c r="CJ47" s="2431"/>
      <c r="CK47" s="2431"/>
      <c r="CL47" s="2431"/>
      <c r="CM47" s="2431"/>
      <c r="CN47" s="2431"/>
      <c r="CO47" s="2431"/>
      <c r="CP47" s="2426"/>
    </row>
    <row r="48" spans="1:94" ht="33.75">
      <c r="A48" s="1894" t="s">
        <v>1015</v>
      </c>
      <c r="B48" s="2558" t="str">
        <f>1&amp;"0"&amp;C48&amp;IF(LEN(SUBSTITUTE(UPPER(D48),"P/O ",""))=1,"000"&amp;SUBSTITUTE(UPPER(D48),"P/O ",""),IF(LEN(SUBSTITUTE(UPPER(D48),"P/O ",""))=2,"00"&amp;SUBSTITUTE(UPPER(D48),"P/O ",""),IF(LEN(SUBSTITUTE(UPPER(D48),"P/O ",""))=3,"0"&amp;SUBSTITUTE(UPPER(D48),"P/O ",""),SUBSTITUTE(UPPER(D48),"P/O ",""))))</f>
        <v>1022230034</v>
      </c>
      <c r="C48" s="1897">
        <v>2223</v>
      </c>
      <c r="D48" s="1897">
        <v>34</v>
      </c>
      <c r="E48" s="1898" t="s">
        <v>1505</v>
      </c>
      <c r="F48" s="1898" t="s">
        <v>1506</v>
      </c>
      <c r="G48" s="1899">
        <v>18950</v>
      </c>
      <c r="H48" s="1900" t="s">
        <v>704</v>
      </c>
      <c r="I48" s="1901"/>
      <c r="J48" s="1902" t="s">
        <v>1507</v>
      </c>
      <c r="K48" s="1903">
        <f>W48/G48</f>
        <v>0.12664907651715041</v>
      </c>
      <c r="L48" s="1902">
        <v>0</v>
      </c>
      <c r="M48" s="1902">
        <v>0</v>
      </c>
      <c r="N48" s="1902">
        <f>O48+P48+Q48+R48+S48+T48</f>
        <v>2400</v>
      </c>
      <c r="O48" s="1904">
        <v>0</v>
      </c>
      <c r="P48" s="1904">
        <v>0</v>
      </c>
      <c r="Q48" s="1904">
        <v>2400</v>
      </c>
      <c r="R48" s="1904">
        <v>0</v>
      </c>
      <c r="S48" s="1904">
        <v>0</v>
      </c>
      <c r="T48" s="1904">
        <v>0</v>
      </c>
      <c r="U48" s="1902">
        <v>0</v>
      </c>
      <c r="V48" s="1904">
        <v>0</v>
      </c>
      <c r="W48" s="1902">
        <f>L48+M48+N48+U48</f>
        <v>2400</v>
      </c>
      <c r="X48" s="1905">
        <v>0</v>
      </c>
      <c r="Y48" s="1906" t="s">
        <v>1023</v>
      </c>
      <c r="Z48" s="1902">
        <f>L48</f>
        <v>0</v>
      </c>
      <c r="AA48" s="1902">
        <f>M48</f>
        <v>0</v>
      </c>
      <c r="AB48" s="1904">
        <v>0</v>
      </c>
      <c r="AC48" s="1904">
        <v>0</v>
      </c>
      <c r="AD48" s="1904">
        <v>0</v>
      </c>
      <c r="AE48" s="1902">
        <f>N48</f>
        <v>2400</v>
      </c>
      <c r="AF48" s="1904">
        <f>O48</f>
        <v>0</v>
      </c>
      <c r="AG48" s="1904">
        <v>0</v>
      </c>
      <c r="AH48" s="1904">
        <f>P48</f>
        <v>0</v>
      </c>
      <c r="AI48" s="1904">
        <f>Q48</f>
        <v>2400</v>
      </c>
      <c r="AJ48" s="1904">
        <f>R48</f>
        <v>0</v>
      </c>
      <c r="AK48" s="1904">
        <f>T48</f>
        <v>0</v>
      </c>
      <c r="AL48" s="1904">
        <f>U48</f>
        <v>0</v>
      </c>
      <c r="AM48" s="1902">
        <f>W48</f>
        <v>2400</v>
      </c>
      <c r="AN48" s="1902">
        <f>X48</f>
        <v>0</v>
      </c>
      <c r="AO48" s="1907">
        <v>0</v>
      </c>
      <c r="AP48" s="1907">
        <v>0</v>
      </c>
      <c r="AQ48" s="1908">
        <v>15</v>
      </c>
      <c r="AR48" s="1909" t="s">
        <v>1331</v>
      </c>
      <c r="AS48" s="1901"/>
      <c r="AT48" s="1910" t="s">
        <v>1291</v>
      </c>
      <c r="AU48" s="1911">
        <v>7.2</v>
      </c>
      <c r="AV48" s="1911">
        <v>6.45</v>
      </c>
      <c r="AW48" s="1911">
        <v>0.75</v>
      </c>
      <c r="AX48" s="1911">
        <v>0</v>
      </c>
      <c r="AY48" s="1902">
        <f>ROUND(AV48*G48,0)</f>
        <v>122228</v>
      </c>
      <c r="AZ48" s="1902">
        <f>ROUND(AX48*G48,0)</f>
        <v>0</v>
      </c>
      <c r="BA48" s="1904">
        <v>0</v>
      </c>
      <c r="BB48" s="1904">
        <v>0</v>
      </c>
      <c r="BC48" s="1904">
        <v>0</v>
      </c>
      <c r="BD48" s="1904">
        <v>0</v>
      </c>
      <c r="BE48" s="1904">
        <v>0</v>
      </c>
      <c r="BF48" s="1902">
        <f>ROUND(AW48*G48,0)</f>
        <v>14213</v>
      </c>
      <c r="BG48" s="1904">
        <f>BF48</f>
        <v>14213</v>
      </c>
      <c r="BH48" s="1904">
        <v>0</v>
      </c>
      <c r="BI48" s="1904">
        <v>0</v>
      </c>
      <c r="BJ48" s="1904">
        <v>0</v>
      </c>
      <c r="BK48" s="1904">
        <v>0</v>
      </c>
      <c r="BL48" s="1904">
        <v>0</v>
      </c>
      <c r="BM48" s="1902">
        <v>0</v>
      </c>
      <c r="BN48" s="1902">
        <f>ROUND(G48*AU48,0)+1</f>
        <v>136441</v>
      </c>
      <c r="BO48" s="1907">
        <f>ROUND(AY48/875,0)</f>
        <v>140</v>
      </c>
      <c r="BP48" s="1912">
        <f>ROUND(BO48*0.25,0)</f>
        <v>35</v>
      </c>
      <c r="BQ48" s="1912">
        <f>BO48-BP48</f>
        <v>105</v>
      </c>
      <c r="BR48" s="1912">
        <f>ROUND(BO48*0.3,0)</f>
        <v>42</v>
      </c>
      <c r="BS48" s="1912">
        <f>BO48-BR48</f>
        <v>98</v>
      </c>
      <c r="BT48" s="1907">
        <f>ROUND(IF(((0.2*BQ48)&gt;15),(0.2*BQ48),0),0)</f>
        <v>21</v>
      </c>
      <c r="BU48" s="1907">
        <f>ROUND(IF(((0.2*BS48)&gt;15),(0.2*BS48),0),0)</f>
        <v>20</v>
      </c>
      <c r="BV48" s="1907">
        <v>0</v>
      </c>
      <c r="BW48" s="1907">
        <f>BT48</f>
        <v>21</v>
      </c>
      <c r="BX48" s="1907">
        <f>BU48</f>
        <v>20</v>
      </c>
      <c r="BY48" s="1908">
        <v>165</v>
      </c>
      <c r="BZ48" s="1913">
        <f>AY48-Z48</f>
        <v>122228</v>
      </c>
      <c r="CA48" s="1902">
        <f>AZ48-AA48</f>
        <v>0</v>
      </c>
      <c r="CB48" s="1902">
        <f>BA48</f>
        <v>0</v>
      </c>
      <c r="CC48" s="1907"/>
      <c r="CD48" s="1907"/>
      <c r="CE48" s="1902">
        <f>BD48</f>
        <v>0</v>
      </c>
      <c r="CF48" s="1902">
        <f>BE48-AD48</f>
        <v>0</v>
      </c>
      <c r="CG48" s="1902">
        <f>BF48-AE48</f>
        <v>11813</v>
      </c>
      <c r="CH48" s="1902">
        <f>BG48-AF48</f>
        <v>14213</v>
      </c>
      <c r="CI48" s="1907"/>
      <c r="CJ48" s="1902">
        <f>BI48-AH48</f>
        <v>0</v>
      </c>
      <c r="CK48" s="1902">
        <f>-AI48</f>
        <v>-2400</v>
      </c>
      <c r="CL48" s="1902">
        <f>BK48-AJ48</f>
        <v>0</v>
      </c>
      <c r="CM48" s="1902">
        <f>BL48-AK48</f>
        <v>0</v>
      </c>
      <c r="CN48" s="1902">
        <f>BM48-AL48</f>
        <v>0</v>
      </c>
      <c r="CO48" s="1902">
        <f>BN48-AM48</f>
        <v>134041</v>
      </c>
      <c r="CP48" s="1905">
        <f>BO48-AN48</f>
        <v>140</v>
      </c>
    </row>
    <row r="49" spans="1:94" ht="15.75" thickBot="1">
      <c r="A49" s="1918"/>
      <c r="B49" s="1827"/>
      <c r="C49" s="1094"/>
      <c r="D49" s="1094"/>
      <c r="E49" s="1617"/>
      <c r="F49" s="1617"/>
      <c r="G49" s="1888"/>
      <c r="H49" s="2422"/>
      <c r="I49" s="2408"/>
      <c r="J49" s="2431"/>
      <c r="K49" s="1855"/>
      <c r="L49" s="2433"/>
      <c r="M49" s="2433"/>
      <c r="N49" s="2433"/>
      <c r="O49" s="1859"/>
      <c r="P49" s="1859"/>
      <c r="Q49" s="1859"/>
      <c r="R49" s="1859"/>
      <c r="S49" s="1859"/>
      <c r="T49" s="1859"/>
      <c r="U49" s="2433"/>
      <c r="V49" s="1859"/>
      <c r="W49" s="2433"/>
      <c r="X49" s="2435"/>
      <c r="Y49" s="2429"/>
      <c r="Z49" s="2433"/>
      <c r="AA49" s="2433"/>
      <c r="AB49" s="1859"/>
      <c r="AC49" s="1859"/>
      <c r="AD49" s="1859"/>
      <c r="AE49" s="2433"/>
      <c r="AF49" s="1859"/>
      <c r="AG49" s="1859"/>
      <c r="AH49" s="1859"/>
      <c r="AI49" s="1859"/>
      <c r="AJ49" s="1859"/>
      <c r="AK49" s="1859"/>
      <c r="AL49" s="1859"/>
      <c r="AM49" s="2433"/>
      <c r="AN49" s="2433"/>
      <c r="AO49" s="2431"/>
      <c r="AP49" s="2431"/>
      <c r="AQ49" s="2426"/>
      <c r="AR49" s="2422"/>
      <c r="AS49" s="2408"/>
      <c r="AT49" s="2424"/>
      <c r="AU49" s="1891"/>
      <c r="AV49" s="1891"/>
      <c r="AW49" s="1891"/>
      <c r="AX49" s="1891"/>
      <c r="AY49" s="2433"/>
      <c r="AZ49" s="2433"/>
      <c r="BA49" s="1859"/>
      <c r="BB49" s="1859"/>
      <c r="BC49" s="1859"/>
      <c r="BD49" s="1859"/>
      <c r="BE49" s="1859"/>
      <c r="BF49" s="2433"/>
      <c r="BG49" s="1859"/>
      <c r="BH49" s="1859"/>
      <c r="BI49" s="1859"/>
      <c r="BJ49" s="1859"/>
      <c r="BK49" s="1859"/>
      <c r="BL49" s="1859"/>
      <c r="BM49" s="2433"/>
      <c r="BN49" s="2433"/>
      <c r="BO49" s="2431"/>
      <c r="BP49" s="1892"/>
      <c r="BQ49" s="1892"/>
      <c r="BR49" s="1892"/>
      <c r="BS49" s="1892"/>
      <c r="BT49" s="2431"/>
      <c r="BU49" s="2431"/>
      <c r="BV49" s="2431"/>
      <c r="BW49" s="2431"/>
      <c r="BX49" s="2431"/>
      <c r="BY49" s="2426"/>
      <c r="BZ49" s="1893"/>
      <c r="CA49" s="2431"/>
      <c r="CB49" s="2431"/>
      <c r="CC49" s="2431"/>
      <c r="CD49" s="2431"/>
      <c r="CE49" s="2431"/>
      <c r="CF49" s="2431"/>
      <c r="CG49" s="2431"/>
      <c r="CH49" s="2431"/>
      <c r="CI49" s="2431"/>
      <c r="CJ49" s="2431"/>
      <c r="CK49" s="2431"/>
      <c r="CL49" s="2431"/>
      <c r="CM49" s="2431"/>
      <c r="CN49" s="2431"/>
      <c r="CO49" s="2431"/>
      <c r="CP49" s="2426"/>
    </row>
    <row r="50" spans="1:94" ht="33.75">
      <c r="A50" s="1894" t="s">
        <v>1018</v>
      </c>
      <c r="B50" s="2558" t="str">
        <f>1&amp;"0"&amp;C50&amp;IF(LEN(SUBSTITUTE(UPPER(D50),"P/O ",""))=1,"000"&amp;SUBSTITUTE(UPPER(D50),"P/O ",""),IF(LEN(SUBSTITUTE(UPPER(D50),"P/O ",""))=2,"00"&amp;SUBSTITUTE(UPPER(D50),"P/O ",""),IF(LEN(SUBSTITUTE(UPPER(D50),"P/O ",""))=3,"0"&amp;SUBSTITUTE(UPPER(D50),"P/O ",""),SUBSTITUTE(UPPER(D50),"P/O ",""))))</f>
        <v>1022140001</v>
      </c>
      <c r="C50" s="1897">
        <v>2214</v>
      </c>
      <c r="D50" s="1897">
        <v>1</v>
      </c>
      <c r="E50" s="1898" t="s">
        <v>1508</v>
      </c>
      <c r="F50" s="1898" t="s">
        <v>1509</v>
      </c>
      <c r="G50" s="1899">
        <v>17655</v>
      </c>
      <c r="H50" s="1900" t="s">
        <v>947</v>
      </c>
      <c r="I50" s="1901"/>
      <c r="J50" s="1907"/>
      <c r="K50" s="1903">
        <f>W50/G50</f>
        <v>1</v>
      </c>
      <c r="L50" s="1902">
        <v>0</v>
      </c>
      <c r="M50" s="1902">
        <v>0</v>
      </c>
      <c r="N50" s="1902">
        <f>O50+P50+Q50+R50+S50+T50</f>
        <v>17655</v>
      </c>
      <c r="O50" s="1904">
        <v>0</v>
      </c>
      <c r="P50" s="1904">
        <v>0</v>
      </c>
      <c r="Q50" s="1904">
        <v>0</v>
      </c>
      <c r="R50" s="1904">
        <v>17655</v>
      </c>
      <c r="S50" s="1904">
        <v>0</v>
      </c>
      <c r="T50" s="1904">
        <v>0</v>
      </c>
      <c r="U50" s="1902">
        <v>0</v>
      </c>
      <c r="V50" s="1904">
        <v>0</v>
      </c>
      <c r="W50" s="1902">
        <f>L50+M50+N50+U50</f>
        <v>17655</v>
      </c>
      <c r="X50" s="1905">
        <v>0</v>
      </c>
      <c r="Y50" s="1906" t="s">
        <v>1023</v>
      </c>
      <c r="Z50" s="1902">
        <f>L50</f>
        <v>0</v>
      </c>
      <c r="AA50" s="1902">
        <f>M50</f>
        <v>0</v>
      </c>
      <c r="AB50" s="1904">
        <v>0</v>
      </c>
      <c r="AC50" s="1904">
        <v>0</v>
      </c>
      <c r="AD50" s="1904">
        <v>0</v>
      </c>
      <c r="AE50" s="1902">
        <f>N50</f>
        <v>17655</v>
      </c>
      <c r="AF50" s="1904">
        <f>O50</f>
        <v>0</v>
      </c>
      <c r="AG50" s="1904">
        <v>0</v>
      </c>
      <c r="AH50" s="1904">
        <f>P50</f>
        <v>0</v>
      </c>
      <c r="AI50" s="1904">
        <v>0</v>
      </c>
      <c r="AJ50" s="1904">
        <f>R50</f>
        <v>17655</v>
      </c>
      <c r="AK50" s="1904">
        <f>T50</f>
        <v>0</v>
      </c>
      <c r="AL50" s="1904">
        <f>U50</f>
        <v>0</v>
      </c>
      <c r="AM50" s="1902">
        <f>W50</f>
        <v>17655</v>
      </c>
      <c r="AN50" s="1902">
        <f>X50</f>
        <v>0</v>
      </c>
      <c r="AO50" s="1907">
        <v>0</v>
      </c>
      <c r="AP50" s="1907">
        <v>0</v>
      </c>
      <c r="AQ50" s="1908">
        <v>14</v>
      </c>
      <c r="AR50" s="1909" t="s">
        <v>1290</v>
      </c>
      <c r="AS50" s="1901"/>
      <c r="AT50" s="1910" t="s">
        <v>1291</v>
      </c>
      <c r="AU50" s="1911">
        <v>7.2</v>
      </c>
      <c r="AV50" s="1911">
        <v>6.45</v>
      </c>
      <c r="AW50" s="1911">
        <v>0.75</v>
      </c>
      <c r="AX50" s="1911">
        <v>0</v>
      </c>
      <c r="AY50" s="1902">
        <f>ROUND(AV50*G50,0)</f>
        <v>113875</v>
      </c>
      <c r="AZ50" s="1902">
        <f>ROUND(AX50*G50,0)</f>
        <v>0</v>
      </c>
      <c r="BA50" s="1904">
        <v>0</v>
      </c>
      <c r="BB50" s="1904">
        <v>0</v>
      </c>
      <c r="BC50" s="1904">
        <v>0</v>
      </c>
      <c r="BD50" s="1904">
        <v>0</v>
      </c>
      <c r="BE50" s="1904">
        <v>0</v>
      </c>
      <c r="BF50" s="1902">
        <f>ROUND(AW50*G50,0)</f>
        <v>13241</v>
      </c>
      <c r="BG50" s="1904">
        <f>BF50</f>
        <v>13241</v>
      </c>
      <c r="BH50" s="1904">
        <v>0</v>
      </c>
      <c r="BI50" s="1904">
        <v>0</v>
      </c>
      <c r="BJ50" s="1904">
        <v>0</v>
      </c>
      <c r="BK50" s="1904">
        <v>0</v>
      </c>
      <c r="BL50" s="1904">
        <v>0</v>
      </c>
      <c r="BM50" s="1902">
        <v>0</v>
      </c>
      <c r="BN50" s="1902">
        <f>ROUND(G50*AU50,0)</f>
        <v>127116</v>
      </c>
      <c r="BO50" s="1907">
        <f>ROUND(AY50/875,0)</f>
        <v>130</v>
      </c>
      <c r="BP50" s="1912">
        <f>ROUND(BO50*0.25,0)</f>
        <v>33</v>
      </c>
      <c r="BQ50" s="1912">
        <f>BO50-BP50</f>
        <v>97</v>
      </c>
      <c r="BR50" s="1912">
        <f>ROUND(BO50*0.3,0)</f>
        <v>39</v>
      </c>
      <c r="BS50" s="1912">
        <f>BO50-BR50</f>
        <v>91</v>
      </c>
      <c r="BT50" s="1907">
        <f>ROUND(IF(((0.2*BQ50)&gt;15),(0.2*BQ50),0),0)</f>
        <v>19</v>
      </c>
      <c r="BU50" s="1907">
        <f>ROUND(IF(((0.2*BS50)&gt;15),(0.2*BS50),0),0)</f>
        <v>18</v>
      </c>
      <c r="BV50" s="1907">
        <v>0</v>
      </c>
      <c r="BW50" s="1907">
        <f>BT50</f>
        <v>19</v>
      </c>
      <c r="BX50" s="1907">
        <f>BU50</f>
        <v>18</v>
      </c>
      <c r="BY50" s="1908">
        <v>210</v>
      </c>
      <c r="BZ50" s="1913">
        <f>AY50-Z50</f>
        <v>113875</v>
      </c>
      <c r="CA50" s="1902">
        <f>AZ50-AA50</f>
        <v>0</v>
      </c>
      <c r="CB50" s="1902">
        <f>BA50</f>
        <v>0</v>
      </c>
      <c r="CC50" s="1907"/>
      <c r="CD50" s="1907"/>
      <c r="CE50" s="1902">
        <f>BD50</f>
        <v>0</v>
      </c>
      <c r="CF50" s="1902">
        <f>BE50-AD50</f>
        <v>0</v>
      </c>
      <c r="CG50" s="1902">
        <f>BF50-AE50</f>
        <v>-4414</v>
      </c>
      <c r="CH50" s="1902">
        <f>BG50-AF50</f>
        <v>13241</v>
      </c>
      <c r="CI50" s="1907"/>
      <c r="CJ50" s="1902">
        <f>BI50-AH50</f>
        <v>0</v>
      </c>
      <c r="CK50" s="1902">
        <f>-AI50</f>
        <v>0</v>
      </c>
      <c r="CL50" s="1902">
        <f>BK50-AJ50</f>
        <v>-17655</v>
      </c>
      <c r="CM50" s="1902">
        <f>BL50-AK50</f>
        <v>0</v>
      </c>
      <c r="CN50" s="1902">
        <f>BM50-AL50</f>
        <v>0</v>
      </c>
      <c r="CO50" s="1902">
        <f>BN50-AM50</f>
        <v>109461</v>
      </c>
      <c r="CP50" s="1905">
        <f>BO50-AN50</f>
        <v>130</v>
      </c>
    </row>
    <row r="51" spans="1:94" ht="15.75" thickBot="1">
      <c r="A51" s="1918"/>
      <c r="B51" s="1827"/>
      <c r="C51" s="1094"/>
      <c r="D51" s="1094"/>
      <c r="E51" s="1617"/>
      <c r="F51" s="1617"/>
      <c r="G51" s="1888"/>
      <c r="H51" s="2422"/>
      <c r="I51" s="2408"/>
      <c r="J51" s="2431"/>
      <c r="K51" s="1855"/>
      <c r="L51" s="2433"/>
      <c r="M51" s="2433"/>
      <c r="N51" s="2433"/>
      <c r="O51" s="1859"/>
      <c r="P51" s="1859"/>
      <c r="Q51" s="1859"/>
      <c r="R51" s="1859"/>
      <c r="S51" s="1859"/>
      <c r="T51" s="1859"/>
      <c r="U51" s="2433"/>
      <c r="V51" s="1859"/>
      <c r="W51" s="2433"/>
      <c r="X51" s="2435"/>
      <c r="Y51" s="2429"/>
      <c r="Z51" s="2433"/>
      <c r="AA51" s="2433"/>
      <c r="AB51" s="1859"/>
      <c r="AC51" s="1859"/>
      <c r="AD51" s="1859"/>
      <c r="AE51" s="2433"/>
      <c r="AF51" s="1859"/>
      <c r="AG51" s="1859"/>
      <c r="AH51" s="1859"/>
      <c r="AI51" s="1859"/>
      <c r="AJ51" s="1859"/>
      <c r="AK51" s="1859"/>
      <c r="AL51" s="1859"/>
      <c r="AM51" s="2433"/>
      <c r="AN51" s="2433"/>
      <c r="AO51" s="2431"/>
      <c r="AP51" s="2431"/>
      <c r="AQ51" s="2426"/>
      <c r="AR51" s="2422"/>
      <c r="AS51" s="2408"/>
      <c r="AT51" s="2424"/>
      <c r="AU51" s="1891"/>
      <c r="AV51" s="1891"/>
      <c r="AW51" s="1891" t="s">
        <v>1510</v>
      </c>
      <c r="AX51" s="1891"/>
      <c r="AY51" s="2433"/>
      <c r="AZ51" s="2433"/>
      <c r="BA51" s="1859"/>
      <c r="BB51" s="1859"/>
      <c r="BC51" s="1859"/>
      <c r="BD51" s="1859"/>
      <c r="BE51" s="1859"/>
      <c r="BF51" s="2433"/>
      <c r="BG51" s="1859"/>
      <c r="BH51" s="1859"/>
      <c r="BI51" s="1859"/>
      <c r="BJ51" s="1859"/>
      <c r="BK51" s="1859"/>
      <c r="BL51" s="1859"/>
      <c r="BM51" s="2433"/>
      <c r="BN51" s="2433"/>
      <c r="BO51" s="2431"/>
      <c r="BP51" s="1892"/>
      <c r="BQ51" s="1892"/>
      <c r="BR51" s="1892"/>
      <c r="BS51" s="1892"/>
      <c r="BT51" s="2431"/>
      <c r="BU51" s="2431"/>
      <c r="BV51" s="2431"/>
      <c r="BW51" s="2431"/>
      <c r="BX51" s="2431"/>
      <c r="BY51" s="2426"/>
      <c r="BZ51" s="1893"/>
      <c r="CA51" s="2431"/>
      <c r="CB51" s="2431"/>
      <c r="CC51" s="2431"/>
      <c r="CD51" s="2431"/>
      <c r="CE51" s="2431"/>
      <c r="CF51" s="2431"/>
      <c r="CG51" s="2431"/>
      <c r="CH51" s="2431"/>
      <c r="CI51" s="2431"/>
      <c r="CJ51" s="2431"/>
      <c r="CK51" s="2431"/>
      <c r="CL51" s="2431"/>
      <c r="CM51" s="2431"/>
      <c r="CN51" s="2431"/>
      <c r="CO51" s="2431"/>
      <c r="CP51" s="2426"/>
    </row>
    <row r="52" spans="1:94" ht="45">
      <c r="A52" s="1894" t="s">
        <v>1021</v>
      </c>
      <c r="B52" s="2558" t="str">
        <f>1&amp;"0"&amp;C52&amp;IF(LEN(SUBSTITUTE(UPPER(D52),"P/O ",""))=1,"000"&amp;SUBSTITUTE(UPPER(D52),"P/O ",""),IF(LEN(SUBSTITUTE(UPPER(D52),"P/O ",""))=2,"00"&amp;SUBSTITUTE(UPPER(D52),"P/O ",""),IF(LEN(SUBSTITUTE(UPPER(D52),"P/O ",""))=3,"0"&amp;SUBSTITUTE(UPPER(D52),"P/O ",""),SUBSTITUTE(UPPER(D52),"P/O ",""))))</f>
        <v>1021890060</v>
      </c>
      <c r="C52" s="1897">
        <v>2189</v>
      </c>
      <c r="D52" s="1897">
        <v>60</v>
      </c>
      <c r="E52" s="1898" t="s">
        <v>1511</v>
      </c>
      <c r="F52" s="1898" t="s">
        <v>1512</v>
      </c>
      <c r="G52" s="1899">
        <v>27450</v>
      </c>
      <c r="H52" s="1900" t="s">
        <v>947</v>
      </c>
      <c r="I52" s="1901"/>
      <c r="J52" s="1902" t="s">
        <v>1513</v>
      </c>
      <c r="K52" s="1903">
        <f>W52/G52</f>
        <v>7.650273224043716E-2</v>
      </c>
      <c r="L52" s="1902">
        <v>0</v>
      </c>
      <c r="M52" s="1902">
        <v>0</v>
      </c>
      <c r="N52" s="1902">
        <f>O52+P52+Q52+R52+S52+T52</f>
        <v>2100</v>
      </c>
      <c r="O52" s="1904">
        <v>0</v>
      </c>
      <c r="P52" s="1904">
        <v>0</v>
      </c>
      <c r="Q52" s="1904">
        <v>2100</v>
      </c>
      <c r="R52" s="1904">
        <v>0</v>
      </c>
      <c r="S52" s="1904">
        <v>0</v>
      </c>
      <c r="T52" s="1904">
        <v>0</v>
      </c>
      <c r="U52" s="1902">
        <v>0</v>
      </c>
      <c r="V52" s="1904">
        <v>0</v>
      </c>
      <c r="W52" s="1902">
        <f>L52+M52+N52+U52</f>
        <v>2100</v>
      </c>
      <c r="X52" s="1905">
        <v>0</v>
      </c>
      <c r="Y52" s="1906" t="s">
        <v>1023</v>
      </c>
      <c r="Z52" s="1902">
        <f>L52</f>
        <v>0</v>
      </c>
      <c r="AA52" s="1902">
        <f>M52</f>
        <v>0</v>
      </c>
      <c r="AB52" s="1904">
        <v>0</v>
      </c>
      <c r="AC52" s="1904">
        <v>0</v>
      </c>
      <c r="AD52" s="1904">
        <v>0</v>
      </c>
      <c r="AE52" s="1902">
        <f>N52</f>
        <v>2100</v>
      </c>
      <c r="AF52" s="1904">
        <f>O52</f>
        <v>0</v>
      </c>
      <c r="AG52" s="1904">
        <v>0</v>
      </c>
      <c r="AH52" s="1904">
        <f>P52</f>
        <v>0</v>
      </c>
      <c r="AI52" s="1904">
        <v>2100</v>
      </c>
      <c r="AJ52" s="1904">
        <v>0</v>
      </c>
      <c r="AK52" s="1904">
        <f>T52</f>
        <v>0</v>
      </c>
      <c r="AL52" s="1904">
        <f>U52</f>
        <v>0</v>
      </c>
      <c r="AM52" s="1902">
        <f>W52</f>
        <v>2100</v>
      </c>
      <c r="AN52" s="1902">
        <f>X52</f>
        <v>0</v>
      </c>
      <c r="AO52" s="1907">
        <v>0</v>
      </c>
      <c r="AP52" s="1907">
        <v>0</v>
      </c>
      <c r="AQ52" s="1908">
        <v>0</v>
      </c>
      <c r="AR52" s="1909" t="s">
        <v>1514</v>
      </c>
      <c r="AS52" s="1901" t="s">
        <v>706</v>
      </c>
      <c r="AT52" s="1910" t="s">
        <v>1515</v>
      </c>
      <c r="AU52" s="1911" t="s">
        <v>1336</v>
      </c>
      <c r="AV52" s="1911" t="s">
        <v>1516</v>
      </c>
      <c r="AW52" s="1911">
        <v>0.75</v>
      </c>
      <c r="AX52" s="1911">
        <v>0.75</v>
      </c>
      <c r="AY52" s="1902">
        <f>ROUND(7*9510,0)+ROUND(17940*5.7,0)</f>
        <v>168828</v>
      </c>
      <c r="AZ52" s="1902">
        <f>ROUND(AX52*G52,0)</f>
        <v>20588</v>
      </c>
      <c r="BA52" s="1904">
        <f>AZ52</f>
        <v>20588</v>
      </c>
      <c r="BB52" s="1904">
        <v>0</v>
      </c>
      <c r="BC52" s="1904">
        <v>0</v>
      </c>
      <c r="BD52" s="1904">
        <v>0</v>
      </c>
      <c r="BE52" s="1904">
        <v>0</v>
      </c>
      <c r="BF52" s="1902">
        <f>ROUND(AW52*G52,0)</f>
        <v>20588</v>
      </c>
      <c r="BG52" s="1904">
        <f>BF52</f>
        <v>20588</v>
      </c>
      <c r="BH52" s="1904">
        <v>0</v>
      </c>
      <c r="BI52" s="1904">
        <v>0</v>
      </c>
      <c r="BJ52" s="1904">
        <v>0</v>
      </c>
      <c r="BK52" s="1904">
        <v>0</v>
      </c>
      <c r="BL52" s="1904">
        <v>0</v>
      </c>
      <c r="BM52" s="1902">
        <v>0</v>
      </c>
      <c r="BN52" s="1902">
        <f>ROUND(8.5*9510,0)+ROUND(17940*7.2,0)+1</f>
        <v>210004</v>
      </c>
      <c r="BO52" s="1907">
        <f>ROUND(AY52/875,0)</f>
        <v>193</v>
      </c>
      <c r="BP52" s="1912">
        <f>ROUND(BO52*0.25,0)</f>
        <v>48</v>
      </c>
      <c r="BQ52" s="1912">
        <f>BO52-BP52</f>
        <v>145</v>
      </c>
      <c r="BR52" s="1912">
        <f>ROUND(BO52*0.3,0)</f>
        <v>58</v>
      </c>
      <c r="BS52" s="1912">
        <f>BO52-BR52</f>
        <v>135</v>
      </c>
      <c r="BT52" s="1907">
        <f>ROUND(IF(((0.2*BQ52)&gt;15),(0.2*BQ52),0),0)</f>
        <v>29</v>
      </c>
      <c r="BU52" s="1907">
        <f>ROUND(IF(((0.2*BS52)&gt;15),(0.2*BS52),0),0)</f>
        <v>27</v>
      </c>
      <c r="BV52" s="1907">
        <v>0</v>
      </c>
      <c r="BW52" s="1907">
        <f>BT52</f>
        <v>29</v>
      </c>
      <c r="BX52" s="1907">
        <f>BU52</f>
        <v>27</v>
      </c>
      <c r="BY52" s="1908">
        <v>165</v>
      </c>
      <c r="BZ52" s="1913">
        <f>AY52-Z52</f>
        <v>168828</v>
      </c>
      <c r="CA52" s="1902">
        <f>AZ52-AA52</f>
        <v>20588</v>
      </c>
      <c r="CB52" s="1902">
        <f>BA52</f>
        <v>20588</v>
      </c>
      <c r="CC52" s="1907"/>
      <c r="CD52" s="1907"/>
      <c r="CE52" s="1902">
        <f>BD52</f>
        <v>0</v>
      </c>
      <c r="CF52" s="1902">
        <f>BE52-AD52</f>
        <v>0</v>
      </c>
      <c r="CG52" s="1902">
        <f>BF52-AE52</f>
        <v>18488</v>
      </c>
      <c r="CH52" s="1902">
        <f>BG52-AF52</f>
        <v>20588</v>
      </c>
      <c r="CI52" s="1907"/>
      <c r="CJ52" s="1902">
        <f>BI52-AH52</f>
        <v>0</v>
      </c>
      <c r="CK52" s="1902">
        <f>-AI52</f>
        <v>-2100</v>
      </c>
      <c r="CL52" s="1902">
        <f>BK52-AJ52</f>
        <v>0</v>
      </c>
      <c r="CM52" s="1902">
        <f>BL52-AK52</f>
        <v>0</v>
      </c>
      <c r="CN52" s="1902">
        <f>BM52-AL52</f>
        <v>0</v>
      </c>
      <c r="CO52" s="1902">
        <f>BN52-AM52</f>
        <v>207904</v>
      </c>
      <c r="CP52" s="1905">
        <f>BO52-AN52</f>
        <v>193</v>
      </c>
    </row>
    <row r="53" spans="1:94" ht="15.75" thickBot="1">
      <c r="A53" s="1890"/>
      <c r="B53" s="1827"/>
      <c r="C53" s="1886"/>
      <c r="D53" s="1886"/>
      <c r="E53" s="1887"/>
      <c r="F53" s="1887"/>
      <c r="G53" s="1888"/>
      <c r="H53" s="1889"/>
      <c r="I53" s="2408"/>
      <c r="J53" s="1919"/>
      <c r="K53" s="1855"/>
      <c r="L53" s="2433"/>
      <c r="M53" s="2433"/>
      <c r="N53" s="2433"/>
      <c r="O53" s="1859"/>
      <c r="P53" s="1859"/>
      <c r="Q53" s="1859"/>
      <c r="R53" s="1859"/>
      <c r="S53" s="1859"/>
      <c r="T53" s="1859"/>
      <c r="U53" s="2433"/>
      <c r="V53" s="1859"/>
      <c r="W53" s="2433"/>
      <c r="X53" s="2435"/>
      <c r="Y53" s="2429"/>
      <c r="Z53" s="2433"/>
      <c r="AA53" s="2433"/>
      <c r="AB53" s="1859"/>
      <c r="AC53" s="1859"/>
      <c r="AD53" s="1859"/>
      <c r="AE53" s="2433"/>
      <c r="AF53" s="1859"/>
      <c r="AG53" s="1859"/>
      <c r="AH53" s="1859"/>
      <c r="AI53" s="1859"/>
      <c r="AJ53" s="1859"/>
      <c r="AK53" s="1859"/>
      <c r="AL53" s="1859"/>
      <c r="AM53" s="2433"/>
      <c r="AN53" s="2433"/>
      <c r="AO53" s="2431"/>
      <c r="AP53" s="2431"/>
      <c r="AQ53" s="2426"/>
      <c r="AR53" s="2422"/>
      <c r="AS53" s="2408"/>
      <c r="AT53" s="2424"/>
      <c r="AU53" s="1891"/>
      <c r="AV53" s="1891"/>
      <c r="AW53" s="1891"/>
      <c r="AX53" s="1891"/>
      <c r="AY53" s="2433"/>
      <c r="AZ53" s="2433"/>
      <c r="BA53" s="1859"/>
      <c r="BB53" s="1859"/>
      <c r="BC53" s="1859"/>
      <c r="BD53" s="1859"/>
      <c r="BE53" s="1859"/>
      <c r="BF53" s="2433"/>
      <c r="BG53" s="1859"/>
      <c r="BH53" s="1859"/>
      <c r="BI53" s="1859"/>
      <c r="BJ53" s="1859"/>
      <c r="BK53" s="1859"/>
      <c r="BL53" s="1859"/>
      <c r="BM53" s="2433"/>
      <c r="BN53" s="2433"/>
      <c r="BO53" s="2431"/>
      <c r="BP53" s="1892"/>
      <c r="BQ53" s="1892"/>
      <c r="BR53" s="1892"/>
      <c r="BS53" s="1892"/>
      <c r="BT53" s="2431"/>
      <c r="BU53" s="2431"/>
      <c r="BV53" s="2431"/>
      <c r="BW53" s="2431"/>
      <c r="BX53" s="2431"/>
      <c r="BY53" s="2426"/>
      <c r="BZ53" s="1893"/>
      <c r="CA53" s="2431"/>
      <c r="CB53" s="2431"/>
      <c r="CC53" s="2431"/>
      <c r="CD53" s="2431"/>
      <c r="CE53" s="2431"/>
      <c r="CF53" s="2431"/>
      <c r="CG53" s="2431"/>
      <c r="CH53" s="2431"/>
      <c r="CI53" s="2431"/>
      <c r="CJ53" s="2431"/>
      <c r="CK53" s="2431"/>
      <c r="CL53" s="2431"/>
      <c r="CM53" s="2431"/>
      <c r="CN53" s="2431"/>
      <c r="CO53" s="2431"/>
      <c r="CP53" s="2426"/>
    </row>
    <row r="54" spans="1:94" ht="15.75" thickBot="1">
      <c r="A54" s="3202" t="s">
        <v>1023</v>
      </c>
      <c r="B54" s="2558" t="str">
        <f t="shared" ref="B54:B56" si="27">1&amp;"0"&amp;C54&amp;IF(LEN(SUBSTITUTE(UPPER(D54),"P/O ",""))=1,"000"&amp;SUBSTITUTE(UPPER(D54),"P/O ",""),IF(LEN(SUBSTITUTE(UPPER(D54),"P/O ",""))=2,"00"&amp;SUBSTITUTE(UPPER(D54),"P/O ",""),IF(LEN(SUBSTITUTE(UPPER(D54),"P/O ",""))=3,"0"&amp;SUBSTITUTE(UPPER(D54),"P/O ",""),SUBSTITUTE(UPPER(D54),"P/O ",""))))</f>
        <v>1022030003</v>
      </c>
      <c r="C54" s="1883">
        <v>2203</v>
      </c>
      <c r="D54" s="1883">
        <v>3</v>
      </c>
      <c r="E54" s="1884" t="s">
        <v>1517</v>
      </c>
      <c r="F54" s="1884" t="s">
        <v>1518</v>
      </c>
      <c r="G54" s="1850">
        <v>5367</v>
      </c>
      <c r="H54" s="1885" t="s">
        <v>1344</v>
      </c>
      <c r="I54" s="2407" t="s">
        <v>706</v>
      </c>
      <c r="J54" s="2402" t="s">
        <v>1407</v>
      </c>
      <c r="K54" s="1851">
        <f>W54/G54</f>
        <v>1.6839947829327371</v>
      </c>
      <c r="L54" s="2402">
        <v>0</v>
      </c>
      <c r="M54" s="2402">
        <v>0</v>
      </c>
      <c r="N54" s="2402">
        <f>O54+P54+Q54+R54+S54+T54</f>
        <v>9038</v>
      </c>
      <c r="O54" s="2412">
        <v>9038</v>
      </c>
      <c r="P54" s="2412">
        <v>0</v>
      </c>
      <c r="Q54" s="2412">
        <v>0</v>
      </c>
      <c r="R54" s="2412">
        <v>0</v>
      </c>
      <c r="S54" s="2412">
        <v>0</v>
      </c>
      <c r="T54" s="2412">
        <v>0</v>
      </c>
      <c r="U54" s="2402">
        <v>0</v>
      </c>
      <c r="V54" s="2412">
        <v>0</v>
      </c>
      <c r="W54" s="2402">
        <f>L54+M54+N54+U54</f>
        <v>9038</v>
      </c>
      <c r="X54" s="2405">
        <v>0</v>
      </c>
      <c r="Y54" s="3205" t="s">
        <v>1381</v>
      </c>
      <c r="Z54" s="3208">
        <f>ROUND(3.25*G57,0)</f>
        <v>49754</v>
      </c>
      <c r="AA54" s="3208">
        <v>0</v>
      </c>
      <c r="AB54" s="3199">
        <v>0</v>
      </c>
      <c r="AC54" s="3199">
        <v>0</v>
      </c>
      <c r="AD54" s="3199">
        <v>0</v>
      </c>
      <c r="AE54" s="3208">
        <f>ROUND(0.75*G57,0)</f>
        <v>11482</v>
      </c>
      <c r="AF54" s="3199">
        <f>AE54</f>
        <v>11482</v>
      </c>
      <c r="AG54" s="3199">
        <v>0</v>
      </c>
      <c r="AH54" s="3199">
        <v>0</v>
      </c>
      <c r="AI54" s="3199">
        <v>0</v>
      </c>
      <c r="AJ54" s="3199">
        <v>0</v>
      </c>
      <c r="AK54" s="3199">
        <v>0</v>
      </c>
      <c r="AL54" s="3199">
        <v>0</v>
      </c>
      <c r="AM54" s="3208">
        <f>AE54+AA54+Z54</f>
        <v>61236</v>
      </c>
      <c r="AN54" s="3208">
        <f>ROUND(Z54/875,0)</f>
        <v>57</v>
      </c>
      <c r="AO54" s="3208">
        <f>ROUND(AF54/1000,0)+ROUND(AN54*0.5,0)</f>
        <v>40</v>
      </c>
      <c r="AP54" s="3208">
        <f>AO54</f>
        <v>40</v>
      </c>
      <c r="AQ54" s="3230">
        <v>80</v>
      </c>
      <c r="AR54" s="3217" t="s">
        <v>741</v>
      </c>
      <c r="AS54" s="3218" t="s">
        <v>706</v>
      </c>
      <c r="AT54" s="3238" t="s">
        <v>1291</v>
      </c>
      <c r="AU54" s="3212">
        <v>7.2</v>
      </c>
      <c r="AV54" s="3212">
        <v>6.45</v>
      </c>
      <c r="AW54" s="3212">
        <v>0.75</v>
      </c>
      <c r="AX54" s="3212">
        <v>0</v>
      </c>
      <c r="AY54" s="3208">
        <f>ROUND(AV54*G57,0)</f>
        <v>98743</v>
      </c>
      <c r="AZ54" s="3208">
        <f>ROUND(AX54*G57,0)</f>
        <v>0</v>
      </c>
      <c r="BA54" s="3199">
        <v>0</v>
      </c>
      <c r="BB54" s="3199">
        <v>0</v>
      </c>
      <c r="BC54" s="3199">
        <v>0</v>
      </c>
      <c r="BD54" s="3199">
        <v>0</v>
      </c>
      <c r="BE54" s="3199">
        <v>0</v>
      </c>
      <c r="BF54" s="3208">
        <f>ROUND(AW54*G57,0)</f>
        <v>11482</v>
      </c>
      <c r="BG54" s="3199">
        <f>BF54</f>
        <v>11482</v>
      </c>
      <c r="BH54" s="3199">
        <v>0</v>
      </c>
      <c r="BI54" s="3199">
        <v>0</v>
      </c>
      <c r="BJ54" s="3199">
        <v>0</v>
      </c>
      <c r="BK54" s="3199">
        <v>0</v>
      </c>
      <c r="BL54" s="3199">
        <v>0</v>
      </c>
      <c r="BM54" s="3208">
        <v>0</v>
      </c>
      <c r="BN54" s="3208">
        <f>ROUND(G57*AU54,0)</f>
        <v>110225</v>
      </c>
      <c r="BO54" s="3224">
        <f>ROUND(AY54/875,0)</f>
        <v>113</v>
      </c>
      <c r="BP54" s="3229">
        <f>ROUND(BO54*0.25,0)</f>
        <v>28</v>
      </c>
      <c r="BQ54" s="3229">
        <f>BO54-BP54</f>
        <v>85</v>
      </c>
      <c r="BR54" s="3229">
        <f>ROUND(BO54*0.3,0)</f>
        <v>34</v>
      </c>
      <c r="BS54" s="3229">
        <f>BO54-BR54</f>
        <v>79</v>
      </c>
      <c r="BT54" s="3224">
        <f>ROUND(IF(((0.2*BQ54)&gt;15),(0.2*BQ54),0),0)</f>
        <v>17</v>
      </c>
      <c r="BU54" s="3224">
        <f>ROUND(IF(((0.2*BS54)&gt;15),(0.2*BS54),0),0)</f>
        <v>16</v>
      </c>
      <c r="BV54" s="3224">
        <v>0</v>
      </c>
      <c r="BW54" s="3224">
        <f>BV54+BT54</f>
        <v>17</v>
      </c>
      <c r="BX54" s="3224">
        <f>BU54+BV54</f>
        <v>16</v>
      </c>
      <c r="BY54" s="3214">
        <v>165</v>
      </c>
      <c r="BZ54" s="3226">
        <f>AY54-Z54</f>
        <v>48989</v>
      </c>
      <c r="CA54" s="3208">
        <f>AZ54-AA54</f>
        <v>0</v>
      </c>
      <c r="CB54" s="3208">
        <f>BA54</f>
        <v>0</v>
      </c>
      <c r="CC54" s="3224"/>
      <c r="CD54" s="3224"/>
      <c r="CE54" s="3208">
        <f>BD54</f>
        <v>0</v>
      </c>
      <c r="CF54" s="3208">
        <f>BE54-AD54</f>
        <v>0</v>
      </c>
      <c r="CG54" s="3208">
        <f>BF54-AE54</f>
        <v>0</v>
      </c>
      <c r="CH54" s="3208">
        <f>BG54-AF54</f>
        <v>0</v>
      </c>
      <c r="CI54" s="3224"/>
      <c r="CJ54" s="3208">
        <f>BI54-AH54</f>
        <v>0</v>
      </c>
      <c r="CK54" s="3208">
        <f>-AI54</f>
        <v>0</v>
      </c>
      <c r="CL54" s="3208">
        <f>BK54-AJ54</f>
        <v>0</v>
      </c>
      <c r="CM54" s="3208">
        <f>BL54-AK54</f>
        <v>0</v>
      </c>
      <c r="CN54" s="3208">
        <f>BM54-AL54</f>
        <v>0</v>
      </c>
      <c r="CO54" s="3208">
        <f>BN54-AM54</f>
        <v>48989</v>
      </c>
      <c r="CP54" s="3230">
        <f>BO54-AN54</f>
        <v>56</v>
      </c>
    </row>
    <row r="55" spans="1:94" ht="15.75" thickBot="1">
      <c r="A55" s="3235"/>
      <c r="B55" s="2558" t="str">
        <f t="shared" si="27"/>
        <v>1022030005</v>
      </c>
      <c r="C55" s="1886">
        <v>2203</v>
      </c>
      <c r="D55" s="1886">
        <v>5</v>
      </c>
      <c r="E55" s="1887" t="s">
        <v>1519</v>
      </c>
      <c r="F55" s="1887" t="s">
        <v>1518</v>
      </c>
      <c r="G55" s="1888">
        <v>4950</v>
      </c>
      <c r="H55" s="1889" t="s">
        <v>1344</v>
      </c>
      <c r="I55" s="2408" t="s">
        <v>706</v>
      </c>
      <c r="J55" s="2433" t="s">
        <v>1407</v>
      </c>
      <c r="K55" s="1855">
        <f>W55/G55</f>
        <v>1.6464646464646464</v>
      </c>
      <c r="L55" s="2433">
        <v>0</v>
      </c>
      <c r="M55" s="2433">
        <v>0</v>
      </c>
      <c r="N55" s="2433">
        <f>O55+P55+Q55+R55+S55+T55</f>
        <v>8150</v>
      </c>
      <c r="O55" s="1859">
        <v>8150</v>
      </c>
      <c r="P55" s="1859">
        <v>0</v>
      </c>
      <c r="Q55" s="1859">
        <v>0</v>
      </c>
      <c r="R55" s="1859">
        <v>0</v>
      </c>
      <c r="S55" s="1859">
        <v>0</v>
      </c>
      <c r="T55" s="1859">
        <v>0</v>
      </c>
      <c r="U55" s="2433">
        <v>0</v>
      </c>
      <c r="V55" s="1859">
        <v>0</v>
      </c>
      <c r="W55" s="2433">
        <f>L55+M55+N55+U55</f>
        <v>8150</v>
      </c>
      <c r="X55" s="2435">
        <v>0</v>
      </c>
      <c r="Y55" s="3236"/>
      <c r="Z55" s="3233"/>
      <c r="AA55" s="3233"/>
      <c r="AB55" s="3231"/>
      <c r="AC55" s="3231"/>
      <c r="AD55" s="3231"/>
      <c r="AE55" s="3233"/>
      <c r="AF55" s="3231"/>
      <c r="AG55" s="3231"/>
      <c r="AH55" s="3231"/>
      <c r="AI55" s="3231"/>
      <c r="AJ55" s="3231"/>
      <c r="AK55" s="3231"/>
      <c r="AL55" s="3231"/>
      <c r="AM55" s="3233"/>
      <c r="AN55" s="3233"/>
      <c r="AO55" s="3200"/>
      <c r="AP55" s="3200"/>
      <c r="AQ55" s="3215"/>
      <c r="AR55" s="3206"/>
      <c r="AS55" s="3219"/>
      <c r="AT55" s="3261"/>
      <c r="AU55" s="3200"/>
      <c r="AV55" s="3200"/>
      <c r="AW55" s="3200"/>
      <c r="AX55" s="3200"/>
      <c r="AY55" s="3200"/>
      <c r="AZ55" s="3200"/>
      <c r="BA55" s="3200"/>
      <c r="BB55" s="3200"/>
      <c r="BC55" s="3200"/>
      <c r="BD55" s="3200"/>
      <c r="BE55" s="3200"/>
      <c r="BF55" s="3200"/>
      <c r="BG55" s="3200"/>
      <c r="BH55" s="3200"/>
      <c r="BI55" s="3200"/>
      <c r="BJ55" s="3200"/>
      <c r="BK55" s="3200"/>
      <c r="BL55" s="3200"/>
      <c r="BM55" s="3200"/>
      <c r="BN55" s="3200"/>
      <c r="BO55" s="3200"/>
      <c r="BP55" s="3200"/>
      <c r="BQ55" s="3200"/>
      <c r="BR55" s="3200"/>
      <c r="BS55" s="3200"/>
      <c r="BT55" s="3200"/>
      <c r="BU55" s="3200"/>
      <c r="BV55" s="3200"/>
      <c r="BW55" s="3200"/>
      <c r="BX55" s="3200"/>
      <c r="BY55" s="3215"/>
      <c r="BZ55" s="3227"/>
      <c r="CA55" s="3200"/>
      <c r="CB55" s="3200"/>
      <c r="CC55" s="3200"/>
      <c r="CD55" s="3200"/>
      <c r="CE55" s="3200"/>
      <c r="CF55" s="3200"/>
      <c r="CG55" s="3200"/>
      <c r="CH55" s="3200"/>
      <c r="CI55" s="3200"/>
      <c r="CJ55" s="3200"/>
      <c r="CK55" s="3200"/>
      <c r="CL55" s="3200"/>
      <c r="CM55" s="3200"/>
      <c r="CN55" s="3200"/>
      <c r="CO55" s="3200"/>
      <c r="CP55" s="3215"/>
    </row>
    <row r="56" spans="1:94">
      <c r="A56" s="3235"/>
      <c r="B56" s="2558" t="str">
        <f t="shared" si="27"/>
        <v>1022030007</v>
      </c>
      <c r="C56" s="1886">
        <v>2203</v>
      </c>
      <c r="D56" s="1886">
        <v>7</v>
      </c>
      <c r="E56" s="1887" t="s">
        <v>1520</v>
      </c>
      <c r="F56" s="1887" t="s">
        <v>1521</v>
      </c>
      <c r="G56" s="1854">
        <v>4992</v>
      </c>
      <c r="H56" s="1889" t="s">
        <v>1344</v>
      </c>
      <c r="I56" s="2408" t="s">
        <v>706</v>
      </c>
      <c r="J56" s="2433" t="s">
        <v>1407</v>
      </c>
      <c r="K56" s="1855">
        <f>W56/G56</f>
        <v>1</v>
      </c>
      <c r="L56" s="1856">
        <v>0</v>
      </c>
      <c r="M56" s="1856">
        <v>0</v>
      </c>
      <c r="N56" s="1856">
        <f>O56+P56+Q56+R56+S56+T56</f>
        <v>4992</v>
      </c>
      <c r="O56" s="1857">
        <v>4992</v>
      </c>
      <c r="P56" s="1857">
        <v>0</v>
      </c>
      <c r="Q56" s="1857">
        <v>0</v>
      </c>
      <c r="R56" s="1857">
        <v>0</v>
      </c>
      <c r="S56" s="1857">
        <v>0</v>
      </c>
      <c r="T56" s="1857">
        <v>0</v>
      </c>
      <c r="U56" s="1856">
        <v>0</v>
      </c>
      <c r="V56" s="1857">
        <v>0</v>
      </c>
      <c r="W56" s="1856">
        <f>L56+M56+N56+U56</f>
        <v>4992</v>
      </c>
      <c r="X56" s="1858">
        <v>0</v>
      </c>
      <c r="Y56" s="3236"/>
      <c r="Z56" s="3233"/>
      <c r="AA56" s="3233"/>
      <c r="AB56" s="3231"/>
      <c r="AC56" s="3231"/>
      <c r="AD56" s="3231"/>
      <c r="AE56" s="3233"/>
      <c r="AF56" s="3231"/>
      <c r="AG56" s="3231"/>
      <c r="AH56" s="3231"/>
      <c r="AI56" s="3231"/>
      <c r="AJ56" s="3231"/>
      <c r="AK56" s="3231"/>
      <c r="AL56" s="3231"/>
      <c r="AM56" s="3233"/>
      <c r="AN56" s="3233"/>
      <c r="AO56" s="3200"/>
      <c r="AP56" s="3200"/>
      <c r="AQ56" s="3215"/>
      <c r="AR56" s="3206"/>
      <c r="AS56" s="3219"/>
      <c r="AT56" s="3261"/>
      <c r="AU56" s="3200"/>
      <c r="AV56" s="3200"/>
      <c r="AW56" s="3200"/>
      <c r="AX56" s="3200"/>
      <c r="AY56" s="3200"/>
      <c r="AZ56" s="3200"/>
      <c r="BA56" s="3200"/>
      <c r="BB56" s="3200"/>
      <c r="BC56" s="3200"/>
      <c r="BD56" s="3200"/>
      <c r="BE56" s="3200"/>
      <c r="BF56" s="3200"/>
      <c r="BG56" s="3200"/>
      <c r="BH56" s="3200"/>
      <c r="BI56" s="3200"/>
      <c r="BJ56" s="3200"/>
      <c r="BK56" s="3200"/>
      <c r="BL56" s="3200"/>
      <c r="BM56" s="3200"/>
      <c r="BN56" s="3200"/>
      <c r="BO56" s="3200"/>
      <c r="BP56" s="3200"/>
      <c r="BQ56" s="3200"/>
      <c r="BR56" s="3200"/>
      <c r="BS56" s="3200"/>
      <c r="BT56" s="3200"/>
      <c r="BU56" s="3200"/>
      <c r="BV56" s="3200"/>
      <c r="BW56" s="3200"/>
      <c r="BX56" s="3200"/>
      <c r="BY56" s="3215"/>
      <c r="BZ56" s="3227"/>
      <c r="CA56" s="3200"/>
      <c r="CB56" s="3200"/>
      <c r="CC56" s="3200"/>
      <c r="CD56" s="3200"/>
      <c r="CE56" s="3200"/>
      <c r="CF56" s="3200"/>
      <c r="CG56" s="3200"/>
      <c r="CH56" s="3200"/>
      <c r="CI56" s="3200"/>
      <c r="CJ56" s="3200"/>
      <c r="CK56" s="3200"/>
      <c r="CL56" s="3200"/>
      <c r="CM56" s="3200"/>
      <c r="CN56" s="3200"/>
      <c r="CO56" s="3200"/>
      <c r="CP56" s="3215"/>
    </row>
    <row r="57" spans="1:94">
      <c r="A57" s="3251"/>
      <c r="B57" s="1860"/>
      <c r="C57" s="1920"/>
      <c r="D57" s="1861" t="s">
        <v>1522</v>
      </c>
      <c r="E57" s="1921"/>
      <c r="F57" s="1863" t="s">
        <v>1522</v>
      </c>
      <c r="G57" s="1864">
        <f>SUM(G54:G56)</f>
        <v>15309</v>
      </c>
      <c r="H57" s="1922"/>
      <c r="I57" s="2409"/>
      <c r="J57" s="2434"/>
      <c r="K57" s="1865">
        <f>W57/G57</f>
        <v>1.4488209549937945</v>
      </c>
      <c r="L57" s="2434">
        <f t="shared" ref="L57:M57" si="28">SUM(L54:L56)</f>
        <v>0</v>
      </c>
      <c r="M57" s="2434">
        <f t="shared" si="28"/>
        <v>0</v>
      </c>
      <c r="N57" s="2434">
        <f>SUM(N54:N56)</f>
        <v>22180</v>
      </c>
      <c r="O57" s="1867">
        <f t="shared" ref="O57:X57" si="29">SUM(O54:O56)</f>
        <v>22180</v>
      </c>
      <c r="P57" s="1867">
        <f t="shared" si="29"/>
        <v>0</v>
      </c>
      <c r="Q57" s="1867">
        <f t="shared" si="29"/>
        <v>0</v>
      </c>
      <c r="R57" s="1867">
        <f t="shared" si="29"/>
        <v>0</v>
      </c>
      <c r="S57" s="1867">
        <f t="shared" si="29"/>
        <v>0</v>
      </c>
      <c r="T57" s="1867">
        <f t="shared" si="29"/>
        <v>0</v>
      </c>
      <c r="U57" s="2434">
        <f t="shared" si="29"/>
        <v>0</v>
      </c>
      <c r="V57" s="1867">
        <f t="shared" si="29"/>
        <v>0</v>
      </c>
      <c r="W57" s="2434">
        <f t="shared" si="29"/>
        <v>22180</v>
      </c>
      <c r="X57" s="2436">
        <f t="shared" si="29"/>
        <v>0</v>
      </c>
      <c r="Y57" s="3237"/>
      <c r="Z57" s="3234"/>
      <c r="AA57" s="3234"/>
      <c r="AB57" s="3232"/>
      <c r="AC57" s="3232"/>
      <c r="AD57" s="3232"/>
      <c r="AE57" s="3234"/>
      <c r="AF57" s="3232"/>
      <c r="AG57" s="3232"/>
      <c r="AH57" s="3232"/>
      <c r="AI57" s="3232"/>
      <c r="AJ57" s="3232"/>
      <c r="AK57" s="3232"/>
      <c r="AL57" s="3232"/>
      <c r="AM57" s="3234"/>
      <c r="AN57" s="3234"/>
      <c r="AO57" s="3201"/>
      <c r="AP57" s="3201"/>
      <c r="AQ57" s="3216"/>
      <c r="AR57" s="3207"/>
      <c r="AS57" s="3220"/>
      <c r="AT57" s="3262"/>
      <c r="AU57" s="3201"/>
      <c r="AV57" s="3201"/>
      <c r="AW57" s="3201"/>
      <c r="AX57" s="3201"/>
      <c r="AY57" s="3201"/>
      <c r="AZ57" s="3201"/>
      <c r="BA57" s="3201"/>
      <c r="BB57" s="3201"/>
      <c r="BC57" s="3201"/>
      <c r="BD57" s="3201"/>
      <c r="BE57" s="3201"/>
      <c r="BF57" s="3201"/>
      <c r="BG57" s="3201"/>
      <c r="BH57" s="3201"/>
      <c r="BI57" s="3201"/>
      <c r="BJ57" s="3201"/>
      <c r="BK57" s="3201"/>
      <c r="BL57" s="3201"/>
      <c r="BM57" s="3201"/>
      <c r="BN57" s="3201"/>
      <c r="BO57" s="3201"/>
      <c r="BP57" s="3201"/>
      <c r="BQ57" s="3201"/>
      <c r="BR57" s="3201"/>
      <c r="BS57" s="3201"/>
      <c r="BT57" s="3201"/>
      <c r="BU57" s="3201"/>
      <c r="BV57" s="3201"/>
      <c r="BW57" s="3201"/>
      <c r="BX57" s="3201"/>
      <c r="BY57" s="3216"/>
      <c r="BZ57" s="3228"/>
      <c r="CA57" s="3201"/>
      <c r="CB57" s="3201"/>
      <c r="CC57" s="3201"/>
      <c r="CD57" s="3201"/>
      <c r="CE57" s="3201"/>
      <c r="CF57" s="3201"/>
      <c r="CG57" s="3201"/>
      <c r="CH57" s="3201"/>
      <c r="CI57" s="3201"/>
      <c r="CJ57" s="3201"/>
      <c r="CK57" s="3201"/>
      <c r="CL57" s="3201"/>
      <c r="CM57" s="3201"/>
      <c r="CN57" s="3201"/>
      <c r="CO57" s="3201"/>
      <c r="CP57" s="3216"/>
    </row>
    <row r="58" spans="1:94" ht="15.75" thickBot="1">
      <c r="A58" s="2413"/>
      <c r="B58" s="1827"/>
      <c r="C58" s="1886"/>
      <c r="D58" s="1886"/>
      <c r="E58" s="1887"/>
      <c r="F58" s="1923"/>
      <c r="G58" s="1888"/>
      <c r="H58" s="1889"/>
      <c r="I58" s="2408"/>
      <c r="J58" s="2433"/>
      <c r="K58" s="1855"/>
      <c r="L58" s="2433"/>
      <c r="M58" s="2433"/>
      <c r="N58" s="2433"/>
      <c r="O58" s="1859"/>
      <c r="P58" s="1859"/>
      <c r="Q58" s="1859"/>
      <c r="R58" s="1859"/>
      <c r="S58" s="1859"/>
      <c r="T58" s="1859"/>
      <c r="U58" s="2433"/>
      <c r="V58" s="1859"/>
      <c r="W58" s="2433"/>
      <c r="X58" s="2435"/>
      <c r="Y58" s="2429"/>
      <c r="Z58" s="2433"/>
      <c r="AA58" s="2433"/>
      <c r="AB58" s="1859"/>
      <c r="AC58" s="1859"/>
      <c r="AD58" s="1859"/>
      <c r="AE58" s="2433"/>
      <c r="AF58" s="1859"/>
      <c r="AG58" s="1859"/>
      <c r="AH58" s="1859"/>
      <c r="AI58" s="1859"/>
      <c r="AJ58" s="1859"/>
      <c r="AK58" s="1859"/>
      <c r="AL58" s="1859"/>
      <c r="AM58" s="2433"/>
      <c r="AN58" s="2433"/>
      <c r="AO58" s="2431"/>
      <c r="AP58" s="2431"/>
      <c r="AQ58" s="2426"/>
      <c r="AR58" s="2422"/>
      <c r="AS58" s="2408"/>
      <c r="AT58" s="2424"/>
      <c r="AU58" s="1891"/>
      <c r="AV58" s="1891"/>
      <c r="AW58" s="1891"/>
      <c r="AX58" s="1891"/>
      <c r="AY58" s="2433"/>
      <c r="AZ58" s="2433"/>
      <c r="BA58" s="1859"/>
      <c r="BB58" s="1859"/>
      <c r="BC58" s="1859"/>
      <c r="BD58" s="1859"/>
      <c r="BE58" s="1859"/>
      <c r="BF58" s="2433"/>
      <c r="BG58" s="1859"/>
      <c r="BH58" s="1859"/>
      <c r="BI58" s="1859"/>
      <c r="BJ58" s="1859"/>
      <c r="BK58" s="1859"/>
      <c r="BL58" s="1859"/>
      <c r="BM58" s="2433"/>
      <c r="BN58" s="2433"/>
      <c r="BO58" s="2431"/>
      <c r="BP58" s="1892"/>
      <c r="BQ58" s="1892"/>
      <c r="BR58" s="1892"/>
      <c r="BS58" s="1892"/>
      <c r="BT58" s="2431"/>
      <c r="BU58" s="2431"/>
      <c r="BV58" s="2431"/>
      <c r="BW58" s="2431"/>
      <c r="BX58" s="2431"/>
      <c r="BY58" s="2426"/>
      <c r="BZ58" s="1893"/>
      <c r="CA58" s="2431"/>
      <c r="CB58" s="2431"/>
      <c r="CC58" s="2431"/>
      <c r="CD58" s="2431"/>
      <c r="CE58" s="2431"/>
      <c r="CF58" s="2431"/>
      <c r="CG58" s="2431"/>
      <c r="CH58" s="2431"/>
      <c r="CI58" s="2431"/>
      <c r="CJ58" s="2431"/>
      <c r="CK58" s="2431"/>
      <c r="CL58" s="2431"/>
      <c r="CM58" s="2431"/>
      <c r="CN58" s="2431"/>
      <c r="CO58" s="2431"/>
      <c r="CP58" s="2426"/>
    </row>
    <row r="59" spans="1:94" ht="45">
      <c r="A59" s="1894" t="s">
        <v>1025</v>
      </c>
      <c r="B59" s="2558" t="str">
        <f>1&amp;"0"&amp;C59&amp;IF(LEN(SUBSTITUTE(UPPER(D59),"P/O ",""))=1,"000"&amp;SUBSTITUTE(UPPER(D59),"P/O ",""),IF(LEN(SUBSTITUTE(UPPER(D59),"P/O ",""))=2,"00"&amp;SUBSTITUTE(UPPER(D59),"P/O ",""),IF(LEN(SUBSTITUTE(UPPER(D59),"P/O ",""))=3,"0"&amp;SUBSTITUTE(UPPER(D59),"P/O ",""),SUBSTITUTE(UPPER(D59),"P/O ",""))))</f>
        <v>1022020025</v>
      </c>
      <c r="C59" s="1897">
        <v>2202</v>
      </c>
      <c r="D59" s="1897">
        <v>25</v>
      </c>
      <c r="E59" s="1898" t="s">
        <v>1523</v>
      </c>
      <c r="F59" s="1898" t="s">
        <v>1367</v>
      </c>
      <c r="G59" s="1899">
        <v>9992</v>
      </c>
      <c r="H59" s="1900" t="s">
        <v>947</v>
      </c>
      <c r="I59" s="1901"/>
      <c r="J59" s="1902" t="s">
        <v>1524</v>
      </c>
      <c r="K59" s="1903">
        <f>W59/G59</f>
        <v>2</v>
      </c>
      <c r="L59" s="1902">
        <v>0</v>
      </c>
      <c r="M59" s="1902">
        <v>19984</v>
      </c>
      <c r="N59" s="1902">
        <f>O59+P59+Q59+R59+S59+T59</f>
        <v>0</v>
      </c>
      <c r="O59" s="1904">
        <v>0</v>
      </c>
      <c r="P59" s="1904">
        <v>0</v>
      </c>
      <c r="Q59" s="1904">
        <v>0</v>
      </c>
      <c r="R59" s="1904">
        <v>0</v>
      </c>
      <c r="S59" s="1904">
        <v>0</v>
      </c>
      <c r="T59" s="1904">
        <v>0</v>
      </c>
      <c r="U59" s="1902">
        <v>0</v>
      </c>
      <c r="V59" s="1904">
        <v>0</v>
      </c>
      <c r="W59" s="1902">
        <f>L59+M59+N59+U59</f>
        <v>19984</v>
      </c>
      <c r="X59" s="1905">
        <v>0</v>
      </c>
      <c r="Y59" s="1906" t="s">
        <v>1023</v>
      </c>
      <c r="Z59" s="1902">
        <f>L59</f>
        <v>0</v>
      </c>
      <c r="AA59" s="1902">
        <f>M59</f>
        <v>19984</v>
      </c>
      <c r="AB59" s="1904">
        <v>0</v>
      </c>
      <c r="AC59" s="1904">
        <v>0</v>
      </c>
      <c r="AD59" s="1904">
        <v>0</v>
      </c>
      <c r="AE59" s="1902">
        <f>N59</f>
        <v>0</v>
      </c>
      <c r="AF59" s="1904">
        <f>O59</f>
        <v>0</v>
      </c>
      <c r="AG59" s="1904">
        <v>0</v>
      </c>
      <c r="AH59" s="1904">
        <f>P59</f>
        <v>0</v>
      </c>
      <c r="AI59" s="1904">
        <v>0</v>
      </c>
      <c r="AJ59" s="1904">
        <f>R59</f>
        <v>0</v>
      </c>
      <c r="AK59" s="1904">
        <f>T59</f>
        <v>0</v>
      </c>
      <c r="AL59" s="1904">
        <f>U59</f>
        <v>0</v>
      </c>
      <c r="AM59" s="1902">
        <f>W59</f>
        <v>19984</v>
      </c>
      <c r="AN59" s="1902">
        <f>X59</f>
        <v>0</v>
      </c>
      <c r="AO59" s="1907">
        <v>0</v>
      </c>
      <c r="AP59" s="1907">
        <v>0</v>
      </c>
      <c r="AQ59" s="1908">
        <v>20</v>
      </c>
      <c r="AR59" s="1909" t="s">
        <v>741</v>
      </c>
      <c r="AS59" s="1901" t="s">
        <v>706</v>
      </c>
      <c r="AT59" s="1910" t="s">
        <v>1525</v>
      </c>
      <c r="AU59" s="1911">
        <v>7.2</v>
      </c>
      <c r="AV59" s="1911">
        <v>3.45</v>
      </c>
      <c r="AW59" s="1911">
        <v>0.75</v>
      </c>
      <c r="AX59" s="1911">
        <v>3</v>
      </c>
      <c r="AY59" s="1902">
        <f>ROUND(AV59*G59,0)</f>
        <v>34472</v>
      </c>
      <c r="AZ59" s="1902">
        <f>ROUND(AX59*G59,0)</f>
        <v>29976</v>
      </c>
      <c r="BA59" s="1904">
        <v>0</v>
      </c>
      <c r="BB59" s="1904">
        <v>0</v>
      </c>
      <c r="BC59" s="1904">
        <v>0</v>
      </c>
      <c r="BD59" s="1904">
        <v>0</v>
      </c>
      <c r="BE59" s="1904">
        <v>0</v>
      </c>
      <c r="BF59" s="1902">
        <f>ROUND(AW59*G59,0)</f>
        <v>7494</v>
      </c>
      <c r="BG59" s="1904">
        <f>BF59</f>
        <v>7494</v>
      </c>
      <c r="BH59" s="1904">
        <v>0</v>
      </c>
      <c r="BI59" s="1904">
        <v>0</v>
      </c>
      <c r="BJ59" s="1904">
        <v>0</v>
      </c>
      <c r="BK59" s="1904">
        <v>0</v>
      </c>
      <c r="BL59" s="1904">
        <v>0</v>
      </c>
      <c r="BM59" s="1902">
        <v>0</v>
      </c>
      <c r="BN59" s="1902">
        <f>ROUND(G59*AU59,0)</f>
        <v>71942</v>
      </c>
      <c r="BO59" s="1907">
        <f>ROUND(AY59/875,0)</f>
        <v>39</v>
      </c>
      <c r="BP59" s="1912">
        <f>ROUND(BO59*0.25,0)</f>
        <v>10</v>
      </c>
      <c r="BQ59" s="1912">
        <f>BO59-BP59</f>
        <v>29</v>
      </c>
      <c r="BR59" s="1912">
        <f>ROUND(BO59*0.3,0)</f>
        <v>12</v>
      </c>
      <c r="BS59" s="1912">
        <f>BO59-BR59</f>
        <v>27</v>
      </c>
      <c r="BT59" s="1907">
        <f>ROUND(IF(((0.2*BQ59)&gt;15),(0.2*BQ59),0),0)</f>
        <v>0</v>
      </c>
      <c r="BU59" s="1907">
        <f>ROUND(IF(((0.2*BS59)&gt;15),(0.2*BS59),0),0)</f>
        <v>0</v>
      </c>
      <c r="BV59" s="1907">
        <v>0</v>
      </c>
      <c r="BW59" s="1907">
        <f>BT59</f>
        <v>0</v>
      </c>
      <c r="BX59" s="1907">
        <f>BU59</f>
        <v>0</v>
      </c>
      <c r="BY59" s="1908">
        <v>145</v>
      </c>
      <c r="BZ59" s="1913">
        <f>AY59-Z59</f>
        <v>34472</v>
      </c>
      <c r="CA59" s="1902">
        <f>AZ59-AA59</f>
        <v>9992</v>
      </c>
      <c r="CB59" s="1902">
        <f>BA59</f>
        <v>0</v>
      </c>
      <c r="CC59" s="1907"/>
      <c r="CD59" s="1907"/>
      <c r="CE59" s="1902">
        <f>BD59</f>
        <v>0</v>
      </c>
      <c r="CF59" s="1902">
        <f>BE59-AD59</f>
        <v>0</v>
      </c>
      <c r="CG59" s="1902">
        <f>BF59-AE59</f>
        <v>7494</v>
      </c>
      <c r="CH59" s="1902">
        <f>BG59-AF59</f>
        <v>7494</v>
      </c>
      <c r="CI59" s="1907"/>
      <c r="CJ59" s="1902">
        <f>BI59-AH59</f>
        <v>0</v>
      </c>
      <c r="CK59" s="1902">
        <f>-AI59</f>
        <v>0</v>
      </c>
      <c r="CL59" s="1902">
        <f>BK59-AJ59</f>
        <v>0</v>
      </c>
      <c r="CM59" s="1902">
        <f>BL59-AK59</f>
        <v>0</v>
      </c>
      <c r="CN59" s="1902">
        <f>BM59-AL59</f>
        <v>0</v>
      </c>
      <c r="CO59" s="1902">
        <f>BN59-AM59</f>
        <v>51958</v>
      </c>
      <c r="CP59" s="1905">
        <f>BO59-AN59</f>
        <v>39</v>
      </c>
    </row>
    <row r="60" spans="1:94" ht="15.75" thickBot="1">
      <c r="A60" s="1918"/>
      <c r="B60" s="1827"/>
      <c r="C60" s="1886"/>
      <c r="D60" s="1886"/>
      <c r="E60" s="1887"/>
      <c r="F60" s="1887"/>
      <c r="G60" s="1888"/>
      <c r="H60" s="1889"/>
      <c r="I60" s="2408"/>
      <c r="J60" s="2433"/>
      <c r="K60" s="1855"/>
      <c r="L60" s="2433"/>
      <c r="M60" s="2433"/>
      <c r="N60" s="2433"/>
      <c r="O60" s="1859"/>
      <c r="P60" s="1859"/>
      <c r="Q60" s="1859"/>
      <c r="R60" s="1859"/>
      <c r="S60" s="1859"/>
      <c r="T60" s="1859"/>
      <c r="U60" s="2433"/>
      <c r="V60" s="1859"/>
      <c r="W60" s="2433"/>
      <c r="X60" s="2435"/>
      <c r="Y60" s="2429"/>
      <c r="Z60" s="2433"/>
      <c r="AA60" s="2433"/>
      <c r="AB60" s="1859"/>
      <c r="AC60" s="1859"/>
      <c r="AD60" s="1859"/>
      <c r="AE60" s="2433"/>
      <c r="AF60" s="1859"/>
      <c r="AG60" s="1859"/>
      <c r="AH60" s="1859"/>
      <c r="AI60" s="1859"/>
      <c r="AJ60" s="1859"/>
      <c r="AK60" s="1859"/>
      <c r="AL60" s="1859"/>
      <c r="AM60" s="2433"/>
      <c r="AN60" s="2433"/>
      <c r="AO60" s="2431"/>
      <c r="AP60" s="2431"/>
      <c r="AQ60" s="2426"/>
      <c r="AR60" s="2422"/>
      <c r="AS60" s="2408"/>
      <c r="AT60" s="2424"/>
      <c r="AU60" s="1891"/>
      <c r="AV60" s="1891"/>
      <c r="AW60" s="1891"/>
      <c r="AX60" s="1891"/>
      <c r="AY60" s="2433"/>
      <c r="AZ60" s="2433"/>
      <c r="BA60" s="1859"/>
      <c r="BB60" s="1859"/>
      <c r="BC60" s="1859"/>
      <c r="BD60" s="1859"/>
      <c r="BE60" s="1859"/>
      <c r="BF60" s="2433"/>
      <c r="BG60" s="1859"/>
      <c r="BH60" s="1859"/>
      <c r="BI60" s="1859"/>
      <c r="BJ60" s="1859"/>
      <c r="BK60" s="1859"/>
      <c r="BL60" s="1859"/>
      <c r="BM60" s="2433"/>
      <c r="BN60" s="2433"/>
      <c r="BO60" s="2431"/>
      <c r="BP60" s="1892"/>
      <c r="BQ60" s="1892"/>
      <c r="BR60" s="1892"/>
      <c r="BS60" s="1892"/>
      <c r="BT60" s="2431"/>
      <c r="BU60" s="2431"/>
      <c r="BV60" s="2431"/>
      <c r="BW60" s="2431"/>
      <c r="BX60" s="2431"/>
      <c r="BY60" s="2426"/>
      <c r="BZ60" s="1893"/>
      <c r="CA60" s="2431"/>
      <c r="CB60" s="2431"/>
      <c r="CC60" s="2431"/>
      <c r="CD60" s="2431"/>
      <c r="CE60" s="2431"/>
      <c r="CF60" s="2431"/>
      <c r="CG60" s="2431"/>
      <c r="CH60" s="2431"/>
      <c r="CI60" s="2431"/>
      <c r="CJ60" s="2431"/>
      <c r="CK60" s="2431"/>
      <c r="CL60" s="2431"/>
      <c r="CM60" s="2431"/>
      <c r="CN60" s="2431"/>
      <c r="CO60" s="2431"/>
      <c r="CP60" s="2426"/>
    </row>
    <row r="61" spans="1:94" ht="34.5" thickBot="1">
      <c r="A61" s="3202" t="s">
        <v>1029</v>
      </c>
      <c r="B61" s="2558" t="str">
        <f t="shared" ref="B61:B62" si="30">1&amp;"0"&amp;C61&amp;IF(LEN(SUBSTITUTE(UPPER(D61),"P/O ",""))=1,"000"&amp;SUBSTITUTE(UPPER(D61),"P/O ",""),IF(LEN(SUBSTITUTE(UPPER(D61),"P/O ",""))=2,"00"&amp;SUBSTITUTE(UPPER(D61),"P/O ",""),IF(LEN(SUBSTITUTE(UPPER(D61),"P/O ",""))=3,"0"&amp;SUBSTITUTE(UPPER(D61),"P/O ",""),SUBSTITUTE(UPPER(D61),"P/O ",""))))</f>
        <v>1022020021</v>
      </c>
      <c r="C61" s="1883">
        <v>2202</v>
      </c>
      <c r="D61" s="1883">
        <v>21</v>
      </c>
      <c r="E61" s="1884" t="s">
        <v>1526</v>
      </c>
      <c r="F61" s="1884" t="s">
        <v>1527</v>
      </c>
      <c r="G61" s="1850">
        <v>9992</v>
      </c>
      <c r="H61" s="1885" t="s">
        <v>947</v>
      </c>
      <c r="I61" s="2407"/>
      <c r="J61" s="2402" t="s">
        <v>1528</v>
      </c>
      <c r="K61" s="1851">
        <f>W61/G61</f>
        <v>0.65052041633306645</v>
      </c>
      <c r="L61" s="2402">
        <v>0</v>
      </c>
      <c r="M61" s="2402">
        <v>0</v>
      </c>
      <c r="N61" s="2402">
        <f>O61+P61+Q61+R61+S61+T61</f>
        <v>6500</v>
      </c>
      <c r="O61" s="2412">
        <v>6500</v>
      </c>
      <c r="P61" s="2412">
        <v>0</v>
      </c>
      <c r="Q61" s="2412">
        <v>0</v>
      </c>
      <c r="R61" s="2412">
        <v>0</v>
      </c>
      <c r="S61" s="2412">
        <v>0</v>
      </c>
      <c r="T61" s="2412">
        <v>0</v>
      </c>
      <c r="U61" s="2402">
        <v>0</v>
      </c>
      <c r="V61" s="2412">
        <v>0</v>
      </c>
      <c r="W61" s="2402">
        <f>L61+M61+N61+U61</f>
        <v>6500</v>
      </c>
      <c r="X61" s="2405">
        <v>0</v>
      </c>
      <c r="Y61" s="2421" t="s">
        <v>1023</v>
      </c>
      <c r="Z61" s="2402">
        <f>L61</f>
        <v>0</v>
      </c>
      <c r="AA61" s="2402">
        <f>M61</f>
        <v>0</v>
      </c>
      <c r="AB61" s="2412">
        <v>0</v>
      </c>
      <c r="AC61" s="2412">
        <v>0</v>
      </c>
      <c r="AD61" s="2412">
        <v>0</v>
      </c>
      <c r="AE61" s="2402">
        <f>N61</f>
        <v>6500</v>
      </c>
      <c r="AF61" s="2412">
        <f>O61</f>
        <v>6500</v>
      </c>
      <c r="AG61" s="2412">
        <v>0</v>
      </c>
      <c r="AH61" s="2412">
        <f>P61</f>
        <v>0</v>
      </c>
      <c r="AI61" s="2412">
        <v>0</v>
      </c>
      <c r="AJ61" s="2412">
        <f>R61</f>
        <v>0</v>
      </c>
      <c r="AK61" s="2412">
        <f>T61</f>
        <v>0</v>
      </c>
      <c r="AL61" s="2412">
        <f>U61</f>
        <v>0</v>
      </c>
      <c r="AM61" s="2402">
        <f>W61</f>
        <v>6500</v>
      </c>
      <c r="AN61" s="2402">
        <f>X61</f>
        <v>0</v>
      </c>
      <c r="AO61" s="2406">
        <v>0</v>
      </c>
      <c r="AP61" s="2406">
        <v>0</v>
      </c>
      <c r="AQ61" s="2410"/>
      <c r="AR61" s="2415" t="s">
        <v>741</v>
      </c>
      <c r="AS61" s="2407" t="s">
        <v>706</v>
      </c>
      <c r="AT61" s="2420" t="s">
        <v>1291</v>
      </c>
      <c r="AU61" s="2414">
        <v>7.2</v>
      </c>
      <c r="AV61" s="2414">
        <v>6.45</v>
      </c>
      <c r="AW61" s="2414">
        <v>0.75</v>
      </c>
      <c r="AX61" s="2414">
        <v>0</v>
      </c>
      <c r="AY61" s="3208">
        <f>ROUND(AV61*G61,0)+ROUND(AV62*G62,0)</f>
        <v>104416</v>
      </c>
      <c r="AZ61" s="3208">
        <f>ROUND(AX63*G63,0)</f>
        <v>0</v>
      </c>
      <c r="BA61" s="3199">
        <v>0</v>
      </c>
      <c r="BB61" s="3199">
        <v>0</v>
      </c>
      <c r="BC61" s="3199">
        <v>0</v>
      </c>
      <c r="BD61" s="3199">
        <v>0</v>
      </c>
      <c r="BE61" s="3199">
        <v>0</v>
      </c>
      <c r="BF61" s="3208">
        <f>ROUND(AW61*G61,0)</f>
        <v>7494</v>
      </c>
      <c r="BG61" s="3199">
        <f>BF61</f>
        <v>7494</v>
      </c>
      <c r="BH61" s="3199">
        <v>0</v>
      </c>
      <c r="BI61" s="3199">
        <v>0</v>
      </c>
      <c r="BJ61" s="3199">
        <v>0</v>
      </c>
      <c r="BK61" s="3199">
        <v>0</v>
      </c>
      <c r="BL61" s="3199">
        <v>0</v>
      </c>
      <c r="BM61" s="3208">
        <v>0</v>
      </c>
      <c r="BN61" s="3208">
        <f>ROUND(AU61*G61,0)+ROUND(AU62*G62,0)</f>
        <v>111910</v>
      </c>
      <c r="BO61" s="3224">
        <f>ROUND(AY61/875,0)</f>
        <v>119</v>
      </c>
      <c r="BP61" s="3229">
        <f>ROUND((((AV61*G61)/875)*0.25),0)</f>
        <v>18</v>
      </c>
      <c r="BQ61" s="3229">
        <f>BO61-BP61</f>
        <v>101</v>
      </c>
      <c r="BR61" s="3229">
        <f>ROUND((((AV61*G61)/875)*0.3),0)</f>
        <v>22</v>
      </c>
      <c r="BS61" s="3229">
        <f>BO61-BR61</f>
        <v>97</v>
      </c>
      <c r="BT61" s="3218">
        <f>ROUND(IF(((0.2*BQ61)&gt;15),(0.2*BQ61),0),0)</f>
        <v>20</v>
      </c>
      <c r="BU61" s="3218">
        <f>ROUND(IF(((0.2*BS61)&gt;15),(0.2*BS61),0),0)</f>
        <v>19</v>
      </c>
      <c r="BV61" s="3218">
        <v>0</v>
      </c>
      <c r="BW61" s="3218">
        <f>BT61</f>
        <v>20</v>
      </c>
      <c r="BX61" s="3218">
        <f>BU61</f>
        <v>19</v>
      </c>
      <c r="BY61" s="3214">
        <v>145</v>
      </c>
      <c r="BZ61" s="3226">
        <f>AY61-Z63</f>
        <v>70044</v>
      </c>
      <c r="CA61" s="3208">
        <f>AZ61-AA63</f>
        <v>0</v>
      </c>
      <c r="CB61" s="3208">
        <f>BA61</f>
        <v>0</v>
      </c>
      <c r="CC61" s="3224"/>
      <c r="CD61" s="3224"/>
      <c r="CE61" s="3208">
        <f>BD61</f>
        <v>0</v>
      </c>
      <c r="CF61" s="3208">
        <f>BE61-AD63</f>
        <v>0</v>
      </c>
      <c r="CG61" s="3208">
        <f>BF61-AE63</f>
        <v>994</v>
      </c>
      <c r="CH61" s="3208">
        <f>BG61-AF63</f>
        <v>994</v>
      </c>
      <c r="CI61" s="3224"/>
      <c r="CJ61" s="3208">
        <f>BI61-AH63</f>
        <v>0</v>
      </c>
      <c r="CK61" s="3208">
        <f>-AI63</f>
        <v>0</v>
      </c>
      <c r="CL61" s="3208">
        <f>BK61-AJ63</f>
        <v>0</v>
      </c>
      <c r="CM61" s="3208">
        <f>BL61-AK63</f>
        <v>0</v>
      </c>
      <c r="CN61" s="3208">
        <f>BM61-AL63</f>
        <v>0</v>
      </c>
      <c r="CO61" s="3208">
        <f>BN61-AM63</f>
        <v>71038</v>
      </c>
      <c r="CP61" s="3230">
        <f>BO61-AN63</f>
        <v>80</v>
      </c>
    </row>
    <row r="62" spans="1:94">
      <c r="A62" s="3235"/>
      <c r="B62" s="2558" t="str">
        <f t="shared" si="30"/>
        <v>1022020017</v>
      </c>
      <c r="C62" s="1886">
        <v>2202</v>
      </c>
      <c r="D62" s="1886">
        <v>17</v>
      </c>
      <c r="E62" s="1887" t="s">
        <v>1529</v>
      </c>
      <c r="F62" s="1887" t="s">
        <v>1530</v>
      </c>
      <c r="G62" s="1854">
        <v>9992</v>
      </c>
      <c r="H62" s="1889" t="s">
        <v>1344</v>
      </c>
      <c r="I62" s="2408"/>
      <c r="J62" s="2433" t="s">
        <v>1531</v>
      </c>
      <c r="K62" s="1855">
        <f>W62/G62</f>
        <v>0</v>
      </c>
      <c r="L62" s="1856">
        <v>0</v>
      </c>
      <c r="M62" s="1856">
        <v>0</v>
      </c>
      <c r="N62" s="1856">
        <f>O62+P62+Q62+R62+S62+T62</f>
        <v>0</v>
      </c>
      <c r="O62" s="1857">
        <v>0</v>
      </c>
      <c r="P62" s="1857">
        <v>0</v>
      </c>
      <c r="Q62" s="1857">
        <v>0</v>
      </c>
      <c r="R62" s="1857">
        <v>0</v>
      </c>
      <c r="S62" s="1857">
        <v>0</v>
      </c>
      <c r="T62" s="1857">
        <v>0</v>
      </c>
      <c r="U62" s="1856">
        <v>0</v>
      </c>
      <c r="V62" s="1857">
        <v>0</v>
      </c>
      <c r="W62" s="1856">
        <f>L62+M62+N62+U62</f>
        <v>0</v>
      </c>
      <c r="X62" s="1858">
        <v>0</v>
      </c>
      <c r="Y62" s="2429" t="s">
        <v>1381</v>
      </c>
      <c r="Z62" s="2433">
        <f>ROUND(G62*3.44,0)</f>
        <v>34372</v>
      </c>
      <c r="AA62" s="2433">
        <v>0</v>
      </c>
      <c r="AB62" s="1859">
        <v>0</v>
      </c>
      <c r="AC62" s="1859">
        <v>0</v>
      </c>
      <c r="AD62" s="1859">
        <v>0</v>
      </c>
      <c r="AE62" s="2433">
        <v>0</v>
      </c>
      <c r="AF62" s="1859">
        <v>0</v>
      </c>
      <c r="AG62" s="1859">
        <v>0</v>
      </c>
      <c r="AH62" s="1859">
        <v>0</v>
      </c>
      <c r="AI62" s="1859">
        <v>0</v>
      </c>
      <c r="AJ62" s="1859">
        <v>0</v>
      </c>
      <c r="AK62" s="1859">
        <v>0</v>
      </c>
      <c r="AL62" s="1859">
        <v>0</v>
      </c>
      <c r="AM62" s="2433">
        <f>AE62+AA62+Z62</f>
        <v>34372</v>
      </c>
      <c r="AN62" s="2433">
        <f>ROUND(Z62/875,0)</f>
        <v>39</v>
      </c>
      <c r="AO62" s="2431">
        <f>ROUND(AN62*0.5,0)</f>
        <v>20</v>
      </c>
      <c r="AP62" s="2431">
        <f>AO62</f>
        <v>20</v>
      </c>
      <c r="AQ62" s="2426">
        <v>80</v>
      </c>
      <c r="AR62" s="2422" t="s">
        <v>705</v>
      </c>
      <c r="AS62" s="2408" t="s">
        <v>706</v>
      </c>
      <c r="AT62" s="2424"/>
      <c r="AU62" s="1891">
        <v>4</v>
      </c>
      <c r="AV62" s="1891">
        <v>4</v>
      </c>
      <c r="AW62" s="1891">
        <v>0</v>
      </c>
      <c r="AX62" s="1891">
        <v>0</v>
      </c>
      <c r="AY62" s="3200"/>
      <c r="AZ62" s="3200"/>
      <c r="BA62" s="3200"/>
      <c r="BB62" s="3200"/>
      <c r="BC62" s="3200"/>
      <c r="BD62" s="3200"/>
      <c r="BE62" s="3200"/>
      <c r="BF62" s="3200"/>
      <c r="BG62" s="3200"/>
      <c r="BH62" s="3200"/>
      <c r="BI62" s="3200"/>
      <c r="BJ62" s="3200"/>
      <c r="BK62" s="3200"/>
      <c r="BL62" s="3200"/>
      <c r="BM62" s="3200"/>
      <c r="BN62" s="3200"/>
      <c r="BO62" s="3200"/>
      <c r="BP62" s="3200"/>
      <c r="BQ62" s="3200"/>
      <c r="BR62" s="3200"/>
      <c r="BS62" s="3200"/>
      <c r="BT62" s="3263"/>
      <c r="BU62" s="3263"/>
      <c r="BV62" s="3263"/>
      <c r="BW62" s="3263"/>
      <c r="BX62" s="3263"/>
      <c r="BY62" s="3215"/>
      <c r="BZ62" s="3227"/>
      <c r="CA62" s="3200"/>
      <c r="CB62" s="3200"/>
      <c r="CC62" s="3200"/>
      <c r="CD62" s="3200"/>
      <c r="CE62" s="3200"/>
      <c r="CF62" s="3200"/>
      <c r="CG62" s="3200"/>
      <c r="CH62" s="3200"/>
      <c r="CI62" s="3200"/>
      <c r="CJ62" s="3200"/>
      <c r="CK62" s="3200"/>
      <c r="CL62" s="3200"/>
      <c r="CM62" s="3200"/>
      <c r="CN62" s="3200"/>
      <c r="CO62" s="3200"/>
      <c r="CP62" s="3215"/>
    </row>
    <row r="63" spans="1:94">
      <c r="A63" s="3251"/>
      <c r="B63" s="1860"/>
      <c r="C63" s="1920"/>
      <c r="D63" s="1861" t="s">
        <v>1532</v>
      </c>
      <c r="E63" s="1921"/>
      <c r="F63" s="1863" t="s">
        <v>1532</v>
      </c>
      <c r="G63" s="1864">
        <f>SUM(G61:G62)</f>
        <v>19984</v>
      </c>
      <c r="H63" s="1922"/>
      <c r="I63" s="2409"/>
      <c r="J63" s="2434"/>
      <c r="K63" s="1865">
        <f>W63/G63</f>
        <v>0.32526020816653323</v>
      </c>
      <c r="L63" s="2434">
        <f>SUM(L61:L62)</f>
        <v>0</v>
      </c>
      <c r="M63" s="2434">
        <f>SUM(M61:M62)</f>
        <v>0</v>
      </c>
      <c r="N63" s="2434">
        <f>SUM(N61:N62)</f>
        <v>6500</v>
      </c>
      <c r="O63" s="1867">
        <f t="shared" ref="O63:X63" si="31">SUM(O61:O62)</f>
        <v>6500</v>
      </c>
      <c r="P63" s="1867">
        <f t="shared" si="31"/>
        <v>0</v>
      </c>
      <c r="Q63" s="1867">
        <f t="shared" si="31"/>
        <v>0</v>
      </c>
      <c r="R63" s="1867">
        <f t="shared" si="31"/>
        <v>0</v>
      </c>
      <c r="S63" s="1867">
        <f t="shared" si="31"/>
        <v>0</v>
      </c>
      <c r="T63" s="1867">
        <f t="shared" si="31"/>
        <v>0</v>
      </c>
      <c r="U63" s="2434">
        <f t="shared" si="31"/>
        <v>0</v>
      </c>
      <c r="V63" s="1867">
        <f t="shared" si="31"/>
        <v>0</v>
      </c>
      <c r="W63" s="2434">
        <f t="shared" si="31"/>
        <v>6500</v>
      </c>
      <c r="X63" s="2436">
        <f t="shared" si="31"/>
        <v>0</v>
      </c>
      <c r="Y63" s="2430" t="s">
        <v>1533</v>
      </c>
      <c r="Z63" s="2434">
        <f>SUM(Z61:Z62)</f>
        <v>34372</v>
      </c>
      <c r="AA63" s="2434">
        <f t="shared" ref="AA63:AP63" si="32">SUM(AA61:AA62)</f>
        <v>0</v>
      </c>
      <c r="AB63" s="1867">
        <f t="shared" si="32"/>
        <v>0</v>
      </c>
      <c r="AC63" s="1867">
        <f t="shared" si="32"/>
        <v>0</v>
      </c>
      <c r="AD63" s="1867">
        <f t="shared" si="32"/>
        <v>0</v>
      </c>
      <c r="AE63" s="2434">
        <f t="shared" si="32"/>
        <v>6500</v>
      </c>
      <c r="AF63" s="1867">
        <f t="shared" si="32"/>
        <v>6500</v>
      </c>
      <c r="AG63" s="1867">
        <f t="shared" si="32"/>
        <v>0</v>
      </c>
      <c r="AH63" s="1867">
        <f t="shared" si="32"/>
        <v>0</v>
      </c>
      <c r="AI63" s="1867">
        <f t="shared" si="32"/>
        <v>0</v>
      </c>
      <c r="AJ63" s="1867">
        <f t="shared" si="32"/>
        <v>0</v>
      </c>
      <c r="AK63" s="1867">
        <f t="shared" si="32"/>
        <v>0</v>
      </c>
      <c r="AL63" s="1867">
        <f t="shared" si="32"/>
        <v>0</v>
      </c>
      <c r="AM63" s="2434">
        <f t="shared" si="32"/>
        <v>40872</v>
      </c>
      <c r="AN63" s="2434">
        <f t="shared" si="32"/>
        <v>39</v>
      </c>
      <c r="AO63" s="2434">
        <f t="shared" si="32"/>
        <v>20</v>
      </c>
      <c r="AP63" s="2434">
        <f t="shared" si="32"/>
        <v>20</v>
      </c>
      <c r="AQ63" s="1868">
        <v>80</v>
      </c>
      <c r="AR63" s="2423" t="s">
        <v>1534</v>
      </c>
      <c r="AS63" s="2409" t="s">
        <v>706</v>
      </c>
      <c r="AT63" s="2425"/>
      <c r="AU63" s="1865" t="s">
        <v>1535</v>
      </c>
      <c r="AV63" s="1865" t="s">
        <v>1536</v>
      </c>
      <c r="AW63" s="1924" t="s">
        <v>1537</v>
      </c>
      <c r="AX63" s="1924">
        <v>0</v>
      </c>
      <c r="AY63" s="3201"/>
      <c r="AZ63" s="3201"/>
      <c r="BA63" s="3201"/>
      <c r="BB63" s="3201"/>
      <c r="BC63" s="3201"/>
      <c r="BD63" s="3201"/>
      <c r="BE63" s="3201"/>
      <c r="BF63" s="3201"/>
      <c r="BG63" s="3201"/>
      <c r="BH63" s="3201"/>
      <c r="BI63" s="3201"/>
      <c r="BJ63" s="3201"/>
      <c r="BK63" s="3201"/>
      <c r="BL63" s="3201"/>
      <c r="BM63" s="3201"/>
      <c r="BN63" s="3201"/>
      <c r="BO63" s="3201"/>
      <c r="BP63" s="3201"/>
      <c r="BQ63" s="3201"/>
      <c r="BR63" s="3201"/>
      <c r="BS63" s="3201"/>
      <c r="BT63" s="3264"/>
      <c r="BU63" s="3264"/>
      <c r="BV63" s="3264"/>
      <c r="BW63" s="3264"/>
      <c r="BX63" s="3264"/>
      <c r="BY63" s="3216"/>
      <c r="BZ63" s="3228"/>
      <c r="CA63" s="3201"/>
      <c r="CB63" s="3201"/>
      <c r="CC63" s="3201"/>
      <c r="CD63" s="3201"/>
      <c r="CE63" s="3201"/>
      <c r="CF63" s="3201"/>
      <c r="CG63" s="3201"/>
      <c r="CH63" s="3201"/>
      <c r="CI63" s="3201"/>
      <c r="CJ63" s="3201"/>
      <c r="CK63" s="3201"/>
      <c r="CL63" s="3201"/>
      <c r="CM63" s="3201"/>
      <c r="CN63" s="3201"/>
      <c r="CO63" s="3201"/>
      <c r="CP63" s="3216"/>
    </row>
    <row r="64" spans="1:94" ht="15.75" thickBot="1">
      <c r="A64" s="2413"/>
      <c r="B64" s="1827"/>
      <c r="C64" s="1886"/>
      <c r="D64" s="1886"/>
      <c r="E64" s="1887"/>
      <c r="F64" s="1887"/>
      <c r="G64" s="1888"/>
      <c r="H64" s="1889"/>
      <c r="I64" s="2408"/>
      <c r="J64" s="1919"/>
      <c r="K64" s="1855"/>
      <c r="L64" s="2433"/>
      <c r="M64" s="2433"/>
      <c r="N64" s="2433"/>
      <c r="O64" s="1859"/>
      <c r="P64" s="1859"/>
      <c r="Q64" s="1859"/>
      <c r="R64" s="1859"/>
      <c r="S64" s="1859"/>
      <c r="T64" s="1859"/>
      <c r="U64" s="2433"/>
      <c r="V64" s="1859"/>
      <c r="W64" s="2433"/>
      <c r="X64" s="2435"/>
      <c r="Y64" s="2429"/>
      <c r="Z64" s="2433"/>
      <c r="AA64" s="2433"/>
      <c r="AB64" s="1859"/>
      <c r="AC64" s="1859"/>
      <c r="AD64" s="1859"/>
      <c r="AE64" s="2433"/>
      <c r="AF64" s="1859"/>
      <c r="AG64" s="1859"/>
      <c r="AH64" s="1859"/>
      <c r="AI64" s="1859"/>
      <c r="AJ64" s="1859"/>
      <c r="AK64" s="1859"/>
      <c r="AL64" s="1859"/>
      <c r="AM64" s="2433"/>
      <c r="AN64" s="2433"/>
      <c r="AO64" s="2431"/>
      <c r="AP64" s="2431"/>
      <c r="AQ64" s="2426"/>
      <c r="AR64" s="2422"/>
      <c r="AS64" s="2408"/>
      <c r="AT64" s="2424"/>
      <c r="AU64" s="1891"/>
      <c r="AV64" s="1891"/>
      <c r="AW64" s="1891"/>
      <c r="AX64" s="1891"/>
      <c r="AY64" s="2433"/>
      <c r="AZ64" s="2433"/>
      <c r="BA64" s="1859"/>
      <c r="BB64" s="1859"/>
      <c r="BC64" s="1859"/>
      <c r="BD64" s="1859"/>
      <c r="BE64" s="1859"/>
      <c r="BF64" s="2433"/>
      <c r="BG64" s="1859"/>
      <c r="BH64" s="1859"/>
      <c r="BI64" s="1859"/>
      <c r="BJ64" s="1859"/>
      <c r="BK64" s="1859"/>
      <c r="BL64" s="1859"/>
      <c r="BM64" s="2433"/>
      <c r="BN64" s="2433"/>
      <c r="BO64" s="2431"/>
      <c r="BP64" s="1892"/>
      <c r="BQ64" s="1892"/>
      <c r="BR64" s="1892"/>
      <c r="BS64" s="1892"/>
      <c r="BT64" s="2431"/>
      <c r="BU64" s="2431"/>
      <c r="BV64" s="2431"/>
      <c r="BW64" s="2431"/>
      <c r="BX64" s="2431"/>
      <c r="BY64" s="2426"/>
      <c r="BZ64" s="1893"/>
      <c r="CA64" s="2431"/>
      <c r="CB64" s="2431"/>
      <c r="CC64" s="2431"/>
      <c r="CD64" s="2431"/>
      <c r="CE64" s="2431"/>
      <c r="CF64" s="2431"/>
      <c r="CG64" s="2431"/>
      <c r="CH64" s="2431"/>
      <c r="CI64" s="2431"/>
      <c r="CJ64" s="2431"/>
      <c r="CK64" s="2431"/>
      <c r="CL64" s="2431"/>
      <c r="CM64" s="2431"/>
      <c r="CN64" s="2431"/>
      <c r="CO64" s="2431"/>
      <c r="CP64" s="2426"/>
    </row>
    <row r="65" spans="1:94" ht="33.75">
      <c r="A65" s="1894" t="s">
        <v>1031</v>
      </c>
      <c r="B65" s="2558" t="str">
        <f>1&amp;"0"&amp;C65&amp;IF(LEN(SUBSTITUTE(UPPER(D65),"P/O ",""))=1,"000"&amp;SUBSTITUTE(UPPER(D65),"P/O ",""),IF(LEN(SUBSTITUTE(UPPER(D65),"P/O ",""))=2,"00"&amp;SUBSTITUTE(UPPER(D65),"P/O ",""),IF(LEN(SUBSTITUTE(UPPER(D65),"P/O ",""))=3,"0"&amp;SUBSTITUTE(UPPER(D65),"P/O ",""),SUBSTITUTE(UPPER(D65),"P/O ",""))))</f>
        <v>1021860001</v>
      </c>
      <c r="C65" s="1897">
        <v>2186</v>
      </c>
      <c r="D65" s="1897">
        <v>1</v>
      </c>
      <c r="E65" s="1898" t="s">
        <v>1538</v>
      </c>
      <c r="F65" s="1898" t="s">
        <v>1539</v>
      </c>
      <c r="G65" s="1899">
        <v>19983</v>
      </c>
      <c r="H65" s="1900" t="s">
        <v>1323</v>
      </c>
      <c r="I65" s="1901"/>
      <c r="J65" s="1902" t="s">
        <v>1407</v>
      </c>
      <c r="K65" s="1903">
        <f>W65/G65</f>
        <v>2.001701446229295</v>
      </c>
      <c r="L65" s="1902">
        <v>0</v>
      </c>
      <c r="M65" s="1902">
        <v>0</v>
      </c>
      <c r="N65" s="1902">
        <f>O65+P65+Q65+R65+S65+T65</f>
        <v>40000</v>
      </c>
      <c r="O65" s="1904">
        <v>0</v>
      </c>
      <c r="P65" s="1904">
        <v>0</v>
      </c>
      <c r="Q65" s="1904">
        <v>0</v>
      </c>
      <c r="R65" s="1904">
        <v>0</v>
      </c>
      <c r="S65" s="1904">
        <v>0</v>
      </c>
      <c r="T65" s="1904">
        <v>40000</v>
      </c>
      <c r="U65" s="1902">
        <v>0</v>
      </c>
      <c r="V65" s="1904">
        <v>0</v>
      </c>
      <c r="W65" s="1902">
        <f>L65+M65+N65+U65</f>
        <v>40000</v>
      </c>
      <c r="X65" s="1905">
        <v>0</v>
      </c>
      <c r="Y65" s="1906" t="s">
        <v>1023</v>
      </c>
      <c r="Z65" s="1902">
        <f>L65</f>
        <v>0</v>
      </c>
      <c r="AA65" s="1902">
        <f>M65</f>
        <v>0</v>
      </c>
      <c r="AB65" s="1904">
        <v>0</v>
      </c>
      <c r="AC65" s="1904">
        <v>0</v>
      </c>
      <c r="AD65" s="1904">
        <v>0</v>
      </c>
      <c r="AE65" s="1902">
        <f>N65</f>
        <v>40000</v>
      </c>
      <c r="AF65" s="1904">
        <f>O65</f>
        <v>0</v>
      </c>
      <c r="AG65" s="1904">
        <v>0</v>
      </c>
      <c r="AH65" s="1904">
        <f>P65</f>
        <v>0</v>
      </c>
      <c r="AI65" s="1904">
        <v>0</v>
      </c>
      <c r="AJ65" s="1904">
        <f>R65</f>
        <v>0</v>
      </c>
      <c r="AK65" s="1904">
        <f>T65</f>
        <v>40000</v>
      </c>
      <c r="AL65" s="1904">
        <f>U65</f>
        <v>0</v>
      </c>
      <c r="AM65" s="1902">
        <f>W65</f>
        <v>40000</v>
      </c>
      <c r="AN65" s="1902">
        <v>0</v>
      </c>
      <c r="AO65" s="1907">
        <v>0</v>
      </c>
      <c r="AP65" s="1907">
        <v>0</v>
      </c>
      <c r="AQ65" s="1908">
        <v>27</v>
      </c>
      <c r="AR65" s="1909" t="s">
        <v>741</v>
      </c>
      <c r="AS65" s="1901" t="s">
        <v>706</v>
      </c>
      <c r="AT65" s="1910" t="s">
        <v>1291</v>
      </c>
      <c r="AU65" s="1911">
        <v>7.2</v>
      </c>
      <c r="AV65" s="1911">
        <v>6.45</v>
      </c>
      <c r="AW65" s="1911">
        <v>0.75</v>
      </c>
      <c r="AX65" s="1911">
        <v>0</v>
      </c>
      <c r="AY65" s="1902">
        <f>ROUND(AV65*G65,0)</f>
        <v>128890</v>
      </c>
      <c r="AZ65" s="1902">
        <f>ROUND(AX65*G65,0)</f>
        <v>0</v>
      </c>
      <c r="BA65" s="1904">
        <v>0</v>
      </c>
      <c r="BB65" s="1904">
        <v>0</v>
      </c>
      <c r="BC65" s="1904">
        <v>0</v>
      </c>
      <c r="BD65" s="1904">
        <v>0</v>
      </c>
      <c r="BE65" s="1904">
        <v>0</v>
      </c>
      <c r="BF65" s="1902">
        <f>ROUND(AW65*G65,0)</f>
        <v>14987</v>
      </c>
      <c r="BG65" s="1904">
        <f>BF65</f>
        <v>14987</v>
      </c>
      <c r="BH65" s="1904">
        <v>0</v>
      </c>
      <c r="BI65" s="1904">
        <v>0</v>
      </c>
      <c r="BJ65" s="1904">
        <v>0</v>
      </c>
      <c r="BK65" s="1904">
        <v>0</v>
      </c>
      <c r="BL65" s="1904">
        <v>0</v>
      </c>
      <c r="BM65" s="1902">
        <v>0</v>
      </c>
      <c r="BN65" s="1902">
        <f>ROUND(G65*AU65,0)</f>
        <v>143878</v>
      </c>
      <c r="BO65" s="1907">
        <f>ROUND(AY65/875,0)</f>
        <v>147</v>
      </c>
      <c r="BP65" s="1912">
        <f>ROUND(BO65*0.25,0)</f>
        <v>37</v>
      </c>
      <c r="BQ65" s="1912">
        <f>BO65-BP65</f>
        <v>110</v>
      </c>
      <c r="BR65" s="1912">
        <f>ROUND(BO65*0.3,0)</f>
        <v>44</v>
      </c>
      <c r="BS65" s="1912">
        <f>BO65-BR65</f>
        <v>103</v>
      </c>
      <c r="BT65" s="1907">
        <f>ROUND(IF(((0.2*BQ65)&gt;15),(0.2*BQ65),0),0)</f>
        <v>22</v>
      </c>
      <c r="BU65" s="1907">
        <f>ROUND(IF(((0.2*BS65)&gt;15),(0.2*BS65),0),0)</f>
        <v>21</v>
      </c>
      <c r="BV65" s="1907">
        <v>0</v>
      </c>
      <c r="BW65" s="1907">
        <f>BT65</f>
        <v>22</v>
      </c>
      <c r="BX65" s="1907">
        <f>BU65</f>
        <v>21</v>
      </c>
      <c r="BY65" s="1908">
        <v>145</v>
      </c>
      <c r="BZ65" s="1913">
        <f>AY65-Z65</f>
        <v>128890</v>
      </c>
      <c r="CA65" s="1902">
        <f>AZ65-AA65</f>
        <v>0</v>
      </c>
      <c r="CB65" s="1902">
        <f>BA65</f>
        <v>0</v>
      </c>
      <c r="CC65" s="1907"/>
      <c r="CD65" s="1907"/>
      <c r="CE65" s="1902">
        <f>BD65</f>
        <v>0</v>
      </c>
      <c r="CF65" s="1902">
        <f>BE65-AD65</f>
        <v>0</v>
      </c>
      <c r="CG65" s="1902">
        <f>BF65-AE65</f>
        <v>-25013</v>
      </c>
      <c r="CH65" s="1902">
        <f>BG65-AF65</f>
        <v>14987</v>
      </c>
      <c r="CI65" s="1907"/>
      <c r="CJ65" s="1902">
        <f>BI65-AH65</f>
        <v>0</v>
      </c>
      <c r="CK65" s="1902">
        <f>-AI65</f>
        <v>0</v>
      </c>
      <c r="CL65" s="1902">
        <f>BK65-AJ65</f>
        <v>0</v>
      </c>
      <c r="CM65" s="1902">
        <f>BL65-AK65</f>
        <v>-40000</v>
      </c>
      <c r="CN65" s="1902">
        <f>BM65-AL65</f>
        <v>0</v>
      </c>
      <c r="CO65" s="1902">
        <f>BN65-AM65</f>
        <v>103878</v>
      </c>
      <c r="CP65" s="1905">
        <f>BO65-AN65</f>
        <v>147</v>
      </c>
    </row>
    <row r="66" spans="1:94" ht="15.75" thickBot="1">
      <c r="A66" s="1918"/>
      <c r="B66" s="1827"/>
      <c r="C66" s="1094"/>
      <c r="D66" s="1094"/>
      <c r="E66" s="1617"/>
      <c r="F66" s="1617"/>
      <c r="G66" s="1888"/>
      <c r="H66" s="2422"/>
      <c r="I66" s="2408"/>
      <c r="J66" s="2431"/>
      <c r="K66" s="1855"/>
      <c r="L66" s="2433"/>
      <c r="M66" s="2433"/>
      <c r="N66" s="2433"/>
      <c r="O66" s="1859"/>
      <c r="P66" s="1859"/>
      <c r="Q66" s="1859"/>
      <c r="R66" s="1859"/>
      <c r="S66" s="1859"/>
      <c r="T66" s="1859"/>
      <c r="U66" s="2433"/>
      <c r="V66" s="1859"/>
      <c r="W66" s="2433"/>
      <c r="X66" s="2435"/>
      <c r="Y66" s="2429"/>
      <c r="Z66" s="2433"/>
      <c r="AA66" s="2433"/>
      <c r="AB66" s="1859"/>
      <c r="AC66" s="1859"/>
      <c r="AD66" s="1859"/>
      <c r="AE66" s="2433"/>
      <c r="AF66" s="1859"/>
      <c r="AG66" s="1859"/>
      <c r="AH66" s="1859"/>
      <c r="AI66" s="1859"/>
      <c r="AJ66" s="1859"/>
      <c r="AK66" s="1859"/>
      <c r="AL66" s="1859"/>
      <c r="AM66" s="2433"/>
      <c r="AN66" s="2433"/>
      <c r="AO66" s="2431"/>
      <c r="AP66" s="2431"/>
      <c r="AQ66" s="2426"/>
      <c r="AR66" s="2422"/>
      <c r="AS66" s="2408"/>
      <c r="AT66" s="2424"/>
      <c r="AU66" s="1891"/>
      <c r="AV66" s="1891"/>
      <c r="AW66" s="1891"/>
      <c r="AX66" s="1891"/>
      <c r="AY66" s="2433"/>
      <c r="AZ66" s="2433"/>
      <c r="BA66" s="1859"/>
      <c r="BB66" s="1859"/>
      <c r="BC66" s="1859"/>
      <c r="BD66" s="1859"/>
      <c r="BE66" s="1859"/>
      <c r="BF66" s="2433"/>
      <c r="BG66" s="1859"/>
      <c r="BH66" s="1859"/>
      <c r="BI66" s="1859"/>
      <c r="BJ66" s="1859"/>
      <c r="BK66" s="1859"/>
      <c r="BL66" s="1859"/>
      <c r="BM66" s="2433"/>
      <c r="BN66" s="2433"/>
      <c r="BO66" s="2431"/>
      <c r="BP66" s="1892"/>
      <c r="BQ66" s="1892"/>
      <c r="BR66" s="1892"/>
      <c r="BS66" s="1892"/>
      <c r="BT66" s="2431"/>
      <c r="BU66" s="2431"/>
      <c r="BV66" s="2431"/>
      <c r="BW66" s="2431"/>
      <c r="BX66" s="2431"/>
      <c r="BY66" s="2426"/>
      <c r="BZ66" s="1893"/>
      <c r="CA66" s="2431"/>
      <c r="CB66" s="2431"/>
      <c r="CC66" s="2431"/>
      <c r="CD66" s="2431"/>
      <c r="CE66" s="2431"/>
      <c r="CF66" s="2431"/>
      <c r="CG66" s="2431"/>
      <c r="CH66" s="2431"/>
      <c r="CI66" s="2431"/>
      <c r="CJ66" s="2431"/>
      <c r="CK66" s="2431"/>
      <c r="CL66" s="2431"/>
      <c r="CM66" s="2431"/>
      <c r="CN66" s="2431"/>
      <c r="CO66" s="2431"/>
      <c r="CP66" s="2426"/>
    </row>
    <row r="67" spans="1:94" ht="33.75">
      <c r="A67" s="1894" t="s">
        <v>1036</v>
      </c>
      <c r="B67" s="2558" t="str">
        <f>1&amp;"0"&amp;C67&amp;IF(LEN(SUBSTITUTE(UPPER(D67),"P/O ",""))=1,"000"&amp;SUBSTITUTE(UPPER(D67),"P/O ",""),IF(LEN(SUBSTITUTE(UPPER(D67),"P/O ",""))=2,"00"&amp;SUBSTITUTE(UPPER(D67),"P/O ",""),IF(LEN(SUBSTITUTE(UPPER(D67),"P/O ",""))=3,"0"&amp;SUBSTITUTE(UPPER(D67),"P/O ",""),SUBSTITUTE(UPPER(D67),"P/O ",""))))</f>
        <v>1022000005</v>
      </c>
      <c r="C67" s="1897">
        <v>2200</v>
      </c>
      <c r="D67" s="1897">
        <v>5</v>
      </c>
      <c r="E67" s="1898" t="s">
        <v>1540</v>
      </c>
      <c r="F67" s="1898" t="s">
        <v>1541</v>
      </c>
      <c r="G67" s="1899">
        <v>9992</v>
      </c>
      <c r="H67" s="1900" t="s">
        <v>1344</v>
      </c>
      <c r="I67" s="1901" t="s">
        <v>727</v>
      </c>
      <c r="J67" s="1902" t="s">
        <v>1542</v>
      </c>
      <c r="K67" s="1903">
        <f>W67/G67</f>
        <v>0.60048038430744599</v>
      </c>
      <c r="L67" s="1902">
        <v>0</v>
      </c>
      <c r="M67" s="1902">
        <v>0</v>
      </c>
      <c r="N67" s="1902">
        <f>O67+P67+Q67+R67+S67+T67</f>
        <v>6000</v>
      </c>
      <c r="O67" s="1904">
        <v>6000</v>
      </c>
      <c r="P67" s="1904">
        <v>0</v>
      </c>
      <c r="Q67" s="1904">
        <v>0</v>
      </c>
      <c r="R67" s="1904">
        <v>0</v>
      </c>
      <c r="S67" s="1904">
        <v>0</v>
      </c>
      <c r="T67" s="1904">
        <v>0</v>
      </c>
      <c r="U67" s="1902">
        <v>0</v>
      </c>
      <c r="V67" s="1904">
        <v>0</v>
      </c>
      <c r="W67" s="1902">
        <f>L67+M67+N67+U67</f>
        <v>6000</v>
      </c>
      <c r="X67" s="1905">
        <v>0</v>
      </c>
      <c r="Y67" s="1906" t="s">
        <v>1381</v>
      </c>
      <c r="Z67" s="1902">
        <f>ROUND(3.25*G67,0)</f>
        <v>32474</v>
      </c>
      <c r="AA67" s="1902">
        <v>0</v>
      </c>
      <c r="AB67" s="1904">
        <v>0</v>
      </c>
      <c r="AC67" s="1904">
        <v>0</v>
      </c>
      <c r="AD67" s="1904">
        <v>0</v>
      </c>
      <c r="AE67" s="1902">
        <f>ROUND(0.75*G67,0)</f>
        <v>7494</v>
      </c>
      <c r="AF67" s="1904">
        <f>AE67</f>
        <v>7494</v>
      </c>
      <c r="AG67" s="1904">
        <v>0</v>
      </c>
      <c r="AH67" s="1904">
        <v>0</v>
      </c>
      <c r="AI67" s="1904">
        <v>0</v>
      </c>
      <c r="AJ67" s="1904">
        <v>0</v>
      </c>
      <c r="AK67" s="1904">
        <v>0</v>
      </c>
      <c r="AL67" s="1904">
        <v>0</v>
      </c>
      <c r="AM67" s="1902">
        <f>AE67+AA67+Z67</f>
        <v>39968</v>
      </c>
      <c r="AN67" s="1902">
        <f>ROUND(Z67/875,0)</f>
        <v>37</v>
      </c>
      <c r="AO67" s="1907">
        <f>ROUND(AF67/1000,0)+ROUND(AN67*0.5,0)</f>
        <v>26</v>
      </c>
      <c r="AP67" s="1907">
        <f>AO67</f>
        <v>26</v>
      </c>
      <c r="AQ67" s="1908">
        <v>80</v>
      </c>
      <c r="AR67" s="1909" t="s">
        <v>741</v>
      </c>
      <c r="AS67" s="1901" t="s">
        <v>706</v>
      </c>
      <c r="AT67" s="1910" t="s">
        <v>1291</v>
      </c>
      <c r="AU67" s="1911">
        <v>7.2</v>
      </c>
      <c r="AV67" s="1911">
        <v>7.2</v>
      </c>
      <c r="AW67" s="1911">
        <v>0</v>
      </c>
      <c r="AX67" s="1911">
        <v>0</v>
      </c>
      <c r="AY67" s="1902">
        <f>ROUND(AV67*G67,0)</f>
        <v>71942</v>
      </c>
      <c r="AZ67" s="1902">
        <f>ROUND(AX67*G67,0)</f>
        <v>0</v>
      </c>
      <c r="BA67" s="1904">
        <v>0</v>
      </c>
      <c r="BB67" s="1904">
        <v>0</v>
      </c>
      <c r="BC67" s="1904">
        <v>0</v>
      </c>
      <c r="BD67" s="1904">
        <v>0</v>
      </c>
      <c r="BE67" s="1904">
        <v>0</v>
      </c>
      <c r="BF67" s="1902">
        <f>ROUND(AW67*G67,0)</f>
        <v>0</v>
      </c>
      <c r="BG67" s="1904">
        <f>BF67</f>
        <v>0</v>
      </c>
      <c r="BH67" s="1904">
        <v>0</v>
      </c>
      <c r="BI67" s="1904">
        <v>0</v>
      </c>
      <c r="BJ67" s="1904">
        <v>0</v>
      </c>
      <c r="BK67" s="1904">
        <v>0</v>
      </c>
      <c r="BL67" s="1904">
        <v>0</v>
      </c>
      <c r="BM67" s="1902">
        <v>0</v>
      </c>
      <c r="BN67" s="1902">
        <f>ROUND(G67*AU67,0)</f>
        <v>71942</v>
      </c>
      <c r="BO67" s="1907">
        <f>ROUND(AY67/875,0)</f>
        <v>82</v>
      </c>
      <c r="BP67" s="1912">
        <f>ROUND(BO67*0.25,0)</f>
        <v>21</v>
      </c>
      <c r="BQ67" s="1912">
        <f>BO67-BP67</f>
        <v>61</v>
      </c>
      <c r="BR67" s="1912">
        <f>ROUND(BO67*0.3,0)</f>
        <v>25</v>
      </c>
      <c r="BS67" s="1912">
        <f>BO67-BR67</f>
        <v>57</v>
      </c>
      <c r="BT67" s="1907">
        <f>ROUND(IF(((0.2*BQ67)&gt;15),(0.2*BQ67),0),0)</f>
        <v>0</v>
      </c>
      <c r="BU67" s="1907">
        <f>ROUND(IF(((0.2*BS67)&gt;15),(0.2*BS67),0),0)</f>
        <v>0</v>
      </c>
      <c r="BV67" s="1907">
        <v>0</v>
      </c>
      <c r="BW67" s="1907">
        <f>BT67</f>
        <v>0</v>
      </c>
      <c r="BX67" s="1907">
        <f>BU67</f>
        <v>0</v>
      </c>
      <c r="BY67" s="1908">
        <v>145</v>
      </c>
      <c r="BZ67" s="1913">
        <f>AY67-Z67</f>
        <v>39468</v>
      </c>
      <c r="CA67" s="1902">
        <f>AZ67-AA67</f>
        <v>0</v>
      </c>
      <c r="CB67" s="1902">
        <f>BA67</f>
        <v>0</v>
      </c>
      <c r="CC67" s="1907"/>
      <c r="CD67" s="1907"/>
      <c r="CE67" s="1902">
        <f>BD67</f>
        <v>0</v>
      </c>
      <c r="CF67" s="1902">
        <f>BE67-AD67</f>
        <v>0</v>
      </c>
      <c r="CG67" s="1902">
        <f>BF67-AE67</f>
        <v>-7494</v>
      </c>
      <c r="CH67" s="1902">
        <f>BG67-AF67</f>
        <v>-7494</v>
      </c>
      <c r="CI67" s="1907"/>
      <c r="CJ67" s="1902">
        <f>BI67-AH67</f>
        <v>0</v>
      </c>
      <c r="CK67" s="1902">
        <f>-AI67</f>
        <v>0</v>
      </c>
      <c r="CL67" s="1902">
        <f>BK67-AJ67</f>
        <v>0</v>
      </c>
      <c r="CM67" s="1902">
        <f>BL67-AK67</f>
        <v>0</v>
      </c>
      <c r="CN67" s="1902">
        <f>BM67-AL67</f>
        <v>0</v>
      </c>
      <c r="CO67" s="1902">
        <f>BN67-AM67</f>
        <v>31974</v>
      </c>
      <c r="CP67" s="1905">
        <f>BO67-AN67</f>
        <v>45</v>
      </c>
    </row>
    <row r="68" spans="1:94" ht="15.75" thickBot="1">
      <c r="A68" s="1918"/>
      <c r="B68" s="1827"/>
      <c r="C68" s="1094"/>
      <c r="D68" s="1094"/>
      <c r="E68" s="1617"/>
      <c r="F68" s="1617"/>
      <c r="G68" s="1888"/>
      <c r="H68" s="2422"/>
      <c r="I68" s="2408"/>
      <c r="J68" s="2431"/>
      <c r="K68" s="1855"/>
      <c r="L68" s="2433"/>
      <c r="M68" s="2433"/>
      <c r="N68" s="2433"/>
      <c r="O68" s="1859"/>
      <c r="P68" s="1859"/>
      <c r="Q68" s="1859"/>
      <c r="R68" s="1859"/>
      <c r="S68" s="1859"/>
      <c r="T68" s="1859"/>
      <c r="U68" s="2433"/>
      <c r="V68" s="1859"/>
      <c r="W68" s="2433"/>
      <c r="X68" s="2435"/>
      <c r="Y68" s="2429"/>
      <c r="Z68" s="2433"/>
      <c r="AA68" s="2433"/>
      <c r="AB68" s="1859"/>
      <c r="AC68" s="1859"/>
      <c r="AD68" s="1859"/>
      <c r="AE68" s="2433"/>
      <c r="AF68" s="1859"/>
      <c r="AG68" s="1859"/>
      <c r="AH68" s="1859"/>
      <c r="AI68" s="1859"/>
      <c r="AJ68" s="1859"/>
      <c r="AK68" s="1859"/>
      <c r="AL68" s="1859"/>
      <c r="AM68" s="2433"/>
      <c r="AN68" s="2433"/>
      <c r="AO68" s="2431"/>
      <c r="AP68" s="2431"/>
      <c r="AQ68" s="2426"/>
      <c r="AR68" s="2422"/>
      <c r="AS68" s="2408"/>
      <c r="AT68" s="2424"/>
      <c r="AU68" s="1891"/>
      <c r="AV68" s="1891"/>
      <c r="AW68" s="1891"/>
      <c r="AX68" s="1891"/>
      <c r="AY68" s="2433"/>
      <c r="AZ68" s="2433"/>
      <c r="BA68" s="1859"/>
      <c r="BB68" s="1859"/>
      <c r="BC68" s="1859"/>
      <c r="BD68" s="1859"/>
      <c r="BE68" s="1859"/>
      <c r="BF68" s="2433"/>
      <c r="BG68" s="1859"/>
      <c r="BH68" s="1859"/>
      <c r="BI68" s="1859"/>
      <c r="BJ68" s="1859"/>
      <c r="BK68" s="1859"/>
      <c r="BL68" s="1859"/>
      <c r="BM68" s="2433"/>
      <c r="BN68" s="2433"/>
      <c r="BO68" s="2431"/>
      <c r="BP68" s="1892"/>
      <c r="BQ68" s="1892"/>
      <c r="BR68" s="1892"/>
      <c r="BS68" s="1892"/>
      <c r="BT68" s="2431"/>
      <c r="BU68" s="2431"/>
      <c r="BV68" s="2431"/>
      <c r="BW68" s="2431"/>
      <c r="BX68" s="2431"/>
      <c r="BY68" s="2426"/>
      <c r="BZ68" s="1893"/>
      <c r="CA68" s="2431"/>
      <c r="CB68" s="2431"/>
      <c r="CC68" s="2431"/>
      <c r="CD68" s="2431"/>
      <c r="CE68" s="2431"/>
      <c r="CF68" s="2431"/>
      <c r="CG68" s="2431"/>
      <c r="CH68" s="2431"/>
      <c r="CI68" s="2431"/>
      <c r="CJ68" s="2431"/>
      <c r="CK68" s="2431"/>
      <c r="CL68" s="2431"/>
      <c r="CM68" s="2431"/>
      <c r="CN68" s="2431"/>
      <c r="CO68" s="2431"/>
      <c r="CP68" s="2426"/>
    </row>
    <row r="69" spans="1:94">
      <c r="A69" s="1894" t="s">
        <v>1038</v>
      </c>
      <c r="B69" s="2558" t="str">
        <f>1&amp;"0"&amp;C69&amp;IF(LEN(SUBSTITUTE(UPPER(D69),"P/O ",""))=1,"000"&amp;SUBSTITUTE(UPPER(D69),"P/O ",""),IF(LEN(SUBSTITUTE(UPPER(D69),"P/O ",""))=2,"00"&amp;SUBSTITUTE(UPPER(D69),"P/O ",""),IF(LEN(SUBSTITUTE(UPPER(D69),"P/O ",""))=3,"0"&amp;SUBSTITUTE(UPPER(D69),"P/O ",""),SUBSTITUTE(UPPER(D69),"P/O ",""))))</f>
        <v>1022000001</v>
      </c>
      <c r="C69" s="1897">
        <v>2200</v>
      </c>
      <c r="D69" s="1897">
        <v>1</v>
      </c>
      <c r="E69" s="1898" t="s">
        <v>1543</v>
      </c>
      <c r="F69" s="1898" t="s">
        <v>1544</v>
      </c>
      <c r="G69" s="1899">
        <v>9992</v>
      </c>
      <c r="H69" s="1900" t="s">
        <v>947</v>
      </c>
      <c r="I69" s="1901"/>
      <c r="J69" s="1902" t="s">
        <v>1288</v>
      </c>
      <c r="K69" s="1903">
        <f>W69/G69</f>
        <v>3</v>
      </c>
      <c r="L69" s="1902">
        <v>0</v>
      </c>
      <c r="M69" s="1902">
        <v>0</v>
      </c>
      <c r="N69" s="1902">
        <f>O69+P69+Q69+R69+S69+T69</f>
        <v>29976</v>
      </c>
      <c r="O69" s="1904">
        <v>5000</v>
      </c>
      <c r="P69" s="1904">
        <v>0</v>
      </c>
      <c r="Q69" s="1904">
        <v>0</v>
      </c>
      <c r="R69" s="1904">
        <v>24976</v>
      </c>
      <c r="S69" s="1904">
        <v>0</v>
      </c>
      <c r="T69" s="1904">
        <v>0</v>
      </c>
      <c r="U69" s="1902">
        <v>0</v>
      </c>
      <c r="V69" s="1904">
        <v>0</v>
      </c>
      <c r="W69" s="1902">
        <f>L69+M69+N69+U69</f>
        <v>29976</v>
      </c>
      <c r="X69" s="1905">
        <v>0</v>
      </c>
      <c r="Y69" s="1906" t="s">
        <v>1023</v>
      </c>
      <c r="Z69" s="1902">
        <f>L69</f>
        <v>0</v>
      </c>
      <c r="AA69" s="1902">
        <f>M69</f>
        <v>0</v>
      </c>
      <c r="AB69" s="1904">
        <v>0</v>
      </c>
      <c r="AC69" s="1904">
        <v>0</v>
      </c>
      <c r="AD69" s="1904">
        <v>0</v>
      </c>
      <c r="AE69" s="1902">
        <f>N69</f>
        <v>29976</v>
      </c>
      <c r="AF69" s="1904">
        <f>O69</f>
        <v>5000</v>
      </c>
      <c r="AG69" s="1904">
        <v>0</v>
      </c>
      <c r="AH69" s="1904">
        <f>P69</f>
        <v>0</v>
      </c>
      <c r="AI69" s="1904">
        <v>0</v>
      </c>
      <c r="AJ69" s="1904">
        <f>R69</f>
        <v>24976</v>
      </c>
      <c r="AK69" s="1904">
        <f>T69</f>
        <v>0</v>
      </c>
      <c r="AL69" s="1904">
        <f>U69</f>
        <v>0</v>
      </c>
      <c r="AM69" s="1902">
        <f>W69</f>
        <v>29976</v>
      </c>
      <c r="AN69" s="1902">
        <v>0</v>
      </c>
      <c r="AO69" s="1907">
        <v>0</v>
      </c>
      <c r="AP69" s="1907">
        <v>0</v>
      </c>
      <c r="AQ69" s="1908">
        <v>26</v>
      </c>
      <c r="AR69" s="1909" t="s">
        <v>741</v>
      </c>
      <c r="AS69" s="1901" t="s">
        <v>706</v>
      </c>
      <c r="AT69" s="1910"/>
      <c r="AU69" s="1911">
        <v>7.2</v>
      </c>
      <c r="AV69" s="1911">
        <v>7.2</v>
      </c>
      <c r="AW69" s="1911">
        <v>0</v>
      </c>
      <c r="AX69" s="1911">
        <v>0</v>
      </c>
      <c r="AY69" s="1902">
        <f>ROUND(AV69*G69,0)</f>
        <v>71942</v>
      </c>
      <c r="AZ69" s="1902">
        <f>ROUND(AX69*G69,0)</f>
        <v>0</v>
      </c>
      <c r="BA69" s="1904">
        <v>0</v>
      </c>
      <c r="BB69" s="1904">
        <v>0</v>
      </c>
      <c r="BC69" s="1904">
        <v>0</v>
      </c>
      <c r="BD69" s="1904">
        <v>0</v>
      </c>
      <c r="BE69" s="1904">
        <v>0</v>
      </c>
      <c r="BF69" s="1902">
        <f>ROUND(AW69*G69,0)</f>
        <v>0</v>
      </c>
      <c r="BG69" s="1904">
        <f>BF69</f>
        <v>0</v>
      </c>
      <c r="BH69" s="1904">
        <v>0</v>
      </c>
      <c r="BI69" s="1904">
        <v>0</v>
      </c>
      <c r="BJ69" s="1904">
        <v>0</v>
      </c>
      <c r="BK69" s="1904">
        <v>0</v>
      </c>
      <c r="BL69" s="1904">
        <v>0</v>
      </c>
      <c r="BM69" s="1902">
        <v>0</v>
      </c>
      <c r="BN69" s="1902">
        <f>ROUND(G69*AU69,0)</f>
        <v>71942</v>
      </c>
      <c r="BO69" s="1907">
        <f>ROUND(AY69/875,0)</f>
        <v>82</v>
      </c>
      <c r="BP69" s="1912">
        <f>ROUND(BO69*0.25,0)</f>
        <v>21</v>
      </c>
      <c r="BQ69" s="1912">
        <f>BO69-BP69</f>
        <v>61</v>
      </c>
      <c r="BR69" s="1912">
        <f>ROUND(BO69*0.3,0)</f>
        <v>25</v>
      </c>
      <c r="BS69" s="1912">
        <f>BO69-BR69</f>
        <v>57</v>
      </c>
      <c r="BT69" s="1907">
        <f>ROUND(IF(((0.2*BQ69)&gt;15),(0.2*BQ69),0),0)</f>
        <v>0</v>
      </c>
      <c r="BU69" s="1907">
        <f>ROUND(IF(((0.2*BS69)&gt;15),(0.2*BS69),0),0)</f>
        <v>0</v>
      </c>
      <c r="BV69" s="1907">
        <v>0</v>
      </c>
      <c r="BW69" s="1907">
        <f>BT69</f>
        <v>0</v>
      </c>
      <c r="BX69" s="1907">
        <f>BU69</f>
        <v>0</v>
      </c>
      <c r="BY69" s="1908">
        <v>145</v>
      </c>
      <c r="BZ69" s="1913">
        <f>AY69-Z69</f>
        <v>71942</v>
      </c>
      <c r="CA69" s="1902">
        <f>AZ69-AA69</f>
        <v>0</v>
      </c>
      <c r="CB69" s="1902">
        <f>BA69</f>
        <v>0</v>
      </c>
      <c r="CC69" s="1907"/>
      <c r="CD69" s="1907"/>
      <c r="CE69" s="1902">
        <f>BD69</f>
        <v>0</v>
      </c>
      <c r="CF69" s="1902">
        <f>BE69-AD69</f>
        <v>0</v>
      </c>
      <c r="CG69" s="1902">
        <f>BF69-AE69</f>
        <v>-29976</v>
      </c>
      <c r="CH69" s="1902">
        <f>BG69-AF69</f>
        <v>-5000</v>
      </c>
      <c r="CI69" s="1907"/>
      <c r="CJ69" s="1902">
        <f>BI69-AH69</f>
        <v>0</v>
      </c>
      <c r="CK69" s="1902">
        <f>-AI69</f>
        <v>0</v>
      </c>
      <c r="CL69" s="1902">
        <f>BK69-AJ69</f>
        <v>-24976</v>
      </c>
      <c r="CM69" s="1902">
        <f>BL69-AK69</f>
        <v>0</v>
      </c>
      <c r="CN69" s="1902">
        <f>BM69-AL69</f>
        <v>0</v>
      </c>
      <c r="CO69" s="1902">
        <f>BN69-AM69</f>
        <v>41966</v>
      </c>
      <c r="CP69" s="1905">
        <f>BO69-AN69</f>
        <v>82</v>
      </c>
    </row>
    <row r="70" spans="1:94" ht="15.75" thickBot="1">
      <c r="A70" s="1918"/>
      <c r="B70" s="1827"/>
      <c r="C70" s="1094"/>
      <c r="D70" s="1094"/>
      <c r="E70" s="1617"/>
      <c r="F70" s="1617"/>
      <c r="G70" s="1888"/>
      <c r="H70" s="2422"/>
      <c r="I70" s="2408"/>
      <c r="J70" s="2431"/>
      <c r="K70" s="1855"/>
      <c r="L70" s="2433"/>
      <c r="M70" s="2433"/>
      <c r="N70" s="2433"/>
      <c r="O70" s="1859"/>
      <c r="P70" s="1859"/>
      <c r="Q70" s="1859"/>
      <c r="R70" s="1859"/>
      <c r="S70" s="1859"/>
      <c r="T70" s="1859"/>
      <c r="U70" s="2433"/>
      <c r="V70" s="1859"/>
      <c r="W70" s="2433"/>
      <c r="X70" s="2435"/>
      <c r="Y70" s="2429"/>
      <c r="Z70" s="2433"/>
      <c r="AA70" s="2433"/>
      <c r="AB70" s="1859"/>
      <c r="AC70" s="1859"/>
      <c r="AD70" s="1859"/>
      <c r="AE70" s="2433"/>
      <c r="AF70" s="1859"/>
      <c r="AG70" s="1859"/>
      <c r="AH70" s="1859"/>
      <c r="AI70" s="1859"/>
      <c r="AJ70" s="1859"/>
      <c r="AK70" s="1859"/>
      <c r="AL70" s="1859"/>
      <c r="AM70" s="2433"/>
      <c r="AN70" s="2433"/>
      <c r="AO70" s="2431"/>
      <c r="AP70" s="2431"/>
      <c r="AQ70" s="2426"/>
      <c r="AR70" s="2422"/>
      <c r="AS70" s="2408"/>
      <c r="AT70" s="2424"/>
      <c r="AU70" s="1891"/>
      <c r="AV70" s="1891"/>
      <c r="AW70" s="1891"/>
      <c r="AX70" s="1891"/>
      <c r="AY70" s="2433"/>
      <c r="AZ70" s="2433"/>
      <c r="BA70" s="1859"/>
      <c r="BB70" s="1859"/>
      <c r="BC70" s="1859"/>
      <c r="BD70" s="1859"/>
      <c r="BE70" s="1859"/>
      <c r="BF70" s="2433"/>
      <c r="BG70" s="1859"/>
      <c r="BH70" s="1859"/>
      <c r="BI70" s="1859"/>
      <c r="BJ70" s="1859"/>
      <c r="BK70" s="1859"/>
      <c r="BL70" s="1859"/>
      <c r="BM70" s="2433"/>
      <c r="BN70" s="2433"/>
      <c r="BO70" s="2431"/>
      <c r="BP70" s="1892"/>
      <c r="BQ70" s="1892"/>
      <c r="BR70" s="1892"/>
      <c r="BS70" s="1892"/>
      <c r="BT70" s="2431"/>
      <c r="BU70" s="2431"/>
      <c r="BV70" s="2431"/>
      <c r="BW70" s="2431"/>
      <c r="BX70" s="2431"/>
      <c r="BY70" s="2426"/>
      <c r="BZ70" s="1893"/>
      <c r="CA70" s="2431"/>
      <c r="CB70" s="2431"/>
      <c r="CC70" s="2431"/>
      <c r="CD70" s="2431"/>
      <c r="CE70" s="2431"/>
      <c r="CF70" s="2431"/>
      <c r="CG70" s="2431"/>
      <c r="CH70" s="2431"/>
      <c r="CI70" s="2431"/>
      <c r="CJ70" s="2431"/>
      <c r="CK70" s="2431"/>
      <c r="CL70" s="2431"/>
      <c r="CM70" s="2431"/>
      <c r="CN70" s="2431"/>
      <c r="CO70" s="2431"/>
      <c r="CP70" s="2426"/>
    </row>
    <row r="71" spans="1:94">
      <c r="A71" s="1894" t="s">
        <v>1209</v>
      </c>
      <c r="B71" s="2558" t="str">
        <f>1&amp;"0"&amp;C71&amp;IF(LEN(SUBSTITUTE(UPPER(D71),"P/O ",""))=1,"000"&amp;SUBSTITUTE(UPPER(D71),"P/O ",""),IF(LEN(SUBSTITUTE(UPPER(D71),"P/O ",""))=2,"00"&amp;SUBSTITUTE(UPPER(D71),"P/O ",""),IF(LEN(SUBSTITUTE(UPPER(D71),"P/O ",""))=3,"0"&amp;SUBSTITUTE(UPPER(D71),"P/O ",""),SUBSTITUTE(UPPER(D71),"P/O ",""))))</f>
        <v>1022000035</v>
      </c>
      <c r="C71" s="1897">
        <v>2200</v>
      </c>
      <c r="D71" s="1897">
        <v>35</v>
      </c>
      <c r="E71" s="1898" t="s">
        <v>1545</v>
      </c>
      <c r="F71" s="1898" t="s">
        <v>1546</v>
      </c>
      <c r="G71" s="1899">
        <v>19983</v>
      </c>
      <c r="H71" s="1900" t="s">
        <v>947</v>
      </c>
      <c r="I71" s="1901"/>
      <c r="J71" s="1902" t="s">
        <v>1542</v>
      </c>
      <c r="K71" s="1903">
        <f>W71/G71</f>
        <v>1</v>
      </c>
      <c r="L71" s="1902">
        <v>0</v>
      </c>
      <c r="M71" s="1902">
        <v>0</v>
      </c>
      <c r="N71" s="1902">
        <f>O71+P71+Q71+R71+S71+T71</f>
        <v>19983</v>
      </c>
      <c r="O71" s="1904">
        <v>0</v>
      </c>
      <c r="P71" s="1904">
        <v>0</v>
      </c>
      <c r="Q71" s="1904">
        <v>0</v>
      </c>
      <c r="R71" s="1904">
        <v>0</v>
      </c>
      <c r="S71" s="1904">
        <v>0</v>
      </c>
      <c r="T71" s="1904">
        <v>19983</v>
      </c>
      <c r="U71" s="1902">
        <v>0</v>
      </c>
      <c r="V71" s="1904">
        <v>0</v>
      </c>
      <c r="W71" s="1902">
        <f>L71+M71+N71+U71</f>
        <v>19983</v>
      </c>
      <c r="X71" s="1905">
        <v>0</v>
      </c>
      <c r="Y71" s="1906" t="s">
        <v>1023</v>
      </c>
      <c r="Z71" s="1902">
        <f>L71</f>
        <v>0</v>
      </c>
      <c r="AA71" s="1902">
        <f>M71</f>
        <v>0</v>
      </c>
      <c r="AB71" s="1904">
        <v>0</v>
      </c>
      <c r="AC71" s="1904">
        <v>0</v>
      </c>
      <c r="AD71" s="1904">
        <v>0</v>
      </c>
      <c r="AE71" s="1902">
        <f>N71</f>
        <v>19983</v>
      </c>
      <c r="AF71" s="1904">
        <f>O71</f>
        <v>0</v>
      </c>
      <c r="AG71" s="1904">
        <v>0</v>
      </c>
      <c r="AH71" s="1904">
        <f>P71</f>
        <v>0</v>
      </c>
      <c r="AI71" s="1904">
        <v>0</v>
      </c>
      <c r="AJ71" s="1904">
        <f>R71</f>
        <v>0</v>
      </c>
      <c r="AK71" s="1904">
        <f>T71</f>
        <v>19983</v>
      </c>
      <c r="AL71" s="1904">
        <f>U71</f>
        <v>0</v>
      </c>
      <c r="AM71" s="1902">
        <f>W71</f>
        <v>19983</v>
      </c>
      <c r="AN71" s="1902">
        <v>0</v>
      </c>
      <c r="AO71" s="1907">
        <v>0</v>
      </c>
      <c r="AP71" s="1907">
        <v>0</v>
      </c>
      <c r="AQ71" s="1908">
        <v>20</v>
      </c>
      <c r="AR71" s="1909" t="s">
        <v>705</v>
      </c>
      <c r="AS71" s="1901"/>
      <c r="AT71" s="1925" t="s">
        <v>1547</v>
      </c>
      <c r="AU71" s="1926">
        <v>4.5999999999999996</v>
      </c>
      <c r="AV71" s="1926">
        <v>4.5999999999999996</v>
      </c>
      <c r="AW71" s="1926">
        <v>0</v>
      </c>
      <c r="AX71" s="1926">
        <v>0</v>
      </c>
      <c r="AY71" s="1927">
        <f>ROUND(AV71*G71,0)</f>
        <v>91922</v>
      </c>
      <c r="AZ71" s="1928">
        <f>ROUND(AX71*G71,0)</f>
        <v>0</v>
      </c>
      <c r="BA71" s="1928">
        <v>0</v>
      </c>
      <c r="BB71" s="1928">
        <v>0</v>
      </c>
      <c r="BC71" s="1928">
        <v>0</v>
      </c>
      <c r="BD71" s="1928">
        <v>0</v>
      </c>
      <c r="BE71" s="1928">
        <v>0</v>
      </c>
      <c r="BF71" s="1928">
        <f>ROUND(AW71*G71,0)</f>
        <v>0</v>
      </c>
      <c r="BG71" s="1928">
        <f>BF71</f>
        <v>0</v>
      </c>
      <c r="BH71" s="1928">
        <v>0</v>
      </c>
      <c r="BI71" s="1928">
        <v>0</v>
      </c>
      <c r="BJ71" s="1928">
        <v>0</v>
      </c>
      <c r="BK71" s="1928">
        <v>0</v>
      </c>
      <c r="BL71" s="1928">
        <v>0</v>
      </c>
      <c r="BM71" s="1928">
        <v>0</v>
      </c>
      <c r="BN71" s="1927">
        <f>ROUND(G71*AU71,0)</f>
        <v>91922</v>
      </c>
      <c r="BO71" s="1928">
        <f>ROUND(AY71/875,0)</f>
        <v>105</v>
      </c>
      <c r="BP71" s="1928">
        <f>ROUND(BO71*0.25,0)</f>
        <v>26</v>
      </c>
      <c r="BQ71" s="1928">
        <f>BO71-BP71</f>
        <v>79</v>
      </c>
      <c r="BR71" s="1928">
        <f>ROUND(BO71*0.3,0)</f>
        <v>32</v>
      </c>
      <c r="BS71" s="1928">
        <f>BO71-BR71</f>
        <v>73</v>
      </c>
      <c r="BT71" s="1928">
        <f>ROUND(IF(((0.2*BQ71)&gt;15),(0.2*BQ71),0),0)</f>
        <v>16</v>
      </c>
      <c r="BU71" s="1928">
        <f>ROUND(IF(((0.2*BS71)&gt;15),(0.2*BS71),0),0)</f>
        <v>0</v>
      </c>
      <c r="BV71" s="1928">
        <v>0</v>
      </c>
      <c r="BW71" s="1928">
        <f>BT71</f>
        <v>16</v>
      </c>
      <c r="BX71" s="1928">
        <f>BU71</f>
        <v>0</v>
      </c>
      <c r="BY71" s="1929">
        <v>95</v>
      </c>
      <c r="BZ71" s="1913">
        <f>AY71-Z71</f>
        <v>91922</v>
      </c>
      <c r="CA71" s="1902">
        <f>AZ71-AA71</f>
        <v>0</v>
      </c>
      <c r="CB71" s="1902">
        <f>BA71</f>
        <v>0</v>
      </c>
      <c r="CC71" s="1907"/>
      <c r="CD71" s="1907"/>
      <c r="CE71" s="1902">
        <f>BD71</f>
        <v>0</v>
      </c>
      <c r="CF71" s="1902">
        <f>BE71-AD71</f>
        <v>0</v>
      </c>
      <c r="CG71" s="1902">
        <f>BF71-AE71</f>
        <v>-19983</v>
      </c>
      <c r="CH71" s="1902">
        <f>BG71-AF71</f>
        <v>0</v>
      </c>
      <c r="CI71" s="1907"/>
      <c r="CJ71" s="1902">
        <f>BI71-AH71</f>
        <v>0</v>
      </c>
      <c r="CK71" s="1902">
        <f>-AI71</f>
        <v>0</v>
      </c>
      <c r="CL71" s="1902">
        <f>BK71-AJ71</f>
        <v>0</v>
      </c>
      <c r="CM71" s="1902">
        <f>BL71-AK71</f>
        <v>-19983</v>
      </c>
      <c r="CN71" s="1902">
        <f>BM71-AL71</f>
        <v>0</v>
      </c>
      <c r="CO71" s="1902">
        <f>BN71-AM71</f>
        <v>71939</v>
      </c>
      <c r="CP71" s="1905">
        <f>BO71-AN71</f>
        <v>105</v>
      </c>
    </row>
    <row r="72" spans="1:94">
      <c r="A72" s="1930"/>
      <c r="B72" s="1827"/>
      <c r="C72" s="1094"/>
      <c r="D72" s="1094"/>
      <c r="E72" s="1617"/>
      <c r="F72" s="1617"/>
      <c r="G72" s="1888"/>
      <c r="H72" s="2427"/>
      <c r="I72" s="1094"/>
      <c r="J72" s="1617"/>
      <c r="K72" s="1618"/>
      <c r="L72" s="1619"/>
      <c r="M72" s="1619"/>
      <c r="N72" s="1619"/>
      <c r="O72" s="1619"/>
      <c r="P72" s="1619"/>
      <c r="Q72" s="1619"/>
      <c r="R72" s="1619"/>
      <c r="S72" s="1619"/>
      <c r="T72" s="1619"/>
      <c r="U72" s="1616"/>
      <c r="V72" s="1619"/>
      <c r="W72" s="1619"/>
      <c r="X72" s="1931"/>
      <c r="Y72" s="1930"/>
      <c r="Z72" s="1616"/>
      <c r="AA72" s="1616"/>
      <c r="AB72" s="1619"/>
      <c r="AC72" s="1619"/>
      <c r="AD72" s="1619"/>
      <c r="AE72" s="1616"/>
      <c r="AF72" s="1619"/>
      <c r="AG72" s="1619"/>
      <c r="AH72" s="1619"/>
      <c r="AI72" s="1619"/>
      <c r="AJ72" s="1619"/>
      <c r="AK72" s="1619"/>
      <c r="AL72" s="1619"/>
      <c r="AM72" s="1616"/>
      <c r="AN72" s="1616"/>
      <c r="AO72" s="1617"/>
      <c r="AP72" s="1617"/>
      <c r="AQ72" s="1932"/>
      <c r="AR72" s="2427"/>
      <c r="AS72" s="1094"/>
      <c r="AT72" s="1828"/>
      <c r="AU72" s="1829"/>
      <c r="AV72" s="1829"/>
      <c r="AW72" s="1829"/>
      <c r="AX72" s="1829"/>
      <c r="AY72" s="1616"/>
      <c r="AZ72" s="1616"/>
      <c r="BA72" s="1619"/>
      <c r="BB72" s="1619"/>
      <c r="BC72" s="1619"/>
      <c r="BD72" s="1619"/>
      <c r="BE72" s="1619"/>
      <c r="BF72" s="1616"/>
      <c r="BG72" s="1619"/>
      <c r="BH72" s="1619"/>
      <c r="BI72" s="1619"/>
      <c r="BJ72" s="1619"/>
      <c r="BK72" s="1619"/>
      <c r="BL72" s="1619"/>
      <c r="BM72" s="1616"/>
      <c r="BN72" s="1616"/>
      <c r="BO72" s="1617"/>
      <c r="BP72" s="1830"/>
      <c r="BQ72" s="1830"/>
      <c r="BR72" s="1830"/>
      <c r="BS72" s="1830"/>
      <c r="BT72" s="1617"/>
      <c r="BU72" s="1617"/>
      <c r="BV72" s="1617"/>
      <c r="BW72" s="1617"/>
      <c r="BX72" s="1617"/>
      <c r="BY72" s="1932"/>
      <c r="BZ72" s="1933"/>
      <c r="CA72" s="1617"/>
      <c r="CB72" s="1617"/>
      <c r="CC72" s="1617"/>
      <c r="CD72" s="1617"/>
      <c r="CE72" s="1617"/>
      <c r="CF72" s="1617"/>
      <c r="CG72" s="1617"/>
      <c r="CH72" s="1617"/>
      <c r="CI72" s="1617"/>
      <c r="CJ72" s="1617"/>
      <c r="CK72" s="1617"/>
      <c r="CL72" s="1617"/>
      <c r="CM72" s="1617"/>
      <c r="CN72" s="1617"/>
      <c r="CO72" s="1617"/>
      <c r="CP72" s="1932"/>
    </row>
    <row r="73" spans="1:94" ht="15.75" thickBot="1">
      <c r="A73" s="1934"/>
      <c r="B73" s="2571"/>
      <c r="C73" s="1935"/>
      <c r="D73" s="1935"/>
      <c r="E73" s="1936"/>
      <c r="F73" s="1936"/>
      <c r="G73" s="1937"/>
      <c r="H73" s="1938" t="s">
        <v>1425</v>
      </c>
      <c r="I73" s="1935"/>
      <c r="J73" s="1936"/>
      <c r="K73" s="1939"/>
      <c r="L73" s="1940"/>
      <c r="M73" s="1940"/>
      <c r="N73" s="1940"/>
      <c r="O73" s="1940"/>
      <c r="P73" s="1940"/>
      <c r="Q73" s="1940"/>
      <c r="R73" s="1940"/>
      <c r="S73" s="1940"/>
      <c r="T73" s="1940"/>
      <c r="U73" s="1620"/>
      <c r="V73" s="1940"/>
      <c r="W73" s="1940"/>
      <c r="X73" s="1941"/>
      <c r="Y73" s="1934"/>
      <c r="Z73" s="1620"/>
      <c r="AA73" s="1620"/>
      <c r="AB73" s="1940"/>
      <c r="AC73" s="1940"/>
      <c r="AD73" s="1940"/>
      <c r="AE73" s="1620"/>
      <c r="AF73" s="1940"/>
      <c r="AG73" s="1940"/>
      <c r="AH73" s="1940"/>
      <c r="AI73" s="1940"/>
      <c r="AJ73" s="1940"/>
      <c r="AK73" s="1940"/>
      <c r="AL73" s="1940"/>
      <c r="AM73" s="1620"/>
      <c r="AN73" s="1620"/>
      <c r="AO73" s="1936"/>
      <c r="AP73" s="1936"/>
      <c r="AQ73" s="1942"/>
      <c r="AR73" s="1938" t="s">
        <v>1425</v>
      </c>
      <c r="AS73" s="1935"/>
      <c r="AT73" s="1943"/>
      <c r="AU73" s="1944"/>
      <c r="AV73" s="1944"/>
      <c r="AW73" s="1944"/>
      <c r="AX73" s="1944"/>
      <c r="AY73" s="1620"/>
      <c r="AZ73" s="1620"/>
      <c r="BA73" s="1940"/>
      <c r="BB73" s="1940"/>
      <c r="BC73" s="1940"/>
      <c r="BD73" s="1940"/>
      <c r="BE73" s="1940"/>
      <c r="BF73" s="1620"/>
      <c r="BG73" s="1940"/>
      <c r="BH73" s="1940"/>
      <c r="BI73" s="1940"/>
      <c r="BJ73" s="1940"/>
      <c r="BK73" s="1940"/>
      <c r="BL73" s="1940"/>
      <c r="BM73" s="1620"/>
      <c r="BN73" s="1620"/>
      <c r="BO73" s="1936"/>
      <c r="BP73" s="1945"/>
      <c r="BQ73" s="1945"/>
      <c r="BR73" s="1945"/>
      <c r="BS73" s="1945"/>
      <c r="BT73" s="1936"/>
      <c r="BU73" s="1936"/>
      <c r="BV73" s="1936"/>
      <c r="BW73" s="1936"/>
      <c r="BX73" s="1936"/>
      <c r="BY73" s="1942"/>
      <c r="BZ73" s="1946"/>
      <c r="CA73" s="1936"/>
      <c r="CB73" s="1936"/>
      <c r="CC73" s="1936"/>
      <c r="CD73" s="1936"/>
      <c r="CE73" s="1936"/>
      <c r="CF73" s="1936"/>
      <c r="CG73" s="1936"/>
      <c r="CH73" s="1936"/>
      <c r="CI73" s="1936"/>
      <c r="CJ73" s="1936"/>
      <c r="CK73" s="1936"/>
      <c r="CL73" s="1936"/>
      <c r="CM73" s="1936"/>
      <c r="CN73" s="1936"/>
      <c r="CO73" s="1936"/>
      <c r="CP73" s="1942"/>
    </row>
    <row r="74" spans="1:94">
      <c r="A74" s="1947"/>
      <c r="B74" s="1947"/>
      <c r="C74" s="1948"/>
      <c r="D74" s="1948"/>
      <c r="E74" s="1949"/>
      <c r="F74" s="1949"/>
      <c r="G74" s="1950"/>
      <c r="H74" s="1951"/>
      <c r="I74" s="1948"/>
      <c r="J74" s="1949"/>
      <c r="K74" s="1952"/>
      <c r="L74" s="1953"/>
      <c r="M74" s="1953"/>
      <c r="N74" s="1953"/>
      <c r="O74" s="1954"/>
      <c r="P74" s="1954"/>
      <c r="Q74" s="1954"/>
      <c r="R74" s="1954"/>
      <c r="S74" s="1954"/>
      <c r="T74" s="1954"/>
      <c r="U74" s="1953"/>
      <c r="V74" s="1954"/>
      <c r="W74" s="1953"/>
      <c r="X74" s="1953"/>
      <c r="Y74" s="1947"/>
      <c r="Z74" s="1953"/>
      <c r="AA74" s="1953"/>
      <c r="AB74" s="1954"/>
      <c r="AC74" s="1954"/>
      <c r="AD74" s="1954"/>
      <c r="AE74" s="1953"/>
      <c r="AF74" s="1954"/>
      <c r="AG74" s="1954"/>
      <c r="AH74" s="1954"/>
      <c r="AI74" s="1954"/>
      <c r="AJ74" s="1954"/>
      <c r="AK74" s="1954"/>
      <c r="AL74" s="1954"/>
      <c r="AM74" s="1953"/>
      <c r="AN74" s="1953"/>
      <c r="AO74" s="1949"/>
      <c r="AP74" s="1949"/>
      <c r="AQ74" s="1949"/>
      <c r="AR74" s="1951"/>
      <c r="AS74" s="1948"/>
      <c r="AT74" s="1955"/>
      <c r="AU74" s="1956"/>
      <c r="AV74" s="1956"/>
      <c r="AW74" s="1956"/>
      <c r="AX74" s="1956"/>
      <c r="AY74" s="1953"/>
      <c r="AZ74" s="1953"/>
      <c r="BA74" s="1954"/>
      <c r="BB74" s="1954"/>
      <c r="BC74" s="1954"/>
      <c r="BD74" s="1954"/>
      <c r="BE74" s="1954"/>
      <c r="BF74" s="1953"/>
      <c r="BG74" s="1954"/>
      <c r="BH74" s="1954"/>
      <c r="BI74" s="1954"/>
      <c r="BJ74" s="1954"/>
      <c r="BK74" s="1954"/>
      <c r="BL74" s="1954"/>
      <c r="BM74" s="1953"/>
      <c r="BN74" s="1953"/>
      <c r="BO74" s="1949"/>
      <c r="BP74" s="1957"/>
      <c r="BQ74" s="1957"/>
      <c r="BR74" s="1957"/>
      <c r="BS74" s="1957"/>
      <c r="BT74" s="1949"/>
      <c r="BU74" s="1949"/>
      <c r="BV74" s="1949"/>
      <c r="BW74" s="1949"/>
      <c r="BX74" s="1949"/>
      <c r="BY74" s="1949"/>
      <c r="BZ74" s="1958"/>
      <c r="CA74" s="1949"/>
      <c r="CB74" s="1949"/>
      <c r="CC74" s="1949"/>
      <c r="CD74" s="1949"/>
      <c r="CE74" s="1949"/>
      <c r="CF74" s="1949"/>
      <c r="CG74" s="1949"/>
      <c r="CH74" s="1949"/>
      <c r="CI74" s="1949"/>
      <c r="CJ74" s="1949"/>
      <c r="CK74" s="1949"/>
      <c r="CL74" s="1949"/>
      <c r="CM74" s="1949"/>
      <c r="CN74" s="1949"/>
      <c r="CO74" s="1949"/>
      <c r="CP74" s="1949"/>
    </row>
    <row r="75" spans="1:94">
      <c r="A75" s="1623"/>
      <c r="B75" s="1623"/>
      <c r="C75" s="1613"/>
      <c r="D75" s="1613"/>
      <c r="E75" s="1615"/>
      <c r="F75" s="1615"/>
      <c r="G75" s="1959"/>
      <c r="H75" s="1960"/>
      <c r="I75" s="1613"/>
      <c r="J75" s="1615"/>
      <c r="K75" s="1627"/>
      <c r="L75" s="1624"/>
      <c r="M75" s="1624"/>
      <c r="N75" s="1624"/>
      <c r="O75" s="1625"/>
      <c r="P75" s="1625"/>
      <c r="Q75" s="1625"/>
      <c r="R75" s="1625"/>
      <c r="S75" s="1625"/>
      <c r="T75" s="1625"/>
      <c r="U75" s="1624"/>
      <c r="V75" s="1625"/>
      <c r="W75" s="1624"/>
      <c r="X75" s="1624"/>
      <c r="Y75" s="1961"/>
      <c r="Z75" s="1624"/>
      <c r="AA75" s="1624"/>
      <c r="AB75" s="1625"/>
      <c r="AC75" s="1625"/>
      <c r="AD75" s="1625"/>
      <c r="AE75" s="1624"/>
      <c r="AF75" s="1625"/>
      <c r="AG75" s="1625"/>
      <c r="AH75" s="1625"/>
      <c r="AI75" s="1625"/>
      <c r="AJ75" s="1625"/>
      <c r="AK75" s="1625"/>
      <c r="AL75" s="1625"/>
      <c r="AM75" s="1624"/>
      <c r="AN75" s="1624"/>
      <c r="AO75" s="1615"/>
      <c r="AP75" s="1615"/>
      <c r="AQ75" s="1615"/>
      <c r="AR75" s="1960"/>
      <c r="AS75" s="1613"/>
      <c r="AT75" s="1962"/>
      <c r="AU75" s="1626"/>
      <c r="AV75" s="1626"/>
      <c r="AW75" s="1626"/>
      <c r="AX75" s="1626"/>
      <c r="AY75" s="1624"/>
      <c r="AZ75" s="1624"/>
      <c r="BA75" s="1625"/>
      <c r="BB75" s="1625"/>
      <c r="BC75" s="1625"/>
      <c r="BD75" s="1625"/>
      <c r="BE75" s="1625"/>
      <c r="BF75" s="1624"/>
      <c r="BG75" s="1625"/>
      <c r="BH75" s="1625"/>
      <c r="BI75" s="1625"/>
      <c r="BJ75" s="1625"/>
      <c r="BK75" s="1625"/>
      <c r="BL75" s="1625"/>
      <c r="BM75" s="1624"/>
      <c r="BN75" s="1624"/>
      <c r="BO75" s="1615"/>
      <c r="BP75" s="1963"/>
      <c r="BQ75" s="1963"/>
      <c r="BR75" s="1963"/>
      <c r="BS75" s="1963"/>
      <c r="BT75" s="1615"/>
      <c r="BU75" s="1615"/>
      <c r="BV75" s="1615"/>
      <c r="BW75" s="1615"/>
      <c r="BX75" s="1615"/>
      <c r="BY75" s="1615"/>
      <c r="BZ75" s="664"/>
      <c r="CA75" s="1615"/>
      <c r="CB75" s="1615"/>
      <c r="CC75" s="1615"/>
      <c r="CD75" s="1615"/>
      <c r="CE75" s="1615"/>
      <c r="CF75" s="1615"/>
      <c r="CG75" s="1615"/>
      <c r="CH75" s="1624"/>
      <c r="CI75" s="1624"/>
      <c r="CJ75" s="1624"/>
      <c r="CK75" s="1615"/>
      <c r="CL75" s="1615"/>
      <c r="CM75" s="1615"/>
      <c r="CN75" s="1615"/>
      <c r="CO75" s="1615"/>
      <c r="CP75" s="1615"/>
    </row>
    <row r="76" spans="1:94">
      <c r="K76" s="1970" t="s">
        <v>1548</v>
      </c>
      <c r="L76" s="1971">
        <f>L71+L69+L67+L65+L63+L59+L57+L52+L50+L48+L46+L44+L38+L34+L27+L25+L21+L16+L11+L6</f>
        <v>0</v>
      </c>
      <c r="M76" s="1971">
        <f>M71+M69+M67+M65+M63+M59+M57+M52+M50+M48+M46+M44+M38+M34+M27+M25+M21+M16+M11+M6</f>
        <v>29334</v>
      </c>
      <c r="N76" s="1971">
        <f t="shared" ref="N76:X76" si="33">N71+N69+N67+N65+N63+N59+N57+N52+N50+N48+N46+N44+N38+N34+N27+N25+N21+N16+N11+N6</f>
        <v>276703</v>
      </c>
      <c r="O76" s="1971">
        <f t="shared" si="33"/>
        <v>76806</v>
      </c>
      <c r="P76" s="1971">
        <f t="shared" si="33"/>
        <v>20286</v>
      </c>
      <c r="Q76" s="1971">
        <f t="shared" si="33"/>
        <v>42247</v>
      </c>
      <c r="R76" s="1971">
        <f t="shared" si="33"/>
        <v>42631</v>
      </c>
      <c r="S76" s="1971">
        <f t="shared" si="33"/>
        <v>0</v>
      </c>
      <c r="T76" s="1971">
        <f t="shared" si="33"/>
        <v>94733</v>
      </c>
      <c r="U76" s="1971">
        <f t="shared" si="33"/>
        <v>0</v>
      </c>
      <c r="V76" s="1971">
        <f t="shared" si="33"/>
        <v>0</v>
      </c>
      <c r="W76" s="1971">
        <f t="shared" si="33"/>
        <v>306037</v>
      </c>
      <c r="X76" s="1971">
        <f t="shared" si="33"/>
        <v>0</v>
      </c>
      <c r="Z76" s="1973">
        <f>Z71+Z69+Z67+Z65+Z63+Z59+Z54+Z52+Z50+Z48+Z46+Z40+Z36+Z29+Z27+Z23+Z18+Z13+Z8+Z4</f>
        <v>140975</v>
      </c>
      <c r="AA76" s="1973">
        <f t="shared" ref="AA76:AL76" si="34">AA71+AA69+AA67+AA65+AA63+AA59+AA54+AA52+AA50+AA48+AA46+AA40+AA36+AA29+AA27+AA23+AA18+AA13+AA8+AA4</f>
        <v>29334</v>
      </c>
      <c r="AB76" s="1973">
        <f t="shared" si="34"/>
        <v>0</v>
      </c>
      <c r="AC76" s="1973">
        <f t="shared" si="34"/>
        <v>0</v>
      </c>
      <c r="AD76" s="1973">
        <f t="shared" si="34"/>
        <v>0</v>
      </c>
      <c r="AE76" s="1973">
        <f t="shared" si="34"/>
        <v>263454</v>
      </c>
      <c r="AF76" s="1973">
        <f t="shared" si="34"/>
        <v>65557</v>
      </c>
      <c r="AG76" s="1973">
        <f t="shared" si="34"/>
        <v>0</v>
      </c>
      <c r="AH76" s="1973">
        <f t="shared" si="34"/>
        <v>18286</v>
      </c>
      <c r="AI76" s="1973">
        <f t="shared" si="34"/>
        <v>42247</v>
      </c>
      <c r="AJ76" s="1973">
        <f t="shared" si="34"/>
        <v>42631</v>
      </c>
      <c r="AK76" s="1973">
        <f t="shared" si="34"/>
        <v>94733</v>
      </c>
      <c r="AL76" s="1973">
        <f t="shared" si="34"/>
        <v>0</v>
      </c>
      <c r="AM76" s="1973">
        <f>AM71+AM69+AM67+AM65+AM63+AM59+AM54+AM52+AM50+AM48+AM46+AM40+AM36+AM29+AM27+AM23+AM18+AM13+AM8+AM4</f>
        <v>433763</v>
      </c>
      <c r="AN76" s="1973">
        <f>AN71+AN69+AN67+AN65+AN63+AN59+AN54+AN52+AN50+AN48+AN46+AN40+AN36+AN29+AN27+AN23+AN18+AN13+AN8+AN4</f>
        <v>161</v>
      </c>
      <c r="AO76" s="1973">
        <f t="shared" ref="AO76:AP76" si="35">AO71+AO69+AO67+AO65+AO63+AO59+AO57+AO52+AO50+AO48+AO46+AO44+AO38+AO34+AO27+AO25+AO21+AO16+AO11+AO4</f>
        <v>46</v>
      </c>
      <c r="AP76" s="1973">
        <f t="shared" si="35"/>
        <v>46</v>
      </c>
      <c r="AQ76" s="1973"/>
      <c r="AT76" s="1975" t="e">
        <f>#REF!+AT6+#REF!+#REF!+#REF!+#REF!+#REF!+#REF!+#REF!+#REF!+#REF!+#REF!+#REF!+#REF!+#REF!+#REF!+#REF!+#REF!+#REF!+#REF!+AT71+AT69+AT67+AT65+AT63+AT59+AT57+AT52+AT50+AT48+AT46+AT44+AT38+AT34+AT27+AT25+AT21+AT16+AT11</f>
        <v>#REF!</v>
      </c>
      <c r="AY76" s="1977">
        <f>AY4+AY71+AY69+AY67+AY65+AY61+AY59+AY54+AY52+AY50+AY48+AY46+AY40+AY36+AY29+AY27+AY23+AY18+AY13+AY8</f>
        <v>2102078</v>
      </c>
      <c r="AZ76" s="1977">
        <f>AZ4+AZ71+AZ69+AZ67+AZ65+AZ61+AZ59+AZ54+AZ52+AZ50+AZ48+AZ46+AZ40+AZ36+AZ29+AZ27+AZ23+AZ18+AZ13+AZ8</f>
        <v>176364</v>
      </c>
      <c r="BA76" s="1977">
        <f t="shared" ref="BA76:BX76" si="36">BA4+BA71+BA69+BA67+BA65+BA61+BA59+BA54+BA52+BA50+BA48+BA46+BA40+BA36+BA29+BA27+BA23+BA18+BA13+BA8</f>
        <v>44135</v>
      </c>
      <c r="BB76" s="1977">
        <f t="shared" si="36"/>
        <v>0</v>
      </c>
      <c r="BC76" s="1977">
        <f t="shared" si="36"/>
        <v>0</v>
      </c>
      <c r="BD76" s="1977">
        <f t="shared" si="36"/>
        <v>49128</v>
      </c>
      <c r="BE76" s="1977">
        <f t="shared" si="36"/>
        <v>53125</v>
      </c>
      <c r="BF76" s="1977">
        <f>BF4+BF71+BF69+BF67+BF65+BF61+BF59+BF54+BF52+BF50+BF48+BF46+BF40+BF36+BF29+BF27+BF23+BF18+BF13+BF8</f>
        <v>335746</v>
      </c>
      <c r="BG76" s="1977">
        <f t="shared" si="36"/>
        <v>204695</v>
      </c>
      <c r="BH76" s="1977">
        <f t="shared" si="36"/>
        <v>0</v>
      </c>
      <c r="BI76" s="1977">
        <f t="shared" si="36"/>
        <v>131051</v>
      </c>
      <c r="BJ76" s="1977">
        <f t="shared" si="36"/>
        <v>0</v>
      </c>
      <c r="BK76" s="1977">
        <f t="shared" si="36"/>
        <v>0</v>
      </c>
      <c r="BL76" s="1977">
        <f t="shared" si="36"/>
        <v>0</v>
      </c>
      <c r="BM76" s="1977">
        <f t="shared" si="36"/>
        <v>0</v>
      </c>
      <c r="BN76" s="1977">
        <f>BN4+BN71+BN69+BN67+BN65+BN61+BN59+BN54+BN52+BN50+BN48+BN46+BN40+BN36+BN29+BN27+BN23+BN18+BN13+BN8</f>
        <v>2614189</v>
      </c>
      <c r="BO76" s="1977">
        <f t="shared" si="36"/>
        <v>2401</v>
      </c>
      <c r="BP76" s="1977">
        <f t="shared" si="36"/>
        <v>590</v>
      </c>
      <c r="BQ76" s="1977">
        <f t="shared" si="36"/>
        <v>1811</v>
      </c>
      <c r="BR76" s="1977">
        <f t="shared" si="36"/>
        <v>710</v>
      </c>
      <c r="BS76" s="1977">
        <f t="shared" si="36"/>
        <v>1691</v>
      </c>
      <c r="BT76" s="1977">
        <f t="shared" si="36"/>
        <v>277</v>
      </c>
      <c r="BU76" s="1977">
        <f t="shared" si="36"/>
        <v>230</v>
      </c>
      <c r="BV76" s="1977">
        <f t="shared" si="36"/>
        <v>0</v>
      </c>
      <c r="BW76" s="1977">
        <f t="shared" si="36"/>
        <v>277</v>
      </c>
      <c r="BX76" s="1977">
        <f t="shared" si="36"/>
        <v>230</v>
      </c>
      <c r="BY76" s="1977"/>
      <c r="BZ76" s="1978">
        <f>BZ4+BZ71+BZ69+BZ67+BZ65+BZ61+BZ59+BZ54+BZ52+BZ50+BZ48+BZ46+BZ40+BZ36+BZ29+BZ27+BZ23+BZ18+BZ13+BZ8</f>
        <v>1961103</v>
      </c>
      <c r="CA76" s="1978">
        <f t="shared" ref="CA76:CP76" si="37">CA4+CA71+CA69+CA67+CA65+CA61+CA59+CA54+CA52+CA50+CA48+CA46+CA40+CA36+CA29+CA27+CA23+CA18+CA13+CA8</f>
        <v>147030</v>
      </c>
      <c r="CB76" s="1978">
        <f t="shared" si="37"/>
        <v>44135</v>
      </c>
      <c r="CC76" s="1978">
        <f t="shared" si="37"/>
        <v>0</v>
      </c>
      <c r="CD76" s="1978">
        <f t="shared" si="37"/>
        <v>0</v>
      </c>
      <c r="CE76" s="1978">
        <f t="shared" si="37"/>
        <v>49128</v>
      </c>
      <c r="CF76" s="1978">
        <f t="shared" si="37"/>
        <v>53125</v>
      </c>
      <c r="CG76" s="1978">
        <f t="shared" si="37"/>
        <v>72292</v>
      </c>
      <c r="CH76" s="1978">
        <f>CH4+CH71+CH69+CH67+CH65+CH61+CH59+CH54+CH52+CH50+CH48+CH46+CH40+CH36+CH29+CH27+CH23+CH18+CH13+CH8</f>
        <v>139138</v>
      </c>
      <c r="CI76" s="1978">
        <f t="shared" si="37"/>
        <v>0</v>
      </c>
      <c r="CJ76" s="1978">
        <f t="shared" si="37"/>
        <v>112765</v>
      </c>
      <c r="CK76" s="1978">
        <f t="shared" si="37"/>
        <v>-42247</v>
      </c>
      <c r="CL76" s="1978">
        <f t="shared" si="37"/>
        <v>-42631</v>
      </c>
      <c r="CM76" s="1978">
        <f t="shared" si="37"/>
        <v>-94733</v>
      </c>
      <c r="CN76" s="1978">
        <f t="shared" si="37"/>
        <v>0</v>
      </c>
      <c r="CO76" s="1978">
        <f>CO4+CO71+CO69+CO67+CO65+CO61+CO59+CO54+CO52+CO50+CO48+CO46+CO40+CO36+CO29+CO27+CO23+CO18+CO13+CO8</f>
        <v>2180426</v>
      </c>
      <c r="CP76" s="1978">
        <f t="shared" si="37"/>
        <v>2240</v>
      </c>
    </row>
  </sheetData>
  <mergeCells count="670">
    <mergeCell ref="CO61:CO63"/>
    <mergeCell ref="CP61:CP63"/>
    <mergeCell ref="CI61:CI63"/>
    <mergeCell ref="CJ61:CJ63"/>
    <mergeCell ref="CK61:CK63"/>
    <mergeCell ref="CL61:CL63"/>
    <mergeCell ref="CM61:CM63"/>
    <mergeCell ref="CN61:CN63"/>
    <mergeCell ref="CC61:CC63"/>
    <mergeCell ref="CD61:CD63"/>
    <mergeCell ref="CE61:CE63"/>
    <mergeCell ref="CF61:CF63"/>
    <mergeCell ref="CG61:CG63"/>
    <mergeCell ref="CH61:CH63"/>
    <mergeCell ref="BW61:BW63"/>
    <mergeCell ref="BX61:BX63"/>
    <mergeCell ref="BY61:BY63"/>
    <mergeCell ref="BZ61:BZ63"/>
    <mergeCell ref="CA61:CA63"/>
    <mergeCell ref="CB61:CB63"/>
    <mergeCell ref="BQ61:BQ63"/>
    <mergeCell ref="BR61:BR63"/>
    <mergeCell ref="BS61:BS63"/>
    <mergeCell ref="BT61:BT63"/>
    <mergeCell ref="BU61:BU63"/>
    <mergeCell ref="BV61:BV63"/>
    <mergeCell ref="BK61:BK63"/>
    <mergeCell ref="BL61:BL63"/>
    <mergeCell ref="BM61:BM63"/>
    <mergeCell ref="BN61:BN63"/>
    <mergeCell ref="BO61:BO63"/>
    <mergeCell ref="BP61:BP63"/>
    <mergeCell ref="BE61:BE63"/>
    <mergeCell ref="BF61:BF63"/>
    <mergeCell ref="BG61:BG63"/>
    <mergeCell ref="BH61:BH63"/>
    <mergeCell ref="BI61:BI63"/>
    <mergeCell ref="BJ61:BJ63"/>
    <mergeCell ref="CN54:CN57"/>
    <mergeCell ref="CO54:CO57"/>
    <mergeCell ref="CP54:CP57"/>
    <mergeCell ref="A61:A63"/>
    <mergeCell ref="AY61:AY63"/>
    <mergeCell ref="AZ61:AZ63"/>
    <mergeCell ref="BA61:BA63"/>
    <mergeCell ref="BB61:BB63"/>
    <mergeCell ref="BC61:BC63"/>
    <mergeCell ref="BD61:BD63"/>
    <mergeCell ref="CH54:CH57"/>
    <mergeCell ref="CI54:CI57"/>
    <mergeCell ref="CJ54:CJ57"/>
    <mergeCell ref="CK54:CK57"/>
    <mergeCell ref="CL54:CL57"/>
    <mergeCell ref="CM54:CM57"/>
    <mergeCell ref="CB54:CB57"/>
    <mergeCell ref="CC54:CC57"/>
    <mergeCell ref="CD54:CD57"/>
    <mergeCell ref="CE54:CE57"/>
    <mergeCell ref="CF54:CF57"/>
    <mergeCell ref="CG54:CG57"/>
    <mergeCell ref="BV54:BV57"/>
    <mergeCell ref="BW54:BW57"/>
    <mergeCell ref="BX54:BX57"/>
    <mergeCell ref="BY54:BY57"/>
    <mergeCell ref="BZ54:BZ57"/>
    <mergeCell ref="CA54:CA57"/>
    <mergeCell ref="BP54:BP57"/>
    <mergeCell ref="BQ54:BQ57"/>
    <mergeCell ref="BR54:BR57"/>
    <mergeCell ref="BS54:BS57"/>
    <mergeCell ref="BT54:BT57"/>
    <mergeCell ref="BU54:BU57"/>
    <mergeCell ref="BJ54:BJ57"/>
    <mergeCell ref="BK54:BK57"/>
    <mergeCell ref="BL54:BL57"/>
    <mergeCell ref="BM54:BM57"/>
    <mergeCell ref="BN54:BN57"/>
    <mergeCell ref="BO54:BO57"/>
    <mergeCell ref="BD54:BD57"/>
    <mergeCell ref="BE54:BE57"/>
    <mergeCell ref="BF54:BF57"/>
    <mergeCell ref="BG54:BG57"/>
    <mergeCell ref="BH54:BH57"/>
    <mergeCell ref="BI54:BI57"/>
    <mergeCell ref="AX54:AX57"/>
    <mergeCell ref="AY54:AY57"/>
    <mergeCell ref="AZ54:AZ57"/>
    <mergeCell ref="BA54:BA57"/>
    <mergeCell ref="BB54:BB57"/>
    <mergeCell ref="BC54:BC57"/>
    <mergeCell ref="AR54:AR57"/>
    <mergeCell ref="AS54:AS57"/>
    <mergeCell ref="AT54:AT57"/>
    <mergeCell ref="AU54:AU57"/>
    <mergeCell ref="AV54:AV57"/>
    <mergeCell ref="AW54:AW57"/>
    <mergeCell ref="AL54:AL57"/>
    <mergeCell ref="AM54:AM57"/>
    <mergeCell ref="AN54:AN57"/>
    <mergeCell ref="AO54:AO57"/>
    <mergeCell ref="AP54:AP57"/>
    <mergeCell ref="AQ54:AQ57"/>
    <mergeCell ref="AF54:AF57"/>
    <mergeCell ref="AG54:AG57"/>
    <mergeCell ref="AH54:AH57"/>
    <mergeCell ref="AI54:AI57"/>
    <mergeCell ref="AJ54:AJ57"/>
    <mergeCell ref="AK54:AK57"/>
    <mergeCell ref="CO40:CO44"/>
    <mergeCell ref="CP40:CP44"/>
    <mergeCell ref="A54:A57"/>
    <mergeCell ref="Y54:Y57"/>
    <mergeCell ref="Z54:Z57"/>
    <mergeCell ref="AA54:AA57"/>
    <mergeCell ref="AB54:AB57"/>
    <mergeCell ref="AC54:AC57"/>
    <mergeCell ref="AD54:AD57"/>
    <mergeCell ref="AE54:AE57"/>
    <mergeCell ref="CH40:CH44"/>
    <mergeCell ref="CJ40:CJ44"/>
    <mergeCell ref="CK40:CK44"/>
    <mergeCell ref="CL40:CL44"/>
    <mergeCell ref="CM40:CM44"/>
    <mergeCell ref="CN40:CN44"/>
    <mergeCell ref="BZ40:BZ44"/>
    <mergeCell ref="CA40:CA44"/>
    <mergeCell ref="CB40:CB44"/>
    <mergeCell ref="CE40:CE44"/>
    <mergeCell ref="CF40:CF44"/>
    <mergeCell ref="CG40:CG44"/>
    <mergeCell ref="BT40:BT44"/>
    <mergeCell ref="BU40:BU44"/>
    <mergeCell ref="BV40:BV44"/>
    <mergeCell ref="BW40:BW44"/>
    <mergeCell ref="BX40:BX44"/>
    <mergeCell ref="BY40:BY44"/>
    <mergeCell ref="BN40:BN44"/>
    <mergeCell ref="BO40:BO44"/>
    <mergeCell ref="BP40:BP44"/>
    <mergeCell ref="BQ40:BQ44"/>
    <mergeCell ref="BR40:BR44"/>
    <mergeCell ref="BS40:BS44"/>
    <mergeCell ref="BH40:BH44"/>
    <mergeCell ref="BI40:BI44"/>
    <mergeCell ref="BJ40:BJ44"/>
    <mergeCell ref="BK40:BK44"/>
    <mergeCell ref="BL40:BL44"/>
    <mergeCell ref="BM40:BM44"/>
    <mergeCell ref="BB40:BB44"/>
    <mergeCell ref="BC40:BC44"/>
    <mergeCell ref="BD40:BD44"/>
    <mergeCell ref="BE40:BE44"/>
    <mergeCell ref="BF40:BF44"/>
    <mergeCell ref="BG40:BG44"/>
    <mergeCell ref="AP40:AP44"/>
    <mergeCell ref="AQ40:AQ44"/>
    <mergeCell ref="AT40:AT44"/>
    <mergeCell ref="AY40:AY44"/>
    <mergeCell ref="AZ40:AZ44"/>
    <mergeCell ref="BA40:BA44"/>
    <mergeCell ref="AJ40:AJ44"/>
    <mergeCell ref="AK40:AK44"/>
    <mergeCell ref="AL40:AL44"/>
    <mergeCell ref="AM40:AM44"/>
    <mergeCell ref="AN40:AN44"/>
    <mergeCell ref="AO40:AO44"/>
    <mergeCell ref="AD40:AD44"/>
    <mergeCell ref="AE40:AE44"/>
    <mergeCell ref="AF40:AF44"/>
    <mergeCell ref="AG40:AG44"/>
    <mergeCell ref="AH40:AH44"/>
    <mergeCell ref="AI40:AI44"/>
    <mergeCell ref="A40:A44"/>
    <mergeCell ref="Y40:Y44"/>
    <mergeCell ref="Z40:Z44"/>
    <mergeCell ref="AA40:AA44"/>
    <mergeCell ref="AB40:AB44"/>
    <mergeCell ref="AC40:AC44"/>
    <mergeCell ref="CK36:CK38"/>
    <mergeCell ref="CL36:CL38"/>
    <mergeCell ref="CM36:CM38"/>
    <mergeCell ref="CN36:CN38"/>
    <mergeCell ref="CO36:CO38"/>
    <mergeCell ref="CP36:CP38"/>
    <mergeCell ref="CE36:CE38"/>
    <mergeCell ref="CF36:CF38"/>
    <mergeCell ref="CG36:CG38"/>
    <mergeCell ref="CH36:CH38"/>
    <mergeCell ref="CI36:CI38"/>
    <mergeCell ref="CJ36:CJ38"/>
    <mergeCell ref="BY36:BY38"/>
    <mergeCell ref="BZ36:BZ38"/>
    <mergeCell ref="CA36:CA38"/>
    <mergeCell ref="CB36:CB38"/>
    <mergeCell ref="CC36:CC38"/>
    <mergeCell ref="CD36:CD38"/>
    <mergeCell ref="BS36:BS38"/>
    <mergeCell ref="BT36:BT38"/>
    <mergeCell ref="BU36:BU38"/>
    <mergeCell ref="BV36:BV38"/>
    <mergeCell ref="BW36:BW38"/>
    <mergeCell ref="BX36:BX38"/>
    <mergeCell ref="BM36:BM38"/>
    <mergeCell ref="BN36:BN38"/>
    <mergeCell ref="BO36:BO38"/>
    <mergeCell ref="BP36:BP38"/>
    <mergeCell ref="BQ36:BQ38"/>
    <mergeCell ref="BR36:BR38"/>
    <mergeCell ref="BG36:BG38"/>
    <mergeCell ref="BH36:BH38"/>
    <mergeCell ref="BI36:BI38"/>
    <mergeCell ref="BJ36:BJ38"/>
    <mergeCell ref="BK36:BK38"/>
    <mergeCell ref="BL36:BL38"/>
    <mergeCell ref="BA36:BA38"/>
    <mergeCell ref="BB36:BB38"/>
    <mergeCell ref="BC36:BC38"/>
    <mergeCell ref="BD36:BD38"/>
    <mergeCell ref="BE36:BE38"/>
    <mergeCell ref="BF36:BF38"/>
    <mergeCell ref="AU36:AU38"/>
    <mergeCell ref="AV36:AV38"/>
    <mergeCell ref="AW36:AW38"/>
    <mergeCell ref="AX36:AX38"/>
    <mergeCell ref="AY36:AY38"/>
    <mergeCell ref="AZ36:AZ38"/>
    <mergeCell ref="AO36:AO38"/>
    <mergeCell ref="AP36:AP38"/>
    <mergeCell ref="AQ36:AQ38"/>
    <mergeCell ref="AR36:AR38"/>
    <mergeCell ref="AS36:AS38"/>
    <mergeCell ref="AT36:AT38"/>
    <mergeCell ref="AI36:AI38"/>
    <mergeCell ref="AJ36:AJ38"/>
    <mergeCell ref="AK36:AK38"/>
    <mergeCell ref="AL36:AL38"/>
    <mergeCell ref="AM36:AM38"/>
    <mergeCell ref="AN36:AN38"/>
    <mergeCell ref="AC36:AC38"/>
    <mergeCell ref="AD36:AD38"/>
    <mergeCell ref="AE36:AE38"/>
    <mergeCell ref="AF36:AF38"/>
    <mergeCell ref="AG36:AG38"/>
    <mergeCell ref="AH36:AH38"/>
    <mergeCell ref="CL29:CL34"/>
    <mergeCell ref="CM29:CM34"/>
    <mergeCell ref="CN29:CN34"/>
    <mergeCell ref="BY29:BY34"/>
    <mergeCell ref="BN29:BN34"/>
    <mergeCell ref="BO29:BO34"/>
    <mergeCell ref="BP29:BP34"/>
    <mergeCell ref="BQ29:BQ34"/>
    <mergeCell ref="BR29:BR34"/>
    <mergeCell ref="BS29:BS34"/>
    <mergeCell ref="BH29:BH34"/>
    <mergeCell ref="BI29:BI34"/>
    <mergeCell ref="BJ29:BJ34"/>
    <mergeCell ref="BK29:BK34"/>
    <mergeCell ref="BL29:BL34"/>
    <mergeCell ref="BM29:BM34"/>
    <mergeCell ref="BB29:BB34"/>
    <mergeCell ref="BC29:BC34"/>
    <mergeCell ref="CO29:CO34"/>
    <mergeCell ref="CP29:CP34"/>
    <mergeCell ref="A36:A38"/>
    <mergeCell ref="Y36:Y38"/>
    <mergeCell ref="Z36:Z38"/>
    <mergeCell ref="AA36:AA38"/>
    <mergeCell ref="AB36:AB38"/>
    <mergeCell ref="CF29:CF34"/>
    <mergeCell ref="CG29:CG34"/>
    <mergeCell ref="CH29:CH34"/>
    <mergeCell ref="CI29:CI34"/>
    <mergeCell ref="CJ29:CJ34"/>
    <mergeCell ref="CK29:CK34"/>
    <mergeCell ref="BZ29:BZ34"/>
    <mergeCell ref="CA29:CA34"/>
    <mergeCell ref="CB29:CB34"/>
    <mergeCell ref="CC29:CC34"/>
    <mergeCell ref="CD29:CD34"/>
    <mergeCell ref="CE29:CE34"/>
    <mergeCell ref="BT29:BT34"/>
    <mergeCell ref="BU29:BU34"/>
    <mergeCell ref="BV29:BV34"/>
    <mergeCell ref="BW29:BW34"/>
    <mergeCell ref="BX29:BX34"/>
    <mergeCell ref="BD29:BD34"/>
    <mergeCell ref="BE29:BE34"/>
    <mergeCell ref="BF29:BF34"/>
    <mergeCell ref="BG29:BG34"/>
    <mergeCell ref="AV29:AV34"/>
    <mergeCell ref="AW29:AW34"/>
    <mergeCell ref="AX29:AX34"/>
    <mergeCell ref="AY29:AY34"/>
    <mergeCell ref="AZ29:AZ34"/>
    <mergeCell ref="BA29:BA34"/>
    <mergeCell ref="AP29:AP34"/>
    <mergeCell ref="AQ29:AQ34"/>
    <mergeCell ref="AR29:AR34"/>
    <mergeCell ref="AS29:AS34"/>
    <mergeCell ref="AT29:AT34"/>
    <mergeCell ref="AU29:AU34"/>
    <mergeCell ref="AJ29:AJ34"/>
    <mergeCell ref="AK29:AK34"/>
    <mergeCell ref="AL29:AL34"/>
    <mergeCell ref="AM29:AM34"/>
    <mergeCell ref="AN29:AN34"/>
    <mergeCell ref="AO29:AO34"/>
    <mergeCell ref="AD29:AD34"/>
    <mergeCell ref="AE29:AE34"/>
    <mergeCell ref="AF29:AF34"/>
    <mergeCell ref="AG29:AG34"/>
    <mergeCell ref="AH29:AH34"/>
    <mergeCell ref="AI29:AI34"/>
    <mergeCell ref="A29:A34"/>
    <mergeCell ref="Y29:Y34"/>
    <mergeCell ref="Z29:Z34"/>
    <mergeCell ref="AA29:AA34"/>
    <mergeCell ref="AB29:AB34"/>
    <mergeCell ref="AC29:AC34"/>
    <mergeCell ref="CK23:CK25"/>
    <mergeCell ref="CL23:CL25"/>
    <mergeCell ref="CM23:CM25"/>
    <mergeCell ref="CN23:CN25"/>
    <mergeCell ref="CO23:CO25"/>
    <mergeCell ref="CP23:CP25"/>
    <mergeCell ref="CE23:CE25"/>
    <mergeCell ref="CF23:CF25"/>
    <mergeCell ref="CG23:CG25"/>
    <mergeCell ref="CH23:CH25"/>
    <mergeCell ref="CI23:CI25"/>
    <mergeCell ref="CJ23:CJ25"/>
    <mergeCell ref="BY23:BY25"/>
    <mergeCell ref="BZ23:BZ25"/>
    <mergeCell ref="CA23:CA25"/>
    <mergeCell ref="CB23:CB25"/>
    <mergeCell ref="CC23:CC25"/>
    <mergeCell ref="CD23:CD25"/>
    <mergeCell ref="BS23:BS25"/>
    <mergeCell ref="BT23:BT25"/>
    <mergeCell ref="BU23:BU25"/>
    <mergeCell ref="BV23:BV25"/>
    <mergeCell ref="BW23:BW25"/>
    <mergeCell ref="BX23:BX25"/>
    <mergeCell ref="BM23:BM25"/>
    <mergeCell ref="BN23:BN25"/>
    <mergeCell ref="BO23:BO25"/>
    <mergeCell ref="BP23:BP25"/>
    <mergeCell ref="BQ23:BQ25"/>
    <mergeCell ref="BR23:BR25"/>
    <mergeCell ref="BG23:BG25"/>
    <mergeCell ref="BH23:BH25"/>
    <mergeCell ref="BI23:BI25"/>
    <mergeCell ref="BJ23:BJ25"/>
    <mergeCell ref="BK23:BK25"/>
    <mergeCell ref="BL23:BL25"/>
    <mergeCell ref="BA23:BA25"/>
    <mergeCell ref="BB23:BB25"/>
    <mergeCell ref="BC23:BC25"/>
    <mergeCell ref="BD23:BD25"/>
    <mergeCell ref="BE23:BE25"/>
    <mergeCell ref="BF23:BF25"/>
    <mergeCell ref="AU23:AU25"/>
    <mergeCell ref="AV23:AV25"/>
    <mergeCell ref="AW23:AW25"/>
    <mergeCell ref="AX23:AX25"/>
    <mergeCell ref="AY23:AY25"/>
    <mergeCell ref="AZ23:AZ25"/>
    <mergeCell ref="AO23:AO25"/>
    <mergeCell ref="AP23:AP25"/>
    <mergeCell ref="AQ23:AQ25"/>
    <mergeCell ref="AR23:AR25"/>
    <mergeCell ref="AS23:AS25"/>
    <mergeCell ref="AT23:AT25"/>
    <mergeCell ref="AI23:AI25"/>
    <mergeCell ref="AJ23:AJ25"/>
    <mergeCell ref="AK23:AK25"/>
    <mergeCell ref="AL23:AL25"/>
    <mergeCell ref="AM23:AM25"/>
    <mergeCell ref="AN23:AN25"/>
    <mergeCell ref="AC23:AC25"/>
    <mergeCell ref="AD23:AD25"/>
    <mergeCell ref="AE23:AE25"/>
    <mergeCell ref="AF23:AF25"/>
    <mergeCell ref="AG23:AG25"/>
    <mergeCell ref="AH23:AH25"/>
    <mergeCell ref="CL18:CL21"/>
    <mergeCell ref="CM18:CM21"/>
    <mergeCell ref="CN18:CN21"/>
    <mergeCell ref="BY18:BY21"/>
    <mergeCell ref="BN18:BN21"/>
    <mergeCell ref="BO18:BO21"/>
    <mergeCell ref="BP18:BP21"/>
    <mergeCell ref="BQ18:BQ21"/>
    <mergeCell ref="BR18:BR21"/>
    <mergeCell ref="BS18:BS21"/>
    <mergeCell ref="BH18:BH21"/>
    <mergeCell ref="BI18:BI21"/>
    <mergeCell ref="BJ18:BJ21"/>
    <mergeCell ref="BK18:BK21"/>
    <mergeCell ref="BL18:BL21"/>
    <mergeCell ref="BM18:BM21"/>
    <mergeCell ref="BB18:BB21"/>
    <mergeCell ref="BC18:BC21"/>
    <mergeCell ref="CO18:CO21"/>
    <mergeCell ref="CP18:CP21"/>
    <mergeCell ref="A23:A25"/>
    <mergeCell ref="Y23:Y25"/>
    <mergeCell ref="Z23:Z25"/>
    <mergeCell ref="AA23:AA25"/>
    <mergeCell ref="AB23:AB25"/>
    <mergeCell ref="CF18:CF21"/>
    <mergeCell ref="CG18:CG21"/>
    <mergeCell ref="CH18:CH21"/>
    <mergeCell ref="CI18:CI21"/>
    <mergeCell ref="CJ18:CJ21"/>
    <mergeCell ref="CK18:CK21"/>
    <mergeCell ref="BZ18:BZ21"/>
    <mergeCell ref="CA18:CA21"/>
    <mergeCell ref="CB18:CB21"/>
    <mergeCell ref="CC18:CC21"/>
    <mergeCell ref="CD18:CD21"/>
    <mergeCell ref="CE18:CE21"/>
    <mergeCell ref="BT18:BT21"/>
    <mergeCell ref="BU18:BU21"/>
    <mergeCell ref="BV18:BV21"/>
    <mergeCell ref="BW18:BW21"/>
    <mergeCell ref="BX18:BX21"/>
    <mergeCell ref="BD18:BD21"/>
    <mergeCell ref="BE18:BE21"/>
    <mergeCell ref="BF18:BF21"/>
    <mergeCell ref="BG18:BG21"/>
    <mergeCell ref="AV18:AV21"/>
    <mergeCell ref="AW18:AW21"/>
    <mergeCell ref="AX18:AX21"/>
    <mergeCell ref="AY18:AY21"/>
    <mergeCell ref="AZ18:AZ21"/>
    <mergeCell ref="BA18:BA21"/>
    <mergeCell ref="AP18:AP21"/>
    <mergeCell ref="AQ18:AQ21"/>
    <mergeCell ref="AR18:AR21"/>
    <mergeCell ref="AS18:AS21"/>
    <mergeCell ref="AT18:AT21"/>
    <mergeCell ref="AU18:AU21"/>
    <mergeCell ref="AJ18:AJ21"/>
    <mergeCell ref="AK18:AK21"/>
    <mergeCell ref="AL18:AL21"/>
    <mergeCell ref="AM18:AM21"/>
    <mergeCell ref="AN18:AN21"/>
    <mergeCell ref="AO18:AO21"/>
    <mergeCell ref="AD18:AD21"/>
    <mergeCell ref="AE18:AE21"/>
    <mergeCell ref="AF18:AF21"/>
    <mergeCell ref="AG18:AG21"/>
    <mergeCell ref="AH18:AH21"/>
    <mergeCell ref="AI18:AI21"/>
    <mergeCell ref="A18:A21"/>
    <mergeCell ref="Y18:Y21"/>
    <mergeCell ref="Z18:Z21"/>
    <mergeCell ref="AA18:AA21"/>
    <mergeCell ref="AB18:AB21"/>
    <mergeCell ref="AC18:AC21"/>
    <mergeCell ref="CK13:CK16"/>
    <mergeCell ref="CL13:CL16"/>
    <mergeCell ref="CM13:CM16"/>
    <mergeCell ref="CN13:CN16"/>
    <mergeCell ref="CO13:CO16"/>
    <mergeCell ref="CP13:CP16"/>
    <mergeCell ref="CE13:CE16"/>
    <mergeCell ref="CF13:CF16"/>
    <mergeCell ref="CG13:CG16"/>
    <mergeCell ref="CH13:CH16"/>
    <mergeCell ref="CI13:CI16"/>
    <mergeCell ref="CJ13:CJ16"/>
    <mergeCell ref="BY13:BY16"/>
    <mergeCell ref="BZ13:BZ16"/>
    <mergeCell ref="CA13:CA16"/>
    <mergeCell ref="CB13:CB16"/>
    <mergeCell ref="CC13:CC16"/>
    <mergeCell ref="CD13:CD16"/>
    <mergeCell ref="BS13:BS16"/>
    <mergeCell ref="BT13:BT16"/>
    <mergeCell ref="BU13:BU16"/>
    <mergeCell ref="BV13:BV16"/>
    <mergeCell ref="BW13:BW16"/>
    <mergeCell ref="BX13:BX16"/>
    <mergeCell ref="BM13:BM16"/>
    <mergeCell ref="BN13:BN16"/>
    <mergeCell ref="BO13:BO16"/>
    <mergeCell ref="BP13:BP16"/>
    <mergeCell ref="BQ13:BQ16"/>
    <mergeCell ref="BR13:BR16"/>
    <mergeCell ref="BG13:BG16"/>
    <mergeCell ref="BH13:BH16"/>
    <mergeCell ref="BI13:BI16"/>
    <mergeCell ref="BJ13:BJ16"/>
    <mergeCell ref="BK13:BK16"/>
    <mergeCell ref="BL13:BL16"/>
    <mergeCell ref="BA13:BA16"/>
    <mergeCell ref="BB13:BB16"/>
    <mergeCell ref="BC13:BC16"/>
    <mergeCell ref="BD13:BD16"/>
    <mergeCell ref="BE13:BE16"/>
    <mergeCell ref="BF13:BF16"/>
    <mergeCell ref="AU13:AU16"/>
    <mergeCell ref="AV13:AV16"/>
    <mergeCell ref="AW13:AW16"/>
    <mergeCell ref="AX13:AX16"/>
    <mergeCell ref="AY13:AY16"/>
    <mergeCell ref="AZ13:AZ16"/>
    <mergeCell ref="AO13:AO16"/>
    <mergeCell ref="AP13:AP16"/>
    <mergeCell ref="AQ13:AQ16"/>
    <mergeCell ref="AR13:AR16"/>
    <mergeCell ref="AS13:AS16"/>
    <mergeCell ref="AT13:AT16"/>
    <mergeCell ref="AI13:AI16"/>
    <mergeCell ref="AJ13:AJ16"/>
    <mergeCell ref="AK13:AK16"/>
    <mergeCell ref="AL13:AL16"/>
    <mergeCell ref="AM13:AM16"/>
    <mergeCell ref="AN13:AN16"/>
    <mergeCell ref="AC13:AC16"/>
    <mergeCell ref="AD13:AD16"/>
    <mergeCell ref="AE13:AE16"/>
    <mergeCell ref="AF13:AF16"/>
    <mergeCell ref="AG13:AG16"/>
    <mergeCell ref="AH13:AH16"/>
    <mergeCell ref="CL8:CL11"/>
    <mergeCell ref="CM8:CM11"/>
    <mergeCell ref="CN8:CN11"/>
    <mergeCell ref="BY8:BY11"/>
    <mergeCell ref="BN8:BN11"/>
    <mergeCell ref="BO8:BO11"/>
    <mergeCell ref="BP8:BP11"/>
    <mergeCell ref="BQ8:BQ11"/>
    <mergeCell ref="BR8:BR11"/>
    <mergeCell ref="BS8:BS11"/>
    <mergeCell ref="BH8:BH11"/>
    <mergeCell ref="BI8:BI11"/>
    <mergeCell ref="BJ8:BJ11"/>
    <mergeCell ref="BK8:BK11"/>
    <mergeCell ref="BL8:BL11"/>
    <mergeCell ref="BM8:BM11"/>
    <mergeCell ref="BB8:BB11"/>
    <mergeCell ref="BC8:BC11"/>
    <mergeCell ref="CO8:CO11"/>
    <mergeCell ref="CP8:CP11"/>
    <mergeCell ref="A13:A16"/>
    <mergeCell ref="Y13:Y16"/>
    <mergeCell ref="Z13:Z16"/>
    <mergeCell ref="AA13:AA16"/>
    <mergeCell ref="AB13:AB16"/>
    <mergeCell ref="CF8:CF11"/>
    <mergeCell ref="CG8:CG11"/>
    <mergeCell ref="CH8:CH11"/>
    <mergeCell ref="CI8:CI11"/>
    <mergeCell ref="CJ8:CJ11"/>
    <mergeCell ref="CK8:CK11"/>
    <mergeCell ref="BZ8:BZ11"/>
    <mergeCell ref="CA8:CA11"/>
    <mergeCell ref="CB8:CB11"/>
    <mergeCell ref="CC8:CC11"/>
    <mergeCell ref="CD8:CD11"/>
    <mergeCell ref="CE8:CE11"/>
    <mergeCell ref="BT8:BT11"/>
    <mergeCell ref="BU8:BU11"/>
    <mergeCell ref="BV8:BV11"/>
    <mergeCell ref="BW8:BW11"/>
    <mergeCell ref="BX8:BX11"/>
    <mergeCell ref="BD8:BD11"/>
    <mergeCell ref="BE8:BE11"/>
    <mergeCell ref="BF8:BF11"/>
    <mergeCell ref="BG8:BG11"/>
    <mergeCell ref="AV8:AV11"/>
    <mergeCell ref="AW8:AW11"/>
    <mergeCell ref="AX8:AX11"/>
    <mergeCell ref="AY8:AY11"/>
    <mergeCell ref="AZ8:AZ11"/>
    <mergeCell ref="BA8:BA11"/>
    <mergeCell ref="AP8:AP11"/>
    <mergeCell ref="AQ8:AQ11"/>
    <mergeCell ref="AR8:AR11"/>
    <mergeCell ref="AS8:AS11"/>
    <mergeCell ref="AT8:AT11"/>
    <mergeCell ref="AU8:AU11"/>
    <mergeCell ref="AJ8:AJ11"/>
    <mergeCell ref="AK8:AK11"/>
    <mergeCell ref="AL8:AL11"/>
    <mergeCell ref="AM8:AM11"/>
    <mergeCell ref="AN8:AN11"/>
    <mergeCell ref="AO8:AO11"/>
    <mergeCell ref="AD8:AD11"/>
    <mergeCell ref="AE8:AE11"/>
    <mergeCell ref="AF8:AF11"/>
    <mergeCell ref="AG8:AG11"/>
    <mergeCell ref="AH8:AH11"/>
    <mergeCell ref="AI8:AI11"/>
    <mergeCell ref="A8:A11"/>
    <mergeCell ref="Y8:Y11"/>
    <mergeCell ref="Z8:Z11"/>
    <mergeCell ref="AA8:AA11"/>
    <mergeCell ref="AB8:AB11"/>
    <mergeCell ref="AC8:AC11"/>
    <mergeCell ref="CK4:CK6"/>
    <mergeCell ref="CL4:CL6"/>
    <mergeCell ref="CM4:CM6"/>
    <mergeCell ref="CN4:CN6"/>
    <mergeCell ref="CO4:CO6"/>
    <mergeCell ref="CP4:CP6"/>
    <mergeCell ref="CE4:CE6"/>
    <mergeCell ref="CF4:CF6"/>
    <mergeCell ref="CG4:CG6"/>
    <mergeCell ref="CH4:CH6"/>
    <mergeCell ref="CI4:CI6"/>
    <mergeCell ref="CJ4:CJ6"/>
    <mergeCell ref="BY4:BY6"/>
    <mergeCell ref="BZ4:BZ6"/>
    <mergeCell ref="CA4:CA6"/>
    <mergeCell ref="CB4:CB6"/>
    <mergeCell ref="CC4:CC6"/>
    <mergeCell ref="CD4:CD6"/>
    <mergeCell ref="BP4:BP6"/>
    <mergeCell ref="BQ4:BQ6"/>
    <mergeCell ref="BR4:BR6"/>
    <mergeCell ref="BS4:BS6"/>
    <mergeCell ref="BT4:BT6"/>
    <mergeCell ref="BU4:BU6"/>
    <mergeCell ref="BM4:BM6"/>
    <mergeCell ref="BN4:BN6"/>
    <mergeCell ref="BO4:BO6"/>
    <mergeCell ref="BD4:BD6"/>
    <mergeCell ref="BE4:BE6"/>
    <mergeCell ref="BF4:BF6"/>
    <mergeCell ref="BG4:BG6"/>
    <mergeCell ref="BH4:BH6"/>
    <mergeCell ref="BI4:BI6"/>
    <mergeCell ref="AM4:AM6"/>
    <mergeCell ref="AN4:AN6"/>
    <mergeCell ref="AQ4:AQ6"/>
    <mergeCell ref="AR4:AR6"/>
    <mergeCell ref="AS4:AS6"/>
    <mergeCell ref="AU4:AU6"/>
    <mergeCell ref="BJ4:BJ6"/>
    <mergeCell ref="BK4:BK6"/>
    <mergeCell ref="BL4:BL6"/>
    <mergeCell ref="A2:A3"/>
    <mergeCell ref="C2:G2"/>
    <mergeCell ref="H2:X2"/>
    <mergeCell ref="Y2:AQ2"/>
    <mergeCell ref="AR2:BY2"/>
    <mergeCell ref="BZ2:CP2"/>
    <mergeCell ref="AG4:AG6"/>
    <mergeCell ref="AH4:AH6"/>
    <mergeCell ref="AI4:AI6"/>
    <mergeCell ref="AJ4:AJ6"/>
    <mergeCell ref="AK4:AK6"/>
    <mergeCell ref="AL4:AL6"/>
    <mergeCell ref="A4:A6"/>
    <mergeCell ref="Y4:Y6"/>
    <mergeCell ref="Z4:Z6"/>
    <mergeCell ref="AA4:AA6"/>
    <mergeCell ref="AE4:AE6"/>
    <mergeCell ref="AF4:AF6"/>
    <mergeCell ref="AV4:AV6"/>
    <mergeCell ref="AW4:AW6"/>
    <mergeCell ref="AX4:AX6"/>
    <mergeCell ref="AY4:AY6"/>
    <mergeCell ref="AZ4:AZ6"/>
    <mergeCell ref="BA4:BA6"/>
  </mergeCells>
  <pageMargins left="0.7" right="0.7" top="0.75" bottom="0.75" header="0.3" footer="0.3"/>
  <pageSetup paperSize="3" scale="49" fitToWidth="0" orientation="landscape" r:id="rId1"/>
  <colBreaks count="1" manualBreakCount="1">
    <brk id="43" max="73" man="1"/>
  </colBreaks>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4" tint="0.39997558519241921"/>
  </sheetPr>
  <dimension ref="A1"/>
  <sheetViews>
    <sheetView workbookViewId="0"/>
  </sheetViews>
  <sheetFormatPr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M218"/>
  <sheetViews>
    <sheetView zoomScaleNormal="100" workbookViewId="0">
      <pane xSplit="3" ySplit="4" topLeftCell="D191" activePane="bottomRight" state="frozen"/>
      <selection pane="bottomRight" activeCell="B5" sqref="B5:B217"/>
      <selection pane="bottomLeft" activeCell="A5" sqref="A5"/>
      <selection pane="topRight" activeCell="C1" sqref="C1"/>
    </sheetView>
  </sheetViews>
  <sheetFormatPr defaultRowHeight="15"/>
  <cols>
    <col min="2" max="2" width="11.5703125" bestFit="1" customWidth="1"/>
    <col min="6" max="6" width="9.42578125" bestFit="1" customWidth="1"/>
    <col min="13" max="13" width="10" bestFit="1" customWidth="1"/>
    <col min="14" max="14" width="5.85546875" bestFit="1" customWidth="1"/>
    <col min="15" max="15" width="31.140625" bestFit="1" customWidth="1"/>
    <col min="39" max="39" width="0" hidden="1" customWidth="1"/>
    <col min="42" max="42" width="57" bestFit="1" customWidth="1"/>
    <col min="68" max="68" width="9.140625" customWidth="1"/>
    <col min="81" max="81" width="10" bestFit="1" customWidth="1"/>
    <col min="262" max="262" width="9.42578125" bestFit="1" customWidth="1"/>
    <col min="269" max="269" width="10" bestFit="1" customWidth="1"/>
    <col min="270" max="270" width="5.85546875" bestFit="1" customWidth="1"/>
    <col min="271" max="271" width="31.140625" bestFit="1" customWidth="1"/>
    <col min="295" max="295" width="0" hidden="1" customWidth="1"/>
    <col min="298" max="298" width="57" bestFit="1" customWidth="1"/>
    <col min="337" max="337" width="10" bestFit="1" customWidth="1"/>
    <col min="518" max="518" width="9.42578125" bestFit="1" customWidth="1"/>
    <col min="525" max="525" width="10" bestFit="1" customWidth="1"/>
    <col min="526" max="526" width="5.85546875" bestFit="1" customWidth="1"/>
    <col min="527" max="527" width="31.140625" bestFit="1" customWidth="1"/>
    <col min="551" max="551" width="0" hidden="1" customWidth="1"/>
    <col min="554" max="554" width="57" bestFit="1" customWidth="1"/>
    <col min="593" max="593" width="10" bestFit="1" customWidth="1"/>
    <col min="774" max="774" width="9.42578125" bestFit="1" customWidth="1"/>
    <col min="781" max="781" width="10" bestFit="1" customWidth="1"/>
    <col min="782" max="782" width="5.85546875" bestFit="1" customWidth="1"/>
    <col min="783" max="783" width="31.140625" bestFit="1" customWidth="1"/>
    <col min="807" max="807" width="0" hidden="1" customWidth="1"/>
    <col min="810" max="810" width="57" bestFit="1" customWidth="1"/>
    <col min="849" max="849" width="10" bestFit="1" customWidth="1"/>
    <col min="1030" max="1030" width="9.42578125" bestFit="1" customWidth="1"/>
    <col min="1037" max="1037" width="10" bestFit="1" customWidth="1"/>
    <col min="1038" max="1038" width="5.85546875" bestFit="1" customWidth="1"/>
    <col min="1039" max="1039" width="31.140625" bestFit="1" customWidth="1"/>
    <col min="1063" max="1063" width="0" hidden="1" customWidth="1"/>
    <col min="1066" max="1066" width="57" bestFit="1" customWidth="1"/>
    <col min="1105" max="1105" width="10" bestFit="1" customWidth="1"/>
    <col min="1286" max="1286" width="9.42578125" bestFit="1" customWidth="1"/>
    <col min="1293" max="1293" width="10" bestFit="1" customWidth="1"/>
    <col min="1294" max="1294" width="5.85546875" bestFit="1" customWidth="1"/>
    <col min="1295" max="1295" width="31.140625" bestFit="1" customWidth="1"/>
    <col min="1319" max="1319" width="0" hidden="1" customWidth="1"/>
    <col min="1322" max="1322" width="57" bestFit="1" customWidth="1"/>
    <col min="1361" max="1361" width="10" bestFit="1" customWidth="1"/>
    <col min="1542" max="1542" width="9.42578125" bestFit="1" customWidth="1"/>
    <col min="1549" max="1549" width="10" bestFit="1" customWidth="1"/>
    <col min="1550" max="1550" width="5.85546875" bestFit="1" customWidth="1"/>
    <col min="1551" max="1551" width="31.140625" bestFit="1" customWidth="1"/>
    <col min="1575" max="1575" width="0" hidden="1" customWidth="1"/>
    <col min="1578" max="1578" width="57" bestFit="1" customWidth="1"/>
    <col min="1617" max="1617" width="10" bestFit="1" customWidth="1"/>
    <col min="1798" max="1798" width="9.42578125" bestFit="1" customWidth="1"/>
    <col min="1805" max="1805" width="10" bestFit="1" customWidth="1"/>
    <col min="1806" max="1806" width="5.85546875" bestFit="1" customWidth="1"/>
    <col min="1807" max="1807" width="31.140625" bestFit="1" customWidth="1"/>
    <col min="1831" max="1831" width="0" hidden="1" customWidth="1"/>
    <col min="1834" max="1834" width="57" bestFit="1" customWidth="1"/>
    <col min="1873" max="1873" width="10" bestFit="1" customWidth="1"/>
    <col min="2054" max="2054" width="9.42578125" bestFit="1" customWidth="1"/>
    <col min="2061" max="2061" width="10" bestFit="1" customWidth="1"/>
    <col min="2062" max="2062" width="5.85546875" bestFit="1" customWidth="1"/>
    <col min="2063" max="2063" width="31.140625" bestFit="1" customWidth="1"/>
    <col min="2087" max="2087" width="0" hidden="1" customWidth="1"/>
    <col min="2090" max="2090" width="57" bestFit="1" customWidth="1"/>
    <col min="2129" max="2129" width="10" bestFit="1" customWidth="1"/>
    <col min="2310" max="2310" width="9.42578125" bestFit="1" customWidth="1"/>
    <col min="2317" max="2317" width="10" bestFit="1" customWidth="1"/>
    <col min="2318" max="2318" width="5.85546875" bestFit="1" customWidth="1"/>
    <col min="2319" max="2319" width="31.140625" bestFit="1" customWidth="1"/>
    <col min="2343" max="2343" width="0" hidden="1" customWidth="1"/>
    <col min="2346" max="2346" width="57" bestFit="1" customWidth="1"/>
    <col min="2385" max="2385" width="10" bestFit="1" customWidth="1"/>
    <col min="2566" max="2566" width="9.42578125" bestFit="1" customWidth="1"/>
    <col min="2573" max="2573" width="10" bestFit="1" customWidth="1"/>
    <col min="2574" max="2574" width="5.85546875" bestFit="1" customWidth="1"/>
    <col min="2575" max="2575" width="31.140625" bestFit="1" customWidth="1"/>
    <col min="2599" max="2599" width="0" hidden="1" customWidth="1"/>
    <col min="2602" max="2602" width="57" bestFit="1" customWidth="1"/>
    <col min="2641" max="2641" width="10" bestFit="1" customWidth="1"/>
    <col min="2822" max="2822" width="9.42578125" bestFit="1" customWidth="1"/>
    <col min="2829" max="2829" width="10" bestFit="1" customWidth="1"/>
    <col min="2830" max="2830" width="5.85546875" bestFit="1" customWidth="1"/>
    <col min="2831" max="2831" width="31.140625" bestFit="1" customWidth="1"/>
    <col min="2855" max="2855" width="0" hidden="1" customWidth="1"/>
    <col min="2858" max="2858" width="57" bestFit="1" customWidth="1"/>
    <col min="2897" max="2897" width="10" bestFit="1" customWidth="1"/>
    <col min="3078" max="3078" width="9.42578125" bestFit="1" customWidth="1"/>
    <col min="3085" max="3085" width="10" bestFit="1" customWidth="1"/>
    <col min="3086" max="3086" width="5.85546875" bestFit="1" customWidth="1"/>
    <col min="3087" max="3087" width="31.140625" bestFit="1" customWidth="1"/>
    <col min="3111" max="3111" width="0" hidden="1" customWidth="1"/>
    <col min="3114" max="3114" width="57" bestFit="1" customWidth="1"/>
    <col min="3153" max="3153" width="10" bestFit="1" customWidth="1"/>
    <col min="3334" max="3334" width="9.42578125" bestFit="1" customWidth="1"/>
    <col min="3341" max="3341" width="10" bestFit="1" customWidth="1"/>
    <col min="3342" max="3342" width="5.85546875" bestFit="1" customWidth="1"/>
    <col min="3343" max="3343" width="31.140625" bestFit="1" customWidth="1"/>
    <col min="3367" max="3367" width="0" hidden="1" customWidth="1"/>
    <col min="3370" max="3370" width="57" bestFit="1" customWidth="1"/>
    <col min="3409" max="3409" width="10" bestFit="1" customWidth="1"/>
    <col min="3590" max="3590" width="9.42578125" bestFit="1" customWidth="1"/>
    <col min="3597" max="3597" width="10" bestFit="1" customWidth="1"/>
    <col min="3598" max="3598" width="5.85546875" bestFit="1" customWidth="1"/>
    <col min="3599" max="3599" width="31.140625" bestFit="1" customWidth="1"/>
    <col min="3623" max="3623" width="0" hidden="1" customWidth="1"/>
    <col min="3626" max="3626" width="57" bestFit="1" customWidth="1"/>
    <col min="3665" max="3665" width="10" bestFit="1" customWidth="1"/>
    <col min="3846" max="3846" width="9.42578125" bestFit="1" customWidth="1"/>
    <col min="3853" max="3853" width="10" bestFit="1" customWidth="1"/>
    <col min="3854" max="3854" width="5.85546875" bestFit="1" customWidth="1"/>
    <col min="3855" max="3855" width="31.140625" bestFit="1" customWidth="1"/>
    <col min="3879" max="3879" width="0" hidden="1" customWidth="1"/>
    <col min="3882" max="3882" width="57" bestFit="1" customWidth="1"/>
    <col min="3921" max="3921" width="10" bestFit="1" customWidth="1"/>
    <col min="4102" max="4102" width="9.42578125" bestFit="1" customWidth="1"/>
    <col min="4109" max="4109" width="10" bestFit="1" customWidth="1"/>
    <col min="4110" max="4110" width="5.85546875" bestFit="1" customWidth="1"/>
    <col min="4111" max="4111" width="31.140625" bestFit="1" customWidth="1"/>
    <col min="4135" max="4135" width="0" hidden="1" customWidth="1"/>
    <col min="4138" max="4138" width="57" bestFit="1" customWidth="1"/>
    <col min="4177" max="4177" width="10" bestFit="1" customWidth="1"/>
    <col min="4358" max="4358" width="9.42578125" bestFit="1" customWidth="1"/>
    <col min="4365" max="4365" width="10" bestFit="1" customWidth="1"/>
    <col min="4366" max="4366" width="5.85546875" bestFit="1" customWidth="1"/>
    <col min="4367" max="4367" width="31.140625" bestFit="1" customWidth="1"/>
    <col min="4391" max="4391" width="0" hidden="1" customWidth="1"/>
    <col min="4394" max="4394" width="57" bestFit="1" customWidth="1"/>
    <col min="4433" max="4433" width="10" bestFit="1" customWidth="1"/>
    <col min="4614" max="4614" width="9.42578125" bestFit="1" customWidth="1"/>
    <col min="4621" max="4621" width="10" bestFit="1" customWidth="1"/>
    <col min="4622" max="4622" width="5.85546875" bestFit="1" customWidth="1"/>
    <col min="4623" max="4623" width="31.140625" bestFit="1" customWidth="1"/>
    <col min="4647" max="4647" width="0" hidden="1" customWidth="1"/>
    <col min="4650" max="4650" width="57" bestFit="1" customWidth="1"/>
    <col min="4689" max="4689" width="10" bestFit="1" customWidth="1"/>
    <col min="4870" max="4870" width="9.42578125" bestFit="1" customWidth="1"/>
    <col min="4877" max="4877" width="10" bestFit="1" customWidth="1"/>
    <col min="4878" max="4878" width="5.85546875" bestFit="1" customWidth="1"/>
    <col min="4879" max="4879" width="31.140625" bestFit="1" customWidth="1"/>
    <col min="4903" max="4903" width="0" hidden="1" customWidth="1"/>
    <col min="4906" max="4906" width="57" bestFit="1" customWidth="1"/>
    <col min="4945" max="4945" width="10" bestFit="1" customWidth="1"/>
    <col min="5126" max="5126" width="9.42578125" bestFit="1" customWidth="1"/>
    <col min="5133" max="5133" width="10" bestFit="1" customWidth="1"/>
    <col min="5134" max="5134" width="5.85546875" bestFit="1" customWidth="1"/>
    <col min="5135" max="5135" width="31.140625" bestFit="1" customWidth="1"/>
    <col min="5159" max="5159" width="0" hidden="1" customWidth="1"/>
    <col min="5162" max="5162" width="57" bestFit="1" customWidth="1"/>
    <col min="5201" max="5201" width="10" bestFit="1" customWidth="1"/>
    <col min="5382" max="5382" width="9.42578125" bestFit="1" customWidth="1"/>
    <col min="5389" max="5389" width="10" bestFit="1" customWidth="1"/>
    <col min="5390" max="5390" width="5.85546875" bestFit="1" customWidth="1"/>
    <col min="5391" max="5391" width="31.140625" bestFit="1" customWidth="1"/>
    <col min="5415" max="5415" width="0" hidden="1" customWidth="1"/>
    <col min="5418" max="5418" width="57" bestFit="1" customWidth="1"/>
    <col min="5457" max="5457" width="10" bestFit="1" customWidth="1"/>
    <col min="5638" max="5638" width="9.42578125" bestFit="1" customWidth="1"/>
    <col min="5645" max="5645" width="10" bestFit="1" customWidth="1"/>
    <col min="5646" max="5646" width="5.85546875" bestFit="1" customWidth="1"/>
    <col min="5647" max="5647" width="31.140625" bestFit="1" customWidth="1"/>
    <col min="5671" max="5671" width="0" hidden="1" customWidth="1"/>
    <col min="5674" max="5674" width="57" bestFit="1" customWidth="1"/>
    <col min="5713" max="5713" width="10" bestFit="1" customWidth="1"/>
    <col min="5894" max="5894" width="9.42578125" bestFit="1" customWidth="1"/>
    <col min="5901" max="5901" width="10" bestFit="1" customWidth="1"/>
    <col min="5902" max="5902" width="5.85546875" bestFit="1" customWidth="1"/>
    <col min="5903" max="5903" width="31.140625" bestFit="1" customWidth="1"/>
    <col min="5927" max="5927" width="0" hidden="1" customWidth="1"/>
    <col min="5930" max="5930" width="57" bestFit="1" customWidth="1"/>
    <col min="5969" max="5969" width="10" bestFit="1" customWidth="1"/>
    <col min="6150" max="6150" width="9.42578125" bestFit="1" customWidth="1"/>
    <col min="6157" max="6157" width="10" bestFit="1" customWidth="1"/>
    <col min="6158" max="6158" width="5.85546875" bestFit="1" customWidth="1"/>
    <col min="6159" max="6159" width="31.140625" bestFit="1" customWidth="1"/>
    <col min="6183" max="6183" width="0" hidden="1" customWidth="1"/>
    <col min="6186" max="6186" width="57" bestFit="1" customWidth="1"/>
    <col min="6225" max="6225" width="10" bestFit="1" customWidth="1"/>
    <col min="6406" max="6406" width="9.42578125" bestFit="1" customWidth="1"/>
    <col min="6413" max="6413" width="10" bestFit="1" customWidth="1"/>
    <col min="6414" max="6414" width="5.85546875" bestFit="1" customWidth="1"/>
    <col min="6415" max="6415" width="31.140625" bestFit="1" customWidth="1"/>
    <col min="6439" max="6439" width="0" hidden="1" customWidth="1"/>
    <col min="6442" max="6442" width="57" bestFit="1" customWidth="1"/>
    <col min="6481" max="6481" width="10" bestFit="1" customWidth="1"/>
    <col min="6662" max="6662" width="9.42578125" bestFit="1" customWidth="1"/>
    <col min="6669" max="6669" width="10" bestFit="1" customWidth="1"/>
    <col min="6670" max="6670" width="5.85546875" bestFit="1" customWidth="1"/>
    <col min="6671" max="6671" width="31.140625" bestFit="1" customWidth="1"/>
    <col min="6695" max="6695" width="0" hidden="1" customWidth="1"/>
    <col min="6698" max="6698" width="57" bestFit="1" customWidth="1"/>
    <col min="6737" max="6737" width="10" bestFit="1" customWidth="1"/>
    <col min="6918" max="6918" width="9.42578125" bestFit="1" customWidth="1"/>
    <col min="6925" max="6925" width="10" bestFit="1" customWidth="1"/>
    <col min="6926" max="6926" width="5.85546875" bestFit="1" customWidth="1"/>
    <col min="6927" max="6927" width="31.140625" bestFit="1" customWidth="1"/>
    <col min="6951" max="6951" width="0" hidden="1" customWidth="1"/>
    <col min="6954" max="6954" width="57" bestFit="1" customWidth="1"/>
    <col min="6993" max="6993" width="10" bestFit="1" customWidth="1"/>
    <col min="7174" max="7174" width="9.42578125" bestFit="1" customWidth="1"/>
    <col min="7181" max="7181" width="10" bestFit="1" customWidth="1"/>
    <col min="7182" max="7182" width="5.85546875" bestFit="1" customWidth="1"/>
    <col min="7183" max="7183" width="31.140625" bestFit="1" customWidth="1"/>
    <col min="7207" max="7207" width="0" hidden="1" customWidth="1"/>
    <col min="7210" max="7210" width="57" bestFit="1" customWidth="1"/>
    <col min="7249" max="7249" width="10" bestFit="1" customWidth="1"/>
    <col min="7430" max="7430" width="9.42578125" bestFit="1" customWidth="1"/>
    <col min="7437" max="7437" width="10" bestFit="1" customWidth="1"/>
    <col min="7438" max="7438" width="5.85546875" bestFit="1" customWidth="1"/>
    <col min="7439" max="7439" width="31.140625" bestFit="1" customWidth="1"/>
    <col min="7463" max="7463" width="0" hidden="1" customWidth="1"/>
    <col min="7466" max="7466" width="57" bestFit="1" customWidth="1"/>
    <col min="7505" max="7505" width="10" bestFit="1" customWidth="1"/>
    <col min="7686" max="7686" width="9.42578125" bestFit="1" customWidth="1"/>
    <col min="7693" max="7693" width="10" bestFit="1" customWidth="1"/>
    <col min="7694" max="7694" width="5.85546875" bestFit="1" customWidth="1"/>
    <col min="7695" max="7695" width="31.140625" bestFit="1" customWidth="1"/>
    <col min="7719" max="7719" width="0" hidden="1" customWidth="1"/>
    <col min="7722" max="7722" width="57" bestFit="1" customWidth="1"/>
    <col min="7761" max="7761" width="10" bestFit="1" customWidth="1"/>
    <col min="7942" max="7942" width="9.42578125" bestFit="1" customWidth="1"/>
    <col min="7949" max="7949" width="10" bestFit="1" customWidth="1"/>
    <col min="7950" max="7950" width="5.85546875" bestFit="1" customWidth="1"/>
    <col min="7951" max="7951" width="31.140625" bestFit="1" customWidth="1"/>
    <col min="7975" max="7975" width="0" hidden="1" customWidth="1"/>
    <col min="7978" max="7978" width="57" bestFit="1" customWidth="1"/>
    <col min="8017" max="8017" width="10" bestFit="1" customWidth="1"/>
    <col min="8198" max="8198" width="9.42578125" bestFit="1" customWidth="1"/>
    <col min="8205" max="8205" width="10" bestFit="1" customWidth="1"/>
    <col min="8206" max="8206" width="5.85546875" bestFit="1" customWidth="1"/>
    <col min="8207" max="8207" width="31.140625" bestFit="1" customWidth="1"/>
    <col min="8231" max="8231" width="0" hidden="1" customWidth="1"/>
    <col min="8234" max="8234" width="57" bestFit="1" customWidth="1"/>
    <col min="8273" max="8273" width="10" bestFit="1" customWidth="1"/>
    <col min="8454" max="8454" width="9.42578125" bestFit="1" customWidth="1"/>
    <col min="8461" max="8461" width="10" bestFit="1" customWidth="1"/>
    <col min="8462" max="8462" width="5.85546875" bestFit="1" customWidth="1"/>
    <col min="8463" max="8463" width="31.140625" bestFit="1" customWidth="1"/>
    <col min="8487" max="8487" width="0" hidden="1" customWidth="1"/>
    <col min="8490" max="8490" width="57" bestFit="1" customWidth="1"/>
    <col min="8529" max="8529" width="10" bestFit="1" customWidth="1"/>
    <col min="8710" max="8710" width="9.42578125" bestFit="1" customWidth="1"/>
    <col min="8717" max="8717" width="10" bestFit="1" customWidth="1"/>
    <col min="8718" max="8718" width="5.85546875" bestFit="1" customWidth="1"/>
    <col min="8719" max="8719" width="31.140625" bestFit="1" customWidth="1"/>
    <col min="8743" max="8743" width="0" hidden="1" customWidth="1"/>
    <col min="8746" max="8746" width="57" bestFit="1" customWidth="1"/>
    <col min="8785" max="8785" width="10" bestFit="1" customWidth="1"/>
    <col min="8966" max="8966" width="9.42578125" bestFit="1" customWidth="1"/>
    <col min="8973" max="8973" width="10" bestFit="1" customWidth="1"/>
    <col min="8974" max="8974" width="5.85546875" bestFit="1" customWidth="1"/>
    <col min="8975" max="8975" width="31.140625" bestFit="1" customWidth="1"/>
    <col min="8999" max="8999" width="0" hidden="1" customWidth="1"/>
    <col min="9002" max="9002" width="57" bestFit="1" customWidth="1"/>
    <col min="9041" max="9041" width="10" bestFit="1" customWidth="1"/>
    <col min="9222" max="9222" width="9.42578125" bestFit="1" customWidth="1"/>
    <col min="9229" max="9229" width="10" bestFit="1" customWidth="1"/>
    <col min="9230" max="9230" width="5.85546875" bestFit="1" customWidth="1"/>
    <col min="9231" max="9231" width="31.140625" bestFit="1" customWidth="1"/>
    <col min="9255" max="9255" width="0" hidden="1" customWidth="1"/>
    <col min="9258" max="9258" width="57" bestFit="1" customWidth="1"/>
    <col min="9297" max="9297" width="10" bestFit="1" customWidth="1"/>
    <col min="9478" max="9478" width="9.42578125" bestFit="1" customWidth="1"/>
    <col min="9485" max="9485" width="10" bestFit="1" customWidth="1"/>
    <col min="9486" max="9486" width="5.85546875" bestFit="1" customWidth="1"/>
    <col min="9487" max="9487" width="31.140625" bestFit="1" customWidth="1"/>
    <col min="9511" max="9511" width="0" hidden="1" customWidth="1"/>
    <col min="9514" max="9514" width="57" bestFit="1" customWidth="1"/>
    <col min="9553" max="9553" width="10" bestFit="1" customWidth="1"/>
    <col min="9734" max="9734" width="9.42578125" bestFit="1" customWidth="1"/>
    <col min="9741" max="9741" width="10" bestFit="1" customWidth="1"/>
    <col min="9742" max="9742" width="5.85546875" bestFit="1" customWidth="1"/>
    <col min="9743" max="9743" width="31.140625" bestFit="1" customWidth="1"/>
    <col min="9767" max="9767" width="0" hidden="1" customWidth="1"/>
    <col min="9770" max="9770" width="57" bestFit="1" customWidth="1"/>
    <col min="9809" max="9809" width="10" bestFit="1" customWidth="1"/>
    <col min="9990" max="9990" width="9.42578125" bestFit="1" customWidth="1"/>
    <col min="9997" max="9997" width="10" bestFit="1" customWidth="1"/>
    <col min="9998" max="9998" width="5.85546875" bestFit="1" customWidth="1"/>
    <col min="9999" max="9999" width="31.140625" bestFit="1" customWidth="1"/>
    <col min="10023" max="10023" width="0" hidden="1" customWidth="1"/>
    <col min="10026" max="10026" width="57" bestFit="1" customWidth="1"/>
    <col min="10065" max="10065" width="10" bestFit="1" customWidth="1"/>
    <col min="10246" max="10246" width="9.42578125" bestFit="1" customWidth="1"/>
    <col min="10253" max="10253" width="10" bestFit="1" customWidth="1"/>
    <col min="10254" max="10254" width="5.85546875" bestFit="1" customWidth="1"/>
    <col min="10255" max="10255" width="31.140625" bestFit="1" customWidth="1"/>
    <col min="10279" max="10279" width="0" hidden="1" customWidth="1"/>
    <col min="10282" max="10282" width="57" bestFit="1" customWidth="1"/>
    <col min="10321" max="10321" width="10" bestFit="1" customWidth="1"/>
    <col min="10502" max="10502" width="9.42578125" bestFit="1" customWidth="1"/>
    <col min="10509" max="10509" width="10" bestFit="1" customWidth="1"/>
    <col min="10510" max="10510" width="5.85546875" bestFit="1" customWidth="1"/>
    <col min="10511" max="10511" width="31.140625" bestFit="1" customWidth="1"/>
    <col min="10535" max="10535" width="0" hidden="1" customWidth="1"/>
    <col min="10538" max="10538" width="57" bestFit="1" customWidth="1"/>
    <col min="10577" max="10577" width="10" bestFit="1" customWidth="1"/>
    <col min="10758" max="10758" width="9.42578125" bestFit="1" customWidth="1"/>
    <col min="10765" max="10765" width="10" bestFit="1" customWidth="1"/>
    <col min="10766" max="10766" width="5.85546875" bestFit="1" customWidth="1"/>
    <col min="10767" max="10767" width="31.140625" bestFit="1" customWidth="1"/>
    <col min="10791" max="10791" width="0" hidden="1" customWidth="1"/>
    <col min="10794" max="10794" width="57" bestFit="1" customWidth="1"/>
    <col min="10833" max="10833" width="10" bestFit="1" customWidth="1"/>
    <col min="11014" max="11014" width="9.42578125" bestFit="1" customWidth="1"/>
    <col min="11021" max="11021" width="10" bestFit="1" customWidth="1"/>
    <col min="11022" max="11022" width="5.85546875" bestFit="1" customWidth="1"/>
    <col min="11023" max="11023" width="31.140625" bestFit="1" customWidth="1"/>
    <col min="11047" max="11047" width="0" hidden="1" customWidth="1"/>
    <col min="11050" max="11050" width="57" bestFit="1" customWidth="1"/>
    <col min="11089" max="11089" width="10" bestFit="1" customWidth="1"/>
    <col min="11270" max="11270" width="9.42578125" bestFit="1" customWidth="1"/>
    <col min="11277" max="11277" width="10" bestFit="1" customWidth="1"/>
    <col min="11278" max="11278" width="5.85546875" bestFit="1" customWidth="1"/>
    <col min="11279" max="11279" width="31.140625" bestFit="1" customWidth="1"/>
    <col min="11303" max="11303" width="0" hidden="1" customWidth="1"/>
    <col min="11306" max="11306" width="57" bestFit="1" customWidth="1"/>
    <col min="11345" max="11345" width="10" bestFit="1" customWidth="1"/>
    <col min="11526" max="11526" width="9.42578125" bestFit="1" customWidth="1"/>
    <col min="11533" max="11533" width="10" bestFit="1" customWidth="1"/>
    <col min="11534" max="11534" width="5.85546875" bestFit="1" customWidth="1"/>
    <col min="11535" max="11535" width="31.140625" bestFit="1" customWidth="1"/>
    <col min="11559" max="11559" width="0" hidden="1" customWidth="1"/>
    <col min="11562" max="11562" width="57" bestFit="1" customWidth="1"/>
    <col min="11601" max="11601" width="10" bestFit="1" customWidth="1"/>
    <col min="11782" max="11782" width="9.42578125" bestFit="1" customWidth="1"/>
    <col min="11789" max="11789" width="10" bestFit="1" customWidth="1"/>
    <col min="11790" max="11790" width="5.85546875" bestFit="1" customWidth="1"/>
    <col min="11791" max="11791" width="31.140625" bestFit="1" customWidth="1"/>
    <col min="11815" max="11815" width="0" hidden="1" customWidth="1"/>
    <col min="11818" max="11818" width="57" bestFit="1" customWidth="1"/>
    <col min="11857" max="11857" width="10" bestFit="1" customWidth="1"/>
    <col min="12038" max="12038" width="9.42578125" bestFit="1" customWidth="1"/>
    <col min="12045" max="12045" width="10" bestFit="1" customWidth="1"/>
    <col min="12046" max="12046" width="5.85546875" bestFit="1" customWidth="1"/>
    <col min="12047" max="12047" width="31.140625" bestFit="1" customWidth="1"/>
    <col min="12071" max="12071" width="0" hidden="1" customWidth="1"/>
    <col min="12074" max="12074" width="57" bestFit="1" customWidth="1"/>
    <col min="12113" max="12113" width="10" bestFit="1" customWidth="1"/>
    <col min="12294" max="12294" width="9.42578125" bestFit="1" customWidth="1"/>
    <col min="12301" max="12301" width="10" bestFit="1" customWidth="1"/>
    <col min="12302" max="12302" width="5.85546875" bestFit="1" customWidth="1"/>
    <col min="12303" max="12303" width="31.140625" bestFit="1" customWidth="1"/>
    <col min="12327" max="12327" width="0" hidden="1" customWidth="1"/>
    <col min="12330" max="12330" width="57" bestFit="1" customWidth="1"/>
    <col min="12369" max="12369" width="10" bestFit="1" customWidth="1"/>
    <col min="12550" max="12550" width="9.42578125" bestFit="1" customWidth="1"/>
    <col min="12557" max="12557" width="10" bestFit="1" customWidth="1"/>
    <col min="12558" max="12558" width="5.85546875" bestFit="1" customWidth="1"/>
    <col min="12559" max="12559" width="31.140625" bestFit="1" customWidth="1"/>
    <col min="12583" max="12583" width="0" hidden="1" customWidth="1"/>
    <col min="12586" max="12586" width="57" bestFit="1" customWidth="1"/>
    <col min="12625" max="12625" width="10" bestFit="1" customWidth="1"/>
    <col min="12806" max="12806" width="9.42578125" bestFit="1" customWidth="1"/>
    <col min="12813" max="12813" width="10" bestFit="1" customWidth="1"/>
    <col min="12814" max="12814" width="5.85546875" bestFit="1" customWidth="1"/>
    <col min="12815" max="12815" width="31.140625" bestFit="1" customWidth="1"/>
    <col min="12839" max="12839" width="0" hidden="1" customWidth="1"/>
    <col min="12842" max="12842" width="57" bestFit="1" customWidth="1"/>
    <col min="12881" max="12881" width="10" bestFit="1" customWidth="1"/>
    <col min="13062" max="13062" width="9.42578125" bestFit="1" customWidth="1"/>
    <col min="13069" max="13069" width="10" bestFit="1" customWidth="1"/>
    <col min="13070" max="13070" width="5.85546875" bestFit="1" customWidth="1"/>
    <col min="13071" max="13071" width="31.140625" bestFit="1" customWidth="1"/>
    <col min="13095" max="13095" width="0" hidden="1" customWidth="1"/>
    <col min="13098" max="13098" width="57" bestFit="1" customWidth="1"/>
    <col min="13137" max="13137" width="10" bestFit="1" customWidth="1"/>
    <col min="13318" max="13318" width="9.42578125" bestFit="1" customWidth="1"/>
    <col min="13325" max="13325" width="10" bestFit="1" customWidth="1"/>
    <col min="13326" max="13326" width="5.85546875" bestFit="1" customWidth="1"/>
    <col min="13327" max="13327" width="31.140625" bestFit="1" customWidth="1"/>
    <col min="13351" max="13351" width="0" hidden="1" customWidth="1"/>
    <col min="13354" max="13354" width="57" bestFit="1" customWidth="1"/>
    <col min="13393" max="13393" width="10" bestFit="1" customWidth="1"/>
    <col min="13574" max="13574" width="9.42578125" bestFit="1" customWidth="1"/>
    <col min="13581" max="13581" width="10" bestFit="1" customWidth="1"/>
    <col min="13582" max="13582" width="5.85546875" bestFit="1" customWidth="1"/>
    <col min="13583" max="13583" width="31.140625" bestFit="1" customWidth="1"/>
    <col min="13607" max="13607" width="0" hidden="1" customWidth="1"/>
    <col min="13610" max="13610" width="57" bestFit="1" customWidth="1"/>
    <col min="13649" max="13649" width="10" bestFit="1" customWidth="1"/>
    <col min="13830" max="13830" width="9.42578125" bestFit="1" customWidth="1"/>
    <col min="13837" max="13837" width="10" bestFit="1" customWidth="1"/>
    <col min="13838" max="13838" width="5.85546875" bestFit="1" customWidth="1"/>
    <col min="13839" max="13839" width="31.140625" bestFit="1" customWidth="1"/>
    <col min="13863" max="13863" width="0" hidden="1" customWidth="1"/>
    <col min="13866" max="13866" width="57" bestFit="1" customWidth="1"/>
    <col min="13905" max="13905" width="10" bestFit="1" customWidth="1"/>
    <col min="14086" max="14086" width="9.42578125" bestFit="1" customWidth="1"/>
    <col min="14093" max="14093" width="10" bestFit="1" customWidth="1"/>
    <col min="14094" max="14094" width="5.85546875" bestFit="1" customWidth="1"/>
    <col min="14095" max="14095" width="31.140625" bestFit="1" customWidth="1"/>
    <col min="14119" max="14119" width="0" hidden="1" customWidth="1"/>
    <col min="14122" max="14122" width="57" bestFit="1" customWidth="1"/>
    <col min="14161" max="14161" width="10" bestFit="1" customWidth="1"/>
    <col min="14342" max="14342" width="9.42578125" bestFit="1" customWidth="1"/>
    <col min="14349" max="14349" width="10" bestFit="1" customWidth="1"/>
    <col min="14350" max="14350" width="5.85546875" bestFit="1" customWidth="1"/>
    <col min="14351" max="14351" width="31.140625" bestFit="1" customWidth="1"/>
    <col min="14375" max="14375" width="0" hidden="1" customWidth="1"/>
    <col min="14378" max="14378" width="57" bestFit="1" customWidth="1"/>
    <col min="14417" max="14417" width="10" bestFit="1" customWidth="1"/>
    <col min="14598" max="14598" width="9.42578125" bestFit="1" customWidth="1"/>
    <col min="14605" max="14605" width="10" bestFit="1" customWidth="1"/>
    <col min="14606" max="14606" width="5.85546875" bestFit="1" customWidth="1"/>
    <col min="14607" max="14607" width="31.140625" bestFit="1" customWidth="1"/>
    <col min="14631" max="14631" width="0" hidden="1" customWidth="1"/>
    <col min="14634" max="14634" width="57" bestFit="1" customWidth="1"/>
    <col min="14673" max="14673" width="10" bestFit="1" customWidth="1"/>
    <col min="14854" max="14854" width="9.42578125" bestFit="1" customWidth="1"/>
    <col min="14861" max="14861" width="10" bestFit="1" customWidth="1"/>
    <col min="14862" max="14862" width="5.85546875" bestFit="1" customWidth="1"/>
    <col min="14863" max="14863" width="31.140625" bestFit="1" customWidth="1"/>
    <col min="14887" max="14887" width="0" hidden="1" customWidth="1"/>
    <col min="14890" max="14890" width="57" bestFit="1" customWidth="1"/>
    <col min="14929" max="14929" width="10" bestFit="1" customWidth="1"/>
    <col min="15110" max="15110" width="9.42578125" bestFit="1" customWidth="1"/>
    <col min="15117" max="15117" width="10" bestFit="1" customWidth="1"/>
    <col min="15118" max="15118" width="5.85546875" bestFit="1" customWidth="1"/>
    <col min="15119" max="15119" width="31.140625" bestFit="1" customWidth="1"/>
    <col min="15143" max="15143" width="0" hidden="1" customWidth="1"/>
    <col min="15146" max="15146" width="57" bestFit="1" customWidth="1"/>
    <col min="15185" max="15185" width="10" bestFit="1" customWidth="1"/>
    <col min="15366" max="15366" width="9.42578125" bestFit="1" customWidth="1"/>
    <col min="15373" max="15373" width="10" bestFit="1" customWidth="1"/>
    <col min="15374" max="15374" width="5.85546875" bestFit="1" customWidth="1"/>
    <col min="15375" max="15375" width="31.140625" bestFit="1" customWidth="1"/>
    <col min="15399" max="15399" width="0" hidden="1" customWidth="1"/>
    <col min="15402" max="15402" width="57" bestFit="1" customWidth="1"/>
    <col min="15441" max="15441" width="10" bestFit="1" customWidth="1"/>
    <col min="15622" max="15622" width="9.42578125" bestFit="1" customWidth="1"/>
    <col min="15629" max="15629" width="10" bestFit="1" customWidth="1"/>
    <col min="15630" max="15630" width="5.85546875" bestFit="1" customWidth="1"/>
    <col min="15631" max="15631" width="31.140625" bestFit="1" customWidth="1"/>
    <col min="15655" max="15655" width="0" hidden="1" customWidth="1"/>
    <col min="15658" max="15658" width="57" bestFit="1" customWidth="1"/>
    <col min="15697" max="15697" width="10" bestFit="1" customWidth="1"/>
    <col min="15878" max="15878" width="9.42578125" bestFit="1" customWidth="1"/>
    <col min="15885" max="15885" width="10" bestFit="1" customWidth="1"/>
    <col min="15886" max="15886" width="5.85546875" bestFit="1" customWidth="1"/>
    <col min="15887" max="15887" width="31.140625" bestFit="1" customWidth="1"/>
    <col min="15911" max="15911" width="0" hidden="1" customWidth="1"/>
    <col min="15914" max="15914" width="57" bestFit="1" customWidth="1"/>
    <col min="15953" max="15953" width="10" bestFit="1" customWidth="1"/>
    <col min="16134" max="16134" width="9.42578125" bestFit="1" customWidth="1"/>
    <col min="16141" max="16141" width="10" bestFit="1" customWidth="1"/>
    <col min="16142" max="16142" width="5.85546875" bestFit="1" customWidth="1"/>
    <col min="16143" max="16143" width="31.140625" bestFit="1" customWidth="1"/>
    <col min="16167" max="16167" width="0" hidden="1" customWidth="1"/>
    <col min="16170" max="16170" width="57" bestFit="1" customWidth="1"/>
    <col min="16209" max="16209" width="10" bestFit="1" customWidth="1"/>
  </cols>
  <sheetData>
    <row r="1" spans="1:91">
      <c r="A1" s="1986"/>
      <c r="B1" s="1986"/>
      <c r="C1" s="1760"/>
      <c r="D1" s="1760"/>
      <c r="E1" s="1760"/>
      <c r="F1" s="1759"/>
      <c r="G1" s="1760"/>
      <c r="H1" s="1760"/>
      <c r="I1" s="1760"/>
      <c r="J1" s="1760"/>
      <c r="K1" s="1760"/>
      <c r="L1" s="1987"/>
      <c r="M1" s="1760" t="s">
        <v>1549</v>
      </c>
      <c r="N1" s="1760"/>
      <c r="O1" s="1760"/>
      <c r="P1" s="1760"/>
      <c r="S1" s="1760"/>
      <c r="T1" s="1760"/>
      <c r="U1" s="1760"/>
      <c r="V1" s="1760"/>
      <c r="W1" s="1760"/>
      <c r="X1" s="1760"/>
      <c r="Y1" s="1760"/>
      <c r="Z1" s="1760"/>
      <c r="AA1" s="1760"/>
      <c r="AB1" s="1760"/>
      <c r="AC1" s="1760"/>
      <c r="AD1" s="1760"/>
      <c r="AE1" s="1760"/>
      <c r="AF1" s="1760"/>
      <c r="AG1" s="1760"/>
      <c r="AH1" s="1760"/>
      <c r="AI1" s="1760"/>
      <c r="AJ1" s="1760"/>
      <c r="AK1" s="1760"/>
      <c r="AL1" s="1760"/>
      <c r="AM1" s="1760"/>
      <c r="AN1" s="1760"/>
      <c r="AO1" s="1760"/>
      <c r="AP1" s="1760"/>
      <c r="AQ1" s="1760"/>
      <c r="AR1" s="1760"/>
      <c r="AS1" s="1760"/>
      <c r="AT1" s="1760"/>
      <c r="AU1" s="1760"/>
      <c r="AV1" s="1760"/>
      <c r="AW1" s="1760"/>
      <c r="AX1" s="1760"/>
      <c r="AY1" s="1760"/>
      <c r="AZ1" s="1760"/>
      <c r="BA1" s="1760"/>
      <c r="BB1" s="1760"/>
      <c r="BC1" s="1760"/>
      <c r="BD1" s="1760"/>
      <c r="BE1" s="1760"/>
      <c r="BF1" s="1760"/>
      <c r="BG1" s="1760"/>
      <c r="BH1" s="1760"/>
      <c r="BI1" s="1760"/>
      <c r="BJ1" s="1760"/>
      <c r="BK1" s="1760"/>
      <c r="BL1" s="1760"/>
      <c r="BM1" s="1760"/>
      <c r="BN1" s="1760"/>
      <c r="BO1" s="1760"/>
      <c r="BP1" s="1760"/>
      <c r="BQ1" s="1760"/>
      <c r="BR1" s="1760"/>
      <c r="BS1" s="1760"/>
      <c r="BT1" s="1760"/>
      <c r="BU1" s="1760"/>
      <c r="BV1" s="1760"/>
      <c r="BW1" s="1760"/>
      <c r="BX1" s="1760"/>
      <c r="BY1" s="1760"/>
      <c r="BZ1" s="1760"/>
      <c r="CA1" s="1760"/>
      <c r="CB1" s="1760"/>
      <c r="CC1" s="1760"/>
      <c r="CD1" s="1760"/>
      <c r="CE1" s="1760"/>
      <c r="CF1" s="1760"/>
      <c r="CG1" s="1760"/>
      <c r="CH1" s="1760"/>
      <c r="CI1" s="1760"/>
      <c r="CJ1" s="1760"/>
      <c r="CK1" s="1760"/>
      <c r="CL1" s="1760"/>
      <c r="CM1" s="1760"/>
    </row>
    <row r="2" spans="1:91">
      <c r="A2" s="1988"/>
      <c r="B2" s="1988"/>
      <c r="C2" s="1760"/>
      <c r="D2" s="1760"/>
      <c r="E2" s="1760"/>
      <c r="F2" s="2539" t="s">
        <v>608</v>
      </c>
      <c r="G2" s="2539"/>
      <c r="H2" s="2539"/>
      <c r="I2" s="2539"/>
      <c r="J2" s="2539"/>
      <c r="K2" s="2539"/>
      <c r="L2" s="1989"/>
      <c r="M2" s="1760" t="s">
        <v>1550</v>
      </c>
      <c r="N2" s="1760"/>
      <c r="O2" s="1760"/>
      <c r="P2" s="1760"/>
      <c r="Q2" s="1760"/>
      <c r="R2" s="2539"/>
      <c r="S2" s="2539"/>
      <c r="T2" s="2539"/>
      <c r="U2" s="2539"/>
      <c r="V2" s="2539"/>
      <c r="W2" s="2539"/>
      <c r="X2" s="1760"/>
      <c r="Y2" s="1760"/>
      <c r="Z2" s="1760"/>
      <c r="AA2" s="1760"/>
      <c r="AB2" s="1760"/>
      <c r="AC2" s="1760"/>
      <c r="AD2" s="1760"/>
      <c r="AE2" s="1760"/>
      <c r="AF2" s="1760"/>
      <c r="AG2" s="1760"/>
      <c r="AH2" s="1760"/>
      <c r="AI2" s="1760"/>
      <c r="AJ2" s="1760"/>
      <c r="AK2" s="1760"/>
      <c r="AL2" s="1760"/>
      <c r="AM2" s="1760"/>
      <c r="AN2" s="3266"/>
      <c r="AO2" s="3266"/>
      <c r="AP2" s="3266"/>
      <c r="AQ2" s="3266"/>
      <c r="AR2" s="3266"/>
      <c r="AS2" s="3266"/>
      <c r="AT2" s="3266"/>
      <c r="AU2" s="3266"/>
      <c r="AV2" s="3266"/>
      <c r="AW2" s="1760"/>
      <c r="AX2" s="1760"/>
      <c r="AY2" s="1760"/>
      <c r="AZ2" s="1760"/>
      <c r="BA2" s="1760"/>
      <c r="BB2" s="1760"/>
      <c r="BC2" s="1760"/>
      <c r="BD2" s="1760"/>
      <c r="BE2" s="1760"/>
      <c r="BF2" s="1760"/>
      <c r="BG2" s="1760">
        <v>1</v>
      </c>
      <c r="BH2" s="1760">
        <v>2</v>
      </c>
      <c r="BI2" s="1760">
        <v>3</v>
      </c>
      <c r="BJ2" s="1760">
        <v>4</v>
      </c>
      <c r="BK2" s="1760">
        <v>5</v>
      </c>
      <c r="BL2" s="1760">
        <v>6</v>
      </c>
      <c r="BM2" s="1760">
        <v>7</v>
      </c>
      <c r="BN2" s="1760">
        <v>8</v>
      </c>
      <c r="BO2" s="1760">
        <v>9</v>
      </c>
      <c r="BP2" s="1760"/>
      <c r="BQ2" s="3266"/>
      <c r="BR2" s="3266"/>
      <c r="BS2" s="3266"/>
      <c r="BT2" s="3266"/>
      <c r="BU2" s="3266"/>
      <c r="BV2" s="3266"/>
      <c r="BW2" s="3266"/>
      <c r="BX2" s="3266"/>
      <c r="BY2" s="3266"/>
      <c r="BZ2" s="1760"/>
      <c r="CA2" s="1760"/>
      <c r="CB2" s="1760"/>
      <c r="CC2" s="1760"/>
      <c r="CD2" s="1760"/>
      <c r="CE2" s="1760"/>
      <c r="CF2" s="1760"/>
      <c r="CG2" s="1760"/>
      <c r="CH2" s="1760"/>
      <c r="CI2" s="1760"/>
      <c r="CJ2" s="1760"/>
      <c r="CK2" s="1760"/>
      <c r="CL2" s="1760"/>
      <c r="CM2" s="1760"/>
    </row>
    <row r="3" spans="1:91">
      <c r="A3" s="1990"/>
      <c r="B3" s="2572"/>
      <c r="C3" s="3709"/>
      <c r="D3" s="1076" t="s">
        <v>609</v>
      </c>
      <c r="E3" s="1076"/>
      <c r="F3" s="1991"/>
      <c r="G3" s="1076" t="s">
        <v>610</v>
      </c>
      <c r="H3" s="1076"/>
      <c r="I3" s="1076"/>
      <c r="J3" s="1076"/>
      <c r="K3" s="1076"/>
      <c r="L3" s="1076"/>
      <c r="M3" s="1076"/>
      <c r="N3" s="1991"/>
      <c r="O3" s="2540" t="s">
        <v>611</v>
      </c>
      <c r="P3" s="2510"/>
      <c r="Q3" s="2510"/>
      <c r="R3" s="2510"/>
      <c r="S3" s="2510"/>
      <c r="T3" s="2510"/>
      <c r="U3" s="2510"/>
      <c r="V3" s="2510"/>
      <c r="W3" s="2510"/>
      <c r="X3" s="2510"/>
      <c r="Y3" s="2510"/>
      <c r="Z3" s="2510"/>
      <c r="AA3" s="2510"/>
      <c r="AB3" s="2510"/>
      <c r="AC3" s="2510"/>
      <c r="AD3" s="2510"/>
      <c r="AE3" s="2510"/>
      <c r="AF3" s="2510"/>
      <c r="AG3" s="2510"/>
      <c r="AH3" s="2510"/>
      <c r="AI3" s="2510"/>
      <c r="AJ3" s="2510"/>
      <c r="AK3" s="2510"/>
      <c r="AL3" s="2510"/>
      <c r="AM3" s="2510"/>
      <c r="AN3" s="3267" t="s">
        <v>612</v>
      </c>
      <c r="AO3" s="3268"/>
      <c r="AP3" s="3268"/>
      <c r="AQ3" s="3268"/>
      <c r="AR3" s="3268"/>
      <c r="AS3" s="3268"/>
      <c r="AT3" s="3268"/>
      <c r="AU3" s="3268"/>
      <c r="AV3" s="3268"/>
      <c r="AW3" s="3268"/>
      <c r="AX3" s="3268"/>
      <c r="AY3" s="3268"/>
      <c r="AZ3" s="3268"/>
      <c r="BA3" s="3268"/>
      <c r="BB3" s="3268"/>
      <c r="BC3" s="3268"/>
      <c r="BD3" s="3268"/>
      <c r="BE3" s="3268"/>
      <c r="BF3" s="3268"/>
      <c r="BG3" s="3268"/>
      <c r="BH3" s="3268"/>
      <c r="BI3" s="3268"/>
      <c r="BJ3" s="3268"/>
      <c r="BK3" s="3268"/>
      <c r="BL3" s="3268"/>
      <c r="BM3" s="3268"/>
      <c r="BN3" s="3268"/>
      <c r="BO3" s="3269"/>
      <c r="BP3" s="2510"/>
      <c r="BQ3" s="3267" t="s">
        <v>613</v>
      </c>
      <c r="BR3" s="3268"/>
      <c r="BS3" s="3268"/>
      <c r="BT3" s="3268"/>
      <c r="BU3" s="3268"/>
      <c r="BV3" s="3268"/>
      <c r="BW3" s="3268"/>
      <c r="BX3" s="3268"/>
      <c r="BY3" s="3268"/>
      <c r="BZ3" s="3268"/>
      <c r="CA3" s="3268"/>
      <c r="CB3" s="3268"/>
      <c r="CC3" s="3268"/>
      <c r="CD3" s="3268"/>
      <c r="CE3" s="3268"/>
      <c r="CF3" s="3268"/>
      <c r="CG3" s="3268"/>
      <c r="CH3" s="3268"/>
      <c r="CI3" s="3268"/>
      <c r="CJ3" s="3268"/>
      <c r="CK3" s="3268"/>
      <c r="CL3" s="3268"/>
      <c r="CM3" s="3269"/>
    </row>
    <row r="4" spans="1:91" ht="46.5" thickBot="1">
      <c r="A4" s="2107" t="s">
        <v>0</v>
      </c>
      <c r="B4" s="2573"/>
      <c r="C4" s="1992"/>
      <c r="D4" s="1993" t="s">
        <v>615</v>
      </c>
      <c r="E4" s="2002" t="s">
        <v>616</v>
      </c>
      <c r="F4" s="2108" t="s">
        <v>617</v>
      </c>
      <c r="G4" s="1993" t="s">
        <v>618</v>
      </c>
      <c r="H4" s="2002" t="s">
        <v>619</v>
      </c>
      <c r="I4" s="2002" t="s">
        <v>1551</v>
      </c>
      <c r="J4" s="2002" t="s">
        <v>624</v>
      </c>
      <c r="K4" s="2002" t="s">
        <v>1552</v>
      </c>
      <c r="L4" s="2002" t="s">
        <v>626</v>
      </c>
      <c r="M4" s="2002" t="s">
        <v>627</v>
      </c>
      <c r="N4" s="1994" t="s">
        <v>628</v>
      </c>
      <c r="O4" s="1995"/>
      <c r="P4" s="3710" t="s">
        <v>629</v>
      </c>
      <c r="Q4" s="1996" t="s">
        <v>624</v>
      </c>
      <c r="R4" s="1996" t="s">
        <v>635</v>
      </c>
      <c r="S4" s="1996" t="s">
        <v>634</v>
      </c>
      <c r="T4" s="1996" t="s">
        <v>638</v>
      </c>
      <c r="U4" s="1996" t="s">
        <v>643</v>
      </c>
      <c r="V4" s="1996" t="s">
        <v>644</v>
      </c>
      <c r="W4" s="1996" t="s">
        <v>646</v>
      </c>
      <c r="X4" s="1996" t="s">
        <v>647</v>
      </c>
      <c r="Y4" s="1996" t="s">
        <v>648</v>
      </c>
      <c r="Z4" s="1996" t="s">
        <v>649</v>
      </c>
      <c r="AA4" s="1996" t="s">
        <v>697</v>
      </c>
      <c r="AB4" s="1996" t="s">
        <v>627</v>
      </c>
      <c r="AC4" s="1996" t="s">
        <v>1553</v>
      </c>
      <c r="AD4" s="1996" t="s">
        <v>1235</v>
      </c>
      <c r="AE4" s="1997" t="s">
        <v>661</v>
      </c>
      <c r="AF4" s="1998" t="s">
        <v>663</v>
      </c>
      <c r="AG4" s="1997" t="s">
        <v>1554</v>
      </c>
      <c r="AH4" s="1997" t="s">
        <v>665</v>
      </c>
      <c r="AI4" s="1997" t="s">
        <v>701</v>
      </c>
      <c r="AJ4" s="1997" t="s">
        <v>667</v>
      </c>
      <c r="AK4" s="1997" t="s">
        <v>668</v>
      </c>
      <c r="AL4" s="1997" t="s">
        <v>669</v>
      </c>
      <c r="AM4" s="1999" t="s">
        <v>670</v>
      </c>
      <c r="AN4" s="2000" t="s">
        <v>671</v>
      </c>
      <c r="AO4" s="2002" t="s">
        <v>675</v>
      </c>
      <c r="AP4" s="2001"/>
      <c r="AQ4" s="3711" t="s">
        <v>629</v>
      </c>
      <c r="AR4" s="2002" t="s">
        <v>1555</v>
      </c>
      <c r="AS4" s="2003" t="s">
        <v>635</v>
      </c>
      <c r="AT4" s="2002" t="s">
        <v>634</v>
      </c>
      <c r="AU4" s="2003" t="s">
        <v>638</v>
      </c>
      <c r="AV4" s="2003" t="s">
        <v>643</v>
      </c>
      <c r="AW4" s="2002" t="s">
        <v>644</v>
      </c>
      <c r="AX4" s="2003" t="s">
        <v>646</v>
      </c>
      <c r="AY4" s="2003" t="s">
        <v>647</v>
      </c>
      <c r="AZ4" s="2003" t="s">
        <v>648</v>
      </c>
      <c r="BA4" s="2003" t="s">
        <v>649</v>
      </c>
      <c r="BB4" s="2002" t="s">
        <v>697</v>
      </c>
      <c r="BC4" s="2004" t="s">
        <v>627</v>
      </c>
      <c r="BD4" s="2004" t="s">
        <v>1553</v>
      </c>
      <c r="BE4" s="2003" t="s">
        <v>1235</v>
      </c>
      <c r="BF4" s="2005" t="s">
        <v>1556</v>
      </c>
      <c r="BG4" s="1998" t="s">
        <v>661</v>
      </c>
      <c r="BH4" s="1998" t="s">
        <v>688</v>
      </c>
      <c r="BI4" s="1998" t="s">
        <v>663</v>
      </c>
      <c r="BJ4" s="1998" t="s">
        <v>1554</v>
      </c>
      <c r="BK4" s="1998" t="s">
        <v>665</v>
      </c>
      <c r="BL4" s="1998" t="s">
        <v>701</v>
      </c>
      <c r="BM4" s="1998" t="s">
        <v>667</v>
      </c>
      <c r="BN4" s="1998" t="s">
        <v>668</v>
      </c>
      <c r="BO4" s="1998" t="s">
        <v>669</v>
      </c>
      <c r="BP4" s="2006" t="s">
        <v>670</v>
      </c>
      <c r="BQ4" s="2007" t="s">
        <v>629</v>
      </c>
      <c r="BR4" s="1993" t="s">
        <v>1557</v>
      </c>
      <c r="BS4" s="2002" t="s">
        <v>1558</v>
      </c>
      <c r="BT4" s="2002" t="s">
        <v>634</v>
      </c>
      <c r="BU4" s="2003" t="s">
        <v>638</v>
      </c>
      <c r="BV4" s="2003" t="s">
        <v>643</v>
      </c>
      <c r="BW4" s="2002" t="s">
        <v>644</v>
      </c>
      <c r="BX4" s="2003" t="s">
        <v>646</v>
      </c>
      <c r="BY4" s="2003" t="s">
        <v>647</v>
      </c>
      <c r="BZ4" s="2003" t="s">
        <v>648</v>
      </c>
      <c r="CA4" s="2003" t="s">
        <v>649</v>
      </c>
      <c r="CB4" s="2008" t="s">
        <v>697</v>
      </c>
      <c r="CC4" s="2003" t="s">
        <v>627</v>
      </c>
      <c r="CD4" s="2009" t="s">
        <v>1559</v>
      </c>
      <c r="CE4" s="2003" t="s">
        <v>628</v>
      </c>
      <c r="CF4" s="2003" t="s">
        <v>1556</v>
      </c>
      <c r="CG4" s="2009" t="s">
        <v>661</v>
      </c>
      <c r="CH4" s="2009" t="s">
        <v>688</v>
      </c>
      <c r="CI4" s="2009" t="s">
        <v>663</v>
      </c>
      <c r="CJ4" s="1998" t="s">
        <v>665</v>
      </c>
      <c r="CK4" s="1998" t="s">
        <v>701</v>
      </c>
      <c r="CL4" s="1998" t="s">
        <v>667</v>
      </c>
      <c r="CM4" s="1998" t="s">
        <v>668</v>
      </c>
    </row>
    <row r="5" spans="1:91">
      <c r="A5" s="3270">
        <v>1</v>
      </c>
      <c r="B5" s="2551" t="str">
        <f>IF(E5="",,3&amp;IF(LEN($D5)=1,"0000"&amp;$D5,IF(LEN($D5)=2,"000"&amp;$D5,IF(LEN($D5)=3,"00"&amp;$D5,IF(LEN($D5)=4,"0"&amp;$D5,IF(LEN($D5)=5,$D5,0)))))&amp;IF(LEN(E5)=1,"000"&amp;E5,IF(LEN(E5)=2,"00"&amp;E5,IF(LEN(E5)=3,"0"&amp;E5,IF(LEN(E5)=4,E5,0)))))</f>
        <v>3014370046</v>
      </c>
      <c r="C5" s="2010" t="s">
        <v>703</v>
      </c>
      <c r="D5" s="2011">
        <v>1437</v>
      </c>
      <c r="E5" s="2011">
        <v>46</v>
      </c>
      <c r="F5" s="2494">
        <v>23333</v>
      </c>
      <c r="G5" s="2496" t="s">
        <v>756</v>
      </c>
      <c r="H5" s="2011" t="s">
        <v>1560</v>
      </c>
      <c r="I5" s="2012">
        <v>2</v>
      </c>
      <c r="J5" s="2491">
        <v>0</v>
      </c>
      <c r="K5" s="2491">
        <v>0</v>
      </c>
      <c r="L5" s="2491">
        <v>0</v>
      </c>
      <c r="M5" s="2491">
        <v>0</v>
      </c>
      <c r="N5" s="2489">
        <v>0</v>
      </c>
      <c r="O5" s="2013" t="s">
        <v>1561</v>
      </c>
      <c r="P5" s="3272">
        <v>0</v>
      </c>
      <c r="Q5" s="3265">
        <v>28000</v>
      </c>
      <c r="R5" s="3265">
        <v>0</v>
      </c>
      <c r="S5" s="3265">
        <v>0</v>
      </c>
      <c r="T5" s="3265">
        <v>0</v>
      </c>
      <c r="U5" s="3265">
        <v>0</v>
      </c>
      <c r="V5" s="3265">
        <v>0</v>
      </c>
      <c r="W5" s="3265">
        <v>0</v>
      </c>
      <c r="X5" s="3265">
        <v>0</v>
      </c>
      <c r="Y5" s="3265">
        <v>0</v>
      </c>
      <c r="Z5" s="3265">
        <v>0</v>
      </c>
      <c r="AA5" s="3265">
        <v>56000</v>
      </c>
      <c r="AB5" s="3265">
        <v>84000</v>
      </c>
      <c r="AC5" s="3265">
        <v>84000</v>
      </c>
      <c r="AD5" s="3265">
        <v>0</v>
      </c>
      <c r="AE5" s="3265">
        <v>0</v>
      </c>
      <c r="AF5" s="3265">
        <v>93</v>
      </c>
      <c r="AG5" s="3265">
        <v>0</v>
      </c>
      <c r="AH5" s="3265">
        <v>0</v>
      </c>
      <c r="AI5" s="3265">
        <v>0</v>
      </c>
      <c r="AJ5" s="3265">
        <v>0</v>
      </c>
      <c r="AK5" s="3265">
        <v>20</v>
      </c>
      <c r="AL5" s="3265">
        <v>113</v>
      </c>
      <c r="AM5" s="3275">
        <v>35</v>
      </c>
      <c r="AN5" s="3277" t="s">
        <v>1476</v>
      </c>
      <c r="AO5" s="3279" t="s">
        <v>1560</v>
      </c>
      <c r="AP5" s="3265" t="s">
        <v>1562</v>
      </c>
      <c r="AQ5" s="3265">
        <v>133934.20000000001</v>
      </c>
      <c r="AR5" s="3265">
        <v>31032.7</v>
      </c>
      <c r="AS5" s="3265">
        <v>0</v>
      </c>
      <c r="AT5" s="3265">
        <v>0</v>
      </c>
      <c r="AU5" s="3265">
        <v>0</v>
      </c>
      <c r="AV5" s="3265">
        <v>0</v>
      </c>
      <c r="AW5" s="3265">
        <v>0</v>
      </c>
      <c r="AX5" s="3265">
        <v>0</v>
      </c>
      <c r="AY5" s="3265">
        <v>0</v>
      </c>
      <c r="AZ5" s="3265">
        <v>0</v>
      </c>
      <c r="BA5" s="3265">
        <v>0</v>
      </c>
      <c r="BB5" s="3265">
        <v>31032.7</v>
      </c>
      <c r="BC5" s="3265">
        <v>195999.60000000003</v>
      </c>
      <c r="BD5" s="3265">
        <v>199266.19999999998</v>
      </c>
      <c r="BE5" s="3265">
        <v>133</v>
      </c>
      <c r="BF5" s="3265">
        <v>67</v>
      </c>
      <c r="BG5" s="3281">
        <v>34</v>
      </c>
      <c r="BH5" s="3281">
        <v>0</v>
      </c>
      <c r="BI5" s="3281">
        <v>31</v>
      </c>
      <c r="BJ5" s="3281">
        <v>0</v>
      </c>
      <c r="BK5" s="3281">
        <v>0</v>
      </c>
      <c r="BL5" s="3281">
        <v>0</v>
      </c>
      <c r="BM5" s="3281">
        <v>0</v>
      </c>
      <c r="BN5" s="3281">
        <v>20</v>
      </c>
      <c r="BO5" s="3281">
        <v>85</v>
      </c>
      <c r="BP5" s="3281">
        <v>125</v>
      </c>
      <c r="BQ5" s="3272">
        <v>133934.20000000001</v>
      </c>
      <c r="BR5" s="3265">
        <v>3032.7000000000007</v>
      </c>
      <c r="BS5" s="3265">
        <v>0</v>
      </c>
      <c r="BT5" s="3265">
        <v>0</v>
      </c>
      <c r="BU5" s="3265">
        <v>0</v>
      </c>
      <c r="BV5" s="3265">
        <v>0</v>
      </c>
      <c r="BW5" s="3265">
        <v>0</v>
      </c>
      <c r="BX5" s="3265">
        <v>0</v>
      </c>
      <c r="BY5" s="3265">
        <v>0</v>
      </c>
      <c r="BZ5" s="3265">
        <v>0</v>
      </c>
      <c r="CA5" s="3265">
        <v>0</v>
      </c>
      <c r="CB5" s="3275">
        <v>-24967.3</v>
      </c>
      <c r="CC5" s="3265">
        <v>111999.60000000003</v>
      </c>
      <c r="CD5" s="3272">
        <v>3032.7000000000007</v>
      </c>
      <c r="CE5" s="3289">
        <v>133</v>
      </c>
      <c r="CF5" s="3291">
        <v>67</v>
      </c>
      <c r="CG5" s="3291">
        <v>34</v>
      </c>
      <c r="CH5" s="3291">
        <v>0</v>
      </c>
      <c r="CI5" s="3295">
        <v>-62</v>
      </c>
      <c r="CJ5" s="3297">
        <v>0</v>
      </c>
      <c r="CK5" s="3297">
        <v>0</v>
      </c>
      <c r="CL5" s="3297">
        <v>0</v>
      </c>
      <c r="CM5" s="3298">
        <v>0</v>
      </c>
    </row>
    <row r="6" spans="1:91" ht="15.75" thickBot="1">
      <c r="A6" s="3271"/>
      <c r="B6" s="2551" t="str">
        <f t="shared" ref="B6:B69" si="0">IF(E6="",,3&amp;IF(LEN($D6)=1,"0000"&amp;$D6,IF(LEN($D6)=2,"000"&amp;$D6,IF(LEN($D6)=3,"00"&amp;$D6,IF(LEN($D6)=4,"0"&amp;$D6,IF(LEN($D6)=5,$D6,0)))))&amp;IF(LEN(E6)=1,"000"&amp;E6,IF(LEN(E6)=2,"00"&amp;E6,IF(LEN(E6)=3,"0"&amp;E6,IF(LEN(E6)=4,E6,0)))))</f>
        <v>3014370058</v>
      </c>
      <c r="C6" s="2468" t="s">
        <v>710</v>
      </c>
      <c r="D6" s="2014">
        <v>1437</v>
      </c>
      <c r="E6" s="2014">
        <v>58</v>
      </c>
      <c r="F6" s="2015">
        <v>11667</v>
      </c>
      <c r="G6" s="2495" t="s">
        <v>756</v>
      </c>
      <c r="H6" s="2014" t="s">
        <v>1560</v>
      </c>
      <c r="I6" s="2016">
        <v>2</v>
      </c>
      <c r="J6" s="2538">
        <v>0</v>
      </c>
      <c r="K6" s="2538">
        <v>0</v>
      </c>
      <c r="L6" s="2538">
        <v>0</v>
      </c>
      <c r="M6" s="2538">
        <v>0</v>
      </c>
      <c r="N6" s="2509">
        <v>0</v>
      </c>
      <c r="O6" s="2017" t="s">
        <v>1561</v>
      </c>
      <c r="P6" s="3273"/>
      <c r="Q6" s="3274"/>
      <c r="R6" s="3363"/>
      <c r="S6" s="3363"/>
      <c r="T6" s="3363"/>
      <c r="U6" s="3363"/>
      <c r="V6" s="3363"/>
      <c r="W6" s="3363"/>
      <c r="X6" s="3363"/>
      <c r="Y6" s="3363"/>
      <c r="Z6" s="3363"/>
      <c r="AA6" s="3363"/>
      <c r="AB6" s="3274"/>
      <c r="AC6" s="3274"/>
      <c r="AD6" s="3274"/>
      <c r="AE6" s="3274"/>
      <c r="AF6" s="3274"/>
      <c r="AG6" s="3274"/>
      <c r="AH6" s="3274"/>
      <c r="AI6" s="3274"/>
      <c r="AJ6" s="3274"/>
      <c r="AK6" s="3274"/>
      <c r="AL6" s="3274"/>
      <c r="AM6" s="3276"/>
      <c r="AN6" s="3278"/>
      <c r="AO6" s="3280"/>
      <c r="AP6" s="3281"/>
      <c r="AQ6" s="3281"/>
      <c r="AR6" s="3281"/>
      <c r="AS6" s="3281"/>
      <c r="AT6" s="3281"/>
      <c r="AU6" s="3281"/>
      <c r="AV6" s="3281"/>
      <c r="AW6" s="3281"/>
      <c r="AX6" s="3281"/>
      <c r="AY6" s="3281"/>
      <c r="AZ6" s="3281"/>
      <c r="BA6" s="3281"/>
      <c r="BB6" s="3281"/>
      <c r="BC6" s="3281"/>
      <c r="BD6" s="3281"/>
      <c r="BE6" s="3281"/>
      <c r="BF6" s="3281"/>
      <c r="BG6" s="3281"/>
      <c r="BH6" s="3281"/>
      <c r="BI6" s="3281"/>
      <c r="BJ6" s="3281"/>
      <c r="BK6" s="3281"/>
      <c r="BL6" s="3281"/>
      <c r="BM6" s="3281"/>
      <c r="BN6" s="3281"/>
      <c r="BO6" s="3281"/>
      <c r="BP6" s="3281"/>
      <c r="BQ6" s="3288"/>
      <c r="BR6" s="3281"/>
      <c r="BS6" s="3281"/>
      <c r="BT6" s="3281"/>
      <c r="BU6" s="3281"/>
      <c r="BV6" s="3281"/>
      <c r="BW6" s="3281"/>
      <c r="BX6" s="3281"/>
      <c r="BY6" s="3281"/>
      <c r="BZ6" s="3281"/>
      <c r="CA6" s="3281"/>
      <c r="CB6" s="3293"/>
      <c r="CC6" s="3281"/>
      <c r="CD6" s="3288"/>
      <c r="CE6" s="3290"/>
      <c r="CF6" s="3292"/>
      <c r="CG6" s="3292"/>
      <c r="CH6" s="3292"/>
      <c r="CI6" s="3296"/>
      <c r="CJ6" s="3296"/>
      <c r="CK6" s="3296"/>
      <c r="CL6" s="3296"/>
      <c r="CM6" s="3299"/>
    </row>
    <row r="7" spans="1:91">
      <c r="A7" s="3282">
        <v>2</v>
      </c>
      <c r="B7" s="2551" t="str">
        <f t="shared" si="0"/>
        <v>3015440021</v>
      </c>
      <c r="C7" s="2010" t="s">
        <v>703</v>
      </c>
      <c r="D7" s="2011">
        <v>1544</v>
      </c>
      <c r="E7" s="2011">
        <v>21</v>
      </c>
      <c r="F7" s="2494">
        <v>40966</v>
      </c>
      <c r="G7" s="2496" t="s">
        <v>947</v>
      </c>
      <c r="H7" s="2011" t="s">
        <v>1560</v>
      </c>
      <c r="I7" s="2012">
        <v>1</v>
      </c>
      <c r="J7" s="2491">
        <v>0</v>
      </c>
      <c r="K7" s="2491">
        <v>6461</v>
      </c>
      <c r="L7" s="2491">
        <v>0</v>
      </c>
      <c r="M7" s="2491">
        <v>6461</v>
      </c>
      <c r="N7" s="2489">
        <v>0</v>
      </c>
      <c r="O7" s="2013" t="s">
        <v>1563</v>
      </c>
      <c r="P7" s="3284">
        <v>0</v>
      </c>
      <c r="Q7" s="3286">
        <v>0</v>
      </c>
      <c r="R7" s="3265">
        <v>0</v>
      </c>
      <c r="S7" s="3265">
        <v>0</v>
      </c>
      <c r="T7" s="3265">
        <v>0</v>
      </c>
      <c r="U7" s="3265">
        <v>46491</v>
      </c>
      <c r="V7" s="3265">
        <v>0</v>
      </c>
      <c r="W7" s="3265">
        <v>0</v>
      </c>
      <c r="X7" s="3265">
        <v>0</v>
      </c>
      <c r="Y7" s="3265">
        <v>0</v>
      </c>
      <c r="Z7" s="3265">
        <v>0</v>
      </c>
      <c r="AA7" s="3265">
        <v>0</v>
      </c>
      <c r="AB7" s="3286">
        <v>46491</v>
      </c>
      <c r="AC7" s="3286">
        <v>46491</v>
      </c>
      <c r="AD7" s="3286">
        <v>0</v>
      </c>
      <c r="AE7" s="3286">
        <v>0</v>
      </c>
      <c r="AF7" s="3286">
        <v>0</v>
      </c>
      <c r="AG7" s="3286">
        <v>0</v>
      </c>
      <c r="AH7" s="3286">
        <v>0</v>
      </c>
      <c r="AI7" s="3286">
        <v>0</v>
      </c>
      <c r="AJ7" s="3286">
        <v>0</v>
      </c>
      <c r="AK7" s="3286">
        <v>0</v>
      </c>
      <c r="AL7" s="3286">
        <v>0</v>
      </c>
      <c r="AM7" s="3300">
        <v>35</v>
      </c>
      <c r="AN7" s="3302" t="s">
        <v>1564</v>
      </c>
      <c r="AO7" s="3304" t="s">
        <v>1560</v>
      </c>
      <c r="AP7" s="3286" t="s">
        <v>1565</v>
      </c>
      <c r="AQ7" s="3286">
        <v>172017</v>
      </c>
      <c r="AR7" s="3286">
        <v>31841.9</v>
      </c>
      <c r="AS7" s="3286">
        <v>0</v>
      </c>
      <c r="AT7" s="3286">
        <v>10000</v>
      </c>
      <c r="AU7" s="3286">
        <v>0</v>
      </c>
      <c r="AV7" s="3286">
        <v>0</v>
      </c>
      <c r="AW7" s="3286">
        <v>0</v>
      </c>
      <c r="AX7" s="3286">
        <v>0</v>
      </c>
      <c r="AY7" s="3286">
        <v>0</v>
      </c>
      <c r="AZ7" s="3286">
        <v>0</v>
      </c>
      <c r="BA7" s="3286">
        <v>0</v>
      </c>
      <c r="BB7" s="3286">
        <v>0</v>
      </c>
      <c r="BC7" s="3286">
        <v>213858.9</v>
      </c>
      <c r="BD7" s="3286">
        <v>218508</v>
      </c>
      <c r="BE7" s="3286">
        <v>172</v>
      </c>
      <c r="BF7" s="3286">
        <v>86</v>
      </c>
      <c r="BG7" s="3286">
        <v>43</v>
      </c>
      <c r="BH7" s="3286">
        <v>0</v>
      </c>
      <c r="BI7" s="3286">
        <v>0</v>
      </c>
      <c r="BJ7" s="3286">
        <v>0</v>
      </c>
      <c r="BK7" s="3286">
        <v>0</v>
      </c>
      <c r="BL7" s="3286">
        <v>0</v>
      </c>
      <c r="BM7" s="3286">
        <v>0</v>
      </c>
      <c r="BN7" s="3286">
        <v>0</v>
      </c>
      <c r="BO7" s="3286">
        <v>43</v>
      </c>
      <c r="BP7" s="3286">
        <v>95</v>
      </c>
      <c r="BQ7" s="3272">
        <v>172017</v>
      </c>
      <c r="BR7" s="3265">
        <v>31841.9</v>
      </c>
      <c r="BS7" s="3265">
        <v>0</v>
      </c>
      <c r="BT7" s="3265">
        <v>10000</v>
      </c>
      <c r="BU7" s="3265">
        <v>0</v>
      </c>
      <c r="BV7" s="3265">
        <v>-46491</v>
      </c>
      <c r="BW7" s="3265">
        <v>0</v>
      </c>
      <c r="BX7" s="3265">
        <v>0</v>
      </c>
      <c r="BY7" s="3265">
        <v>0</v>
      </c>
      <c r="BZ7" s="3265">
        <v>0</v>
      </c>
      <c r="CA7" s="3265">
        <v>0</v>
      </c>
      <c r="CB7" s="3275">
        <v>0</v>
      </c>
      <c r="CC7" s="3265">
        <v>167367.9</v>
      </c>
      <c r="CD7" s="3272">
        <v>-4649.0999999999985</v>
      </c>
      <c r="CE7" s="3289">
        <v>172</v>
      </c>
      <c r="CF7" s="3291">
        <v>86</v>
      </c>
      <c r="CG7" s="3291">
        <v>43</v>
      </c>
      <c r="CH7" s="3291">
        <v>0</v>
      </c>
      <c r="CI7" s="3295">
        <v>0</v>
      </c>
      <c r="CJ7" s="3295">
        <v>0</v>
      </c>
      <c r="CK7" s="3295">
        <v>0</v>
      </c>
      <c r="CL7" s="3295">
        <v>0</v>
      </c>
      <c r="CM7" s="3298">
        <v>0</v>
      </c>
    </row>
    <row r="8" spans="1:91" ht="15.75" thickBot="1">
      <c r="A8" s="3283"/>
      <c r="B8" s="2551" t="str">
        <f t="shared" si="0"/>
        <v>3015440042</v>
      </c>
      <c r="C8" s="2493" t="s">
        <v>710</v>
      </c>
      <c r="D8" s="2018">
        <v>1544</v>
      </c>
      <c r="E8" s="2018">
        <v>42</v>
      </c>
      <c r="F8" s="2019">
        <v>5525</v>
      </c>
      <c r="G8" s="2498" t="s">
        <v>947</v>
      </c>
      <c r="H8" s="2018" t="s">
        <v>1560</v>
      </c>
      <c r="I8" s="2020">
        <v>1</v>
      </c>
      <c r="J8" s="2501">
        <v>0</v>
      </c>
      <c r="K8" s="2501">
        <v>492</v>
      </c>
      <c r="L8" s="2501">
        <v>0</v>
      </c>
      <c r="M8" s="2501">
        <v>492</v>
      </c>
      <c r="N8" s="2508">
        <v>0</v>
      </c>
      <c r="O8" s="2021" t="s">
        <v>1563</v>
      </c>
      <c r="P8" s="3285"/>
      <c r="Q8" s="3287"/>
      <c r="R8" s="3363"/>
      <c r="S8" s="3363"/>
      <c r="T8" s="3363"/>
      <c r="U8" s="3363"/>
      <c r="V8" s="3363"/>
      <c r="W8" s="3363"/>
      <c r="X8" s="3363"/>
      <c r="Y8" s="3363"/>
      <c r="Z8" s="3363"/>
      <c r="AA8" s="3363"/>
      <c r="AB8" s="3294"/>
      <c r="AC8" s="3294"/>
      <c r="AD8" s="3294"/>
      <c r="AE8" s="3294"/>
      <c r="AF8" s="3294"/>
      <c r="AG8" s="3294"/>
      <c r="AH8" s="3294"/>
      <c r="AI8" s="3294"/>
      <c r="AJ8" s="3294"/>
      <c r="AK8" s="3294"/>
      <c r="AL8" s="3294"/>
      <c r="AM8" s="3301"/>
      <c r="AN8" s="3303"/>
      <c r="AO8" s="3305"/>
      <c r="AP8" s="3712"/>
      <c r="AQ8" s="3712"/>
      <c r="AR8" s="3712"/>
      <c r="AS8" s="3712"/>
      <c r="AT8" s="3712"/>
      <c r="AU8" s="3712"/>
      <c r="AV8" s="3712"/>
      <c r="AW8" s="3712"/>
      <c r="AX8" s="3712"/>
      <c r="AY8" s="3712"/>
      <c r="AZ8" s="3712"/>
      <c r="BA8" s="3712"/>
      <c r="BB8" s="3712"/>
      <c r="BC8" s="3712"/>
      <c r="BD8" s="3712"/>
      <c r="BE8" s="3712"/>
      <c r="BF8" s="3712"/>
      <c r="BG8" s="3712"/>
      <c r="BH8" s="3712"/>
      <c r="BI8" s="3712"/>
      <c r="BJ8" s="3712"/>
      <c r="BK8" s="3712"/>
      <c r="BL8" s="3712"/>
      <c r="BM8" s="3712"/>
      <c r="BN8" s="3712"/>
      <c r="BO8" s="3712"/>
      <c r="BP8" s="3712"/>
      <c r="BQ8" s="3309"/>
      <c r="BR8" s="3308"/>
      <c r="BS8" s="3308"/>
      <c r="BT8" s="3308"/>
      <c r="BU8" s="3308"/>
      <c r="BV8" s="3308"/>
      <c r="BW8" s="3308"/>
      <c r="BX8" s="3308"/>
      <c r="BY8" s="3308"/>
      <c r="BZ8" s="3308"/>
      <c r="CA8" s="3308"/>
      <c r="CB8" s="3307"/>
      <c r="CC8" s="3308"/>
      <c r="CD8" s="3309"/>
      <c r="CE8" s="3310"/>
      <c r="CF8" s="3311"/>
      <c r="CG8" s="3311"/>
      <c r="CH8" s="3311"/>
      <c r="CI8" s="3318"/>
      <c r="CJ8" s="3318"/>
      <c r="CK8" s="3318"/>
      <c r="CL8" s="3318"/>
      <c r="CM8" s="3306"/>
    </row>
    <row r="9" spans="1:91">
      <c r="A9" s="3312">
        <v>3</v>
      </c>
      <c r="B9" s="2551" t="str">
        <f t="shared" si="0"/>
        <v>3036600001</v>
      </c>
      <c r="C9" s="2022" t="s">
        <v>703</v>
      </c>
      <c r="D9" s="2023">
        <v>3660</v>
      </c>
      <c r="E9" s="2023">
        <v>1</v>
      </c>
      <c r="F9" s="2506">
        <v>1720</v>
      </c>
      <c r="G9" s="2507" t="s">
        <v>1566</v>
      </c>
      <c r="H9" s="2023" t="s">
        <v>1560</v>
      </c>
      <c r="I9" s="2024">
        <v>2</v>
      </c>
      <c r="J9" s="2505">
        <v>0</v>
      </c>
      <c r="K9" s="2505">
        <v>1680</v>
      </c>
      <c r="L9" s="2505">
        <v>1680</v>
      </c>
      <c r="M9" s="2505">
        <v>3360</v>
      </c>
      <c r="N9" s="2025">
        <v>0</v>
      </c>
      <c r="O9" s="2512" t="s">
        <v>1567</v>
      </c>
      <c r="P9" s="3314">
        <v>0</v>
      </c>
      <c r="Q9" s="3316">
        <v>0</v>
      </c>
      <c r="R9" s="3265">
        <v>0</v>
      </c>
      <c r="S9" s="3265">
        <v>0</v>
      </c>
      <c r="T9" s="3265">
        <v>1680</v>
      </c>
      <c r="U9" s="3265">
        <v>38560</v>
      </c>
      <c r="V9" s="3265">
        <v>1680</v>
      </c>
      <c r="W9" s="3265">
        <v>0</v>
      </c>
      <c r="X9" s="3265">
        <v>0</v>
      </c>
      <c r="Y9" s="3265">
        <v>0</v>
      </c>
      <c r="Z9" s="3265">
        <v>0</v>
      </c>
      <c r="AA9" s="3265">
        <v>0</v>
      </c>
      <c r="AB9" s="3316">
        <v>41920</v>
      </c>
      <c r="AC9" s="3316">
        <v>41920</v>
      </c>
      <c r="AD9" s="3316">
        <v>0</v>
      </c>
      <c r="AE9" s="3316">
        <v>0</v>
      </c>
      <c r="AF9" s="3316">
        <v>0</v>
      </c>
      <c r="AG9" s="3316">
        <v>0</v>
      </c>
      <c r="AH9" s="3316">
        <v>0</v>
      </c>
      <c r="AI9" s="3316">
        <v>0</v>
      </c>
      <c r="AJ9" s="3316">
        <v>0</v>
      </c>
      <c r="AK9" s="3316">
        <v>0</v>
      </c>
      <c r="AL9" s="3316">
        <v>0</v>
      </c>
      <c r="AM9" s="3300">
        <v>30</v>
      </c>
      <c r="AN9" s="3302" t="s">
        <v>1564</v>
      </c>
      <c r="AO9" s="3321" t="s">
        <v>1560</v>
      </c>
      <c r="AP9" s="3316" t="s">
        <v>1565</v>
      </c>
      <c r="AQ9" s="3316">
        <v>77700</v>
      </c>
      <c r="AR9" s="3316">
        <v>10000</v>
      </c>
      <c r="AS9" s="3316">
        <v>0</v>
      </c>
      <c r="AT9" s="3316">
        <v>8900</v>
      </c>
      <c r="AU9" s="3316">
        <v>0</v>
      </c>
      <c r="AV9" s="3316">
        <v>0</v>
      </c>
      <c r="AW9" s="3316">
        <v>0</v>
      </c>
      <c r="AX9" s="3316">
        <v>0</v>
      </c>
      <c r="AY9" s="3316">
        <v>0</v>
      </c>
      <c r="AZ9" s="3316">
        <v>0</v>
      </c>
      <c r="BA9" s="3316">
        <v>0</v>
      </c>
      <c r="BB9" s="3316">
        <v>0</v>
      </c>
      <c r="BC9" s="3316">
        <v>96600</v>
      </c>
      <c r="BD9" s="3316">
        <v>98700</v>
      </c>
      <c r="BE9" s="3316">
        <v>77</v>
      </c>
      <c r="BF9" s="3316">
        <v>39</v>
      </c>
      <c r="BG9" s="3316">
        <v>20</v>
      </c>
      <c r="BH9" s="3316">
        <v>0</v>
      </c>
      <c r="BI9" s="3316">
        <v>0</v>
      </c>
      <c r="BJ9" s="3316">
        <v>0</v>
      </c>
      <c r="BK9" s="3316">
        <v>0</v>
      </c>
      <c r="BL9" s="3316">
        <v>0</v>
      </c>
      <c r="BM9" s="3316">
        <v>0</v>
      </c>
      <c r="BN9" s="3316">
        <v>0</v>
      </c>
      <c r="BO9" s="3316">
        <v>20</v>
      </c>
      <c r="BP9" s="3316">
        <v>95</v>
      </c>
      <c r="BQ9" s="3314">
        <v>77700</v>
      </c>
      <c r="BR9" s="3316">
        <v>10000</v>
      </c>
      <c r="BS9" s="3316">
        <v>0</v>
      </c>
      <c r="BT9" s="3316">
        <v>8900</v>
      </c>
      <c r="BU9" s="3316">
        <v>-1680</v>
      </c>
      <c r="BV9" s="3316">
        <v>-38560</v>
      </c>
      <c r="BW9" s="3316">
        <v>-1680</v>
      </c>
      <c r="BX9" s="3316">
        <v>0</v>
      </c>
      <c r="BY9" s="3316">
        <v>0</v>
      </c>
      <c r="BZ9" s="3316">
        <v>0</v>
      </c>
      <c r="CA9" s="3316">
        <v>0</v>
      </c>
      <c r="CB9" s="3329">
        <v>0</v>
      </c>
      <c r="CC9" s="3281">
        <v>54680</v>
      </c>
      <c r="CD9" s="3314">
        <v>-23020</v>
      </c>
      <c r="CE9" s="3326">
        <v>77</v>
      </c>
      <c r="CF9" s="3326">
        <v>39</v>
      </c>
      <c r="CG9" s="3326">
        <v>20</v>
      </c>
      <c r="CH9" s="3326">
        <v>0</v>
      </c>
      <c r="CI9" s="3295">
        <v>0</v>
      </c>
      <c r="CJ9" s="3295">
        <v>0</v>
      </c>
      <c r="CK9" s="3295">
        <v>0</v>
      </c>
      <c r="CL9" s="3295">
        <v>0</v>
      </c>
      <c r="CM9" s="3298">
        <v>0</v>
      </c>
    </row>
    <row r="10" spans="1:91">
      <c r="A10" s="3313"/>
      <c r="B10" s="2551" t="str">
        <f t="shared" si="0"/>
        <v>3036600002</v>
      </c>
      <c r="C10" s="2492" t="s">
        <v>710</v>
      </c>
      <c r="D10" s="2026">
        <v>3660</v>
      </c>
      <c r="E10" s="2026">
        <v>2</v>
      </c>
      <c r="F10" s="2027">
        <v>9280</v>
      </c>
      <c r="G10" s="2497" t="s">
        <v>1566</v>
      </c>
      <c r="H10" s="2026" t="s">
        <v>1560</v>
      </c>
      <c r="I10" s="2028">
        <v>2</v>
      </c>
      <c r="J10" s="2500">
        <v>0</v>
      </c>
      <c r="K10" s="2500">
        <v>0</v>
      </c>
      <c r="L10" s="2500">
        <v>0</v>
      </c>
      <c r="M10" s="2500">
        <v>0</v>
      </c>
      <c r="N10" s="2029">
        <v>0</v>
      </c>
      <c r="O10" s="2030" t="s">
        <v>1563</v>
      </c>
      <c r="P10" s="3315"/>
      <c r="Q10" s="3317"/>
      <c r="R10" s="3713"/>
      <c r="S10" s="3713"/>
      <c r="T10" s="3713"/>
      <c r="U10" s="3713"/>
      <c r="V10" s="3713"/>
      <c r="W10" s="3713"/>
      <c r="X10" s="3713"/>
      <c r="Y10" s="3713"/>
      <c r="Z10" s="3713"/>
      <c r="AA10" s="3713"/>
      <c r="AB10" s="3323"/>
      <c r="AC10" s="3323"/>
      <c r="AD10" s="3323"/>
      <c r="AE10" s="3323"/>
      <c r="AF10" s="3323"/>
      <c r="AG10" s="3323"/>
      <c r="AH10" s="3323"/>
      <c r="AI10" s="3323"/>
      <c r="AJ10" s="3323"/>
      <c r="AK10" s="3323"/>
      <c r="AL10" s="3323"/>
      <c r="AM10" s="3319"/>
      <c r="AN10" s="3320"/>
      <c r="AO10" s="3322"/>
      <c r="AP10" s="3714"/>
      <c r="AQ10" s="3714"/>
      <c r="AR10" s="3714"/>
      <c r="AS10" s="3714"/>
      <c r="AT10" s="3714"/>
      <c r="AU10" s="3714"/>
      <c r="AV10" s="3714"/>
      <c r="AW10" s="3714"/>
      <c r="AX10" s="3714"/>
      <c r="AY10" s="3714"/>
      <c r="AZ10" s="3714"/>
      <c r="BA10" s="3714"/>
      <c r="BB10" s="3714"/>
      <c r="BC10" s="3714"/>
      <c r="BD10" s="3714"/>
      <c r="BE10" s="3714"/>
      <c r="BF10" s="3714"/>
      <c r="BG10" s="3714"/>
      <c r="BH10" s="3714"/>
      <c r="BI10" s="3714"/>
      <c r="BJ10" s="3714"/>
      <c r="BK10" s="3714"/>
      <c r="BL10" s="3714"/>
      <c r="BM10" s="3714"/>
      <c r="BN10" s="3714"/>
      <c r="BO10" s="3714"/>
      <c r="BP10" s="3714"/>
      <c r="BQ10" s="3324"/>
      <c r="BR10" s="3323"/>
      <c r="BS10" s="3323"/>
      <c r="BT10" s="3323"/>
      <c r="BU10" s="3323"/>
      <c r="BV10" s="3323"/>
      <c r="BW10" s="3323"/>
      <c r="BX10" s="3323"/>
      <c r="BY10" s="3323"/>
      <c r="BZ10" s="3323"/>
      <c r="CA10" s="3323"/>
      <c r="CB10" s="3319"/>
      <c r="CC10" s="3281"/>
      <c r="CD10" s="3324"/>
      <c r="CE10" s="3327"/>
      <c r="CF10" s="3327"/>
      <c r="CG10" s="3327"/>
      <c r="CH10" s="3327"/>
      <c r="CI10" s="3323"/>
      <c r="CJ10" s="3323"/>
      <c r="CK10" s="3323"/>
      <c r="CL10" s="3323"/>
      <c r="CM10" s="3319"/>
    </row>
    <row r="11" spans="1:91" ht="15.75" thickBot="1">
      <c r="A11" s="3283"/>
      <c r="B11" s="2551" t="str">
        <f t="shared" si="0"/>
        <v>3036600029</v>
      </c>
      <c r="C11" s="2493" t="s">
        <v>721</v>
      </c>
      <c r="D11" s="2018">
        <v>3660</v>
      </c>
      <c r="E11" s="2018">
        <v>29</v>
      </c>
      <c r="F11" s="2019">
        <v>10000</v>
      </c>
      <c r="G11" s="2498" t="s">
        <v>1566</v>
      </c>
      <c r="H11" s="2018" t="s">
        <v>1560</v>
      </c>
      <c r="I11" s="2020">
        <v>2</v>
      </c>
      <c r="J11" s="2501">
        <v>0</v>
      </c>
      <c r="K11" s="2501">
        <v>0</v>
      </c>
      <c r="L11" s="2501">
        <v>0</v>
      </c>
      <c r="M11" s="2501">
        <v>0</v>
      </c>
      <c r="N11" s="2508">
        <v>0</v>
      </c>
      <c r="O11" s="2031" t="s">
        <v>1563</v>
      </c>
      <c r="P11" s="3285"/>
      <c r="Q11" s="3287"/>
      <c r="R11" s="3363"/>
      <c r="S11" s="3363"/>
      <c r="T11" s="3363"/>
      <c r="U11" s="3363"/>
      <c r="V11" s="3363"/>
      <c r="W11" s="3363"/>
      <c r="X11" s="3363"/>
      <c r="Y11" s="3363"/>
      <c r="Z11" s="3363"/>
      <c r="AA11" s="3363"/>
      <c r="AB11" s="3294"/>
      <c r="AC11" s="3294"/>
      <c r="AD11" s="3294"/>
      <c r="AE11" s="3294"/>
      <c r="AF11" s="3294"/>
      <c r="AG11" s="3294"/>
      <c r="AH11" s="3294"/>
      <c r="AI11" s="3294"/>
      <c r="AJ11" s="3294"/>
      <c r="AK11" s="3294"/>
      <c r="AL11" s="3294"/>
      <c r="AM11" s="3301"/>
      <c r="AN11" s="3303"/>
      <c r="AO11" s="3305"/>
      <c r="AP11" s="3712"/>
      <c r="AQ11" s="3712"/>
      <c r="AR11" s="3712"/>
      <c r="AS11" s="3712"/>
      <c r="AT11" s="3712"/>
      <c r="AU11" s="3712"/>
      <c r="AV11" s="3712"/>
      <c r="AW11" s="3712"/>
      <c r="AX11" s="3712"/>
      <c r="AY11" s="3712"/>
      <c r="AZ11" s="3712"/>
      <c r="BA11" s="3712"/>
      <c r="BB11" s="3712"/>
      <c r="BC11" s="3712"/>
      <c r="BD11" s="3712"/>
      <c r="BE11" s="3712"/>
      <c r="BF11" s="3712"/>
      <c r="BG11" s="3712"/>
      <c r="BH11" s="3712"/>
      <c r="BI11" s="3712"/>
      <c r="BJ11" s="3712"/>
      <c r="BK11" s="3712"/>
      <c r="BL11" s="3712"/>
      <c r="BM11" s="3712"/>
      <c r="BN11" s="3712"/>
      <c r="BO11" s="3712"/>
      <c r="BP11" s="3712"/>
      <c r="BQ11" s="3325"/>
      <c r="BR11" s="3294"/>
      <c r="BS11" s="3294"/>
      <c r="BT11" s="3294"/>
      <c r="BU11" s="3294"/>
      <c r="BV11" s="3294"/>
      <c r="BW11" s="3294"/>
      <c r="BX11" s="3294"/>
      <c r="BY11" s="3294"/>
      <c r="BZ11" s="3294"/>
      <c r="CA11" s="3294"/>
      <c r="CB11" s="3301"/>
      <c r="CC11" s="3308"/>
      <c r="CD11" s="3325"/>
      <c r="CE11" s="3328"/>
      <c r="CF11" s="3328"/>
      <c r="CG11" s="3328"/>
      <c r="CH11" s="3328"/>
      <c r="CI11" s="3294"/>
      <c r="CJ11" s="3294"/>
      <c r="CK11" s="3294"/>
      <c r="CL11" s="3294"/>
      <c r="CM11" s="3301"/>
    </row>
    <row r="12" spans="1:91" ht="15.75" thickBot="1">
      <c r="A12" s="2451">
        <v>4</v>
      </c>
      <c r="B12" s="2551" t="str">
        <f t="shared" si="0"/>
        <v>3036610001</v>
      </c>
      <c r="C12" s="2466" t="s">
        <v>703</v>
      </c>
      <c r="D12" s="2462">
        <v>3661</v>
      </c>
      <c r="E12" s="2462">
        <v>1</v>
      </c>
      <c r="F12" s="2461">
        <v>10000</v>
      </c>
      <c r="G12" s="2445" t="s">
        <v>1566</v>
      </c>
      <c r="H12" s="2462" t="s">
        <v>1560</v>
      </c>
      <c r="I12" s="2463">
        <v>2</v>
      </c>
      <c r="J12" s="2448">
        <v>0</v>
      </c>
      <c r="K12" s="2448">
        <v>0</v>
      </c>
      <c r="L12" s="2448">
        <v>0</v>
      </c>
      <c r="M12" s="2448">
        <v>0</v>
      </c>
      <c r="N12" s="2438">
        <v>0</v>
      </c>
      <c r="O12" s="2525" t="s">
        <v>1568</v>
      </c>
      <c r="P12" s="2450">
        <v>0</v>
      </c>
      <c r="Q12" s="2448">
        <v>0</v>
      </c>
      <c r="R12" s="2448">
        <v>0</v>
      </c>
      <c r="S12" s="2448">
        <v>0</v>
      </c>
      <c r="T12" s="2448">
        <v>10000</v>
      </c>
      <c r="U12" s="2448">
        <v>0</v>
      </c>
      <c r="V12" s="2448">
        <v>0</v>
      </c>
      <c r="W12" s="2448">
        <v>0</v>
      </c>
      <c r="X12" s="2448">
        <v>0</v>
      </c>
      <c r="Y12" s="2448">
        <v>0</v>
      </c>
      <c r="Z12" s="2448">
        <v>0</v>
      </c>
      <c r="AA12" s="2448">
        <v>0</v>
      </c>
      <c r="AB12" s="2448">
        <v>10000</v>
      </c>
      <c r="AC12" s="2448">
        <v>0</v>
      </c>
      <c r="AD12" s="2448">
        <v>0</v>
      </c>
      <c r="AE12" s="2448">
        <v>0</v>
      </c>
      <c r="AF12" s="2448">
        <v>0</v>
      </c>
      <c r="AG12" s="2448">
        <v>0</v>
      </c>
      <c r="AH12" s="2448">
        <v>0</v>
      </c>
      <c r="AI12" s="2448">
        <v>0</v>
      </c>
      <c r="AJ12" s="2448">
        <v>0</v>
      </c>
      <c r="AK12" s="2448">
        <v>0</v>
      </c>
      <c r="AL12" s="2448">
        <v>0</v>
      </c>
      <c r="AM12" s="2032">
        <v>0</v>
      </c>
      <c r="AN12" s="2033" t="s">
        <v>1564</v>
      </c>
      <c r="AO12" s="2445" t="s">
        <v>1560</v>
      </c>
      <c r="AP12" s="2448" t="s">
        <v>1569</v>
      </c>
      <c r="AQ12" s="2448">
        <v>37000</v>
      </c>
      <c r="AR12" s="2448">
        <v>9000</v>
      </c>
      <c r="AS12" s="2448">
        <v>0</v>
      </c>
      <c r="AT12" s="2448">
        <v>0</v>
      </c>
      <c r="AU12" s="2448">
        <v>0</v>
      </c>
      <c r="AV12" s="2448">
        <v>0</v>
      </c>
      <c r="AW12" s="2448">
        <v>0</v>
      </c>
      <c r="AX12" s="2448">
        <v>0</v>
      </c>
      <c r="AY12" s="2448">
        <v>0</v>
      </c>
      <c r="AZ12" s="2448">
        <v>0</v>
      </c>
      <c r="BA12" s="2448">
        <v>0</v>
      </c>
      <c r="BB12" s="2448">
        <v>0</v>
      </c>
      <c r="BC12" s="2448">
        <v>46000</v>
      </c>
      <c r="BD12" s="2448">
        <v>47000</v>
      </c>
      <c r="BE12" s="2448">
        <v>37</v>
      </c>
      <c r="BF12" s="2448">
        <v>19</v>
      </c>
      <c r="BG12" s="2448">
        <v>6</v>
      </c>
      <c r="BH12" s="2448">
        <v>0</v>
      </c>
      <c r="BI12" s="2448">
        <v>0</v>
      </c>
      <c r="BJ12" s="2448">
        <v>0</v>
      </c>
      <c r="BK12" s="2448">
        <v>0</v>
      </c>
      <c r="BL12" s="2448">
        <v>0</v>
      </c>
      <c r="BM12" s="2448">
        <v>0</v>
      </c>
      <c r="BN12" s="2448">
        <v>0</v>
      </c>
      <c r="BO12" s="2448">
        <v>6</v>
      </c>
      <c r="BP12" s="2448">
        <v>75</v>
      </c>
      <c r="BQ12" s="2450">
        <v>37000</v>
      </c>
      <c r="BR12" s="2448">
        <v>9000</v>
      </c>
      <c r="BS12" s="2448">
        <v>0</v>
      </c>
      <c r="BT12" s="2448">
        <v>0</v>
      </c>
      <c r="BU12" s="2448">
        <v>-10000</v>
      </c>
      <c r="BV12" s="2448">
        <v>0</v>
      </c>
      <c r="BW12" s="2448">
        <v>0</v>
      </c>
      <c r="BX12" s="2448">
        <v>0</v>
      </c>
      <c r="BY12" s="2448">
        <v>0</v>
      </c>
      <c r="BZ12" s="2448">
        <v>0</v>
      </c>
      <c r="CA12" s="2448">
        <v>0</v>
      </c>
      <c r="CB12" s="2461">
        <v>0</v>
      </c>
      <c r="CC12" s="2448">
        <v>36000</v>
      </c>
      <c r="CD12" s="2450">
        <v>-1000</v>
      </c>
      <c r="CE12" s="2485">
        <v>37</v>
      </c>
      <c r="CF12" s="2485">
        <v>19</v>
      </c>
      <c r="CG12" s="2485">
        <v>6</v>
      </c>
      <c r="CH12" s="2485">
        <v>0</v>
      </c>
      <c r="CI12" s="2034">
        <v>0</v>
      </c>
      <c r="CJ12" s="2034">
        <v>0</v>
      </c>
      <c r="CK12" s="2034">
        <v>0</v>
      </c>
      <c r="CL12" s="2034">
        <v>0</v>
      </c>
      <c r="CM12" s="2035">
        <v>0</v>
      </c>
    </row>
    <row r="13" spans="1:91">
      <c r="A13" s="3282">
        <v>5</v>
      </c>
      <c r="B13" s="2551" t="str">
        <f t="shared" si="0"/>
        <v>3036620048</v>
      </c>
      <c r="C13" s="2010" t="s">
        <v>703</v>
      </c>
      <c r="D13" s="2011">
        <v>3662</v>
      </c>
      <c r="E13" s="2011">
        <v>48</v>
      </c>
      <c r="F13" s="2494">
        <v>1875</v>
      </c>
      <c r="G13" s="2496" t="s">
        <v>1566</v>
      </c>
      <c r="H13" s="2011" t="s">
        <v>1560</v>
      </c>
      <c r="I13" s="2012">
        <v>2</v>
      </c>
      <c r="J13" s="2491">
        <v>0</v>
      </c>
      <c r="K13" s="2491">
        <v>0</v>
      </c>
      <c r="L13" s="2491">
        <v>0</v>
      </c>
      <c r="M13" s="2491">
        <v>1375</v>
      </c>
      <c r="N13" s="2489">
        <v>0</v>
      </c>
      <c r="O13" s="2036" t="s">
        <v>1570</v>
      </c>
      <c r="P13" s="3284">
        <v>0</v>
      </c>
      <c r="Q13" s="3286">
        <v>0</v>
      </c>
      <c r="R13" s="3265">
        <v>0</v>
      </c>
      <c r="S13" s="3265">
        <v>0</v>
      </c>
      <c r="T13" s="3265">
        <v>1800</v>
      </c>
      <c r="U13" s="3265">
        <v>0</v>
      </c>
      <c r="V13" s="3265">
        <v>0</v>
      </c>
      <c r="W13" s="3265">
        <v>0</v>
      </c>
      <c r="X13" s="3265">
        <v>0</v>
      </c>
      <c r="Y13" s="3265">
        <v>0</v>
      </c>
      <c r="Z13" s="3265">
        <v>1375</v>
      </c>
      <c r="AA13" s="3265">
        <v>0</v>
      </c>
      <c r="AB13" s="3286">
        <v>3175</v>
      </c>
      <c r="AC13" s="3286">
        <v>3175</v>
      </c>
      <c r="AD13" s="3286">
        <v>0</v>
      </c>
      <c r="AE13" s="3286">
        <v>0</v>
      </c>
      <c r="AF13" s="3286">
        <v>0</v>
      </c>
      <c r="AG13" s="3286">
        <v>0</v>
      </c>
      <c r="AH13" s="3286">
        <v>0</v>
      </c>
      <c r="AI13" s="3286">
        <v>0</v>
      </c>
      <c r="AJ13" s="3286">
        <v>0</v>
      </c>
      <c r="AK13" s="3286">
        <v>0</v>
      </c>
      <c r="AL13" s="3286">
        <v>0</v>
      </c>
      <c r="AM13" s="3300">
        <v>10</v>
      </c>
      <c r="AN13" s="3302" t="s">
        <v>1564</v>
      </c>
      <c r="AO13" s="3304" t="s">
        <v>1560</v>
      </c>
      <c r="AP13" s="3286" t="s">
        <v>1571</v>
      </c>
      <c r="AQ13" s="3286">
        <v>27750</v>
      </c>
      <c r="AR13" s="3286">
        <v>6750</v>
      </c>
      <c r="AS13" s="3286">
        <v>0</v>
      </c>
      <c r="AT13" s="3286">
        <v>0</v>
      </c>
      <c r="AU13" s="3286">
        <v>0</v>
      </c>
      <c r="AV13" s="3286">
        <v>0</v>
      </c>
      <c r="AW13" s="3286">
        <v>0</v>
      </c>
      <c r="AX13" s="3286">
        <v>0</v>
      </c>
      <c r="AY13" s="3286">
        <v>0</v>
      </c>
      <c r="AZ13" s="3286">
        <v>0</v>
      </c>
      <c r="BA13" s="3286">
        <v>0</v>
      </c>
      <c r="BB13" s="3286">
        <v>0</v>
      </c>
      <c r="BC13" s="3286">
        <v>34500</v>
      </c>
      <c r="BD13" s="3286">
        <v>35250</v>
      </c>
      <c r="BE13" s="3286">
        <v>27</v>
      </c>
      <c r="BF13" s="3286">
        <v>14</v>
      </c>
      <c r="BG13" s="3286">
        <v>4</v>
      </c>
      <c r="BH13" s="3286">
        <v>0</v>
      </c>
      <c r="BI13" s="3286">
        <v>0</v>
      </c>
      <c r="BJ13" s="3286">
        <v>0</v>
      </c>
      <c r="BK13" s="3286">
        <v>0</v>
      </c>
      <c r="BL13" s="3286">
        <v>0</v>
      </c>
      <c r="BM13" s="3286">
        <v>0</v>
      </c>
      <c r="BN13" s="3286">
        <v>0</v>
      </c>
      <c r="BO13" s="3286">
        <v>4</v>
      </c>
      <c r="BP13" s="3286">
        <v>95</v>
      </c>
      <c r="BQ13" s="3333">
        <v>27750</v>
      </c>
      <c r="BR13" s="3295">
        <v>6750</v>
      </c>
      <c r="BS13" s="3295">
        <v>0</v>
      </c>
      <c r="BT13" s="3295">
        <v>0</v>
      </c>
      <c r="BU13" s="3295">
        <v>-1800</v>
      </c>
      <c r="BV13" s="3295">
        <v>0</v>
      </c>
      <c r="BW13" s="3295">
        <v>0</v>
      </c>
      <c r="BX13" s="3295">
        <v>0</v>
      </c>
      <c r="BY13" s="3295">
        <v>0</v>
      </c>
      <c r="BZ13" s="3295">
        <v>0</v>
      </c>
      <c r="CA13" s="3295">
        <v>-1375</v>
      </c>
      <c r="CB13" s="3298">
        <v>0</v>
      </c>
      <c r="CC13" s="3331">
        <v>31325</v>
      </c>
      <c r="CD13" s="3333">
        <v>4950</v>
      </c>
      <c r="CE13" s="3291">
        <v>27</v>
      </c>
      <c r="CF13" s="3291">
        <v>14</v>
      </c>
      <c r="CG13" s="3291">
        <v>4</v>
      </c>
      <c r="CH13" s="3291">
        <v>0</v>
      </c>
      <c r="CI13" s="3295">
        <v>0</v>
      </c>
      <c r="CJ13" s="3295">
        <v>0</v>
      </c>
      <c r="CK13" s="3295">
        <v>0</v>
      </c>
      <c r="CL13" s="3295">
        <v>0</v>
      </c>
      <c r="CM13" s="3298">
        <v>0</v>
      </c>
    </row>
    <row r="14" spans="1:91" ht="15.75" thickBot="1">
      <c r="A14" s="3283"/>
      <c r="B14" s="2551" t="str">
        <f t="shared" si="0"/>
        <v>3036620049</v>
      </c>
      <c r="C14" s="2493" t="s">
        <v>710</v>
      </c>
      <c r="D14" s="2018">
        <v>3662</v>
      </c>
      <c r="E14" s="2018">
        <v>49</v>
      </c>
      <c r="F14" s="2019">
        <v>5625</v>
      </c>
      <c r="G14" s="2498" t="s">
        <v>1566</v>
      </c>
      <c r="H14" s="2018" t="s">
        <v>1560</v>
      </c>
      <c r="I14" s="2020">
        <v>2</v>
      </c>
      <c r="J14" s="2501">
        <v>0</v>
      </c>
      <c r="K14" s="2501">
        <v>1800</v>
      </c>
      <c r="L14" s="2501">
        <v>0</v>
      </c>
      <c r="M14" s="2501">
        <v>1800</v>
      </c>
      <c r="N14" s="2508">
        <v>0</v>
      </c>
      <c r="O14" s="2037" t="s">
        <v>1572</v>
      </c>
      <c r="P14" s="3285">
        <v>0</v>
      </c>
      <c r="Q14" s="3287">
        <v>0</v>
      </c>
      <c r="R14" s="3363"/>
      <c r="S14" s="3363"/>
      <c r="T14" s="3363"/>
      <c r="U14" s="3363"/>
      <c r="V14" s="3363"/>
      <c r="W14" s="3363"/>
      <c r="X14" s="3363"/>
      <c r="Y14" s="3363"/>
      <c r="Z14" s="3363"/>
      <c r="AA14" s="3363"/>
      <c r="AB14" s="3294"/>
      <c r="AC14" s="3294"/>
      <c r="AD14" s="3294"/>
      <c r="AE14" s="3294"/>
      <c r="AF14" s="3294"/>
      <c r="AG14" s="3294"/>
      <c r="AH14" s="3294"/>
      <c r="AI14" s="3294"/>
      <c r="AJ14" s="3294"/>
      <c r="AK14" s="3294"/>
      <c r="AL14" s="3294"/>
      <c r="AM14" s="3301"/>
      <c r="AN14" s="3303" t="s">
        <v>1564</v>
      </c>
      <c r="AO14" s="3305" t="s">
        <v>1560</v>
      </c>
      <c r="AP14" s="3712"/>
      <c r="AQ14" s="3712"/>
      <c r="AR14" s="3712"/>
      <c r="AS14" s="3712"/>
      <c r="AT14" s="3712"/>
      <c r="AU14" s="3712"/>
      <c r="AV14" s="3712"/>
      <c r="AW14" s="3712"/>
      <c r="AX14" s="3712"/>
      <c r="AY14" s="3712"/>
      <c r="AZ14" s="3712"/>
      <c r="BA14" s="3712"/>
      <c r="BB14" s="3712"/>
      <c r="BC14" s="3712"/>
      <c r="BD14" s="3712"/>
      <c r="BE14" s="3712"/>
      <c r="BF14" s="3712"/>
      <c r="BG14" s="3712"/>
      <c r="BH14" s="3712"/>
      <c r="BI14" s="3712"/>
      <c r="BJ14" s="3712"/>
      <c r="BK14" s="3712"/>
      <c r="BL14" s="3712"/>
      <c r="BM14" s="3712"/>
      <c r="BN14" s="3712"/>
      <c r="BO14" s="3712"/>
      <c r="BP14" s="3712"/>
      <c r="BQ14" s="3334"/>
      <c r="BR14" s="3336"/>
      <c r="BS14" s="3336"/>
      <c r="BT14" s="3336"/>
      <c r="BU14" s="3336"/>
      <c r="BV14" s="3336"/>
      <c r="BW14" s="3336"/>
      <c r="BX14" s="3336"/>
      <c r="BY14" s="3336"/>
      <c r="BZ14" s="3336"/>
      <c r="CA14" s="3336"/>
      <c r="CB14" s="3330"/>
      <c r="CC14" s="3332"/>
      <c r="CD14" s="3334"/>
      <c r="CE14" s="3335"/>
      <c r="CF14" s="3335"/>
      <c r="CG14" s="3335"/>
      <c r="CH14" s="3335"/>
      <c r="CI14" s="3336"/>
      <c r="CJ14" s="3336"/>
      <c r="CK14" s="3336"/>
      <c r="CL14" s="3336"/>
      <c r="CM14" s="3330"/>
    </row>
    <row r="15" spans="1:91">
      <c r="A15" s="3271">
        <v>6</v>
      </c>
      <c r="B15" s="2551" t="str">
        <f t="shared" si="0"/>
        <v>3036690013</v>
      </c>
      <c r="C15" s="2022" t="s">
        <v>703</v>
      </c>
      <c r="D15" s="2023">
        <v>3669</v>
      </c>
      <c r="E15" s="2023">
        <v>13</v>
      </c>
      <c r="F15" s="2506">
        <v>10000</v>
      </c>
      <c r="G15" s="2507" t="s">
        <v>1566</v>
      </c>
      <c r="H15" s="2023" t="s">
        <v>1560</v>
      </c>
      <c r="I15" s="2024">
        <v>2</v>
      </c>
      <c r="J15" s="2505">
        <v>9964</v>
      </c>
      <c r="K15" s="2505">
        <v>0</v>
      </c>
      <c r="L15" s="2505">
        <v>0</v>
      </c>
      <c r="M15" s="2505">
        <v>9964</v>
      </c>
      <c r="N15" s="2025">
        <v>0</v>
      </c>
      <c r="O15" s="2512" t="s">
        <v>1573</v>
      </c>
      <c r="P15" s="3288">
        <v>0</v>
      </c>
      <c r="Q15" s="3281">
        <v>9964</v>
      </c>
      <c r="R15" s="3265">
        <v>0</v>
      </c>
      <c r="S15" s="3265">
        <v>0</v>
      </c>
      <c r="T15" s="3265">
        <v>0</v>
      </c>
      <c r="U15" s="3265">
        <v>0</v>
      </c>
      <c r="V15" s="3265">
        <v>0</v>
      </c>
      <c r="W15" s="3265">
        <v>0</v>
      </c>
      <c r="X15" s="3265">
        <v>0</v>
      </c>
      <c r="Y15" s="3265">
        <v>0</v>
      </c>
      <c r="Z15" s="3265">
        <v>0</v>
      </c>
      <c r="AA15" s="3265">
        <v>0</v>
      </c>
      <c r="AB15" s="3281">
        <v>9964</v>
      </c>
      <c r="AC15" s="3281">
        <v>9964</v>
      </c>
      <c r="AD15" s="3281">
        <v>0</v>
      </c>
      <c r="AE15" s="3281">
        <v>0</v>
      </c>
      <c r="AF15" s="3281">
        <v>25</v>
      </c>
      <c r="AG15" s="3281">
        <v>0</v>
      </c>
      <c r="AH15" s="3281">
        <v>0</v>
      </c>
      <c r="AI15" s="3281">
        <v>0</v>
      </c>
      <c r="AJ15" s="3281">
        <v>0</v>
      </c>
      <c r="AK15" s="3281">
        <v>0</v>
      </c>
      <c r="AL15" s="3281">
        <v>25</v>
      </c>
      <c r="AM15" s="3293">
        <v>10</v>
      </c>
      <c r="AN15" s="3278" t="s">
        <v>1564</v>
      </c>
      <c r="AO15" s="3280" t="s">
        <v>1560</v>
      </c>
      <c r="AP15" s="3281" t="s">
        <v>1571</v>
      </c>
      <c r="AQ15" s="3281">
        <v>36999.994999999995</v>
      </c>
      <c r="AR15" s="3281">
        <v>9000</v>
      </c>
      <c r="AS15" s="3281">
        <v>0</v>
      </c>
      <c r="AT15" s="3281">
        <v>0</v>
      </c>
      <c r="AU15" s="3281">
        <v>0</v>
      </c>
      <c r="AV15" s="3281">
        <v>0</v>
      </c>
      <c r="AW15" s="3281">
        <v>0</v>
      </c>
      <c r="AX15" s="3281">
        <v>0</v>
      </c>
      <c r="AY15" s="3281">
        <v>0</v>
      </c>
      <c r="AZ15" s="3281">
        <v>0</v>
      </c>
      <c r="BA15" s="3281">
        <v>0</v>
      </c>
      <c r="BB15" s="3281">
        <v>0</v>
      </c>
      <c r="BC15" s="3281">
        <v>45999.994999999995</v>
      </c>
      <c r="BD15" s="3281">
        <v>46999.994999999995</v>
      </c>
      <c r="BE15" s="3281">
        <v>36</v>
      </c>
      <c r="BF15" s="3281">
        <v>18</v>
      </c>
      <c r="BG15" s="3281">
        <v>9</v>
      </c>
      <c r="BH15" s="3281">
        <v>0</v>
      </c>
      <c r="BI15" s="3281">
        <v>0</v>
      </c>
      <c r="BJ15" s="3281">
        <v>0</v>
      </c>
      <c r="BK15" s="3281">
        <v>0</v>
      </c>
      <c r="BL15" s="3281">
        <v>0</v>
      </c>
      <c r="BM15" s="3281">
        <v>0</v>
      </c>
      <c r="BN15" s="3281">
        <v>0</v>
      </c>
      <c r="BO15" s="3281">
        <v>9</v>
      </c>
      <c r="BP15" s="3281">
        <v>95</v>
      </c>
      <c r="BQ15" s="3341">
        <v>36999.994999999995</v>
      </c>
      <c r="BR15" s="3340">
        <v>-964</v>
      </c>
      <c r="BS15" s="3340">
        <v>0</v>
      </c>
      <c r="BT15" s="3340">
        <v>0</v>
      </c>
      <c r="BU15" s="3340">
        <v>0</v>
      </c>
      <c r="BV15" s="3340">
        <v>0</v>
      </c>
      <c r="BW15" s="3340">
        <v>0</v>
      </c>
      <c r="BX15" s="3340">
        <v>0</v>
      </c>
      <c r="BY15" s="3340">
        <v>0</v>
      </c>
      <c r="BZ15" s="3340">
        <v>0</v>
      </c>
      <c r="CA15" s="3340">
        <v>0</v>
      </c>
      <c r="CB15" s="3343">
        <v>0</v>
      </c>
      <c r="CC15" s="3340">
        <v>36035.994999999995</v>
      </c>
      <c r="CD15" s="3341">
        <v>-964</v>
      </c>
      <c r="CE15" s="3340">
        <v>36</v>
      </c>
      <c r="CF15" s="3290">
        <v>18</v>
      </c>
      <c r="CG15" s="3290">
        <v>9</v>
      </c>
      <c r="CH15" s="3290">
        <v>0</v>
      </c>
      <c r="CI15" s="3340">
        <v>-25</v>
      </c>
      <c r="CJ15" s="3340">
        <v>0</v>
      </c>
      <c r="CK15" s="3340">
        <v>0</v>
      </c>
      <c r="CL15" s="3340">
        <v>0</v>
      </c>
      <c r="CM15" s="3343">
        <v>0</v>
      </c>
    </row>
    <row r="16" spans="1:91">
      <c r="A16" s="3271"/>
      <c r="B16" s="2551" t="str">
        <f t="shared" si="0"/>
        <v>3036690017</v>
      </c>
      <c r="C16" s="2492" t="s">
        <v>710</v>
      </c>
      <c r="D16" s="2026">
        <v>3669</v>
      </c>
      <c r="E16" s="2026">
        <v>17</v>
      </c>
      <c r="F16" s="2027">
        <v>5000</v>
      </c>
      <c r="G16" s="2497" t="s">
        <v>1566</v>
      </c>
      <c r="H16" s="2026" t="s">
        <v>1560</v>
      </c>
      <c r="I16" s="2028">
        <v>2</v>
      </c>
      <c r="J16" s="2500">
        <v>0</v>
      </c>
      <c r="K16" s="2500">
        <v>0</v>
      </c>
      <c r="L16" s="2500">
        <v>0</v>
      </c>
      <c r="M16" s="2500">
        <v>0</v>
      </c>
      <c r="N16" s="2029">
        <v>0</v>
      </c>
      <c r="O16" s="2030" t="s">
        <v>720</v>
      </c>
      <c r="P16" s="3288"/>
      <c r="Q16" s="3281"/>
      <c r="R16" s="3713"/>
      <c r="S16" s="3713"/>
      <c r="T16" s="3713"/>
      <c r="U16" s="3713"/>
      <c r="V16" s="3713"/>
      <c r="W16" s="3713"/>
      <c r="X16" s="3713"/>
      <c r="Y16" s="3713"/>
      <c r="Z16" s="3713"/>
      <c r="AA16" s="3713"/>
      <c r="AB16" s="3281"/>
      <c r="AC16" s="3281"/>
      <c r="AD16" s="3281"/>
      <c r="AE16" s="3281"/>
      <c r="AF16" s="3281"/>
      <c r="AG16" s="3281"/>
      <c r="AH16" s="3281"/>
      <c r="AI16" s="3281"/>
      <c r="AJ16" s="3281"/>
      <c r="AK16" s="3281"/>
      <c r="AL16" s="3281"/>
      <c r="AM16" s="3293"/>
      <c r="AN16" s="3278"/>
      <c r="AO16" s="3280"/>
      <c r="AP16" s="3281"/>
      <c r="AQ16" s="3281"/>
      <c r="AR16" s="3281"/>
      <c r="AS16" s="3281"/>
      <c r="AT16" s="3281"/>
      <c r="AU16" s="3281"/>
      <c r="AV16" s="3281"/>
      <c r="AW16" s="3281"/>
      <c r="AX16" s="3281"/>
      <c r="AY16" s="3281"/>
      <c r="AZ16" s="3281"/>
      <c r="BA16" s="3281"/>
      <c r="BB16" s="3281"/>
      <c r="BC16" s="3281"/>
      <c r="BD16" s="3281"/>
      <c r="BE16" s="3281"/>
      <c r="BF16" s="3281"/>
      <c r="BG16" s="3281"/>
      <c r="BH16" s="3281"/>
      <c r="BI16" s="3281"/>
      <c r="BJ16" s="3281"/>
      <c r="BK16" s="3281"/>
      <c r="BL16" s="3281"/>
      <c r="BM16" s="3281"/>
      <c r="BN16" s="3281"/>
      <c r="BO16" s="3281"/>
      <c r="BP16" s="3281"/>
      <c r="BQ16" s="3341"/>
      <c r="BR16" s="3340"/>
      <c r="BS16" s="3340"/>
      <c r="BT16" s="3340"/>
      <c r="BU16" s="3340"/>
      <c r="BV16" s="3340"/>
      <c r="BW16" s="3340"/>
      <c r="BX16" s="3340"/>
      <c r="BY16" s="3340"/>
      <c r="BZ16" s="3340"/>
      <c r="CA16" s="3340"/>
      <c r="CB16" s="3343"/>
      <c r="CC16" s="3340"/>
      <c r="CD16" s="3341"/>
      <c r="CE16" s="3340"/>
      <c r="CF16" s="3290"/>
      <c r="CG16" s="3290"/>
      <c r="CH16" s="3290"/>
      <c r="CI16" s="3340"/>
      <c r="CJ16" s="3340"/>
      <c r="CK16" s="3340"/>
      <c r="CL16" s="3340"/>
      <c r="CM16" s="3343"/>
    </row>
    <row r="17" spans="1:91" ht="15.75" thickBot="1">
      <c r="A17" s="3337"/>
      <c r="B17" s="2551" t="str">
        <f t="shared" si="0"/>
        <v>3036690020</v>
      </c>
      <c r="C17" s="2493" t="s">
        <v>721</v>
      </c>
      <c r="D17" s="2018">
        <v>3669</v>
      </c>
      <c r="E17" s="2018">
        <v>20</v>
      </c>
      <c r="F17" s="2019">
        <v>5000</v>
      </c>
      <c r="G17" s="2498" t="s">
        <v>1566</v>
      </c>
      <c r="H17" s="2018" t="s">
        <v>1560</v>
      </c>
      <c r="I17" s="2020">
        <v>2</v>
      </c>
      <c r="J17" s="2501">
        <v>0</v>
      </c>
      <c r="K17" s="2501">
        <v>0</v>
      </c>
      <c r="L17" s="2501">
        <v>0</v>
      </c>
      <c r="M17" s="2501">
        <v>0</v>
      </c>
      <c r="N17" s="2508">
        <v>0</v>
      </c>
      <c r="O17" s="2031" t="s">
        <v>720</v>
      </c>
      <c r="P17" s="3309"/>
      <c r="Q17" s="3308"/>
      <c r="R17" s="3363"/>
      <c r="S17" s="3363"/>
      <c r="T17" s="3363"/>
      <c r="U17" s="3363"/>
      <c r="V17" s="3363"/>
      <c r="W17" s="3363"/>
      <c r="X17" s="3363"/>
      <c r="Y17" s="3363"/>
      <c r="Z17" s="3363"/>
      <c r="AA17" s="3363"/>
      <c r="AB17" s="3308"/>
      <c r="AC17" s="3308"/>
      <c r="AD17" s="3308"/>
      <c r="AE17" s="3308"/>
      <c r="AF17" s="3308"/>
      <c r="AG17" s="3308"/>
      <c r="AH17" s="3308"/>
      <c r="AI17" s="3308"/>
      <c r="AJ17" s="3308"/>
      <c r="AK17" s="3308"/>
      <c r="AL17" s="3308"/>
      <c r="AM17" s="3307"/>
      <c r="AN17" s="3338"/>
      <c r="AO17" s="3339"/>
      <c r="AP17" s="3308"/>
      <c r="AQ17" s="3308"/>
      <c r="AR17" s="3308"/>
      <c r="AS17" s="3308"/>
      <c r="AT17" s="3308"/>
      <c r="AU17" s="3308"/>
      <c r="AV17" s="3308"/>
      <c r="AW17" s="3308"/>
      <c r="AX17" s="3308"/>
      <c r="AY17" s="3308"/>
      <c r="AZ17" s="3308"/>
      <c r="BA17" s="3308"/>
      <c r="BB17" s="3308"/>
      <c r="BC17" s="3308"/>
      <c r="BD17" s="3308"/>
      <c r="BE17" s="3308"/>
      <c r="BF17" s="3308"/>
      <c r="BG17" s="3308"/>
      <c r="BH17" s="3308"/>
      <c r="BI17" s="3308"/>
      <c r="BJ17" s="3308"/>
      <c r="BK17" s="3308"/>
      <c r="BL17" s="3308"/>
      <c r="BM17" s="3308"/>
      <c r="BN17" s="3308"/>
      <c r="BO17" s="3308"/>
      <c r="BP17" s="3308"/>
      <c r="BQ17" s="3342"/>
      <c r="BR17" s="3332"/>
      <c r="BS17" s="3332"/>
      <c r="BT17" s="3332"/>
      <c r="BU17" s="3332"/>
      <c r="BV17" s="3340"/>
      <c r="BW17" s="3332"/>
      <c r="BX17" s="3332"/>
      <c r="BY17" s="3332"/>
      <c r="BZ17" s="3332"/>
      <c r="CA17" s="3332"/>
      <c r="CB17" s="3344"/>
      <c r="CC17" s="3332"/>
      <c r="CD17" s="3342"/>
      <c r="CE17" s="3332"/>
      <c r="CF17" s="3310"/>
      <c r="CG17" s="3310"/>
      <c r="CH17" s="3310"/>
      <c r="CI17" s="3332"/>
      <c r="CJ17" s="3332"/>
      <c r="CK17" s="3332"/>
      <c r="CL17" s="3332"/>
      <c r="CM17" s="3344"/>
    </row>
    <row r="18" spans="1:91">
      <c r="A18" s="3270">
        <v>7</v>
      </c>
      <c r="B18" s="2551" t="str">
        <f t="shared" si="0"/>
        <v>3036690022</v>
      </c>
      <c r="C18" s="2010" t="s">
        <v>703</v>
      </c>
      <c r="D18" s="2011">
        <v>3669</v>
      </c>
      <c r="E18" s="2011">
        <v>22</v>
      </c>
      <c r="F18" s="2494">
        <v>15000</v>
      </c>
      <c r="G18" s="2496" t="s">
        <v>1566</v>
      </c>
      <c r="H18" s="2011" t="s">
        <v>1560</v>
      </c>
      <c r="I18" s="2012">
        <v>2</v>
      </c>
      <c r="J18" s="2491">
        <v>9360</v>
      </c>
      <c r="K18" s="2491">
        <v>0</v>
      </c>
      <c r="L18" s="2491">
        <v>1280</v>
      </c>
      <c r="M18" s="2491">
        <v>10640</v>
      </c>
      <c r="N18" s="2489">
        <v>0</v>
      </c>
      <c r="O18" s="2525" t="s">
        <v>1573</v>
      </c>
      <c r="P18" s="3272">
        <v>0</v>
      </c>
      <c r="Q18" s="3265">
        <v>14160</v>
      </c>
      <c r="R18" s="3265">
        <v>0</v>
      </c>
      <c r="S18" s="3265">
        <v>0</v>
      </c>
      <c r="T18" s="3265">
        <v>0</v>
      </c>
      <c r="U18" s="3265">
        <v>0</v>
      </c>
      <c r="V18" s="3265">
        <v>3148</v>
      </c>
      <c r="W18" s="3265">
        <v>0</v>
      </c>
      <c r="X18" s="3265">
        <v>0</v>
      </c>
      <c r="Y18" s="3265">
        <v>0</v>
      </c>
      <c r="Z18" s="3265">
        <v>0</v>
      </c>
      <c r="AA18" s="3265">
        <v>0</v>
      </c>
      <c r="AB18" s="3265">
        <v>17308</v>
      </c>
      <c r="AC18" s="3265">
        <v>17308</v>
      </c>
      <c r="AD18" s="3265">
        <v>0</v>
      </c>
      <c r="AE18" s="3265">
        <v>0</v>
      </c>
      <c r="AF18" s="3265">
        <v>25</v>
      </c>
      <c r="AG18" s="3265">
        <v>0</v>
      </c>
      <c r="AH18" s="3265">
        <v>0</v>
      </c>
      <c r="AI18" s="3265">
        <v>0</v>
      </c>
      <c r="AJ18" s="3265">
        <v>0</v>
      </c>
      <c r="AK18" s="3265">
        <v>0</v>
      </c>
      <c r="AL18" s="3265">
        <v>25</v>
      </c>
      <c r="AM18" s="3275">
        <v>15</v>
      </c>
      <c r="AN18" s="3277" t="s">
        <v>1564</v>
      </c>
      <c r="AO18" s="3279" t="s">
        <v>1560</v>
      </c>
      <c r="AP18" s="3265" t="s">
        <v>1565</v>
      </c>
      <c r="AQ18" s="3265">
        <v>39700</v>
      </c>
      <c r="AR18" s="3265">
        <v>3150</v>
      </c>
      <c r="AS18" s="3265">
        <v>0</v>
      </c>
      <c r="AT18" s="3265">
        <v>3150</v>
      </c>
      <c r="AU18" s="3265">
        <v>0</v>
      </c>
      <c r="AV18" s="3265">
        <v>0</v>
      </c>
      <c r="AW18" s="3265">
        <v>0</v>
      </c>
      <c r="AX18" s="3265">
        <v>0</v>
      </c>
      <c r="AY18" s="3265">
        <v>0</v>
      </c>
      <c r="AZ18" s="3265">
        <v>0</v>
      </c>
      <c r="BA18" s="3265">
        <v>0</v>
      </c>
      <c r="BB18" s="3265">
        <v>0</v>
      </c>
      <c r="BC18" s="3265">
        <v>46000</v>
      </c>
      <c r="BD18" s="3265">
        <v>47700</v>
      </c>
      <c r="BE18" s="3265">
        <v>39</v>
      </c>
      <c r="BF18" s="3265">
        <v>20</v>
      </c>
      <c r="BG18" s="3265">
        <v>10</v>
      </c>
      <c r="BH18" s="3265">
        <v>0</v>
      </c>
      <c r="BI18" s="3265">
        <v>0</v>
      </c>
      <c r="BJ18" s="3265">
        <v>0</v>
      </c>
      <c r="BK18" s="3265">
        <v>0</v>
      </c>
      <c r="BL18" s="3265">
        <v>0</v>
      </c>
      <c r="BM18" s="3265">
        <v>0</v>
      </c>
      <c r="BN18" s="3265">
        <v>0</v>
      </c>
      <c r="BO18" s="3265">
        <v>10</v>
      </c>
      <c r="BP18" s="3265">
        <v>95</v>
      </c>
      <c r="BQ18" s="3346">
        <v>39700</v>
      </c>
      <c r="BR18" s="3331">
        <v>-11010</v>
      </c>
      <c r="BS18" s="3331">
        <v>0</v>
      </c>
      <c r="BT18" s="3331">
        <v>3150</v>
      </c>
      <c r="BU18" s="3331">
        <v>0</v>
      </c>
      <c r="BV18" s="3347">
        <v>0</v>
      </c>
      <c r="BW18" s="3331">
        <v>-3148</v>
      </c>
      <c r="BX18" s="3331">
        <v>0</v>
      </c>
      <c r="BY18" s="3331">
        <v>0</v>
      </c>
      <c r="BZ18" s="3331">
        <v>0</v>
      </c>
      <c r="CA18" s="3331">
        <v>0</v>
      </c>
      <c r="CB18" s="3345">
        <v>0</v>
      </c>
      <c r="CC18" s="3331">
        <v>28692</v>
      </c>
      <c r="CD18" s="3346">
        <v>-11008</v>
      </c>
      <c r="CE18" s="3331">
        <v>39</v>
      </c>
      <c r="CF18" s="3289">
        <v>20</v>
      </c>
      <c r="CG18" s="3289">
        <v>10</v>
      </c>
      <c r="CH18" s="3289">
        <v>0</v>
      </c>
      <c r="CI18" s="3331">
        <v>-25</v>
      </c>
      <c r="CJ18" s="3331">
        <v>0</v>
      </c>
      <c r="CK18" s="3331">
        <v>0</v>
      </c>
      <c r="CL18" s="3331">
        <v>0</v>
      </c>
      <c r="CM18" s="3345">
        <v>0</v>
      </c>
    </row>
    <row r="19" spans="1:91" ht="15.75" thickBot="1">
      <c r="A19" s="3271"/>
      <c r="B19" s="2551" t="str">
        <f t="shared" si="0"/>
        <v>3036690026</v>
      </c>
      <c r="C19" s="2468" t="s">
        <v>710</v>
      </c>
      <c r="D19" s="2014">
        <v>3669</v>
      </c>
      <c r="E19" s="2014">
        <v>26</v>
      </c>
      <c r="F19" s="2038">
        <v>0</v>
      </c>
      <c r="G19" s="2133" t="s">
        <v>1566</v>
      </c>
      <c r="H19" s="2014" t="s">
        <v>1560</v>
      </c>
      <c r="I19" s="2016">
        <v>2</v>
      </c>
      <c r="J19" s="2538">
        <v>4800</v>
      </c>
      <c r="K19" s="2538">
        <v>0</v>
      </c>
      <c r="L19" s="2538">
        <v>1868</v>
      </c>
      <c r="M19" s="2538">
        <v>6668</v>
      </c>
      <c r="N19" s="2509">
        <v>0</v>
      </c>
      <c r="O19" s="2512" t="s">
        <v>1573</v>
      </c>
      <c r="P19" s="3288"/>
      <c r="Q19" s="3281"/>
      <c r="R19" s="3713"/>
      <c r="S19" s="3713"/>
      <c r="T19" s="3713"/>
      <c r="U19" s="3713"/>
      <c r="V19" s="3713"/>
      <c r="W19" s="3713"/>
      <c r="X19" s="3713"/>
      <c r="Y19" s="3713"/>
      <c r="Z19" s="3713"/>
      <c r="AA19" s="3713"/>
      <c r="AB19" s="3281"/>
      <c r="AC19" s="3281"/>
      <c r="AD19" s="3281"/>
      <c r="AE19" s="3281"/>
      <c r="AF19" s="3281"/>
      <c r="AG19" s="3281"/>
      <c r="AH19" s="3281"/>
      <c r="AI19" s="3281"/>
      <c r="AJ19" s="3281"/>
      <c r="AK19" s="3281"/>
      <c r="AL19" s="3281"/>
      <c r="AM19" s="3293"/>
      <c r="AN19" s="3278"/>
      <c r="AO19" s="3280"/>
      <c r="AP19" s="3281"/>
      <c r="AQ19" s="3281"/>
      <c r="AR19" s="3281"/>
      <c r="AS19" s="3281"/>
      <c r="AT19" s="3281"/>
      <c r="AU19" s="3281"/>
      <c r="AV19" s="3281"/>
      <c r="AW19" s="3281"/>
      <c r="AX19" s="3281"/>
      <c r="AY19" s="3281"/>
      <c r="AZ19" s="3281"/>
      <c r="BA19" s="3281"/>
      <c r="BB19" s="3281"/>
      <c r="BC19" s="3281"/>
      <c r="BD19" s="3281"/>
      <c r="BE19" s="3281"/>
      <c r="BF19" s="3281"/>
      <c r="BG19" s="3281"/>
      <c r="BH19" s="3281"/>
      <c r="BI19" s="3281"/>
      <c r="BJ19" s="3281"/>
      <c r="BK19" s="3281"/>
      <c r="BL19" s="3281"/>
      <c r="BM19" s="3281"/>
      <c r="BN19" s="3281"/>
      <c r="BO19" s="3281"/>
      <c r="BP19" s="3281"/>
      <c r="BQ19" s="3341"/>
      <c r="BR19" s="3340"/>
      <c r="BS19" s="3340"/>
      <c r="BT19" s="3340"/>
      <c r="BU19" s="3340"/>
      <c r="BV19" s="3296"/>
      <c r="BW19" s="3340"/>
      <c r="BX19" s="3340"/>
      <c r="BY19" s="3340"/>
      <c r="BZ19" s="3340"/>
      <c r="CA19" s="3340"/>
      <c r="CB19" s="3343"/>
      <c r="CC19" s="3340"/>
      <c r="CD19" s="3341"/>
      <c r="CE19" s="3340"/>
      <c r="CF19" s="3290"/>
      <c r="CG19" s="3290"/>
      <c r="CH19" s="3290"/>
      <c r="CI19" s="3340"/>
      <c r="CJ19" s="3340"/>
      <c r="CK19" s="3340"/>
      <c r="CL19" s="3340"/>
      <c r="CM19" s="3343"/>
    </row>
    <row r="20" spans="1:91">
      <c r="A20" s="3282">
        <v>8</v>
      </c>
      <c r="B20" s="2551" t="str">
        <f t="shared" si="0"/>
        <v>3036700009</v>
      </c>
      <c r="C20" s="2010" t="s">
        <v>703</v>
      </c>
      <c r="D20" s="2011">
        <v>3670</v>
      </c>
      <c r="E20" s="2011">
        <v>9</v>
      </c>
      <c r="F20" s="2494">
        <v>8140</v>
      </c>
      <c r="G20" s="2496" t="s">
        <v>1566</v>
      </c>
      <c r="H20" s="2011" t="s">
        <v>1560</v>
      </c>
      <c r="I20" s="2012">
        <v>2</v>
      </c>
      <c r="J20" s="2491">
        <v>0</v>
      </c>
      <c r="K20" s="2491">
        <v>0</v>
      </c>
      <c r="L20" s="2491">
        <v>8140</v>
      </c>
      <c r="M20" s="2491">
        <v>8140</v>
      </c>
      <c r="N20" s="2489">
        <v>0</v>
      </c>
      <c r="O20" s="2525" t="s">
        <v>1574</v>
      </c>
      <c r="P20" s="3333">
        <v>0</v>
      </c>
      <c r="Q20" s="3295">
        <v>0</v>
      </c>
      <c r="R20" s="3331">
        <v>0</v>
      </c>
      <c r="S20" s="3331">
        <v>0</v>
      </c>
      <c r="T20" s="3331">
        <v>0</v>
      </c>
      <c r="U20" s="3331">
        <v>0</v>
      </c>
      <c r="V20" s="3331">
        <v>0</v>
      </c>
      <c r="W20" s="3331">
        <v>0</v>
      </c>
      <c r="X20" s="3331">
        <v>0</v>
      </c>
      <c r="Y20" s="3331">
        <v>0</v>
      </c>
      <c r="Z20" s="3331">
        <v>0</v>
      </c>
      <c r="AA20" s="3331">
        <v>9840</v>
      </c>
      <c r="AB20" s="3295">
        <v>9840</v>
      </c>
      <c r="AC20" s="3295">
        <v>9840</v>
      </c>
      <c r="AD20" s="3295">
        <v>0</v>
      </c>
      <c r="AE20" s="3295">
        <v>0</v>
      </c>
      <c r="AF20" s="3295">
        <v>0</v>
      </c>
      <c r="AG20" s="3295">
        <v>0</v>
      </c>
      <c r="AH20" s="3295">
        <v>0</v>
      </c>
      <c r="AI20" s="3295">
        <v>0</v>
      </c>
      <c r="AJ20" s="3295">
        <v>0</v>
      </c>
      <c r="AK20" s="3295">
        <v>24</v>
      </c>
      <c r="AL20" s="3295">
        <v>24</v>
      </c>
      <c r="AM20" s="3298">
        <v>15</v>
      </c>
      <c r="AN20" s="3302" t="s">
        <v>1564</v>
      </c>
      <c r="AO20" s="3304" t="s">
        <v>1560</v>
      </c>
      <c r="AP20" s="3286" t="s">
        <v>1575</v>
      </c>
      <c r="AQ20" s="3286">
        <v>71816</v>
      </c>
      <c r="AR20" s="3286">
        <v>0</v>
      </c>
      <c r="AS20" s="3286">
        <v>0</v>
      </c>
      <c r="AT20" s="3286">
        <v>0</v>
      </c>
      <c r="AU20" s="3286">
        <v>0</v>
      </c>
      <c r="AV20" s="3286">
        <v>0</v>
      </c>
      <c r="AW20" s="3286">
        <v>0</v>
      </c>
      <c r="AX20" s="3286">
        <v>0</v>
      </c>
      <c r="AY20" s="3286">
        <v>0</v>
      </c>
      <c r="AZ20" s="3286">
        <v>0</v>
      </c>
      <c r="BA20" s="3286">
        <v>0</v>
      </c>
      <c r="BB20" s="3286">
        <v>11628</v>
      </c>
      <c r="BC20" s="3286">
        <v>83444</v>
      </c>
      <c r="BD20" s="3286">
        <v>86476</v>
      </c>
      <c r="BE20" s="3286">
        <v>71</v>
      </c>
      <c r="BF20" s="3286">
        <v>36</v>
      </c>
      <c r="BG20" s="3286">
        <v>18</v>
      </c>
      <c r="BH20" s="3286">
        <v>0</v>
      </c>
      <c r="BI20" s="3286">
        <v>0</v>
      </c>
      <c r="BJ20" s="3286">
        <v>0</v>
      </c>
      <c r="BK20" s="3286">
        <v>0</v>
      </c>
      <c r="BL20" s="3286">
        <v>0</v>
      </c>
      <c r="BM20" s="3286">
        <v>0</v>
      </c>
      <c r="BN20" s="3286">
        <v>12</v>
      </c>
      <c r="BO20" s="3286">
        <v>30</v>
      </c>
      <c r="BP20" s="3286">
        <v>95</v>
      </c>
      <c r="BQ20" s="3333">
        <v>71816</v>
      </c>
      <c r="BR20" s="3295">
        <v>0</v>
      </c>
      <c r="BS20" s="3295">
        <v>0</v>
      </c>
      <c r="BT20" s="3295">
        <v>0</v>
      </c>
      <c r="BU20" s="3295">
        <v>0</v>
      </c>
      <c r="BV20" s="3295">
        <v>0</v>
      </c>
      <c r="BW20" s="3295">
        <v>0</v>
      </c>
      <c r="BX20" s="3295">
        <v>0</v>
      </c>
      <c r="BY20" s="3295">
        <v>0</v>
      </c>
      <c r="BZ20" s="3295">
        <v>0</v>
      </c>
      <c r="CA20" s="3295">
        <v>0</v>
      </c>
      <c r="CB20" s="3298">
        <v>1788</v>
      </c>
      <c r="CC20" s="3331">
        <v>73604</v>
      </c>
      <c r="CD20" s="3333">
        <v>0</v>
      </c>
      <c r="CE20" s="3291">
        <v>71</v>
      </c>
      <c r="CF20" s="3291">
        <v>36</v>
      </c>
      <c r="CG20" s="3291">
        <v>18</v>
      </c>
      <c r="CH20" s="3291">
        <v>0</v>
      </c>
      <c r="CI20" s="3295">
        <v>0</v>
      </c>
      <c r="CJ20" s="3295">
        <v>0</v>
      </c>
      <c r="CK20" s="3295">
        <v>0</v>
      </c>
      <c r="CL20" s="3295">
        <v>0</v>
      </c>
      <c r="CM20" s="3298">
        <v>-12</v>
      </c>
    </row>
    <row r="21" spans="1:91">
      <c r="A21" s="3348"/>
      <c r="B21" s="2551" t="str">
        <f t="shared" si="0"/>
        <v>3036700031</v>
      </c>
      <c r="C21" s="2492" t="s">
        <v>710</v>
      </c>
      <c r="D21" s="2026">
        <v>3670</v>
      </c>
      <c r="E21" s="2026">
        <v>31</v>
      </c>
      <c r="F21" s="2027">
        <v>5000</v>
      </c>
      <c r="G21" s="2497" t="s">
        <v>1566</v>
      </c>
      <c r="H21" s="2026" t="s">
        <v>1560</v>
      </c>
      <c r="I21" s="2028">
        <v>2</v>
      </c>
      <c r="J21" s="2500">
        <v>0</v>
      </c>
      <c r="K21" s="2500">
        <v>0</v>
      </c>
      <c r="L21" s="2500">
        <v>1700</v>
      </c>
      <c r="M21" s="2500">
        <v>1700</v>
      </c>
      <c r="N21" s="2029">
        <v>0</v>
      </c>
      <c r="O21" s="2030" t="s">
        <v>1574</v>
      </c>
      <c r="P21" s="3350"/>
      <c r="Q21" s="3347"/>
      <c r="R21" s="3713"/>
      <c r="S21" s="3713"/>
      <c r="T21" s="3713"/>
      <c r="U21" s="3713"/>
      <c r="V21" s="3713"/>
      <c r="W21" s="3713"/>
      <c r="X21" s="3713"/>
      <c r="Y21" s="3713"/>
      <c r="Z21" s="3713"/>
      <c r="AA21" s="3713"/>
      <c r="AB21" s="3353"/>
      <c r="AC21" s="3353"/>
      <c r="AD21" s="3353"/>
      <c r="AE21" s="3353"/>
      <c r="AF21" s="3353"/>
      <c r="AG21" s="3353"/>
      <c r="AH21" s="3353"/>
      <c r="AI21" s="3353"/>
      <c r="AJ21" s="3353"/>
      <c r="AK21" s="3353"/>
      <c r="AL21" s="3353"/>
      <c r="AM21" s="3352"/>
      <c r="AN21" s="3320"/>
      <c r="AO21" s="3322"/>
      <c r="AP21" s="3714"/>
      <c r="AQ21" s="3714"/>
      <c r="AR21" s="3714"/>
      <c r="AS21" s="3714"/>
      <c r="AT21" s="3714"/>
      <c r="AU21" s="3714"/>
      <c r="AV21" s="3714"/>
      <c r="AW21" s="3714"/>
      <c r="AX21" s="3714"/>
      <c r="AY21" s="3714"/>
      <c r="AZ21" s="3714"/>
      <c r="BA21" s="3714"/>
      <c r="BB21" s="3714"/>
      <c r="BC21" s="3714"/>
      <c r="BD21" s="3714"/>
      <c r="BE21" s="3714"/>
      <c r="BF21" s="3714"/>
      <c r="BG21" s="3714"/>
      <c r="BH21" s="3714"/>
      <c r="BI21" s="3714"/>
      <c r="BJ21" s="3714"/>
      <c r="BK21" s="3714"/>
      <c r="BL21" s="3714"/>
      <c r="BM21" s="3714"/>
      <c r="BN21" s="3714"/>
      <c r="BO21" s="3714"/>
      <c r="BP21" s="3714"/>
      <c r="BQ21" s="3354"/>
      <c r="BR21" s="3353"/>
      <c r="BS21" s="3353"/>
      <c r="BT21" s="3353"/>
      <c r="BU21" s="3353"/>
      <c r="BV21" s="3353"/>
      <c r="BW21" s="3353"/>
      <c r="BX21" s="3353"/>
      <c r="BY21" s="3353"/>
      <c r="BZ21" s="3353"/>
      <c r="CA21" s="3353"/>
      <c r="CB21" s="3352"/>
      <c r="CC21" s="3340"/>
      <c r="CD21" s="3354"/>
      <c r="CE21" s="3355"/>
      <c r="CF21" s="3355"/>
      <c r="CG21" s="3355"/>
      <c r="CH21" s="3355"/>
      <c r="CI21" s="3353"/>
      <c r="CJ21" s="3353"/>
      <c r="CK21" s="3353"/>
      <c r="CL21" s="3353"/>
      <c r="CM21" s="3352"/>
    </row>
    <row r="22" spans="1:91" ht="15.75" thickBot="1">
      <c r="A22" s="3349"/>
      <c r="B22" s="2551" t="str">
        <f t="shared" si="0"/>
        <v>3036700033</v>
      </c>
      <c r="C22" s="2493" t="s">
        <v>721</v>
      </c>
      <c r="D22" s="2018">
        <v>3670</v>
      </c>
      <c r="E22" s="2018">
        <v>33</v>
      </c>
      <c r="F22" s="2019">
        <v>5000</v>
      </c>
      <c r="G22" s="2498" t="s">
        <v>1566</v>
      </c>
      <c r="H22" s="2018" t="s">
        <v>1560</v>
      </c>
      <c r="I22" s="2020">
        <v>2.4300000000000002</v>
      </c>
      <c r="J22" s="2501">
        <v>0</v>
      </c>
      <c r="K22" s="2501">
        <v>0</v>
      </c>
      <c r="L22" s="2501">
        <v>0</v>
      </c>
      <c r="M22" s="2501">
        <v>0</v>
      </c>
      <c r="N22" s="2508">
        <v>0</v>
      </c>
      <c r="O22" s="2031" t="s">
        <v>1576</v>
      </c>
      <c r="P22" s="3351"/>
      <c r="Q22" s="3318"/>
      <c r="R22" s="3363"/>
      <c r="S22" s="3363"/>
      <c r="T22" s="3363"/>
      <c r="U22" s="3363"/>
      <c r="V22" s="3363"/>
      <c r="W22" s="3363"/>
      <c r="X22" s="3363"/>
      <c r="Y22" s="3363"/>
      <c r="Z22" s="3363"/>
      <c r="AA22" s="3363"/>
      <c r="AB22" s="3336"/>
      <c r="AC22" s="3336"/>
      <c r="AD22" s="3336"/>
      <c r="AE22" s="3336"/>
      <c r="AF22" s="3336"/>
      <c r="AG22" s="3336"/>
      <c r="AH22" s="3336"/>
      <c r="AI22" s="3336"/>
      <c r="AJ22" s="3336"/>
      <c r="AK22" s="3336"/>
      <c r="AL22" s="3336"/>
      <c r="AM22" s="3330"/>
      <c r="AN22" s="3303"/>
      <c r="AO22" s="3305"/>
      <c r="AP22" s="3712"/>
      <c r="AQ22" s="3712"/>
      <c r="AR22" s="3712"/>
      <c r="AS22" s="3712"/>
      <c r="AT22" s="3712"/>
      <c r="AU22" s="3712"/>
      <c r="AV22" s="3712"/>
      <c r="AW22" s="3712"/>
      <c r="AX22" s="3712"/>
      <c r="AY22" s="3712"/>
      <c r="AZ22" s="3712"/>
      <c r="BA22" s="3712"/>
      <c r="BB22" s="3712"/>
      <c r="BC22" s="3712"/>
      <c r="BD22" s="3712"/>
      <c r="BE22" s="3712"/>
      <c r="BF22" s="3712"/>
      <c r="BG22" s="3712"/>
      <c r="BH22" s="3712"/>
      <c r="BI22" s="3712"/>
      <c r="BJ22" s="3712"/>
      <c r="BK22" s="3712"/>
      <c r="BL22" s="3712"/>
      <c r="BM22" s="3712"/>
      <c r="BN22" s="3712"/>
      <c r="BO22" s="3712"/>
      <c r="BP22" s="3712"/>
      <c r="BQ22" s="3334"/>
      <c r="BR22" s="3336"/>
      <c r="BS22" s="3336"/>
      <c r="BT22" s="3336"/>
      <c r="BU22" s="3336"/>
      <c r="BV22" s="3336"/>
      <c r="BW22" s="3336"/>
      <c r="BX22" s="3336"/>
      <c r="BY22" s="3336"/>
      <c r="BZ22" s="3336"/>
      <c r="CA22" s="3336"/>
      <c r="CB22" s="3330"/>
      <c r="CC22" s="3332"/>
      <c r="CD22" s="3334"/>
      <c r="CE22" s="3335"/>
      <c r="CF22" s="3335"/>
      <c r="CG22" s="3335"/>
      <c r="CH22" s="3335"/>
      <c r="CI22" s="3336"/>
      <c r="CJ22" s="3336"/>
      <c r="CK22" s="3336"/>
      <c r="CL22" s="3336"/>
      <c r="CM22" s="3330"/>
    </row>
    <row r="23" spans="1:91">
      <c r="A23" s="3282">
        <v>9</v>
      </c>
      <c r="B23" s="2551" t="str">
        <f t="shared" si="0"/>
        <v>3036700013</v>
      </c>
      <c r="C23" s="2010" t="s">
        <v>703</v>
      </c>
      <c r="D23" s="2011">
        <v>3670</v>
      </c>
      <c r="E23" s="2011">
        <v>13</v>
      </c>
      <c r="F23" s="2494">
        <v>2750</v>
      </c>
      <c r="G23" s="2496" t="s">
        <v>1566</v>
      </c>
      <c r="H23" s="2011" t="s">
        <v>1560</v>
      </c>
      <c r="I23" s="2012">
        <v>2</v>
      </c>
      <c r="J23" s="2491">
        <v>2000</v>
      </c>
      <c r="K23" s="2491">
        <v>1575</v>
      </c>
      <c r="L23" s="2491">
        <v>0</v>
      </c>
      <c r="M23" s="2491">
        <v>3575</v>
      </c>
      <c r="N23" s="2489">
        <v>0</v>
      </c>
      <c r="O23" s="2036" t="s">
        <v>1577</v>
      </c>
      <c r="P23" s="3284">
        <v>3650</v>
      </c>
      <c r="Q23" s="3286">
        <v>6750</v>
      </c>
      <c r="R23" s="3265">
        <v>0</v>
      </c>
      <c r="S23" s="3265">
        <v>0</v>
      </c>
      <c r="T23" s="3265">
        <v>1575</v>
      </c>
      <c r="U23" s="3265">
        <v>0</v>
      </c>
      <c r="V23" s="3265">
        <v>4750</v>
      </c>
      <c r="W23" s="3265">
        <v>0</v>
      </c>
      <c r="X23" s="3265">
        <v>515</v>
      </c>
      <c r="Y23" s="3265">
        <v>0</v>
      </c>
      <c r="Z23" s="3265">
        <v>0</v>
      </c>
      <c r="AA23" s="3265">
        <v>0</v>
      </c>
      <c r="AB23" s="3286">
        <v>17240</v>
      </c>
      <c r="AC23" s="3286">
        <v>17240</v>
      </c>
      <c r="AD23" s="3286">
        <v>3</v>
      </c>
      <c r="AE23" s="3286">
        <v>0</v>
      </c>
      <c r="AF23" s="3286">
        <v>24</v>
      </c>
      <c r="AG23" s="3286">
        <v>0</v>
      </c>
      <c r="AH23" s="3286">
        <v>0</v>
      </c>
      <c r="AI23" s="3286">
        <v>2</v>
      </c>
      <c r="AJ23" s="3286">
        <v>0</v>
      </c>
      <c r="AK23" s="3286">
        <v>0</v>
      </c>
      <c r="AL23" s="3286">
        <v>26</v>
      </c>
      <c r="AM23" s="3300">
        <v>20</v>
      </c>
      <c r="AN23" s="3302" t="s">
        <v>1564</v>
      </c>
      <c r="AO23" s="3304" t="s">
        <v>1560</v>
      </c>
      <c r="AP23" s="3286" t="s">
        <v>1571</v>
      </c>
      <c r="AQ23" s="3286">
        <v>61650</v>
      </c>
      <c r="AR23" s="3286">
        <v>10000</v>
      </c>
      <c r="AS23" s="3286">
        <v>0</v>
      </c>
      <c r="AT23" s="3286">
        <v>0</v>
      </c>
      <c r="AU23" s="3286">
        <v>0</v>
      </c>
      <c r="AV23" s="3286">
        <v>0</v>
      </c>
      <c r="AW23" s="3286">
        <v>0</v>
      </c>
      <c r="AX23" s="3286">
        <v>0</v>
      </c>
      <c r="AY23" s="3286">
        <v>0</v>
      </c>
      <c r="AZ23" s="3286">
        <v>0</v>
      </c>
      <c r="BA23" s="3286">
        <v>0</v>
      </c>
      <c r="BB23" s="3286">
        <v>0</v>
      </c>
      <c r="BC23" s="3286">
        <v>71650</v>
      </c>
      <c r="BD23" s="3286">
        <v>74900</v>
      </c>
      <c r="BE23" s="3286">
        <v>61</v>
      </c>
      <c r="BF23" s="3286">
        <v>31</v>
      </c>
      <c r="BG23" s="3286">
        <v>16</v>
      </c>
      <c r="BH23" s="3286">
        <v>0</v>
      </c>
      <c r="BI23" s="3286">
        <v>0</v>
      </c>
      <c r="BJ23" s="3286">
        <v>0</v>
      </c>
      <c r="BK23" s="3286">
        <v>0</v>
      </c>
      <c r="BL23" s="3286">
        <v>0</v>
      </c>
      <c r="BM23" s="3286">
        <v>0</v>
      </c>
      <c r="BN23" s="3286">
        <v>0</v>
      </c>
      <c r="BO23" s="3286">
        <v>16</v>
      </c>
      <c r="BP23" s="3286">
        <v>95</v>
      </c>
      <c r="BQ23" s="3333">
        <v>58000</v>
      </c>
      <c r="BR23" s="3295">
        <v>3250</v>
      </c>
      <c r="BS23" s="3295">
        <v>0</v>
      </c>
      <c r="BT23" s="3295">
        <v>0</v>
      </c>
      <c r="BU23" s="3295">
        <v>-1575</v>
      </c>
      <c r="BV23" s="3295">
        <v>0</v>
      </c>
      <c r="BW23" s="3295">
        <v>-4750</v>
      </c>
      <c r="BX23" s="3295">
        <v>0</v>
      </c>
      <c r="BY23" s="3295">
        <v>-515</v>
      </c>
      <c r="BZ23" s="3295">
        <v>0</v>
      </c>
      <c r="CA23" s="3295">
        <v>0</v>
      </c>
      <c r="CB23" s="3298">
        <v>0</v>
      </c>
      <c r="CC23" s="3331">
        <v>54410</v>
      </c>
      <c r="CD23" s="3333">
        <v>-3590</v>
      </c>
      <c r="CE23" s="3291">
        <v>58</v>
      </c>
      <c r="CF23" s="3291">
        <v>31</v>
      </c>
      <c r="CG23" s="3291">
        <v>16</v>
      </c>
      <c r="CH23" s="3291">
        <v>0</v>
      </c>
      <c r="CI23" s="3295">
        <v>-24</v>
      </c>
      <c r="CJ23" s="3295">
        <v>0</v>
      </c>
      <c r="CK23" s="3295">
        <v>-2</v>
      </c>
      <c r="CL23" s="3295">
        <v>0</v>
      </c>
      <c r="CM23" s="3298">
        <v>0</v>
      </c>
    </row>
    <row r="24" spans="1:91">
      <c r="A24" s="3313"/>
      <c r="B24" s="2551" t="str">
        <f t="shared" si="0"/>
        <v>3036700014</v>
      </c>
      <c r="C24" s="2492" t="s">
        <v>710</v>
      </c>
      <c r="D24" s="2026">
        <v>3670</v>
      </c>
      <c r="E24" s="2026">
        <v>14</v>
      </c>
      <c r="F24" s="2027">
        <v>2750</v>
      </c>
      <c r="G24" s="2497" t="s">
        <v>1566</v>
      </c>
      <c r="H24" s="2026" t="s">
        <v>1560</v>
      </c>
      <c r="I24" s="2028">
        <v>2</v>
      </c>
      <c r="J24" s="2500">
        <v>0</v>
      </c>
      <c r="K24" s="2500">
        <v>0</v>
      </c>
      <c r="L24" s="2500">
        <v>0</v>
      </c>
      <c r="M24" s="2500">
        <v>2250</v>
      </c>
      <c r="N24" s="2029">
        <v>2</v>
      </c>
      <c r="O24" s="2030" t="s">
        <v>1578</v>
      </c>
      <c r="P24" s="3315"/>
      <c r="Q24" s="3317"/>
      <c r="R24" s="3713"/>
      <c r="S24" s="3713"/>
      <c r="T24" s="3713"/>
      <c r="U24" s="3713"/>
      <c r="V24" s="3713"/>
      <c r="W24" s="3713"/>
      <c r="X24" s="3713"/>
      <c r="Y24" s="3713"/>
      <c r="Z24" s="3713"/>
      <c r="AA24" s="3713"/>
      <c r="AB24" s="3323"/>
      <c r="AC24" s="3323"/>
      <c r="AD24" s="3323"/>
      <c r="AE24" s="3323"/>
      <c r="AF24" s="3323"/>
      <c r="AG24" s="3323"/>
      <c r="AH24" s="3323"/>
      <c r="AI24" s="3323"/>
      <c r="AJ24" s="3323"/>
      <c r="AK24" s="3323"/>
      <c r="AL24" s="3323"/>
      <c r="AM24" s="3319"/>
      <c r="AN24" s="3320"/>
      <c r="AO24" s="3322"/>
      <c r="AP24" s="3714"/>
      <c r="AQ24" s="3714"/>
      <c r="AR24" s="3714"/>
      <c r="AS24" s="3714"/>
      <c r="AT24" s="3714"/>
      <c r="AU24" s="3714"/>
      <c r="AV24" s="3714"/>
      <c r="AW24" s="3714"/>
      <c r="AX24" s="3714"/>
      <c r="AY24" s="3714"/>
      <c r="AZ24" s="3714"/>
      <c r="BA24" s="3714"/>
      <c r="BB24" s="3714"/>
      <c r="BC24" s="3714"/>
      <c r="BD24" s="3714"/>
      <c r="BE24" s="3714"/>
      <c r="BF24" s="3714"/>
      <c r="BG24" s="3714"/>
      <c r="BH24" s="3714"/>
      <c r="BI24" s="3714"/>
      <c r="BJ24" s="3714"/>
      <c r="BK24" s="3714"/>
      <c r="BL24" s="3714"/>
      <c r="BM24" s="3714"/>
      <c r="BN24" s="3714"/>
      <c r="BO24" s="3714"/>
      <c r="BP24" s="3714"/>
      <c r="BQ24" s="3354"/>
      <c r="BR24" s="3353"/>
      <c r="BS24" s="3353"/>
      <c r="BT24" s="3353"/>
      <c r="BU24" s="3353"/>
      <c r="BV24" s="3353"/>
      <c r="BW24" s="3353"/>
      <c r="BX24" s="3353"/>
      <c r="BY24" s="3353"/>
      <c r="BZ24" s="3353"/>
      <c r="CA24" s="3353"/>
      <c r="CB24" s="3352"/>
      <c r="CC24" s="3340"/>
      <c r="CD24" s="3354"/>
      <c r="CE24" s="3355"/>
      <c r="CF24" s="3355"/>
      <c r="CG24" s="3355"/>
      <c r="CH24" s="3355"/>
      <c r="CI24" s="3353"/>
      <c r="CJ24" s="3353"/>
      <c r="CK24" s="3353"/>
      <c r="CL24" s="3353"/>
      <c r="CM24" s="3352"/>
    </row>
    <row r="25" spans="1:91">
      <c r="A25" s="3313"/>
      <c r="B25" s="2551" t="str">
        <f t="shared" si="0"/>
        <v>3036700015</v>
      </c>
      <c r="C25" s="2492" t="s">
        <v>721</v>
      </c>
      <c r="D25" s="2026">
        <v>3670</v>
      </c>
      <c r="E25" s="2026">
        <v>15</v>
      </c>
      <c r="F25" s="2027">
        <v>5250</v>
      </c>
      <c r="G25" s="2497" t="s">
        <v>1566</v>
      </c>
      <c r="H25" s="2026" t="s">
        <v>1560</v>
      </c>
      <c r="I25" s="2028">
        <v>2</v>
      </c>
      <c r="J25" s="2500">
        <v>0</v>
      </c>
      <c r="K25" s="2500">
        <v>0</v>
      </c>
      <c r="L25" s="2500">
        <v>0</v>
      </c>
      <c r="M25" s="2500">
        <v>0</v>
      </c>
      <c r="N25" s="2029">
        <v>0</v>
      </c>
      <c r="O25" s="2030" t="s">
        <v>1579</v>
      </c>
      <c r="P25" s="3315"/>
      <c r="Q25" s="3317"/>
      <c r="R25" s="3713"/>
      <c r="S25" s="3713"/>
      <c r="T25" s="3713"/>
      <c r="U25" s="3713"/>
      <c r="V25" s="3713"/>
      <c r="W25" s="3713"/>
      <c r="X25" s="3713"/>
      <c r="Y25" s="3713"/>
      <c r="Z25" s="3713"/>
      <c r="AA25" s="3713"/>
      <c r="AB25" s="3323"/>
      <c r="AC25" s="3323"/>
      <c r="AD25" s="3323"/>
      <c r="AE25" s="3323"/>
      <c r="AF25" s="3323"/>
      <c r="AG25" s="3323"/>
      <c r="AH25" s="3323"/>
      <c r="AI25" s="3323"/>
      <c r="AJ25" s="3323"/>
      <c r="AK25" s="3323"/>
      <c r="AL25" s="3323"/>
      <c r="AM25" s="3319"/>
      <c r="AN25" s="3320"/>
      <c r="AO25" s="3322"/>
      <c r="AP25" s="3714"/>
      <c r="AQ25" s="3714"/>
      <c r="AR25" s="3714"/>
      <c r="AS25" s="3714"/>
      <c r="AT25" s="3714"/>
      <c r="AU25" s="3714"/>
      <c r="AV25" s="3714"/>
      <c r="AW25" s="3714"/>
      <c r="AX25" s="3714"/>
      <c r="AY25" s="3714"/>
      <c r="AZ25" s="3714"/>
      <c r="BA25" s="3714"/>
      <c r="BB25" s="3714"/>
      <c r="BC25" s="3714"/>
      <c r="BD25" s="3714"/>
      <c r="BE25" s="3714"/>
      <c r="BF25" s="3714"/>
      <c r="BG25" s="3714"/>
      <c r="BH25" s="3714"/>
      <c r="BI25" s="3714"/>
      <c r="BJ25" s="3714"/>
      <c r="BK25" s="3714"/>
      <c r="BL25" s="3714"/>
      <c r="BM25" s="3714"/>
      <c r="BN25" s="3714"/>
      <c r="BO25" s="3714"/>
      <c r="BP25" s="3714"/>
      <c r="BQ25" s="3354"/>
      <c r="BR25" s="3353"/>
      <c r="BS25" s="3353"/>
      <c r="BT25" s="3353"/>
      <c r="BU25" s="3353"/>
      <c r="BV25" s="3353"/>
      <c r="BW25" s="3353"/>
      <c r="BX25" s="3353"/>
      <c r="BY25" s="3353"/>
      <c r="BZ25" s="3353"/>
      <c r="CA25" s="3353"/>
      <c r="CB25" s="3352"/>
      <c r="CC25" s="3340"/>
      <c r="CD25" s="3354"/>
      <c r="CE25" s="3355"/>
      <c r="CF25" s="3355"/>
      <c r="CG25" s="3355"/>
      <c r="CH25" s="3355"/>
      <c r="CI25" s="3353"/>
      <c r="CJ25" s="3353"/>
      <c r="CK25" s="3353"/>
      <c r="CL25" s="3353"/>
      <c r="CM25" s="3352"/>
    </row>
    <row r="26" spans="1:91">
      <c r="A26" s="3313"/>
      <c r="B26" s="2551" t="str">
        <f t="shared" si="0"/>
        <v>3036700029</v>
      </c>
      <c r="C26" s="2492" t="s">
        <v>724</v>
      </c>
      <c r="D26" s="2026">
        <v>3670</v>
      </c>
      <c r="E26" s="2026">
        <v>29</v>
      </c>
      <c r="F26" s="2027">
        <v>2500</v>
      </c>
      <c r="G26" s="2497" t="s">
        <v>1566</v>
      </c>
      <c r="H26" s="2026" t="s">
        <v>1560</v>
      </c>
      <c r="I26" s="2028">
        <v>2</v>
      </c>
      <c r="J26" s="2500">
        <v>0</v>
      </c>
      <c r="K26" s="2500">
        <v>0</v>
      </c>
      <c r="L26" s="2500">
        <v>0</v>
      </c>
      <c r="M26" s="2500">
        <v>1400</v>
      </c>
      <c r="N26" s="2029">
        <v>1</v>
      </c>
      <c r="O26" s="2030" t="s">
        <v>1580</v>
      </c>
      <c r="P26" s="3315"/>
      <c r="Q26" s="3317"/>
      <c r="R26" s="3713"/>
      <c r="S26" s="3713"/>
      <c r="T26" s="3713"/>
      <c r="U26" s="3713"/>
      <c r="V26" s="3713"/>
      <c r="W26" s="3713"/>
      <c r="X26" s="3713"/>
      <c r="Y26" s="3713"/>
      <c r="Z26" s="3713"/>
      <c r="AA26" s="3713"/>
      <c r="AB26" s="3323"/>
      <c r="AC26" s="3323"/>
      <c r="AD26" s="3323"/>
      <c r="AE26" s="3323"/>
      <c r="AF26" s="3323"/>
      <c r="AG26" s="3323"/>
      <c r="AH26" s="3323"/>
      <c r="AI26" s="3323"/>
      <c r="AJ26" s="3323"/>
      <c r="AK26" s="3323"/>
      <c r="AL26" s="3323"/>
      <c r="AM26" s="3319"/>
      <c r="AN26" s="3320"/>
      <c r="AO26" s="3322"/>
      <c r="AP26" s="3714"/>
      <c r="AQ26" s="3714"/>
      <c r="AR26" s="3714"/>
      <c r="AS26" s="3714"/>
      <c r="AT26" s="3714"/>
      <c r="AU26" s="3714"/>
      <c r="AV26" s="3714"/>
      <c r="AW26" s="3714"/>
      <c r="AX26" s="3714"/>
      <c r="AY26" s="3714"/>
      <c r="AZ26" s="3714"/>
      <c r="BA26" s="3714"/>
      <c r="BB26" s="3714"/>
      <c r="BC26" s="3714"/>
      <c r="BD26" s="3714"/>
      <c r="BE26" s="3714"/>
      <c r="BF26" s="3714"/>
      <c r="BG26" s="3714"/>
      <c r="BH26" s="3714"/>
      <c r="BI26" s="3714"/>
      <c r="BJ26" s="3714"/>
      <c r="BK26" s="3714"/>
      <c r="BL26" s="3714"/>
      <c r="BM26" s="3714"/>
      <c r="BN26" s="3714"/>
      <c r="BO26" s="3714"/>
      <c r="BP26" s="3714"/>
      <c r="BQ26" s="3354"/>
      <c r="BR26" s="3353"/>
      <c r="BS26" s="3353"/>
      <c r="BT26" s="3353"/>
      <c r="BU26" s="3353"/>
      <c r="BV26" s="3353"/>
      <c r="BW26" s="3353"/>
      <c r="BX26" s="3353"/>
      <c r="BY26" s="3353"/>
      <c r="BZ26" s="3353"/>
      <c r="CA26" s="3353"/>
      <c r="CB26" s="3352"/>
      <c r="CC26" s="3340"/>
      <c r="CD26" s="3354"/>
      <c r="CE26" s="3355"/>
      <c r="CF26" s="3355"/>
      <c r="CG26" s="3355"/>
      <c r="CH26" s="3355"/>
      <c r="CI26" s="3353"/>
      <c r="CJ26" s="3353"/>
      <c r="CK26" s="3353"/>
      <c r="CL26" s="3353"/>
      <c r="CM26" s="3352"/>
    </row>
    <row r="27" spans="1:91" ht="15.75" thickBot="1">
      <c r="A27" s="3283"/>
      <c r="B27" s="2551" t="str">
        <f t="shared" si="0"/>
        <v>3036700030</v>
      </c>
      <c r="C27" s="2493" t="s">
        <v>746</v>
      </c>
      <c r="D27" s="2018">
        <v>3670</v>
      </c>
      <c r="E27" s="2018">
        <v>30</v>
      </c>
      <c r="F27" s="2019">
        <v>2500</v>
      </c>
      <c r="G27" s="2498" t="s">
        <v>1566</v>
      </c>
      <c r="H27" s="2018" t="s">
        <v>1560</v>
      </c>
      <c r="I27" s="2020">
        <v>2</v>
      </c>
      <c r="J27" s="2501">
        <v>0</v>
      </c>
      <c r="K27" s="2501">
        <v>515</v>
      </c>
      <c r="L27" s="2501">
        <v>0</v>
      </c>
      <c r="M27" s="2501">
        <v>515</v>
      </c>
      <c r="N27" s="2508">
        <v>0</v>
      </c>
      <c r="O27" s="2037" t="s">
        <v>1576</v>
      </c>
      <c r="P27" s="3285"/>
      <c r="Q27" s="3287"/>
      <c r="R27" s="3363"/>
      <c r="S27" s="3363"/>
      <c r="T27" s="3363"/>
      <c r="U27" s="3363"/>
      <c r="V27" s="3363"/>
      <c r="W27" s="3363"/>
      <c r="X27" s="3363"/>
      <c r="Y27" s="3363"/>
      <c r="Z27" s="3363"/>
      <c r="AA27" s="3363"/>
      <c r="AB27" s="3294"/>
      <c r="AC27" s="3294"/>
      <c r="AD27" s="3294"/>
      <c r="AE27" s="3294"/>
      <c r="AF27" s="3294"/>
      <c r="AG27" s="3294"/>
      <c r="AH27" s="3294"/>
      <c r="AI27" s="3294"/>
      <c r="AJ27" s="3294"/>
      <c r="AK27" s="3294"/>
      <c r="AL27" s="3294"/>
      <c r="AM27" s="3301"/>
      <c r="AN27" s="3303"/>
      <c r="AO27" s="3305"/>
      <c r="AP27" s="3712"/>
      <c r="AQ27" s="3712"/>
      <c r="AR27" s="3712"/>
      <c r="AS27" s="3712"/>
      <c r="AT27" s="3712"/>
      <c r="AU27" s="3712"/>
      <c r="AV27" s="3712"/>
      <c r="AW27" s="3712"/>
      <c r="AX27" s="3712"/>
      <c r="AY27" s="3712"/>
      <c r="AZ27" s="3712"/>
      <c r="BA27" s="3712"/>
      <c r="BB27" s="3712"/>
      <c r="BC27" s="3712"/>
      <c r="BD27" s="3712"/>
      <c r="BE27" s="3712"/>
      <c r="BF27" s="3712"/>
      <c r="BG27" s="3712"/>
      <c r="BH27" s="3712"/>
      <c r="BI27" s="3712"/>
      <c r="BJ27" s="3712"/>
      <c r="BK27" s="3712"/>
      <c r="BL27" s="3712"/>
      <c r="BM27" s="3712"/>
      <c r="BN27" s="3712"/>
      <c r="BO27" s="3712"/>
      <c r="BP27" s="3712"/>
      <c r="BQ27" s="3334"/>
      <c r="BR27" s="3336"/>
      <c r="BS27" s="3336"/>
      <c r="BT27" s="3336"/>
      <c r="BU27" s="3336"/>
      <c r="BV27" s="3336"/>
      <c r="BW27" s="3336"/>
      <c r="BX27" s="3336"/>
      <c r="BY27" s="3336"/>
      <c r="BZ27" s="3336"/>
      <c r="CA27" s="3336"/>
      <c r="CB27" s="3330"/>
      <c r="CC27" s="3332"/>
      <c r="CD27" s="3334"/>
      <c r="CE27" s="3335"/>
      <c r="CF27" s="3335"/>
      <c r="CG27" s="3335"/>
      <c r="CH27" s="3335"/>
      <c r="CI27" s="3336"/>
      <c r="CJ27" s="3336"/>
      <c r="CK27" s="3336"/>
      <c r="CL27" s="3336"/>
      <c r="CM27" s="3330"/>
    </row>
    <row r="28" spans="1:91">
      <c r="A28" s="3271">
        <v>10</v>
      </c>
      <c r="B28" s="2551" t="str">
        <f t="shared" si="0"/>
        <v>3036700016</v>
      </c>
      <c r="C28" s="2022" t="s">
        <v>703</v>
      </c>
      <c r="D28" s="2023">
        <v>3670</v>
      </c>
      <c r="E28" s="2023">
        <v>16</v>
      </c>
      <c r="F28" s="2506">
        <v>2750</v>
      </c>
      <c r="G28" s="2507" t="s">
        <v>1566</v>
      </c>
      <c r="H28" s="2023" t="s">
        <v>1560</v>
      </c>
      <c r="I28" s="2024">
        <v>2</v>
      </c>
      <c r="J28" s="2505">
        <v>0</v>
      </c>
      <c r="K28" s="2505">
        <v>575</v>
      </c>
      <c r="L28" s="2505">
        <v>0</v>
      </c>
      <c r="M28" s="2505">
        <v>575</v>
      </c>
      <c r="N28" s="2025">
        <v>0</v>
      </c>
      <c r="O28" s="2512" t="s">
        <v>1572</v>
      </c>
      <c r="P28" s="3288">
        <v>0</v>
      </c>
      <c r="Q28" s="3281">
        <v>2648</v>
      </c>
      <c r="R28" s="3281">
        <v>0</v>
      </c>
      <c r="S28" s="3281">
        <v>0</v>
      </c>
      <c r="T28" s="3281">
        <v>1150</v>
      </c>
      <c r="U28" s="3281">
        <v>0</v>
      </c>
      <c r="V28" s="3281">
        <v>0</v>
      </c>
      <c r="W28" s="3281">
        <v>0</v>
      </c>
      <c r="X28" s="3281">
        <v>0</v>
      </c>
      <c r="Y28" s="3281">
        <v>0</v>
      </c>
      <c r="Z28" s="3281">
        <v>0</v>
      </c>
      <c r="AA28" s="3281">
        <v>0</v>
      </c>
      <c r="AB28" s="3281">
        <v>3798</v>
      </c>
      <c r="AC28" s="3281">
        <v>3798</v>
      </c>
      <c r="AD28" s="3281">
        <v>0</v>
      </c>
      <c r="AE28" s="3281">
        <v>0</v>
      </c>
      <c r="AF28" s="3281">
        <v>7</v>
      </c>
      <c r="AG28" s="3281">
        <v>0</v>
      </c>
      <c r="AH28" s="3281">
        <v>0</v>
      </c>
      <c r="AI28" s="3281">
        <v>0</v>
      </c>
      <c r="AJ28" s="3281">
        <v>0</v>
      </c>
      <c r="AK28" s="3281">
        <v>0</v>
      </c>
      <c r="AL28" s="3281">
        <v>7</v>
      </c>
      <c r="AM28" s="3293">
        <v>15</v>
      </c>
      <c r="AN28" s="3278" t="s">
        <v>1564</v>
      </c>
      <c r="AO28" s="3280" t="s">
        <v>1560</v>
      </c>
      <c r="AP28" s="3281" t="s">
        <v>1581</v>
      </c>
      <c r="AQ28" s="3281">
        <v>52500</v>
      </c>
      <c r="AR28" s="3281">
        <v>16875</v>
      </c>
      <c r="AS28" s="3281">
        <v>0</v>
      </c>
      <c r="AT28" s="3281">
        <v>0</v>
      </c>
      <c r="AU28" s="3281">
        <v>0</v>
      </c>
      <c r="AV28" s="3281">
        <v>0</v>
      </c>
      <c r="AW28" s="3281">
        <v>0</v>
      </c>
      <c r="AX28" s="3281">
        <v>0</v>
      </c>
      <c r="AY28" s="3281">
        <v>0</v>
      </c>
      <c r="AZ28" s="3281">
        <v>0</v>
      </c>
      <c r="BA28" s="3281">
        <v>0</v>
      </c>
      <c r="BB28" s="3281">
        <v>0</v>
      </c>
      <c r="BC28" s="3281">
        <v>69375</v>
      </c>
      <c r="BD28" s="3281">
        <v>90000</v>
      </c>
      <c r="BE28" s="3281">
        <v>52</v>
      </c>
      <c r="BF28" s="3281">
        <v>26</v>
      </c>
      <c r="BG28" s="3281">
        <v>13</v>
      </c>
      <c r="BH28" s="3281">
        <v>0</v>
      </c>
      <c r="BI28" s="3281">
        <v>0</v>
      </c>
      <c r="BJ28" s="3281">
        <v>0</v>
      </c>
      <c r="BK28" s="3281">
        <v>0</v>
      </c>
      <c r="BL28" s="3281">
        <v>0</v>
      </c>
      <c r="BM28" s="3281">
        <v>0</v>
      </c>
      <c r="BN28" s="3281">
        <v>0</v>
      </c>
      <c r="BO28" s="3281">
        <v>13</v>
      </c>
      <c r="BP28" s="3281">
        <v>95</v>
      </c>
      <c r="BQ28" s="3341">
        <v>52500</v>
      </c>
      <c r="BR28" s="3340">
        <v>14227</v>
      </c>
      <c r="BS28" s="3340">
        <v>0</v>
      </c>
      <c r="BT28" s="3340">
        <v>0</v>
      </c>
      <c r="BU28" s="3340">
        <v>-1150</v>
      </c>
      <c r="BV28" s="3340">
        <v>0</v>
      </c>
      <c r="BW28" s="3340">
        <v>0</v>
      </c>
      <c r="BX28" s="3340">
        <v>0</v>
      </c>
      <c r="BY28" s="3340">
        <v>0</v>
      </c>
      <c r="BZ28" s="3340">
        <v>0</v>
      </c>
      <c r="CA28" s="3340">
        <v>0</v>
      </c>
      <c r="CB28" s="3343">
        <v>0</v>
      </c>
      <c r="CC28" s="3340">
        <v>65577</v>
      </c>
      <c r="CD28" s="3341">
        <v>13077</v>
      </c>
      <c r="CE28" s="3340">
        <v>52</v>
      </c>
      <c r="CF28" s="3290">
        <v>26</v>
      </c>
      <c r="CG28" s="3290">
        <v>13</v>
      </c>
      <c r="CH28" s="3290">
        <v>0</v>
      </c>
      <c r="CI28" s="3340">
        <v>-7</v>
      </c>
      <c r="CJ28" s="3340">
        <v>0</v>
      </c>
      <c r="CK28" s="3340">
        <v>0</v>
      </c>
      <c r="CL28" s="3340">
        <v>0</v>
      </c>
      <c r="CM28" s="3343">
        <v>0</v>
      </c>
    </row>
    <row r="29" spans="1:91">
      <c r="A29" s="3271"/>
      <c r="B29" s="2551" t="str">
        <f t="shared" si="0"/>
        <v>3036700017</v>
      </c>
      <c r="C29" s="2492" t="s">
        <v>710</v>
      </c>
      <c r="D29" s="2026">
        <v>3670</v>
      </c>
      <c r="E29" s="2026">
        <v>17</v>
      </c>
      <c r="F29" s="2027">
        <v>2750</v>
      </c>
      <c r="G29" s="2497" t="s">
        <v>1566</v>
      </c>
      <c r="H29" s="2026" t="s">
        <v>1560</v>
      </c>
      <c r="I29" s="2028">
        <v>2</v>
      </c>
      <c r="J29" s="2500">
        <v>0</v>
      </c>
      <c r="K29" s="2500">
        <v>575</v>
      </c>
      <c r="L29" s="2500">
        <v>0</v>
      </c>
      <c r="M29" s="2500">
        <v>575</v>
      </c>
      <c r="N29" s="2029">
        <v>0</v>
      </c>
      <c r="O29" s="2030" t="s">
        <v>1582</v>
      </c>
      <c r="P29" s="3288"/>
      <c r="Q29" s="3281"/>
      <c r="R29" s="3713"/>
      <c r="S29" s="3713"/>
      <c r="T29" s="3713"/>
      <c r="U29" s="3713"/>
      <c r="V29" s="3713"/>
      <c r="W29" s="3713"/>
      <c r="X29" s="3713"/>
      <c r="Y29" s="3713"/>
      <c r="Z29" s="3713"/>
      <c r="AA29" s="3713"/>
      <c r="AB29" s="3281"/>
      <c r="AC29" s="3281"/>
      <c r="AD29" s="3281"/>
      <c r="AE29" s="3281"/>
      <c r="AF29" s="3281"/>
      <c r="AG29" s="3281"/>
      <c r="AH29" s="3281"/>
      <c r="AI29" s="3281"/>
      <c r="AJ29" s="3281"/>
      <c r="AK29" s="3281"/>
      <c r="AL29" s="3281"/>
      <c r="AM29" s="3293"/>
      <c r="AN29" s="3278"/>
      <c r="AO29" s="3280"/>
      <c r="AP29" s="3281"/>
      <c r="AQ29" s="3281"/>
      <c r="AR29" s="3281"/>
      <c r="AS29" s="3281"/>
      <c r="AT29" s="3281"/>
      <c r="AU29" s="3281"/>
      <c r="AV29" s="3281"/>
      <c r="AW29" s="3281"/>
      <c r="AX29" s="3281"/>
      <c r="AY29" s="3281"/>
      <c r="AZ29" s="3281"/>
      <c r="BA29" s="3281"/>
      <c r="BB29" s="3281"/>
      <c r="BC29" s="3281"/>
      <c r="BD29" s="3281"/>
      <c r="BE29" s="3281"/>
      <c r="BF29" s="3281"/>
      <c r="BG29" s="3281"/>
      <c r="BH29" s="3281"/>
      <c r="BI29" s="3281"/>
      <c r="BJ29" s="3281"/>
      <c r="BK29" s="3281"/>
      <c r="BL29" s="3281"/>
      <c r="BM29" s="3281"/>
      <c r="BN29" s="3281"/>
      <c r="BO29" s="3281"/>
      <c r="BP29" s="3281"/>
      <c r="BQ29" s="3341"/>
      <c r="BR29" s="3340"/>
      <c r="BS29" s="3340"/>
      <c r="BT29" s="3340"/>
      <c r="BU29" s="3340"/>
      <c r="BV29" s="3340"/>
      <c r="BW29" s="3340"/>
      <c r="BX29" s="3340"/>
      <c r="BY29" s="3340"/>
      <c r="BZ29" s="3340"/>
      <c r="CA29" s="3340"/>
      <c r="CB29" s="3343"/>
      <c r="CC29" s="3340"/>
      <c r="CD29" s="3341"/>
      <c r="CE29" s="3340"/>
      <c r="CF29" s="3290"/>
      <c r="CG29" s="3290"/>
      <c r="CH29" s="3290"/>
      <c r="CI29" s="3340"/>
      <c r="CJ29" s="3340"/>
      <c r="CK29" s="3340"/>
      <c r="CL29" s="3340"/>
      <c r="CM29" s="3343"/>
    </row>
    <row r="30" spans="1:91" ht="15.75" thickBot="1">
      <c r="A30" s="3271"/>
      <c r="B30" s="2551" t="str">
        <f t="shared" si="0"/>
        <v>3036700018</v>
      </c>
      <c r="C30" s="2468" t="s">
        <v>721</v>
      </c>
      <c r="D30" s="2014">
        <v>3670</v>
      </c>
      <c r="E30" s="2014">
        <v>18</v>
      </c>
      <c r="F30" s="2038">
        <v>13250</v>
      </c>
      <c r="G30" s="2133" t="s">
        <v>1566</v>
      </c>
      <c r="H30" s="2014" t="s">
        <v>1560</v>
      </c>
      <c r="I30" s="2016">
        <v>2</v>
      </c>
      <c r="J30" s="2538">
        <v>2648</v>
      </c>
      <c r="K30" s="2538">
        <v>0</v>
      </c>
      <c r="L30" s="2538">
        <v>0</v>
      </c>
      <c r="M30" s="2538">
        <v>2648</v>
      </c>
      <c r="N30" s="2509">
        <v>0</v>
      </c>
      <c r="O30" s="2512" t="s">
        <v>1583</v>
      </c>
      <c r="P30" s="3288"/>
      <c r="Q30" s="3281"/>
      <c r="R30" s="3363"/>
      <c r="S30" s="3363"/>
      <c r="T30" s="3363"/>
      <c r="U30" s="3363"/>
      <c r="V30" s="3363"/>
      <c r="W30" s="3363"/>
      <c r="X30" s="3363"/>
      <c r="Y30" s="3363"/>
      <c r="Z30" s="3363"/>
      <c r="AA30" s="3363"/>
      <c r="AB30" s="3281"/>
      <c r="AC30" s="3281"/>
      <c r="AD30" s="3281"/>
      <c r="AE30" s="3281"/>
      <c r="AF30" s="3281"/>
      <c r="AG30" s="3281"/>
      <c r="AH30" s="3281"/>
      <c r="AI30" s="3281"/>
      <c r="AJ30" s="3281"/>
      <c r="AK30" s="3281"/>
      <c r="AL30" s="3281"/>
      <c r="AM30" s="3293"/>
      <c r="AN30" s="3278"/>
      <c r="AO30" s="3280"/>
      <c r="AP30" s="3281"/>
      <c r="AQ30" s="3281"/>
      <c r="AR30" s="3281"/>
      <c r="AS30" s="3281"/>
      <c r="AT30" s="3281"/>
      <c r="AU30" s="3281"/>
      <c r="AV30" s="3281"/>
      <c r="AW30" s="3281"/>
      <c r="AX30" s="3281"/>
      <c r="AY30" s="3281"/>
      <c r="AZ30" s="3281"/>
      <c r="BA30" s="3281"/>
      <c r="BB30" s="3281"/>
      <c r="BC30" s="3281"/>
      <c r="BD30" s="3281"/>
      <c r="BE30" s="3281"/>
      <c r="BF30" s="3281"/>
      <c r="BG30" s="3281"/>
      <c r="BH30" s="3281"/>
      <c r="BI30" s="3281"/>
      <c r="BJ30" s="3281"/>
      <c r="BK30" s="3281"/>
      <c r="BL30" s="3281"/>
      <c r="BM30" s="3281"/>
      <c r="BN30" s="3281"/>
      <c r="BO30" s="3281"/>
      <c r="BP30" s="3281"/>
      <c r="BQ30" s="3341"/>
      <c r="BR30" s="3340"/>
      <c r="BS30" s="3340"/>
      <c r="BT30" s="3340"/>
      <c r="BU30" s="3340"/>
      <c r="BV30" s="3340"/>
      <c r="BW30" s="3340"/>
      <c r="BX30" s="3340"/>
      <c r="BY30" s="3340"/>
      <c r="BZ30" s="3340"/>
      <c r="CA30" s="3340"/>
      <c r="CB30" s="3343"/>
      <c r="CC30" s="3340"/>
      <c r="CD30" s="3341"/>
      <c r="CE30" s="3340"/>
      <c r="CF30" s="3290"/>
      <c r="CG30" s="3290"/>
      <c r="CH30" s="3290"/>
      <c r="CI30" s="3340"/>
      <c r="CJ30" s="3340"/>
      <c r="CK30" s="3340"/>
      <c r="CL30" s="3340"/>
      <c r="CM30" s="3343"/>
    </row>
    <row r="31" spans="1:91">
      <c r="A31" s="3270">
        <v>11</v>
      </c>
      <c r="B31" s="2551" t="str">
        <f t="shared" si="0"/>
        <v>3036730014</v>
      </c>
      <c r="C31" s="2010" t="s">
        <v>703</v>
      </c>
      <c r="D31" s="2011">
        <v>3673</v>
      </c>
      <c r="E31" s="2011">
        <v>14</v>
      </c>
      <c r="F31" s="2494">
        <v>2513</v>
      </c>
      <c r="G31" s="2496" t="s">
        <v>1079</v>
      </c>
      <c r="H31" s="2011" t="s">
        <v>1584</v>
      </c>
      <c r="I31" s="2012">
        <v>1.25</v>
      </c>
      <c r="J31" s="2491">
        <v>0</v>
      </c>
      <c r="K31" s="2491">
        <v>0</v>
      </c>
      <c r="L31" s="2491">
        <v>0</v>
      </c>
      <c r="M31" s="2491">
        <v>0</v>
      </c>
      <c r="N31" s="2489">
        <v>0</v>
      </c>
      <c r="O31" s="2525" t="s">
        <v>1578</v>
      </c>
      <c r="P31" s="3272">
        <v>9391</v>
      </c>
      <c r="Q31" s="3265">
        <v>0</v>
      </c>
      <c r="R31" s="3265">
        <v>0</v>
      </c>
      <c r="S31" s="3265">
        <v>0</v>
      </c>
      <c r="T31" s="3265">
        <v>0</v>
      </c>
      <c r="U31" s="3265">
        <v>0</v>
      </c>
      <c r="V31" s="3265">
        <v>0</v>
      </c>
      <c r="W31" s="3265">
        <v>0</v>
      </c>
      <c r="X31" s="3265">
        <v>0</v>
      </c>
      <c r="Y31" s="3265">
        <v>0</v>
      </c>
      <c r="Z31" s="3265">
        <v>0</v>
      </c>
      <c r="AA31" s="3265">
        <v>0</v>
      </c>
      <c r="AB31" s="3265">
        <v>9391</v>
      </c>
      <c r="AC31" s="3265">
        <v>9391</v>
      </c>
      <c r="AD31" s="3265">
        <v>9</v>
      </c>
      <c r="AE31" s="3265">
        <v>9</v>
      </c>
      <c r="AF31" s="3265">
        <v>0</v>
      </c>
      <c r="AG31" s="3265">
        <v>0</v>
      </c>
      <c r="AH31" s="3265">
        <v>0</v>
      </c>
      <c r="AI31" s="3265">
        <v>0</v>
      </c>
      <c r="AJ31" s="3265">
        <v>0</v>
      </c>
      <c r="AK31" s="3265">
        <v>0</v>
      </c>
      <c r="AL31" s="3265">
        <v>9</v>
      </c>
      <c r="AM31" s="3275">
        <v>25</v>
      </c>
      <c r="AN31" s="3277" t="s">
        <v>1585</v>
      </c>
      <c r="AO31" s="3279" t="s">
        <v>706</v>
      </c>
      <c r="AP31" s="3265" t="s">
        <v>1586</v>
      </c>
      <c r="AQ31" s="3265">
        <v>20284.714285714286</v>
      </c>
      <c r="AR31" s="3265">
        <v>6761.7</v>
      </c>
      <c r="AS31" s="3265">
        <v>0</v>
      </c>
      <c r="AT31" s="3265">
        <v>0</v>
      </c>
      <c r="AU31" s="3265">
        <v>0</v>
      </c>
      <c r="AV31" s="3265">
        <v>0</v>
      </c>
      <c r="AW31" s="3265">
        <v>0</v>
      </c>
      <c r="AX31" s="3265">
        <v>0</v>
      </c>
      <c r="AY31" s="3265">
        <v>0</v>
      </c>
      <c r="AZ31" s="3265">
        <v>0</v>
      </c>
      <c r="BA31" s="3265">
        <v>0</v>
      </c>
      <c r="BB31" s="3265">
        <v>0</v>
      </c>
      <c r="BC31" s="3265">
        <v>27046.414285714287</v>
      </c>
      <c r="BD31" s="3265">
        <v>27797.714285714286</v>
      </c>
      <c r="BE31" s="3265">
        <v>20</v>
      </c>
      <c r="BF31" s="3265">
        <v>10</v>
      </c>
      <c r="BG31" s="3265">
        <v>5</v>
      </c>
      <c r="BH31" s="3265">
        <v>0</v>
      </c>
      <c r="BI31" s="3265">
        <v>7</v>
      </c>
      <c r="BJ31" s="3265">
        <v>0</v>
      </c>
      <c r="BK31" s="3265">
        <v>0</v>
      </c>
      <c r="BL31" s="3265">
        <v>0</v>
      </c>
      <c r="BM31" s="3265">
        <v>0</v>
      </c>
      <c r="BN31" s="3265">
        <v>0</v>
      </c>
      <c r="BO31" s="3265">
        <v>12</v>
      </c>
      <c r="BP31" s="3265">
        <v>85</v>
      </c>
      <c r="BQ31" s="3346">
        <v>10893.714285714286</v>
      </c>
      <c r="BR31" s="3331">
        <v>6761.7</v>
      </c>
      <c r="BS31" s="3331">
        <v>0</v>
      </c>
      <c r="BT31" s="3331">
        <v>0</v>
      </c>
      <c r="BU31" s="3331">
        <v>0</v>
      </c>
      <c r="BV31" s="3331">
        <v>0</v>
      </c>
      <c r="BW31" s="3331">
        <v>0</v>
      </c>
      <c r="BX31" s="3331">
        <v>0</v>
      </c>
      <c r="BY31" s="3331">
        <v>0</v>
      </c>
      <c r="BZ31" s="3331">
        <v>0</v>
      </c>
      <c r="CA31" s="3331">
        <v>0</v>
      </c>
      <c r="CB31" s="3345">
        <v>0</v>
      </c>
      <c r="CC31" s="3331">
        <v>17655.414285714287</v>
      </c>
      <c r="CD31" s="3346">
        <v>6761.7</v>
      </c>
      <c r="CE31" s="3331">
        <v>11</v>
      </c>
      <c r="CF31" s="3289">
        <v>10</v>
      </c>
      <c r="CG31" s="3289">
        <v>-4</v>
      </c>
      <c r="CH31" s="3289">
        <v>0</v>
      </c>
      <c r="CI31" s="3331">
        <v>7</v>
      </c>
      <c r="CJ31" s="3331">
        <v>0</v>
      </c>
      <c r="CK31" s="3331">
        <v>0</v>
      </c>
      <c r="CL31" s="3331">
        <v>0</v>
      </c>
      <c r="CM31" s="3345">
        <v>0</v>
      </c>
    </row>
    <row r="32" spans="1:91">
      <c r="A32" s="3356"/>
      <c r="B32" s="2551" t="str">
        <f t="shared" si="0"/>
        <v>3036730015</v>
      </c>
      <c r="C32" s="2492" t="s">
        <v>710</v>
      </c>
      <c r="D32" s="2026">
        <v>3673</v>
      </c>
      <c r="E32" s="2026">
        <v>15</v>
      </c>
      <c r="F32" s="2027">
        <v>2500</v>
      </c>
      <c r="G32" s="2497" t="s">
        <v>1079</v>
      </c>
      <c r="H32" s="2026" t="s">
        <v>1584</v>
      </c>
      <c r="I32" s="2028">
        <v>1.25</v>
      </c>
      <c r="J32" s="2500">
        <v>0</v>
      </c>
      <c r="K32" s="2500">
        <v>0</v>
      </c>
      <c r="L32" s="2500">
        <v>0</v>
      </c>
      <c r="M32" s="2500">
        <v>0</v>
      </c>
      <c r="N32" s="2029">
        <v>0</v>
      </c>
      <c r="O32" s="2030" t="s">
        <v>1578</v>
      </c>
      <c r="P32" s="3358"/>
      <c r="Q32" s="3360"/>
      <c r="R32" s="3713"/>
      <c r="S32" s="3713"/>
      <c r="T32" s="3713"/>
      <c r="U32" s="3713"/>
      <c r="V32" s="3713"/>
      <c r="W32" s="3713"/>
      <c r="X32" s="3713"/>
      <c r="Y32" s="3713"/>
      <c r="Z32" s="3713"/>
      <c r="AA32" s="3713"/>
      <c r="AB32" s="3360"/>
      <c r="AC32" s="3360"/>
      <c r="AD32" s="3360"/>
      <c r="AE32" s="3360"/>
      <c r="AF32" s="3360"/>
      <c r="AG32" s="3360"/>
      <c r="AH32" s="3360"/>
      <c r="AI32" s="3360"/>
      <c r="AJ32" s="3360"/>
      <c r="AK32" s="3360"/>
      <c r="AL32" s="3360"/>
      <c r="AM32" s="3364"/>
      <c r="AN32" s="3366"/>
      <c r="AO32" s="3368"/>
      <c r="AP32" s="3362"/>
      <c r="AQ32" s="3362"/>
      <c r="AR32" s="3362"/>
      <c r="AS32" s="3362"/>
      <c r="AT32" s="3362"/>
      <c r="AU32" s="3362"/>
      <c r="AV32" s="3362"/>
      <c r="AW32" s="3362"/>
      <c r="AX32" s="3362"/>
      <c r="AY32" s="3362"/>
      <c r="AZ32" s="3362"/>
      <c r="BA32" s="3362"/>
      <c r="BB32" s="3362"/>
      <c r="BC32" s="3362"/>
      <c r="BD32" s="3362"/>
      <c r="BE32" s="3362"/>
      <c r="BF32" s="3362"/>
      <c r="BG32" s="3362"/>
      <c r="BH32" s="3362"/>
      <c r="BI32" s="3362"/>
      <c r="BJ32" s="3362"/>
      <c r="BK32" s="3362"/>
      <c r="BL32" s="3362"/>
      <c r="BM32" s="3362"/>
      <c r="BN32" s="3362"/>
      <c r="BO32" s="3362"/>
      <c r="BP32" s="3362"/>
      <c r="BQ32" s="3372"/>
      <c r="BR32" s="3374"/>
      <c r="BS32" s="3374"/>
      <c r="BT32" s="3374"/>
      <c r="BU32" s="3374"/>
      <c r="BV32" s="3374"/>
      <c r="BW32" s="3374"/>
      <c r="BX32" s="3374"/>
      <c r="BY32" s="3374"/>
      <c r="BZ32" s="3374"/>
      <c r="CA32" s="3374"/>
      <c r="CB32" s="3370"/>
      <c r="CC32" s="3340"/>
      <c r="CD32" s="3372"/>
      <c r="CE32" s="3374"/>
      <c r="CF32" s="3376"/>
      <c r="CG32" s="3376"/>
      <c r="CH32" s="3376"/>
      <c r="CI32" s="3374"/>
      <c r="CJ32" s="3374"/>
      <c r="CK32" s="3374"/>
      <c r="CL32" s="3374"/>
      <c r="CM32" s="3370"/>
    </row>
    <row r="33" spans="1:91" ht="15.75" thickBot="1">
      <c r="A33" s="3357"/>
      <c r="B33" s="2551" t="str">
        <f t="shared" si="0"/>
        <v>3036730016</v>
      </c>
      <c r="C33" s="2493" t="s">
        <v>721</v>
      </c>
      <c r="D33" s="2018">
        <v>3673</v>
      </c>
      <c r="E33" s="2018">
        <v>16</v>
      </c>
      <c r="F33" s="2019">
        <v>2500</v>
      </c>
      <c r="G33" s="2498" t="s">
        <v>1079</v>
      </c>
      <c r="H33" s="2018" t="s">
        <v>1584</v>
      </c>
      <c r="I33" s="2020">
        <v>1.25</v>
      </c>
      <c r="J33" s="2501">
        <v>0</v>
      </c>
      <c r="K33" s="2501">
        <v>0</v>
      </c>
      <c r="L33" s="2501">
        <v>0</v>
      </c>
      <c r="M33" s="2501">
        <v>0</v>
      </c>
      <c r="N33" s="2508">
        <v>0</v>
      </c>
      <c r="O33" s="2030" t="s">
        <v>1578</v>
      </c>
      <c r="P33" s="3359"/>
      <c r="Q33" s="3361"/>
      <c r="R33" s="3363"/>
      <c r="S33" s="3363"/>
      <c r="T33" s="3363"/>
      <c r="U33" s="3363"/>
      <c r="V33" s="3363"/>
      <c r="W33" s="3363"/>
      <c r="X33" s="3363"/>
      <c r="Y33" s="3363"/>
      <c r="Z33" s="3363"/>
      <c r="AA33" s="3363"/>
      <c r="AB33" s="3361"/>
      <c r="AC33" s="3361"/>
      <c r="AD33" s="3361"/>
      <c r="AE33" s="3361"/>
      <c r="AF33" s="3361"/>
      <c r="AG33" s="3361"/>
      <c r="AH33" s="3361"/>
      <c r="AI33" s="3361"/>
      <c r="AJ33" s="3361"/>
      <c r="AK33" s="3361"/>
      <c r="AL33" s="3361"/>
      <c r="AM33" s="3365"/>
      <c r="AN33" s="3367"/>
      <c r="AO33" s="3369"/>
      <c r="AP33" s="3363"/>
      <c r="AQ33" s="3363"/>
      <c r="AR33" s="3363"/>
      <c r="AS33" s="3363"/>
      <c r="AT33" s="3363"/>
      <c r="AU33" s="3363"/>
      <c r="AV33" s="3363"/>
      <c r="AW33" s="3363"/>
      <c r="AX33" s="3363"/>
      <c r="AY33" s="3363"/>
      <c r="AZ33" s="3363"/>
      <c r="BA33" s="3363"/>
      <c r="BB33" s="3363"/>
      <c r="BC33" s="3363"/>
      <c r="BD33" s="3363"/>
      <c r="BE33" s="3363"/>
      <c r="BF33" s="3363"/>
      <c r="BG33" s="3363"/>
      <c r="BH33" s="3363"/>
      <c r="BI33" s="3363"/>
      <c r="BJ33" s="3363"/>
      <c r="BK33" s="3363"/>
      <c r="BL33" s="3363"/>
      <c r="BM33" s="3363"/>
      <c r="BN33" s="3363"/>
      <c r="BO33" s="3363"/>
      <c r="BP33" s="3363"/>
      <c r="BQ33" s="3373"/>
      <c r="BR33" s="3375"/>
      <c r="BS33" s="3375"/>
      <c r="BT33" s="3375"/>
      <c r="BU33" s="3375"/>
      <c r="BV33" s="3375"/>
      <c r="BW33" s="3375"/>
      <c r="BX33" s="3375"/>
      <c r="BY33" s="3375"/>
      <c r="BZ33" s="3375"/>
      <c r="CA33" s="3375"/>
      <c r="CB33" s="3371"/>
      <c r="CC33" s="3332"/>
      <c r="CD33" s="3373"/>
      <c r="CE33" s="3375"/>
      <c r="CF33" s="3377"/>
      <c r="CG33" s="3377"/>
      <c r="CH33" s="3377"/>
      <c r="CI33" s="3375"/>
      <c r="CJ33" s="3375"/>
      <c r="CK33" s="3375"/>
      <c r="CL33" s="3375"/>
      <c r="CM33" s="3371"/>
    </row>
    <row r="34" spans="1:91">
      <c r="A34" s="3271">
        <v>12</v>
      </c>
      <c r="B34" s="2551" t="str">
        <f t="shared" si="0"/>
        <v>3036750010</v>
      </c>
      <c r="C34" s="2022" t="s">
        <v>703</v>
      </c>
      <c r="D34" s="2023">
        <v>3675</v>
      </c>
      <c r="E34" s="2023">
        <v>10</v>
      </c>
      <c r="F34" s="2506">
        <v>1666</v>
      </c>
      <c r="G34" s="2507" t="s">
        <v>1305</v>
      </c>
      <c r="H34" s="2023" t="s">
        <v>1560</v>
      </c>
      <c r="I34" s="2024">
        <v>2</v>
      </c>
      <c r="J34" s="2505">
        <v>0</v>
      </c>
      <c r="K34" s="2505">
        <v>875</v>
      </c>
      <c r="L34" s="2505">
        <v>0</v>
      </c>
      <c r="M34" s="2505">
        <v>875</v>
      </c>
      <c r="N34" s="2025">
        <v>0</v>
      </c>
      <c r="O34" s="2512" t="s">
        <v>1587</v>
      </c>
      <c r="P34" s="3288">
        <v>0</v>
      </c>
      <c r="Q34" s="3281">
        <v>0</v>
      </c>
      <c r="R34" s="3265">
        <v>0</v>
      </c>
      <c r="S34" s="3265">
        <v>0</v>
      </c>
      <c r="T34" s="3265">
        <v>8975</v>
      </c>
      <c r="U34" s="3265">
        <v>0</v>
      </c>
      <c r="V34" s="3265">
        <v>0</v>
      </c>
      <c r="W34" s="3265">
        <v>0</v>
      </c>
      <c r="X34" s="3265">
        <v>0</v>
      </c>
      <c r="Y34" s="3265">
        <v>0</v>
      </c>
      <c r="Z34" s="3265">
        <v>0</v>
      </c>
      <c r="AA34" s="3265">
        <v>0</v>
      </c>
      <c r="AB34" s="3281">
        <v>8975</v>
      </c>
      <c r="AC34" s="3281">
        <v>8975</v>
      </c>
      <c r="AD34" s="3281">
        <v>0</v>
      </c>
      <c r="AE34" s="3281">
        <v>0</v>
      </c>
      <c r="AF34" s="3281">
        <v>0</v>
      </c>
      <c r="AG34" s="3281">
        <v>0</v>
      </c>
      <c r="AH34" s="3281">
        <v>0</v>
      </c>
      <c r="AI34" s="3281">
        <v>0</v>
      </c>
      <c r="AJ34" s="3281">
        <v>0</v>
      </c>
      <c r="AK34" s="3281">
        <v>0</v>
      </c>
      <c r="AL34" s="3281">
        <v>0</v>
      </c>
      <c r="AM34" s="3275">
        <v>25</v>
      </c>
      <c r="AN34" s="3277" t="s">
        <v>705</v>
      </c>
      <c r="AO34" s="3280" t="s">
        <v>706</v>
      </c>
      <c r="AP34" s="3281" t="s">
        <v>1588</v>
      </c>
      <c r="AQ34" s="3281">
        <v>37661</v>
      </c>
      <c r="AR34" s="3281">
        <v>9161.1</v>
      </c>
      <c r="AS34" s="3281">
        <v>0</v>
      </c>
      <c r="AT34" s="3281">
        <v>0</v>
      </c>
      <c r="AU34" s="3281">
        <v>0</v>
      </c>
      <c r="AV34" s="3281">
        <v>0</v>
      </c>
      <c r="AW34" s="3281">
        <v>0</v>
      </c>
      <c r="AX34" s="3281">
        <v>0</v>
      </c>
      <c r="AY34" s="3281">
        <v>0</v>
      </c>
      <c r="AZ34" s="3281">
        <v>0</v>
      </c>
      <c r="BA34" s="3281">
        <v>0</v>
      </c>
      <c r="BB34" s="3281">
        <v>0</v>
      </c>
      <c r="BC34" s="3281">
        <v>46822.1</v>
      </c>
      <c r="BD34" s="3281">
        <v>47840</v>
      </c>
      <c r="BE34" s="3281">
        <v>37</v>
      </c>
      <c r="BF34" s="3281">
        <v>19</v>
      </c>
      <c r="BG34" s="3281">
        <v>10</v>
      </c>
      <c r="BH34" s="3281">
        <v>0</v>
      </c>
      <c r="BI34" s="3281">
        <v>9</v>
      </c>
      <c r="BJ34" s="3281">
        <v>0</v>
      </c>
      <c r="BK34" s="3281">
        <v>0</v>
      </c>
      <c r="BL34" s="3281">
        <v>0</v>
      </c>
      <c r="BM34" s="3281">
        <v>0</v>
      </c>
      <c r="BN34" s="3281">
        <v>0</v>
      </c>
      <c r="BO34" s="3281">
        <v>19</v>
      </c>
      <c r="BP34" s="3281">
        <v>105</v>
      </c>
      <c r="BQ34" s="3341">
        <v>37661</v>
      </c>
      <c r="BR34" s="3340">
        <v>9161.1</v>
      </c>
      <c r="BS34" s="3340">
        <v>0</v>
      </c>
      <c r="BT34" s="3340">
        <v>0</v>
      </c>
      <c r="BU34" s="3340">
        <v>-8975</v>
      </c>
      <c r="BV34" s="3340">
        <v>0</v>
      </c>
      <c r="BW34" s="3340">
        <v>0</v>
      </c>
      <c r="BX34" s="3340">
        <v>0</v>
      </c>
      <c r="BY34" s="3340">
        <v>0</v>
      </c>
      <c r="BZ34" s="3340">
        <v>0</v>
      </c>
      <c r="CA34" s="3340">
        <v>0</v>
      </c>
      <c r="CB34" s="3343">
        <v>0</v>
      </c>
      <c r="CC34" s="3340">
        <v>37847.1</v>
      </c>
      <c r="CD34" s="3341">
        <v>186.10000000000036</v>
      </c>
      <c r="CE34" s="3340">
        <v>37</v>
      </c>
      <c r="CF34" s="3290">
        <v>19</v>
      </c>
      <c r="CG34" s="3290">
        <v>10</v>
      </c>
      <c r="CH34" s="3290">
        <v>0</v>
      </c>
      <c r="CI34" s="3331">
        <v>9</v>
      </c>
      <c r="CJ34" s="3331">
        <v>0</v>
      </c>
      <c r="CK34" s="3331">
        <v>0</v>
      </c>
      <c r="CL34" s="3331">
        <v>0</v>
      </c>
      <c r="CM34" s="3345">
        <v>0</v>
      </c>
    </row>
    <row r="35" spans="1:91" ht="15.75" thickBot="1">
      <c r="A35" s="3337"/>
      <c r="B35" s="2551" t="str">
        <f t="shared" si="0"/>
        <v>3036750011</v>
      </c>
      <c r="C35" s="2493" t="s">
        <v>703</v>
      </c>
      <c r="D35" s="2018">
        <v>3675</v>
      </c>
      <c r="E35" s="2018">
        <v>11</v>
      </c>
      <c r="F35" s="2019">
        <v>8513</v>
      </c>
      <c r="G35" s="2498" t="s">
        <v>1305</v>
      </c>
      <c r="H35" s="2018" t="s">
        <v>1560</v>
      </c>
      <c r="I35" s="2020">
        <v>2</v>
      </c>
      <c r="J35" s="2501">
        <v>0</v>
      </c>
      <c r="K35" s="2501">
        <v>8100</v>
      </c>
      <c r="L35" s="2501">
        <v>0</v>
      </c>
      <c r="M35" s="2501">
        <v>8100</v>
      </c>
      <c r="N35" s="2508">
        <v>0</v>
      </c>
      <c r="O35" s="2037" t="s">
        <v>1587</v>
      </c>
      <c r="P35" s="3309"/>
      <c r="Q35" s="3308"/>
      <c r="R35" s="3363"/>
      <c r="S35" s="3363"/>
      <c r="T35" s="3363"/>
      <c r="U35" s="3363"/>
      <c r="V35" s="3363"/>
      <c r="W35" s="3363"/>
      <c r="X35" s="3363"/>
      <c r="Y35" s="3363"/>
      <c r="Z35" s="3363"/>
      <c r="AA35" s="3363"/>
      <c r="AB35" s="3308"/>
      <c r="AC35" s="3308"/>
      <c r="AD35" s="3308"/>
      <c r="AE35" s="3308"/>
      <c r="AF35" s="3308"/>
      <c r="AG35" s="3308"/>
      <c r="AH35" s="3308"/>
      <c r="AI35" s="3308"/>
      <c r="AJ35" s="3308"/>
      <c r="AK35" s="3308"/>
      <c r="AL35" s="3308"/>
      <c r="AM35" s="3307"/>
      <c r="AN35" s="3378"/>
      <c r="AO35" s="3359"/>
      <c r="AP35" s="3361"/>
      <c r="AQ35" s="3361"/>
      <c r="AR35" s="3361"/>
      <c r="AS35" s="3361"/>
      <c r="AT35" s="3361"/>
      <c r="AU35" s="3361"/>
      <c r="AV35" s="3361"/>
      <c r="AW35" s="3361"/>
      <c r="AX35" s="3361"/>
      <c r="AY35" s="3361"/>
      <c r="AZ35" s="3361"/>
      <c r="BA35" s="3361"/>
      <c r="BB35" s="3361"/>
      <c r="BC35" s="3361"/>
      <c r="BD35" s="3361"/>
      <c r="BE35" s="3361"/>
      <c r="BF35" s="3361"/>
      <c r="BG35" s="3361"/>
      <c r="BH35" s="3361"/>
      <c r="BI35" s="3361"/>
      <c r="BJ35" s="3361"/>
      <c r="BK35" s="3361"/>
      <c r="BL35" s="3361"/>
      <c r="BM35" s="3361"/>
      <c r="BN35" s="3361"/>
      <c r="BO35" s="3361"/>
      <c r="BP35" s="3361"/>
      <c r="BQ35" s="3373"/>
      <c r="BR35" s="3375"/>
      <c r="BS35" s="3375"/>
      <c r="BT35" s="3375"/>
      <c r="BU35" s="3375"/>
      <c r="BV35" s="3375"/>
      <c r="BW35" s="3375"/>
      <c r="BX35" s="3375"/>
      <c r="BY35" s="3375"/>
      <c r="BZ35" s="3375"/>
      <c r="CA35" s="3375"/>
      <c r="CB35" s="3371"/>
      <c r="CC35" s="3332"/>
      <c r="CD35" s="3373"/>
      <c r="CE35" s="3375"/>
      <c r="CF35" s="3310"/>
      <c r="CG35" s="3310"/>
      <c r="CH35" s="3310"/>
      <c r="CI35" s="3332"/>
      <c r="CJ35" s="3332"/>
      <c r="CK35" s="3332"/>
      <c r="CL35" s="3332"/>
      <c r="CM35" s="3344"/>
    </row>
    <row r="36" spans="1:91" ht="15.75" thickBot="1">
      <c r="A36" s="2039">
        <v>13</v>
      </c>
      <c r="B36" s="2551" t="str">
        <f t="shared" si="0"/>
        <v>3036870012</v>
      </c>
      <c r="C36" s="2466" t="s">
        <v>703</v>
      </c>
      <c r="D36" s="2462">
        <v>3687</v>
      </c>
      <c r="E36" s="2462">
        <v>12</v>
      </c>
      <c r="F36" s="2461">
        <v>37379</v>
      </c>
      <c r="G36" s="2445" t="s">
        <v>1566</v>
      </c>
      <c r="H36" s="2462" t="s">
        <v>1560</v>
      </c>
      <c r="I36" s="2463">
        <v>2</v>
      </c>
      <c r="J36" s="2448">
        <v>0</v>
      </c>
      <c r="K36" s="2448">
        <v>0</v>
      </c>
      <c r="L36" s="2448">
        <v>0</v>
      </c>
      <c r="M36" s="2448">
        <v>34260</v>
      </c>
      <c r="N36" s="2438">
        <v>0</v>
      </c>
      <c r="O36" s="2525" t="s">
        <v>1589</v>
      </c>
      <c r="P36" s="2450">
        <v>0</v>
      </c>
      <c r="Q36" s="2448">
        <v>0</v>
      </c>
      <c r="R36" s="2448">
        <v>0</v>
      </c>
      <c r="S36" s="2448">
        <v>0</v>
      </c>
      <c r="T36" s="2448">
        <v>0</v>
      </c>
      <c r="U36" s="2448">
        <v>0</v>
      </c>
      <c r="V36" s="2448">
        <v>34260</v>
      </c>
      <c r="W36" s="2448">
        <v>0</v>
      </c>
      <c r="X36" s="2448">
        <v>0</v>
      </c>
      <c r="Y36" s="2448">
        <v>0</v>
      </c>
      <c r="Z36" s="2448">
        <v>0</v>
      </c>
      <c r="AA36" s="2448">
        <v>0</v>
      </c>
      <c r="AB36" s="2448">
        <v>34260</v>
      </c>
      <c r="AC36" s="2448">
        <v>34260</v>
      </c>
      <c r="AD36" s="2448">
        <v>0</v>
      </c>
      <c r="AE36" s="2448">
        <v>0</v>
      </c>
      <c r="AF36" s="2448">
        <v>0</v>
      </c>
      <c r="AG36" s="2448">
        <v>0</v>
      </c>
      <c r="AH36" s="2448">
        <v>0</v>
      </c>
      <c r="AI36" s="2448">
        <v>0</v>
      </c>
      <c r="AJ36" s="2448">
        <v>0</v>
      </c>
      <c r="AK36" s="2448">
        <v>0</v>
      </c>
      <c r="AL36" s="2448">
        <v>0</v>
      </c>
      <c r="AM36" s="2032">
        <v>45</v>
      </c>
      <c r="AN36" s="2040" t="s">
        <v>753</v>
      </c>
      <c r="AO36" s="2445" t="s">
        <v>1560</v>
      </c>
      <c r="AP36" s="2448" t="s">
        <v>1590</v>
      </c>
      <c r="AQ36" s="2448">
        <v>0</v>
      </c>
      <c r="AR36" s="2448">
        <v>34260</v>
      </c>
      <c r="AS36" s="2448">
        <v>0</v>
      </c>
      <c r="AT36" s="2448">
        <v>0</v>
      </c>
      <c r="AU36" s="2448">
        <v>0</v>
      </c>
      <c r="AV36" s="2448">
        <v>0</v>
      </c>
      <c r="AW36" s="2448">
        <v>50000</v>
      </c>
      <c r="AX36" s="2448">
        <v>0</v>
      </c>
      <c r="AY36" s="2448">
        <v>0</v>
      </c>
      <c r="AZ36" s="2448">
        <v>0</v>
      </c>
      <c r="BA36" s="2448">
        <v>0</v>
      </c>
      <c r="BB36" s="2448">
        <v>0</v>
      </c>
      <c r="BC36" s="2448">
        <v>84260</v>
      </c>
      <c r="BD36" s="2448">
        <v>84260</v>
      </c>
      <c r="BE36" s="2448">
        <v>0</v>
      </c>
      <c r="BF36" s="2448">
        <v>0</v>
      </c>
      <c r="BG36" s="2448">
        <v>0</v>
      </c>
      <c r="BH36" s="2448">
        <v>0</v>
      </c>
      <c r="BI36" s="2448">
        <v>84</v>
      </c>
      <c r="BJ36" s="2448">
        <v>0</v>
      </c>
      <c r="BK36" s="2448">
        <v>0</v>
      </c>
      <c r="BL36" s="2448">
        <v>0</v>
      </c>
      <c r="BM36" s="2448">
        <v>0</v>
      </c>
      <c r="BN36" s="2448">
        <v>20</v>
      </c>
      <c r="BO36" s="2448">
        <v>104</v>
      </c>
      <c r="BP36" s="2448">
        <v>75</v>
      </c>
      <c r="BQ36" s="2437">
        <v>0</v>
      </c>
      <c r="BR36" s="2439">
        <v>34260</v>
      </c>
      <c r="BS36" s="2439">
        <v>0</v>
      </c>
      <c r="BT36" s="2439">
        <v>0</v>
      </c>
      <c r="BU36" s="2439">
        <v>0</v>
      </c>
      <c r="BV36" s="2439">
        <v>0</v>
      </c>
      <c r="BW36" s="2439">
        <v>15740</v>
      </c>
      <c r="BX36" s="2439">
        <v>0</v>
      </c>
      <c r="BY36" s="2439">
        <v>0</v>
      </c>
      <c r="BZ36" s="2439">
        <v>0</v>
      </c>
      <c r="CA36" s="2439">
        <v>0</v>
      </c>
      <c r="CB36" s="2438">
        <v>0</v>
      </c>
      <c r="CC36" s="2439">
        <v>50000</v>
      </c>
      <c r="CD36" s="2437">
        <v>50000</v>
      </c>
      <c r="CE36" s="2485">
        <v>0</v>
      </c>
      <c r="CF36" s="2485">
        <v>0</v>
      </c>
      <c r="CG36" s="2485">
        <v>0</v>
      </c>
      <c r="CH36" s="2485">
        <v>0</v>
      </c>
      <c r="CI36" s="2034">
        <v>84</v>
      </c>
      <c r="CJ36" s="2034">
        <v>0</v>
      </c>
      <c r="CK36" s="2034">
        <v>0</v>
      </c>
      <c r="CL36" s="2034">
        <v>0</v>
      </c>
      <c r="CM36" s="2035">
        <v>20</v>
      </c>
    </row>
    <row r="37" spans="1:91">
      <c r="A37" s="3270">
        <v>14</v>
      </c>
      <c r="B37" s="2551" t="str">
        <f t="shared" si="0"/>
        <v>3036880011</v>
      </c>
      <c r="C37" s="2010" t="s">
        <v>703</v>
      </c>
      <c r="D37" s="2011">
        <v>3688</v>
      </c>
      <c r="E37" s="2011">
        <v>11</v>
      </c>
      <c r="F37" s="2494">
        <v>2900</v>
      </c>
      <c r="G37" s="2496" t="s">
        <v>1566</v>
      </c>
      <c r="H37" s="2011" t="s">
        <v>1560</v>
      </c>
      <c r="I37" s="2012">
        <v>2</v>
      </c>
      <c r="J37" s="2491">
        <v>0</v>
      </c>
      <c r="K37" s="2491">
        <v>0</v>
      </c>
      <c r="L37" s="2491">
        <v>0</v>
      </c>
      <c r="M37" s="2491">
        <v>1520</v>
      </c>
      <c r="N37" s="2489">
        <v>4</v>
      </c>
      <c r="O37" s="2525" t="s">
        <v>1578</v>
      </c>
      <c r="P37" s="3272">
        <v>1520</v>
      </c>
      <c r="Q37" s="3265">
        <v>12535</v>
      </c>
      <c r="R37" s="3265">
        <v>0</v>
      </c>
      <c r="S37" s="3265">
        <v>0</v>
      </c>
      <c r="T37" s="3265">
        <v>0</v>
      </c>
      <c r="U37" s="3265">
        <v>0</v>
      </c>
      <c r="V37" s="3265">
        <v>0</v>
      </c>
      <c r="W37" s="3265">
        <v>0</v>
      </c>
      <c r="X37" s="3265">
        <v>0</v>
      </c>
      <c r="Y37" s="3265">
        <v>0</v>
      </c>
      <c r="Z37" s="3265">
        <v>0</v>
      </c>
      <c r="AA37" s="3265">
        <v>0</v>
      </c>
      <c r="AB37" s="3265">
        <v>14055</v>
      </c>
      <c r="AC37" s="3265">
        <v>14055</v>
      </c>
      <c r="AD37" s="3265">
        <v>4</v>
      </c>
      <c r="AE37" s="3265">
        <v>0</v>
      </c>
      <c r="AF37" s="3265">
        <v>30</v>
      </c>
      <c r="AG37" s="3265">
        <v>0</v>
      </c>
      <c r="AH37" s="3265">
        <v>0</v>
      </c>
      <c r="AI37" s="3265">
        <v>0</v>
      </c>
      <c r="AJ37" s="3265">
        <v>0</v>
      </c>
      <c r="AK37" s="3265">
        <v>0</v>
      </c>
      <c r="AL37" s="3265">
        <v>30</v>
      </c>
      <c r="AM37" s="3275">
        <v>25</v>
      </c>
      <c r="AN37" s="3277" t="s">
        <v>1331</v>
      </c>
      <c r="AO37" s="3279" t="s">
        <v>1560</v>
      </c>
      <c r="AP37" s="3265" t="s">
        <v>1591</v>
      </c>
      <c r="AQ37" s="3265">
        <v>142704.99666666667</v>
      </c>
      <c r="AR37" s="3265">
        <v>12117.5</v>
      </c>
      <c r="AS37" s="3265">
        <v>10000</v>
      </c>
      <c r="AT37" s="3265">
        <v>0</v>
      </c>
      <c r="AU37" s="3265">
        <v>0</v>
      </c>
      <c r="AV37" s="3265">
        <v>0</v>
      </c>
      <c r="AW37" s="3265">
        <v>0</v>
      </c>
      <c r="AX37" s="3265">
        <v>0</v>
      </c>
      <c r="AY37" s="3265">
        <v>0</v>
      </c>
      <c r="AZ37" s="3265">
        <v>0</v>
      </c>
      <c r="BA37" s="3265">
        <v>0</v>
      </c>
      <c r="BB37" s="3265">
        <v>22117.5</v>
      </c>
      <c r="BC37" s="3265">
        <v>186939.99666666667</v>
      </c>
      <c r="BD37" s="3265">
        <v>191854.99666666667</v>
      </c>
      <c r="BE37" s="3265">
        <v>142</v>
      </c>
      <c r="BF37" s="3265">
        <v>71</v>
      </c>
      <c r="BG37" s="3265">
        <v>28</v>
      </c>
      <c r="BH37" s="3265">
        <v>0</v>
      </c>
      <c r="BI37" s="3265">
        <v>12</v>
      </c>
      <c r="BJ37" s="3265">
        <v>10</v>
      </c>
      <c r="BK37" s="3265">
        <v>0</v>
      </c>
      <c r="BL37" s="3265">
        <v>0</v>
      </c>
      <c r="BM37" s="3265">
        <v>0</v>
      </c>
      <c r="BN37" s="3265">
        <v>22</v>
      </c>
      <c r="BO37" s="3265">
        <v>72</v>
      </c>
      <c r="BP37" s="3265">
        <v>145</v>
      </c>
      <c r="BQ37" s="3379">
        <v>141184.99666666667</v>
      </c>
      <c r="BR37" s="3331">
        <v>-417.5</v>
      </c>
      <c r="BS37" s="3331">
        <v>10000</v>
      </c>
      <c r="BT37" s="3331">
        <v>0</v>
      </c>
      <c r="BU37" s="3331">
        <v>0</v>
      </c>
      <c r="BV37" s="3331">
        <v>0</v>
      </c>
      <c r="BW37" s="3331">
        <v>0</v>
      </c>
      <c r="BX37" s="3331">
        <v>0</v>
      </c>
      <c r="BY37" s="3331">
        <v>0</v>
      </c>
      <c r="BZ37" s="3331">
        <v>0</v>
      </c>
      <c r="CA37" s="3331">
        <v>0</v>
      </c>
      <c r="CB37" s="3345">
        <v>22117.5</v>
      </c>
      <c r="CC37" s="3331">
        <v>172884.99666666667</v>
      </c>
      <c r="CD37" s="3346">
        <v>9582.5</v>
      </c>
      <c r="CE37" s="3331">
        <v>138</v>
      </c>
      <c r="CF37" s="3289">
        <v>71</v>
      </c>
      <c r="CG37" s="3289">
        <v>28</v>
      </c>
      <c r="CH37" s="3289">
        <v>0</v>
      </c>
      <c r="CI37" s="3331">
        <v>-18</v>
      </c>
      <c r="CJ37" s="3331">
        <v>0</v>
      </c>
      <c r="CK37" s="3331">
        <v>0</v>
      </c>
      <c r="CL37" s="3331">
        <v>0</v>
      </c>
      <c r="CM37" s="3345">
        <v>22</v>
      </c>
    </row>
    <row r="38" spans="1:91" ht="15.75" thickBot="1">
      <c r="A38" s="3337"/>
      <c r="B38" s="2551" t="str">
        <f t="shared" si="0"/>
        <v>3036880018</v>
      </c>
      <c r="C38" s="2493" t="s">
        <v>710</v>
      </c>
      <c r="D38" s="2018">
        <v>3688</v>
      </c>
      <c r="E38" s="2018">
        <v>18</v>
      </c>
      <c r="F38" s="2019">
        <v>21675</v>
      </c>
      <c r="G38" s="2498" t="s">
        <v>1566</v>
      </c>
      <c r="H38" s="2018" t="s">
        <v>1560</v>
      </c>
      <c r="I38" s="2020">
        <v>2</v>
      </c>
      <c r="J38" s="2501">
        <v>12535</v>
      </c>
      <c r="K38" s="2501">
        <v>0</v>
      </c>
      <c r="L38" s="2501">
        <v>0</v>
      </c>
      <c r="M38" s="2501">
        <v>12535</v>
      </c>
      <c r="N38" s="2508">
        <v>0</v>
      </c>
      <c r="O38" s="2031" t="s">
        <v>1573</v>
      </c>
      <c r="P38" s="3309"/>
      <c r="Q38" s="3308"/>
      <c r="R38" s="3363"/>
      <c r="S38" s="3363"/>
      <c r="T38" s="3363"/>
      <c r="U38" s="3363"/>
      <c r="V38" s="3363"/>
      <c r="W38" s="3363"/>
      <c r="X38" s="3363"/>
      <c r="Y38" s="3363"/>
      <c r="Z38" s="3363"/>
      <c r="AA38" s="3363"/>
      <c r="AB38" s="3308"/>
      <c r="AC38" s="3308"/>
      <c r="AD38" s="3308"/>
      <c r="AE38" s="3308"/>
      <c r="AF38" s="3308"/>
      <c r="AG38" s="3308"/>
      <c r="AH38" s="3308"/>
      <c r="AI38" s="3308"/>
      <c r="AJ38" s="3308"/>
      <c r="AK38" s="3308"/>
      <c r="AL38" s="3308"/>
      <c r="AM38" s="3307"/>
      <c r="AN38" s="3338"/>
      <c r="AO38" s="3339"/>
      <c r="AP38" s="3308"/>
      <c r="AQ38" s="3308"/>
      <c r="AR38" s="3308"/>
      <c r="AS38" s="3363"/>
      <c r="AT38" s="3308"/>
      <c r="AU38" s="3308"/>
      <c r="AV38" s="3308"/>
      <c r="AW38" s="3308"/>
      <c r="AX38" s="3308"/>
      <c r="AY38" s="3308"/>
      <c r="AZ38" s="3308"/>
      <c r="BA38" s="3308"/>
      <c r="BB38" s="3308"/>
      <c r="BC38" s="3308"/>
      <c r="BD38" s="3308"/>
      <c r="BE38" s="3308"/>
      <c r="BF38" s="3308"/>
      <c r="BG38" s="3308"/>
      <c r="BH38" s="3308"/>
      <c r="BI38" s="3308"/>
      <c r="BJ38" s="3308"/>
      <c r="BK38" s="3308"/>
      <c r="BL38" s="3308"/>
      <c r="BM38" s="3308"/>
      <c r="BN38" s="3308"/>
      <c r="BO38" s="3308"/>
      <c r="BP38" s="3308"/>
      <c r="BQ38" s="3357"/>
      <c r="BR38" s="3375"/>
      <c r="BS38" s="3375"/>
      <c r="BT38" s="3375"/>
      <c r="BU38" s="3375"/>
      <c r="BV38" s="3375"/>
      <c r="BW38" s="3375"/>
      <c r="BX38" s="3375"/>
      <c r="BY38" s="3375"/>
      <c r="BZ38" s="3375"/>
      <c r="CA38" s="3375"/>
      <c r="CB38" s="3371"/>
      <c r="CC38" s="3332"/>
      <c r="CD38" s="3373"/>
      <c r="CE38" s="3375"/>
      <c r="CF38" s="3377"/>
      <c r="CG38" s="3377"/>
      <c r="CH38" s="3377"/>
      <c r="CI38" s="3375"/>
      <c r="CJ38" s="3375"/>
      <c r="CK38" s="3375"/>
      <c r="CL38" s="3375"/>
      <c r="CM38" s="3371"/>
    </row>
    <row r="39" spans="1:91" ht="15.75" thickBot="1">
      <c r="A39" s="2486">
        <v>15</v>
      </c>
      <c r="B39" s="2551" t="str">
        <f t="shared" si="0"/>
        <v>3036880033</v>
      </c>
      <c r="C39" s="2041" t="s">
        <v>703</v>
      </c>
      <c r="D39" s="2479">
        <v>3688</v>
      </c>
      <c r="E39" s="2479">
        <v>33</v>
      </c>
      <c r="F39" s="2482">
        <v>7500</v>
      </c>
      <c r="G39" s="2447" t="s">
        <v>1566</v>
      </c>
      <c r="H39" s="2479" t="s">
        <v>1560</v>
      </c>
      <c r="I39" s="2465">
        <v>2</v>
      </c>
      <c r="J39" s="2480">
        <v>0</v>
      </c>
      <c r="K39" s="2480">
        <v>0</v>
      </c>
      <c r="L39" s="2480">
        <v>0</v>
      </c>
      <c r="M39" s="2480">
        <v>0</v>
      </c>
      <c r="N39" s="2443">
        <v>0</v>
      </c>
      <c r="O39" s="2031" t="s">
        <v>1592</v>
      </c>
      <c r="P39" s="2487">
        <v>0</v>
      </c>
      <c r="Q39" s="2480">
        <v>0</v>
      </c>
      <c r="R39" s="2480">
        <v>0</v>
      </c>
      <c r="S39" s="2480">
        <v>0</v>
      </c>
      <c r="T39" s="2480">
        <v>3333.3333333333335</v>
      </c>
      <c r="U39" s="2480">
        <v>0</v>
      </c>
      <c r="V39" s="2480">
        <v>6666.6666666666661</v>
      </c>
      <c r="W39" s="2480">
        <v>0</v>
      </c>
      <c r="X39" s="2480">
        <v>0</v>
      </c>
      <c r="Y39" s="2480">
        <v>0</v>
      </c>
      <c r="Z39" s="2480">
        <v>0</v>
      </c>
      <c r="AA39" s="2480">
        <v>0</v>
      </c>
      <c r="AB39" s="2480">
        <v>10000</v>
      </c>
      <c r="AC39" s="2480">
        <v>10000</v>
      </c>
      <c r="AD39" s="2480">
        <v>0</v>
      </c>
      <c r="AE39" s="2480">
        <v>0</v>
      </c>
      <c r="AF39" s="2480">
        <v>0</v>
      </c>
      <c r="AG39" s="2480">
        <v>0</v>
      </c>
      <c r="AH39" s="2480">
        <v>0</v>
      </c>
      <c r="AI39" s="2480">
        <v>0</v>
      </c>
      <c r="AJ39" s="2480">
        <v>0</v>
      </c>
      <c r="AK39" s="2480">
        <v>0</v>
      </c>
      <c r="AL39" s="2480">
        <v>0</v>
      </c>
      <c r="AM39" s="2032">
        <v>25</v>
      </c>
      <c r="AN39" s="2033" t="s">
        <v>1585</v>
      </c>
      <c r="AO39" s="2447" t="s">
        <v>1560</v>
      </c>
      <c r="AP39" s="2480" t="s">
        <v>1593</v>
      </c>
      <c r="AQ39" s="2480">
        <v>20250</v>
      </c>
      <c r="AR39" s="2480">
        <v>0</v>
      </c>
      <c r="AS39" s="2480">
        <v>0</v>
      </c>
      <c r="AT39" s="2480">
        <v>0</v>
      </c>
      <c r="AU39" s="2480">
        <v>0</v>
      </c>
      <c r="AV39" s="2480">
        <v>0</v>
      </c>
      <c r="AW39" s="2480">
        <v>0</v>
      </c>
      <c r="AX39" s="2480">
        <v>0</v>
      </c>
      <c r="AY39" s="2480">
        <v>0</v>
      </c>
      <c r="AZ39" s="2480">
        <v>0</v>
      </c>
      <c r="BA39" s="2480">
        <v>6750</v>
      </c>
      <c r="BB39" s="2480">
        <v>0</v>
      </c>
      <c r="BC39" s="2480">
        <v>27000</v>
      </c>
      <c r="BD39" s="2480">
        <v>27000</v>
      </c>
      <c r="BE39" s="2480">
        <v>20</v>
      </c>
      <c r="BF39" s="2480">
        <v>10</v>
      </c>
      <c r="BG39" s="2480">
        <v>5</v>
      </c>
      <c r="BH39" s="2480">
        <v>0</v>
      </c>
      <c r="BI39" s="2480">
        <v>0</v>
      </c>
      <c r="BJ39" s="2480">
        <v>0</v>
      </c>
      <c r="BK39" s="2480">
        <v>0</v>
      </c>
      <c r="BL39" s="2480">
        <v>0</v>
      </c>
      <c r="BM39" s="2480">
        <v>0</v>
      </c>
      <c r="BN39" s="2480">
        <v>0</v>
      </c>
      <c r="BO39" s="2480">
        <v>5</v>
      </c>
      <c r="BP39" s="2480">
        <v>85</v>
      </c>
      <c r="BQ39" s="2478">
        <v>20250</v>
      </c>
      <c r="BR39" s="2441">
        <v>0</v>
      </c>
      <c r="BS39" s="2441">
        <v>0</v>
      </c>
      <c r="BT39" s="2441">
        <v>0</v>
      </c>
      <c r="BU39" s="2441">
        <v>-3333.3333333333335</v>
      </c>
      <c r="BV39" s="2441">
        <v>0</v>
      </c>
      <c r="BW39" s="2441">
        <v>-6666.6666666666661</v>
      </c>
      <c r="BX39" s="2441">
        <v>0</v>
      </c>
      <c r="BY39" s="2441">
        <v>0</v>
      </c>
      <c r="BZ39" s="2441">
        <v>0</v>
      </c>
      <c r="CA39" s="2441">
        <v>6750</v>
      </c>
      <c r="CB39" s="2443">
        <v>0</v>
      </c>
      <c r="CC39" s="2453">
        <v>17000</v>
      </c>
      <c r="CD39" s="2453">
        <v>-10000</v>
      </c>
      <c r="CE39" s="2453">
        <v>20</v>
      </c>
      <c r="CF39" s="2453">
        <v>10</v>
      </c>
      <c r="CG39" s="2453">
        <v>5</v>
      </c>
      <c r="CH39" s="2453">
        <v>0</v>
      </c>
      <c r="CI39" s="2042">
        <v>0</v>
      </c>
      <c r="CJ39" s="2042">
        <v>0</v>
      </c>
      <c r="CK39" s="2042">
        <v>0</v>
      </c>
      <c r="CL39" s="2042">
        <v>0</v>
      </c>
      <c r="CM39" s="2035">
        <v>0</v>
      </c>
    </row>
    <row r="40" spans="1:91">
      <c r="A40" s="3282">
        <v>16</v>
      </c>
      <c r="B40" s="2551" t="str">
        <f t="shared" si="0"/>
        <v>3036910011</v>
      </c>
      <c r="C40" s="2010" t="s">
        <v>703</v>
      </c>
      <c r="D40" s="2011">
        <v>3691</v>
      </c>
      <c r="E40" s="2011">
        <v>11</v>
      </c>
      <c r="F40" s="2494">
        <v>4500</v>
      </c>
      <c r="G40" s="2496" t="s">
        <v>1566</v>
      </c>
      <c r="H40" s="2011" t="s">
        <v>1560</v>
      </c>
      <c r="I40" s="2012">
        <v>2</v>
      </c>
      <c r="J40" s="2491">
        <v>0</v>
      </c>
      <c r="K40" s="2491">
        <v>0</v>
      </c>
      <c r="L40" s="2491">
        <v>0</v>
      </c>
      <c r="M40" s="2491">
        <v>0</v>
      </c>
      <c r="N40" s="2489">
        <v>0</v>
      </c>
      <c r="O40" s="2036" t="s">
        <v>1594</v>
      </c>
      <c r="P40" s="3272">
        <v>0</v>
      </c>
      <c r="Q40" s="3265">
        <v>0</v>
      </c>
      <c r="R40" s="3265">
        <v>0</v>
      </c>
      <c r="S40" s="3265">
        <v>0</v>
      </c>
      <c r="T40" s="3265">
        <v>0</v>
      </c>
      <c r="U40" s="3265">
        <v>0</v>
      </c>
      <c r="V40" s="3265">
        <v>0</v>
      </c>
      <c r="W40" s="3265">
        <v>0</v>
      </c>
      <c r="X40" s="3265">
        <v>0</v>
      </c>
      <c r="Y40" s="3265">
        <v>0</v>
      </c>
      <c r="Z40" s="3265">
        <v>0</v>
      </c>
      <c r="AA40" s="3265">
        <v>23138</v>
      </c>
      <c r="AB40" s="3265">
        <v>23138</v>
      </c>
      <c r="AC40" s="3265">
        <v>23138</v>
      </c>
      <c r="AD40" s="3265">
        <v>0</v>
      </c>
      <c r="AE40" s="3265">
        <v>0</v>
      </c>
      <c r="AF40" s="3265">
        <v>0</v>
      </c>
      <c r="AG40" s="3265">
        <v>0</v>
      </c>
      <c r="AH40" s="3265">
        <v>0</v>
      </c>
      <c r="AI40" s="3265">
        <v>0</v>
      </c>
      <c r="AJ40" s="3265">
        <v>0</v>
      </c>
      <c r="AK40" s="3265">
        <v>0</v>
      </c>
      <c r="AL40" s="3265">
        <v>0</v>
      </c>
      <c r="AM40" s="3275">
        <v>55</v>
      </c>
      <c r="AN40" s="3277" t="s">
        <v>741</v>
      </c>
      <c r="AO40" s="3279" t="s">
        <v>706</v>
      </c>
      <c r="AP40" s="3265" t="s">
        <v>1595</v>
      </c>
      <c r="AQ40" s="3265">
        <v>44613</v>
      </c>
      <c r="AR40" s="3265">
        <v>4059</v>
      </c>
      <c r="AS40" s="3265">
        <v>0</v>
      </c>
      <c r="AT40" s="3265">
        <v>0</v>
      </c>
      <c r="AU40" s="3265">
        <v>0</v>
      </c>
      <c r="AV40" s="3265">
        <v>0</v>
      </c>
      <c r="AW40" s="3265">
        <v>0</v>
      </c>
      <c r="AX40" s="3265">
        <v>0</v>
      </c>
      <c r="AY40" s="3265">
        <v>0</v>
      </c>
      <c r="AZ40" s="3265">
        <v>0</v>
      </c>
      <c r="BA40" s="3265">
        <v>0</v>
      </c>
      <c r="BB40" s="3265">
        <v>0</v>
      </c>
      <c r="BC40" s="3265">
        <v>48672</v>
      </c>
      <c r="BD40" s="3265">
        <v>49873</v>
      </c>
      <c r="BE40" s="3265">
        <v>44</v>
      </c>
      <c r="BF40" s="3265">
        <v>22</v>
      </c>
      <c r="BG40" s="3265">
        <v>9</v>
      </c>
      <c r="BH40" s="3265">
        <v>0</v>
      </c>
      <c r="BI40" s="3265">
        <v>4</v>
      </c>
      <c r="BJ40" s="3265">
        <v>0</v>
      </c>
      <c r="BK40" s="3265">
        <v>0</v>
      </c>
      <c r="BL40" s="3265">
        <v>0</v>
      </c>
      <c r="BM40" s="3265">
        <v>0</v>
      </c>
      <c r="BN40" s="3265">
        <v>0</v>
      </c>
      <c r="BO40" s="3265">
        <v>13</v>
      </c>
      <c r="BP40" s="3265">
        <v>145</v>
      </c>
      <c r="BQ40" s="3379">
        <v>44613</v>
      </c>
      <c r="BR40" s="3331">
        <v>4059</v>
      </c>
      <c r="BS40" s="3331">
        <v>0</v>
      </c>
      <c r="BT40" s="3331">
        <v>0</v>
      </c>
      <c r="BU40" s="3331">
        <v>0</v>
      </c>
      <c r="BV40" s="3331">
        <v>0</v>
      </c>
      <c r="BW40" s="3331">
        <v>0</v>
      </c>
      <c r="BX40" s="3331">
        <v>0</v>
      </c>
      <c r="BY40" s="3331">
        <v>0</v>
      </c>
      <c r="BZ40" s="3331">
        <v>0</v>
      </c>
      <c r="CA40" s="3331">
        <v>0</v>
      </c>
      <c r="CB40" s="3345">
        <v>-23138</v>
      </c>
      <c r="CC40" s="3346">
        <v>25534</v>
      </c>
      <c r="CD40" s="3346">
        <v>4059</v>
      </c>
      <c r="CE40" s="3346">
        <v>44</v>
      </c>
      <c r="CF40" s="3346">
        <v>22</v>
      </c>
      <c r="CG40" s="3346">
        <v>9</v>
      </c>
      <c r="CH40" s="3346">
        <v>0</v>
      </c>
      <c r="CI40" s="3346">
        <v>4</v>
      </c>
      <c r="CJ40" s="3346">
        <v>0</v>
      </c>
      <c r="CK40" s="3346">
        <v>0</v>
      </c>
      <c r="CL40" s="3346">
        <v>0</v>
      </c>
      <c r="CM40" s="3345">
        <v>0</v>
      </c>
    </row>
    <row r="41" spans="1:91" ht="15.75" thickBot="1">
      <c r="A41" s="3380"/>
      <c r="B41" s="2551" t="str">
        <f t="shared" si="0"/>
        <v>3036910013</v>
      </c>
      <c r="C41" s="2468" t="s">
        <v>710</v>
      </c>
      <c r="D41" s="2014">
        <v>3691</v>
      </c>
      <c r="E41" s="2014">
        <v>13</v>
      </c>
      <c r="F41" s="2038">
        <v>2260</v>
      </c>
      <c r="G41" s="2133" t="s">
        <v>1566</v>
      </c>
      <c r="H41" s="2014" t="s">
        <v>1560</v>
      </c>
      <c r="I41" s="2016">
        <v>2</v>
      </c>
      <c r="J41" s="2538">
        <v>0</v>
      </c>
      <c r="K41" s="2538">
        <v>0</v>
      </c>
      <c r="L41" s="2538">
        <v>0</v>
      </c>
      <c r="M41" s="2538">
        <v>0</v>
      </c>
      <c r="N41" s="2509">
        <v>0</v>
      </c>
      <c r="O41" s="2512" t="s">
        <v>1594</v>
      </c>
      <c r="P41" s="3288"/>
      <c r="Q41" s="3281"/>
      <c r="R41" s="3363"/>
      <c r="S41" s="3363"/>
      <c r="T41" s="3363"/>
      <c r="U41" s="3363"/>
      <c r="V41" s="3363"/>
      <c r="W41" s="3363"/>
      <c r="X41" s="3363"/>
      <c r="Y41" s="3363"/>
      <c r="Z41" s="3363"/>
      <c r="AA41" s="3363"/>
      <c r="AB41" s="3281"/>
      <c r="AC41" s="3281"/>
      <c r="AD41" s="3281"/>
      <c r="AE41" s="3281"/>
      <c r="AF41" s="3281"/>
      <c r="AG41" s="3281"/>
      <c r="AH41" s="3281"/>
      <c r="AI41" s="3281"/>
      <c r="AJ41" s="3281"/>
      <c r="AK41" s="3281"/>
      <c r="AL41" s="3281"/>
      <c r="AM41" s="3307"/>
      <c r="AN41" s="3338"/>
      <c r="AO41" s="3280"/>
      <c r="AP41" s="3281"/>
      <c r="AQ41" s="3281"/>
      <c r="AR41" s="3361"/>
      <c r="AS41" s="3361"/>
      <c r="AT41" s="3361"/>
      <c r="AU41" s="3361"/>
      <c r="AV41" s="3361"/>
      <c r="AW41" s="3361"/>
      <c r="AX41" s="3361"/>
      <c r="AY41" s="3361"/>
      <c r="AZ41" s="3361"/>
      <c r="BA41" s="3361"/>
      <c r="BB41" s="3361"/>
      <c r="BC41" s="3361"/>
      <c r="BD41" s="3361"/>
      <c r="BE41" s="3361"/>
      <c r="BF41" s="3361"/>
      <c r="BG41" s="3361"/>
      <c r="BH41" s="3361"/>
      <c r="BI41" s="3361"/>
      <c r="BJ41" s="3361"/>
      <c r="BK41" s="3361"/>
      <c r="BL41" s="3361"/>
      <c r="BM41" s="3361"/>
      <c r="BN41" s="3361"/>
      <c r="BO41" s="3361"/>
      <c r="BP41" s="3361"/>
      <c r="BQ41" s="3387"/>
      <c r="BR41" s="3385"/>
      <c r="BS41" s="3385"/>
      <c r="BT41" s="3385"/>
      <c r="BU41" s="3385"/>
      <c r="BV41" s="3385"/>
      <c r="BW41" s="3385"/>
      <c r="BX41" s="3385"/>
      <c r="BY41" s="3385"/>
      <c r="BZ41" s="3385"/>
      <c r="CA41" s="3385"/>
      <c r="CB41" s="3386"/>
      <c r="CC41" s="3384"/>
      <c r="CD41" s="3384"/>
      <c r="CE41" s="3384"/>
      <c r="CF41" s="3384"/>
      <c r="CG41" s="3384"/>
      <c r="CH41" s="3384"/>
      <c r="CI41" s="3373"/>
      <c r="CJ41" s="3373"/>
      <c r="CK41" s="3373"/>
      <c r="CL41" s="3373"/>
      <c r="CM41" s="3371"/>
    </row>
    <row r="42" spans="1:91" ht="15.75" thickBot="1">
      <c r="A42" s="2043">
        <v>17</v>
      </c>
      <c r="B42" s="2551">
        <f t="shared" si="0"/>
        <v>0</v>
      </c>
      <c r="C42" s="2044" t="s">
        <v>703</v>
      </c>
      <c r="D42" s="2045"/>
      <c r="E42" s="2045"/>
      <c r="F42" s="2032"/>
      <c r="G42" s="2046"/>
      <c r="H42" s="2045"/>
      <c r="I42" s="2047"/>
      <c r="J42" s="2533"/>
      <c r="K42" s="2533"/>
      <c r="L42" s="2533"/>
      <c r="M42" s="2533"/>
      <c r="N42" s="2035"/>
      <c r="O42" s="2048"/>
      <c r="P42" s="2049"/>
      <c r="Q42" s="2533"/>
      <c r="R42" s="2533"/>
      <c r="S42" s="2533"/>
      <c r="T42" s="2533"/>
      <c r="U42" s="2533"/>
      <c r="V42" s="2533"/>
      <c r="W42" s="2533"/>
      <c r="X42" s="2533"/>
      <c r="Y42" s="2533"/>
      <c r="Z42" s="2533"/>
      <c r="AA42" s="2533"/>
      <c r="AB42" s="2533"/>
      <c r="AC42" s="2533"/>
      <c r="AD42" s="2533"/>
      <c r="AE42" s="2533"/>
      <c r="AF42" s="2533"/>
      <c r="AG42" s="2533"/>
      <c r="AH42" s="2533"/>
      <c r="AI42" s="2533"/>
      <c r="AJ42" s="2533"/>
      <c r="AK42" s="2533"/>
      <c r="AL42" s="2533"/>
      <c r="AM42" s="2032"/>
      <c r="AN42" s="2033"/>
      <c r="AO42" s="2046"/>
      <c r="AP42" s="2533"/>
      <c r="AQ42" s="2533"/>
      <c r="AR42" s="2533"/>
      <c r="AS42" s="2533"/>
      <c r="AT42" s="2533"/>
      <c r="AU42" s="2533"/>
      <c r="AV42" s="2533"/>
      <c r="AW42" s="2533"/>
      <c r="AX42" s="2533"/>
      <c r="AY42" s="2533"/>
      <c r="AZ42" s="2533"/>
      <c r="BA42" s="2533"/>
      <c r="BB42" s="2533"/>
      <c r="BC42" s="2533"/>
      <c r="BD42" s="2533"/>
      <c r="BE42" s="2533"/>
      <c r="BF42" s="2533"/>
      <c r="BG42" s="2533"/>
      <c r="BH42" s="2533"/>
      <c r="BI42" s="2533"/>
      <c r="BJ42" s="2533"/>
      <c r="BK42" s="2533"/>
      <c r="BL42" s="2533"/>
      <c r="BM42" s="2533"/>
      <c r="BN42" s="2533"/>
      <c r="BO42" s="2533"/>
      <c r="BP42" s="2533"/>
      <c r="BQ42" s="2050"/>
      <c r="BR42" s="2034"/>
      <c r="BS42" s="2034"/>
      <c r="BT42" s="2034"/>
      <c r="BU42" s="2034"/>
      <c r="BV42" s="2034"/>
      <c r="BW42" s="2034"/>
      <c r="BX42" s="2034"/>
      <c r="BY42" s="2034"/>
      <c r="BZ42" s="2034"/>
      <c r="CA42" s="2034"/>
      <c r="CB42" s="2035"/>
      <c r="CC42" s="2042"/>
      <c r="CD42" s="2042"/>
      <c r="CE42" s="2042"/>
      <c r="CF42" s="2042"/>
      <c r="CG42" s="2042"/>
      <c r="CH42" s="2042"/>
      <c r="CI42" s="2042"/>
      <c r="CJ42" s="2042"/>
      <c r="CK42" s="2042"/>
      <c r="CL42" s="2042"/>
      <c r="CM42" s="2035"/>
    </row>
    <row r="43" spans="1:91">
      <c r="A43" s="3381">
        <v>18</v>
      </c>
      <c r="B43" s="2551">
        <f t="shared" si="0"/>
        <v>0</v>
      </c>
      <c r="C43" s="2022" t="s">
        <v>703</v>
      </c>
      <c r="D43" s="2023"/>
      <c r="E43" s="2023"/>
      <c r="F43" s="2506"/>
      <c r="G43" s="2507"/>
      <c r="H43" s="2023"/>
      <c r="I43" s="2024"/>
      <c r="J43" s="2505"/>
      <c r="K43" s="2505"/>
      <c r="L43" s="2505"/>
      <c r="M43" s="2505"/>
      <c r="N43" s="2025"/>
      <c r="O43" s="2512"/>
      <c r="P43" s="3341"/>
      <c r="Q43" s="3281"/>
      <c r="R43" s="3265"/>
      <c r="S43" s="3265"/>
      <c r="T43" s="3265"/>
      <c r="U43" s="3265"/>
      <c r="V43" s="3265"/>
      <c r="W43" s="3265"/>
      <c r="X43" s="3265"/>
      <c r="Y43" s="3265"/>
      <c r="Z43" s="3265"/>
      <c r="AA43" s="3265"/>
      <c r="AB43" s="3281"/>
      <c r="AC43" s="3281"/>
      <c r="AD43" s="3281"/>
      <c r="AE43" s="3281"/>
      <c r="AF43" s="3281"/>
      <c r="AG43" s="3281"/>
      <c r="AH43" s="3281"/>
      <c r="AI43" s="3281"/>
      <c r="AJ43" s="3281"/>
      <c r="AK43" s="3281"/>
      <c r="AL43" s="3281"/>
      <c r="AM43" s="3275"/>
      <c r="AN43" s="3277"/>
      <c r="AO43" s="3279"/>
      <c r="AP43" s="3331"/>
      <c r="AQ43" s="3331"/>
      <c r="AR43" s="3331"/>
      <c r="AS43" s="3331"/>
      <c r="AT43" s="3331"/>
      <c r="AU43" s="3331"/>
      <c r="AV43" s="3331"/>
      <c r="AW43" s="3331"/>
      <c r="AX43" s="3331"/>
      <c r="AY43" s="3331"/>
      <c r="AZ43" s="3331"/>
      <c r="BA43" s="3331"/>
      <c r="BB43" s="3331"/>
      <c r="BC43" s="3331"/>
      <c r="BD43" s="3331"/>
      <c r="BE43" s="3331"/>
      <c r="BF43" s="3331"/>
      <c r="BG43" s="3331"/>
      <c r="BH43" s="3331"/>
      <c r="BI43" s="3331"/>
      <c r="BJ43" s="3331"/>
      <c r="BK43" s="3331"/>
      <c r="BL43" s="3331"/>
      <c r="BM43" s="3331"/>
      <c r="BN43" s="3331"/>
      <c r="BO43" s="3331"/>
      <c r="BP43" s="3331"/>
      <c r="BQ43" s="3388"/>
      <c r="BR43" s="3340"/>
      <c r="BS43" s="3340"/>
      <c r="BT43" s="3340"/>
      <c r="BU43" s="3340"/>
      <c r="BV43" s="3340"/>
      <c r="BW43" s="3340"/>
      <c r="BX43" s="3340"/>
      <c r="BY43" s="3340"/>
      <c r="BZ43" s="3340"/>
      <c r="CA43" s="3340"/>
      <c r="CB43" s="3343"/>
      <c r="CC43" s="3341"/>
      <c r="CD43" s="3341"/>
      <c r="CE43" s="3341"/>
      <c r="CF43" s="3341"/>
      <c r="CG43" s="3341"/>
      <c r="CH43" s="3341"/>
      <c r="CI43" s="3346"/>
      <c r="CJ43" s="3346"/>
      <c r="CK43" s="3346"/>
      <c r="CL43" s="3346"/>
      <c r="CM43" s="3345"/>
    </row>
    <row r="44" spans="1:91">
      <c r="A44" s="3382"/>
      <c r="B44" s="2551">
        <f t="shared" si="0"/>
        <v>0</v>
      </c>
      <c r="C44" s="2492" t="s">
        <v>710</v>
      </c>
      <c r="D44" s="2026"/>
      <c r="E44" s="2026"/>
      <c r="F44" s="2027"/>
      <c r="G44" s="2497"/>
      <c r="H44" s="2026"/>
      <c r="I44" s="2028"/>
      <c r="J44" s="2500"/>
      <c r="K44" s="2500"/>
      <c r="L44" s="2500"/>
      <c r="M44" s="2500"/>
      <c r="N44" s="2029"/>
      <c r="O44" s="2030"/>
      <c r="P44" s="3341"/>
      <c r="Q44" s="3281"/>
      <c r="R44" s="3713"/>
      <c r="S44" s="3713"/>
      <c r="T44" s="3713"/>
      <c r="U44" s="3713"/>
      <c r="V44" s="3713"/>
      <c r="W44" s="3713"/>
      <c r="X44" s="3713"/>
      <c r="Y44" s="3713"/>
      <c r="Z44" s="3713"/>
      <c r="AA44" s="3713"/>
      <c r="AB44" s="3281"/>
      <c r="AC44" s="3281"/>
      <c r="AD44" s="3281"/>
      <c r="AE44" s="3281"/>
      <c r="AF44" s="3281"/>
      <c r="AG44" s="3281"/>
      <c r="AH44" s="3281"/>
      <c r="AI44" s="3281"/>
      <c r="AJ44" s="3281"/>
      <c r="AK44" s="3281"/>
      <c r="AL44" s="3281"/>
      <c r="AM44" s="3293"/>
      <c r="AN44" s="3278"/>
      <c r="AO44" s="3280"/>
      <c r="AP44" s="3340"/>
      <c r="AQ44" s="3340"/>
      <c r="AR44" s="3340"/>
      <c r="AS44" s="3340"/>
      <c r="AT44" s="3340"/>
      <c r="AU44" s="3340"/>
      <c r="AV44" s="3340"/>
      <c r="AW44" s="3340"/>
      <c r="AX44" s="3340"/>
      <c r="AY44" s="3340"/>
      <c r="AZ44" s="3340"/>
      <c r="BA44" s="3340"/>
      <c r="BB44" s="3340"/>
      <c r="BC44" s="3340"/>
      <c r="BD44" s="3340"/>
      <c r="BE44" s="3340"/>
      <c r="BF44" s="3340"/>
      <c r="BG44" s="3340"/>
      <c r="BH44" s="3340"/>
      <c r="BI44" s="3340"/>
      <c r="BJ44" s="3340"/>
      <c r="BK44" s="3340"/>
      <c r="BL44" s="3340"/>
      <c r="BM44" s="3340"/>
      <c r="BN44" s="3340"/>
      <c r="BO44" s="3340"/>
      <c r="BP44" s="3340"/>
      <c r="BQ44" s="3387"/>
      <c r="BR44" s="3385"/>
      <c r="BS44" s="3385"/>
      <c r="BT44" s="3385"/>
      <c r="BU44" s="3385"/>
      <c r="BV44" s="3385"/>
      <c r="BW44" s="3385"/>
      <c r="BX44" s="3385"/>
      <c r="BY44" s="3385"/>
      <c r="BZ44" s="3385"/>
      <c r="CA44" s="3385"/>
      <c r="CB44" s="3386"/>
      <c r="CC44" s="3384"/>
      <c r="CD44" s="3384"/>
      <c r="CE44" s="3384"/>
      <c r="CF44" s="3384"/>
      <c r="CG44" s="3384"/>
      <c r="CH44" s="3384"/>
      <c r="CI44" s="3384"/>
      <c r="CJ44" s="3384"/>
      <c r="CK44" s="3384"/>
      <c r="CL44" s="3384"/>
      <c r="CM44" s="3386"/>
    </row>
    <row r="45" spans="1:91">
      <c r="A45" s="3382"/>
      <c r="B45" s="2551">
        <f t="shared" si="0"/>
        <v>0</v>
      </c>
      <c r="C45" s="2492" t="s">
        <v>721</v>
      </c>
      <c r="D45" s="2026"/>
      <c r="E45" s="2026"/>
      <c r="F45" s="2027"/>
      <c r="G45" s="2497"/>
      <c r="H45" s="2026"/>
      <c r="I45" s="2028"/>
      <c r="J45" s="2500"/>
      <c r="K45" s="2500"/>
      <c r="L45" s="2500"/>
      <c r="M45" s="2500"/>
      <c r="N45" s="2029"/>
      <c r="O45" s="2030"/>
      <c r="P45" s="3341"/>
      <c r="Q45" s="3281"/>
      <c r="R45" s="3713"/>
      <c r="S45" s="3713"/>
      <c r="T45" s="3713"/>
      <c r="U45" s="3713"/>
      <c r="V45" s="3713"/>
      <c r="W45" s="3713"/>
      <c r="X45" s="3713"/>
      <c r="Y45" s="3713"/>
      <c r="Z45" s="3713"/>
      <c r="AA45" s="3713"/>
      <c r="AB45" s="3281"/>
      <c r="AC45" s="3281"/>
      <c r="AD45" s="3281"/>
      <c r="AE45" s="3281"/>
      <c r="AF45" s="3281"/>
      <c r="AG45" s="3281"/>
      <c r="AH45" s="3281"/>
      <c r="AI45" s="3281"/>
      <c r="AJ45" s="3281"/>
      <c r="AK45" s="3281"/>
      <c r="AL45" s="3281"/>
      <c r="AM45" s="3293"/>
      <c r="AN45" s="3278"/>
      <c r="AO45" s="3280"/>
      <c r="AP45" s="3340"/>
      <c r="AQ45" s="3340"/>
      <c r="AR45" s="3340"/>
      <c r="AS45" s="3340"/>
      <c r="AT45" s="3340"/>
      <c r="AU45" s="3340"/>
      <c r="AV45" s="3340"/>
      <c r="AW45" s="3340"/>
      <c r="AX45" s="3340"/>
      <c r="AY45" s="3340"/>
      <c r="AZ45" s="3340"/>
      <c r="BA45" s="3340"/>
      <c r="BB45" s="3340"/>
      <c r="BC45" s="3340"/>
      <c r="BD45" s="3340"/>
      <c r="BE45" s="3340"/>
      <c r="BF45" s="3340"/>
      <c r="BG45" s="3340"/>
      <c r="BH45" s="3340"/>
      <c r="BI45" s="3340"/>
      <c r="BJ45" s="3340"/>
      <c r="BK45" s="3340"/>
      <c r="BL45" s="3340"/>
      <c r="BM45" s="3340"/>
      <c r="BN45" s="3340"/>
      <c r="BO45" s="3340"/>
      <c r="BP45" s="3340"/>
      <c r="BQ45" s="3387"/>
      <c r="BR45" s="3385"/>
      <c r="BS45" s="3385"/>
      <c r="BT45" s="3385"/>
      <c r="BU45" s="3385"/>
      <c r="BV45" s="3385"/>
      <c r="BW45" s="3385"/>
      <c r="BX45" s="3385"/>
      <c r="BY45" s="3385"/>
      <c r="BZ45" s="3385"/>
      <c r="CA45" s="3385"/>
      <c r="CB45" s="3386"/>
      <c r="CC45" s="3384"/>
      <c r="CD45" s="3384"/>
      <c r="CE45" s="3384"/>
      <c r="CF45" s="3384"/>
      <c r="CG45" s="3384"/>
      <c r="CH45" s="3384"/>
      <c r="CI45" s="3384"/>
      <c r="CJ45" s="3384"/>
      <c r="CK45" s="3384"/>
      <c r="CL45" s="3384"/>
      <c r="CM45" s="3386"/>
    </row>
    <row r="46" spans="1:91">
      <c r="A46" s="3382"/>
      <c r="B46" s="2551">
        <f t="shared" si="0"/>
        <v>0</v>
      </c>
      <c r="C46" s="2492" t="s">
        <v>724</v>
      </c>
      <c r="D46" s="2026"/>
      <c r="E46" s="2026"/>
      <c r="F46" s="2027"/>
      <c r="G46" s="2497"/>
      <c r="H46" s="2026"/>
      <c r="I46" s="2028"/>
      <c r="J46" s="2500"/>
      <c r="K46" s="2500"/>
      <c r="L46" s="2500"/>
      <c r="M46" s="2500"/>
      <c r="N46" s="2029"/>
      <c r="O46" s="2030"/>
      <c r="P46" s="3341"/>
      <c r="Q46" s="3281"/>
      <c r="R46" s="3713"/>
      <c r="S46" s="3713"/>
      <c r="T46" s="3713"/>
      <c r="U46" s="3713"/>
      <c r="V46" s="3713"/>
      <c r="W46" s="3713"/>
      <c r="X46" s="3713"/>
      <c r="Y46" s="3713"/>
      <c r="Z46" s="3713"/>
      <c r="AA46" s="3713"/>
      <c r="AB46" s="3281"/>
      <c r="AC46" s="3281"/>
      <c r="AD46" s="3281"/>
      <c r="AE46" s="3281"/>
      <c r="AF46" s="3281"/>
      <c r="AG46" s="3281"/>
      <c r="AH46" s="3281"/>
      <c r="AI46" s="3281"/>
      <c r="AJ46" s="3281"/>
      <c r="AK46" s="3281"/>
      <c r="AL46" s="3281"/>
      <c r="AM46" s="3293"/>
      <c r="AN46" s="3278"/>
      <c r="AO46" s="3280"/>
      <c r="AP46" s="3340"/>
      <c r="AQ46" s="3340"/>
      <c r="AR46" s="3340"/>
      <c r="AS46" s="3340"/>
      <c r="AT46" s="3340"/>
      <c r="AU46" s="3340"/>
      <c r="AV46" s="3340"/>
      <c r="AW46" s="3340"/>
      <c r="AX46" s="3340"/>
      <c r="AY46" s="3340"/>
      <c r="AZ46" s="3340"/>
      <c r="BA46" s="3340"/>
      <c r="BB46" s="3340"/>
      <c r="BC46" s="3340"/>
      <c r="BD46" s="3340"/>
      <c r="BE46" s="3340"/>
      <c r="BF46" s="3340"/>
      <c r="BG46" s="3340"/>
      <c r="BH46" s="3340"/>
      <c r="BI46" s="3340"/>
      <c r="BJ46" s="3340"/>
      <c r="BK46" s="3340"/>
      <c r="BL46" s="3340"/>
      <c r="BM46" s="3340"/>
      <c r="BN46" s="3340"/>
      <c r="BO46" s="3340"/>
      <c r="BP46" s="3340"/>
      <c r="BQ46" s="3387"/>
      <c r="BR46" s="3385"/>
      <c r="BS46" s="3385"/>
      <c r="BT46" s="3385"/>
      <c r="BU46" s="3385"/>
      <c r="BV46" s="3385"/>
      <c r="BW46" s="3385"/>
      <c r="BX46" s="3385"/>
      <c r="BY46" s="3385"/>
      <c r="BZ46" s="3385"/>
      <c r="CA46" s="3385"/>
      <c r="CB46" s="3386"/>
      <c r="CC46" s="3384"/>
      <c r="CD46" s="3384"/>
      <c r="CE46" s="3384"/>
      <c r="CF46" s="3384"/>
      <c r="CG46" s="3384"/>
      <c r="CH46" s="3384"/>
      <c r="CI46" s="3384"/>
      <c r="CJ46" s="3384"/>
      <c r="CK46" s="3384"/>
      <c r="CL46" s="3384"/>
      <c r="CM46" s="3386"/>
    </row>
    <row r="47" spans="1:91">
      <c r="A47" s="3382"/>
      <c r="B47" s="2551">
        <f t="shared" si="0"/>
        <v>0</v>
      </c>
      <c r="C47" s="2492" t="s">
        <v>746</v>
      </c>
      <c r="D47" s="2026"/>
      <c r="E47" s="2026"/>
      <c r="F47" s="2027"/>
      <c r="G47" s="2497"/>
      <c r="H47" s="2026"/>
      <c r="I47" s="2028"/>
      <c r="J47" s="2500"/>
      <c r="K47" s="2500"/>
      <c r="L47" s="2500"/>
      <c r="M47" s="2500"/>
      <c r="N47" s="2029"/>
      <c r="O47" s="2030"/>
      <c r="P47" s="3341"/>
      <c r="Q47" s="3281"/>
      <c r="R47" s="3713"/>
      <c r="S47" s="3713"/>
      <c r="T47" s="3713"/>
      <c r="U47" s="3713"/>
      <c r="V47" s="3713"/>
      <c r="W47" s="3713"/>
      <c r="X47" s="3713"/>
      <c r="Y47" s="3713"/>
      <c r="Z47" s="3713"/>
      <c r="AA47" s="3713"/>
      <c r="AB47" s="3281"/>
      <c r="AC47" s="3281"/>
      <c r="AD47" s="3281"/>
      <c r="AE47" s="3281"/>
      <c r="AF47" s="3281"/>
      <c r="AG47" s="3281"/>
      <c r="AH47" s="3281"/>
      <c r="AI47" s="3281"/>
      <c r="AJ47" s="3281"/>
      <c r="AK47" s="3281"/>
      <c r="AL47" s="3281"/>
      <c r="AM47" s="3293"/>
      <c r="AN47" s="3278"/>
      <c r="AO47" s="3280"/>
      <c r="AP47" s="3340"/>
      <c r="AQ47" s="3340"/>
      <c r="AR47" s="3340"/>
      <c r="AS47" s="3340"/>
      <c r="AT47" s="3340"/>
      <c r="AU47" s="3340"/>
      <c r="AV47" s="3340"/>
      <c r="AW47" s="3340"/>
      <c r="AX47" s="3340"/>
      <c r="AY47" s="3340"/>
      <c r="AZ47" s="3340"/>
      <c r="BA47" s="3340"/>
      <c r="BB47" s="3340"/>
      <c r="BC47" s="3340"/>
      <c r="BD47" s="3340"/>
      <c r="BE47" s="3340"/>
      <c r="BF47" s="3340"/>
      <c r="BG47" s="3340"/>
      <c r="BH47" s="3340"/>
      <c r="BI47" s="3340"/>
      <c r="BJ47" s="3340"/>
      <c r="BK47" s="3340"/>
      <c r="BL47" s="3340"/>
      <c r="BM47" s="3340"/>
      <c r="BN47" s="3340"/>
      <c r="BO47" s="3340"/>
      <c r="BP47" s="3340"/>
      <c r="BQ47" s="3387"/>
      <c r="BR47" s="3385"/>
      <c r="BS47" s="3385"/>
      <c r="BT47" s="3385"/>
      <c r="BU47" s="3385"/>
      <c r="BV47" s="3385"/>
      <c r="BW47" s="3385"/>
      <c r="BX47" s="3385"/>
      <c r="BY47" s="3385"/>
      <c r="BZ47" s="3385"/>
      <c r="CA47" s="3385"/>
      <c r="CB47" s="3386"/>
      <c r="CC47" s="3384"/>
      <c r="CD47" s="3384"/>
      <c r="CE47" s="3384"/>
      <c r="CF47" s="3384"/>
      <c r="CG47" s="3384"/>
      <c r="CH47" s="3384"/>
      <c r="CI47" s="3384"/>
      <c r="CJ47" s="3384"/>
      <c r="CK47" s="3384"/>
      <c r="CL47" s="3384"/>
      <c r="CM47" s="3386"/>
    </row>
    <row r="48" spans="1:91" ht="15.75" thickBot="1">
      <c r="A48" s="3383"/>
      <c r="B48" s="2551">
        <f t="shared" si="0"/>
        <v>0</v>
      </c>
      <c r="C48" s="2493" t="s">
        <v>879</v>
      </c>
      <c r="D48" s="2018"/>
      <c r="E48" s="2018"/>
      <c r="F48" s="2019"/>
      <c r="G48" s="2498"/>
      <c r="H48" s="2018"/>
      <c r="I48" s="2020"/>
      <c r="J48" s="2501"/>
      <c r="K48" s="2501"/>
      <c r="L48" s="2501"/>
      <c r="M48" s="2501"/>
      <c r="N48" s="2508"/>
      <c r="O48" s="2031"/>
      <c r="P48" s="3342"/>
      <c r="Q48" s="3308"/>
      <c r="R48" s="3363"/>
      <c r="S48" s="3363"/>
      <c r="T48" s="3363"/>
      <c r="U48" s="3363"/>
      <c r="V48" s="3363"/>
      <c r="W48" s="3363"/>
      <c r="X48" s="3363"/>
      <c r="Y48" s="3363"/>
      <c r="Z48" s="3363"/>
      <c r="AA48" s="3363"/>
      <c r="AB48" s="3308"/>
      <c r="AC48" s="3308"/>
      <c r="AD48" s="3308"/>
      <c r="AE48" s="3308"/>
      <c r="AF48" s="3308"/>
      <c r="AG48" s="3308"/>
      <c r="AH48" s="3308"/>
      <c r="AI48" s="3308"/>
      <c r="AJ48" s="3308"/>
      <c r="AK48" s="3308"/>
      <c r="AL48" s="3308"/>
      <c r="AM48" s="3307"/>
      <c r="AN48" s="3338"/>
      <c r="AO48" s="3339"/>
      <c r="AP48" s="3332"/>
      <c r="AQ48" s="3332"/>
      <c r="AR48" s="3332"/>
      <c r="AS48" s="3332"/>
      <c r="AT48" s="3332"/>
      <c r="AU48" s="3332"/>
      <c r="AV48" s="3332"/>
      <c r="AW48" s="3332"/>
      <c r="AX48" s="3332"/>
      <c r="AY48" s="3332"/>
      <c r="AZ48" s="3332"/>
      <c r="BA48" s="3332"/>
      <c r="BB48" s="3332"/>
      <c r="BC48" s="3332"/>
      <c r="BD48" s="3332"/>
      <c r="BE48" s="3332"/>
      <c r="BF48" s="3332"/>
      <c r="BG48" s="3332"/>
      <c r="BH48" s="3332"/>
      <c r="BI48" s="3332"/>
      <c r="BJ48" s="3332"/>
      <c r="BK48" s="3332"/>
      <c r="BL48" s="3332"/>
      <c r="BM48" s="3332"/>
      <c r="BN48" s="3332"/>
      <c r="BO48" s="3332"/>
      <c r="BP48" s="3332"/>
      <c r="BQ48" s="3357"/>
      <c r="BR48" s="3375"/>
      <c r="BS48" s="3375"/>
      <c r="BT48" s="3375"/>
      <c r="BU48" s="3375"/>
      <c r="BV48" s="3375"/>
      <c r="BW48" s="3375"/>
      <c r="BX48" s="3375"/>
      <c r="BY48" s="3375"/>
      <c r="BZ48" s="3375"/>
      <c r="CA48" s="3375"/>
      <c r="CB48" s="3371"/>
      <c r="CC48" s="3373"/>
      <c r="CD48" s="3373"/>
      <c r="CE48" s="3373"/>
      <c r="CF48" s="3373"/>
      <c r="CG48" s="3373"/>
      <c r="CH48" s="3373"/>
      <c r="CI48" s="3373"/>
      <c r="CJ48" s="3373"/>
      <c r="CK48" s="3373"/>
      <c r="CL48" s="3373"/>
      <c r="CM48" s="3371"/>
    </row>
    <row r="49" spans="1:91">
      <c r="A49" s="3270">
        <v>19</v>
      </c>
      <c r="B49" s="2551" t="str">
        <f t="shared" si="0"/>
        <v>3037030015</v>
      </c>
      <c r="C49" s="2010" t="s">
        <v>703</v>
      </c>
      <c r="D49" s="2011">
        <v>3703</v>
      </c>
      <c r="E49" s="2011">
        <v>15</v>
      </c>
      <c r="F49" s="2494">
        <v>1890</v>
      </c>
      <c r="G49" s="2496" t="s">
        <v>947</v>
      </c>
      <c r="H49" s="2011" t="s">
        <v>1560</v>
      </c>
      <c r="I49" s="2012">
        <v>1</v>
      </c>
      <c r="J49" s="2491">
        <v>0</v>
      </c>
      <c r="K49" s="2491">
        <v>0</v>
      </c>
      <c r="L49" s="2491">
        <v>0</v>
      </c>
      <c r="M49" s="2491">
        <v>0</v>
      </c>
      <c r="N49" s="2489">
        <v>0</v>
      </c>
      <c r="O49" s="2525" t="s">
        <v>1596</v>
      </c>
      <c r="P49" s="3272">
        <v>0</v>
      </c>
      <c r="Q49" s="3265">
        <v>0</v>
      </c>
      <c r="R49" s="3265">
        <v>0</v>
      </c>
      <c r="S49" s="3265">
        <v>0</v>
      </c>
      <c r="T49" s="3265">
        <v>0</v>
      </c>
      <c r="U49" s="3265">
        <v>0</v>
      </c>
      <c r="V49" s="3265">
        <v>0</v>
      </c>
      <c r="W49" s="3265">
        <v>0</v>
      </c>
      <c r="X49" s="3265">
        <v>0</v>
      </c>
      <c r="Y49" s="3265">
        <v>7554</v>
      </c>
      <c r="Z49" s="3265">
        <v>0</v>
      </c>
      <c r="AA49" s="3265">
        <v>0</v>
      </c>
      <c r="AB49" s="3265">
        <v>7554</v>
      </c>
      <c r="AC49" s="3265">
        <v>1304</v>
      </c>
      <c r="AD49" s="3265">
        <v>0</v>
      </c>
      <c r="AE49" s="3265">
        <v>0</v>
      </c>
      <c r="AF49" s="3265">
        <v>0</v>
      </c>
      <c r="AG49" s="3265">
        <v>0</v>
      </c>
      <c r="AH49" s="3265">
        <v>0</v>
      </c>
      <c r="AI49" s="3265">
        <v>0</v>
      </c>
      <c r="AJ49" s="3265">
        <v>0</v>
      </c>
      <c r="AK49" s="3265">
        <v>0</v>
      </c>
      <c r="AL49" s="3265">
        <v>0</v>
      </c>
      <c r="AM49" s="3275">
        <v>15</v>
      </c>
      <c r="AN49" s="3277" t="s">
        <v>705</v>
      </c>
      <c r="AO49" s="3279" t="s">
        <v>1560</v>
      </c>
      <c r="AP49" s="3265" t="s">
        <v>1597</v>
      </c>
      <c r="AQ49" s="3265">
        <v>42550</v>
      </c>
      <c r="AR49" s="3331">
        <v>0</v>
      </c>
      <c r="AS49" s="3331">
        <v>0</v>
      </c>
      <c r="AT49" s="3331">
        <v>0</v>
      </c>
      <c r="AU49" s="3331">
        <v>0</v>
      </c>
      <c r="AV49" s="3331">
        <v>0</v>
      </c>
      <c r="AW49" s="3331">
        <v>0</v>
      </c>
      <c r="AX49" s="3331">
        <v>0</v>
      </c>
      <c r="AY49" s="3331">
        <v>0</v>
      </c>
      <c r="AZ49" s="3331">
        <v>0</v>
      </c>
      <c r="BA49" s="3331">
        <v>0</v>
      </c>
      <c r="BB49" s="3331">
        <v>0</v>
      </c>
      <c r="BC49" s="3331">
        <v>42550</v>
      </c>
      <c r="BD49" s="3331">
        <v>42550</v>
      </c>
      <c r="BE49" s="3331">
        <v>42</v>
      </c>
      <c r="BF49" s="3331">
        <v>21</v>
      </c>
      <c r="BG49" s="3331">
        <v>11</v>
      </c>
      <c r="BH49" s="3331">
        <v>0</v>
      </c>
      <c r="BI49" s="3331">
        <v>0</v>
      </c>
      <c r="BJ49" s="3331">
        <v>0</v>
      </c>
      <c r="BK49" s="3331">
        <v>0</v>
      </c>
      <c r="BL49" s="3331">
        <v>0</v>
      </c>
      <c r="BM49" s="3331">
        <v>0</v>
      </c>
      <c r="BN49" s="3331">
        <v>0</v>
      </c>
      <c r="BO49" s="3331">
        <v>11</v>
      </c>
      <c r="BP49" s="3331">
        <v>105</v>
      </c>
      <c r="BQ49" s="3379">
        <v>42550</v>
      </c>
      <c r="BR49" s="3331">
        <v>0</v>
      </c>
      <c r="BS49" s="3331">
        <v>0</v>
      </c>
      <c r="BT49" s="3331">
        <v>0</v>
      </c>
      <c r="BU49" s="3331">
        <v>0</v>
      </c>
      <c r="BV49" s="3331">
        <v>0</v>
      </c>
      <c r="BW49" s="3331">
        <v>-7554</v>
      </c>
      <c r="BX49" s="3331">
        <v>0</v>
      </c>
      <c r="BY49" s="3331">
        <v>0</v>
      </c>
      <c r="BZ49" s="3331">
        <v>-7554</v>
      </c>
      <c r="CA49" s="3331">
        <v>0</v>
      </c>
      <c r="CB49" s="3345">
        <v>0</v>
      </c>
      <c r="CC49" s="3379">
        <v>34996</v>
      </c>
      <c r="CD49" s="3331">
        <v>-7554</v>
      </c>
      <c r="CE49" s="3331">
        <v>42</v>
      </c>
      <c r="CF49" s="3331">
        <v>21</v>
      </c>
      <c r="CG49" s="3331">
        <v>11</v>
      </c>
      <c r="CH49" s="3331">
        <v>0</v>
      </c>
      <c r="CI49" s="3331">
        <v>0</v>
      </c>
      <c r="CJ49" s="3331">
        <v>0</v>
      </c>
      <c r="CK49" s="3331">
        <v>0</v>
      </c>
      <c r="CL49" s="3331">
        <v>0</v>
      </c>
      <c r="CM49" s="3345">
        <v>0</v>
      </c>
    </row>
    <row r="50" spans="1:91">
      <c r="A50" s="3271"/>
      <c r="B50" s="2551" t="str">
        <f t="shared" si="0"/>
        <v>3037030016</v>
      </c>
      <c r="C50" s="2492" t="s">
        <v>710</v>
      </c>
      <c r="D50" s="2026">
        <v>3703</v>
      </c>
      <c r="E50" s="2026">
        <v>16</v>
      </c>
      <c r="F50" s="2027">
        <v>2260</v>
      </c>
      <c r="G50" s="2497" t="s">
        <v>947</v>
      </c>
      <c r="H50" s="2026" t="s">
        <v>1560</v>
      </c>
      <c r="I50" s="2028">
        <v>1</v>
      </c>
      <c r="J50" s="2500">
        <v>0</v>
      </c>
      <c r="K50" s="2500">
        <v>0</v>
      </c>
      <c r="L50" s="2500">
        <v>0</v>
      </c>
      <c r="M50" s="2500">
        <v>0</v>
      </c>
      <c r="N50" s="2029">
        <v>0</v>
      </c>
      <c r="O50" s="2030" t="s">
        <v>1596</v>
      </c>
      <c r="P50" s="3288"/>
      <c r="Q50" s="3281"/>
      <c r="R50" s="3713"/>
      <c r="S50" s="3713"/>
      <c r="T50" s="3713"/>
      <c r="U50" s="3713"/>
      <c r="V50" s="3713"/>
      <c r="W50" s="3713"/>
      <c r="X50" s="3713"/>
      <c r="Y50" s="3713"/>
      <c r="Z50" s="3713"/>
      <c r="AA50" s="3713"/>
      <c r="AB50" s="3281"/>
      <c r="AC50" s="3281"/>
      <c r="AD50" s="3281"/>
      <c r="AE50" s="3281"/>
      <c r="AF50" s="3281"/>
      <c r="AG50" s="3281"/>
      <c r="AH50" s="3281"/>
      <c r="AI50" s="3281"/>
      <c r="AJ50" s="3281"/>
      <c r="AK50" s="3281"/>
      <c r="AL50" s="3281"/>
      <c r="AM50" s="3293"/>
      <c r="AN50" s="3278"/>
      <c r="AO50" s="3280"/>
      <c r="AP50" s="3274"/>
      <c r="AQ50" s="3274"/>
      <c r="AR50" s="3340"/>
      <c r="AS50" s="3340"/>
      <c r="AT50" s="3340"/>
      <c r="AU50" s="3340"/>
      <c r="AV50" s="3340"/>
      <c r="AW50" s="3340"/>
      <c r="AX50" s="3340"/>
      <c r="AY50" s="3340"/>
      <c r="AZ50" s="3340"/>
      <c r="BA50" s="3340"/>
      <c r="BB50" s="3340"/>
      <c r="BC50" s="3340"/>
      <c r="BD50" s="3340"/>
      <c r="BE50" s="3340"/>
      <c r="BF50" s="3340"/>
      <c r="BG50" s="3340"/>
      <c r="BH50" s="3340"/>
      <c r="BI50" s="3340"/>
      <c r="BJ50" s="3340"/>
      <c r="BK50" s="3340"/>
      <c r="BL50" s="3340"/>
      <c r="BM50" s="3340"/>
      <c r="BN50" s="3340"/>
      <c r="BO50" s="3340"/>
      <c r="BP50" s="3340"/>
      <c r="BQ50" s="3388"/>
      <c r="BR50" s="3340"/>
      <c r="BS50" s="3340"/>
      <c r="BT50" s="3340"/>
      <c r="BU50" s="3340"/>
      <c r="BV50" s="3340"/>
      <c r="BW50" s="3340"/>
      <c r="BX50" s="3340"/>
      <c r="BY50" s="3340"/>
      <c r="BZ50" s="3340"/>
      <c r="CA50" s="3340"/>
      <c r="CB50" s="3343"/>
      <c r="CC50" s="3388"/>
      <c r="CD50" s="3340"/>
      <c r="CE50" s="3340"/>
      <c r="CF50" s="3340"/>
      <c r="CG50" s="3340"/>
      <c r="CH50" s="3340"/>
      <c r="CI50" s="3340"/>
      <c r="CJ50" s="3340"/>
      <c r="CK50" s="3340"/>
      <c r="CL50" s="3340"/>
      <c r="CM50" s="3343"/>
    </row>
    <row r="51" spans="1:91">
      <c r="A51" s="3271"/>
      <c r="B51" s="2551" t="str">
        <f t="shared" si="0"/>
        <v>3037030017</v>
      </c>
      <c r="C51" s="2492" t="s">
        <v>721</v>
      </c>
      <c r="D51" s="2026">
        <v>3703</v>
      </c>
      <c r="E51" s="2026">
        <v>17</v>
      </c>
      <c r="F51" s="2027">
        <v>2100</v>
      </c>
      <c r="G51" s="2497" t="s">
        <v>947</v>
      </c>
      <c r="H51" s="2026" t="s">
        <v>1560</v>
      </c>
      <c r="I51" s="2028">
        <v>1</v>
      </c>
      <c r="J51" s="2500">
        <v>0</v>
      </c>
      <c r="K51" s="2500">
        <v>0</v>
      </c>
      <c r="L51" s="2500">
        <v>0</v>
      </c>
      <c r="M51" s="2500">
        <v>0</v>
      </c>
      <c r="N51" s="2029">
        <v>0</v>
      </c>
      <c r="O51" s="2030" t="s">
        <v>1596</v>
      </c>
      <c r="P51" s="3288"/>
      <c r="Q51" s="3281"/>
      <c r="R51" s="3713"/>
      <c r="S51" s="3713"/>
      <c r="T51" s="3713"/>
      <c r="U51" s="3713"/>
      <c r="V51" s="3713"/>
      <c r="W51" s="3713"/>
      <c r="X51" s="3713"/>
      <c r="Y51" s="3713"/>
      <c r="Z51" s="3713"/>
      <c r="AA51" s="3713"/>
      <c r="AB51" s="3281"/>
      <c r="AC51" s="3281"/>
      <c r="AD51" s="3281"/>
      <c r="AE51" s="3281"/>
      <c r="AF51" s="3281"/>
      <c r="AG51" s="3281"/>
      <c r="AH51" s="3281"/>
      <c r="AI51" s="3281"/>
      <c r="AJ51" s="3281"/>
      <c r="AK51" s="3281"/>
      <c r="AL51" s="3281"/>
      <c r="AM51" s="3293"/>
      <c r="AN51" s="3278"/>
      <c r="AO51" s="3280"/>
      <c r="AP51" s="3274"/>
      <c r="AQ51" s="3274"/>
      <c r="AR51" s="3340"/>
      <c r="AS51" s="3340"/>
      <c r="AT51" s="3340"/>
      <c r="AU51" s="3340"/>
      <c r="AV51" s="3340"/>
      <c r="AW51" s="3340"/>
      <c r="AX51" s="3340"/>
      <c r="AY51" s="3340"/>
      <c r="AZ51" s="3340"/>
      <c r="BA51" s="3340"/>
      <c r="BB51" s="3340"/>
      <c r="BC51" s="3340"/>
      <c r="BD51" s="3340"/>
      <c r="BE51" s="3340"/>
      <c r="BF51" s="3340"/>
      <c r="BG51" s="3340"/>
      <c r="BH51" s="3340"/>
      <c r="BI51" s="3340"/>
      <c r="BJ51" s="3340"/>
      <c r="BK51" s="3340"/>
      <c r="BL51" s="3340"/>
      <c r="BM51" s="3340"/>
      <c r="BN51" s="3340"/>
      <c r="BO51" s="3340"/>
      <c r="BP51" s="3340"/>
      <c r="BQ51" s="3388"/>
      <c r="BR51" s="3340"/>
      <c r="BS51" s="3340"/>
      <c r="BT51" s="3340"/>
      <c r="BU51" s="3340"/>
      <c r="BV51" s="3340"/>
      <c r="BW51" s="3340"/>
      <c r="BX51" s="3340"/>
      <c r="BY51" s="3340"/>
      <c r="BZ51" s="3340"/>
      <c r="CA51" s="3340"/>
      <c r="CB51" s="3343"/>
      <c r="CC51" s="3388"/>
      <c r="CD51" s="3340"/>
      <c r="CE51" s="3340"/>
      <c r="CF51" s="3340"/>
      <c r="CG51" s="3340"/>
      <c r="CH51" s="3340"/>
      <c r="CI51" s="3340"/>
      <c r="CJ51" s="3340"/>
      <c r="CK51" s="3340"/>
      <c r="CL51" s="3340"/>
      <c r="CM51" s="3343"/>
    </row>
    <row r="52" spans="1:91" ht="15.75" thickBot="1">
      <c r="A52" s="3271"/>
      <c r="B52" s="2551" t="str">
        <f t="shared" si="0"/>
        <v>3037030018</v>
      </c>
      <c r="C52" s="2468" t="s">
        <v>724</v>
      </c>
      <c r="D52" s="2014">
        <v>3703</v>
      </c>
      <c r="E52" s="2014">
        <v>18</v>
      </c>
      <c r="F52" s="2038">
        <v>3000</v>
      </c>
      <c r="G52" s="2133" t="s">
        <v>947</v>
      </c>
      <c r="H52" s="2014" t="s">
        <v>1560</v>
      </c>
      <c r="I52" s="2016">
        <v>1</v>
      </c>
      <c r="J52" s="2538">
        <v>0</v>
      </c>
      <c r="K52" s="2538">
        <v>0</v>
      </c>
      <c r="L52" s="2538">
        <v>0</v>
      </c>
      <c r="M52" s="2538">
        <v>1304</v>
      </c>
      <c r="N52" s="2509">
        <v>0</v>
      </c>
      <c r="O52" s="2512" t="s">
        <v>1598</v>
      </c>
      <c r="P52" s="3288"/>
      <c r="Q52" s="3281"/>
      <c r="R52" s="3363"/>
      <c r="S52" s="3363"/>
      <c r="T52" s="3363"/>
      <c r="U52" s="3363"/>
      <c r="V52" s="3363"/>
      <c r="W52" s="3363"/>
      <c r="X52" s="3363"/>
      <c r="Y52" s="3363"/>
      <c r="Z52" s="3363"/>
      <c r="AA52" s="3363"/>
      <c r="AB52" s="3281"/>
      <c r="AC52" s="3281"/>
      <c r="AD52" s="3281"/>
      <c r="AE52" s="3281"/>
      <c r="AF52" s="3281"/>
      <c r="AG52" s="3281"/>
      <c r="AH52" s="3281"/>
      <c r="AI52" s="3281"/>
      <c r="AJ52" s="3281"/>
      <c r="AK52" s="3281"/>
      <c r="AL52" s="3281"/>
      <c r="AM52" s="3307"/>
      <c r="AN52" s="3338"/>
      <c r="AO52" s="3339"/>
      <c r="AP52" s="3361"/>
      <c r="AQ52" s="3361"/>
      <c r="AR52" s="3332"/>
      <c r="AS52" s="3332"/>
      <c r="AT52" s="3332"/>
      <c r="AU52" s="3332"/>
      <c r="AV52" s="3332"/>
      <c r="AW52" s="3332"/>
      <c r="AX52" s="3332"/>
      <c r="AY52" s="3332"/>
      <c r="AZ52" s="3332"/>
      <c r="BA52" s="3332"/>
      <c r="BB52" s="3332"/>
      <c r="BC52" s="3332"/>
      <c r="BD52" s="3332"/>
      <c r="BE52" s="3332"/>
      <c r="BF52" s="3332"/>
      <c r="BG52" s="3332"/>
      <c r="BH52" s="3332"/>
      <c r="BI52" s="3332"/>
      <c r="BJ52" s="3332"/>
      <c r="BK52" s="3332"/>
      <c r="BL52" s="3332"/>
      <c r="BM52" s="3332"/>
      <c r="BN52" s="3332"/>
      <c r="BO52" s="3332"/>
      <c r="BP52" s="3332"/>
      <c r="BQ52" s="3388"/>
      <c r="BR52" s="3340"/>
      <c r="BS52" s="3340"/>
      <c r="BT52" s="3340"/>
      <c r="BU52" s="3340"/>
      <c r="BV52" s="3340"/>
      <c r="BW52" s="3340"/>
      <c r="BX52" s="3340"/>
      <c r="BY52" s="3340"/>
      <c r="BZ52" s="3340"/>
      <c r="CA52" s="3340"/>
      <c r="CB52" s="3343"/>
      <c r="CC52" s="3388"/>
      <c r="CD52" s="3340"/>
      <c r="CE52" s="3340"/>
      <c r="CF52" s="3340"/>
      <c r="CG52" s="3340"/>
      <c r="CH52" s="3340"/>
      <c r="CI52" s="3332"/>
      <c r="CJ52" s="3332"/>
      <c r="CK52" s="3332"/>
      <c r="CL52" s="3332"/>
      <c r="CM52" s="3344"/>
    </row>
    <row r="53" spans="1:91" ht="15.75" thickBot="1">
      <c r="A53" s="2051">
        <v>20</v>
      </c>
      <c r="B53" s="2551" t="str">
        <f t="shared" si="0"/>
        <v>3039330055</v>
      </c>
      <c r="C53" s="2044" t="s">
        <v>703</v>
      </c>
      <c r="D53" s="2045">
        <v>3933</v>
      </c>
      <c r="E53" s="2045">
        <v>55</v>
      </c>
      <c r="F53" s="2032">
        <v>10000</v>
      </c>
      <c r="G53" s="2046" t="s">
        <v>1079</v>
      </c>
      <c r="H53" s="2045" t="s">
        <v>1584</v>
      </c>
      <c r="I53" s="2047">
        <v>1.25</v>
      </c>
      <c r="J53" s="2533">
        <v>0</v>
      </c>
      <c r="K53" s="2533">
        <v>0</v>
      </c>
      <c r="L53" s="2533">
        <v>0</v>
      </c>
      <c r="M53" s="2533">
        <v>0</v>
      </c>
      <c r="N53" s="2035">
        <v>0</v>
      </c>
      <c r="O53" s="2048" t="s">
        <v>1578</v>
      </c>
      <c r="P53" s="2049">
        <v>12500</v>
      </c>
      <c r="Q53" s="2533">
        <v>0</v>
      </c>
      <c r="R53" s="2533">
        <v>0</v>
      </c>
      <c r="S53" s="2533">
        <v>0</v>
      </c>
      <c r="T53" s="2533">
        <v>0</v>
      </c>
      <c r="U53" s="2533">
        <v>0</v>
      </c>
      <c r="V53" s="2533">
        <v>0</v>
      </c>
      <c r="W53" s="2533">
        <v>0</v>
      </c>
      <c r="X53" s="2533">
        <v>0</v>
      </c>
      <c r="Y53" s="2533">
        <v>0</v>
      </c>
      <c r="Z53" s="2533">
        <v>0</v>
      </c>
      <c r="AA53" s="2533">
        <v>0</v>
      </c>
      <c r="AB53" s="2533">
        <v>12500</v>
      </c>
      <c r="AC53" s="2533">
        <v>12500</v>
      </c>
      <c r="AD53" s="2533">
        <v>12</v>
      </c>
      <c r="AE53" s="2533">
        <v>0</v>
      </c>
      <c r="AF53" s="2533">
        <v>0</v>
      </c>
      <c r="AG53" s="2533">
        <v>0</v>
      </c>
      <c r="AH53" s="2533">
        <v>0</v>
      </c>
      <c r="AI53" s="2533">
        <v>0</v>
      </c>
      <c r="AJ53" s="2533">
        <v>0</v>
      </c>
      <c r="AK53" s="2533">
        <v>0</v>
      </c>
      <c r="AL53" s="2533">
        <v>0</v>
      </c>
      <c r="AM53" s="2032">
        <v>25</v>
      </c>
      <c r="AN53" s="2033" t="s">
        <v>1585</v>
      </c>
      <c r="AO53" s="2046" t="s">
        <v>706</v>
      </c>
      <c r="AP53" s="2533" t="s">
        <v>1599</v>
      </c>
      <c r="AQ53" s="2533">
        <v>27000</v>
      </c>
      <c r="AR53" s="2533">
        <v>9000</v>
      </c>
      <c r="AS53" s="2533">
        <v>0</v>
      </c>
      <c r="AT53" s="2533">
        <v>0</v>
      </c>
      <c r="AU53" s="2533">
        <v>0</v>
      </c>
      <c r="AV53" s="2533">
        <v>0</v>
      </c>
      <c r="AW53" s="2533">
        <v>0</v>
      </c>
      <c r="AX53" s="2533">
        <v>0</v>
      </c>
      <c r="AY53" s="2533">
        <v>0</v>
      </c>
      <c r="AZ53" s="2533">
        <v>0</v>
      </c>
      <c r="BA53" s="2533">
        <v>0</v>
      </c>
      <c r="BB53" s="2533">
        <v>0</v>
      </c>
      <c r="BC53" s="2533">
        <v>36000</v>
      </c>
      <c r="BD53" s="2533">
        <v>37000</v>
      </c>
      <c r="BE53" s="2533">
        <v>27</v>
      </c>
      <c r="BF53" s="2533">
        <v>14</v>
      </c>
      <c r="BG53" s="2533">
        <v>7</v>
      </c>
      <c r="BH53" s="2533">
        <v>0</v>
      </c>
      <c r="BI53" s="2533">
        <v>9</v>
      </c>
      <c r="BJ53" s="2533">
        <v>0</v>
      </c>
      <c r="BK53" s="2533">
        <v>0</v>
      </c>
      <c r="BL53" s="2533">
        <v>0</v>
      </c>
      <c r="BM53" s="2533">
        <v>0</v>
      </c>
      <c r="BN53" s="2533">
        <v>0</v>
      </c>
      <c r="BO53" s="2533">
        <v>16</v>
      </c>
      <c r="BP53" s="2533">
        <v>85</v>
      </c>
      <c r="BQ53" s="2050">
        <v>14500</v>
      </c>
      <c r="BR53" s="2034">
        <v>9000</v>
      </c>
      <c r="BS53" s="2034">
        <v>0</v>
      </c>
      <c r="BT53" s="2034">
        <v>0</v>
      </c>
      <c r="BU53" s="2034">
        <v>0</v>
      </c>
      <c r="BV53" s="2034">
        <v>0</v>
      </c>
      <c r="BW53" s="2034">
        <v>0</v>
      </c>
      <c r="BX53" s="2034">
        <v>0</v>
      </c>
      <c r="BY53" s="2034">
        <v>0</v>
      </c>
      <c r="BZ53" s="2034">
        <v>0</v>
      </c>
      <c r="CA53" s="2034">
        <v>0</v>
      </c>
      <c r="CB53" s="2035">
        <v>0</v>
      </c>
      <c r="CC53" s="2050">
        <v>23500</v>
      </c>
      <c r="CD53" s="2034">
        <v>9000</v>
      </c>
      <c r="CE53" s="2034">
        <v>15</v>
      </c>
      <c r="CF53" s="2034">
        <v>14</v>
      </c>
      <c r="CG53" s="2034">
        <v>7</v>
      </c>
      <c r="CH53" s="2034">
        <v>0</v>
      </c>
      <c r="CI53" s="2034">
        <v>9</v>
      </c>
      <c r="CJ53" s="2034">
        <v>0</v>
      </c>
      <c r="CK53" s="2034">
        <v>0</v>
      </c>
      <c r="CL53" s="2034">
        <v>0</v>
      </c>
      <c r="CM53" s="2035">
        <v>0</v>
      </c>
    </row>
    <row r="54" spans="1:91">
      <c r="A54" s="3312">
        <v>21</v>
      </c>
      <c r="B54" s="2551" t="str">
        <f t="shared" si="0"/>
        <v>3039390026</v>
      </c>
      <c r="C54" s="2022" t="s">
        <v>703</v>
      </c>
      <c r="D54" s="2023">
        <v>3939</v>
      </c>
      <c r="E54" s="2023">
        <v>26</v>
      </c>
      <c r="F54" s="2506">
        <v>2551</v>
      </c>
      <c r="G54" s="2507" t="s">
        <v>1079</v>
      </c>
      <c r="H54" s="2023" t="s">
        <v>1584</v>
      </c>
      <c r="I54" s="2024">
        <v>1.25</v>
      </c>
      <c r="J54" s="2505">
        <v>2550</v>
      </c>
      <c r="K54" s="2505">
        <v>0</v>
      </c>
      <c r="L54" s="2505">
        <v>0</v>
      </c>
      <c r="M54" s="2505">
        <v>3550</v>
      </c>
      <c r="N54" s="2025">
        <v>1</v>
      </c>
      <c r="O54" s="2525" t="s">
        <v>1600</v>
      </c>
      <c r="P54" s="3272">
        <v>1000</v>
      </c>
      <c r="Q54" s="3265">
        <v>11150</v>
      </c>
      <c r="R54" s="3265">
        <v>0</v>
      </c>
      <c r="S54" s="3265">
        <v>0</v>
      </c>
      <c r="T54" s="3265">
        <v>0</v>
      </c>
      <c r="U54" s="3265">
        <v>0</v>
      </c>
      <c r="V54" s="3265">
        <v>0</v>
      </c>
      <c r="W54" s="3265">
        <v>0</v>
      </c>
      <c r="X54" s="3265">
        <v>0</v>
      </c>
      <c r="Y54" s="3265">
        <v>0</v>
      </c>
      <c r="Z54" s="3265">
        <v>0</v>
      </c>
      <c r="AA54" s="3265">
        <v>0</v>
      </c>
      <c r="AB54" s="3265">
        <v>12150</v>
      </c>
      <c r="AC54" s="3265">
        <v>12150</v>
      </c>
      <c r="AD54" s="3265">
        <v>1</v>
      </c>
      <c r="AE54" s="3265">
        <v>1</v>
      </c>
      <c r="AF54" s="3265">
        <v>0</v>
      </c>
      <c r="AG54" s="3265">
        <v>0</v>
      </c>
      <c r="AH54" s="3265">
        <v>0</v>
      </c>
      <c r="AI54" s="3265">
        <v>0</v>
      </c>
      <c r="AJ54" s="3265">
        <v>0</v>
      </c>
      <c r="AK54" s="3265">
        <v>0</v>
      </c>
      <c r="AL54" s="3265">
        <v>1</v>
      </c>
      <c r="AM54" s="3275">
        <v>25</v>
      </c>
      <c r="AN54" s="3277" t="s">
        <v>1585</v>
      </c>
      <c r="AO54" s="3389" t="s">
        <v>706</v>
      </c>
      <c r="AP54" s="3265" t="s">
        <v>1599</v>
      </c>
      <c r="AQ54" s="3265">
        <v>32181</v>
      </c>
      <c r="AR54" s="3331">
        <v>7962.3</v>
      </c>
      <c r="AS54" s="3331">
        <v>0</v>
      </c>
      <c r="AT54" s="3331">
        <v>0</v>
      </c>
      <c r="AU54" s="3331">
        <v>0</v>
      </c>
      <c r="AV54" s="3331">
        <v>0</v>
      </c>
      <c r="AW54" s="3331">
        <v>0</v>
      </c>
      <c r="AX54" s="3331">
        <v>0</v>
      </c>
      <c r="AY54" s="3331">
        <v>0</v>
      </c>
      <c r="AZ54" s="3331">
        <v>0</v>
      </c>
      <c r="BA54" s="3331">
        <v>0</v>
      </c>
      <c r="BB54" s="3331">
        <v>0</v>
      </c>
      <c r="BC54" s="3331">
        <v>40143.300000000003</v>
      </c>
      <c r="BD54" s="3331">
        <v>41796</v>
      </c>
      <c r="BE54" s="3331">
        <v>32</v>
      </c>
      <c r="BF54" s="3331">
        <v>16</v>
      </c>
      <c r="BG54" s="3331">
        <v>8</v>
      </c>
      <c r="BH54" s="3331">
        <v>0</v>
      </c>
      <c r="BI54" s="3331">
        <v>8</v>
      </c>
      <c r="BJ54" s="3331">
        <v>0</v>
      </c>
      <c r="BK54" s="3331">
        <v>0</v>
      </c>
      <c r="BL54" s="3331">
        <v>0</v>
      </c>
      <c r="BM54" s="3331">
        <v>0</v>
      </c>
      <c r="BN54" s="3331">
        <v>0</v>
      </c>
      <c r="BO54" s="3331">
        <v>16</v>
      </c>
      <c r="BP54" s="3345">
        <v>85</v>
      </c>
      <c r="BQ54" s="3379">
        <v>31181</v>
      </c>
      <c r="BR54" s="3331">
        <v>-3187.7</v>
      </c>
      <c r="BS54" s="3331">
        <v>0</v>
      </c>
      <c r="BT54" s="3331">
        <v>0</v>
      </c>
      <c r="BU54" s="3331">
        <v>0</v>
      </c>
      <c r="BV54" s="3331">
        <v>0</v>
      </c>
      <c r="BW54" s="3331">
        <v>0</v>
      </c>
      <c r="BX54" s="3331">
        <v>0</v>
      </c>
      <c r="BY54" s="3331">
        <v>0</v>
      </c>
      <c r="BZ54" s="3331">
        <v>0</v>
      </c>
      <c r="CA54" s="3331">
        <v>0</v>
      </c>
      <c r="CB54" s="3345">
        <v>0</v>
      </c>
      <c r="CC54" s="3379">
        <v>27993.300000000003</v>
      </c>
      <c r="CD54" s="3331">
        <v>-3187.7</v>
      </c>
      <c r="CE54" s="3331">
        <v>31</v>
      </c>
      <c r="CF54" s="3331">
        <v>16</v>
      </c>
      <c r="CG54" s="3331">
        <v>7</v>
      </c>
      <c r="CH54" s="3331">
        <v>0</v>
      </c>
      <c r="CI54" s="3331">
        <v>8</v>
      </c>
      <c r="CJ54" s="3331">
        <v>0</v>
      </c>
      <c r="CK54" s="3331">
        <v>0</v>
      </c>
      <c r="CL54" s="3331">
        <v>0</v>
      </c>
      <c r="CM54" s="3345">
        <v>0</v>
      </c>
    </row>
    <row r="55" spans="1:91" ht="15.75" thickBot="1">
      <c r="A55" s="3283"/>
      <c r="B55" s="2551" t="str">
        <f t="shared" si="0"/>
        <v>3039390027</v>
      </c>
      <c r="C55" s="2493" t="s">
        <v>710</v>
      </c>
      <c r="D55" s="2018">
        <v>3939</v>
      </c>
      <c r="E55" s="2018">
        <v>27</v>
      </c>
      <c r="F55" s="2019">
        <v>8600</v>
      </c>
      <c r="G55" s="2498" t="s">
        <v>1079</v>
      </c>
      <c r="H55" s="2018" t="s">
        <v>1584</v>
      </c>
      <c r="I55" s="2020">
        <v>1.25</v>
      </c>
      <c r="J55" s="2501">
        <v>8600</v>
      </c>
      <c r="K55" s="2501">
        <v>0</v>
      </c>
      <c r="L55" s="2501">
        <v>0</v>
      </c>
      <c r="M55" s="2501">
        <v>8600</v>
      </c>
      <c r="N55" s="2508">
        <v>0</v>
      </c>
      <c r="O55" s="2052" t="s">
        <v>1601</v>
      </c>
      <c r="P55" s="3359"/>
      <c r="Q55" s="3361"/>
      <c r="R55" s="3363"/>
      <c r="S55" s="3363"/>
      <c r="T55" s="3363"/>
      <c r="U55" s="3363"/>
      <c r="V55" s="3363"/>
      <c r="W55" s="3363"/>
      <c r="X55" s="3363"/>
      <c r="Y55" s="3363"/>
      <c r="Z55" s="3363"/>
      <c r="AA55" s="3363"/>
      <c r="AB55" s="3361"/>
      <c r="AC55" s="3361"/>
      <c r="AD55" s="3361"/>
      <c r="AE55" s="3361"/>
      <c r="AF55" s="3361"/>
      <c r="AG55" s="3361"/>
      <c r="AH55" s="3361"/>
      <c r="AI55" s="3361"/>
      <c r="AJ55" s="3361"/>
      <c r="AK55" s="3361"/>
      <c r="AL55" s="3361"/>
      <c r="AM55" s="3365"/>
      <c r="AN55" s="3338"/>
      <c r="AO55" s="3390"/>
      <c r="AP55" s="3308"/>
      <c r="AQ55" s="3308"/>
      <c r="AR55" s="3332"/>
      <c r="AS55" s="3332"/>
      <c r="AT55" s="3332"/>
      <c r="AU55" s="3332"/>
      <c r="AV55" s="3332"/>
      <c r="AW55" s="3332"/>
      <c r="AX55" s="3332"/>
      <c r="AY55" s="3332"/>
      <c r="AZ55" s="3332"/>
      <c r="BA55" s="3332"/>
      <c r="BB55" s="3332"/>
      <c r="BC55" s="3332"/>
      <c r="BD55" s="3332"/>
      <c r="BE55" s="3332"/>
      <c r="BF55" s="3332"/>
      <c r="BG55" s="3332"/>
      <c r="BH55" s="3332"/>
      <c r="BI55" s="3332"/>
      <c r="BJ55" s="3332"/>
      <c r="BK55" s="3332"/>
      <c r="BL55" s="3332"/>
      <c r="BM55" s="3332"/>
      <c r="BN55" s="3332"/>
      <c r="BO55" s="3332"/>
      <c r="BP55" s="3344"/>
      <c r="BQ55" s="3391"/>
      <c r="BR55" s="3332"/>
      <c r="BS55" s="3332"/>
      <c r="BT55" s="3332"/>
      <c r="BU55" s="3332"/>
      <c r="BV55" s="3332"/>
      <c r="BW55" s="3332"/>
      <c r="BX55" s="3332"/>
      <c r="BY55" s="3332"/>
      <c r="BZ55" s="3332"/>
      <c r="CA55" s="3332"/>
      <c r="CB55" s="3344"/>
      <c r="CC55" s="3391"/>
      <c r="CD55" s="3332"/>
      <c r="CE55" s="3332"/>
      <c r="CF55" s="3332"/>
      <c r="CG55" s="3332"/>
      <c r="CH55" s="3332"/>
      <c r="CI55" s="3332"/>
      <c r="CJ55" s="3332"/>
      <c r="CK55" s="3332"/>
      <c r="CL55" s="3332"/>
      <c r="CM55" s="3344"/>
    </row>
    <row r="56" spans="1:91">
      <c r="A56" s="3282">
        <v>22</v>
      </c>
      <c r="B56" s="2551" t="str">
        <f t="shared" si="0"/>
        <v>3039420001</v>
      </c>
      <c r="C56" s="2010" t="s">
        <v>703</v>
      </c>
      <c r="D56" s="2011">
        <v>3942</v>
      </c>
      <c r="E56" s="2011">
        <v>1</v>
      </c>
      <c r="F56" s="2494">
        <v>2500</v>
      </c>
      <c r="G56" s="2496" t="s">
        <v>1079</v>
      </c>
      <c r="H56" s="2011" t="s">
        <v>1345</v>
      </c>
      <c r="I56" s="2012">
        <v>1.25</v>
      </c>
      <c r="J56" s="2491">
        <v>1500</v>
      </c>
      <c r="K56" s="2491">
        <v>0</v>
      </c>
      <c r="L56" s="2491">
        <v>0</v>
      </c>
      <c r="M56" s="2491">
        <v>4500</v>
      </c>
      <c r="N56" s="2489">
        <v>4</v>
      </c>
      <c r="O56" s="2053" t="s">
        <v>1602</v>
      </c>
      <c r="P56" s="3272">
        <v>9916</v>
      </c>
      <c r="Q56" s="3265">
        <v>5500</v>
      </c>
      <c r="R56" s="3265">
        <v>0</v>
      </c>
      <c r="S56" s="3265">
        <v>0</v>
      </c>
      <c r="T56" s="3265">
        <v>0</v>
      </c>
      <c r="U56" s="3265">
        <v>0</v>
      </c>
      <c r="V56" s="3265">
        <v>0</v>
      </c>
      <c r="W56" s="3265">
        <v>0</v>
      </c>
      <c r="X56" s="3265">
        <v>0</v>
      </c>
      <c r="Y56" s="3265">
        <v>0</v>
      </c>
      <c r="Z56" s="3265">
        <v>0</v>
      </c>
      <c r="AA56" s="3265">
        <v>0</v>
      </c>
      <c r="AB56" s="3265">
        <v>15416</v>
      </c>
      <c r="AC56" s="3265">
        <v>15416</v>
      </c>
      <c r="AD56" s="3265">
        <v>9</v>
      </c>
      <c r="AE56" s="3265">
        <v>9</v>
      </c>
      <c r="AF56" s="3265">
        <v>0</v>
      </c>
      <c r="AG56" s="3265">
        <v>0</v>
      </c>
      <c r="AH56" s="3265">
        <v>0</v>
      </c>
      <c r="AI56" s="3265">
        <v>0</v>
      </c>
      <c r="AJ56" s="3265">
        <v>0</v>
      </c>
      <c r="AK56" s="3265">
        <v>0</v>
      </c>
      <c r="AL56" s="3265">
        <v>9</v>
      </c>
      <c r="AM56" s="3275">
        <v>35</v>
      </c>
      <c r="AN56" s="3277" t="s">
        <v>1585</v>
      </c>
      <c r="AO56" s="3279" t="s">
        <v>706</v>
      </c>
      <c r="AP56" s="3265" t="s">
        <v>1599</v>
      </c>
      <c r="AQ56" s="3265">
        <v>38858</v>
      </c>
      <c r="AR56" s="3331">
        <v>10008</v>
      </c>
      <c r="AS56" s="3331">
        <v>0</v>
      </c>
      <c r="AT56" s="3331">
        <v>0</v>
      </c>
      <c r="AU56" s="3331">
        <v>0</v>
      </c>
      <c r="AV56" s="3331">
        <v>0</v>
      </c>
      <c r="AW56" s="3331">
        <v>0</v>
      </c>
      <c r="AX56" s="3331">
        <v>0</v>
      </c>
      <c r="AY56" s="3331">
        <v>0</v>
      </c>
      <c r="AZ56" s="3331">
        <v>0</v>
      </c>
      <c r="BA56" s="3331">
        <v>0</v>
      </c>
      <c r="BB56" s="3331">
        <v>0</v>
      </c>
      <c r="BC56" s="3331">
        <v>48866</v>
      </c>
      <c r="BD56" s="3331">
        <v>50795</v>
      </c>
      <c r="BE56" s="3331">
        <v>38</v>
      </c>
      <c r="BF56" s="3331">
        <v>19</v>
      </c>
      <c r="BG56" s="3331">
        <v>10</v>
      </c>
      <c r="BH56" s="3331">
        <v>0</v>
      </c>
      <c r="BI56" s="3331">
        <v>10</v>
      </c>
      <c r="BJ56" s="3331">
        <v>0</v>
      </c>
      <c r="BK56" s="3331">
        <v>0</v>
      </c>
      <c r="BL56" s="3331">
        <v>0</v>
      </c>
      <c r="BM56" s="3331">
        <v>0</v>
      </c>
      <c r="BN56" s="3331">
        <v>0</v>
      </c>
      <c r="BO56" s="3331">
        <v>20</v>
      </c>
      <c r="BP56" s="3331">
        <v>85</v>
      </c>
      <c r="BQ56" s="3379">
        <v>28942</v>
      </c>
      <c r="BR56" s="3331">
        <v>4508</v>
      </c>
      <c r="BS56" s="3331">
        <v>0</v>
      </c>
      <c r="BT56" s="3331">
        <v>0</v>
      </c>
      <c r="BU56" s="3331">
        <v>0</v>
      </c>
      <c r="BV56" s="3331">
        <v>0</v>
      </c>
      <c r="BW56" s="3331">
        <v>0</v>
      </c>
      <c r="BX56" s="3331">
        <v>0</v>
      </c>
      <c r="BY56" s="3331">
        <v>0</v>
      </c>
      <c r="BZ56" s="3331">
        <v>0</v>
      </c>
      <c r="CA56" s="3331">
        <v>0</v>
      </c>
      <c r="CB56" s="3345">
        <v>0</v>
      </c>
      <c r="CC56" s="3346">
        <v>33450</v>
      </c>
      <c r="CD56" s="3346">
        <v>4508</v>
      </c>
      <c r="CE56" s="3346">
        <v>29</v>
      </c>
      <c r="CF56" s="3346">
        <v>19</v>
      </c>
      <c r="CG56" s="3346">
        <v>1</v>
      </c>
      <c r="CH56" s="3346">
        <v>0</v>
      </c>
      <c r="CI56" s="3346">
        <v>10</v>
      </c>
      <c r="CJ56" s="3346">
        <v>0</v>
      </c>
      <c r="CK56" s="3346">
        <v>0</v>
      </c>
      <c r="CL56" s="3346">
        <v>0</v>
      </c>
      <c r="CM56" s="3345">
        <v>0</v>
      </c>
    </row>
    <row r="57" spans="1:91">
      <c r="A57" s="3313"/>
      <c r="B57" s="2551" t="str">
        <f t="shared" si="0"/>
        <v>3039420016</v>
      </c>
      <c r="C57" s="2492" t="s">
        <v>710</v>
      </c>
      <c r="D57" s="2026">
        <v>3942</v>
      </c>
      <c r="E57" s="2026">
        <v>16</v>
      </c>
      <c r="F57" s="2027">
        <v>5542</v>
      </c>
      <c r="G57" s="2497" t="s">
        <v>1079</v>
      </c>
      <c r="H57" s="2026" t="s">
        <v>1345</v>
      </c>
      <c r="I57" s="2028">
        <v>1.25</v>
      </c>
      <c r="J57" s="2500">
        <v>4000</v>
      </c>
      <c r="K57" s="2500">
        <v>0</v>
      </c>
      <c r="L57" s="2500">
        <v>0</v>
      </c>
      <c r="M57" s="2500">
        <v>4000</v>
      </c>
      <c r="N57" s="2029">
        <v>0</v>
      </c>
      <c r="O57" s="2054" t="s">
        <v>1573</v>
      </c>
      <c r="P57" s="3273"/>
      <c r="Q57" s="3274"/>
      <c r="R57" s="3713"/>
      <c r="S57" s="3713"/>
      <c r="T57" s="3713"/>
      <c r="U57" s="3713"/>
      <c r="V57" s="3713"/>
      <c r="W57" s="3713"/>
      <c r="X57" s="3713"/>
      <c r="Y57" s="3713"/>
      <c r="Z57" s="3713"/>
      <c r="AA57" s="3713"/>
      <c r="AB57" s="3274"/>
      <c r="AC57" s="3274"/>
      <c r="AD57" s="3274"/>
      <c r="AE57" s="3274"/>
      <c r="AF57" s="3274"/>
      <c r="AG57" s="3274"/>
      <c r="AH57" s="3274"/>
      <c r="AI57" s="3274"/>
      <c r="AJ57" s="3274"/>
      <c r="AK57" s="3274"/>
      <c r="AL57" s="3274"/>
      <c r="AM57" s="3276"/>
      <c r="AN57" s="3278"/>
      <c r="AO57" s="3280"/>
      <c r="AP57" s="3274"/>
      <c r="AQ57" s="3274"/>
      <c r="AR57" s="3340"/>
      <c r="AS57" s="3340"/>
      <c r="AT57" s="3340"/>
      <c r="AU57" s="3340"/>
      <c r="AV57" s="3340"/>
      <c r="AW57" s="3340"/>
      <c r="AX57" s="3340"/>
      <c r="AY57" s="3340"/>
      <c r="AZ57" s="3340"/>
      <c r="BA57" s="3340"/>
      <c r="BB57" s="3340"/>
      <c r="BC57" s="3340"/>
      <c r="BD57" s="3340"/>
      <c r="BE57" s="3340"/>
      <c r="BF57" s="3340"/>
      <c r="BG57" s="3340"/>
      <c r="BH57" s="3340"/>
      <c r="BI57" s="3340"/>
      <c r="BJ57" s="3340"/>
      <c r="BK57" s="3340"/>
      <c r="BL57" s="3340"/>
      <c r="BM57" s="3340"/>
      <c r="BN57" s="3340"/>
      <c r="BO57" s="3340"/>
      <c r="BP57" s="3340"/>
      <c r="BQ57" s="3387"/>
      <c r="BR57" s="3385"/>
      <c r="BS57" s="3385"/>
      <c r="BT57" s="3385"/>
      <c r="BU57" s="3385"/>
      <c r="BV57" s="3385"/>
      <c r="BW57" s="3385"/>
      <c r="BX57" s="3385"/>
      <c r="BY57" s="3385"/>
      <c r="BZ57" s="3385"/>
      <c r="CA57" s="3385"/>
      <c r="CB57" s="3386"/>
      <c r="CC57" s="3384"/>
      <c r="CD57" s="3384"/>
      <c r="CE57" s="3384"/>
      <c r="CF57" s="3384"/>
      <c r="CG57" s="3384"/>
      <c r="CH57" s="3384"/>
      <c r="CI57" s="3384"/>
      <c r="CJ57" s="3384"/>
      <c r="CK57" s="3384"/>
      <c r="CL57" s="3384"/>
      <c r="CM57" s="3386"/>
    </row>
    <row r="58" spans="1:91">
      <c r="A58" s="3313"/>
      <c r="B58" s="2551" t="str">
        <f t="shared" si="0"/>
        <v>3039420019</v>
      </c>
      <c r="C58" s="2492" t="s">
        <v>721</v>
      </c>
      <c r="D58" s="2026">
        <v>3942</v>
      </c>
      <c r="E58" s="2026">
        <v>19</v>
      </c>
      <c r="F58" s="2027">
        <v>2854</v>
      </c>
      <c r="G58" s="2497" t="s">
        <v>1079</v>
      </c>
      <c r="H58" s="2026" t="s">
        <v>1345</v>
      </c>
      <c r="I58" s="2028">
        <v>1.25</v>
      </c>
      <c r="J58" s="2500">
        <v>0</v>
      </c>
      <c r="K58" s="2500">
        <v>0</v>
      </c>
      <c r="L58" s="2500">
        <v>0</v>
      </c>
      <c r="M58" s="2500">
        <v>0</v>
      </c>
      <c r="N58" s="2029">
        <v>0</v>
      </c>
      <c r="O58" s="2054" t="s">
        <v>1578</v>
      </c>
      <c r="P58" s="3273"/>
      <c r="Q58" s="3274"/>
      <c r="R58" s="3713"/>
      <c r="S58" s="3713"/>
      <c r="T58" s="3713"/>
      <c r="U58" s="3713"/>
      <c r="V58" s="3713"/>
      <c r="W58" s="3713"/>
      <c r="X58" s="3713"/>
      <c r="Y58" s="3713"/>
      <c r="Z58" s="3713"/>
      <c r="AA58" s="3713"/>
      <c r="AB58" s="3274"/>
      <c r="AC58" s="3274"/>
      <c r="AD58" s="3274"/>
      <c r="AE58" s="3274"/>
      <c r="AF58" s="3274"/>
      <c r="AG58" s="3274"/>
      <c r="AH58" s="3274"/>
      <c r="AI58" s="3274"/>
      <c r="AJ58" s="3274"/>
      <c r="AK58" s="3274"/>
      <c r="AL58" s="3274"/>
      <c r="AM58" s="3276"/>
      <c r="AN58" s="3278"/>
      <c r="AO58" s="3280"/>
      <c r="AP58" s="3274"/>
      <c r="AQ58" s="3274"/>
      <c r="AR58" s="3340"/>
      <c r="AS58" s="3340"/>
      <c r="AT58" s="3340"/>
      <c r="AU58" s="3340"/>
      <c r="AV58" s="3340"/>
      <c r="AW58" s="3340"/>
      <c r="AX58" s="3340"/>
      <c r="AY58" s="3340"/>
      <c r="AZ58" s="3340"/>
      <c r="BA58" s="3340"/>
      <c r="BB58" s="3340"/>
      <c r="BC58" s="3340"/>
      <c r="BD58" s="3340"/>
      <c r="BE58" s="3340"/>
      <c r="BF58" s="3340"/>
      <c r="BG58" s="3340"/>
      <c r="BH58" s="3340"/>
      <c r="BI58" s="3340"/>
      <c r="BJ58" s="3340"/>
      <c r="BK58" s="3340"/>
      <c r="BL58" s="3340"/>
      <c r="BM58" s="3340"/>
      <c r="BN58" s="3340"/>
      <c r="BO58" s="3340"/>
      <c r="BP58" s="3340"/>
      <c r="BQ58" s="3387"/>
      <c r="BR58" s="3385"/>
      <c r="BS58" s="3385"/>
      <c r="BT58" s="3385"/>
      <c r="BU58" s="3385"/>
      <c r="BV58" s="3385"/>
      <c r="BW58" s="3385"/>
      <c r="BX58" s="3385"/>
      <c r="BY58" s="3385"/>
      <c r="BZ58" s="3385"/>
      <c r="CA58" s="3385"/>
      <c r="CB58" s="3386"/>
      <c r="CC58" s="3384"/>
      <c r="CD58" s="3384"/>
      <c r="CE58" s="3384"/>
      <c r="CF58" s="3384"/>
      <c r="CG58" s="3384"/>
      <c r="CH58" s="3384"/>
      <c r="CI58" s="3384"/>
      <c r="CJ58" s="3384"/>
      <c r="CK58" s="3384"/>
      <c r="CL58" s="3384"/>
      <c r="CM58" s="3386"/>
    </row>
    <row r="59" spans="1:91" ht="15.75" thickBot="1">
      <c r="A59" s="3380"/>
      <c r="B59" s="2551" t="str">
        <f t="shared" si="0"/>
        <v>3039420021</v>
      </c>
      <c r="C59" s="2468" t="s">
        <v>724</v>
      </c>
      <c r="D59" s="2014">
        <v>3942</v>
      </c>
      <c r="E59" s="2014">
        <v>21</v>
      </c>
      <c r="F59" s="2038">
        <v>2678</v>
      </c>
      <c r="G59" s="2133" t="s">
        <v>1079</v>
      </c>
      <c r="H59" s="2014" t="s">
        <v>1345</v>
      </c>
      <c r="I59" s="2016">
        <v>1.25</v>
      </c>
      <c r="J59" s="2538">
        <v>0</v>
      </c>
      <c r="K59" s="2538">
        <v>0</v>
      </c>
      <c r="L59" s="2538">
        <v>0</v>
      </c>
      <c r="M59" s="2538">
        <v>0</v>
      </c>
      <c r="N59" s="2509">
        <v>0</v>
      </c>
      <c r="O59" s="2055" t="s">
        <v>1578</v>
      </c>
      <c r="P59" s="3359"/>
      <c r="Q59" s="3361"/>
      <c r="R59" s="3363"/>
      <c r="S59" s="3363"/>
      <c r="T59" s="3363"/>
      <c r="U59" s="3363"/>
      <c r="V59" s="3363"/>
      <c r="W59" s="3363"/>
      <c r="X59" s="3363"/>
      <c r="Y59" s="3363"/>
      <c r="Z59" s="3363"/>
      <c r="AA59" s="3363"/>
      <c r="AB59" s="3361"/>
      <c r="AC59" s="3361"/>
      <c r="AD59" s="3361"/>
      <c r="AE59" s="3361"/>
      <c r="AF59" s="3361"/>
      <c r="AG59" s="3361"/>
      <c r="AH59" s="3361"/>
      <c r="AI59" s="3361"/>
      <c r="AJ59" s="3361"/>
      <c r="AK59" s="3361"/>
      <c r="AL59" s="3361"/>
      <c r="AM59" s="3365"/>
      <c r="AN59" s="3338"/>
      <c r="AO59" s="3339"/>
      <c r="AP59" s="3361"/>
      <c r="AQ59" s="3361"/>
      <c r="AR59" s="3332"/>
      <c r="AS59" s="3332"/>
      <c r="AT59" s="3332"/>
      <c r="AU59" s="3332"/>
      <c r="AV59" s="3332"/>
      <c r="AW59" s="3332"/>
      <c r="AX59" s="3332"/>
      <c r="AY59" s="3332"/>
      <c r="AZ59" s="3332"/>
      <c r="BA59" s="3332"/>
      <c r="BB59" s="3332"/>
      <c r="BC59" s="3332"/>
      <c r="BD59" s="3332"/>
      <c r="BE59" s="3332"/>
      <c r="BF59" s="3332"/>
      <c r="BG59" s="3332"/>
      <c r="BH59" s="3332"/>
      <c r="BI59" s="3332"/>
      <c r="BJ59" s="3332"/>
      <c r="BK59" s="3332"/>
      <c r="BL59" s="3332"/>
      <c r="BM59" s="3332"/>
      <c r="BN59" s="3332"/>
      <c r="BO59" s="3332"/>
      <c r="BP59" s="3332"/>
      <c r="BQ59" s="3387"/>
      <c r="BR59" s="3385"/>
      <c r="BS59" s="3385"/>
      <c r="BT59" s="3385"/>
      <c r="BU59" s="3385"/>
      <c r="BV59" s="3385"/>
      <c r="BW59" s="3385"/>
      <c r="BX59" s="3385"/>
      <c r="BY59" s="3385"/>
      <c r="BZ59" s="3385"/>
      <c r="CA59" s="3385"/>
      <c r="CB59" s="3386"/>
      <c r="CC59" s="3384"/>
      <c r="CD59" s="3384"/>
      <c r="CE59" s="3384"/>
      <c r="CF59" s="3384"/>
      <c r="CG59" s="3384"/>
      <c r="CH59" s="3384"/>
      <c r="CI59" s="3384"/>
      <c r="CJ59" s="3384"/>
      <c r="CK59" s="3384"/>
      <c r="CL59" s="3384"/>
      <c r="CM59" s="3386"/>
    </row>
    <row r="60" spans="1:91">
      <c r="A60" s="3282">
        <v>23</v>
      </c>
      <c r="B60" s="2551" t="str">
        <f t="shared" si="0"/>
        <v>3039460014</v>
      </c>
      <c r="C60" s="2010" t="s">
        <v>703</v>
      </c>
      <c r="D60" s="2011">
        <v>3946</v>
      </c>
      <c r="E60" s="2011">
        <v>14</v>
      </c>
      <c r="F60" s="2494">
        <v>7500</v>
      </c>
      <c r="G60" s="2496" t="s">
        <v>1079</v>
      </c>
      <c r="H60" s="2011" t="s">
        <v>1584</v>
      </c>
      <c r="I60" s="2012">
        <v>1.25</v>
      </c>
      <c r="J60" s="2491">
        <v>1250</v>
      </c>
      <c r="K60" s="2491">
        <v>0</v>
      </c>
      <c r="L60" s="2491">
        <v>0</v>
      </c>
      <c r="M60" s="2491">
        <v>1250</v>
      </c>
      <c r="N60" s="2489">
        <v>0</v>
      </c>
      <c r="O60" s="2525" t="s">
        <v>1578</v>
      </c>
      <c r="P60" s="3272">
        <v>13550</v>
      </c>
      <c r="Q60" s="3265">
        <v>1050</v>
      </c>
      <c r="R60" s="3265">
        <v>0</v>
      </c>
      <c r="S60" s="3265">
        <v>0</v>
      </c>
      <c r="T60" s="3265">
        <v>0</v>
      </c>
      <c r="U60" s="3265">
        <v>0</v>
      </c>
      <c r="V60" s="3265">
        <v>0</v>
      </c>
      <c r="W60" s="3265">
        <v>0</v>
      </c>
      <c r="X60" s="3265">
        <v>0</v>
      </c>
      <c r="Y60" s="3265">
        <v>0</v>
      </c>
      <c r="Z60" s="3265">
        <v>0</v>
      </c>
      <c r="AA60" s="3265">
        <v>0</v>
      </c>
      <c r="AB60" s="3265">
        <v>14600</v>
      </c>
      <c r="AC60" s="3265">
        <v>14600</v>
      </c>
      <c r="AD60" s="3265">
        <v>13</v>
      </c>
      <c r="AE60" s="3265">
        <v>0</v>
      </c>
      <c r="AF60" s="3265">
        <v>0</v>
      </c>
      <c r="AG60" s="3265">
        <v>0</v>
      </c>
      <c r="AH60" s="3265">
        <v>0</v>
      </c>
      <c r="AI60" s="3265">
        <v>0</v>
      </c>
      <c r="AJ60" s="3265">
        <v>0</v>
      </c>
      <c r="AK60" s="3265">
        <v>0</v>
      </c>
      <c r="AL60" s="3265">
        <v>0</v>
      </c>
      <c r="AM60" s="3275">
        <v>25</v>
      </c>
      <c r="AN60" s="3277" t="s">
        <v>1585</v>
      </c>
      <c r="AO60" s="3279" t="s">
        <v>706</v>
      </c>
      <c r="AP60" s="3265" t="s">
        <v>1599</v>
      </c>
      <c r="AQ60" s="3265">
        <v>35100</v>
      </c>
      <c r="AR60" s="3331">
        <v>9900</v>
      </c>
      <c r="AS60" s="3331">
        <v>0</v>
      </c>
      <c r="AT60" s="3331">
        <v>0</v>
      </c>
      <c r="AU60" s="3331">
        <v>0</v>
      </c>
      <c r="AV60" s="3331">
        <v>0</v>
      </c>
      <c r="AW60" s="3331">
        <v>0</v>
      </c>
      <c r="AX60" s="3331">
        <v>0</v>
      </c>
      <c r="AY60" s="3331">
        <v>0</v>
      </c>
      <c r="AZ60" s="3331">
        <v>0</v>
      </c>
      <c r="BA60" s="3331">
        <v>0</v>
      </c>
      <c r="BB60" s="3331">
        <v>0</v>
      </c>
      <c r="BC60" s="3331">
        <v>45000</v>
      </c>
      <c r="BD60" s="3331">
        <v>46600</v>
      </c>
      <c r="BE60" s="3331">
        <v>35</v>
      </c>
      <c r="BF60" s="3331">
        <v>18</v>
      </c>
      <c r="BG60" s="3331">
        <v>9</v>
      </c>
      <c r="BH60" s="3331">
        <v>0</v>
      </c>
      <c r="BI60" s="3331">
        <v>10</v>
      </c>
      <c r="BJ60" s="3331">
        <v>0</v>
      </c>
      <c r="BK60" s="3331">
        <v>0</v>
      </c>
      <c r="BL60" s="3331">
        <v>0</v>
      </c>
      <c r="BM60" s="3331">
        <v>0</v>
      </c>
      <c r="BN60" s="3331">
        <v>0</v>
      </c>
      <c r="BO60" s="3331">
        <v>19</v>
      </c>
      <c r="BP60" s="3331">
        <v>85</v>
      </c>
      <c r="BQ60" s="3379">
        <v>21550</v>
      </c>
      <c r="BR60" s="3331">
        <v>8850</v>
      </c>
      <c r="BS60" s="3331">
        <v>0</v>
      </c>
      <c r="BT60" s="3331">
        <v>0</v>
      </c>
      <c r="BU60" s="3331">
        <v>0</v>
      </c>
      <c r="BV60" s="3331">
        <v>0</v>
      </c>
      <c r="BW60" s="3331">
        <v>0</v>
      </c>
      <c r="BX60" s="3331">
        <v>0</v>
      </c>
      <c r="BY60" s="3331">
        <v>0</v>
      </c>
      <c r="BZ60" s="3331">
        <v>0</v>
      </c>
      <c r="CA60" s="3331">
        <v>0</v>
      </c>
      <c r="CB60" s="3345">
        <v>0</v>
      </c>
      <c r="CC60" s="3346">
        <v>30400</v>
      </c>
      <c r="CD60" s="3346">
        <v>8850</v>
      </c>
      <c r="CE60" s="3346">
        <v>22</v>
      </c>
      <c r="CF60" s="3346">
        <v>18</v>
      </c>
      <c r="CG60" s="3346">
        <v>9</v>
      </c>
      <c r="CH60" s="3346">
        <v>0</v>
      </c>
      <c r="CI60" s="3346">
        <v>10</v>
      </c>
      <c r="CJ60" s="3346">
        <v>0</v>
      </c>
      <c r="CK60" s="3346">
        <v>0</v>
      </c>
      <c r="CL60" s="3346">
        <v>0</v>
      </c>
      <c r="CM60" s="3345">
        <v>0</v>
      </c>
    </row>
    <row r="61" spans="1:91">
      <c r="A61" s="3313"/>
      <c r="B61" s="2551" t="str">
        <f t="shared" si="0"/>
        <v>3039460017</v>
      </c>
      <c r="C61" s="2492" t="s">
        <v>710</v>
      </c>
      <c r="D61" s="2026">
        <v>3946</v>
      </c>
      <c r="E61" s="2026">
        <v>17</v>
      </c>
      <c r="F61" s="2027">
        <v>2500</v>
      </c>
      <c r="G61" s="2497" t="s">
        <v>1079</v>
      </c>
      <c r="H61" s="2026" t="s">
        <v>1584</v>
      </c>
      <c r="I61" s="2028">
        <v>1.25</v>
      </c>
      <c r="J61" s="2500">
        <v>1050</v>
      </c>
      <c r="K61" s="2500">
        <v>0</v>
      </c>
      <c r="L61" s="2500">
        <v>0</v>
      </c>
      <c r="M61" s="2500">
        <v>2100</v>
      </c>
      <c r="N61" s="2029">
        <v>2</v>
      </c>
      <c r="O61" s="2054" t="s">
        <v>1600</v>
      </c>
      <c r="P61" s="3273"/>
      <c r="Q61" s="3274"/>
      <c r="R61" s="3713"/>
      <c r="S61" s="3713"/>
      <c r="T61" s="3713"/>
      <c r="U61" s="3713"/>
      <c r="V61" s="3713"/>
      <c r="W61" s="3713"/>
      <c r="X61" s="3713"/>
      <c r="Y61" s="3713"/>
      <c r="Z61" s="3713"/>
      <c r="AA61" s="3713"/>
      <c r="AB61" s="3274"/>
      <c r="AC61" s="3274"/>
      <c r="AD61" s="3274"/>
      <c r="AE61" s="3274"/>
      <c r="AF61" s="3274"/>
      <c r="AG61" s="3274"/>
      <c r="AH61" s="3274"/>
      <c r="AI61" s="3274"/>
      <c r="AJ61" s="3274"/>
      <c r="AK61" s="3274"/>
      <c r="AL61" s="3274"/>
      <c r="AM61" s="3276"/>
      <c r="AN61" s="3278"/>
      <c r="AO61" s="3280"/>
      <c r="AP61" s="3274"/>
      <c r="AQ61" s="3274"/>
      <c r="AR61" s="3340"/>
      <c r="AS61" s="3340"/>
      <c r="AT61" s="3340"/>
      <c r="AU61" s="3340"/>
      <c r="AV61" s="3340"/>
      <c r="AW61" s="3340"/>
      <c r="AX61" s="3340"/>
      <c r="AY61" s="3340"/>
      <c r="AZ61" s="3340"/>
      <c r="BA61" s="3340"/>
      <c r="BB61" s="3340"/>
      <c r="BC61" s="3340"/>
      <c r="BD61" s="3340"/>
      <c r="BE61" s="3340"/>
      <c r="BF61" s="3340"/>
      <c r="BG61" s="3340"/>
      <c r="BH61" s="3340"/>
      <c r="BI61" s="3340"/>
      <c r="BJ61" s="3340"/>
      <c r="BK61" s="3340"/>
      <c r="BL61" s="3340"/>
      <c r="BM61" s="3340"/>
      <c r="BN61" s="3340"/>
      <c r="BO61" s="3340"/>
      <c r="BP61" s="3340"/>
      <c r="BQ61" s="3387"/>
      <c r="BR61" s="3385"/>
      <c r="BS61" s="3385"/>
      <c r="BT61" s="3385"/>
      <c r="BU61" s="3385"/>
      <c r="BV61" s="3385"/>
      <c r="BW61" s="3385"/>
      <c r="BX61" s="3385"/>
      <c r="BY61" s="3385"/>
      <c r="BZ61" s="3385"/>
      <c r="CA61" s="3385"/>
      <c r="CB61" s="3386"/>
      <c r="CC61" s="3384"/>
      <c r="CD61" s="3384"/>
      <c r="CE61" s="3384"/>
      <c r="CF61" s="3384"/>
      <c r="CG61" s="3384"/>
      <c r="CH61" s="3384"/>
      <c r="CI61" s="3384"/>
      <c r="CJ61" s="3384"/>
      <c r="CK61" s="3384"/>
      <c r="CL61" s="3384"/>
      <c r="CM61" s="3386"/>
    </row>
    <row r="62" spans="1:91" ht="15.75" thickBot="1">
      <c r="A62" s="3283"/>
      <c r="B62" s="2551" t="str">
        <f t="shared" si="0"/>
        <v>3039460018</v>
      </c>
      <c r="C62" s="2493" t="s">
        <v>721</v>
      </c>
      <c r="D62" s="2018">
        <v>3946</v>
      </c>
      <c r="E62" s="2018">
        <v>18</v>
      </c>
      <c r="F62" s="2019">
        <v>2500</v>
      </c>
      <c r="G62" s="2498" t="s">
        <v>1079</v>
      </c>
      <c r="H62" s="2018" t="s">
        <v>1584</v>
      </c>
      <c r="I62" s="2020">
        <v>1.25</v>
      </c>
      <c r="J62" s="2501">
        <v>0</v>
      </c>
      <c r="K62" s="2501">
        <v>0</v>
      </c>
      <c r="L62" s="2501">
        <v>0</v>
      </c>
      <c r="M62" s="2501">
        <v>0</v>
      </c>
      <c r="N62" s="2508">
        <v>0</v>
      </c>
      <c r="O62" s="2055" t="s">
        <v>1578</v>
      </c>
      <c r="P62" s="3359"/>
      <c r="Q62" s="3361"/>
      <c r="R62" s="3363"/>
      <c r="S62" s="3363"/>
      <c r="T62" s="3363"/>
      <c r="U62" s="3363"/>
      <c r="V62" s="3363"/>
      <c r="W62" s="3363"/>
      <c r="X62" s="3363"/>
      <c r="Y62" s="3363"/>
      <c r="Z62" s="3363"/>
      <c r="AA62" s="3363"/>
      <c r="AB62" s="3361"/>
      <c r="AC62" s="3361"/>
      <c r="AD62" s="3361"/>
      <c r="AE62" s="3361"/>
      <c r="AF62" s="3361"/>
      <c r="AG62" s="3361"/>
      <c r="AH62" s="3361"/>
      <c r="AI62" s="3361"/>
      <c r="AJ62" s="3361"/>
      <c r="AK62" s="3361"/>
      <c r="AL62" s="3361"/>
      <c r="AM62" s="3365"/>
      <c r="AN62" s="3338"/>
      <c r="AO62" s="3339"/>
      <c r="AP62" s="3361"/>
      <c r="AQ62" s="3361"/>
      <c r="AR62" s="3332"/>
      <c r="AS62" s="3332"/>
      <c r="AT62" s="3332"/>
      <c r="AU62" s="3332"/>
      <c r="AV62" s="3332"/>
      <c r="AW62" s="3332"/>
      <c r="AX62" s="3332"/>
      <c r="AY62" s="3332"/>
      <c r="AZ62" s="3332"/>
      <c r="BA62" s="3332"/>
      <c r="BB62" s="3332"/>
      <c r="BC62" s="3332"/>
      <c r="BD62" s="3332"/>
      <c r="BE62" s="3332"/>
      <c r="BF62" s="3332"/>
      <c r="BG62" s="3332"/>
      <c r="BH62" s="3332"/>
      <c r="BI62" s="3332"/>
      <c r="BJ62" s="3332"/>
      <c r="BK62" s="3332"/>
      <c r="BL62" s="3332"/>
      <c r="BM62" s="3332"/>
      <c r="BN62" s="3332"/>
      <c r="BO62" s="3332"/>
      <c r="BP62" s="3332"/>
      <c r="BQ62" s="3357"/>
      <c r="BR62" s="3375"/>
      <c r="BS62" s="3375"/>
      <c r="BT62" s="3375"/>
      <c r="BU62" s="3375"/>
      <c r="BV62" s="3375"/>
      <c r="BW62" s="3375"/>
      <c r="BX62" s="3375"/>
      <c r="BY62" s="3375"/>
      <c r="BZ62" s="3375"/>
      <c r="CA62" s="3375"/>
      <c r="CB62" s="3371"/>
      <c r="CC62" s="3373"/>
      <c r="CD62" s="3373"/>
      <c r="CE62" s="3373"/>
      <c r="CF62" s="3373"/>
      <c r="CG62" s="3373"/>
      <c r="CH62" s="3373"/>
      <c r="CI62" s="3373"/>
      <c r="CJ62" s="3373"/>
      <c r="CK62" s="3373"/>
      <c r="CL62" s="3373"/>
      <c r="CM62" s="3371"/>
    </row>
    <row r="63" spans="1:91">
      <c r="A63" s="3312">
        <v>24</v>
      </c>
      <c r="B63" s="2551" t="str">
        <f t="shared" si="0"/>
        <v>3039470001</v>
      </c>
      <c r="C63" s="2022" t="s">
        <v>703</v>
      </c>
      <c r="D63" s="2023">
        <v>3947</v>
      </c>
      <c r="E63" s="2023">
        <v>1</v>
      </c>
      <c r="F63" s="2506">
        <v>5100</v>
      </c>
      <c r="G63" s="2507" t="s">
        <v>1079</v>
      </c>
      <c r="H63" s="2023" t="s">
        <v>1560</v>
      </c>
      <c r="I63" s="2024">
        <v>1.25</v>
      </c>
      <c r="J63" s="2505">
        <v>0</v>
      </c>
      <c r="K63" s="2505">
        <v>0</v>
      </c>
      <c r="L63" s="2505">
        <v>0</v>
      </c>
      <c r="M63" s="2505">
        <v>0</v>
      </c>
      <c r="N63" s="2025">
        <v>0</v>
      </c>
      <c r="O63" s="2525" t="s">
        <v>1603</v>
      </c>
      <c r="P63" s="3272">
        <v>0</v>
      </c>
      <c r="Q63" s="3265">
        <v>0</v>
      </c>
      <c r="R63" s="3265">
        <v>0</v>
      </c>
      <c r="S63" s="3265">
        <v>0</v>
      </c>
      <c r="T63" s="3265">
        <v>0</v>
      </c>
      <c r="U63" s="3265">
        <v>0</v>
      </c>
      <c r="V63" s="3265">
        <v>0</v>
      </c>
      <c r="W63" s="3265">
        <v>0</v>
      </c>
      <c r="X63" s="3265">
        <v>0</v>
      </c>
      <c r="Y63" s="3265">
        <v>0</v>
      </c>
      <c r="Z63" s="3265">
        <v>0</v>
      </c>
      <c r="AA63" s="3265">
        <v>28302</v>
      </c>
      <c r="AB63" s="3265">
        <v>28302</v>
      </c>
      <c r="AC63" s="3265">
        <v>28302</v>
      </c>
      <c r="AD63" s="3265">
        <v>0</v>
      </c>
      <c r="AE63" s="3265">
        <v>0</v>
      </c>
      <c r="AF63" s="3265">
        <v>0</v>
      </c>
      <c r="AG63" s="3265">
        <v>0</v>
      </c>
      <c r="AH63" s="3265">
        <v>0</v>
      </c>
      <c r="AI63" s="3265">
        <v>0</v>
      </c>
      <c r="AJ63" s="3265">
        <v>0</v>
      </c>
      <c r="AK63" s="3265">
        <v>0</v>
      </c>
      <c r="AL63" s="3265">
        <v>0</v>
      </c>
      <c r="AM63" s="3275">
        <v>25</v>
      </c>
      <c r="AN63" s="3277" t="s">
        <v>741</v>
      </c>
      <c r="AO63" s="3279" t="s">
        <v>706</v>
      </c>
      <c r="AP63" s="3392" t="s">
        <v>1604</v>
      </c>
      <c r="AQ63" s="3265">
        <v>223359</v>
      </c>
      <c r="AR63" s="3331">
        <v>36622.800000000003</v>
      </c>
      <c r="AS63" s="3331">
        <v>0</v>
      </c>
      <c r="AT63" s="3331">
        <v>0</v>
      </c>
      <c r="AU63" s="3331">
        <v>0</v>
      </c>
      <c r="AV63" s="3331">
        <v>0</v>
      </c>
      <c r="AW63" s="3331">
        <v>0</v>
      </c>
      <c r="AX63" s="3331">
        <v>0</v>
      </c>
      <c r="AY63" s="3331">
        <v>0</v>
      </c>
      <c r="AZ63" s="3331">
        <v>0</v>
      </c>
      <c r="BA63" s="3331">
        <v>0</v>
      </c>
      <c r="BB63" s="3331">
        <v>60000</v>
      </c>
      <c r="BC63" s="3331">
        <v>319981.8</v>
      </c>
      <c r="BD63" s="3331">
        <v>325301</v>
      </c>
      <c r="BE63" s="3331">
        <v>223</v>
      </c>
      <c r="BF63" s="3331">
        <v>112</v>
      </c>
      <c r="BG63" s="3331">
        <v>45</v>
      </c>
      <c r="BH63" s="3331">
        <v>0</v>
      </c>
      <c r="BI63" s="3331">
        <v>37</v>
      </c>
      <c r="BJ63" s="3331">
        <v>0</v>
      </c>
      <c r="BK63" s="3331">
        <v>0</v>
      </c>
      <c r="BL63" s="3331">
        <v>0</v>
      </c>
      <c r="BM63" s="3331">
        <v>0</v>
      </c>
      <c r="BN63" s="3331">
        <v>0</v>
      </c>
      <c r="BO63" s="3331">
        <v>82</v>
      </c>
      <c r="BP63" s="3331">
        <v>145</v>
      </c>
      <c r="BQ63" s="3388">
        <v>223359</v>
      </c>
      <c r="BR63" s="3340">
        <v>36622.800000000003</v>
      </c>
      <c r="BS63" s="3340">
        <v>0</v>
      </c>
      <c r="BT63" s="3340">
        <v>0</v>
      </c>
      <c r="BU63" s="3340">
        <v>0</v>
      </c>
      <c r="BV63" s="3340">
        <v>0</v>
      </c>
      <c r="BW63" s="3340">
        <v>0</v>
      </c>
      <c r="BX63" s="3340">
        <v>0</v>
      </c>
      <c r="BY63" s="3340">
        <v>0</v>
      </c>
      <c r="BZ63" s="3340">
        <v>0</v>
      </c>
      <c r="CA63" s="3340">
        <v>0</v>
      </c>
      <c r="CB63" s="3343">
        <v>31698</v>
      </c>
      <c r="CC63" s="3341">
        <v>291679.8</v>
      </c>
      <c r="CD63" s="3341">
        <v>36622.800000000003</v>
      </c>
      <c r="CE63" s="3341">
        <v>223</v>
      </c>
      <c r="CF63" s="3341">
        <v>112</v>
      </c>
      <c r="CG63" s="3341">
        <v>45</v>
      </c>
      <c r="CH63" s="3341">
        <v>0</v>
      </c>
      <c r="CI63" s="3346">
        <v>37</v>
      </c>
      <c r="CJ63" s="3346">
        <v>0</v>
      </c>
      <c r="CK63" s="3346">
        <v>0</v>
      </c>
      <c r="CL63" s="3346">
        <v>0</v>
      </c>
      <c r="CM63" s="3345">
        <v>0</v>
      </c>
    </row>
    <row r="64" spans="1:91">
      <c r="A64" s="3313"/>
      <c r="B64" s="2551" t="str">
        <f t="shared" si="0"/>
        <v>3039470005</v>
      </c>
      <c r="C64" s="2492" t="s">
        <v>710</v>
      </c>
      <c r="D64" s="2026">
        <v>3947</v>
      </c>
      <c r="E64" s="2026">
        <v>5</v>
      </c>
      <c r="F64" s="2027">
        <v>35662</v>
      </c>
      <c r="G64" s="2497" t="s">
        <v>1079</v>
      </c>
      <c r="H64" s="2026" t="s">
        <v>1560</v>
      </c>
      <c r="I64" s="2028">
        <v>1.25</v>
      </c>
      <c r="J64" s="2500">
        <v>0</v>
      </c>
      <c r="K64" s="2500">
        <v>0</v>
      </c>
      <c r="L64" s="2500">
        <v>0</v>
      </c>
      <c r="M64" s="2500">
        <v>28302</v>
      </c>
      <c r="N64" s="2029">
        <v>0</v>
      </c>
      <c r="O64" s="2054" t="s">
        <v>1605</v>
      </c>
      <c r="P64" s="3273"/>
      <c r="Q64" s="3274"/>
      <c r="R64" s="3713"/>
      <c r="S64" s="3713"/>
      <c r="T64" s="3713"/>
      <c r="U64" s="3713"/>
      <c r="V64" s="3713"/>
      <c r="W64" s="3713"/>
      <c r="X64" s="3713"/>
      <c r="Y64" s="3713"/>
      <c r="Z64" s="3713"/>
      <c r="AA64" s="3713"/>
      <c r="AB64" s="3274"/>
      <c r="AC64" s="3274"/>
      <c r="AD64" s="3274"/>
      <c r="AE64" s="3274"/>
      <c r="AF64" s="3274"/>
      <c r="AG64" s="3274"/>
      <c r="AH64" s="3274"/>
      <c r="AI64" s="3274"/>
      <c r="AJ64" s="3274"/>
      <c r="AK64" s="3274"/>
      <c r="AL64" s="3274"/>
      <c r="AM64" s="3276"/>
      <c r="AN64" s="3278"/>
      <c r="AO64" s="3280"/>
      <c r="AP64" s="3393"/>
      <c r="AQ64" s="3274"/>
      <c r="AR64" s="3340"/>
      <c r="AS64" s="3340"/>
      <c r="AT64" s="3340"/>
      <c r="AU64" s="3340"/>
      <c r="AV64" s="3340"/>
      <c r="AW64" s="3340"/>
      <c r="AX64" s="3340"/>
      <c r="AY64" s="3340"/>
      <c r="AZ64" s="3340"/>
      <c r="BA64" s="3340"/>
      <c r="BB64" s="3340"/>
      <c r="BC64" s="3340"/>
      <c r="BD64" s="3340"/>
      <c r="BE64" s="3340"/>
      <c r="BF64" s="3340"/>
      <c r="BG64" s="3340"/>
      <c r="BH64" s="3340"/>
      <c r="BI64" s="3340"/>
      <c r="BJ64" s="3340"/>
      <c r="BK64" s="3340"/>
      <c r="BL64" s="3340"/>
      <c r="BM64" s="3340"/>
      <c r="BN64" s="3340"/>
      <c r="BO64" s="3340"/>
      <c r="BP64" s="3340"/>
      <c r="BQ64" s="3387"/>
      <c r="BR64" s="3385"/>
      <c r="BS64" s="3385"/>
      <c r="BT64" s="3385"/>
      <c r="BU64" s="3385"/>
      <c r="BV64" s="3385"/>
      <c r="BW64" s="3385"/>
      <c r="BX64" s="3385"/>
      <c r="BY64" s="3385"/>
      <c r="BZ64" s="3385"/>
      <c r="CA64" s="3385"/>
      <c r="CB64" s="3386"/>
      <c r="CC64" s="3384"/>
      <c r="CD64" s="3384"/>
      <c r="CE64" s="3384"/>
      <c r="CF64" s="3384"/>
      <c r="CG64" s="3384"/>
      <c r="CH64" s="3384"/>
      <c r="CI64" s="3384"/>
      <c r="CJ64" s="3384"/>
      <c r="CK64" s="3384"/>
      <c r="CL64" s="3384"/>
      <c r="CM64" s="3386"/>
    </row>
    <row r="65" spans="1:91" ht="15.75" thickBot="1">
      <c r="A65" s="3283"/>
      <c r="B65" s="2551" t="str">
        <f t="shared" si="0"/>
        <v>3039470009</v>
      </c>
      <c r="C65" s="2493" t="s">
        <v>721</v>
      </c>
      <c r="D65" s="2018">
        <v>3947</v>
      </c>
      <c r="E65" s="2018">
        <v>9</v>
      </c>
      <c r="F65" s="2019">
        <v>3680</v>
      </c>
      <c r="G65" s="2498" t="s">
        <v>1079</v>
      </c>
      <c r="H65" s="2018" t="s">
        <v>1560</v>
      </c>
      <c r="I65" s="2020">
        <v>1.25</v>
      </c>
      <c r="J65" s="2501">
        <v>0</v>
      </c>
      <c r="K65" s="2501">
        <v>0</v>
      </c>
      <c r="L65" s="2501">
        <v>0</v>
      </c>
      <c r="M65" s="2501">
        <v>0</v>
      </c>
      <c r="N65" s="2508">
        <v>0</v>
      </c>
      <c r="O65" s="2055" t="s">
        <v>1603</v>
      </c>
      <c r="P65" s="3359"/>
      <c r="Q65" s="3361"/>
      <c r="R65" s="3363"/>
      <c r="S65" s="3363"/>
      <c r="T65" s="3363"/>
      <c r="U65" s="3363"/>
      <c r="V65" s="3363"/>
      <c r="W65" s="3363"/>
      <c r="X65" s="3363"/>
      <c r="Y65" s="3363"/>
      <c r="Z65" s="3363"/>
      <c r="AA65" s="3363"/>
      <c r="AB65" s="3361"/>
      <c r="AC65" s="3361"/>
      <c r="AD65" s="3361"/>
      <c r="AE65" s="3361"/>
      <c r="AF65" s="3361"/>
      <c r="AG65" s="3361"/>
      <c r="AH65" s="3361"/>
      <c r="AI65" s="3361"/>
      <c r="AJ65" s="3361"/>
      <c r="AK65" s="3361"/>
      <c r="AL65" s="3361"/>
      <c r="AM65" s="3365"/>
      <c r="AN65" s="3338"/>
      <c r="AO65" s="3339"/>
      <c r="AP65" s="3394"/>
      <c r="AQ65" s="3361"/>
      <c r="AR65" s="3332"/>
      <c r="AS65" s="3332"/>
      <c r="AT65" s="3332"/>
      <c r="AU65" s="3332"/>
      <c r="AV65" s="3332"/>
      <c r="AW65" s="3332"/>
      <c r="AX65" s="3332"/>
      <c r="AY65" s="3332"/>
      <c r="AZ65" s="3332"/>
      <c r="BA65" s="3332"/>
      <c r="BB65" s="3332"/>
      <c r="BC65" s="3332"/>
      <c r="BD65" s="3332"/>
      <c r="BE65" s="3332"/>
      <c r="BF65" s="3332"/>
      <c r="BG65" s="3332"/>
      <c r="BH65" s="3332"/>
      <c r="BI65" s="3332"/>
      <c r="BJ65" s="3332"/>
      <c r="BK65" s="3332"/>
      <c r="BL65" s="3332"/>
      <c r="BM65" s="3332"/>
      <c r="BN65" s="3332"/>
      <c r="BO65" s="3332"/>
      <c r="BP65" s="3332"/>
      <c r="BQ65" s="3357"/>
      <c r="BR65" s="3375"/>
      <c r="BS65" s="3375"/>
      <c r="BT65" s="3375"/>
      <c r="BU65" s="3375"/>
      <c r="BV65" s="3375"/>
      <c r="BW65" s="3375"/>
      <c r="BX65" s="3375"/>
      <c r="BY65" s="3375"/>
      <c r="BZ65" s="3375"/>
      <c r="CA65" s="3375"/>
      <c r="CB65" s="3371"/>
      <c r="CC65" s="3373"/>
      <c r="CD65" s="3373"/>
      <c r="CE65" s="3373"/>
      <c r="CF65" s="3373"/>
      <c r="CG65" s="3373"/>
      <c r="CH65" s="3373"/>
      <c r="CI65" s="3373"/>
      <c r="CJ65" s="3373"/>
      <c r="CK65" s="3373"/>
      <c r="CL65" s="3373"/>
      <c r="CM65" s="3371"/>
    </row>
    <row r="66" spans="1:91" ht="15.75" thickBot="1">
      <c r="A66" s="2451">
        <v>25</v>
      </c>
      <c r="B66" s="2551" t="str">
        <f t="shared" si="0"/>
        <v>3039520042</v>
      </c>
      <c r="C66" s="2466" t="s">
        <v>703</v>
      </c>
      <c r="D66" s="2462">
        <v>3952</v>
      </c>
      <c r="E66" s="2462">
        <v>42</v>
      </c>
      <c r="F66" s="2461">
        <v>7670</v>
      </c>
      <c r="G66" s="2445" t="s">
        <v>947</v>
      </c>
      <c r="H66" s="2462" t="s">
        <v>1560</v>
      </c>
      <c r="I66" s="2463">
        <v>1</v>
      </c>
      <c r="J66" s="2448">
        <v>15000</v>
      </c>
      <c r="K66" s="2448">
        <v>0</v>
      </c>
      <c r="L66" s="2448">
        <v>0</v>
      </c>
      <c r="M66" s="2448">
        <v>15000</v>
      </c>
      <c r="N66" s="2438">
        <v>0</v>
      </c>
      <c r="O66" s="2525" t="s">
        <v>1606</v>
      </c>
      <c r="P66" s="2450">
        <v>0</v>
      </c>
      <c r="Q66" s="2448">
        <v>15000</v>
      </c>
      <c r="R66" s="2448">
        <v>0</v>
      </c>
      <c r="S66" s="2448">
        <v>0</v>
      </c>
      <c r="T66" s="2448">
        <v>0</v>
      </c>
      <c r="U66" s="2448">
        <v>0</v>
      </c>
      <c r="V66" s="2448">
        <v>0</v>
      </c>
      <c r="W66" s="2448">
        <v>0</v>
      </c>
      <c r="X66" s="2448">
        <v>0</v>
      </c>
      <c r="Y66" s="2448">
        <v>0</v>
      </c>
      <c r="Z66" s="2448">
        <v>0</v>
      </c>
      <c r="AA66" s="2448">
        <v>0</v>
      </c>
      <c r="AB66" s="2448">
        <v>15000</v>
      </c>
      <c r="AC66" s="2448">
        <v>15000</v>
      </c>
      <c r="AD66" s="2448">
        <v>0</v>
      </c>
      <c r="AE66" s="2448">
        <v>0</v>
      </c>
      <c r="AF66" s="2448">
        <v>0</v>
      </c>
      <c r="AG66" s="2448">
        <v>0</v>
      </c>
      <c r="AH66" s="2448">
        <v>0</v>
      </c>
      <c r="AI66" s="2448">
        <v>0</v>
      </c>
      <c r="AJ66" s="2448">
        <v>0</v>
      </c>
      <c r="AK66" s="2448">
        <v>0</v>
      </c>
      <c r="AL66" s="2448">
        <v>0</v>
      </c>
      <c r="AM66" s="2032">
        <v>25</v>
      </c>
      <c r="AN66" s="2033" t="s">
        <v>741</v>
      </c>
      <c r="AO66" s="2445" t="s">
        <v>706</v>
      </c>
      <c r="AP66" s="2448" t="s">
        <v>1595</v>
      </c>
      <c r="AQ66" s="2448">
        <v>48321</v>
      </c>
      <c r="AR66" s="2448">
        <v>6903</v>
      </c>
      <c r="AS66" s="2448">
        <v>0</v>
      </c>
      <c r="AT66" s="2448">
        <v>0</v>
      </c>
      <c r="AU66" s="2448">
        <v>0</v>
      </c>
      <c r="AV66" s="2448">
        <v>0</v>
      </c>
      <c r="AW66" s="2448">
        <v>0</v>
      </c>
      <c r="AX66" s="2448">
        <v>0</v>
      </c>
      <c r="AY66" s="2448">
        <v>0</v>
      </c>
      <c r="AZ66" s="2448">
        <v>0</v>
      </c>
      <c r="BA66" s="2448">
        <v>0</v>
      </c>
      <c r="BB66" s="2448">
        <v>0</v>
      </c>
      <c r="BC66" s="2448">
        <v>55224</v>
      </c>
      <c r="BD66" s="2448">
        <v>55991</v>
      </c>
      <c r="BE66" s="2448">
        <v>48</v>
      </c>
      <c r="BF66" s="2448">
        <v>24</v>
      </c>
      <c r="BG66" s="2448">
        <v>10</v>
      </c>
      <c r="BH66" s="2448">
        <v>0</v>
      </c>
      <c r="BI66" s="2448">
        <v>7</v>
      </c>
      <c r="BJ66" s="2448">
        <v>0</v>
      </c>
      <c r="BK66" s="2448">
        <v>0</v>
      </c>
      <c r="BL66" s="2448">
        <v>0</v>
      </c>
      <c r="BM66" s="2448">
        <v>0</v>
      </c>
      <c r="BN66" s="2448">
        <v>0</v>
      </c>
      <c r="BO66" s="2448">
        <v>17</v>
      </c>
      <c r="BP66" s="2448">
        <v>145</v>
      </c>
      <c r="BQ66" s="2440">
        <v>48321</v>
      </c>
      <c r="BR66" s="2439">
        <v>-8097</v>
      </c>
      <c r="BS66" s="2439">
        <v>0</v>
      </c>
      <c r="BT66" s="2439">
        <v>0</v>
      </c>
      <c r="BU66" s="2439">
        <v>0</v>
      </c>
      <c r="BV66" s="2439">
        <v>0</v>
      </c>
      <c r="BW66" s="2439">
        <v>0</v>
      </c>
      <c r="BX66" s="2439">
        <v>0</v>
      </c>
      <c r="BY66" s="2439">
        <v>0</v>
      </c>
      <c r="BZ66" s="2439">
        <v>0</v>
      </c>
      <c r="CA66" s="2439">
        <v>0</v>
      </c>
      <c r="CB66" s="2438">
        <v>0</v>
      </c>
      <c r="CC66" s="2437">
        <v>40224</v>
      </c>
      <c r="CD66" s="2437">
        <v>-8097</v>
      </c>
      <c r="CE66" s="2437">
        <v>48</v>
      </c>
      <c r="CF66" s="2437">
        <v>24</v>
      </c>
      <c r="CG66" s="2437">
        <v>10</v>
      </c>
      <c r="CH66" s="2437">
        <v>0</v>
      </c>
      <c r="CI66" s="2042">
        <v>7</v>
      </c>
      <c r="CJ66" s="2042">
        <v>0</v>
      </c>
      <c r="CK66" s="2042">
        <v>0</v>
      </c>
      <c r="CL66" s="2042">
        <v>0</v>
      </c>
      <c r="CM66" s="2035">
        <v>0</v>
      </c>
    </row>
    <row r="67" spans="1:91">
      <c r="A67" s="3282">
        <v>26</v>
      </c>
      <c r="B67" s="2551" t="str">
        <f t="shared" si="0"/>
        <v>3039540045</v>
      </c>
      <c r="C67" s="2010" t="s">
        <v>703</v>
      </c>
      <c r="D67" s="2011">
        <v>3954</v>
      </c>
      <c r="E67" s="2011">
        <v>45</v>
      </c>
      <c r="F67" s="2494">
        <v>20790</v>
      </c>
      <c r="G67" s="2496" t="s">
        <v>947</v>
      </c>
      <c r="H67" s="2011" t="s">
        <v>1560</v>
      </c>
      <c r="I67" s="2012">
        <v>1</v>
      </c>
      <c r="J67" s="2491">
        <v>12500</v>
      </c>
      <c r="K67" s="2491">
        <v>0</v>
      </c>
      <c r="L67" s="2491">
        <v>0</v>
      </c>
      <c r="M67" s="2491">
        <v>12500</v>
      </c>
      <c r="N67" s="2489">
        <v>0</v>
      </c>
      <c r="O67" s="2036" t="s">
        <v>1607</v>
      </c>
      <c r="P67" s="3272">
        <v>1297</v>
      </c>
      <c r="Q67" s="3265">
        <v>0</v>
      </c>
      <c r="R67" s="3265">
        <v>0</v>
      </c>
      <c r="S67" s="3265">
        <v>0</v>
      </c>
      <c r="T67" s="3265">
        <v>0</v>
      </c>
      <c r="U67" s="3265">
        <v>12500</v>
      </c>
      <c r="V67" s="3265">
        <v>0</v>
      </c>
      <c r="W67" s="3265">
        <v>0</v>
      </c>
      <c r="X67" s="3265">
        <v>0</v>
      </c>
      <c r="Y67" s="3265">
        <v>0</v>
      </c>
      <c r="Z67" s="3265">
        <v>0</v>
      </c>
      <c r="AA67" s="3265">
        <v>0</v>
      </c>
      <c r="AB67" s="3265">
        <v>13797</v>
      </c>
      <c r="AC67" s="3265">
        <v>13797</v>
      </c>
      <c r="AD67" s="3265">
        <v>1</v>
      </c>
      <c r="AE67" s="3265">
        <v>0</v>
      </c>
      <c r="AF67" s="3265">
        <v>0</v>
      </c>
      <c r="AG67" s="3265">
        <v>0</v>
      </c>
      <c r="AH67" s="3265">
        <v>30</v>
      </c>
      <c r="AI67" s="3265">
        <v>0</v>
      </c>
      <c r="AJ67" s="3265">
        <v>0</v>
      </c>
      <c r="AK67" s="3265">
        <v>0</v>
      </c>
      <c r="AL67" s="3265">
        <v>30</v>
      </c>
      <c r="AM67" s="3275">
        <v>25</v>
      </c>
      <c r="AN67" s="3277" t="s">
        <v>741</v>
      </c>
      <c r="AO67" s="3279" t="s">
        <v>706</v>
      </c>
      <c r="AP67" s="3265" t="s">
        <v>1608</v>
      </c>
      <c r="AQ67" s="3265">
        <v>140382.76923076922</v>
      </c>
      <c r="AR67" s="3331">
        <v>14805</v>
      </c>
      <c r="AS67" s="3331">
        <v>0</v>
      </c>
      <c r="AT67" s="3331">
        <v>0</v>
      </c>
      <c r="AU67" s="3331">
        <v>0</v>
      </c>
      <c r="AV67" s="3331">
        <v>0</v>
      </c>
      <c r="AW67" s="3331">
        <v>12500.23076923077</v>
      </c>
      <c r="AX67" s="3331">
        <v>0</v>
      </c>
      <c r="AY67" s="3331">
        <v>0</v>
      </c>
      <c r="AZ67" s="3331">
        <v>0</v>
      </c>
      <c r="BA67" s="3331">
        <v>0</v>
      </c>
      <c r="BB67" s="3331">
        <v>0</v>
      </c>
      <c r="BC67" s="3331">
        <v>167688</v>
      </c>
      <c r="BD67" s="3331">
        <v>171613</v>
      </c>
      <c r="BE67" s="3331">
        <v>140</v>
      </c>
      <c r="BF67" s="3331">
        <v>70</v>
      </c>
      <c r="BG67" s="3331">
        <v>28</v>
      </c>
      <c r="BH67" s="3331">
        <v>0</v>
      </c>
      <c r="BI67" s="3331">
        <v>27</v>
      </c>
      <c r="BJ67" s="3331">
        <v>0</v>
      </c>
      <c r="BK67" s="3331">
        <v>0</v>
      </c>
      <c r="BL67" s="3331">
        <v>0</v>
      </c>
      <c r="BM67" s="3331">
        <v>0</v>
      </c>
      <c r="BN67" s="3331">
        <v>0</v>
      </c>
      <c r="BO67" s="3331">
        <v>55</v>
      </c>
      <c r="BP67" s="3331">
        <v>145</v>
      </c>
      <c r="BQ67" s="3379">
        <v>139085.76923076922</v>
      </c>
      <c r="BR67" s="3331">
        <v>14805</v>
      </c>
      <c r="BS67" s="3331">
        <v>0</v>
      </c>
      <c r="BT67" s="3331">
        <v>0</v>
      </c>
      <c r="BU67" s="3331">
        <v>0</v>
      </c>
      <c r="BV67" s="3331">
        <v>-12500</v>
      </c>
      <c r="BW67" s="3331">
        <v>12500.23076923077</v>
      </c>
      <c r="BX67" s="3331">
        <v>0</v>
      </c>
      <c r="BY67" s="3331">
        <v>0</v>
      </c>
      <c r="BZ67" s="3331">
        <v>0</v>
      </c>
      <c r="CA67" s="3331">
        <v>0</v>
      </c>
      <c r="CB67" s="3345">
        <v>0</v>
      </c>
      <c r="CC67" s="3346">
        <v>153891</v>
      </c>
      <c r="CD67" s="3346">
        <v>14805.23076923077</v>
      </c>
      <c r="CE67" s="3346">
        <v>139</v>
      </c>
      <c r="CF67" s="3346">
        <v>70</v>
      </c>
      <c r="CG67" s="3346">
        <v>28</v>
      </c>
      <c r="CH67" s="3346">
        <v>0</v>
      </c>
      <c r="CI67" s="3346">
        <v>27</v>
      </c>
      <c r="CJ67" s="3346">
        <v>-30</v>
      </c>
      <c r="CK67" s="3346">
        <v>0</v>
      </c>
      <c r="CL67" s="3346">
        <v>0</v>
      </c>
      <c r="CM67" s="3345">
        <v>0</v>
      </c>
    </row>
    <row r="68" spans="1:91" ht="15.75" thickBot="1">
      <c r="A68" s="3283"/>
      <c r="B68" s="2551" t="str">
        <f t="shared" si="0"/>
        <v>3039540055</v>
      </c>
      <c r="C68" s="2493" t="s">
        <v>710</v>
      </c>
      <c r="D68" s="2018">
        <v>3954</v>
      </c>
      <c r="E68" s="2018">
        <v>55</v>
      </c>
      <c r="F68" s="2019">
        <v>2500</v>
      </c>
      <c r="G68" s="2498" t="s">
        <v>947</v>
      </c>
      <c r="H68" s="2018" t="s">
        <v>1560</v>
      </c>
      <c r="I68" s="2020">
        <v>1</v>
      </c>
      <c r="J68" s="2501">
        <v>0</v>
      </c>
      <c r="K68" s="2501">
        <v>0</v>
      </c>
      <c r="L68" s="2501">
        <v>0</v>
      </c>
      <c r="M68" s="2501">
        <v>1297</v>
      </c>
      <c r="N68" s="2508">
        <v>2</v>
      </c>
      <c r="O68" s="2055" t="s">
        <v>1580</v>
      </c>
      <c r="P68" s="3359"/>
      <c r="Q68" s="3361"/>
      <c r="R68" s="3363"/>
      <c r="S68" s="3363"/>
      <c r="T68" s="3363"/>
      <c r="U68" s="3363"/>
      <c r="V68" s="3363"/>
      <c r="W68" s="3363"/>
      <c r="X68" s="3363"/>
      <c r="Y68" s="3363"/>
      <c r="Z68" s="3363"/>
      <c r="AA68" s="3363"/>
      <c r="AB68" s="3361"/>
      <c r="AC68" s="3361"/>
      <c r="AD68" s="3361"/>
      <c r="AE68" s="3361"/>
      <c r="AF68" s="3361"/>
      <c r="AG68" s="3361"/>
      <c r="AH68" s="3361"/>
      <c r="AI68" s="3361"/>
      <c r="AJ68" s="3361"/>
      <c r="AK68" s="3361"/>
      <c r="AL68" s="3361"/>
      <c r="AM68" s="3365"/>
      <c r="AN68" s="3338"/>
      <c r="AO68" s="3339"/>
      <c r="AP68" s="3361"/>
      <c r="AQ68" s="3361"/>
      <c r="AR68" s="3332"/>
      <c r="AS68" s="3332"/>
      <c r="AT68" s="3332"/>
      <c r="AU68" s="3332"/>
      <c r="AV68" s="3332"/>
      <c r="AW68" s="3332"/>
      <c r="AX68" s="3332"/>
      <c r="AY68" s="3332"/>
      <c r="AZ68" s="3332"/>
      <c r="BA68" s="3332"/>
      <c r="BB68" s="3332"/>
      <c r="BC68" s="3332"/>
      <c r="BD68" s="3332"/>
      <c r="BE68" s="3332"/>
      <c r="BF68" s="3332"/>
      <c r="BG68" s="3332"/>
      <c r="BH68" s="3332"/>
      <c r="BI68" s="3332"/>
      <c r="BJ68" s="3332"/>
      <c r="BK68" s="3332"/>
      <c r="BL68" s="3332"/>
      <c r="BM68" s="3332"/>
      <c r="BN68" s="3332"/>
      <c r="BO68" s="3332"/>
      <c r="BP68" s="3332"/>
      <c r="BQ68" s="3357"/>
      <c r="BR68" s="3375"/>
      <c r="BS68" s="3375"/>
      <c r="BT68" s="3375"/>
      <c r="BU68" s="3375"/>
      <c r="BV68" s="3375"/>
      <c r="BW68" s="3375"/>
      <c r="BX68" s="3375"/>
      <c r="BY68" s="3375"/>
      <c r="BZ68" s="3375"/>
      <c r="CA68" s="3375"/>
      <c r="CB68" s="3371"/>
      <c r="CC68" s="3373"/>
      <c r="CD68" s="3373"/>
      <c r="CE68" s="3373"/>
      <c r="CF68" s="3373"/>
      <c r="CG68" s="3373"/>
      <c r="CH68" s="3373"/>
      <c r="CI68" s="3373"/>
      <c r="CJ68" s="3373"/>
      <c r="CK68" s="3373"/>
      <c r="CL68" s="3373"/>
      <c r="CM68" s="3371"/>
    </row>
    <row r="69" spans="1:91">
      <c r="A69" s="3312">
        <v>27</v>
      </c>
      <c r="B69" s="2551" t="str">
        <f t="shared" si="0"/>
        <v>3039550045</v>
      </c>
      <c r="C69" s="2022" t="s">
        <v>703</v>
      </c>
      <c r="D69" s="2023">
        <v>3955</v>
      </c>
      <c r="E69" s="2023">
        <v>45</v>
      </c>
      <c r="F69" s="2506">
        <v>2575</v>
      </c>
      <c r="G69" s="2507" t="s">
        <v>1566</v>
      </c>
      <c r="H69" s="2023" t="s">
        <v>1560</v>
      </c>
      <c r="I69" s="2024">
        <v>2</v>
      </c>
      <c r="J69" s="2505">
        <v>1176</v>
      </c>
      <c r="K69" s="2505">
        <v>0</v>
      </c>
      <c r="L69" s="2505">
        <v>0</v>
      </c>
      <c r="M69" s="2505">
        <v>3528</v>
      </c>
      <c r="N69" s="2025">
        <v>3</v>
      </c>
      <c r="O69" s="2525" t="s">
        <v>1602</v>
      </c>
      <c r="P69" s="3272">
        <v>5842</v>
      </c>
      <c r="Q69" s="3331">
        <v>6236</v>
      </c>
      <c r="R69" s="3265">
        <v>0</v>
      </c>
      <c r="S69" s="3265">
        <v>0</v>
      </c>
      <c r="T69" s="3265">
        <v>900</v>
      </c>
      <c r="U69" s="3265">
        <v>0</v>
      </c>
      <c r="V69" s="3265">
        <v>6236</v>
      </c>
      <c r="W69" s="3265">
        <v>0</v>
      </c>
      <c r="X69" s="3265">
        <v>0</v>
      </c>
      <c r="Y69" s="3265">
        <v>0</v>
      </c>
      <c r="Z69" s="3265">
        <v>0</v>
      </c>
      <c r="AA69" s="3265">
        <v>0</v>
      </c>
      <c r="AB69" s="3265">
        <v>19214</v>
      </c>
      <c r="AC69" s="3265">
        <v>21240</v>
      </c>
      <c r="AD69" s="3265">
        <v>4</v>
      </c>
      <c r="AE69" s="3265">
        <v>0</v>
      </c>
      <c r="AF69" s="3265">
        <v>0</v>
      </c>
      <c r="AG69" s="3265">
        <v>0</v>
      </c>
      <c r="AH69" s="3265">
        <v>0</v>
      </c>
      <c r="AI69" s="3265">
        <v>0</v>
      </c>
      <c r="AJ69" s="3265">
        <v>0</v>
      </c>
      <c r="AK69" s="3265">
        <v>0</v>
      </c>
      <c r="AL69" s="3265">
        <v>0</v>
      </c>
      <c r="AM69" s="3275">
        <v>35</v>
      </c>
      <c r="AN69" s="3277" t="s">
        <v>741</v>
      </c>
      <c r="AO69" s="3279" t="s">
        <v>706</v>
      </c>
      <c r="AP69" s="3265" t="s">
        <v>1595</v>
      </c>
      <c r="AQ69" s="3265">
        <v>117368</v>
      </c>
      <c r="AR69" s="3331">
        <v>10697.4</v>
      </c>
      <c r="AS69" s="3331">
        <v>0</v>
      </c>
      <c r="AT69" s="3331">
        <v>0</v>
      </c>
      <c r="AU69" s="3331">
        <v>0</v>
      </c>
      <c r="AV69" s="3331">
        <v>0</v>
      </c>
      <c r="AW69" s="3331">
        <v>0</v>
      </c>
      <c r="AX69" s="3331">
        <v>0</v>
      </c>
      <c r="AY69" s="3331">
        <v>0</v>
      </c>
      <c r="AZ69" s="3331">
        <v>0</v>
      </c>
      <c r="BA69" s="3331">
        <v>0</v>
      </c>
      <c r="BB69" s="3331">
        <v>0</v>
      </c>
      <c r="BC69" s="3331">
        <v>128065.4</v>
      </c>
      <c r="BD69" s="3331">
        <v>131219</v>
      </c>
      <c r="BE69" s="3331">
        <v>117</v>
      </c>
      <c r="BF69" s="3331">
        <v>59</v>
      </c>
      <c r="BG69" s="3331">
        <v>24</v>
      </c>
      <c r="BH69" s="3331">
        <v>0</v>
      </c>
      <c r="BI69" s="3331">
        <v>11</v>
      </c>
      <c r="BJ69" s="3331">
        <v>0</v>
      </c>
      <c r="BK69" s="3331">
        <v>0</v>
      </c>
      <c r="BL69" s="3331">
        <v>0</v>
      </c>
      <c r="BM69" s="3331">
        <v>0</v>
      </c>
      <c r="BN69" s="3331">
        <v>0</v>
      </c>
      <c r="BO69" s="3331">
        <v>35</v>
      </c>
      <c r="BP69" s="3331">
        <v>145</v>
      </c>
      <c r="BQ69" s="3388">
        <v>111526</v>
      </c>
      <c r="BR69" s="3340">
        <v>4461.3999999999996</v>
      </c>
      <c r="BS69" s="3340">
        <v>0</v>
      </c>
      <c r="BT69" s="3340">
        <v>0</v>
      </c>
      <c r="BU69" s="3340">
        <v>-900</v>
      </c>
      <c r="BV69" s="3340">
        <v>0</v>
      </c>
      <c r="BW69" s="3340">
        <v>-6236</v>
      </c>
      <c r="BX69" s="3340">
        <v>0</v>
      </c>
      <c r="BY69" s="3340">
        <v>0</v>
      </c>
      <c r="BZ69" s="3340">
        <v>0</v>
      </c>
      <c r="CA69" s="3340">
        <v>0</v>
      </c>
      <c r="CB69" s="3343">
        <v>0</v>
      </c>
      <c r="CC69" s="3341">
        <v>108851.4</v>
      </c>
      <c r="CD69" s="3341">
        <v>-2674.6000000000004</v>
      </c>
      <c r="CE69" s="3341">
        <v>113</v>
      </c>
      <c r="CF69" s="3341">
        <v>59</v>
      </c>
      <c r="CG69" s="3341">
        <v>24</v>
      </c>
      <c r="CH69" s="3341">
        <v>0</v>
      </c>
      <c r="CI69" s="3341">
        <v>11</v>
      </c>
      <c r="CJ69" s="3341">
        <v>0</v>
      </c>
      <c r="CK69" s="3341">
        <v>0</v>
      </c>
      <c r="CL69" s="3341">
        <v>0</v>
      </c>
      <c r="CM69" s="3343">
        <v>0</v>
      </c>
    </row>
    <row r="70" spans="1:91">
      <c r="A70" s="3313"/>
      <c r="B70" s="2551" t="str">
        <f t="shared" ref="B70:B133" si="1">IF(E70="",,3&amp;IF(LEN($D70)=1,"0000"&amp;$D70,IF(LEN($D70)=2,"000"&amp;$D70,IF(LEN($D70)=3,"00"&amp;$D70,IF(LEN($D70)=4,"0"&amp;$D70,IF(LEN($D70)=5,$D70,0)))))&amp;IF(LEN(E70)=1,"000"&amp;E70,IF(LEN(E70)=2,"00"&amp;E70,IF(LEN(E70)=3,"0"&amp;E70,IF(LEN(E70)=4,E70,0)))))</f>
        <v>3039550046</v>
      </c>
      <c r="C70" s="2492" t="s">
        <v>710</v>
      </c>
      <c r="D70" s="2026">
        <v>3955</v>
      </c>
      <c r="E70" s="2026">
        <v>46</v>
      </c>
      <c r="F70" s="2027">
        <v>2835</v>
      </c>
      <c r="G70" s="2497" t="s">
        <v>1566</v>
      </c>
      <c r="H70" s="2026" t="s">
        <v>1560</v>
      </c>
      <c r="I70" s="2028">
        <v>2</v>
      </c>
      <c r="J70" s="2500">
        <v>0</v>
      </c>
      <c r="K70" s="2500">
        <v>0</v>
      </c>
      <c r="L70" s="2500">
        <v>0</v>
      </c>
      <c r="M70" s="2500">
        <v>2640</v>
      </c>
      <c r="N70" s="2029">
        <v>2</v>
      </c>
      <c r="O70" s="2054" t="s">
        <v>1578</v>
      </c>
      <c r="P70" s="3273"/>
      <c r="Q70" s="3385"/>
      <c r="R70" s="3713"/>
      <c r="S70" s="3713"/>
      <c r="T70" s="3713"/>
      <c r="U70" s="3713"/>
      <c r="V70" s="3713"/>
      <c r="W70" s="3713"/>
      <c r="X70" s="3713"/>
      <c r="Y70" s="3713"/>
      <c r="Z70" s="3713"/>
      <c r="AA70" s="3713"/>
      <c r="AB70" s="3274"/>
      <c r="AC70" s="3274"/>
      <c r="AD70" s="3274"/>
      <c r="AE70" s="3274"/>
      <c r="AF70" s="3274"/>
      <c r="AG70" s="3274"/>
      <c r="AH70" s="3274"/>
      <c r="AI70" s="3274"/>
      <c r="AJ70" s="3274"/>
      <c r="AK70" s="3274"/>
      <c r="AL70" s="3274"/>
      <c r="AM70" s="3276"/>
      <c r="AN70" s="3278"/>
      <c r="AO70" s="3280"/>
      <c r="AP70" s="3274"/>
      <c r="AQ70" s="3274"/>
      <c r="AR70" s="3340"/>
      <c r="AS70" s="3340"/>
      <c r="AT70" s="3340"/>
      <c r="AU70" s="3340"/>
      <c r="AV70" s="3340"/>
      <c r="AW70" s="3340"/>
      <c r="AX70" s="3340"/>
      <c r="AY70" s="3340"/>
      <c r="AZ70" s="3340"/>
      <c r="BA70" s="3340"/>
      <c r="BB70" s="3340"/>
      <c r="BC70" s="3340"/>
      <c r="BD70" s="3340"/>
      <c r="BE70" s="3340"/>
      <c r="BF70" s="3340"/>
      <c r="BG70" s="3340"/>
      <c r="BH70" s="3340"/>
      <c r="BI70" s="3340"/>
      <c r="BJ70" s="3340"/>
      <c r="BK70" s="3340"/>
      <c r="BL70" s="3340"/>
      <c r="BM70" s="3340"/>
      <c r="BN70" s="3340"/>
      <c r="BO70" s="3340"/>
      <c r="BP70" s="3340"/>
      <c r="BQ70" s="3387"/>
      <c r="BR70" s="3385"/>
      <c r="BS70" s="3385"/>
      <c r="BT70" s="3385"/>
      <c r="BU70" s="3385"/>
      <c r="BV70" s="3385"/>
      <c r="BW70" s="3385"/>
      <c r="BX70" s="3385"/>
      <c r="BY70" s="3385"/>
      <c r="BZ70" s="3385"/>
      <c r="CA70" s="3385"/>
      <c r="CB70" s="3386"/>
      <c r="CC70" s="3384"/>
      <c r="CD70" s="3384"/>
      <c r="CE70" s="3384"/>
      <c r="CF70" s="3384"/>
      <c r="CG70" s="3384"/>
      <c r="CH70" s="3384"/>
      <c r="CI70" s="3384"/>
      <c r="CJ70" s="3384"/>
      <c r="CK70" s="3384"/>
      <c r="CL70" s="3384"/>
      <c r="CM70" s="3386"/>
    </row>
    <row r="71" spans="1:91">
      <c r="A71" s="3313"/>
      <c r="B71" s="2551" t="str">
        <f t="shared" si="1"/>
        <v>3039550047</v>
      </c>
      <c r="C71" s="2492" t="s">
        <v>721</v>
      </c>
      <c r="D71" s="2026">
        <v>3955</v>
      </c>
      <c r="E71" s="2026">
        <v>47</v>
      </c>
      <c r="F71" s="2027">
        <v>2698</v>
      </c>
      <c r="G71" s="2497" t="s">
        <v>1566</v>
      </c>
      <c r="H71" s="2026" t="s">
        <v>1560</v>
      </c>
      <c r="I71" s="2028">
        <v>2</v>
      </c>
      <c r="J71" s="2500">
        <v>850</v>
      </c>
      <c r="K71" s="2500">
        <v>0</v>
      </c>
      <c r="L71" s="2500">
        <v>0</v>
      </c>
      <c r="M71" s="2500">
        <v>1700</v>
      </c>
      <c r="N71" s="2029">
        <v>1</v>
      </c>
      <c r="O71" s="2054" t="s">
        <v>1600</v>
      </c>
      <c r="P71" s="3273"/>
      <c r="Q71" s="3385"/>
      <c r="R71" s="3713"/>
      <c r="S71" s="3713"/>
      <c r="T71" s="3713"/>
      <c r="U71" s="3713"/>
      <c r="V71" s="3713"/>
      <c r="W71" s="3713"/>
      <c r="X71" s="3713"/>
      <c r="Y71" s="3713"/>
      <c r="Z71" s="3713"/>
      <c r="AA71" s="3713"/>
      <c r="AB71" s="3274"/>
      <c r="AC71" s="3274"/>
      <c r="AD71" s="3274"/>
      <c r="AE71" s="3274"/>
      <c r="AF71" s="3274"/>
      <c r="AG71" s="3274"/>
      <c r="AH71" s="3274"/>
      <c r="AI71" s="3274"/>
      <c r="AJ71" s="3274"/>
      <c r="AK71" s="3274"/>
      <c r="AL71" s="3274"/>
      <c r="AM71" s="3276"/>
      <c r="AN71" s="3278"/>
      <c r="AO71" s="3280"/>
      <c r="AP71" s="3274"/>
      <c r="AQ71" s="3274"/>
      <c r="AR71" s="3340"/>
      <c r="AS71" s="3340"/>
      <c r="AT71" s="3340"/>
      <c r="AU71" s="3340"/>
      <c r="AV71" s="3340"/>
      <c r="AW71" s="3340"/>
      <c r="AX71" s="3340"/>
      <c r="AY71" s="3340"/>
      <c r="AZ71" s="3340"/>
      <c r="BA71" s="3340"/>
      <c r="BB71" s="3340"/>
      <c r="BC71" s="3340"/>
      <c r="BD71" s="3340"/>
      <c r="BE71" s="3340"/>
      <c r="BF71" s="3340"/>
      <c r="BG71" s="3340"/>
      <c r="BH71" s="3340"/>
      <c r="BI71" s="3340"/>
      <c r="BJ71" s="3340"/>
      <c r="BK71" s="3340"/>
      <c r="BL71" s="3340"/>
      <c r="BM71" s="3340"/>
      <c r="BN71" s="3340"/>
      <c r="BO71" s="3340"/>
      <c r="BP71" s="3340"/>
      <c r="BQ71" s="3387"/>
      <c r="BR71" s="3385"/>
      <c r="BS71" s="3385"/>
      <c r="BT71" s="3385"/>
      <c r="BU71" s="3385"/>
      <c r="BV71" s="3385"/>
      <c r="BW71" s="3385"/>
      <c r="BX71" s="3385"/>
      <c r="BY71" s="3385"/>
      <c r="BZ71" s="3385"/>
      <c r="CA71" s="3385"/>
      <c r="CB71" s="3386"/>
      <c r="CC71" s="3384"/>
      <c r="CD71" s="3384"/>
      <c r="CE71" s="3384"/>
      <c r="CF71" s="3384"/>
      <c r="CG71" s="3384"/>
      <c r="CH71" s="3384"/>
      <c r="CI71" s="3384"/>
      <c r="CJ71" s="3384"/>
      <c r="CK71" s="3384"/>
      <c r="CL71" s="3384"/>
      <c r="CM71" s="3386"/>
    </row>
    <row r="72" spans="1:91">
      <c r="A72" s="3313"/>
      <c r="B72" s="2551" t="str">
        <f t="shared" si="1"/>
        <v>3039550048</v>
      </c>
      <c r="C72" s="2492" t="s">
        <v>724</v>
      </c>
      <c r="D72" s="2026">
        <v>3955</v>
      </c>
      <c r="E72" s="2026">
        <v>48</v>
      </c>
      <c r="F72" s="2027">
        <v>1469</v>
      </c>
      <c r="G72" s="2497" t="s">
        <v>1566</v>
      </c>
      <c r="H72" s="2026" t="s">
        <v>1560</v>
      </c>
      <c r="I72" s="2028">
        <v>2</v>
      </c>
      <c r="J72" s="2500">
        <v>0</v>
      </c>
      <c r="K72" s="2500">
        <v>0</v>
      </c>
      <c r="L72" s="2500">
        <v>0</v>
      </c>
      <c r="M72" s="2500">
        <v>0</v>
      </c>
      <c r="N72" s="2029">
        <v>0</v>
      </c>
      <c r="O72" s="2054" t="s">
        <v>1579</v>
      </c>
      <c r="P72" s="3273"/>
      <c r="Q72" s="3385"/>
      <c r="R72" s="3713"/>
      <c r="S72" s="3713"/>
      <c r="T72" s="3713"/>
      <c r="U72" s="3713"/>
      <c r="V72" s="3713"/>
      <c r="W72" s="3713"/>
      <c r="X72" s="3713"/>
      <c r="Y72" s="3713"/>
      <c r="Z72" s="3713"/>
      <c r="AA72" s="3713"/>
      <c r="AB72" s="3274"/>
      <c r="AC72" s="3274"/>
      <c r="AD72" s="3274"/>
      <c r="AE72" s="3274"/>
      <c r="AF72" s="3274"/>
      <c r="AG72" s="3274"/>
      <c r="AH72" s="3274"/>
      <c r="AI72" s="3274"/>
      <c r="AJ72" s="3274"/>
      <c r="AK72" s="3274"/>
      <c r="AL72" s="3274"/>
      <c r="AM72" s="3276"/>
      <c r="AN72" s="3278"/>
      <c r="AO72" s="3280"/>
      <c r="AP72" s="3274"/>
      <c r="AQ72" s="3274"/>
      <c r="AR72" s="3340"/>
      <c r="AS72" s="3340"/>
      <c r="AT72" s="3340"/>
      <c r="AU72" s="3340"/>
      <c r="AV72" s="3340"/>
      <c r="AW72" s="3340"/>
      <c r="AX72" s="3340"/>
      <c r="AY72" s="3340"/>
      <c r="AZ72" s="3340"/>
      <c r="BA72" s="3340"/>
      <c r="BB72" s="3340"/>
      <c r="BC72" s="3340"/>
      <c r="BD72" s="3340"/>
      <c r="BE72" s="3340"/>
      <c r="BF72" s="3340"/>
      <c r="BG72" s="3340"/>
      <c r="BH72" s="3340"/>
      <c r="BI72" s="3340"/>
      <c r="BJ72" s="3340"/>
      <c r="BK72" s="3340"/>
      <c r="BL72" s="3340"/>
      <c r="BM72" s="3340"/>
      <c r="BN72" s="3340"/>
      <c r="BO72" s="3340"/>
      <c r="BP72" s="3340"/>
      <c r="BQ72" s="3387"/>
      <c r="BR72" s="3385"/>
      <c r="BS72" s="3385"/>
      <c r="BT72" s="3385"/>
      <c r="BU72" s="3385"/>
      <c r="BV72" s="3385"/>
      <c r="BW72" s="3385"/>
      <c r="BX72" s="3385"/>
      <c r="BY72" s="3385"/>
      <c r="BZ72" s="3385"/>
      <c r="CA72" s="3385"/>
      <c r="CB72" s="3386"/>
      <c r="CC72" s="3384"/>
      <c r="CD72" s="3384"/>
      <c r="CE72" s="3384"/>
      <c r="CF72" s="3384"/>
      <c r="CG72" s="3384"/>
      <c r="CH72" s="3384"/>
      <c r="CI72" s="3384"/>
      <c r="CJ72" s="3384"/>
      <c r="CK72" s="3384"/>
      <c r="CL72" s="3384"/>
      <c r="CM72" s="3386"/>
    </row>
    <row r="73" spans="1:91">
      <c r="A73" s="3313"/>
      <c r="B73" s="2551" t="str">
        <f t="shared" si="1"/>
        <v>3039550049</v>
      </c>
      <c r="C73" s="2492" t="s">
        <v>746</v>
      </c>
      <c r="D73" s="2026">
        <v>3955</v>
      </c>
      <c r="E73" s="2026">
        <v>49</v>
      </c>
      <c r="F73" s="2027">
        <v>2506</v>
      </c>
      <c r="G73" s="2497" t="s">
        <v>1566</v>
      </c>
      <c r="H73" s="2026" t="s">
        <v>1560</v>
      </c>
      <c r="I73" s="2028">
        <v>2</v>
      </c>
      <c r="J73" s="2500">
        <v>0</v>
      </c>
      <c r="K73" s="2500">
        <v>0</v>
      </c>
      <c r="L73" s="2500">
        <v>0</v>
      </c>
      <c r="M73" s="2500">
        <v>0</v>
      </c>
      <c r="N73" s="2029">
        <v>0</v>
      </c>
      <c r="O73" s="2054" t="s">
        <v>1579</v>
      </c>
      <c r="P73" s="3273"/>
      <c r="Q73" s="3385"/>
      <c r="R73" s="3713"/>
      <c r="S73" s="3713"/>
      <c r="T73" s="3713"/>
      <c r="U73" s="3713"/>
      <c r="V73" s="3713"/>
      <c r="W73" s="3713"/>
      <c r="X73" s="3713"/>
      <c r="Y73" s="3713"/>
      <c r="Z73" s="3713"/>
      <c r="AA73" s="3713"/>
      <c r="AB73" s="3274"/>
      <c r="AC73" s="3274"/>
      <c r="AD73" s="3274"/>
      <c r="AE73" s="3274"/>
      <c r="AF73" s="3274"/>
      <c r="AG73" s="3274"/>
      <c r="AH73" s="3274"/>
      <c r="AI73" s="3274"/>
      <c r="AJ73" s="3274"/>
      <c r="AK73" s="3274"/>
      <c r="AL73" s="3274"/>
      <c r="AM73" s="3276"/>
      <c r="AN73" s="3278"/>
      <c r="AO73" s="3280"/>
      <c r="AP73" s="3274"/>
      <c r="AQ73" s="3274"/>
      <c r="AR73" s="3340"/>
      <c r="AS73" s="3340"/>
      <c r="AT73" s="3340"/>
      <c r="AU73" s="3340"/>
      <c r="AV73" s="3340"/>
      <c r="AW73" s="3340"/>
      <c r="AX73" s="3340"/>
      <c r="AY73" s="3340"/>
      <c r="AZ73" s="3340"/>
      <c r="BA73" s="3340"/>
      <c r="BB73" s="3340"/>
      <c r="BC73" s="3340"/>
      <c r="BD73" s="3340"/>
      <c r="BE73" s="3340"/>
      <c r="BF73" s="3340"/>
      <c r="BG73" s="3340"/>
      <c r="BH73" s="3340"/>
      <c r="BI73" s="3340"/>
      <c r="BJ73" s="3340"/>
      <c r="BK73" s="3340"/>
      <c r="BL73" s="3340"/>
      <c r="BM73" s="3340"/>
      <c r="BN73" s="3340"/>
      <c r="BO73" s="3340"/>
      <c r="BP73" s="3340"/>
      <c r="BQ73" s="3387"/>
      <c r="BR73" s="3385"/>
      <c r="BS73" s="3385"/>
      <c r="BT73" s="3385"/>
      <c r="BU73" s="3385"/>
      <c r="BV73" s="3385"/>
      <c r="BW73" s="3385"/>
      <c r="BX73" s="3385"/>
      <c r="BY73" s="3385"/>
      <c r="BZ73" s="3385"/>
      <c r="CA73" s="3385"/>
      <c r="CB73" s="3386"/>
      <c r="CC73" s="3384"/>
      <c r="CD73" s="3384"/>
      <c r="CE73" s="3384"/>
      <c r="CF73" s="3384"/>
      <c r="CG73" s="3384"/>
      <c r="CH73" s="3384"/>
      <c r="CI73" s="3384"/>
      <c r="CJ73" s="3384"/>
      <c r="CK73" s="3384"/>
      <c r="CL73" s="3384"/>
      <c r="CM73" s="3386"/>
    </row>
    <row r="74" spans="1:91">
      <c r="A74" s="3313"/>
      <c r="B74" s="2551" t="str">
        <f t="shared" si="1"/>
        <v>3039550052</v>
      </c>
      <c r="C74" s="2492" t="s">
        <v>879</v>
      </c>
      <c r="D74" s="2026">
        <v>3955</v>
      </c>
      <c r="E74" s="2026">
        <v>52</v>
      </c>
      <c r="F74" s="2027">
        <v>4246</v>
      </c>
      <c r="G74" s="2497" t="s">
        <v>1566</v>
      </c>
      <c r="H74" s="2026" t="s">
        <v>1560</v>
      </c>
      <c r="I74" s="2028">
        <v>2</v>
      </c>
      <c r="J74" s="2500">
        <v>0</v>
      </c>
      <c r="K74" s="2500">
        <v>0</v>
      </c>
      <c r="L74" s="2500">
        <v>0</v>
      </c>
      <c r="M74" s="2500">
        <v>0</v>
      </c>
      <c r="N74" s="2029">
        <v>0</v>
      </c>
      <c r="O74" s="2054" t="s">
        <v>1579</v>
      </c>
      <c r="P74" s="3273"/>
      <c r="Q74" s="3385"/>
      <c r="R74" s="3713"/>
      <c r="S74" s="3713"/>
      <c r="T74" s="3713"/>
      <c r="U74" s="3713"/>
      <c r="V74" s="3713"/>
      <c r="W74" s="3713"/>
      <c r="X74" s="3713"/>
      <c r="Y74" s="3713"/>
      <c r="Z74" s="3713"/>
      <c r="AA74" s="3713"/>
      <c r="AB74" s="3274"/>
      <c r="AC74" s="3274"/>
      <c r="AD74" s="3274"/>
      <c r="AE74" s="3274"/>
      <c r="AF74" s="3274"/>
      <c r="AG74" s="3274"/>
      <c r="AH74" s="3274"/>
      <c r="AI74" s="3274"/>
      <c r="AJ74" s="3274"/>
      <c r="AK74" s="3274"/>
      <c r="AL74" s="3274"/>
      <c r="AM74" s="3276"/>
      <c r="AN74" s="3278"/>
      <c r="AO74" s="3280"/>
      <c r="AP74" s="3274"/>
      <c r="AQ74" s="3274"/>
      <c r="AR74" s="3340"/>
      <c r="AS74" s="3340"/>
      <c r="AT74" s="3340"/>
      <c r="AU74" s="3340"/>
      <c r="AV74" s="3340"/>
      <c r="AW74" s="3340"/>
      <c r="AX74" s="3340"/>
      <c r="AY74" s="3340"/>
      <c r="AZ74" s="3340"/>
      <c r="BA74" s="3340"/>
      <c r="BB74" s="3340"/>
      <c r="BC74" s="3340"/>
      <c r="BD74" s="3340"/>
      <c r="BE74" s="3340"/>
      <c r="BF74" s="3340"/>
      <c r="BG74" s="3340"/>
      <c r="BH74" s="3340"/>
      <c r="BI74" s="3340"/>
      <c r="BJ74" s="3340"/>
      <c r="BK74" s="3340"/>
      <c r="BL74" s="3340"/>
      <c r="BM74" s="3340"/>
      <c r="BN74" s="3340"/>
      <c r="BO74" s="3340"/>
      <c r="BP74" s="3340"/>
      <c r="BQ74" s="3387"/>
      <c r="BR74" s="3385"/>
      <c r="BS74" s="3385"/>
      <c r="BT74" s="3385"/>
      <c r="BU74" s="3385"/>
      <c r="BV74" s="3385"/>
      <c r="BW74" s="3385"/>
      <c r="BX74" s="3385"/>
      <c r="BY74" s="3385"/>
      <c r="BZ74" s="3385"/>
      <c r="CA74" s="3385"/>
      <c r="CB74" s="3386"/>
      <c r="CC74" s="3384"/>
      <c r="CD74" s="3384"/>
      <c r="CE74" s="3384"/>
      <c r="CF74" s="3384"/>
      <c r="CG74" s="3384"/>
      <c r="CH74" s="3384"/>
      <c r="CI74" s="3384"/>
      <c r="CJ74" s="3384"/>
      <c r="CK74" s="3384"/>
      <c r="CL74" s="3384"/>
      <c r="CM74" s="3386"/>
    </row>
    <row r="75" spans="1:91" ht="15.75" thickBot="1">
      <c r="A75" s="3283"/>
      <c r="B75" s="2551" t="str">
        <f t="shared" si="1"/>
        <v>3039550053</v>
      </c>
      <c r="C75" s="2493" t="s">
        <v>880</v>
      </c>
      <c r="D75" s="2018">
        <v>3955</v>
      </c>
      <c r="E75" s="2018">
        <v>53</v>
      </c>
      <c r="F75" s="2019">
        <v>1458</v>
      </c>
      <c r="G75" s="2498" t="s">
        <v>1566</v>
      </c>
      <c r="H75" s="2018" t="s">
        <v>1560</v>
      </c>
      <c r="I75" s="2020">
        <v>2</v>
      </c>
      <c r="J75" s="2501">
        <v>0</v>
      </c>
      <c r="K75" s="2501">
        <v>900</v>
      </c>
      <c r="L75" s="2501">
        <v>0</v>
      </c>
      <c r="M75" s="2501">
        <v>900</v>
      </c>
      <c r="N75" s="2508">
        <v>0</v>
      </c>
      <c r="O75" s="2055" t="s">
        <v>1572</v>
      </c>
      <c r="P75" s="3359"/>
      <c r="Q75" s="3375"/>
      <c r="R75" s="3363"/>
      <c r="S75" s="3363"/>
      <c r="T75" s="3363"/>
      <c r="U75" s="3363"/>
      <c r="V75" s="3363"/>
      <c r="W75" s="3363"/>
      <c r="X75" s="3363"/>
      <c r="Y75" s="3363"/>
      <c r="Z75" s="3363"/>
      <c r="AA75" s="3363"/>
      <c r="AB75" s="3361"/>
      <c r="AC75" s="3361"/>
      <c r="AD75" s="3361"/>
      <c r="AE75" s="3361"/>
      <c r="AF75" s="3361"/>
      <c r="AG75" s="3361"/>
      <c r="AH75" s="3361"/>
      <c r="AI75" s="3361"/>
      <c r="AJ75" s="3361"/>
      <c r="AK75" s="3361"/>
      <c r="AL75" s="3361"/>
      <c r="AM75" s="3365"/>
      <c r="AN75" s="3338"/>
      <c r="AO75" s="3339"/>
      <c r="AP75" s="3361"/>
      <c r="AQ75" s="3361"/>
      <c r="AR75" s="3332"/>
      <c r="AS75" s="3332"/>
      <c r="AT75" s="3332"/>
      <c r="AU75" s="3332"/>
      <c r="AV75" s="3332"/>
      <c r="AW75" s="3332"/>
      <c r="AX75" s="3332"/>
      <c r="AY75" s="3332"/>
      <c r="AZ75" s="3332"/>
      <c r="BA75" s="3332"/>
      <c r="BB75" s="3332"/>
      <c r="BC75" s="3332"/>
      <c r="BD75" s="3332"/>
      <c r="BE75" s="3332"/>
      <c r="BF75" s="3332"/>
      <c r="BG75" s="3332"/>
      <c r="BH75" s="3332"/>
      <c r="BI75" s="3332"/>
      <c r="BJ75" s="3332"/>
      <c r="BK75" s="3332"/>
      <c r="BL75" s="3332"/>
      <c r="BM75" s="3332"/>
      <c r="BN75" s="3332"/>
      <c r="BO75" s="3332"/>
      <c r="BP75" s="3332"/>
      <c r="BQ75" s="3357"/>
      <c r="BR75" s="3375"/>
      <c r="BS75" s="3375"/>
      <c r="BT75" s="3375"/>
      <c r="BU75" s="3375"/>
      <c r="BV75" s="3375"/>
      <c r="BW75" s="3375"/>
      <c r="BX75" s="3375"/>
      <c r="BY75" s="3375"/>
      <c r="BZ75" s="3375"/>
      <c r="CA75" s="3375"/>
      <c r="CB75" s="3371"/>
      <c r="CC75" s="3373"/>
      <c r="CD75" s="3373"/>
      <c r="CE75" s="3373"/>
      <c r="CF75" s="3373"/>
      <c r="CG75" s="3373"/>
      <c r="CH75" s="3373"/>
      <c r="CI75" s="3373"/>
      <c r="CJ75" s="3373"/>
      <c r="CK75" s="3373"/>
      <c r="CL75" s="3373"/>
      <c r="CM75" s="3371"/>
    </row>
    <row r="76" spans="1:91">
      <c r="A76" s="3282">
        <v>28</v>
      </c>
      <c r="B76" s="2551" t="str">
        <f t="shared" si="1"/>
        <v>3039570049</v>
      </c>
      <c r="C76" s="2010" t="s">
        <v>703</v>
      </c>
      <c r="D76" s="2011">
        <v>3957</v>
      </c>
      <c r="E76" s="2011">
        <v>49</v>
      </c>
      <c r="F76" s="2494">
        <v>8273</v>
      </c>
      <c r="G76" s="2496" t="s">
        <v>947</v>
      </c>
      <c r="H76" s="2011" t="s">
        <v>1560</v>
      </c>
      <c r="I76" s="2012">
        <v>1</v>
      </c>
      <c r="J76" s="2491">
        <v>0</v>
      </c>
      <c r="K76" s="2491">
        <v>3576</v>
      </c>
      <c r="L76" s="2491">
        <v>0</v>
      </c>
      <c r="M76" s="2491">
        <v>3576</v>
      </c>
      <c r="N76" s="2489">
        <v>0</v>
      </c>
      <c r="O76" s="2525" t="s">
        <v>1572</v>
      </c>
      <c r="P76" s="3272">
        <v>0</v>
      </c>
      <c r="Q76" s="3265">
        <v>3900</v>
      </c>
      <c r="R76" s="3265">
        <v>0</v>
      </c>
      <c r="S76" s="3265">
        <v>0</v>
      </c>
      <c r="T76" s="3265">
        <v>3576</v>
      </c>
      <c r="U76" s="3265">
        <v>0</v>
      </c>
      <c r="V76" s="3265">
        <v>900</v>
      </c>
      <c r="W76" s="3265">
        <v>920</v>
      </c>
      <c r="X76" s="3265">
        <v>0</v>
      </c>
      <c r="Y76" s="3265">
        <v>0</v>
      </c>
      <c r="Z76" s="3265">
        <v>0</v>
      </c>
      <c r="AA76" s="3265">
        <v>0</v>
      </c>
      <c r="AB76" s="3265">
        <v>9296</v>
      </c>
      <c r="AC76" s="3265">
        <v>9296</v>
      </c>
      <c r="AD76" s="3265">
        <v>0</v>
      </c>
      <c r="AE76" s="3265">
        <v>0</v>
      </c>
      <c r="AF76" s="3265">
        <v>0</v>
      </c>
      <c r="AG76" s="3265">
        <v>0</v>
      </c>
      <c r="AH76" s="3265">
        <v>0</v>
      </c>
      <c r="AI76" s="3265">
        <v>0</v>
      </c>
      <c r="AJ76" s="3265">
        <v>0</v>
      </c>
      <c r="AK76" s="3265">
        <v>0</v>
      </c>
      <c r="AL76" s="3265">
        <v>0</v>
      </c>
      <c r="AM76" s="3275">
        <v>25</v>
      </c>
      <c r="AN76" s="3277" t="s">
        <v>741</v>
      </c>
      <c r="AO76" s="3279" t="s">
        <v>706</v>
      </c>
      <c r="AP76" s="3265" t="s">
        <v>1595</v>
      </c>
      <c r="AQ76" s="3265">
        <v>84865</v>
      </c>
      <c r="AR76" s="3331">
        <v>9346.5</v>
      </c>
      <c r="AS76" s="3331">
        <v>0</v>
      </c>
      <c r="AT76" s="3331">
        <v>0</v>
      </c>
      <c r="AU76" s="3331">
        <v>0</v>
      </c>
      <c r="AV76" s="3331">
        <v>0</v>
      </c>
      <c r="AW76" s="3331">
        <v>0</v>
      </c>
      <c r="AX76" s="3331">
        <v>0</v>
      </c>
      <c r="AY76" s="3331">
        <v>0</v>
      </c>
      <c r="AZ76" s="3331">
        <v>0</v>
      </c>
      <c r="BA76" s="3331">
        <v>0</v>
      </c>
      <c r="BB76" s="3331">
        <v>0</v>
      </c>
      <c r="BC76" s="3331">
        <v>94211.5</v>
      </c>
      <c r="BD76" s="3331">
        <v>96150</v>
      </c>
      <c r="BE76" s="3331">
        <v>84</v>
      </c>
      <c r="BF76" s="3331">
        <v>42</v>
      </c>
      <c r="BG76" s="3331">
        <v>17</v>
      </c>
      <c r="BH76" s="3331">
        <v>0</v>
      </c>
      <c r="BI76" s="3331">
        <v>9</v>
      </c>
      <c r="BJ76" s="3331">
        <v>0</v>
      </c>
      <c r="BK76" s="3331">
        <v>0</v>
      </c>
      <c r="BL76" s="3331">
        <v>0</v>
      </c>
      <c r="BM76" s="3331">
        <v>0</v>
      </c>
      <c r="BN76" s="3331">
        <v>0</v>
      </c>
      <c r="BO76" s="3331">
        <v>26</v>
      </c>
      <c r="BP76" s="3331">
        <v>145</v>
      </c>
      <c r="BQ76" s="3379">
        <v>84865</v>
      </c>
      <c r="BR76" s="3331">
        <v>5446.5</v>
      </c>
      <c r="BS76" s="3331">
        <v>0</v>
      </c>
      <c r="BT76" s="3331">
        <v>0</v>
      </c>
      <c r="BU76" s="3331">
        <v>-3576</v>
      </c>
      <c r="BV76" s="3331">
        <v>0</v>
      </c>
      <c r="BW76" s="3331">
        <v>-900</v>
      </c>
      <c r="BX76" s="3331">
        <v>-920</v>
      </c>
      <c r="BY76" s="3331">
        <v>0</v>
      </c>
      <c r="BZ76" s="3331">
        <v>0</v>
      </c>
      <c r="CA76" s="3331">
        <v>0</v>
      </c>
      <c r="CB76" s="3345">
        <v>0</v>
      </c>
      <c r="CC76" s="3346">
        <v>84915.5</v>
      </c>
      <c r="CD76" s="3346">
        <v>50.5</v>
      </c>
      <c r="CE76" s="3346">
        <v>84</v>
      </c>
      <c r="CF76" s="3346">
        <v>42</v>
      </c>
      <c r="CG76" s="3346">
        <v>17</v>
      </c>
      <c r="CH76" s="3346">
        <v>0</v>
      </c>
      <c r="CI76" s="3346">
        <v>9</v>
      </c>
      <c r="CJ76" s="3346">
        <v>0</v>
      </c>
      <c r="CK76" s="3346">
        <v>0</v>
      </c>
      <c r="CL76" s="3346">
        <v>0</v>
      </c>
      <c r="CM76" s="3345">
        <v>0</v>
      </c>
    </row>
    <row r="77" spans="1:91" ht="15.75" thickBot="1">
      <c r="A77" s="3380"/>
      <c r="B77" s="2551" t="str">
        <f t="shared" si="1"/>
        <v>3039570053</v>
      </c>
      <c r="C77" s="2468" t="s">
        <v>710</v>
      </c>
      <c r="D77" s="2014">
        <v>3957</v>
      </c>
      <c r="E77" s="2014">
        <v>53</v>
      </c>
      <c r="F77" s="2038">
        <v>4812</v>
      </c>
      <c r="G77" s="2133" t="s">
        <v>947</v>
      </c>
      <c r="H77" s="2014" t="s">
        <v>1560</v>
      </c>
      <c r="I77" s="2016">
        <v>1</v>
      </c>
      <c r="J77" s="2538">
        <v>0</v>
      </c>
      <c r="K77" s="2538">
        <v>4820</v>
      </c>
      <c r="L77" s="2538">
        <v>900</v>
      </c>
      <c r="M77" s="2538">
        <v>5720</v>
      </c>
      <c r="N77" s="2509">
        <v>0</v>
      </c>
      <c r="O77" s="2056" t="s">
        <v>1609</v>
      </c>
      <c r="P77" s="3359"/>
      <c r="Q77" s="3361"/>
      <c r="R77" s="3363"/>
      <c r="S77" s="3363"/>
      <c r="T77" s="3363"/>
      <c r="U77" s="3363"/>
      <c r="V77" s="3363"/>
      <c r="W77" s="3363"/>
      <c r="X77" s="3363"/>
      <c r="Y77" s="3363"/>
      <c r="Z77" s="3363"/>
      <c r="AA77" s="3363"/>
      <c r="AB77" s="3361"/>
      <c r="AC77" s="3361"/>
      <c r="AD77" s="3361"/>
      <c r="AE77" s="3361"/>
      <c r="AF77" s="3361"/>
      <c r="AG77" s="3361"/>
      <c r="AH77" s="3361"/>
      <c r="AI77" s="3361"/>
      <c r="AJ77" s="3361"/>
      <c r="AK77" s="3361"/>
      <c r="AL77" s="3361"/>
      <c r="AM77" s="3365"/>
      <c r="AN77" s="3338"/>
      <c r="AO77" s="3339"/>
      <c r="AP77" s="3361"/>
      <c r="AQ77" s="3361"/>
      <c r="AR77" s="3332"/>
      <c r="AS77" s="3332"/>
      <c r="AT77" s="3332"/>
      <c r="AU77" s="3332"/>
      <c r="AV77" s="3332"/>
      <c r="AW77" s="3332"/>
      <c r="AX77" s="3332"/>
      <c r="AY77" s="3332"/>
      <c r="AZ77" s="3332"/>
      <c r="BA77" s="3332"/>
      <c r="BB77" s="3332"/>
      <c r="BC77" s="3332"/>
      <c r="BD77" s="3332"/>
      <c r="BE77" s="3332"/>
      <c r="BF77" s="3332"/>
      <c r="BG77" s="3332"/>
      <c r="BH77" s="3332"/>
      <c r="BI77" s="3332"/>
      <c r="BJ77" s="3332"/>
      <c r="BK77" s="3332"/>
      <c r="BL77" s="3332"/>
      <c r="BM77" s="3332"/>
      <c r="BN77" s="3332"/>
      <c r="BO77" s="3332"/>
      <c r="BP77" s="3332"/>
      <c r="BQ77" s="3387"/>
      <c r="BR77" s="3385"/>
      <c r="BS77" s="3385"/>
      <c r="BT77" s="3385"/>
      <c r="BU77" s="3385"/>
      <c r="BV77" s="3385"/>
      <c r="BW77" s="3385"/>
      <c r="BX77" s="3385"/>
      <c r="BY77" s="3385"/>
      <c r="BZ77" s="3385"/>
      <c r="CA77" s="3385"/>
      <c r="CB77" s="3386"/>
      <c r="CC77" s="3384"/>
      <c r="CD77" s="3384"/>
      <c r="CE77" s="3384"/>
      <c r="CF77" s="3384"/>
      <c r="CG77" s="3384"/>
      <c r="CH77" s="3384"/>
      <c r="CI77" s="3373"/>
      <c r="CJ77" s="3373"/>
      <c r="CK77" s="3373"/>
      <c r="CL77" s="3373"/>
      <c r="CM77" s="3371"/>
    </row>
    <row r="78" spans="1:91" ht="15.75" thickBot="1">
      <c r="A78" s="2051">
        <v>29</v>
      </c>
      <c r="B78" s="2551" t="str">
        <f t="shared" si="1"/>
        <v>3039580020</v>
      </c>
      <c r="C78" s="2044" t="s">
        <v>703</v>
      </c>
      <c r="D78" s="2045">
        <v>3958</v>
      </c>
      <c r="E78" s="2045">
        <v>20</v>
      </c>
      <c r="F78" s="2032">
        <v>9812</v>
      </c>
      <c r="G78" s="2046" t="s">
        <v>1079</v>
      </c>
      <c r="H78" s="2045" t="s">
        <v>1584</v>
      </c>
      <c r="I78" s="2047">
        <v>1.25</v>
      </c>
      <c r="J78" s="2533">
        <v>0</v>
      </c>
      <c r="K78" s="2533">
        <v>0</v>
      </c>
      <c r="L78" s="2533">
        <v>0</v>
      </c>
      <c r="M78" s="2533">
        <v>9812</v>
      </c>
      <c r="N78" s="2035">
        <v>0</v>
      </c>
      <c r="O78" s="2048" t="s">
        <v>1610</v>
      </c>
      <c r="P78" s="2049">
        <v>0</v>
      </c>
      <c r="Q78" s="2533">
        <v>0</v>
      </c>
      <c r="R78" s="2533">
        <v>0</v>
      </c>
      <c r="S78" s="2533">
        <v>0</v>
      </c>
      <c r="T78" s="2533">
        <v>0</v>
      </c>
      <c r="U78" s="2533">
        <v>0</v>
      </c>
      <c r="V78" s="2533">
        <v>0</v>
      </c>
      <c r="W78" s="2533">
        <v>0</v>
      </c>
      <c r="X78" s="2533">
        <v>0</v>
      </c>
      <c r="Y78" s="2533">
        <v>0</v>
      </c>
      <c r="Z78" s="2533">
        <v>0</v>
      </c>
      <c r="AA78" s="2533">
        <v>9812</v>
      </c>
      <c r="AB78" s="2533">
        <v>9812</v>
      </c>
      <c r="AC78" s="2533">
        <v>9812</v>
      </c>
      <c r="AD78" s="2533">
        <v>0</v>
      </c>
      <c r="AE78" s="2533">
        <v>0</v>
      </c>
      <c r="AF78" s="2533">
        <v>0</v>
      </c>
      <c r="AG78" s="2533">
        <v>0</v>
      </c>
      <c r="AH78" s="2533">
        <v>0</v>
      </c>
      <c r="AI78" s="2533">
        <v>0</v>
      </c>
      <c r="AJ78" s="2533">
        <v>0</v>
      </c>
      <c r="AK78" s="2533">
        <v>20</v>
      </c>
      <c r="AL78" s="2533">
        <v>20</v>
      </c>
      <c r="AM78" s="2032">
        <v>15</v>
      </c>
      <c r="AN78" s="2033" t="s">
        <v>1585</v>
      </c>
      <c r="AO78" s="2046" t="s">
        <v>706</v>
      </c>
      <c r="AP78" s="2533" t="s">
        <v>1599</v>
      </c>
      <c r="AQ78" s="2533">
        <v>26492</v>
      </c>
      <c r="AR78" s="2533">
        <v>8830.8000000000011</v>
      </c>
      <c r="AS78" s="2533">
        <v>0</v>
      </c>
      <c r="AT78" s="2533">
        <v>0</v>
      </c>
      <c r="AU78" s="2533">
        <v>0</v>
      </c>
      <c r="AV78" s="2533">
        <v>0</v>
      </c>
      <c r="AW78" s="2533">
        <v>0</v>
      </c>
      <c r="AX78" s="2533">
        <v>0</v>
      </c>
      <c r="AY78" s="2533">
        <v>0</v>
      </c>
      <c r="AZ78" s="2533">
        <v>0</v>
      </c>
      <c r="BA78" s="2533">
        <v>0</v>
      </c>
      <c r="BB78" s="2533">
        <v>0</v>
      </c>
      <c r="BC78" s="2533">
        <v>35322.800000000003</v>
      </c>
      <c r="BD78" s="2533">
        <v>36304</v>
      </c>
      <c r="BE78" s="2533">
        <v>26</v>
      </c>
      <c r="BF78" s="2533">
        <v>13</v>
      </c>
      <c r="BG78" s="2533">
        <v>7</v>
      </c>
      <c r="BH78" s="2533">
        <v>0</v>
      </c>
      <c r="BI78" s="2533">
        <v>9</v>
      </c>
      <c r="BJ78" s="2533">
        <v>0</v>
      </c>
      <c r="BK78" s="2533">
        <v>0</v>
      </c>
      <c r="BL78" s="2533">
        <v>0</v>
      </c>
      <c r="BM78" s="2533">
        <v>0</v>
      </c>
      <c r="BN78" s="2533">
        <v>0</v>
      </c>
      <c r="BO78" s="2533">
        <v>16</v>
      </c>
      <c r="BP78" s="2533">
        <v>85</v>
      </c>
      <c r="BQ78" s="2050">
        <v>26492</v>
      </c>
      <c r="BR78" s="2034">
        <v>8830.8000000000011</v>
      </c>
      <c r="BS78" s="2034">
        <v>0</v>
      </c>
      <c r="BT78" s="2034">
        <v>0</v>
      </c>
      <c r="BU78" s="2034">
        <v>0</v>
      </c>
      <c r="BV78" s="2034">
        <v>0</v>
      </c>
      <c r="BW78" s="2034">
        <v>0</v>
      </c>
      <c r="BX78" s="2034">
        <v>0</v>
      </c>
      <c r="BY78" s="2034">
        <v>0</v>
      </c>
      <c r="BZ78" s="2034">
        <v>0</v>
      </c>
      <c r="CA78" s="2034">
        <v>0</v>
      </c>
      <c r="CB78" s="2035">
        <v>-9812</v>
      </c>
      <c r="CC78" s="2042">
        <v>25510.800000000003</v>
      </c>
      <c r="CD78" s="2042">
        <v>8830.8000000000011</v>
      </c>
      <c r="CE78" s="2042">
        <v>26</v>
      </c>
      <c r="CF78" s="2042">
        <v>13</v>
      </c>
      <c r="CG78" s="2042">
        <v>7</v>
      </c>
      <c r="CH78" s="2042">
        <v>0</v>
      </c>
      <c r="CI78" s="2042">
        <v>9</v>
      </c>
      <c r="CJ78" s="2042">
        <v>0</v>
      </c>
      <c r="CK78" s="2042">
        <v>0</v>
      </c>
      <c r="CL78" s="2042">
        <v>0</v>
      </c>
      <c r="CM78" s="2035">
        <v>-20</v>
      </c>
    </row>
    <row r="79" spans="1:91" ht="15.75" thickBot="1">
      <c r="A79" s="2486">
        <v>30</v>
      </c>
      <c r="B79" s="2551" t="str">
        <f t="shared" si="1"/>
        <v>3039590018</v>
      </c>
      <c r="C79" s="2041" t="s">
        <v>703</v>
      </c>
      <c r="D79" s="2479">
        <v>3959</v>
      </c>
      <c r="E79" s="2479">
        <v>18</v>
      </c>
      <c r="F79" s="2482">
        <v>10140</v>
      </c>
      <c r="G79" s="2447" t="s">
        <v>1079</v>
      </c>
      <c r="H79" s="2479" t="s">
        <v>1584</v>
      </c>
      <c r="I79" s="2465">
        <v>1.25</v>
      </c>
      <c r="J79" s="2480">
        <v>0</v>
      </c>
      <c r="K79" s="2480">
        <v>10098</v>
      </c>
      <c r="L79" s="2480">
        <v>0</v>
      </c>
      <c r="M79" s="2480">
        <v>10098</v>
      </c>
      <c r="N79" s="2443">
        <v>0</v>
      </c>
      <c r="O79" s="2031" t="s">
        <v>1572</v>
      </c>
      <c r="P79" s="2487">
        <v>0</v>
      </c>
      <c r="Q79" s="2480">
        <v>0</v>
      </c>
      <c r="R79" s="2480">
        <v>0</v>
      </c>
      <c r="S79" s="2480">
        <v>0</v>
      </c>
      <c r="T79" s="2480">
        <v>10098</v>
      </c>
      <c r="U79" s="2480">
        <v>0</v>
      </c>
      <c r="V79" s="2480">
        <v>0</v>
      </c>
      <c r="W79" s="2480">
        <v>0</v>
      </c>
      <c r="X79" s="2480">
        <v>0</v>
      </c>
      <c r="Y79" s="2480">
        <v>0</v>
      </c>
      <c r="Z79" s="2480">
        <v>0</v>
      </c>
      <c r="AA79" s="2480">
        <v>0</v>
      </c>
      <c r="AB79" s="2480">
        <v>10098</v>
      </c>
      <c r="AC79" s="2480">
        <v>10098</v>
      </c>
      <c r="AD79" s="2480">
        <v>0</v>
      </c>
      <c r="AE79" s="2480">
        <v>0</v>
      </c>
      <c r="AF79" s="2480">
        <v>0</v>
      </c>
      <c r="AG79" s="2480">
        <v>0</v>
      </c>
      <c r="AH79" s="2480">
        <v>0</v>
      </c>
      <c r="AI79" s="2480">
        <v>0</v>
      </c>
      <c r="AJ79" s="2480">
        <v>0</v>
      </c>
      <c r="AK79" s="2480">
        <v>0</v>
      </c>
      <c r="AL79" s="2480">
        <v>0</v>
      </c>
      <c r="AM79" s="2482">
        <v>15</v>
      </c>
      <c r="AN79" s="2444" t="s">
        <v>1585</v>
      </c>
      <c r="AO79" s="2447" t="s">
        <v>706</v>
      </c>
      <c r="AP79" s="2480" t="s">
        <v>1599</v>
      </c>
      <c r="AQ79" s="2480">
        <v>27378</v>
      </c>
      <c r="AR79" s="2480">
        <v>9126</v>
      </c>
      <c r="AS79" s="2480">
        <v>0</v>
      </c>
      <c r="AT79" s="2480">
        <v>0</v>
      </c>
      <c r="AU79" s="2480">
        <v>0</v>
      </c>
      <c r="AV79" s="2480">
        <v>0</v>
      </c>
      <c r="AW79" s="2480">
        <v>0</v>
      </c>
      <c r="AX79" s="2480">
        <v>0</v>
      </c>
      <c r="AY79" s="2480">
        <v>0</v>
      </c>
      <c r="AZ79" s="2480">
        <v>0</v>
      </c>
      <c r="BA79" s="2480">
        <v>0</v>
      </c>
      <c r="BB79" s="2480">
        <v>0</v>
      </c>
      <c r="BC79" s="2480">
        <v>36504</v>
      </c>
      <c r="BD79" s="2480">
        <v>37518</v>
      </c>
      <c r="BE79" s="2480">
        <v>27</v>
      </c>
      <c r="BF79" s="2480">
        <v>14</v>
      </c>
      <c r="BG79" s="2480">
        <v>7</v>
      </c>
      <c r="BH79" s="2480">
        <v>0</v>
      </c>
      <c r="BI79" s="2480">
        <v>9</v>
      </c>
      <c r="BJ79" s="2480">
        <v>0</v>
      </c>
      <c r="BK79" s="2480">
        <v>0</v>
      </c>
      <c r="BL79" s="2480">
        <v>0</v>
      </c>
      <c r="BM79" s="2480">
        <v>0</v>
      </c>
      <c r="BN79" s="2480">
        <v>0</v>
      </c>
      <c r="BO79" s="2480">
        <v>16</v>
      </c>
      <c r="BP79" s="2480">
        <v>85</v>
      </c>
      <c r="BQ79" s="2478">
        <v>27378</v>
      </c>
      <c r="BR79" s="2441">
        <v>9126</v>
      </c>
      <c r="BS79" s="2441">
        <v>0</v>
      </c>
      <c r="BT79" s="2441">
        <v>0</v>
      </c>
      <c r="BU79" s="2441">
        <v>-10098</v>
      </c>
      <c r="BV79" s="2441">
        <v>0</v>
      </c>
      <c r="BW79" s="2441">
        <v>0</v>
      </c>
      <c r="BX79" s="2441">
        <v>0</v>
      </c>
      <c r="BY79" s="2441">
        <v>0</v>
      </c>
      <c r="BZ79" s="2441">
        <v>0</v>
      </c>
      <c r="CA79" s="2441">
        <v>0</v>
      </c>
      <c r="CB79" s="2443">
        <v>0</v>
      </c>
      <c r="CC79" s="2453">
        <v>26406</v>
      </c>
      <c r="CD79" s="2453">
        <v>-972</v>
      </c>
      <c r="CE79" s="2453">
        <v>27</v>
      </c>
      <c r="CF79" s="2453">
        <v>14</v>
      </c>
      <c r="CG79" s="2453">
        <v>7</v>
      </c>
      <c r="CH79" s="2453">
        <v>0</v>
      </c>
      <c r="CI79" s="2453">
        <v>9</v>
      </c>
      <c r="CJ79" s="2453">
        <v>0</v>
      </c>
      <c r="CK79" s="2453">
        <v>0</v>
      </c>
      <c r="CL79" s="2453">
        <v>0</v>
      </c>
      <c r="CM79" s="2443">
        <v>0</v>
      </c>
    </row>
    <row r="80" spans="1:91">
      <c r="A80" s="3282">
        <v>31</v>
      </c>
      <c r="B80" s="2551" t="str">
        <f t="shared" si="1"/>
        <v>3039610001</v>
      </c>
      <c r="C80" s="2010" t="s">
        <v>703</v>
      </c>
      <c r="D80" s="2011">
        <v>3961</v>
      </c>
      <c r="E80" s="2011">
        <v>1</v>
      </c>
      <c r="F80" s="2494">
        <v>5000</v>
      </c>
      <c r="G80" s="2496" t="s">
        <v>1566</v>
      </c>
      <c r="H80" s="2011" t="s">
        <v>1560</v>
      </c>
      <c r="I80" s="2012">
        <v>2</v>
      </c>
      <c r="J80" s="2491">
        <v>0</v>
      </c>
      <c r="K80" s="2491">
        <v>0</v>
      </c>
      <c r="L80" s="2491">
        <v>0</v>
      </c>
      <c r="M80" s="2491">
        <v>0</v>
      </c>
      <c r="N80" s="2489">
        <v>0</v>
      </c>
      <c r="O80" s="2525" t="s">
        <v>1611</v>
      </c>
      <c r="P80" s="3272">
        <v>0</v>
      </c>
      <c r="Q80" s="3265">
        <v>0</v>
      </c>
      <c r="R80" s="3265">
        <v>0</v>
      </c>
      <c r="S80" s="3265">
        <v>0</v>
      </c>
      <c r="T80" s="3265">
        <v>10000</v>
      </c>
      <c r="U80" s="3265">
        <v>0</v>
      </c>
      <c r="V80" s="3265">
        <v>0</v>
      </c>
      <c r="W80" s="3265">
        <v>2116</v>
      </c>
      <c r="X80" s="3265">
        <v>0</v>
      </c>
      <c r="Y80" s="3265">
        <v>0</v>
      </c>
      <c r="Z80" s="3265">
        <v>0</v>
      </c>
      <c r="AA80" s="3265">
        <v>0</v>
      </c>
      <c r="AB80" s="3265">
        <v>12116</v>
      </c>
      <c r="AC80" s="3265">
        <v>2116</v>
      </c>
      <c r="AD80" s="3265">
        <v>0</v>
      </c>
      <c r="AE80" s="3265">
        <v>0</v>
      </c>
      <c r="AF80" s="3265">
        <v>0</v>
      </c>
      <c r="AG80" s="3265">
        <v>0</v>
      </c>
      <c r="AH80" s="3265">
        <v>0</v>
      </c>
      <c r="AI80" s="3265">
        <v>0</v>
      </c>
      <c r="AJ80" s="3265">
        <v>0</v>
      </c>
      <c r="AK80" s="3265">
        <v>0</v>
      </c>
      <c r="AL80" s="3265">
        <v>0</v>
      </c>
      <c r="AM80" s="3275">
        <v>15</v>
      </c>
      <c r="AN80" s="3277" t="s">
        <v>1612</v>
      </c>
      <c r="AO80" s="3279" t="s">
        <v>1560</v>
      </c>
      <c r="AP80" s="3265" t="s">
        <v>1613</v>
      </c>
      <c r="AQ80" s="3265">
        <v>33000</v>
      </c>
      <c r="AR80" s="3331">
        <v>0</v>
      </c>
      <c r="AS80" s="3331">
        <v>0</v>
      </c>
      <c r="AT80" s="3331">
        <v>0</v>
      </c>
      <c r="AU80" s="3331">
        <v>0</v>
      </c>
      <c r="AV80" s="3331">
        <v>0</v>
      </c>
      <c r="AW80" s="3331">
        <v>0</v>
      </c>
      <c r="AX80" s="3331">
        <v>0</v>
      </c>
      <c r="AY80" s="3331">
        <v>0</v>
      </c>
      <c r="AZ80" s="3331">
        <v>0</v>
      </c>
      <c r="BA80" s="3331">
        <v>0</v>
      </c>
      <c r="BB80" s="3331">
        <v>0</v>
      </c>
      <c r="BC80" s="3331">
        <v>33000</v>
      </c>
      <c r="BD80" s="3331">
        <v>33000</v>
      </c>
      <c r="BE80" s="3331">
        <v>33</v>
      </c>
      <c r="BF80" s="3331">
        <v>17</v>
      </c>
      <c r="BG80" s="3331">
        <v>9</v>
      </c>
      <c r="BH80" s="3331">
        <v>0</v>
      </c>
      <c r="BI80" s="3331">
        <v>0</v>
      </c>
      <c r="BJ80" s="3331">
        <v>0</v>
      </c>
      <c r="BK80" s="3331">
        <v>0</v>
      </c>
      <c r="BL80" s="3331">
        <v>0</v>
      </c>
      <c r="BM80" s="3331">
        <v>0</v>
      </c>
      <c r="BN80" s="3331">
        <v>0</v>
      </c>
      <c r="BO80" s="3331">
        <v>9</v>
      </c>
      <c r="BP80" s="3331">
        <v>55</v>
      </c>
      <c r="BQ80" s="3379">
        <v>33000</v>
      </c>
      <c r="BR80" s="3331">
        <v>0</v>
      </c>
      <c r="BS80" s="3331">
        <v>0</v>
      </c>
      <c r="BT80" s="3331">
        <v>0</v>
      </c>
      <c r="BU80" s="3331">
        <v>-10000</v>
      </c>
      <c r="BV80" s="3331">
        <v>0</v>
      </c>
      <c r="BW80" s="3331">
        <v>0</v>
      </c>
      <c r="BX80" s="3331">
        <v>-2116</v>
      </c>
      <c r="BY80" s="3331">
        <v>0</v>
      </c>
      <c r="BZ80" s="3331">
        <v>0</v>
      </c>
      <c r="CA80" s="3331">
        <v>0</v>
      </c>
      <c r="CB80" s="3345">
        <v>0</v>
      </c>
      <c r="CC80" s="3346">
        <v>20884</v>
      </c>
      <c r="CD80" s="3346">
        <v>-12116</v>
      </c>
      <c r="CE80" s="3346">
        <v>33</v>
      </c>
      <c r="CF80" s="3346">
        <v>17</v>
      </c>
      <c r="CG80" s="3346">
        <v>9</v>
      </c>
      <c r="CH80" s="3346">
        <v>0</v>
      </c>
      <c r="CI80" s="3346">
        <v>0</v>
      </c>
      <c r="CJ80" s="3346">
        <v>0</v>
      </c>
      <c r="CK80" s="3346">
        <v>0</v>
      </c>
      <c r="CL80" s="3346">
        <v>0</v>
      </c>
      <c r="CM80" s="3345">
        <v>0</v>
      </c>
    </row>
    <row r="81" spans="1:91">
      <c r="A81" s="3313"/>
      <c r="B81" s="2551" t="str">
        <f t="shared" si="1"/>
        <v>3039610003</v>
      </c>
      <c r="C81" s="2492" t="s">
        <v>710</v>
      </c>
      <c r="D81" s="2026">
        <v>3961</v>
      </c>
      <c r="E81" s="2026">
        <v>3</v>
      </c>
      <c r="F81" s="2027">
        <v>5000</v>
      </c>
      <c r="G81" s="2497" t="s">
        <v>1566</v>
      </c>
      <c r="H81" s="2026" t="s">
        <v>1560</v>
      </c>
      <c r="I81" s="2028">
        <v>2</v>
      </c>
      <c r="J81" s="2500">
        <v>0</v>
      </c>
      <c r="K81" s="2500">
        <v>2116</v>
      </c>
      <c r="L81" s="2500">
        <v>0</v>
      </c>
      <c r="M81" s="2500">
        <v>2116</v>
      </c>
      <c r="N81" s="2029">
        <v>0</v>
      </c>
      <c r="O81" s="2054" t="s">
        <v>1614</v>
      </c>
      <c r="P81" s="3273"/>
      <c r="Q81" s="3274"/>
      <c r="R81" s="3713"/>
      <c r="S81" s="3713"/>
      <c r="T81" s="3713"/>
      <c r="U81" s="3713"/>
      <c r="V81" s="3713"/>
      <c r="W81" s="3713"/>
      <c r="X81" s="3713"/>
      <c r="Y81" s="3713"/>
      <c r="Z81" s="3713"/>
      <c r="AA81" s="3713"/>
      <c r="AB81" s="3274"/>
      <c r="AC81" s="3274"/>
      <c r="AD81" s="3274"/>
      <c r="AE81" s="3274"/>
      <c r="AF81" s="3274"/>
      <c r="AG81" s="3274"/>
      <c r="AH81" s="3274"/>
      <c r="AI81" s="3274"/>
      <c r="AJ81" s="3274"/>
      <c r="AK81" s="3274"/>
      <c r="AL81" s="3274"/>
      <c r="AM81" s="3276"/>
      <c r="AN81" s="3278"/>
      <c r="AO81" s="3280"/>
      <c r="AP81" s="3274"/>
      <c r="AQ81" s="3274"/>
      <c r="AR81" s="3340"/>
      <c r="AS81" s="3340"/>
      <c r="AT81" s="3340"/>
      <c r="AU81" s="3340"/>
      <c r="AV81" s="3340"/>
      <c r="AW81" s="3340"/>
      <c r="AX81" s="3340"/>
      <c r="AY81" s="3340"/>
      <c r="AZ81" s="3340"/>
      <c r="BA81" s="3340"/>
      <c r="BB81" s="3340"/>
      <c r="BC81" s="3340"/>
      <c r="BD81" s="3340"/>
      <c r="BE81" s="3340"/>
      <c r="BF81" s="3340"/>
      <c r="BG81" s="3340"/>
      <c r="BH81" s="3340"/>
      <c r="BI81" s="3340"/>
      <c r="BJ81" s="3340"/>
      <c r="BK81" s="3340"/>
      <c r="BL81" s="3340"/>
      <c r="BM81" s="3340"/>
      <c r="BN81" s="3340"/>
      <c r="BO81" s="3340"/>
      <c r="BP81" s="3340"/>
      <c r="BQ81" s="3387"/>
      <c r="BR81" s="3385"/>
      <c r="BS81" s="3385"/>
      <c r="BT81" s="3385"/>
      <c r="BU81" s="3385"/>
      <c r="BV81" s="3385"/>
      <c r="BW81" s="3385"/>
      <c r="BX81" s="3385"/>
      <c r="BY81" s="3385"/>
      <c r="BZ81" s="3385"/>
      <c r="CA81" s="3385"/>
      <c r="CB81" s="3386"/>
      <c r="CC81" s="3384"/>
      <c r="CD81" s="3384"/>
      <c r="CE81" s="3384"/>
      <c r="CF81" s="3384"/>
      <c r="CG81" s="3384"/>
      <c r="CH81" s="3384"/>
      <c r="CI81" s="3384"/>
      <c r="CJ81" s="3384"/>
      <c r="CK81" s="3384"/>
      <c r="CL81" s="3384"/>
      <c r="CM81" s="3386"/>
    </row>
    <row r="82" spans="1:91">
      <c r="A82" s="3313"/>
      <c r="B82" s="2551" t="str">
        <f t="shared" si="1"/>
        <v>3039610005</v>
      </c>
      <c r="C82" s="2492" t="s">
        <v>721</v>
      </c>
      <c r="D82" s="2026">
        <v>3961</v>
      </c>
      <c r="E82" s="2026">
        <v>5</v>
      </c>
      <c r="F82" s="2027">
        <v>2950</v>
      </c>
      <c r="G82" s="2497" t="s">
        <v>1566</v>
      </c>
      <c r="H82" s="2026" t="s">
        <v>1560</v>
      </c>
      <c r="I82" s="2028">
        <v>2</v>
      </c>
      <c r="J82" s="2500">
        <v>0</v>
      </c>
      <c r="K82" s="2500">
        <v>0</v>
      </c>
      <c r="L82" s="2500">
        <v>0</v>
      </c>
      <c r="M82" s="2500">
        <v>0</v>
      </c>
      <c r="N82" s="2029">
        <v>0</v>
      </c>
      <c r="O82" s="2054" t="s">
        <v>1611</v>
      </c>
      <c r="P82" s="3273"/>
      <c r="Q82" s="3274"/>
      <c r="R82" s="3713"/>
      <c r="S82" s="3713"/>
      <c r="T82" s="3713"/>
      <c r="U82" s="3713"/>
      <c r="V82" s="3713"/>
      <c r="W82" s="3713"/>
      <c r="X82" s="3713"/>
      <c r="Y82" s="3713"/>
      <c r="Z82" s="3713"/>
      <c r="AA82" s="3713"/>
      <c r="AB82" s="3274"/>
      <c r="AC82" s="3274"/>
      <c r="AD82" s="3274"/>
      <c r="AE82" s="3274"/>
      <c r="AF82" s="3274"/>
      <c r="AG82" s="3274"/>
      <c r="AH82" s="3274"/>
      <c r="AI82" s="3274"/>
      <c r="AJ82" s="3274"/>
      <c r="AK82" s="3274"/>
      <c r="AL82" s="3274"/>
      <c r="AM82" s="3276"/>
      <c r="AN82" s="3278"/>
      <c r="AO82" s="3280"/>
      <c r="AP82" s="3274"/>
      <c r="AQ82" s="3274"/>
      <c r="AR82" s="3340"/>
      <c r="AS82" s="3340"/>
      <c r="AT82" s="3340"/>
      <c r="AU82" s="3340"/>
      <c r="AV82" s="3340"/>
      <c r="AW82" s="3340"/>
      <c r="AX82" s="3340"/>
      <c r="AY82" s="3340"/>
      <c r="AZ82" s="3340"/>
      <c r="BA82" s="3340"/>
      <c r="BB82" s="3340"/>
      <c r="BC82" s="3340"/>
      <c r="BD82" s="3340"/>
      <c r="BE82" s="3340"/>
      <c r="BF82" s="3340"/>
      <c r="BG82" s="3340"/>
      <c r="BH82" s="3340"/>
      <c r="BI82" s="3340"/>
      <c r="BJ82" s="3340"/>
      <c r="BK82" s="3340"/>
      <c r="BL82" s="3340"/>
      <c r="BM82" s="3340"/>
      <c r="BN82" s="3340"/>
      <c r="BO82" s="3340"/>
      <c r="BP82" s="3340"/>
      <c r="BQ82" s="3387"/>
      <c r="BR82" s="3385"/>
      <c r="BS82" s="3385"/>
      <c r="BT82" s="3385"/>
      <c r="BU82" s="3385"/>
      <c r="BV82" s="3385"/>
      <c r="BW82" s="3385"/>
      <c r="BX82" s="3385"/>
      <c r="BY82" s="3385"/>
      <c r="BZ82" s="3385"/>
      <c r="CA82" s="3385"/>
      <c r="CB82" s="3386"/>
      <c r="CC82" s="3384"/>
      <c r="CD82" s="3384"/>
      <c r="CE82" s="3384"/>
      <c r="CF82" s="3384"/>
      <c r="CG82" s="3384"/>
      <c r="CH82" s="3384"/>
      <c r="CI82" s="3384"/>
      <c r="CJ82" s="3384"/>
      <c r="CK82" s="3384"/>
      <c r="CL82" s="3384"/>
      <c r="CM82" s="3386"/>
    </row>
    <row r="83" spans="1:91" ht="15.75" thickBot="1">
      <c r="A83" s="3380"/>
      <c r="B83" s="2551" t="str">
        <f t="shared" si="1"/>
        <v>3039610007</v>
      </c>
      <c r="C83" s="2468" t="s">
        <v>724</v>
      </c>
      <c r="D83" s="2014">
        <v>3961</v>
      </c>
      <c r="E83" s="2014">
        <v>7</v>
      </c>
      <c r="F83" s="2038">
        <v>2050</v>
      </c>
      <c r="G83" s="2133" t="s">
        <v>1566</v>
      </c>
      <c r="H83" s="2014" t="s">
        <v>1560</v>
      </c>
      <c r="I83" s="2016">
        <v>2</v>
      </c>
      <c r="J83" s="2538">
        <v>0</v>
      </c>
      <c r="K83" s="2538">
        <v>0</v>
      </c>
      <c r="L83" s="2538">
        <v>0</v>
      </c>
      <c r="M83" s="2538">
        <v>0</v>
      </c>
      <c r="N83" s="2509">
        <v>0</v>
      </c>
      <c r="O83" s="2055" t="s">
        <v>1611</v>
      </c>
      <c r="P83" s="3359"/>
      <c r="Q83" s="3361"/>
      <c r="R83" s="3363"/>
      <c r="S83" s="3363"/>
      <c r="T83" s="3363"/>
      <c r="U83" s="3363"/>
      <c r="V83" s="3363"/>
      <c r="W83" s="3363"/>
      <c r="X83" s="3363"/>
      <c r="Y83" s="3363"/>
      <c r="Z83" s="3363"/>
      <c r="AA83" s="3363"/>
      <c r="AB83" s="3361"/>
      <c r="AC83" s="3361"/>
      <c r="AD83" s="3361"/>
      <c r="AE83" s="3361"/>
      <c r="AF83" s="3361"/>
      <c r="AG83" s="3361"/>
      <c r="AH83" s="3361"/>
      <c r="AI83" s="3361"/>
      <c r="AJ83" s="3361"/>
      <c r="AK83" s="3361"/>
      <c r="AL83" s="3361"/>
      <c r="AM83" s="3365"/>
      <c r="AN83" s="3338"/>
      <c r="AO83" s="3339"/>
      <c r="AP83" s="3361"/>
      <c r="AQ83" s="3361"/>
      <c r="AR83" s="3332"/>
      <c r="AS83" s="3332"/>
      <c r="AT83" s="3332"/>
      <c r="AU83" s="3332"/>
      <c r="AV83" s="3332"/>
      <c r="AW83" s="3332"/>
      <c r="AX83" s="3332"/>
      <c r="AY83" s="3332"/>
      <c r="AZ83" s="3332"/>
      <c r="BA83" s="3332"/>
      <c r="BB83" s="3332"/>
      <c r="BC83" s="3332"/>
      <c r="BD83" s="3332"/>
      <c r="BE83" s="3332"/>
      <c r="BF83" s="3332"/>
      <c r="BG83" s="3332"/>
      <c r="BH83" s="3332"/>
      <c r="BI83" s="3332"/>
      <c r="BJ83" s="3332"/>
      <c r="BK83" s="3332"/>
      <c r="BL83" s="3332"/>
      <c r="BM83" s="3332"/>
      <c r="BN83" s="3332"/>
      <c r="BO83" s="3332"/>
      <c r="BP83" s="3332"/>
      <c r="BQ83" s="3387"/>
      <c r="BR83" s="3385"/>
      <c r="BS83" s="3385"/>
      <c r="BT83" s="3385"/>
      <c r="BU83" s="3385"/>
      <c r="BV83" s="3385"/>
      <c r="BW83" s="3385"/>
      <c r="BX83" s="3385"/>
      <c r="BY83" s="3385"/>
      <c r="BZ83" s="3385"/>
      <c r="CA83" s="3385"/>
      <c r="CB83" s="3386"/>
      <c r="CC83" s="3384"/>
      <c r="CD83" s="3384"/>
      <c r="CE83" s="3384"/>
      <c r="CF83" s="3384"/>
      <c r="CG83" s="3384"/>
      <c r="CH83" s="3384"/>
      <c r="CI83" s="3384"/>
      <c r="CJ83" s="3384"/>
      <c r="CK83" s="3384"/>
      <c r="CL83" s="3384"/>
      <c r="CM83" s="3386"/>
    </row>
    <row r="84" spans="1:91">
      <c r="A84" s="3282">
        <v>32</v>
      </c>
      <c r="B84" s="2551" t="str">
        <f t="shared" si="1"/>
        <v>3039610015</v>
      </c>
      <c r="C84" s="2010" t="s">
        <v>703</v>
      </c>
      <c r="D84" s="2011">
        <v>3961</v>
      </c>
      <c r="E84" s="2011">
        <v>15</v>
      </c>
      <c r="F84" s="2494">
        <v>2500</v>
      </c>
      <c r="G84" s="2496" t="s">
        <v>1566</v>
      </c>
      <c r="H84" s="2011" t="s">
        <v>1560</v>
      </c>
      <c r="I84" s="2012">
        <v>2</v>
      </c>
      <c r="J84" s="2491">
        <v>0</v>
      </c>
      <c r="K84" s="2491">
        <v>2165</v>
      </c>
      <c r="L84" s="2491">
        <v>0</v>
      </c>
      <c r="M84" s="2491">
        <v>2165</v>
      </c>
      <c r="N84" s="2489">
        <v>0</v>
      </c>
      <c r="O84" s="2525" t="s">
        <v>1572</v>
      </c>
      <c r="P84" s="3272">
        <v>2200</v>
      </c>
      <c r="Q84" s="3265">
        <v>1100</v>
      </c>
      <c r="R84" s="3265">
        <v>0</v>
      </c>
      <c r="S84" s="3265">
        <v>0</v>
      </c>
      <c r="T84" s="3265">
        <v>2717</v>
      </c>
      <c r="U84" s="3265">
        <v>0</v>
      </c>
      <c r="V84" s="3265">
        <v>0</v>
      </c>
      <c r="W84" s="3265">
        <v>0</v>
      </c>
      <c r="X84" s="3265">
        <v>0</v>
      </c>
      <c r="Y84" s="3265">
        <v>0</v>
      </c>
      <c r="Z84" s="3265">
        <v>0</v>
      </c>
      <c r="AA84" s="3265">
        <v>0</v>
      </c>
      <c r="AB84" s="3265">
        <v>6017</v>
      </c>
      <c r="AC84" s="3265">
        <v>6017</v>
      </c>
      <c r="AD84" s="3265">
        <v>2</v>
      </c>
      <c r="AE84" s="3265">
        <v>0</v>
      </c>
      <c r="AF84" s="3265">
        <v>0</v>
      </c>
      <c r="AG84" s="3265">
        <v>0</v>
      </c>
      <c r="AH84" s="3265">
        <v>0</v>
      </c>
      <c r="AI84" s="3265">
        <v>0</v>
      </c>
      <c r="AJ84" s="3265">
        <v>0</v>
      </c>
      <c r="AK84" s="3265">
        <v>0</v>
      </c>
      <c r="AL84" s="3265">
        <v>0</v>
      </c>
      <c r="AM84" s="3275">
        <v>35</v>
      </c>
      <c r="AN84" s="3277" t="s">
        <v>741</v>
      </c>
      <c r="AO84" s="3279" t="s">
        <v>706</v>
      </c>
      <c r="AP84" s="3265" t="s">
        <v>1595</v>
      </c>
      <c r="AQ84" s="3265">
        <v>65472</v>
      </c>
      <c r="AR84" s="3331">
        <v>7038.9000000000005</v>
      </c>
      <c r="AS84" s="3331">
        <v>0</v>
      </c>
      <c r="AT84" s="3331">
        <v>0</v>
      </c>
      <c r="AU84" s="3331">
        <v>0</v>
      </c>
      <c r="AV84" s="3331">
        <v>0</v>
      </c>
      <c r="AW84" s="3331">
        <v>0</v>
      </c>
      <c r="AX84" s="3331">
        <v>0</v>
      </c>
      <c r="AY84" s="3331">
        <v>0</v>
      </c>
      <c r="AZ84" s="3331">
        <v>0</v>
      </c>
      <c r="BA84" s="3331">
        <v>0</v>
      </c>
      <c r="BB84" s="3331">
        <v>0</v>
      </c>
      <c r="BC84" s="3331">
        <v>72510.899999999994</v>
      </c>
      <c r="BD84" s="3331">
        <v>74043</v>
      </c>
      <c r="BE84" s="3331">
        <v>65</v>
      </c>
      <c r="BF84" s="3331">
        <v>33</v>
      </c>
      <c r="BG84" s="3331">
        <v>13</v>
      </c>
      <c r="BH84" s="3331">
        <v>0</v>
      </c>
      <c r="BI84" s="3331">
        <v>7</v>
      </c>
      <c r="BJ84" s="3331">
        <v>0</v>
      </c>
      <c r="BK84" s="3331">
        <v>0</v>
      </c>
      <c r="BL84" s="3331">
        <v>0</v>
      </c>
      <c r="BM84" s="3331">
        <v>0</v>
      </c>
      <c r="BN84" s="3331">
        <v>0</v>
      </c>
      <c r="BO84" s="3331">
        <v>20</v>
      </c>
      <c r="BP84" s="3331">
        <v>145</v>
      </c>
      <c r="BQ84" s="3379">
        <v>63272</v>
      </c>
      <c r="BR84" s="3331">
        <v>5938.9000000000005</v>
      </c>
      <c r="BS84" s="3331">
        <v>0</v>
      </c>
      <c r="BT84" s="3331">
        <v>0</v>
      </c>
      <c r="BU84" s="3331">
        <v>-2717</v>
      </c>
      <c r="BV84" s="3331">
        <v>0</v>
      </c>
      <c r="BW84" s="3331">
        <v>0</v>
      </c>
      <c r="BX84" s="3331">
        <v>0</v>
      </c>
      <c r="BY84" s="3331">
        <v>0</v>
      </c>
      <c r="BZ84" s="3331">
        <v>0</v>
      </c>
      <c r="CA84" s="3331">
        <v>0</v>
      </c>
      <c r="CB84" s="3345">
        <v>0</v>
      </c>
      <c r="CC84" s="3346">
        <v>66493.899999999994</v>
      </c>
      <c r="CD84" s="3346">
        <v>3221.9000000000005</v>
      </c>
      <c r="CE84" s="3346">
        <v>63</v>
      </c>
      <c r="CF84" s="3346">
        <v>33</v>
      </c>
      <c r="CG84" s="3346">
        <v>13</v>
      </c>
      <c r="CH84" s="3346">
        <v>0</v>
      </c>
      <c r="CI84" s="3346">
        <v>7</v>
      </c>
      <c r="CJ84" s="3346">
        <v>0</v>
      </c>
      <c r="CK84" s="3346">
        <v>0</v>
      </c>
      <c r="CL84" s="3346">
        <v>0</v>
      </c>
      <c r="CM84" s="3345">
        <v>0</v>
      </c>
    </row>
    <row r="85" spans="1:91">
      <c r="A85" s="3313"/>
      <c r="B85" s="2551" t="str">
        <f t="shared" si="1"/>
        <v>3039610016</v>
      </c>
      <c r="C85" s="2492" t="s">
        <v>710</v>
      </c>
      <c r="D85" s="2026">
        <v>3961</v>
      </c>
      <c r="E85" s="2026">
        <v>16</v>
      </c>
      <c r="F85" s="2027">
        <v>2571</v>
      </c>
      <c r="G85" s="2497" t="s">
        <v>1566</v>
      </c>
      <c r="H85" s="2026" t="s">
        <v>1560</v>
      </c>
      <c r="I85" s="2028">
        <v>2</v>
      </c>
      <c r="J85" s="2500">
        <v>1100</v>
      </c>
      <c r="K85" s="2500">
        <v>0</v>
      </c>
      <c r="L85" s="2500">
        <v>0</v>
      </c>
      <c r="M85" s="2500">
        <v>3300</v>
      </c>
      <c r="N85" s="2029">
        <v>3</v>
      </c>
      <c r="O85" s="2054" t="s">
        <v>1602</v>
      </c>
      <c r="P85" s="3273"/>
      <c r="Q85" s="3274"/>
      <c r="R85" s="3713"/>
      <c r="S85" s="3713"/>
      <c r="T85" s="3713"/>
      <c r="U85" s="3713"/>
      <c r="V85" s="3713"/>
      <c r="W85" s="3713"/>
      <c r="X85" s="3713"/>
      <c r="Y85" s="3713"/>
      <c r="Z85" s="3713"/>
      <c r="AA85" s="3713"/>
      <c r="AB85" s="3274"/>
      <c r="AC85" s="3274"/>
      <c r="AD85" s="3274"/>
      <c r="AE85" s="3274"/>
      <c r="AF85" s="3274"/>
      <c r="AG85" s="3274"/>
      <c r="AH85" s="3274"/>
      <c r="AI85" s="3274"/>
      <c r="AJ85" s="3274"/>
      <c r="AK85" s="3274"/>
      <c r="AL85" s="3274"/>
      <c r="AM85" s="3276"/>
      <c r="AN85" s="3278"/>
      <c r="AO85" s="3280"/>
      <c r="AP85" s="3274"/>
      <c r="AQ85" s="3274"/>
      <c r="AR85" s="3340"/>
      <c r="AS85" s="3340"/>
      <c r="AT85" s="3340"/>
      <c r="AU85" s="3340"/>
      <c r="AV85" s="3340"/>
      <c r="AW85" s="3340"/>
      <c r="AX85" s="3340"/>
      <c r="AY85" s="3340"/>
      <c r="AZ85" s="3340"/>
      <c r="BA85" s="3340"/>
      <c r="BB85" s="3340"/>
      <c r="BC85" s="3340"/>
      <c r="BD85" s="3340"/>
      <c r="BE85" s="3340"/>
      <c r="BF85" s="3340"/>
      <c r="BG85" s="3340"/>
      <c r="BH85" s="3340"/>
      <c r="BI85" s="3340"/>
      <c r="BJ85" s="3340"/>
      <c r="BK85" s="3340"/>
      <c r="BL85" s="3340"/>
      <c r="BM85" s="3340"/>
      <c r="BN85" s="3340"/>
      <c r="BO85" s="3340"/>
      <c r="BP85" s="3340"/>
      <c r="BQ85" s="3387"/>
      <c r="BR85" s="3385"/>
      <c r="BS85" s="3385"/>
      <c r="BT85" s="3385"/>
      <c r="BU85" s="3385"/>
      <c r="BV85" s="3385"/>
      <c r="BW85" s="3385"/>
      <c r="BX85" s="3385"/>
      <c r="BY85" s="3385"/>
      <c r="BZ85" s="3385"/>
      <c r="CA85" s="3385"/>
      <c r="CB85" s="3386"/>
      <c r="CC85" s="3384"/>
      <c r="CD85" s="3384"/>
      <c r="CE85" s="3384"/>
      <c r="CF85" s="3384"/>
      <c r="CG85" s="3384"/>
      <c r="CH85" s="3384"/>
      <c r="CI85" s="3384"/>
      <c r="CJ85" s="3384"/>
      <c r="CK85" s="3384"/>
      <c r="CL85" s="3384"/>
      <c r="CM85" s="3386"/>
    </row>
    <row r="86" spans="1:91" ht="15.75" thickBot="1">
      <c r="A86" s="3283"/>
      <c r="B86" s="2551" t="str">
        <f t="shared" si="1"/>
        <v>3039610113</v>
      </c>
      <c r="C86" s="2493" t="s">
        <v>721</v>
      </c>
      <c r="D86" s="2018">
        <v>3961</v>
      </c>
      <c r="E86" s="2018">
        <v>113</v>
      </c>
      <c r="F86" s="2019">
        <v>5000</v>
      </c>
      <c r="G86" s="2498" t="s">
        <v>1566</v>
      </c>
      <c r="H86" s="2018" t="s">
        <v>1560</v>
      </c>
      <c r="I86" s="2020">
        <v>2</v>
      </c>
      <c r="J86" s="2501">
        <v>0</v>
      </c>
      <c r="K86" s="2501">
        <v>552</v>
      </c>
      <c r="L86" s="2501">
        <v>0</v>
      </c>
      <c r="M86" s="2501">
        <v>552</v>
      </c>
      <c r="N86" s="2508">
        <v>0</v>
      </c>
      <c r="O86" s="2055" t="s">
        <v>1572</v>
      </c>
      <c r="P86" s="3359"/>
      <c r="Q86" s="3361"/>
      <c r="R86" s="3363"/>
      <c r="S86" s="3363"/>
      <c r="T86" s="3363"/>
      <c r="U86" s="3363"/>
      <c r="V86" s="3363"/>
      <c r="W86" s="3363"/>
      <c r="X86" s="3363"/>
      <c r="Y86" s="3363"/>
      <c r="Z86" s="3363"/>
      <c r="AA86" s="3363"/>
      <c r="AB86" s="3361"/>
      <c r="AC86" s="3361"/>
      <c r="AD86" s="3361"/>
      <c r="AE86" s="3361"/>
      <c r="AF86" s="3361"/>
      <c r="AG86" s="3361"/>
      <c r="AH86" s="3361"/>
      <c r="AI86" s="3361"/>
      <c r="AJ86" s="3361"/>
      <c r="AK86" s="3361"/>
      <c r="AL86" s="3361"/>
      <c r="AM86" s="3365"/>
      <c r="AN86" s="3338"/>
      <c r="AO86" s="3339"/>
      <c r="AP86" s="3361"/>
      <c r="AQ86" s="3361"/>
      <c r="AR86" s="3332"/>
      <c r="AS86" s="3332"/>
      <c r="AT86" s="3332"/>
      <c r="AU86" s="3332"/>
      <c r="AV86" s="3332"/>
      <c r="AW86" s="3332"/>
      <c r="AX86" s="3332"/>
      <c r="AY86" s="3332"/>
      <c r="AZ86" s="3332"/>
      <c r="BA86" s="3332"/>
      <c r="BB86" s="3332"/>
      <c r="BC86" s="3332"/>
      <c r="BD86" s="3332"/>
      <c r="BE86" s="3332"/>
      <c r="BF86" s="3332"/>
      <c r="BG86" s="3332"/>
      <c r="BH86" s="3332"/>
      <c r="BI86" s="3332"/>
      <c r="BJ86" s="3332"/>
      <c r="BK86" s="3332"/>
      <c r="BL86" s="3332"/>
      <c r="BM86" s="3332"/>
      <c r="BN86" s="3332"/>
      <c r="BO86" s="3332"/>
      <c r="BP86" s="3332"/>
      <c r="BQ86" s="3357"/>
      <c r="BR86" s="3375"/>
      <c r="BS86" s="3375"/>
      <c r="BT86" s="3375"/>
      <c r="BU86" s="3375"/>
      <c r="BV86" s="3375"/>
      <c r="BW86" s="3375"/>
      <c r="BX86" s="3375"/>
      <c r="BY86" s="3375"/>
      <c r="BZ86" s="3375"/>
      <c r="CA86" s="3375"/>
      <c r="CB86" s="3371"/>
      <c r="CC86" s="3373"/>
      <c r="CD86" s="3373"/>
      <c r="CE86" s="3373"/>
      <c r="CF86" s="3373"/>
      <c r="CG86" s="3373"/>
      <c r="CH86" s="3373"/>
      <c r="CI86" s="3373"/>
      <c r="CJ86" s="3373"/>
      <c r="CK86" s="3373"/>
      <c r="CL86" s="3373"/>
      <c r="CM86" s="3371"/>
    </row>
    <row r="87" spans="1:91">
      <c r="A87" s="3312">
        <v>33</v>
      </c>
      <c r="B87" s="2551" t="str">
        <f t="shared" si="1"/>
        <v>3039610031</v>
      </c>
      <c r="C87" s="2022" t="s">
        <v>703</v>
      </c>
      <c r="D87" s="2023">
        <v>3961</v>
      </c>
      <c r="E87" s="2023">
        <v>31</v>
      </c>
      <c r="F87" s="2506">
        <v>2500</v>
      </c>
      <c r="G87" s="2507" t="s">
        <v>947</v>
      </c>
      <c r="H87" s="2023" t="s">
        <v>1560</v>
      </c>
      <c r="I87" s="2024">
        <v>1</v>
      </c>
      <c r="J87" s="2505">
        <v>0</v>
      </c>
      <c r="K87" s="2505">
        <v>0</v>
      </c>
      <c r="L87" s="2505">
        <v>0</v>
      </c>
      <c r="M87" s="2505">
        <v>2088</v>
      </c>
      <c r="N87" s="2025">
        <v>2</v>
      </c>
      <c r="O87" s="2525" t="s">
        <v>1578</v>
      </c>
      <c r="P87" s="3272">
        <v>2088</v>
      </c>
      <c r="Q87" s="3265">
        <v>0</v>
      </c>
      <c r="R87" s="3265">
        <v>0</v>
      </c>
      <c r="S87" s="3265">
        <v>0</v>
      </c>
      <c r="T87" s="3265">
        <v>0</v>
      </c>
      <c r="U87" s="3265">
        <v>0</v>
      </c>
      <c r="V87" s="3265">
        <v>0</v>
      </c>
      <c r="W87" s="3265">
        <v>4970</v>
      </c>
      <c r="X87" s="3265">
        <v>0</v>
      </c>
      <c r="Y87" s="3265">
        <v>0</v>
      </c>
      <c r="Z87" s="3265">
        <v>0</v>
      </c>
      <c r="AA87" s="3265">
        <v>0</v>
      </c>
      <c r="AB87" s="3265">
        <v>7058</v>
      </c>
      <c r="AC87" s="3265">
        <v>7058</v>
      </c>
      <c r="AD87" s="3265">
        <v>2</v>
      </c>
      <c r="AE87" s="3265">
        <v>0</v>
      </c>
      <c r="AF87" s="3265">
        <v>0</v>
      </c>
      <c r="AG87" s="3265">
        <v>0</v>
      </c>
      <c r="AH87" s="3265">
        <v>0</v>
      </c>
      <c r="AI87" s="3265">
        <v>0</v>
      </c>
      <c r="AJ87" s="3265">
        <v>0</v>
      </c>
      <c r="AK87" s="3265">
        <v>0</v>
      </c>
      <c r="AL87" s="3265">
        <v>0</v>
      </c>
      <c r="AM87" s="3275">
        <v>25</v>
      </c>
      <c r="AN87" s="3277" t="s">
        <v>1615</v>
      </c>
      <c r="AO87" s="3279" t="s">
        <v>1560</v>
      </c>
      <c r="AP87" s="3265" t="s">
        <v>1616</v>
      </c>
      <c r="AQ87" s="3265">
        <v>28800</v>
      </c>
      <c r="AR87" s="3331">
        <v>0</v>
      </c>
      <c r="AS87" s="3331">
        <v>0</v>
      </c>
      <c r="AT87" s="3331">
        <v>0</v>
      </c>
      <c r="AU87" s="3331">
        <v>0</v>
      </c>
      <c r="AV87" s="3331">
        <v>0</v>
      </c>
      <c r="AW87" s="3331">
        <v>0</v>
      </c>
      <c r="AX87" s="3331">
        <v>0</v>
      </c>
      <c r="AY87" s="3331">
        <v>0</v>
      </c>
      <c r="AZ87" s="3331">
        <v>0</v>
      </c>
      <c r="BA87" s="3331">
        <v>0</v>
      </c>
      <c r="BB87" s="3331">
        <v>0</v>
      </c>
      <c r="BC87" s="3331">
        <v>28800</v>
      </c>
      <c r="BD87" s="3331">
        <v>28800</v>
      </c>
      <c r="BE87" s="3331">
        <v>28</v>
      </c>
      <c r="BF87" s="3331">
        <v>14</v>
      </c>
      <c r="BG87" s="3331">
        <v>7</v>
      </c>
      <c r="BH87" s="3331">
        <v>0</v>
      </c>
      <c r="BI87" s="3331">
        <v>0</v>
      </c>
      <c r="BJ87" s="3331">
        <v>0</v>
      </c>
      <c r="BK87" s="3331">
        <v>0</v>
      </c>
      <c r="BL87" s="3331">
        <v>0</v>
      </c>
      <c r="BM87" s="3331">
        <v>0</v>
      </c>
      <c r="BN87" s="3331">
        <v>0</v>
      </c>
      <c r="BO87" s="3331">
        <v>7</v>
      </c>
      <c r="BP87" s="3331">
        <v>85</v>
      </c>
      <c r="BQ87" s="3388">
        <v>26712</v>
      </c>
      <c r="BR87" s="3340">
        <v>0</v>
      </c>
      <c r="BS87" s="3340">
        <v>0</v>
      </c>
      <c r="BT87" s="3340">
        <v>0</v>
      </c>
      <c r="BU87" s="3340">
        <v>0</v>
      </c>
      <c r="BV87" s="3340">
        <v>0</v>
      </c>
      <c r="BW87" s="3340">
        <v>0</v>
      </c>
      <c r="BX87" s="3340">
        <v>-4970</v>
      </c>
      <c r="BY87" s="3340">
        <v>0</v>
      </c>
      <c r="BZ87" s="3340">
        <v>0</v>
      </c>
      <c r="CA87" s="3340">
        <v>0</v>
      </c>
      <c r="CB87" s="3343">
        <v>0</v>
      </c>
      <c r="CC87" s="3341">
        <v>21742</v>
      </c>
      <c r="CD87" s="3341">
        <v>-4970</v>
      </c>
      <c r="CE87" s="3341">
        <v>26</v>
      </c>
      <c r="CF87" s="3341">
        <v>14</v>
      </c>
      <c r="CG87" s="3341">
        <v>7</v>
      </c>
      <c r="CH87" s="3341">
        <v>0</v>
      </c>
      <c r="CI87" s="3341">
        <v>0</v>
      </c>
      <c r="CJ87" s="3341">
        <v>0</v>
      </c>
      <c r="CK87" s="3341">
        <v>0</v>
      </c>
      <c r="CL87" s="3341">
        <v>0</v>
      </c>
      <c r="CM87" s="3343">
        <v>0</v>
      </c>
    </row>
    <row r="88" spans="1:91">
      <c r="A88" s="3313"/>
      <c r="B88" s="2551" t="str">
        <f t="shared" si="1"/>
        <v>3039610032</v>
      </c>
      <c r="C88" s="2492" t="s">
        <v>710</v>
      </c>
      <c r="D88" s="2026">
        <v>3961</v>
      </c>
      <c r="E88" s="2026">
        <v>32</v>
      </c>
      <c r="F88" s="2027">
        <v>2850</v>
      </c>
      <c r="G88" s="2497" t="s">
        <v>947</v>
      </c>
      <c r="H88" s="2026" t="s">
        <v>1560</v>
      </c>
      <c r="I88" s="2028">
        <v>1</v>
      </c>
      <c r="J88" s="2500">
        <v>0</v>
      </c>
      <c r="K88" s="2500">
        <v>0</v>
      </c>
      <c r="L88" s="2500">
        <v>0</v>
      </c>
      <c r="M88" s="2500">
        <v>0</v>
      </c>
      <c r="N88" s="2029">
        <v>0</v>
      </c>
      <c r="O88" s="2054" t="s">
        <v>1617</v>
      </c>
      <c r="P88" s="3273"/>
      <c r="Q88" s="3274"/>
      <c r="R88" s="3713"/>
      <c r="S88" s="3713"/>
      <c r="T88" s="3713"/>
      <c r="U88" s="3713"/>
      <c r="V88" s="3713"/>
      <c r="W88" s="3713"/>
      <c r="X88" s="3713"/>
      <c r="Y88" s="3713"/>
      <c r="Z88" s="3713"/>
      <c r="AA88" s="3713"/>
      <c r="AB88" s="3274"/>
      <c r="AC88" s="3274"/>
      <c r="AD88" s="3274"/>
      <c r="AE88" s="3274"/>
      <c r="AF88" s="3274"/>
      <c r="AG88" s="3274"/>
      <c r="AH88" s="3274"/>
      <c r="AI88" s="3274"/>
      <c r="AJ88" s="3274"/>
      <c r="AK88" s="3274"/>
      <c r="AL88" s="3274"/>
      <c r="AM88" s="3276"/>
      <c r="AN88" s="3278"/>
      <c r="AO88" s="3280"/>
      <c r="AP88" s="3274"/>
      <c r="AQ88" s="3274"/>
      <c r="AR88" s="3340"/>
      <c r="AS88" s="3340"/>
      <c r="AT88" s="3340"/>
      <c r="AU88" s="3340"/>
      <c r="AV88" s="3340"/>
      <c r="AW88" s="3340"/>
      <c r="AX88" s="3340"/>
      <c r="AY88" s="3340"/>
      <c r="AZ88" s="3340"/>
      <c r="BA88" s="3340"/>
      <c r="BB88" s="3340"/>
      <c r="BC88" s="3340"/>
      <c r="BD88" s="3340"/>
      <c r="BE88" s="3340"/>
      <c r="BF88" s="3340"/>
      <c r="BG88" s="3340"/>
      <c r="BH88" s="3340"/>
      <c r="BI88" s="3340"/>
      <c r="BJ88" s="3340"/>
      <c r="BK88" s="3340"/>
      <c r="BL88" s="3340"/>
      <c r="BM88" s="3340"/>
      <c r="BN88" s="3340"/>
      <c r="BO88" s="3340"/>
      <c r="BP88" s="3340"/>
      <c r="BQ88" s="3387"/>
      <c r="BR88" s="3385"/>
      <c r="BS88" s="3385"/>
      <c r="BT88" s="3385"/>
      <c r="BU88" s="3385"/>
      <c r="BV88" s="3385"/>
      <c r="BW88" s="3385"/>
      <c r="BX88" s="3385"/>
      <c r="BY88" s="3385"/>
      <c r="BZ88" s="3385"/>
      <c r="CA88" s="3385"/>
      <c r="CB88" s="3386"/>
      <c r="CC88" s="3384"/>
      <c r="CD88" s="3384"/>
      <c r="CE88" s="3384"/>
      <c r="CF88" s="3384"/>
      <c r="CG88" s="3384"/>
      <c r="CH88" s="3384"/>
      <c r="CI88" s="3384"/>
      <c r="CJ88" s="3384"/>
      <c r="CK88" s="3384"/>
      <c r="CL88" s="3384"/>
      <c r="CM88" s="3386"/>
    </row>
    <row r="89" spans="1:91" ht="15.75" thickBot="1">
      <c r="A89" s="3283"/>
      <c r="B89" s="2551" t="str">
        <f t="shared" si="1"/>
        <v>3039610033</v>
      </c>
      <c r="C89" s="2493" t="s">
        <v>721</v>
      </c>
      <c r="D89" s="2018">
        <v>3961</v>
      </c>
      <c r="E89" s="2018">
        <v>33</v>
      </c>
      <c r="F89" s="2019">
        <v>2650</v>
      </c>
      <c r="G89" s="2498" t="s">
        <v>947</v>
      </c>
      <c r="H89" s="2018" t="s">
        <v>1560</v>
      </c>
      <c r="I89" s="2020">
        <v>1</v>
      </c>
      <c r="J89" s="2501">
        <v>0</v>
      </c>
      <c r="K89" s="2501">
        <v>0</v>
      </c>
      <c r="L89" s="2501">
        <v>0</v>
      </c>
      <c r="M89" s="2501">
        <v>0</v>
      </c>
      <c r="N89" s="2508">
        <v>0</v>
      </c>
      <c r="O89" s="2055" t="s">
        <v>1617</v>
      </c>
      <c r="P89" s="3359"/>
      <c r="Q89" s="3361"/>
      <c r="R89" s="3363"/>
      <c r="S89" s="3363"/>
      <c r="T89" s="3363"/>
      <c r="U89" s="3363"/>
      <c r="V89" s="3363"/>
      <c r="W89" s="3363"/>
      <c r="X89" s="3363"/>
      <c r="Y89" s="3363"/>
      <c r="Z89" s="3363"/>
      <c r="AA89" s="3363"/>
      <c r="AB89" s="3361"/>
      <c r="AC89" s="3361"/>
      <c r="AD89" s="3361"/>
      <c r="AE89" s="3361"/>
      <c r="AF89" s="3361"/>
      <c r="AG89" s="3361"/>
      <c r="AH89" s="3361"/>
      <c r="AI89" s="3361"/>
      <c r="AJ89" s="3361"/>
      <c r="AK89" s="3361"/>
      <c r="AL89" s="3361"/>
      <c r="AM89" s="3365"/>
      <c r="AN89" s="3338"/>
      <c r="AO89" s="3339"/>
      <c r="AP89" s="3361"/>
      <c r="AQ89" s="3361"/>
      <c r="AR89" s="3332"/>
      <c r="AS89" s="3332"/>
      <c r="AT89" s="3332"/>
      <c r="AU89" s="3332"/>
      <c r="AV89" s="3332"/>
      <c r="AW89" s="3332"/>
      <c r="AX89" s="3332"/>
      <c r="AY89" s="3332"/>
      <c r="AZ89" s="3332"/>
      <c r="BA89" s="3332"/>
      <c r="BB89" s="3332"/>
      <c r="BC89" s="3332"/>
      <c r="BD89" s="3332"/>
      <c r="BE89" s="3332"/>
      <c r="BF89" s="3332"/>
      <c r="BG89" s="3332"/>
      <c r="BH89" s="3332"/>
      <c r="BI89" s="3332"/>
      <c r="BJ89" s="3332"/>
      <c r="BK89" s="3332"/>
      <c r="BL89" s="3332"/>
      <c r="BM89" s="3332"/>
      <c r="BN89" s="3332"/>
      <c r="BO89" s="3332"/>
      <c r="BP89" s="3332"/>
      <c r="BQ89" s="3357"/>
      <c r="BR89" s="3375"/>
      <c r="BS89" s="3375"/>
      <c r="BT89" s="3375"/>
      <c r="BU89" s="3375"/>
      <c r="BV89" s="3375"/>
      <c r="BW89" s="3375"/>
      <c r="BX89" s="3375"/>
      <c r="BY89" s="3375"/>
      <c r="BZ89" s="3375"/>
      <c r="CA89" s="3375"/>
      <c r="CB89" s="3371"/>
      <c r="CC89" s="3373"/>
      <c r="CD89" s="3373"/>
      <c r="CE89" s="3373"/>
      <c r="CF89" s="3373"/>
      <c r="CG89" s="3373"/>
      <c r="CH89" s="3373"/>
      <c r="CI89" s="3373"/>
      <c r="CJ89" s="3373"/>
      <c r="CK89" s="3373"/>
      <c r="CL89" s="3373"/>
      <c r="CM89" s="3371"/>
    </row>
    <row r="90" spans="1:91">
      <c r="A90" s="3282">
        <v>34</v>
      </c>
      <c r="B90" s="2551" t="str">
        <f t="shared" si="1"/>
        <v>3039620030</v>
      </c>
      <c r="C90" s="2010" t="s">
        <v>703</v>
      </c>
      <c r="D90" s="2011">
        <v>3962</v>
      </c>
      <c r="E90" s="2011">
        <v>30</v>
      </c>
      <c r="F90" s="2494">
        <v>10000</v>
      </c>
      <c r="G90" s="2496" t="s">
        <v>947</v>
      </c>
      <c r="H90" s="2011" t="s">
        <v>1560</v>
      </c>
      <c r="I90" s="2012">
        <v>1</v>
      </c>
      <c r="J90" s="2491">
        <v>0</v>
      </c>
      <c r="K90" s="2491">
        <v>6378</v>
      </c>
      <c r="L90" s="2491">
        <v>0</v>
      </c>
      <c r="M90" s="2491">
        <v>6378</v>
      </c>
      <c r="N90" s="2489">
        <v>0</v>
      </c>
      <c r="O90" s="2525" t="s">
        <v>1618</v>
      </c>
      <c r="P90" s="3272">
        <v>2355</v>
      </c>
      <c r="Q90" s="3265">
        <v>0</v>
      </c>
      <c r="R90" s="3265">
        <v>0</v>
      </c>
      <c r="S90" s="3265">
        <v>0</v>
      </c>
      <c r="T90" s="3265">
        <v>0</v>
      </c>
      <c r="U90" s="3265">
        <v>0</v>
      </c>
      <c r="V90" s="3265">
        <v>0</v>
      </c>
      <c r="W90" s="3265">
        <v>2000</v>
      </c>
      <c r="X90" s="3265">
        <v>0</v>
      </c>
      <c r="Y90" s="3265">
        <v>6378</v>
      </c>
      <c r="Z90" s="3265">
        <v>0</v>
      </c>
      <c r="AA90" s="3265">
        <v>0</v>
      </c>
      <c r="AB90" s="3265">
        <v>10733</v>
      </c>
      <c r="AC90" s="3265">
        <v>10733</v>
      </c>
      <c r="AD90" s="3265">
        <v>2</v>
      </c>
      <c r="AE90" s="3265">
        <v>0</v>
      </c>
      <c r="AF90" s="3265">
        <v>5</v>
      </c>
      <c r="AG90" s="3265">
        <v>0</v>
      </c>
      <c r="AH90" s="3265">
        <v>0</v>
      </c>
      <c r="AI90" s="3265">
        <v>0</v>
      </c>
      <c r="AJ90" s="3265">
        <v>0</v>
      </c>
      <c r="AK90" s="3265">
        <v>0</v>
      </c>
      <c r="AL90" s="3265">
        <v>5</v>
      </c>
      <c r="AM90" s="3275">
        <v>25</v>
      </c>
      <c r="AN90" s="3277" t="s">
        <v>1615</v>
      </c>
      <c r="AO90" s="3279" t="s">
        <v>1560</v>
      </c>
      <c r="AP90" s="3265" t="s">
        <v>1619</v>
      </c>
      <c r="AQ90" s="3265">
        <v>40500</v>
      </c>
      <c r="AR90" s="3331">
        <v>0</v>
      </c>
      <c r="AS90" s="3331">
        <v>0</v>
      </c>
      <c r="AT90" s="3331">
        <v>0</v>
      </c>
      <c r="AU90" s="3331">
        <v>0</v>
      </c>
      <c r="AV90" s="3331">
        <v>0</v>
      </c>
      <c r="AW90" s="3331">
        <v>0</v>
      </c>
      <c r="AX90" s="3331">
        <v>0</v>
      </c>
      <c r="AY90" s="3331">
        <v>0</v>
      </c>
      <c r="AZ90" s="3331">
        <v>0</v>
      </c>
      <c r="BA90" s="3331">
        <v>13500</v>
      </c>
      <c r="BB90" s="3331">
        <v>0</v>
      </c>
      <c r="BC90" s="3331">
        <v>54000</v>
      </c>
      <c r="BD90" s="3331">
        <v>55500</v>
      </c>
      <c r="BE90" s="3331">
        <v>40</v>
      </c>
      <c r="BF90" s="3331">
        <v>20</v>
      </c>
      <c r="BG90" s="3331">
        <v>10</v>
      </c>
      <c r="BH90" s="3331">
        <v>0</v>
      </c>
      <c r="BI90" s="3331">
        <v>0</v>
      </c>
      <c r="BJ90" s="3331">
        <v>0</v>
      </c>
      <c r="BK90" s="3331">
        <v>0</v>
      </c>
      <c r="BL90" s="3331">
        <v>0</v>
      </c>
      <c r="BM90" s="3331">
        <v>0</v>
      </c>
      <c r="BN90" s="3331">
        <v>0</v>
      </c>
      <c r="BO90" s="3331">
        <v>10</v>
      </c>
      <c r="BP90" s="3331">
        <v>85</v>
      </c>
      <c r="BQ90" s="3379">
        <v>38145</v>
      </c>
      <c r="BR90" s="3331">
        <v>-3189</v>
      </c>
      <c r="BS90" s="3331">
        <v>0</v>
      </c>
      <c r="BT90" s="3331">
        <v>0</v>
      </c>
      <c r="BU90" s="3331">
        <v>0</v>
      </c>
      <c r="BV90" s="3331">
        <v>0</v>
      </c>
      <c r="BW90" s="3331">
        <v>-3189</v>
      </c>
      <c r="BX90" s="3331">
        <v>-2000</v>
      </c>
      <c r="BY90" s="3331">
        <v>0</v>
      </c>
      <c r="BZ90" s="3331">
        <v>-6378</v>
      </c>
      <c r="CA90" s="3331">
        <v>13500</v>
      </c>
      <c r="CB90" s="3345">
        <v>0</v>
      </c>
      <c r="CC90" s="3346">
        <v>43267</v>
      </c>
      <c r="CD90" s="3346">
        <v>-8378</v>
      </c>
      <c r="CE90" s="3346">
        <v>38</v>
      </c>
      <c r="CF90" s="3346">
        <v>20</v>
      </c>
      <c r="CG90" s="3346">
        <v>10</v>
      </c>
      <c r="CH90" s="3346">
        <v>0</v>
      </c>
      <c r="CI90" s="3346">
        <v>-5</v>
      </c>
      <c r="CJ90" s="3346">
        <v>0</v>
      </c>
      <c r="CK90" s="3346">
        <v>0</v>
      </c>
      <c r="CL90" s="3346">
        <v>0</v>
      </c>
      <c r="CM90" s="3345">
        <v>0</v>
      </c>
    </row>
    <row r="91" spans="1:91">
      <c r="A91" s="3313"/>
      <c r="B91" s="2551" t="str">
        <f t="shared" si="1"/>
        <v>3039620031</v>
      </c>
      <c r="C91" s="2492" t="s">
        <v>710</v>
      </c>
      <c r="D91" s="2026">
        <v>3962</v>
      </c>
      <c r="E91" s="2026">
        <v>31</v>
      </c>
      <c r="F91" s="2027">
        <v>2500</v>
      </c>
      <c r="G91" s="2497" t="s">
        <v>947</v>
      </c>
      <c r="H91" s="2026" t="s">
        <v>1560</v>
      </c>
      <c r="I91" s="2028">
        <v>1</v>
      </c>
      <c r="J91" s="2500">
        <v>0</v>
      </c>
      <c r="K91" s="2500">
        <v>0</v>
      </c>
      <c r="L91" s="2500">
        <v>0</v>
      </c>
      <c r="M91" s="2500">
        <v>0</v>
      </c>
      <c r="N91" s="2029">
        <v>0</v>
      </c>
      <c r="O91" s="2057" t="s">
        <v>1617</v>
      </c>
      <c r="P91" s="3273"/>
      <c r="Q91" s="3274"/>
      <c r="R91" s="3713"/>
      <c r="S91" s="3713"/>
      <c r="T91" s="3713"/>
      <c r="U91" s="3713"/>
      <c r="V91" s="3713"/>
      <c r="W91" s="3713"/>
      <c r="X91" s="3713"/>
      <c r="Y91" s="3713"/>
      <c r="Z91" s="3713"/>
      <c r="AA91" s="3713"/>
      <c r="AB91" s="3274"/>
      <c r="AC91" s="3274"/>
      <c r="AD91" s="3274"/>
      <c r="AE91" s="3274"/>
      <c r="AF91" s="3274"/>
      <c r="AG91" s="3274"/>
      <c r="AH91" s="3274"/>
      <c r="AI91" s="3274"/>
      <c r="AJ91" s="3274"/>
      <c r="AK91" s="3274"/>
      <c r="AL91" s="3274"/>
      <c r="AM91" s="3276"/>
      <c r="AN91" s="3278"/>
      <c r="AO91" s="3280"/>
      <c r="AP91" s="3274"/>
      <c r="AQ91" s="3274"/>
      <c r="AR91" s="3340"/>
      <c r="AS91" s="3340"/>
      <c r="AT91" s="3340"/>
      <c r="AU91" s="3340"/>
      <c r="AV91" s="3340"/>
      <c r="AW91" s="3340"/>
      <c r="AX91" s="3340"/>
      <c r="AY91" s="3340"/>
      <c r="AZ91" s="3340"/>
      <c r="BA91" s="3340"/>
      <c r="BB91" s="3340"/>
      <c r="BC91" s="3340"/>
      <c r="BD91" s="3340"/>
      <c r="BE91" s="3340"/>
      <c r="BF91" s="3340"/>
      <c r="BG91" s="3340"/>
      <c r="BH91" s="3340"/>
      <c r="BI91" s="3340"/>
      <c r="BJ91" s="3340"/>
      <c r="BK91" s="3340"/>
      <c r="BL91" s="3340"/>
      <c r="BM91" s="3340"/>
      <c r="BN91" s="3340"/>
      <c r="BO91" s="3340"/>
      <c r="BP91" s="3340"/>
      <c r="BQ91" s="3387"/>
      <c r="BR91" s="3385"/>
      <c r="BS91" s="3385"/>
      <c r="BT91" s="3385"/>
      <c r="BU91" s="3385"/>
      <c r="BV91" s="3385"/>
      <c r="BW91" s="3385"/>
      <c r="BX91" s="3385"/>
      <c r="BY91" s="3385"/>
      <c r="BZ91" s="3385"/>
      <c r="CA91" s="3385"/>
      <c r="CB91" s="3386"/>
      <c r="CC91" s="3384"/>
      <c r="CD91" s="3384"/>
      <c r="CE91" s="3384"/>
      <c r="CF91" s="3384"/>
      <c r="CG91" s="3384"/>
      <c r="CH91" s="3384"/>
      <c r="CI91" s="3384"/>
      <c r="CJ91" s="3384"/>
      <c r="CK91" s="3384"/>
      <c r="CL91" s="3384"/>
      <c r="CM91" s="3386"/>
    </row>
    <row r="92" spans="1:91" ht="15.75" thickBot="1">
      <c r="A92" s="3380"/>
      <c r="B92" s="2551" t="str">
        <f t="shared" si="1"/>
        <v>3039620032</v>
      </c>
      <c r="C92" s="2468" t="s">
        <v>721</v>
      </c>
      <c r="D92" s="2014">
        <v>3962</v>
      </c>
      <c r="E92" s="2014">
        <v>32</v>
      </c>
      <c r="F92" s="2038">
        <v>2500</v>
      </c>
      <c r="G92" s="2133" t="s">
        <v>947</v>
      </c>
      <c r="H92" s="2014" t="s">
        <v>1560</v>
      </c>
      <c r="I92" s="2016">
        <v>1</v>
      </c>
      <c r="J92" s="2538">
        <v>0</v>
      </c>
      <c r="K92" s="2538">
        <v>0</v>
      </c>
      <c r="L92" s="2538">
        <v>0</v>
      </c>
      <c r="M92" s="2538">
        <v>2355</v>
      </c>
      <c r="N92" s="2509">
        <v>2</v>
      </c>
      <c r="O92" s="2514" t="s">
        <v>1578</v>
      </c>
      <c r="P92" s="3359"/>
      <c r="Q92" s="3361"/>
      <c r="R92" s="3363"/>
      <c r="S92" s="3363"/>
      <c r="T92" s="3363"/>
      <c r="U92" s="3363"/>
      <c r="V92" s="3363"/>
      <c r="W92" s="3363"/>
      <c r="X92" s="3363"/>
      <c r="Y92" s="3363"/>
      <c r="Z92" s="3363"/>
      <c r="AA92" s="3363"/>
      <c r="AB92" s="3361"/>
      <c r="AC92" s="3361"/>
      <c r="AD92" s="3361"/>
      <c r="AE92" s="3361"/>
      <c r="AF92" s="3361"/>
      <c r="AG92" s="3361"/>
      <c r="AH92" s="3361"/>
      <c r="AI92" s="3361"/>
      <c r="AJ92" s="3361"/>
      <c r="AK92" s="3361"/>
      <c r="AL92" s="3361"/>
      <c r="AM92" s="3365"/>
      <c r="AN92" s="3338"/>
      <c r="AO92" s="3339"/>
      <c r="AP92" s="3361"/>
      <c r="AQ92" s="3361"/>
      <c r="AR92" s="3332"/>
      <c r="AS92" s="3332"/>
      <c r="AT92" s="3332"/>
      <c r="AU92" s="3332"/>
      <c r="AV92" s="3332"/>
      <c r="AW92" s="3332"/>
      <c r="AX92" s="3332"/>
      <c r="AY92" s="3332"/>
      <c r="AZ92" s="3332"/>
      <c r="BA92" s="3332"/>
      <c r="BB92" s="3332"/>
      <c r="BC92" s="3332"/>
      <c r="BD92" s="3332"/>
      <c r="BE92" s="3332"/>
      <c r="BF92" s="3332"/>
      <c r="BG92" s="3332"/>
      <c r="BH92" s="3332"/>
      <c r="BI92" s="3332"/>
      <c r="BJ92" s="3332"/>
      <c r="BK92" s="3332"/>
      <c r="BL92" s="3332"/>
      <c r="BM92" s="3332"/>
      <c r="BN92" s="3332"/>
      <c r="BO92" s="3332"/>
      <c r="BP92" s="3332"/>
      <c r="BQ92" s="3387"/>
      <c r="BR92" s="3385"/>
      <c r="BS92" s="3385"/>
      <c r="BT92" s="3385"/>
      <c r="BU92" s="3385"/>
      <c r="BV92" s="3385"/>
      <c r="BW92" s="3385"/>
      <c r="BX92" s="3385"/>
      <c r="BY92" s="3385"/>
      <c r="BZ92" s="3385"/>
      <c r="CA92" s="3385"/>
      <c r="CB92" s="3386"/>
      <c r="CC92" s="3384"/>
      <c r="CD92" s="3384"/>
      <c r="CE92" s="3384"/>
      <c r="CF92" s="3384"/>
      <c r="CG92" s="3384"/>
      <c r="CH92" s="3384"/>
      <c r="CI92" s="3384"/>
      <c r="CJ92" s="3384"/>
      <c r="CK92" s="3384"/>
      <c r="CL92" s="3384"/>
      <c r="CM92" s="3386"/>
    </row>
    <row r="93" spans="1:91">
      <c r="A93" s="3282">
        <v>35</v>
      </c>
      <c r="B93" s="2551" t="str">
        <f t="shared" si="1"/>
        <v>3039630014</v>
      </c>
      <c r="C93" s="2010" t="s">
        <v>703</v>
      </c>
      <c r="D93" s="2011">
        <v>3963</v>
      </c>
      <c r="E93" s="2011">
        <v>14</v>
      </c>
      <c r="F93" s="2494">
        <v>2575</v>
      </c>
      <c r="G93" s="2496" t="s">
        <v>1566</v>
      </c>
      <c r="H93" s="2011" t="s">
        <v>1560</v>
      </c>
      <c r="I93" s="2012">
        <v>2</v>
      </c>
      <c r="J93" s="2491">
        <v>0</v>
      </c>
      <c r="K93" s="2491">
        <v>0</v>
      </c>
      <c r="L93" s="2491">
        <v>0</v>
      </c>
      <c r="M93" s="2491">
        <v>1320</v>
      </c>
      <c r="N93" s="2489">
        <v>1</v>
      </c>
      <c r="O93" s="2036" t="s">
        <v>1578</v>
      </c>
      <c r="P93" s="3272">
        <v>1320</v>
      </c>
      <c r="Q93" s="3265">
        <v>0</v>
      </c>
      <c r="R93" s="3265">
        <v>0</v>
      </c>
      <c r="S93" s="3265">
        <v>2650</v>
      </c>
      <c r="T93" s="3265">
        <v>0</v>
      </c>
      <c r="U93" s="3265">
        <v>0</v>
      </c>
      <c r="V93" s="3265">
        <v>0</v>
      </c>
      <c r="W93" s="3265">
        <v>0</v>
      </c>
      <c r="X93" s="3265">
        <v>0</v>
      </c>
      <c r="Y93" s="3265">
        <v>0</v>
      </c>
      <c r="Z93" s="3265">
        <v>0</v>
      </c>
      <c r="AA93" s="3265">
        <v>0</v>
      </c>
      <c r="AB93" s="3265">
        <v>3970</v>
      </c>
      <c r="AC93" s="3265">
        <v>5290</v>
      </c>
      <c r="AD93" s="3265">
        <v>1</v>
      </c>
      <c r="AE93" s="3265">
        <v>0</v>
      </c>
      <c r="AF93" s="3265">
        <v>0</v>
      </c>
      <c r="AG93" s="3265">
        <v>0</v>
      </c>
      <c r="AH93" s="3265">
        <v>0</v>
      </c>
      <c r="AI93" s="3265">
        <v>0</v>
      </c>
      <c r="AJ93" s="3265">
        <v>0</v>
      </c>
      <c r="AK93" s="3265">
        <v>0</v>
      </c>
      <c r="AL93" s="3265">
        <v>0</v>
      </c>
      <c r="AM93" s="3275">
        <v>25</v>
      </c>
      <c r="AN93" s="3277" t="s">
        <v>741</v>
      </c>
      <c r="AO93" s="3279" t="s">
        <v>706</v>
      </c>
      <c r="AP93" s="3265" t="s">
        <v>1595</v>
      </c>
      <c r="AQ93" s="3265">
        <v>50729</v>
      </c>
      <c r="AR93" s="3331">
        <v>5704.2</v>
      </c>
      <c r="AS93" s="3331">
        <v>0</v>
      </c>
      <c r="AT93" s="3331">
        <v>0</v>
      </c>
      <c r="AU93" s="3331">
        <v>0</v>
      </c>
      <c r="AV93" s="3331">
        <v>0</v>
      </c>
      <c r="AW93" s="3331">
        <v>0</v>
      </c>
      <c r="AX93" s="3331">
        <v>0</v>
      </c>
      <c r="AY93" s="3331">
        <v>0</v>
      </c>
      <c r="AZ93" s="3331">
        <v>0</v>
      </c>
      <c r="BA93" s="3331">
        <v>0</v>
      </c>
      <c r="BB93" s="3331">
        <v>0</v>
      </c>
      <c r="BC93" s="3331">
        <v>56433.2</v>
      </c>
      <c r="BD93" s="3331">
        <v>57567</v>
      </c>
      <c r="BE93" s="3331">
        <v>50</v>
      </c>
      <c r="BF93" s="3331">
        <v>25</v>
      </c>
      <c r="BG93" s="3331">
        <v>10</v>
      </c>
      <c r="BH93" s="3331">
        <v>0</v>
      </c>
      <c r="BI93" s="3331">
        <v>6</v>
      </c>
      <c r="BJ93" s="3331">
        <v>0</v>
      </c>
      <c r="BK93" s="3331">
        <v>0</v>
      </c>
      <c r="BL93" s="3331">
        <v>0</v>
      </c>
      <c r="BM93" s="3331">
        <v>0</v>
      </c>
      <c r="BN93" s="3331">
        <v>0</v>
      </c>
      <c r="BO93" s="3331">
        <v>16</v>
      </c>
      <c r="BP93" s="3331">
        <v>145</v>
      </c>
      <c r="BQ93" s="3379">
        <v>49409</v>
      </c>
      <c r="BR93" s="3331">
        <v>5704.2</v>
      </c>
      <c r="BS93" s="3331">
        <v>0</v>
      </c>
      <c r="BT93" s="3331">
        <v>-2650</v>
      </c>
      <c r="BU93" s="3331">
        <v>0</v>
      </c>
      <c r="BV93" s="3331">
        <v>0</v>
      </c>
      <c r="BW93" s="3331">
        <v>0</v>
      </c>
      <c r="BX93" s="3331">
        <v>0</v>
      </c>
      <c r="BY93" s="3331">
        <v>0</v>
      </c>
      <c r="BZ93" s="3331">
        <v>0</v>
      </c>
      <c r="CA93" s="3331">
        <v>0</v>
      </c>
      <c r="CB93" s="3345">
        <v>0</v>
      </c>
      <c r="CC93" s="3346">
        <v>52463.199999999997</v>
      </c>
      <c r="CD93" s="3346">
        <v>3054.2</v>
      </c>
      <c r="CE93" s="3346">
        <v>49</v>
      </c>
      <c r="CF93" s="3346">
        <v>25</v>
      </c>
      <c r="CG93" s="3346">
        <v>10</v>
      </c>
      <c r="CH93" s="3346">
        <v>0</v>
      </c>
      <c r="CI93" s="3346">
        <v>6</v>
      </c>
      <c r="CJ93" s="3346">
        <v>0</v>
      </c>
      <c r="CK93" s="3346">
        <v>0</v>
      </c>
      <c r="CL93" s="3346">
        <v>0</v>
      </c>
      <c r="CM93" s="3345">
        <v>0</v>
      </c>
    </row>
    <row r="94" spans="1:91">
      <c r="A94" s="3313"/>
      <c r="B94" s="2551" t="str">
        <f t="shared" si="1"/>
        <v>3039630015</v>
      </c>
      <c r="C94" s="2492" t="s">
        <v>710</v>
      </c>
      <c r="D94" s="2026">
        <v>3963</v>
      </c>
      <c r="E94" s="2026">
        <v>15</v>
      </c>
      <c r="F94" s="2027">
        <v>2613</v>
      </c>
      <c r="G94" s="2497" t="s">
        <v>1566</v>
      </c>
      <c r="H94" s="2026" t="s">
        <v>1560</v>
      </c>
      <c r="I94" s="2028">
        <v>2</v>
      </c>
      <c r="J94" s="2500">
        <v>0</v>
      </c>
      <c r="K94" s="2500">
        <v>0</v>
      </c>
      <c r="L94" s="2500">
        <v>0</v>
      </c>
      <c r="M94" s="2500">
        <v>0</v>
      </c>
      <c r="N94" s="2029">
        <v>0</v>
      </c>
      <c r="O94" s="2513" t="s">
        <v>720</v>
      </c>
      <c r="P94" s="3273"/>
      <c r="Q94" s="3274"/>
      <c r="R94" s="3713"/>
      <c r="S94" s="3713"/>
      <c r="T94" s="3713"/>
      <c r="U94" s="3713"/>
      <c r="V94" s="3713"/>
      <c r="W94" s="3713"/>
      <c r="X94" s="3713"/>
      <c r="Y94" s="3713"/>
      <c r="Z94" s="3713"/>
      <c r="AA94" s="3713"/>
      <c r="AB94" s="3274"/>
      <c r="AC94" s="3274"/>
      <c r="AD94" s="3274"/>
      <c r="AE94" s="3274"/>
      <c r="AF94" s="3274"/>
      <c r="AG94" s="3274"/>
      <c r="AH94" s="3274"/>
      <c r="AI94" s="3274"/>
      <c r="AJ94" s="3274"/>
      <c r="AK94" s="3274"/>
      <c r="AL94" s="3274"/>
      <c r="AM94" s="3276"/>
      <c r="AN94" s="3278"/>
      <c r="AO94" s="3280"/>
      <c r="AP94" s="3274"/>
      <c r="AQ94" s="3274"/>
      <c r="AR94" s="3340"/>
      <c r="AS94" s="3340"/>
      <c r="AT94" s="3340"/>
      <c r="AU94" s="3340"/>
      <c r="AV94" s="3340"/>
      <c r="AW94" s="3340"/>
      <c r="AX94" s="3340"/>
      <c r="AY94" s="3340"/>
      <c r="AZ94" s="3340"/>
      <c r="BA94" s="3340"/>
      <c r="BB94" s="3340"/>
      <c r="BC94" s="3340"/>
      <c r="BD94" s="3340"/>
      <c r="BE94" s="3340"/>
      <c r="BF94" s="3340"/>
      <c r="BG94" s="3340"/>
      <c r="BH94" s="3340"/>
      <c r="BI94" s="3340"/>
      <c r="BJ94" s="3340"/>
      <c r="BK94" s="3340"/>
      <c r="BL94" s="3340"/>
      <c r="BM94" s="3340"/>
      <c r="BN94" s="3340"/>
      <c r="BO94" s="3340"/>
      <c r="BP94" s="3340"/>
      <c r="BQ94" s="3387"/>
      <c r="BR94" s="3385"/>
      <c r="BS94" s="3385"/>
      <c r="BT94" s="3385"/>
      <c r="BU94" s="3385"/>
      <c r="BV94" s="3385"/>
      <c r="BW94" s="3385"/>
      <c r="BX94" s="3385"/>
      <c r="BY94" s="3385"/>
      <c r="BZ94" s="3385"/>
      <c r="CA94" s="3385"/>
      <c r="CB94" s="3386"/>
      <c r="CC94" s="3384"/>
      <c r="CD94" s="3384"/>
      <c r="CE94" s="3384"/>
      <c r="CF94" s="3384"/>
      <c r="CG94" s="3384"/>
      <c r="CH94" s="3384"/>
      <c r="CI94" s="3384"/>
      <c r="CJ94" s="3384"/>
      <c r="CK94" s="3384"/>
      <c r="CL94" s="3384"/>
      <c r="CM94" s="3386"/>
    </row>
    <row r="95" spans="1:91" ht="15.75" thickBot="1">
      <c r="A95" s="3283"/>
      <c r="B95" s="2551" t="str">
        <f t="shared" si="1"/>
        <v>3039630016</v>
      </c>
      <c r="C95" s="2493" t="s">
        <v>721</v>
      </c>
      <c r="D95" s="2018">
        <v>3963</v>
      </c>
      <c r="E95" s="2018">
        <v>16</v>
      </c>
      <c r="F95" s="2019">
        <v>2650</v>
      </c>
      <c r="G95" s="2498" t="s">
        <v>1566</v>
      </c>
      <c r="H95" s="2018" t="s">
        <v>1560</v>
      </c>
      <c r="I95" s="2020">
        <v>2</v>
      </c>
      <c r="J95" s="2501">
        <v>2650</v>
      </c>
      <c r="K95" s="2501">
        <v>0</v>
      </c>
      <c r="L95" s="2501">
        <v>0</v>
      </c>
      <c r="M95" s="2501">
        <v>2650</v>
      </c>
      <c r="N95" s="2508">
        <v>0</v>
      </c>
      <c r="O95" s="2058" t="s">
        <v>1620</v>
      </c>
      <c r="P95" s="3359"/>
      <c r="Q95" s="3361"/>
      <c r="R95" s="3363"/>
      <c r="S95" s="3363"/>
      <c r="T95" s="3363"/>
      <c r="U95" s="3363"/>
      <c r="V95" s="3363"/>
      <c r="W95" s="3363"/>
      <c r="X95" s="3363"/>
      <c r="Y95" s="3363"/>
      <c r="Z95" s="3363"/>
      <c r="AA95" s="3363"/>
      <c r="AB95" s="3361"/>
      <c r="AC95" s="3361"/>
      <c r="AD95" s="3361"/>
      <c r="AE95" s="3361"/>
      <c r="AF95" s="3361"/>
      <c r="AG95" s="3361"/>
      <c r="AH95" s="3361"/>
      <c r="AI95" s="3361"/>
      <c r="AJ95" s="3361"/>
      <c r="AK95" s="3361"/>
      <c r="AL95" s="3361"/>
      <c r="AM95" s="3365"/>
      <c r="AN95" s="3338"/>
      <c r="AO95" s="3339"/>
      <c r="AP95" s="3361"/>
      <c r="AQ95" s="3361"/>
      <c r="AR95" s="3332"/>
      <c r="AS95" s="3332"/>
      <c r="AT95" s="3332"/>
      <c r="AU95" s="3332"/>
      <c r="AV95" s="3332"/>
      <c r="AW95" s="3332"/>
      <c r="AX95" s="3332"/>
      <c r="AY95" s="3332"/>
      <c r="AZ95" s="3332"/>
      <c r="BA95" s="3332"/>
      <c r="BB95" s="3332"/>
      <c r="BC95" s="3332"/>
      <c r="BD95" s="3332"/>
      <c r="BE95" s="3332"/>
      <c r="BF95" s="3332"/>
      <c r="BG95" s="3332"/>
      <c r="BH95" s="3332"/>
      <c r="BI95" s="3332"/>
      <c r="BJ95" s="3332"/>
      <c r="BK95" s="3332"/>
      <c r="BL95" s="3332"/>
      <c r="BM95" s="3332"/>
      <c r="BN95" s="3332"/>
      <c r="BO95" s="3332"/>
      <c r="BP95" s="3332"/>
      <c r="BQ95" s="3357"/>
      <c r="BR95" s="3375"/>
      <c r="BS95" s="3375"/>
      <c r="BT95" s="3375"/>
      <c r="BU95" s="3375"/>
      <c r="BV95" s="3375"/>
      <c r="BW95" s="3375"/>
      <c r="BX95" s="3375"/>
      <c r="BY95" s="3375"/>
      <c r="BZ95" s="3375"/>
      <c r="CA95" s="3375"/>
      <c r="CB95" s="3371"/>
      <c r="CC95" s="3373"/>
      <c r="CD95" s="3373"/>
      <c r="CE95" s="3373"/>
      <c r="CF95" s="3373"/>
      <c r="CG95" s="3373"/>
      <c r="CH95" s="3373"/>
      <c r="CI95" s="3373"/>
      <c r="CJ95" s="3373"/>
      <c r="CK95" s="3373"/>
      <c r="CL95" s="3373"/>
      <c r="CM95" s="3371"/>
    </row>
    <row r="96" spans="1:91">
      <c r="A96" s="3312">
        <v>36</v>
      </c>
      <c r="B96" s="2551" t="str">
        <f t="shared" si="1"/>
        <v>3039640002</v>
      </c>
      <c r="C96" s="2022" t="s">
        <v>703</v>
      </c>
      <c r="D96" s="2023">
        <v>3964</v>
      </c>
      <c r="E96" s="2023">
        <v>2</v>
      </c>
      <c r="F96" s="2506">
        <v>2500</v>
      </c>
      <c r="G96" s="2507" t="s">
        <v>947</v>
      </c>
      <c r="H96" s="2023" t="s">
        <v>1560</v>
      </c>
      <c r="I96" s="2024">
        <v>1</v>
      </c>
      <c r="J96" s="2505">
        <v>0</v>
      </c>
      <c r="K96" s="2505">
        <v>0</v>
      </c>
      <c r="L96" s="2505">
        <v>0</v>
      </c>
      <c r="M96" s="2505">
        <v>0</v>
      </c>
      <c r="N96" s="2025">
        <v>0</v>
      </c>
      <c r="O96" s="2036" t="s">
        <v>1611</v>
      </c>
      <c r="P96" s="3272">
        <v>0</v>
      </c>
      <c r="Q96" s="3265">
        <v>0</v>
      </c>
      <c r="R96" s="3265">
        <v>0</v>
      </c>
      <c r="S96" s="3265">
        <v>0</v>
      </c>
      <c r="T96" s="3265">
        <v>2500</v>
      </c>
      <c r="U96" s="3265">
        <v>0</v>
      </c>
      <c r="V96" s="3265">
        <v>0</v>
      </c>
      <c r="W96" s="3265">
        <v>2500</v>
      </c>
      <c r="X96" s="3265">
        <v>0</v>
      </c>
      <c r="Y96" s="3265">
        <v>0</v>
      </c>
      <c r="Z96" s="3265">
        <v>0</v>
      </c>
      <c r="AA96" s="3265">
        <v>0</v>
      </c>
      <c r="AB96" s="3265">
        <v>5000</v>
      </c>
      <c r="AC96" s="3265">
        <v>2500</v>
      </c>
      <c r="AD96" s="3265">
        <v>0</v>
      </c>
      <c r="AE96" s="3265">
        <v>0</v>
      </c>
      <c r="AF96" s="3265">
        <v>0</v>
      </c>
      <c r="AG96" s="3265">
        <v>0</v>
      </c>
      <c r="AH96" s="3265">
        <v>0</v>
      </c>
      <c r="AI96" s="3265">
        <v>0</v>
      </c>
      <c r="AJ96" s="3265">
        <v>0</v>
      </c>
      <c r="AK96" s="3265">
        <v>0</v>
      </c>
      <c r="AL96" s="3265">
        <v>0</v>
      </c>
      <c r="AM96" s="3275">
        <v>15</v>
      </c>
      <c r="AN96" s="3277" t="s">
        <v>1585</v>
      </c>
      <c r="AO96" s="3279" t="s">
        <v>1560</v>
      </c>
      <c r="AP96" s="3265" t="s">
        <v>1616</v>
      </c>
      <c r="AQ96" s="3265">
        <v>18000</v>
      </c>
      <c r="AR96" s="3331">
        <v>0</v>
      </c>
      <c r="AS96" s="3331">
        <v>0</v>
      </c>
      <c r="AT96" s="3331">
        <v>0</v>
      </c>
      <c r="AU96" s="3331">
        <v>0</v>
      </c>
      <c r="AV96" s="3331">
        <v>0</v>
      </c>
      <c r="AW96" s="3331">
        <v>0</v>
      </c>
      <c r="AX96" s="3331">
        <v>0</v>
      </c>
      <c r="AY96" s="3331">
        <v>0</v>
      </c>
      <c r="AZ96" s="3331">
        <v>0</v>
      </c>
      <c r="BA96" s="3331">
        <v>0</v>
      </c>
      <c r="BB96" s="3331">
        <v>0</v>
      </c>
      <c r="BC96" s="3331">
        <v>18000</v>
      </c>
      <c r="BD96" s="3331">
        <v>18000</v>
      </c>
      <c r="BE96" s="3331">
        <v>18</v>
      </c>
      <c r="BF96" s="3331">
        <v>9</v>
      </c>
      <c r="BG96" s="3331">
        <v>5</v>
      </c>
      <c r="BH96" s="3331">
        <v>0</v>
      </c>
      <c r="BI96" s="3331">
        <v>0</v>
      </c>
      <c r="BJ96" s="3331">
        <v>0</v>
      </c>
      <c r="BK96" s="3331">
        <v>0</v>
      </c>
      <c r="BL96" s="3331">
        <v>0</v>
      </c>
      <c r="BM96" s="3331">
        <v>0</v>
      </c>
      <c r="BN96" s="3331">
        <v>0</v>
      </c>
      <c r="BO96" s="3331">
        <v>5</v>
      </c>
      <c r="BP96" s="3331">
        <v>85</v>
      </c>
      <c r="BQ96" s="3388">
        <v>18000</v>
      </c>
      <c r="BR96" s="3340">
        <v>0</v>
      </c>
      <c r="BS96" s="3340">
        <v>0</v>
      </c>
      <c r="BT96" s="3340">
        <v>0</v>
      </c>
      <c r="BU96" s="3340">
        <v>-2500</v>
      </c>
      <c r="BV96" s="3340">
        <v>0</v>
      </c>
      <c r="BW96" s="3340">
        <v>0</v>
      </c>
      <c r="BX96" s="3340">
        <v>-2500</v>
      </c>
      <c r="BY96" s="3340">
        <v>0</v>
      </c>
      <c r="BZ96" s="3340">
        <v>0</v>
      </c>
      <c r="CA96" s="3340">
        <v>0</v>
      </c>
      <c r="CB96" s="3343">
        <v>0</v>
      </c>
      <c r="CC96" s="3341">
        <v>13000</v>
      </c>
      <c r="CD96" s="3341">
        <v>-5000</v>
      </c>
      <c r="CE96" s="3341">
        <v>18</v>
      </c>
      <c r="CF96" s="3341">
        <v>9</v>
      </c>
      <c r="CG96" s="3341">
        <v>5</v>
      </c>
      <c r="CH96" s="3341">
        <v>0</v>
      </c>
      <c r="CI96" s="3341">
        <v>0</v>
      </c>
      <c r="CJ96" s="3341">
        <v>0</v>
      </c>
      <c r="CK96" s="3341">
        <v>0</v>
      </c>
      <c r="CL96" s="3341">
        <v>0</v>
      </c>
      <c r="CM96" s="3343">
        <v>0</v>
      </c>
    </row>
    <row r="97" spans="1:91" ht="15.75" thickBot="1">
      <c r="A97" s="3283"/>
      <c r="B97" s="2551" t="str">
        <f t="shared" si="1"/>
        <v>3039640003</v>
      </c>
      <c r="C97" s="2493" t="s">
        <v>710</v>
      </c>
      <c r="D97" s="2018">
        <v>3964</v>
      </c>
      <c r="E97" s="2018">
        <v>3</v>
      </c>
      <c r="F97" s="2019">
        <v>2500</v>
      </c>
      <c r="G97" s="2498" t="s">
        <v>947</v>
      </c>
      <c r="H97" s="2018" t="s">
        <v>1560</v>
      </c>
      <c r="I97" s="2020">
        <v>1</v>
      </c>
      <c r="J97" s="2501">
        <v>0</v>
      </c>
      <c r="K97" s="2501">
        <v>2500</v>
      </c>
      <c r="L97" s="2501">
        <v>0</v>
      </c>
      <c r="M97" s="2501">
        <v>2500</v>
      </c>
      <c r="N97" s="2508">
        <v>0</v>
      </c>
      <c r="O97" s="2514" t="s">
        <v>1617</v>
      </c>
      <c r="P97" s="3359"/>
      <c r="Q97" s="3361"/>
      <c r="R97" s="3363"/>
      <c r="S97" s="3363"/>
      <c r="T97" s="3363"/>
      <c r="U97" s="3363"/>
      <c r="V97" s="3363"/>
      <c r="W97" s="3363"/>
      <c r="X97" s="3363"/>
      <c r="Y97" s="3363"/>
      <c r="Z97" s="3363"/>
      <c r="AA97" s="3363"/>
      <c r="AB97" s="3361"/>
      <c r="AC97" s="3361"/>
      <c r="AD97" s="3361"/>
      <c r="AE97" s="3361"/>
      <c r="AF97" s="3361"/>
      <c r="AG97" s="3361"/>
      <c r="AH97" s="3361"/>
      <c r="AI97" s="3361"/>
      <c r="AJ97" s="3361"/>
      <c r="AK97" s="3361"/>
      <c r="AL97" s="3361"/>
      <c r="AM97" s="3365"/>
      <c r="AN97" s="3338"/>
      <c r="AO97" s="3339"/>
      <c r="AP97" s="3361"/>
      <c r="AQ97" s="3361"/>
      <c r="AR97" s="3332"/>
      <c r="AS97" s="3332"/>
      <c r="AT97" s="3332"/>
      <c r="AU97" s="3332"/>
      <c r="AV97" s="3332"/>
      <c r="AW97" s="3332"/>
      <c r="AX97" s="3332"/>
      <c r="AY97" s="3332"/>
      <c r="AZ97" s="3332"/>
      <c r="BA97" s="3332"/>
      <c r="BB97" s="3332"/>
      <c r="BC97" s="3332"/>
      <c r="BD97" s="3332"/>
      <c r="BE97" s="3332"/>
      <c r="BF97" s="3332"/>
      <c r="BG97" s="3332"/>
      <c r="BH97" s="3332"/>
      <c r="BI97" s="3332"/>
      <c r="BJ97" s="3332"/>
      <c r="BK97" s="3332"/>
      <c r="BL97" s="3332"/>
      <c r="BM97" s="3332"/>
      <c r="BN97" s="3332"/>
      <c r="BO97" s="3332"/>
      <c r="BP97" s="3332"/>
      <c r="BQ97" s="3357"/>
      <c r="BR97" s="3375"/>
      <c r="BS97" s="3375"/>
      <c r="BT97" s="3375"/>
      <c r="BU97" s="3375"/>
      <c r="BV97" s="3375"/>
      <c r="BW97" s="3375"/>
      <c r="BX97" s="3375"/>
      <c r="BY97" s="3375"/>
      <c r="BZ97" s="3375"/>
      <c r="CA97" s="3375"/>
      <c r="CB97" s="3371"/>
      <c r="CC97" s="3373"/>
      <c r="CD97" s="3373"/>
      <c r="CE97" s="3373"/>
      <c r="CF97" s="3373"/>
      <c r="CG97" s="3373"/>
      <c r="CH97" s="3373"/>
      <c r="CI97" s="3373"/>
      <c r="CJ97" s="3373"/>
      <c r="CK97" s="3373"/>
      <c r="CL97" s="3373"/>
      <c r="CM97" s="3371"/>
    </row>
    <row r="98" spans="1:91">
      <c r="A98" s="3282">
        <v>37</v>
      </c>
      <c r="B98" s="2551" t="str">
        <f t="shared" si="1"/>
        <v>3039640004</v>
      </c>
      <c r="C98" s="2010" t="s">
        <v>703</v>
      </c>
      <c r="D98" s="2011">
        <v>3964</v>
      </c>
      <c r="E98" s="2011">
        <v>4</v>
      </c>
      <c r="F98" s="2494">
        <v>10000</v>
      </c>
      <c r="G98" s="2496" t="s">
        <v>947</v>
      </c>
      <c r="H98" s="2011" t="s">
        <v>1560</v>
      </c>
      <c r="I98" s="2012">
        <v>1</v>
      </c>
      <c r="J98" s="2491">
        <v>0</v>
      </c>
      <c r="K98" s="2491">
        <v>0</v>
      </c>
      <c r="L98" s="2491">
        <v>0</v>
      </c>
      <c r="M98" s="2491">
        <v>0</v>
      </c>
      <c r="N98" s="2489">
        <v>0</v>
      </c>
      <c r="O98" s="2525" t="s">
        <v>720</v>
      </c>
      <c r="P98" s="3272">
        <v>0</v>
      </c>
      <c r="Q98" s="3265">
        <v>0</v>
      </c>
      <c r="R98" s="3265">
        <v>0</v>
      </c>
      <c r="S98" s="3265">
        <v>0</v>
      </c>
      <c r="T98" s="3265">
        <v>0</v>
      </c>
      <c r="U98" s="3265">
        <v>0</v>
      </c>
      <c r="V98" s="3265">
        <v>0</v>
      </c>
      <c r="W98" s="3265">
        <v>25467</v>
      </c>
      <c r="X98" s="3265">
        <v>0</v>
      </c>
      <c r="Y98" s="3265">
        <v>0</v>
      </c>
      <c r="Z98" s="3265">
        <v>0</v>
      </c>
      <c r="AA98" s="3265">
        <v>0</v>
      </c>
      <c r="AB98" s="3265">
        <v>25467</v>
      </c>
      <c r="AC98" s="3265">
        <v>25466.666666666668</v>
      </c>
      <c r="AD98" s="3265">
        <v>0</v>
      </c>
      <c r="AE98" s="3265">
        <v>0</v>
      </c>
      <c r="AF98" s="3265">
        <v>40</v>
      </c>
      <c r="AG98" s="3265">
        <v>0</v>
      </c>
      <c r="AH98" s="3265">
        <v>0</v>
      </c>
      <c r="AI98" s="3265">
        <v>0</v>
      </c>
      <c r="AJ98" s="3265">
        <v>0</v>
      </c>
      <c r="AK98" s="3265">
        <v>0</v>
      </c>
      <c r="AL98" s="3265">
        <v>40</v>
      </c>
      <c r="AM98" s="3275">
        <v>15</v>
      </c>
      <c r="AN98" s="3277" t="s">
        <v>1621</v>
      </c>
      <c r="AO98" s="3279" t="s">
        <v>1560</v>
      </c>
      <c r="AP98" s="3265" t="s">
        <v>1622</v>
      </c>
      <c r="AQ98" s="3265">
        <v>25750</v>
      </c>
      <c r="AR98" s="3331">
        <v>0</v>
      </c>
      <c r="AS98" s="3331">
        <v>0</v>
      </c>
      <c r="AT98" s="3331">
        <v>0</v>
      </c>
      <c r="AU98" s="3331">
        <v>0</v>
      </c>
      <c r="AV98" s="3331">
        <v>0</v>
      </c>
      <c r="AW98" s="3331">
        <v>50933.4</v>
      </c>
      <c r="AX98" s="3331">
        <v>0</v>
      </c>
      <c r="AY98" s="3331">
        <v>0</v>
      </c>
      <c r="AZ98" s="3331">
        <v>0</v>
      </c>
      <c r="BA98" s="3331">
        <v>25466.7</v>
      </c>
      <c r="BB98" s="3331">
        <v>0</v>
      </c>
      <c r="BC98" s="3331">
        <v>102150.09999999999</v>
      </c>
      <c r="BD98" s="3331">
        <v>152400</v>
      </c>
      <c r="BE98" s="3331">
        <v>25</v>
      </c>
      <c r="BF98" s="3331">
        <v>13</v>
      </c>
      <c r="BG98" s="3331">
        <v>5</v>
      </c>
      <c r="BH98" s="3331">
        <v>0</v>
      </c>
      <c r="BI98" s="3331">
        <v>0</v>
      </c>
      <c r="BJ98" s="3331">
        <v>0</v>
      </c>
      <c r="BK98" s="3331">
        <v>0</v>
      </c>
      <c r="BL98" s="3331">
        <v>0</v>
      </c>
      <c r="BM98" s="3331">
        <v>0</v>
      </c>
      <c r="BN98" s="3331">
        <v>0</v>
      </c>
      <c r="BO98" s="3331">
        <v>5</v>
      </c>
      <c r="BP98" s="3331">
        <v>145</v>
      </c>
      <c r="BQ98" s="3379">
        <v>25750</v>
      </c>
      <c r="BR98" s="3331">
        <v>0</v>
      </c>
      <c r="BS98" s="3331">
        <v>0</v>
      </c>
      <c r="BT98" s="3331">
        <v>0</v>
      </c>
      <c r="BU98" s="3331">
        <v>0</v>
      </c>
      <c r="BV98" s="3331">
        <v>0</v>
      </c>
      <c r="BW98" s="3331">
        <v>50933.4</v>
      </c>
      <c r="BX98" s="3331">
        <v>-25467</v>
      </c>
      <c r="BY98" s="3331">
        <v>0</v>
      </c>
      <c r="BZ98" s="3331">
        <v>0</v>
      </c>
      <c r="CA98" s="3331">
        <v>25466.7</v>
      </c>
      <c r="CB98" s="3345">
        <v>0</v>
      </c>
      <c r="CC98" s="3346">
        <v>76683.099999999991</v>
      </c>
      <c r="CD98" s="3346">
        <v>25466.400000000001</v>
      </c>
      <c r="CE98" s="3346">
        <v>25</v>
      </c>
      <c r="CF98" s="3346">
        <v>13</v>
      </c>
      <c r="CG98" s="3346">
        <v>5</v>
      </c>
      <c r="CH98" s="3346">
        <v>0</v>
      </c>
      <c r="CI98" s="3346">
        <v>-40</v>
      </c>
      <c r="CJ98" s="3346">
        <v>0</v>
      </c>
      <c r="CK98" s="3346">
        <v>0</v>
      </c>
      <c r="CL98" s="3346">
        <v>0</v>
      </c>
      <c r="CM98" s="3345">
        <v>0</v>
      </c>
    </row>
    <row r="99" spans="1:91">
      <c r="A99" s="3313"/>
      <c r="B99" s="2551" t="str">
        <f t="shared" si="1"/>
        <v>3039640008</v>
      </c>
      <c r="C99" s="2492" t="s">
        <v>710</v>
      </c>
      <c r="D99" s="2026">
        <v>3964</v>
      </c>
      <c r="E99" s="2026">
        <v>8</v>
      </c>
      <c r="F99" s="2027">
        <v>30550</v>
      </c>
      <c r="G99" s="2497" t="s">
        <v>947</v>
      </c>
      <c r="H99" s="2026" t="s">
        <v>1560</v>
      </c>
      <c r="I99" s="2028">
        <v>1</v>
      </c>
      <c r="J99" s="2500">
        <v>0</v>
      </c>
      <c r="K99" s="2500">
        <v>25466.666666666668</v>
      </c>
      <c r="L99" s="2500">
        <v>0</v>
      </c>
      <c r="M99" s="2500">
        <v>76400</v>
      </c>
      <c r="N99" s="2029">
        <v>0</v>
      </c>
      <c r="O99" s="2057" t="s">
        <v>1617</v>
      </c>
      <c r="P99" s="3273"/>
      <c r="Q99" s="3274"/>
      <c r="R99" s="3713"/>
      <c r="S99" s="3713"/>
      <c r="T99" s="3713"/>
      <c r="U99" s="3713"/>
      <c r="V99" s="3713"/>
      <c r="W99" s="3713"/>
      <c r="X99" s="3713"/>
      <c r="Y99" s="3713"/>
      <c r="Z99" s="3713"/>
      <c r="AA99" s="3713"/>
      <c r="AB99" s="3274"/>
      <c r="AC99" s="3274"/>
      <c r="AD99" s="3274"/>
      <c r="AE99" s="3274"/>
      <c r="AF99" s="3274"/>
      <c r="AG99" s="3274"/>
      <c r="AH99" s="3274"/>
      <c r="AI99" s="3274"/>
      <c r="AJ99" s="3274"/>
      <c r="AK99" s="3274"/>
      <c r="AL99" s="3274"/>
      <c r="AM99" s="3276"/>
      <c r="AN99" s="3278"/>
      <c r="AO99" s="3280"/>
      <c r="AP99" s="3274"/>
      <c r="AQ99" s="3274"/>
      <c r="AR99" s="3340"/>
      <c r="AS99" s="3340"/>
      <c r="AT99" s="3340"/>
      <c r="AU99" s="3340"/>
      <c r="AV99" s="3340"/>
      <c r="AW99" s="3340"/>
      <c r="AX99" s="3340"/>
      <c r="AY99" s="3340"/>
      <c r="AZ99" s="3340"/>
      <c r="BA99" s="3340"/>
      <c r="BB99" s="3340"/>
      <c r="BC99" s="3340"/>
      <c r="BD99" s="3340"/>
      <c r="BE99" s="3340"/>
      <c r="BF99" s="3340"/>
      <c r="BG99" s="3340"/>
      <c r="BH99" s="3340"/>
      <c r="BI99" s="3340"/>
      <c r="BJ99" s="3340"/>
      <c r="BK99" s="3340"/>
      <c r="BL99" s="3340"/>
      <c r="BM99" s="3340"/>
      <c r="BN99" s="3340"/>
      <c r="BO99" s="3340"/>
      <c r="BP99" s="3340"/>
      <c r="BQ99" s="3387"/>
      <c r="BR99" s="3385"/>
      <c r="BS99" s="3385"/>
      <c r="BT99" s="3385"/>
      <c r="BU99" s="3385"/>
      <c r="BV99" s="3385"/>
      <c r="BW99" s="3385"/>
      <c r="BX99" s="3385"/>
      <c r="BY99" s="3385"/>
      <c r="BZ99" s="3385"/>
      <c r="CA99" s="3385"/>
      <c r="CB99" s="3386"/>
      <c r="CC99" s="3384"/>
      <c r="CD99" s="3384"/>
      <c r="CE99" s="3384"/>
      <c r="CF99" s="3384"/>
      <c r="CG99" s="3384"/>
      <c r="CH99" s="3384"/>
      <c r="CI99" s="3384"/>
      <c r="CJ99" s="3384"/>
      <c r="CK99" s="3384"/>
      <c r="CL99" s="3384"/>
      <c r="CM99" s="3386"/>
    </row>
    <row r="100" spans="1:91" ht="15.75" thickBot="1">
      <c r="A100" s="3380"/>
      <c r="B100" s="2551" t="str">
        <f t="shared" si="1"/>
        <v>3039640023</v>
      </c>
      <c r="C100" s="2468" t="s">
        <v>721</v>
      </c>
      <c r="D100" s="2014">
        <v>3964</v>
      </c>
      <c r="E100" s="2014">
        <v>23</v>
      </c>
      <c r="F100" s="2038">
        <v>2500</v>
      </c>
      <c r="G100" s="2133" t="s">
        <v>947</v>
      </c>
      <c r="H100" s="2014" t="s">
        <v>1560</v>
      </c>
      <c r="I100" s="2016">
        <v>1</v>
      </c>
      <c r="J100" s="2538">
        <v>0</v>
      </c>
      <c r="K100" s="2538">
        <v>0</v>
      </c>
      <c r="L100" s="2538">
        <v>0</v>
      </c>
      <c r="M100" s="2538">
        <v>0</v>
      </c>
      <c r="N100" s="2509">
        <v>0</v>
      </c>
      <c r="O100" s="2514" t="s">
        <v>720</v>
      </c>
      <c r="P100" s="3359"/>
      <c r="Q100" s="3361"/>
      <c r="R100" s="3363"/>
      <c r="S100" s="3363"/>
      <c r="T100" s="3363"/>
      <c r="U100" s="3363"/>
      <c r="V100" s="3363"/>
      <c r="W100" s="3363"/>
      <c r="X100" s="3363"/>
      <c r="Y100" s="3363"/>
      <c r="Z100" s="3363"/>
      <c r="AA100" s="3363"/>
      <c r="AB100" s="3361"/>
      <c r="AC100" s="3361"/>
      <c r="AD100" s="3361"/>
      <c r="AE100" s="3361"/>
      <c r="AF100" s="3361"/>
      <c r="AG100" s="3361"/>
      <c r="AH100" s="3361"/>
      <c r="AI100" s="3361"/>
      <c r="AJ100" s="3361"/>
      <c r="AK100" s="3361"/>
      <c r="AL100" s="3361"/>
      <c r="AM100" s="3365"/>
      <c r="AN100" s="3338"/>
      <c r="AO100" s="3339"/>
      <c r="AP100" s="3361"/>
      <c r="AQ100" s="3361"/>
      <c r="AR100" s="3332"/>
      <c r="AS100" s="3332"/>
      <c r="AT100" s="3332"/>
      <c r="AU100" s="3332"/>
      <c r="AV100" s="3332"/>
      <c r="AW100" s="3332"/>
      <c r="AX100" s="3332"/>
      <c r="AY100" s="3332"/>
      <c r="AZ100" s="3332"/>
      <c r="BA100" s="3332"/>
      <c r="BB100" s="3332"/>
      <c r="BC100" s="3332"/>
      <c r="BD100" s="3332"/>
      <c r="BE100" s="3332"/>
      <c r="BF100" s="3332"/>
      <c r="BG100" s="3332"/>
      <c r="BH100" s="3332"/>
      <c r="BI100" s="3332"/>
      <c r="BJ100" s="3332"/>
      <c r="BK100" s="3332"/>
      <c r="BL100" s="3332"/>
      <c r="BM100" s="3332"/>
      <c r="BN100" s="3332"/>
      <c r="BO100" s="3332"/>
      <c r="BP100" s="3332"/>
      <c r="BQ100" s="3387"/>
      <c r="BR100" s="3385"/>
      <c r="BS100" s="3385"/>
      <c r="BT100" s="3385"/>
      <c r="BU100" s="3385"/>
      <c r="BV100" s="3385"/>
      <c r="BW100" s="3385"/>
      <c r="BX100" s="3385"/>
      <c r="BY100" s="3385"/>
      <c r="BZ100" s="3385"/>
      <c r="CA100" s="3385"/>
      <c r="CB100" s="3386"/>
      <c r="CC100" s="3384"/>
      <c r="CD100" s="3384"/>
      <c r="CE100" s="3384"/>
      <c r="CF100" s="3384"/>
      <c r="CG100" s="3384"/>
      <c r="CH100" s="3384"/>
      <c r="CI100" s="3384"/>
      <c r="CJ100" s="3384"/>
      <c r="CK100" s="3384"/>
      <c r="CL100" s="3384"/>
      <c r="CM100" s="3386"/>
    </row>
    <row r="101" spans="1:91">
      <c r="A101" s="3282">
        <v>38</v>
      </c>
      <c r="B101" s="2551" t="str">
        <f t="shared" si="1"/>
        <v>3039640024</v>
      </c>
      <c r="C101" s="2010" t="s">
        <v>703</v>
      </c>
      <c r="D101" s="2011">
        <v>3964</v>
      </c>
      <c r="E101" s="2011">
        <v>24</v>
      </c>
      <c r="F101" s="2494">
        <v>2500</v>
      </c>
      <c r="G101" s="2496" t="s">
        <v>947</v>
      </c>
      <c r="H101" s="2011" t="s">
        <v>1560</v>
      </c>
      <c r="I101" s="2012">
        <v>1</v>
      </c>
      <c r="J101" s="2491">
        <v>0</v>
      </c>
      <c r="K101" s="2491">
        <v>1872</v>
      </c>
      <c r="L101" s="2491">
        <v>0</v>
      </c>
      <c r="M101" s="2491">
        <v>2772</v>
      </c>
      <c r="N101" s="2489">
        <v>1</v>
      </c>
      <c r="O101" s="2525" t="s">
        <v>1623</v>
      </c>
      <c r="P101" s="3272">
        <v>900</v>
      </c>
      <c r="Q101" s="3265">
        <v>0</v>
      </c>
      <c r="R101" s="3265">
        <v>0</v>
      </c>
      <c r="S101" s="3265">
        <v>0</v>
      </c>
      <c r="T101" s="3265">
        <v>0</v>
      </c>
      <c r="U101" s="3265">
        <v>0</v>
      </c>
      <c r="V101" s="3265">
        <v>0</v>
      </c>
      <c r="W101" s="3265">
        <v>3072</v>
      </c>
      <c r="X101" s="3265">
        <v>0</v>
      </c>
      <c r="Y101" s="3265">
        <v>0</v>
      </c>
      <c r="Z101" s="3265">
        <v>0</v>
      </c>
      <c r="AA101" s="3265">
        <v>0</v>
      </c>
      <c r="AB101" s="3265">
        <v>3972</v>
      </c>
      <c r="AC101" s="3265">
        <v>3972</v>
      </c>
      <c r="AD101" s="3265">
        <v>0</v>
      </c>
      <c r="AE101" s="3265">
        <v>0</v>
      </c>
      <c r="AF101" s="3265">
        <v>0</v>
      </c>
      <c r="AG101" s="3265">
        <v>0</v>
      </c>
      <c r="AH101" s="3265">
        <v>0</v>
      </c>
      <c r="AI101" s="3265">
        <v>0</v>
      </c>
      <c r="AJ101" s="3265">
        <v>0</v>
      </c>
      <c r="AK101" s="3265">
        <v>0</v>
      </c>
      <c r="AL101" s="3265">
        <v>0</v>
      </c>
      <c r="AM101" s="3275">
        <v>25</v>
      </c>
      <c r="AN101" s="3277" t="s">
        <v>1585</v>
      </c>
      <c r="AO101" s="3279" t="s">
        <v>1560</v>
      </c>
      <c r="AP101" s="3265" t="s">
        <v>1616</v>
      </c>
      <c r="AQ101" s="3265">
        <v>36000</v>
      </c>
      <c r="AR101" s="3331">
        <v>0</v>
      </c>
      <c r="AS101" s="3331">
        <v>0</v>
      </c>
      <c r="AT101" s="3331">
        <v>0</v>
      </c>
      <c r="AU101" s="3331">
        <v>0</v>
      </c>
      <c r="AV101" s="3331">
        <v>0</v>
      </c>
      <c r="AW101" s="3331">
        <v>0</v>
      </c>
      <c r="AX101" s="3331">
        <v>0</v>
      </c>
      <c r="AY101" s="3331">
        <v>0</v>
      </c>
      <c r="AZ101" s="3331">
        <v>0</v>
      </c>
      <c r="BA101" s="3331">
        <v>0</v>
      </c>
      <c r="BB101" s="3331">
        <v>0</v>
      </c>
      <c r="BC101" s="3331">
        <v>36000</v>
      </c>
      <c r="BD101" s="3331">
        <v>36000</v>
      </c>
      <c r="BE101" s="3331">
        <v>36</v>
      </c>
      <c r="BF101" s="3331">
        <v>18</v>
      </c>
      <c r="BG101" s="3331">
        <v>9</v>
      </c>
      <c r="BH101" s="3331">
        <v>0</v>
      </c>
      <c r="BI101" s="3331">
        <v>0</v>
      </c>
      <c r="BJ101" s="3331">
        <v>0</v>
      </c>
      <c r="BK101" s="3331">
        <v>0</v>
      </c>
      <c r="BL101" s="3331">
        <v>0</v>
      </c>
      <c r="BM101" s="3331">
        <v>0</v>
      </c>
      <c r="BN101" s="3331">
        <v>0</v>
      </c>
      <c r="BO101" s="3331">
        <v>9</v>
      </c>
      <c r="BP101" s="3331">
        <v>85</v>
      </c>
      <c r="BQ101" s="3379">
        <v>35100</v>
      </c>
      <c r="BR101" s="3331">
        <v>0</v>
      </c>
      <c r="BS101" s="3331">
        <v>0</v>
      </c>
      <c r="BT101" s="3331">
        <v>0</v>
      </c>
      <c r="BU101" s="3331">
        <v>0</v>
      </c>
      <c r="BV101" s="3331">
        <v>0</v>
      </c>
      <c r="BW101" s="3331">
        <v>0</v>
      </c>
      <c r="BX101" s="3331">
        <v>-3072</v>
      </c>
      <c r="BY101" s="3331">
        <v>0</v>
      </c>
      <c r="BZ101" s="3331">
        <v>0</v>
      </c>
      <c r="CA101" s="3331">
        <v>0</v>
      </c>
      <c r="CB101" s="3345">
        <v>0</v>
      </c>
      <c r="CC101" s="3346">
        <v>32028</v>
      </c>
      <c r="CD101" s="3346">
        <v>-3072</v>
      </c>
      <c r="CE101" s="3346">
        <v>36</v>
      </c>
      <c r="CF101" s="3346">
        <v>18</v>
      </c>
      <c r="CG101" s="3346">
        <v>9</v>
      </c>
      <c r="CH101" s="3346">
        <v>0</v>
      </c>
      <c r="CI101" s="3346">
        <v>0</v>
      </c>
      <c r="CJ101" s="3346">
        <v>0</v>
      </c>
      <c r="CK101" s="3346">
        <v>0</v>
      </c>
      <c r="CL101" s="3346">
        <v>0</v>
      </c>
      <c r="CM101" s="3345">
        <v>0</v>
      </c>
    </row>
    <row r="102" spans="1:91">
      <c r="A102" s="3313"/>
      <c r="B102" s="2551" t="str">
        <f t="shared" si="1"/>
        <v>3039640025</v>
      </c>
      <c r="C102" s="2492" t="s">
        <v>710</v>
      </c>
      <c r="D102" s="2026">
        <v>3964</v>
      </c>
      <c r="E102" s="2026">
        <v>25</v>
      </c>
      <c r="F102" s="2027">
        <v>2500</v>
      </c>
      <c r="G102" s="2497" t="s">
        <v>947</v>
      </c>
      <c r="H102" s="2026" t="s">
        <v>1560</v>
      </c>
      <c r="I102" s="2028">
        <v>1</v>
      </c>
      <c r="J102" s="2500">
        <v>0</v>
      </c>
      <c r="K102" s="2500">
        <v>600</v>
      </c>
      <c r="L102" s="2500">
        <v>0</v>
      </c>
      <c r="M102" s="2500">
        <v>600</v>
      </c>
      <c r="N102" s="2029">
        <v>0</v>
      </c>
      <c r="O102" s="2057" t="s">
        <v>1624</v>
      </c>
      <c r="P102" s="3273"/>
      <c r="Q102" s="3274"/>
      <c r="R102" s="3713"/>
      <c r="S102" s="3713"/>
      <c r="T102" s="3713"/>
      <c r="U102" s="3713"/>
      <c r="V102" s="3713"/>
      <c r="W102" s="3713"/>
      <c r="X102" s="3713"/>
      <c r="Y102" s="3713"/>
      <c r="Z102" s="3713"/>
      <c r="AA102" s="3713"/>
      <c r="AB102" s="3274"/>
      <c r="AC102" s="3274"/>
      <c r="AD102" s="3274"/>
      <c r="AE102" s="3274"/>
      <c r="AF102" s="3274"/>
      <c r="AG102" s="3274"/>
      <c r="AH102" s="3274"/>
      <c r="AI102" s="3274"/>
      <c r="AJ102" s="3274"/>
      <c r="AK102" s="3274"/>
      <c r="AL102" s="3274"/>
      <c r="AM102" s="3276"/>
      <c r="AN102" s="3278"/>
      <c r="AO102" s="3280"/>
      <c r="AP102" s="3274"/>
      <c r="AQ102" s="3274"/>
      <c r="AR102" s="3340"/>
      <c r="AS102" s="3340"/>
      <c r="AT102" s="3340"/>
      <c r="AU102" s="3340"/>
      <c r="AV102" s="3340"/>
      <c r="AW102" s="3340"/>
      <c r="AX102" s="3340"/>
      <c r="AY102" s="3340"/>
      <c r="AZ102" s="3340"/>
      <c r="BA102" s="3340"/>
      <c r="BB102" s="3340"/>
      <c r="BC102" s="3340"/>
      <c r="BD102" s="3340"/>
      <c r="BE102" s="3340"/>
      <c r="BF102" s="3340"/>
      <c r="BG102" s="3340"/>
      <c r="BH102" s="3340"/>
      <c r="BI102" s="3340"/>
      <c r="BJ102" s="3340"/>
      <c r="BK102" s="3340"/>
      <c r="BL102" s="3340"/>
      <c r="BM102" s="3340"/>
      <c r="BN102" s="3340"/>
      <c r="BO102" s="3340"/>
      <c r="BP102" s="3340"/>
      <c r="BQ102" s="3387"/>
      <c r="BR102" s="3385"/>
      <c r="BS102" s="3385"/>
      <c r="BT102" s="3385"/>
      <c r="BU102" s="3385"/>
      <c r="BV102" s="3385"/>
      <c r="BW102" s="3385"/>
      <c r="BX102" s="3385"/>
      <c r="BY102" s="3385"/>
      <c r="BZ102" s="3385"/>
      <c r="CA102" s="3385"/>
      <c r="CB102" s="3386"/>
      <c r="CC102" s="3384"/>
      <c r="CD102" s="3384"/>
      <c r="CE102" s="3384"/>
      <c r="CF102" s="3384"/>
      <c r="CG102" s="3384"/>
      <c r="CH102" s="3384"/>
      <c r="CI102" s="3384"/>
      <c r="CJ102" s="3384"/>
      <c r="CK102" s="3384"/>
      <c r="CL102" s="3384"/>
      <c r="CM102" s="3386"/>
    </row>
    <row r="103" spans="1:91">
      <c r="A103" s="3313"/>
      <c r="B103" s="2551" t="str">
        <f t="shared" si="1"/>
        <v>3039640026</v>
      </c>
      <c r="C103" s="2492" t="s">
        <v>721</v>
      </c>
      <c r="D103" s="2026">
        <v>3964</v>
      </c>
      <c r="E103" s="2026">
        <v>26</v>
      </c>
      <c r="F103" s="2027">
        <v>2500</v>
      </c>
      <c r="G103" s="2497" t="s">
        <v>947</v>
      </c>
      <c r="H103" s="2026" t="s">
        <v>1560</v>
      </c>
      <c r="I103" s="2028">
        <v>1</v>
      </c>
      <c r="J103" s="2500">
        <v>0</v>
      </c>
      <c r="K103" s="2500">
        <v>600</v>
      </c>
      <c r="L103" s="2500">
        <v>0</v>
      </c>
      <c r="M103" s="2500">
        <v>600</v>
      </c>
      <c r="N103" s="2029">
        <v>0</v>
      </c>
      <c r="O103" s="2057" t="s">
        <v>1624</v>
      </c>
      <c r="P103" s="3273"/>
      <c r="Q103" s="3274"/>
      <c r="R103" s="3713"/>
      <c r="S103" s="3713"/>
      <c r="T103" s="3713"/>
      <c r="U103" s="3713"/>
      <c r="V103" s="3713"/>
      <c r="W103" s="3713"/>
      <c r="X103" s="3713"/>
      <c r="Y103" s="3713"/>
      <c r="Z103" s="3713"/>
      <c r="AA103" s="3713"/>
      <c r="AB103" s="3274"/>
      <c r="AC103" s="3274"/>
      <c r="AD103" s="3274"/>
      <c r="AE103" s="3274"/>
      <c r="AF103" s="3274"/>
      <c r="AG103" s="3274"/>
      <c r="AH103" s="3274"/>
      <c r="AI103" s="3274"/>
      <c r="AJ103" s="3274"/>
      <c r="AK103" s="3274"/>
      <c r="AL103" s="3274"/>
      <c r="AM103" s="3276"/>
      <c r="AN103" s="3278"/>
      <c r="AO103" s="3280"/>
      <c r="AP103" s="3274"/>
      <c r="AQ103" s="3274"/>
      <c r="AR103" s="3340"/>
      <c r="AS103" s="3340"/>
      <c r="AT103" s="3340"/>
      <c r="AU103" s="3340"/>
      <c r="AV103" s="3340"/>
      <c r="AW103" s="3340"/>
      <c r="AX103" s="3340"/>
      <c r="AY103" s="3340"/>
      <c r="AZ103" s="3340"/>
      <c r="BA103" s="3340"/>
      <c r="BB103" s="3340"/>
      <c r="BC103" s="3340"/>
      <c r="BD103" s="3340"/>
      <c r="BE103" s="3340"/>
      <c r="BF103" s="3340"/>
      <c r="BG103" s="3340"/>
      <c r="BH103" s="3340"/>
      <c r="BI103" s="3340"/>
      <c r="BJ103" s="3340"/>
      <c r="BK103" s="3340"/>
      <c r="BL103" s="3340"/>
      <c r="BM103" s="3340"/>
      <c r="BN103" s="3340"/>
      <c r="BO103" s="3340"/>
      <c r="BP103" s="3340"/>
      <c r="BQ103" s="3387"/>
      <c r="BR103" s="3385"/>
      <c r="BS103" s="3385"/>
      <c r="BT103" s="3385"/>
      <c r="BU103" s="3385"/>
      <c r="BV103" s="3385"/>
      <c r="BW103" s="3385"/>
      <c r="BX103" s="3385"/>
      <c r="BY103" s="3385"/>
      <c r="BZ103" s="3385"/>
      <c r="CA103" s="3385"/>
      <c r="CB103" s="3386"/>
      <c r="CC103" s="3384"/>
      <c r="CD103" s="3384"/>
      <c r="CE103" s="3384"/>
      <c r="CF103" s="3384"/>
      <c r="CG103" s="3384"/>
      <c r="CH103" s="3384"/>
      <c r="CI103" s="3384"/>
      <c r="CJ103" s="3384"/>
      <c r="CK103" s="3384"/>
      <c r="CL103" s="3384"/>
      <c r="CM103" s="3386"/>
    </row>
    <row r="104" spans="1:91" ht="15.75" thickBot="1">
      <c r="A104" s="3283"/>
      <c r="B104" s="2551" t="str">
        <f t="shared" si="1"/>
        <v>3039640027</v>
      </c>
      <c r="C104" s="2493" t="s">
        <v>724</v>
      </c>
      <c r="D104" s="2018">
        <v>3964</v>
      </c>
      <c r="E104" s="2018">
        <v>27</v>
      </c>
      <c r="F104" s="2019">
        <v>2500</v>
      </c>
      <c r="G104" s="2498" t="s">
        <v>947</v>
      </c>
      <c r="H104" s="2018" t="s">
        <v>1560</v>
      </c>
      <c r="I104" s="2020">
        <v>1</v>
      </c>
      <c r="J104" s="2501">
        <v>0</v>
      </c>
      <c r="K104" s="2501">
        <v>0</v>
      </c>
      <c r="L104" s="2501">
        <v>0</v>
      </c>
      <c r="M104" s="2501">
        <v>0</v>
      </c>
      <c r="N104" s="2508">
        <v>1</v>
      </c>
      <c r="O104" s="2514" t="s">
        <v>1625</v>
      </c>
      <c r="P104" s="3359"/>
      <c r="Q104" s="3361"/>
      <c r="R104" s="3363"/>
      <c r="S104" s="3363"/>
      <c r="T104" s="3363"/>
      <c r="U104" s="3363"/>
      <c r="V104" s="3363"/>
      <c r="W104" s="3363"/>
      <c r="X104" s="3363"/>
      <c r="Y104" s="3363"/>
      <c r="Z104" s="3363"/>
      <c r="AA104" s="3363"/>
      <c r="AB104" s="3361"/>
      <c r="AC104" s="3361"/>
      <c r="AD104" s="3361"/>
      <c r="AE104" s="3361"/>
      <c r="AF104" s="3361"/>
      <c r="AG104" s="3361"/>
      <c r="AH104" s="3361"/>
      <c r="AI104" s="3361"/>
      <c r="AJ104" s="3361"/>
      <c r="AK104" s="3361"/>
      <c r="AL104" s="3361"/>
      <c r="AM104" s="3365"/>
      <c r="AN104" s="3338"/>
      <c r="AO104" s="3339"/>
      <c r="AP104" s="3361"/>
      <c r="AQ104" s="3361"/>
      <c r="AR104" s="3332"/>
      <c r="AS104" s="3332"/>
      <c r="AT104" s="3332"/>
      <c r="AU104" s="3332"/>
      <c r="AV104" s="3332"/>
      <c r="AW104" s="3332"/>
      <c r="AX104" s="3332"/>
      <c r="AY104" s="3332"/>
      <c r="AZ104" s="3332"/>
      <c r="BA104" s="3332"/>
      <c r="BB104" s="3332"/>
      <c r="BC104" s="3332"/>
      <c r="BD104" s="3332"/>
      <c r="BE104" s="3332"/>
      <c r="BF104" s="3332"/>
      <c r="BG104" s="3332"/>
      <c r="BH104" s="3332"/>
      <c r="BI104" s="3332"/>
      <c r="BJ104" s="3332"/>
      <c r="BK104" s="3332"/>
      <c r="BL104" s="3332"/>
      <c r="BM104" s="3332"/>
      <c r="BN104" s="3332"/>
      <c r="BO104" s="3332"/>
      <c r="BP104" s="3332"/>
      <c r="BQ104" s="3357"/>
      <c r="BR104" s="3375"/>
      <c r="BS104" s="3375"/>
      <c r="BT104" s="3375"/>
      <c r="BU104" s="3375"/>
      <c r="BV104" s="3375"/>
      <c r="BW104" s="3375"/>
      <c r="BX104" s="3375"/>
      <c r="BY104" s="3375"/>
      <c r="BZ104" s="3375"/>
      <c r="CA104" s="3375"/>
      <c r="CB104" s="3371"/>
      <c r="CC104" s="3373"/>
      <c r="CD104" s="3373"/>
      <c r="CE104" s="3373"/>
      <c r="CF104" s="3373"/>
      <c r="CG104" s="3373"/>
      <c r="CH104" s="3373"/>
      <c r="CI104" s="3373"/>
      <c r="CJ104" s="3373"/>
      <c r="CK104" s="3373"/>
      <c r="CL104" s="3373"/>
      <c r="CM104" s="3371"/>
    </row>
    <row r="105" spans="1:91">
      <c r="A105" s="3312">
        <v>39</v>
      </c>
      <c r="B105" s="2551" t="str">
        <f t="shared" si="1"/>
        <v>3039660012</v>
      </c>
      <c r="C105" s="2022" t="s">
        <v>703</v>
      </c>
      <c r="D105" s="2023">
        <v>3966</v>
      </c>
      <c r="E105" s="2023">
        <v>12</v>
      </c>
      <c r="F105" s="2506">
        <v>1997</v>
      </c>
      <c r="G105" s="2507" t="s">
        <v>1566</v>
      </c>
      <c r="H105" s="2023" t="s">
        <v>1560</v>
      </c>
      <c r="I105" s="2024">
        <v>2</v>
      </c>
      <c r="J105" s="2505">
        <v>1900</v>
      </c>
      <c r="K105" s="2505">
        <v>0</v>
      </c>
      <c r="L105" s="2505">
        <v>0</v>
      </c>
      <c r="M105" s="2505">
        <v>4900</v>
      </c>
      <c r="N105" s="2025">
        <v>2</v>
      </c>
      <c r="O105" s="2525" t="s">
        <v>1602</v>
      </c>
      <c r="P105" s="3272">
        <v>3000</v>
      </c>
      <c r="Q105" s="3265">
        <v>1900</v>
      </c>
      <c r="R105" s="3265">
        <v>0</v>
      </c>
      <c r="S105" s="3265">
        <v>0</v>
      </c>
      <c r="T105" s="3265">
        <v>11099</v>
      </c>
      <c r="U105" s="3265">
        <v>0</v>
      </c>
      <c r="V105" s="3265">
        <v>0</v>
      </c>
      <c r="W105" s="3265">
        <v>0</v>
      </c>
      <c r="X105" s="3265">
        <v>0</v>
      </c>
      <c r="Y105" s="3265">
        <v>0</v>
      </c>
      <c r="Z105" s="3265">
        <v>0</v>
      </c>
      <c r="AA105" s="3265">
        <v>0</v>
      </c>
      <c r="AB105" s="3265">
        <v>15999</v>
      </c>
      <c r="AC105" s="3265">
        <v>15999</v>
      </c>
      <c r="AD105" s="3265">
        <v>3</v>
      </c>
      <c r="AE105" s="3265">
        <v>0</v>
      </c>
      <c r="AF105" s="3265">
        <v>0</v>
      </c>
      <c r="AG105" s="3265">
        <v>0</v>
      </c>
      <c r="AH105" s="3265">
        <v>0</v>
      </c>
      <c r="AI105" s="3265">
        <v>0</v>
      </c>
      <c r="AJ105" s="3265">
        <v>0</v>
      </c>
      <c r="AK105" s="3265">
        <v>0</v>
      </c>
      <c r="AL105" s="3265">
        <v>0</v>
      </c>
      <c r="AM105" s="3275">
        <v>35</v>
      </c>
      <c r="AN105" s="3277" t="s">
        <v>741</v>
      </c>
      <c r="AO105" s="3279" t="s">
        <v>706</v>
      </c>
      <c r="AP105" s="3265" t="s">
        <v>1595</v>
      </c>
      <c r="AQ105" s="3265">
        <v>104077</v>
      </c>
      <c r="AR105" s="3331">
        <v>10208.700000000001</v>
      </c>
      <c r="AS105" s="3331">
        <v>0</v>
      </c>
      <c r="AT105" s="3331">
        <v>0</v>
      </c>
      <c r="AU105" s="3331">
        <v>0</v>
      </c>
      <c r="AV105" s="3331">
        <v>0</v>
      </c>
      <c r="AW105" s="3331">
        <v>0</v>
      </c>
      <c r="AX105" s="3331">
        <v>0</v>
      </c>
      <c r="AY105" s="3331">
        <v>0</v>
      </c>
      <c r="AZ105" s="3331">
        <v>0</v>
      </c>
      <c r="BA105" s="3331">
        <v>0</v>
      </c>
      <c r="BB105" s="3331">
        <v>0</v>
      </c>
      <c r="BC105" s="3331">
        <v>114285.7</v>
      </c>
      <c r="BD105" s="3331">
        <v>116931</v>
      </c>
      <c r="BE105" s="3331">
        <v>104</v>
      </c>
      <c r="BF105" s="3331">
        <v>52</v>
      </c>
      <c r="BG105" s="3331">
        <v>21</v>
      </c>
      <c r="BH105" s="3331">
        <v>0</v>
      </c>
      <c r="BI105" s="3331">
        <v>10</v>
      </c>
      <c r="BJ105" s="3331">
        <v>0</v>
      </c>
      <c r="BK105" s="3331">
        <v>0</v>
      </c>
      <c r="BL105" s="3331">
        <v>0</v>
      </c>
      <c r="BM105" s="3331">
        <v>0</v>
      </c>
      <c r="BN105" s="3331">
        <v>0</v>
      </c>
      <c r="BO105" s="3331">
        <v>31</v>
      </c>
      <c r="BP105" s="3331">
        <v>145</v>
      </c>
      <c r="BQ105" s="3388">
        <v>101077</v>
      </c>
      <c r="BR105" s="3340">
        <v>8308.7000000000007</v>
      </c>
      <c r="BS105" s="3340">
        <v>0</v>
      </c>
      <c r="BT105" s="3340">
        <v>0</v>
      </c>
      <c r="BU105" s="3340">
        <v>-11099</v>
      </c>
      <c r="BV105" s="3340">
        <v>0</v>
      </c>
      <c r="BW105" s="3340">
        <v>0</v>
      </c>
      <c r="BX105" s="3340">
        <v>0</v>
      </c>
      <c r="BY105" s="3340">
        <v>0</v>
      </c>
      <c r="BZ105" s="3340">
        <v>0</v>
      </c>
      <c r="CA105" s="3340">
        <v>0</v>
      </c>
      <c r="CB105" s="3343">
        <v>0</v>
      </c>
      <c r="CC105" s="3341">
        <v>98286.7</v>
      </c>
      <c r="CD105" s="3341">
        <v>-2790.2999999999993</v>
      </c>
      <c r="CE105" s="3341">
        <v>101</v>
      </c>
      <c r="CF105" s="3341">
        <v>52</v>
      </c>
      <c r="CG105" s="3341">
        <v>21</v>
      </c>
      <c r="CH105" s="3341">
        <v>0</v>
      </c>
      <c r="CI105" s="3341">
        <v>10</v>
      </c>
      <c r="CJ105" s="3341">
        <v>0</v>
      </c>
      <c r="CK105" s="3341">
        <v>0</v>
      </c>
      <c r="CL105" s="3341">
        <v>0</v>
      </c>
      <c r="CM105" s="3343">
        <v>0</v>
      </c>
    </row>
    <row r="106" spans="1:91">
      <c r="A106" s="3313"/>
      <c r="B106" s="2551" t="str">
        <f t="shared" si="1"/>
        <v>3039660013</v>
      </c>
      <c r="C106" s="2492" t="s">
        <v>710</v>
      </c>
      <c r="D106" s="2026">
        <v>3966</v>
      </c>
      <c r="E106" s="2026">
        <v>13</v>
      </c>
      <c r="F106" s="2027">
        <v>2156</v>
      </c>
      <c r="G106" s="2497" t="s">
        <v>1566</v>
      </c>
      <c r="H106" s="2026" t="s">
        <v>1560</v>
      </c>
      <c r="I106" s="2028">
        <v>2</v>
      </c>
      <c r="J106" s="2500">
        <v>0</v>
      </c>
      <c r="K106" s="2500">
        <v>0</v>
      </c>
      <c r="L106" s="2500">
        <v>0</v>
      </c>
      <c r="M106" s="2500">
        <v>0</v>
      </c>
      <c r="N106" s="2029">
        <v>0</v>
      </c>
      <c r="O106" s="2057" t="s">
        <v>720</v>
      </c>
      <c r="P106" s="3273"/>
      <c r="Q106" s="3274"/>
      <c r="R106" s="3713"/>
      <c r="S106" s="3713"/>
      <c r="T106" s="3713"/>
      <c r="U106" s="3713"/>
      <c r="V106" s="3713"/>
      <c r="W106" s="3713"/>
      <c r="X106" s="3713"/>
      <c r="Y106" s="3713"/>
      <c r="Z106" s="3713"/>
      <c r="AA106" s="3713"/>
      <c r="AB106" s="3274"/>
      <c r="AC106" s="3274"/>
      <c r="AD106" s="3274"/>
      <c r="AE106" s="3274"/>
      <c r="AF106" s="3274"/>
      <c r="AG106" s="3274"/>
      <c r="AH106" s="3274"/>
      <c r="AI106" s="3274"/>
      <c r="AJ106" s="3274"/>
      <c r="AK106" s="3274"/>
      <c r="AL106" s="3274"/>
      <c r="AM106" s="3276"/>
      <c r="AN106" s="3278"/>
      <c r="AO106" s="3280"/>
      <c r="AP106" s="3274"/>
      <c r="AQ106" s="3274"/>
      <c r="AR106" s="3340"/>
      <c r="AS106" s="3340"/>
      <c r="AT106" s="3340"/>
      <c r="AU106" s="3340"/>
      <c r="AV106" s="3340"/>
      <c r="AW106" s="3340"/>
      <c r="AX106" s="3340"/>
      <c r="AY106" s="3340"/>
      <c r="AZ106" s="3340"/>
      <c r="BA106" s="3340"/>
      <c r="BB106" s="3340"/>
      <c r="BC106" s="3340"/>
      <c r="BD106" s="3340"/>
      <c r="BE106" s="3340"/>
      <c r="BF106" s="3340"/>
      <c r="BG106" s="3340"/>
      <c r="BH106" s="3340"/>
      <c r="BI106" s="3340"/>
      <c r="BJ106" s="3340"/>
      <c r="BK106" s="3340"/>
      <c r="BL106" s="3340"/>
      <c r="BM106" s="3340"/>
      <c r="BN106" s="3340"/>
      <c r="BO106" s="3340"/>
      <c r="BP106" s="3340"/>
      <c r="BQ106" s="3387"/>
      <c r="BR106" s="3385"/>
      <c r="BS106" s="3385"/>
      <c r="BT106" s="3385"/>
      <c r="BU106" s="3385"/>
      <c r="BV106" s="3385"/>
      <c r="BW106" s="3385"/>
      <c r="BX106" s="3385"/>
      <c r="BY106" s="3385"/>
      <c r="BZ106" s="3385"/>
      <c r="CA106" s="3385"/>
      <c r="CB106" s="3386"/>
      <c r="CC106" s="3384"/>
      <c r="CD106" s="3384"/>
      <c r="CE106" s="3384"/>
      <c r="CF106" s="3384"/>
      <c r="CG106" s="3384"/>
      <c r="CH106" s="3384"/>
      <c r="CI106" s="3384"/>
      <c r="CJ106" s="3384"/>
      <c r="CK106" s="3384"/>
      <c r="CL106" s="3384"/>
      <c r="CM106" s="3386"/>
    </row>
    <row r="107" spans="1:91">
      <c r="A107" s="3313"/>
      <c r="B107" s="2551" t="str">
        <f t="shared" si="1"/>
        <v>3039660014</v>
      </c>
      <c r="C107" s="2492" t="s">
        <v>721</v>
      </c>
      <c r="D107" s="2026">
        <v>3966</v>
      </c>
      <c r="E107" s="2026">
        <v>14</v>
      </c>
      <c r="F107" s="2027">
        <v>2229</v>
      </c>
      <c r="G107" s="2497" t="s">
        <v>1566</v>
      </c>
      <c r="H107" s="2026" t="s">
        <v>1560</v>
      </c>
      <c r="I107" s="2028">
        <v>2</v>
      </c>
      <c r="J107" s="2500">
        <v>0</v>
      </c>
      <c r="K107" s="2500">
        <v>2229</v>
      </c>
      <c r="L107" s="2500">
        <v>0</v>
      </c>
      <c r="M107" s="2500">
        <v>2229</v>
      </c>
      <c r="N107" s="2029">
        <v>0</v>
      </c>
      <c r="O107" s="2057" t="s">
        <v>1572</v>
      </c>
      <c r="P107" s="3273"/>
      <c r="Q107" s="3274"/>
      <c r="R107" s="3713"/>
      <c r="S107" s="3713"/>
      <c r="T107" s="3713"/>
      <c r="U107" s="3713"/>
      <c r="V107" s="3713"/>
      <c r="W107" s="3713"/>
      <c r="X107" s="3713"/>
      <c r="Y107" s="3713"/>
      <c r="Z107" s="3713"/>
      <c r="AA107" s="3713"/>
      <c r="AB107" s="3274"/>
      <c r="AC107" s="3274"/>
      <c r="AD107" s="3274"/>
      <c r="AE107" s="3274"/>
      <c r="AF107" s="3274"/>
      <c r="AG107" s="3274"/>
      <c r="AH107" s="3274"/>
      <c r="AI107" s="3274"/>
      <c r="AJ107" s="3274"/>
      <c r="AK107" s="3274"/>
      <c r="AL107" s="3274"/>
      <c r="AM107" s="3276"/>
      <c r="AN107" s="3278"/>
      <c r="AO107" s="3280"/>
      <c r="AP107" s="3274"/>
      <c r="AQ107" s="3274"/>
      <c r="AR107" s="3340"/>
      <c r="AS107" s="3340"/>
      <c r="AT107" s="3340"/>
      <c r="AU107" s="3340"/>
      <c r="AV107" s="3340"/>
      <c r="AW107" s="3340"/>
      <c r="AX107" s="3340"/>
      <c r="AY107" s="3340"/>
      <c r="AZ107" s="3340"/>
      <c r="BA107" s="3340"/>
      <c r="BB107" s="3340"/>
      <c r="BC107" s="3340"/>
      <c r="BD107" s="3340"/>
      <c r="BE107" s="3340"/>
      <c r="BF107" s="3340"/>
      <c r="BG107" s="3340"/>
      <c r="BH107" s="3340"/>
      <c r="BI107" s="3340"/>
      <c r="BJ107" s="3340"/>
      <c r="BK107" s="3340"/>
      <c r="BL107" s="3340"/>
      <c r="BM107" s="3340"/>
      <c r="BN107" s="3340"/>
      <c r="BO107" s="3340"/>
      <c r="BP107" s="3340"/>
      <c r="BQ107" s="3387"/>
      <c r="BR107" s="3385"/>
      <c r="BS107" s="3385"/>
      <c r="BT107" s="3385"/>
      <c r="BU107" s="3385"/>
      <c r="BV107" s="3385"/>
      <c r="BW107" s="3385"/>
      <c r="BX107" s="3385"/>
      <c r="BY107" s="3385"/>
      <c r="BZ107" s="3385"/>
      <c r="CA107" s="3385"/>
      <c r="CB107" s="3386"/>
      <c r="CC107" s="3384"/>
      <c r="CD107" s="3384"/>
      <c r="CE107" s="3384"/>
      <c r="CF107" s="3384"/>
      <c r="CG107" s="3384"/>
      <c r="CH107" s="3384"/>
      <c r="CI107" s="3384"/>
      <c r="CJ107" s="3384"/>
      <c r="CK107" s="3384"/>
      <c r="CL107" s="3384"/>
      <c r="CM107" s="3386"/>
    </row>
    <row r="108" spans="1:91">
      <c r="A108" s="3313"/>
      <c r="B108" s="2551" t="str">
        <f t="shared" si="1"/>
        <v>3039660015</v>
      </c>
      <c r="C108" s="2492" t="s">
        <v>724</v>
      </c>
      <c r="D108" s="2026">
        <v>3966</v>
      </c>
      <c r="E108" s="2026">
        <v>15</v>
      </c>
      <c r="F108" s="2027">
        <v>2301</v>
      </c>
      <c r="G108" s="2497" t="s">
        <v>1566</v>
      </c>
      <c r="H108" s="2026" t="s">
        <v>1560</v>
      </c>
      <c r="I108" s="2028">
        <v>2</v>
      </c>
      <c r="J108" s="2500">
        <v>0</v>
      </c>
      <c r="K108" s="2500">
        <v>2301</v>
      </c>
      <c r="L108" s="2500">
        <v>0</v>
      </c>
      <c r="M108" s="2500">
        <v>2301</v>
      </c>
      <c r="N108" s="2029">
        <v>0</v>
      </c>
      <c r="O108" s="2057" t="s">
        <v>1572</v>
      </c>
      <c r="P108" s="3273"/>
      <c r="Q108" s="3274"/>
      <c r="R108" s="3713"/>
      <c r="S108" s="3713"/>
      <c r="T108" s="3713"/>
      <c r="U108" s="3713"/>
      <c r="V108" s="3713"/>
      <c r="W108" s="3713"/>
      <c r="X108" s="3713"/>
      <c r="Y108" s="3713"/>
      <c r="Z108" s="3713"/>
      <c r="AA108" s="3713"/>
      <c r="AB108" s="3274"/>
      <c r="AC108" s="3274"/>
      <c r="AD108" s="3274"/>
      <c r="AE108" s="3274"/>
      <c r="AF108" s="3274"/>
      <c r="AG108" s="3274"/>
      <c r="AH108" s="3274"/>
      <c r="AI108" s="3274"/>
      <c r="AJ108" s="3274"/>
      <c r="AK108" s="3274"/>
      <c r="AL108" s="3274"/>
      <c r="AM108" s="3276"/>
      <c r="AN108" s="3278"/>
      <c r="AO108" s="3280"/>
      <c r="AP108" s="3274"/>
      <c r="AQ108" s="3274"/>
      <c r="AR108" s="3340"/>
      <c r="AS108" s="3340"/>
      <c r="AT108" s="3340"/>
      <c r="AU108" s="3340"/>
      <c r="AV108" s="3340"/>
      <c r="AW108" s="3340"/>
      <c r="AX108" s="3340"/>
      <c r="AY108" s="3340"/>
      <c r="AZ108" s="3340"/>
      <c r="BA108" s="3340"/>
      <c r="BB108" s="3340"/>
      <c r="BC108" s="3340"/>
      <c r="BD108" s="3340"/>
      <c r="BE108" s="3340"/>
      <c r="BF108" s="3340"/>
      <c r="BG108" s="3340"/>
      <c r="BH108" s="3340"/>
      <c r="BI108" s="3340"/>
      <c r="BJ108" s="3340"/>
      <c r="BK108" s="3340"/>
      <c r="BL108" s="3340"/>
      <c r="BM108" s="3340"/>
      <c r="BN108" s="3340"/>
      <c r="BO108" s="3340"/>
      <c r="BP108" s="3340"/>
      <c r="BQ108" s="3387"/>
      <c r="BR108" s="3385"/>
      <c r="BS108" s="3385"/>
      <c r="BT108" s="3385"/>
      <c r="BU108" s="3385"/>
      <c r="BV108" s="3385"/>
      <c r="BW108" s="3385"/>
      <c r="BX108" s="3385"/>
      <c r="BY108" s="3385"/>
      <c r="BZ108" s="3385"/>
      <c r="CA108" s="3385"/>
      <c r="CB108" s="3386"/>
      <c r="CC108" s="3384"/>
      <c r="CD108" s="3384"/>
      <c r="CE108" s="3384"/>
      <c r="CF108" s="3384"/>
      <c r="CG108" s="3384"/>
      <c r="CH108" s="3384"/>
      <c r="CI108" s="3384"/>
      <c r="CJ108" s="3384"/>
      <c r="CK108" s="3384"/>
      <c r="CL108" s="3384"/>
      <c r="CM108" s="3386"/>
    </row>
    <row r="109" spans="1:91" ht="15.75" thickBot="1">
      <c r="A109" s="3283"/>
      <c r="B109" s="2551" t="str">
        <f t="shared" si="1"/>
        <v>3039660016</v>
      </c>
      <c r="C109" s="2493" t="s">
        <v>746</v>
      </c>
      <c r="D109" s="2018">
        <v>3966</v>
      </c>
      <c r="E109" s="2018">
        <v>16</v>
      </c>
      <c r="F109" s="2019">
        <v>7190</v>
      </c>
      <c r="G109" s="2498" t="s">
        <v>1566</v>
      </c>
      <c r="H109" s="2018" t="s">
        <v>1560</v>
      </c>
      <c r="I109" s="2020">
        <v>2</v>
      </c>
      <c r="J109" s="2501">
        <v>0</v>
      </c>
      <c r="K109" s="2501">
        <v>6569</v>
      </c>
      <c r="L109" s="2501">
        <v>0</v>
      </c>
      <c r="M109" s="2501">
        <v>6569</v>
      </c>
      <c r="N109" s="2508">
        <v>0</v>
      </c>
      <c r="O109" s="2514" t="s">
        <v>1572</v>
      </c>
      <c r="P109" s="3359"/>
      <c r="Q109" s="3361"/>
      <c r="R109" s="3363"/>
      <c r="S109" s="3363"/>
      <c r="T109" s="3363"/>
      <c r="U109" s="3363"/>
      <c r="V109" s="3363"/>
      <c r="W109" s="3363"/>
      <c r="X109" s="3363"/>
      <c r="Y109" s="3363"/>
      <c r="Z109" s="3363"/>
      <c r="AA109" s="3363"/>
      <c r="AB109" s="3361"/>
      <c r="AC109" s="3361"/>
      <c r="AD109" s="3361"/>
      <c r="AE109" s="3361"/>
      <c r="AF109" s="3361"/>
      <c r="AG109" s="3361"/>
      <c r="AH109" s="3361"/>
      <c r="AI109" s="3361"/>
      <c r="AJ109" s="3361"/>
      <c r="AK109" s="3361"/>
      <c r="AL109" s="3361"/>
      <c r="AM109" s="3365"/>
      <c r="AN109" s="3338"/>
      <c r="AO109" s="3339"/>
      <c r="AP109" s="3361"/>
      <c r="AQ109" s="3361"/>
      <c r="AR109" s="3332"/>
      <c r="AS109" s="3332"/>
      <c r="AT109" s="3332"/>
      <c r="AU109" s="3332"/>
      <c r="AV109" s="3332"/>
      <c r="AW109" s="3332"/>
      <c r="AX109" s="3332"/>
      <c r="AY109" s="3332"/>
      <c r="AZ109" s="3332"/>
      <c r="BA109" s="3332"/>
      <c r="BB109" s="3332"/>
      <c r="BC109" s="3332"/>
      <c r="BD109" s="3332"/>
      <c r="BE109" s="3332"/>
      <c r="BF109" s="3332"/>
      <c r="BG109" s="3332"/>
      <c r="BH109" s="3332"/>
      <c r="BI109" s="3332"/>
      <c r="BJ109" s="3332"/>
      <c r="BK109" s="3332"/>
      <c r="BL109" s="3332"/>
      <c r="BM109" s="3332"/>
      <c r="BN109" s="3332"/>
      <c r="BO109" s="3332"/>
      <c r="BP109" s="3332"/>
      <c r="BQ109" s="3357"/>
      <c r="BR109" s="3375"/>
      <c r="BS109" s="3375"/>
      <c r="BT109" s="3375"/>
      <c r="BU109" s="3375"/>
      <c r="BV109" s="3375"/>
      <c r="BW109" s="3375"/>
      <c r="BX109" s="3375"/>
      <c r="BY109" s="3375"/>
      <c r="BZ109" s="3375"/>
      <c r="CA109" s="3375"/>
      <c r="CB109" s="3371"/>
      <c r="CC109" s="3373"/>
      <c r="CD109" s="3373"/>
      <c r="CE109" s="3373"/>
      <c r="CF109" s="3373"/>
      <c r="CG109" s="3373"/>
      <c r="CH109" s="3373"/>
      <c r="CI109" s="3373"/>
      <c r="CJ109" s="3373"/>
      <c r="CK109" s="3373"/>
      <c r="CL109" s="3373"/>
      <c r="CM109" s="3371"/>
    </row>
    <row r="110" spans="1:91">
      <c r="A110" s="3395">
        <v>40</v>
      </c>
      <c r="B110" s="2551" t="str">
        <f t="shared" si="1"/>
        <v>3015540016</v>
      </c>
      <c r="C110" s="3398" t="s">
        <v>703</v>
      </c>
      <c r="D110" s="3401">
        <v>1554</v>
      </c>
      <c r="E110" s="3401">
        <v>16</v>
      </c>
      <c r="F110" s="3404">
        <v>77500</v>
      </c>
      <c r="G110" s="3416" t="s">
        <v>756</v>
      </c>
      <c r="H110" s="3401" t="s">
        <v>1560</v>
      </c>
      <c r="I110" s="3419">
        <v>2</v>
      </c>
      <c r="J110" s="3407">
        <v>0</v>
      </c>
      <c r="K110" s="3407">
        <v>0</v>
      </c>
      <c r="L110" s="3407">
        <v>0</v>
      </c>
      <c r="M110" s="3407">
        <v>110000</v>
      </c>
      <c r="N110" s="3410">
        <v>0</v>
      </c>
      <c r="O110" s="3413" t="s">
        <v>1626</v>
      </c>
      <c r="P110" s="3407">
        <v>0</v>
      </c>
      <c r="Q110" s="3407">
        <v>10000</v>
      </c>
      <c r="R110" s="3407">
        <v>10000</v>
      </c>
      <c r="S110" s="3407">
        <v>7500</v>
      </c>
      <c r="T110" s="3407">
        <v>0</v>
      </c>
      <c r="U110" s="3407">
        <v>70000</v>
      </c>
      <c r="V110" s="3407">
        <v>20000</v>
      </c>
      <c r="W110" s="3407">
        <v>0</v>
      </c>
      <c r="X110" s="3407">
        <v>0</v>
      </c>
      <c r="Y110" s="3407">
        <v>0</v>
      </c>
      <c r="Z110" s="3407">
        <v>0</v>
      </c>
      <c r="AA110" s="3407">
        <v>0</v>
      </c>
      <c r="AB110" s="3407">
        <v>117500</v>
      </c>
      <c r="AC110" s="3407">
        <v>97500</v>
      </c>
      <c r="AD110" s="3407">
        <v>0</v>
      </c>
      <c r="AE110" s="3407">
        <v>0</v>
      </c>
      <c r="AF110" s="3407">
        <v>0</v>
      </c>
      <c r="AG110" s="3407">
        <v>158</v>
      </c>
      <c r="AH110" s="3407">
        <v>21.875</v>
      </c>
      <c r="AI110" s="3407">
        <v>0</v>
      </c>
      <c r="AJ110" s="3407">
        <v>0</v>
      </c>
      <c r="AK110" s="3407">
        <v>0</v>
      </c>
      <c r="AL110" s="3407">
        <v>179.875</v>
      </c>
      <c r="AM110" s="3410">
        <v>70</v>
      </c>
      <c r="AN110" s="2059" t="s">
        <v>1476</v>
      </c>
      <c r="AO110" s="2474" t="s">
        <v>1560</v>
      </c>
      <c r="AP110" s="2060" t="s">
        <v>1627</v>
      </c>
      <c r="AQ110" s="2459">
        <v>111600</v>
      </c>
      <c r="AR110" s="2457">
        <v>31000</v>
      </c>
      <c r="AS110" s="2457">
        <v>0</v>
      </c>
      <c r="AT110" s="2457">
        <v>0</v>
      </c>
      <c r="AU110" s="2457">
        <v>0</v>
      </c>
      <c r="AV110" s="2457">
        <v>0</v>
      </c>
      <c r="AW110" s="2457">
        <v>31000</v>
      </c>
      <c r="AX110" s="2457">
        <v>0</v>
      </c>
      <c r="AY110" s="2457">
        <v>0</v>
      </c>
      <c r="AZ110" s="2457">
        <v>0</v>
      </c>
      <c r="BA110" s="2457">
        <v>0</v>
      </c>
      <c r="BB110" s="2457">
        <v>0</v>
      </c>
      <c r="BC110" s="2457">
        <v>173600</v>
      </c>
      <c r="BD110" s="2457">
        <v>173600</v>
      </c>
      <c r="BE110" s="2457">
        <v>111</v>
      </c>
      <c r="BF110" s="2457">
        <v>56</v>
      </c>
      <c r="BG110" s="2457">
        <v>28</v>
      </c>
      <c r="BH110" s="2457">
        <v>0</v>
      </c>
      <c r="BI110" s="2457">
        <v>62</v>
      </c>
      <c r="BJ110" s="2457">
        <v>0</v>
      </c>
      <c r="BK110" s="2457">
        <v>0</v>
      </c>
      <c r="BL110" s="2457">
        <v>0</v>
      </c>
      <c r="BM110" s="2457">
        <v>0</v>
      </c>
      <c r="BN110" s="2457">
        <v>0</v>
      </c>
      <c r="BO110" s="2457">
        <v>90</v>
      </c>
      <c r="BP110" s="2457">
        <v>125</v>
      </c>
      <c r="BQ110" s="3425">
        <v>181200</v>
      </c>
      <c r="BR110" s="3407">
        <v>26800</v>
      </c>
      <c r="BS110" s="3407">
        <v>-10000</v>
      </c>
      <c r="BT110" s="3407">
        <v>-7500</v>
      </c>
      <c r="BU110" s="3407">
        <v>0</v>
      </c>
      <c r="BV110" s="3407">
        <v>-70000</v>
      </c>
      <c r="BW110" s="3407">
        <v>16800</v>
      </c>
      <c r="BX110" s="3407">
        <v>0</v>
      </c>
      <c r="BY110" s="3407">
        <v>0</v>
      </c>
      <c r="BZ110" s="3407">
        <v>0</v>
      </c>
      <c r="CA110" s="3407">
        <v>0</v>
      </c>
      <c r="CB110" s="3404">
        <v>0</v>
      </c>
      <c r="CC110" s="3425">
        <v>137300</v>
      </c>
      <c r="CD110" s="3410">
        <v>-43900</v>
      </c>
      <c r="CE110" s="3410">
        <v>180</v>
      </c>
      <c r="CF110" s="3407">
        <v>91</v>
      </c>
      <c r="CG110" s="3407">
        <v>38</v>
      </c>
      <c r="CH110" s="3407">
        <v>0</v>
      </c>
      <c r="CI110" s="3407">
        <v>-84</v>
      </c>
      <c r="CJ110" s="3422">
        <v>-21.875</v>
      </c>
      <c r="CK110" s="3410">
        <v>0</v>
      </c>
      <c r="CL110" s="3407">
        <v>0</v>
      </c>
      <c r="CM110" s="3404">
        <v>0</v>
      </c>
    </row>
    <row r="111" spans="1:91">
      <c r="A111" s="3396"/>
      <c r="B111" s="2551">
        <f t="shared" si="1"/>
        <v>0</v>
      </c>
      <c r="C111" s="3399"/>
      <c r="D111" s="3402"/>
      <c r="E111" s="3402"/>
      <c r="F111" s="3405"/>
      <c r="G111" s="3417"/>
      <c r="H111" s="3402"/>
      <c r="I111" s="3420"/>
      <c r="J111" s="3408"/>
      <c r="K111" s="3408"/>
      <c r="L111" s="3408"/>
      <c r="M111" s="3408"/>
      <c r="N111" s="3411"/>
      <c r="O111" s="3414"/>
      <c r="P111" s="3408"/>
      <c r="Q111" s="3408"/>
      <c r="R111" s="3408"/>
      <c r="S111" s="3408"/>
      <c r="T111" s="3408"/>
      <c r="U111" s="3408"/>
      <c r="V111" s="3408"/>
      <c r="W111" s="3408"/>
      <c r="X111" s="3408"/>
      <c r="Y111" s="3408"/>
      <c r="Z111" s="3408"/>
      <c r="AA111" s="3408"/>
      <c r="AB111" s="3408"/>
      <c r="AC111" s="3408"/>
      <c r="AD111" s="3408"/>
      <c r="AE111" s="3408"/>
      <c r="AF111" s="3408"/>
      <c r="AG111" s="3408"/>
      <c r="AH111" s="3408"/>
      <c r="AI111" s="3408"/>
      <c r="AJ111" s="3408"/>
      <c r="AK111" s="3408"/>
      <c r="AL111" s="3408"/>
      <c r="AM111" s="3411"/>
      <c r="AN111" s="2061" t="s">
        <v>1476</v>
      </c>
      <c r="AO111" s="2061" t="s">
        <v>1560</v>
      </c>
      <c r="AP111" s="2062" t="s">
        <v>1628</v>
      </c>
      <c r="AQ111" s="2063">
        <v>36000</v>
      </c>
      <c r="AR111" s="2064">
        <v>3000</v>
      </c>
      <c r="AS111" s="2064">
        <v>0</v>
      </c>
      <c r="AT111" s="2064">
        <v>0</v>
      </c>
      <c r="AU111" s="2064">
        <v>0</v>
      </c>
      <c r="AV111" s="2064">
        <v>0</v>
      </c>
      <c r="AW111" s="2064">
        <v>3000</v>
      </c>
      <c r="AX111" s="2064">
        <v>0</v>
      </c>
      <c r="AY111" s="2064">
        <v>0</v>
      </c>
      <c r="AZ111" s="2064">
        <v>0</v>
      </c>
      <c r="BA111" s="2064">
        <v>0</v>
      </c>
      <c r="BB111" s="2064">
        <v>0</v>
      </c>
      <c r="BC111" s="2064">
        <v>42000</v>
      </c>
      <c r="BD111" s="2064">
        <v>42000</v>
      </c>
      <c r="BE111" s="2064">
        <v>36</v>
      </c>
      <c r="BF111" s="2064">
        <v>18</v>
      </c>
      <c r="BG111" s="2064">
        <v>5</v>
      </c>
      <c r="BH111" s="2064">
        <v>0</v>
      </c>
      <c r="BI111" s="2064">
        <v>6</v>
      </c>
      <c r="BJ111" s="2064">
        <v>0</v>
      </c>
      <c r="BK111" s="2064">
        <v>0</v>
      </c>
      <c r="BL111" s="2064">
        <v>0</v>
      </c>
      <c r="BM111" s="2064">
        <v>0</v>
      </c>
      <c r="BN111" s="2064">
        <v>0</v>
      </c>
      <c r="BO111" s="2064">
        <v>11</v>
      </c>
      <c r="BP111" s="2064">
        <v>125</v>
      </c>
      <c r="BQ111" s="3426"/>
      <c r="BR111" s="3408"/>
      <c r="BS111" s="3408"/>
      <c r="BT111" s="3408"/>
      <c r="BU111" s="3408"/>
      <c r="BV111" s="3408"/>
      <c r="BW111" s="3408"/>
      <c r="BX111" s="3408"/>
      <c r="BY111" s="3408"/>
      <c r="BZ111" s="3408"/>
      <c r="CA111" s="3408"/>
      <c r="CB111" s="3405"/>
      <c r="CC111" s="3426"/>
      <c r="CD111" s="3411"/>
      <c r="CE111" s="3411"/>
      <c r="CF111" s="3408"/>
      <c r="CG111" s="3408"/>
      <c r="CH111" s="3408"/>
      <c r="CI111" s="3408"/>
      <c r="CJ111" s="3423"/>
      <c r="CK111" s="3411"/>
      <c r="CL111" s="3408"/>
      <c r="CM111" s="3405"/>
    </row>
    <row r="112" spans="1:91" ht="15.75" thickBot="1">
      <c r="A112" s="3397"/>
      <c r="B112" s="2551">
        <f t="shared" si="1"/>
        <v>0</v>
      </c>
      <c r="C112" s="3400"/>
      <c r="D112" s="3403"/>
      <c r="E112" s="3403"/>
      <c r="F112" s="3406"/>
      <c r="G112" s="3418"/>
      <c r="H112" s="3403"/>
      <c r="I112" s="3421"/>
      <c r="J112" s="3409"/>
      <c r="K112" s="3409"/>
      <c r="L112" s="3409"/>
      <c r="M112" s="3409"/>
      <c r="N112" s="3412"/>
      <c r="O112" s="3415"/>
      <c r="P112" s="3409"/>
      <c r="Q112" s="3409"/>
      <c r="R112" s="3409"/>
      <c r="S112" s="3409"/>
      <c r="T112" s="3409"/>
      <c r="U112" s="3409"/>
      <c r="V112" s="3409"/>
      <c r="W112" s="3409"/>
      <c r="X112" s="3409"/>
      <c r="Y112" s="3409"/>
      <c r="Z112" s="3409"/>
      <c r="AA112" s="3409"/>
      <c r="AB112" s="3409"/>
      <c r="AC112" s="3409"/>
      <c r="AD112" s="3409"/>
      <c r="AE112" s="3409"/>
      <c r="AF112" s="3409"/>
      <c r="AG112" s="3409"/>
      <c r="AH112" s="3409"/>
      <c r="AI112" s="3409"/>
      <c r="AJ112" s="3409"/>
      <c r="AK112" s="3409"/>
      <c r="AL112" s="3409"/>
      <c r="AM112" s="3412"/>
      <c r="AN112" s="2065" t="s">
        <v>1476</v>
      </c>
      <c r="AO112" s="2475" t="s">
        <v>1560</v>
      </c>
      <c r="AP112" s="2066" t="s">
        <v>1628</v>
      </c>
      <c r="AQ112" s="2460">
        <v>33600</v>
      </c>
      <c r="AR112" s="2458">
        <v>2800</v>
      </c>
      <c r="AS112" s="2458">
        <v>0</v>
      </c>
      <c r="AT112" s="2458">
        <v>0</v>
      </c>
      <c r="AU112" s="2458">
        <v>0</v>
      </c>
      <c r="AV112" s="2458">
        <v>0</v>
      </c>
      <c r="AW112" s="2458">
        <v>2800</v>
      </c>
      <c r="AX112" s="2458">
        <v>0</v>
      </c>
      <c r="AY112" s="2458">
        <v>0</v>
      </c>
      <c r="AZ112" s="2458">
        <v>0</v>
      </c>
      <c r="BA112" s="2458">
        <v>0</v>
      </c>
      <c r="BB112" s="2458">
        <v>0</v>
      </c>
      <c r="BC112" s="2458">
        <v>39200</v>
      </c>
      <c r="BD112" s="2458">
        <v>39200</v>
      </c>
      <c r="BE112" s="2458">
        <v>33</v>
      </c>
      <c r="BF112" s="2458">
        <v>17</v>
      </c>
      <c r="BG112" s="2458">
        <v>5</v>
      </c>
      <c r="BH112" s="2458">
        <v>0</v>
      </c>
      <c r="BI112" s="2458">
        <v>6</v>
      </c>
      <c r="BJ112" s="2458">
        <v>0</v>
      </c>
      <c r="BK112" s="2458">
        <v>0</v>
      </c>
      <c r="BL112" s="2458">
        <v>0</v>
      </c>
      <c r="BM112" s="2458">
        <v>0</v>
      </c>
      <c r="BN112" s="2458">
        <v>0</v>
      </c>
      <c r="BO112" s="2458">
        <v>11</v>
      </c>
      <c r="BP112" s="2458">
        <v>125</v>
      </c>
      <c r="BQ112" s="3427"/>
      <c r="BR112" s="3409"/>
      <c r="BS112" s="3409"/>
      <c r="BT112" s="3409"/>
      <c r="BU112" s="3409"/>
      <c r="BV112" s="3409"/>
      <c r="BW112" s="3409"/>
      <c r="BX112" s="3409"/>
      <c r="BY112" s="3409"/>
      <c r="BZ112" s="3409"/>
      <c r="CA112" s="3409"/>
      <c r="CB112" s="3406"/>
      <c r="CC112" s="3427"/>
      <c r="CD112" s="3412"/>
      <c r="CE112" s="3412"/>
      <c r="CF112" s="3409"/>
      <c r="CG112" s="3409"/>
      <c r="CH112" s="3409"/>
      <c r="CI112" s="3409"/>
      <c r="CJ112" s="3424"/>
      <c r="CK112" s="3412"/>
      <c r="CL112" s="3409"/>
      <c r="CM112" s="3406"/>
    </row>
    <row r="113" spans="1:91">
      <c r="A113" s="3282">
        <v>41</v>
      </c>
      <c r="B113" s="2551" t="str">
        <f t="shared" si="1"/>
        <v>3039710017</v>
      </c>
      <c r="C113" s="2010" t="s">
        <v>703</v>
      </c>
      <c r="D113" s="2011">
        <v>3971</v>
      </c>
      <c r="E113" s="2011">
        <v>17</v>
      </c>
      <c r="F113" s="2494">
        <v>2000</v>
      </c>
      <c r="G113" s="2496" t="s">
        <v>1566</v>
      </c>
      <c r="H113" s="2011" t="s">
        <v>1560</v>
      </c>
      <c r="I113" s="2012">
        <v>2</v>
      </c>
      <c r="J113" s="2491">
        <v>0</v>
      </c>
      <c r="K113" s="2491">
        <v>0</v>
      </c>
      <c r="L113" s="2491">
        <v>0</v>
      </c>
      <c r="M113" s="2491">
        <v>0</v>
      </c>
      <c r="N113" s="2489">
        <v>0</v>
      </c>
      <c r="O113" s="2525" t="s">
        <v>1572</v>
      </c>
      <c r="P113" s="3346">
        <v>0</v>
      </c>
      <c r="Q113" s="3331">
        <v>0</v>
      </c>
      <c r="R113" s="3331">
        <v>0</v>
      </c>
      <c r="S113" s="3331">
        <v>0</v>
      </c>
      <c r="T113" s="3331">
        <v>10126</v>
      </c>
      <c r="U113" s="3331">
        <v>0</v>
      </c>
      <c r="V113" s="3331">
        <v>0</v>
      </c>
      <c r="W113" s="3331">
        <v>0</v>
      </c>
      <c r="X113" s="3331">
        <v>0</v>
      </c>
      <c r="Y113" s="3331">
        <v>0</v>
      </c>
      <c r="Z113" s="3331">
        <v>0</v>
      </c>
      <c r="AA113" s="3331">
        <v>0</v>
      </c>
      <c r="AB113" s="3331">
        <v>10126</v>
      </c>
      <c r="AC113" s="3331">
        <v>10126</v>
      </c>
      <c r="AD113" s="3331">
        <v>0</v>
      </c>
      <c r="AE113" s="3331">
        <v>0</v>
      </c>
      <c r="AF113" s="3331">
        <v>0</v>
      </c>
      <c r="AG113" s="3331">
        <v>0</v>
      </c>
      <c r="AH113" s="3331">
        <v>0</v>
      </c>
      <c r="AI113" s="3331">
        <v>0</v>
      </c>
      <c r="AJ113" s="3331">
        <v>0</v>
      </c>
      <c r="AK113" s="3331">
        <v>0</v>
      </c>
      <c r="AL113" s="3331">
        <v>0</v>
      </c>
      <c r="AM113" s="3345">
        <v>15</v>
      </c>
      <c r="AN113" s="3277" t="s">
        <v>741</v>
      </c>
      <c r="AO113" s="3279" t="s">
        <v>706</v>
      </c>
      <c r="AP113" s="3265" t="s">
        <v>1595</v>
      </c>
      <c r="AQ113" s="3265">
        <v>84277</v>
      </c>
      <c r="AR113" s="3331">
        <v>9077.4</v>
      </c>
      <c r="AS113" s="3331">
        <v>0</v>
      </c>
      <c r="AT113" s="3331">
        <v>0</v>
      </c>
      <c r="AU113" s="3331">
        <v>0</v>
      </c>
      <c r="AV113" s="3331">
        <v>0</v>
      </c>
      <c r="AW113" s="3331">
        <v>0</v>
      </c>
      <c r="AX113" s="3331">
        <v>0</v>
      </c>
      <c r="AY113" s="3331">
        <v>0</v>
      </c>
      <c r="AZ113" s="3331">
        <v>0</v>
      </c>
      <c r="BA113" s="3331">
        <v>0</v>
      </c>
      <c r="BB113" s="3331">
        <v>0</v>
      </c>
      <c r="BC113" s="3331">
        <v>93354.4</v>
      </c>
      <c r="BD113" s="3331">
        <v>95323</v>
      </c>
      <c r="BE113" s="3331">
        <v>84</v>
      </c>
      <c r="BF113" s="3331">
        <v>42</v>
      </c>
      <c r="BG113" s="3331">
        <v>17</v>
      </c>
      <c r="BH113" s="3331">
        <v>0</v>
      </c>
      <c r="BI113" s="3331">
        <v>9</v>
      </c>
      <c r="BJ113" s="3331">
        <v>0</v>
      </c>
      <c r="BK113" s="3331">
        <v>0</v>
      </c>
      <c r="BL113" s="3331">
        <v>0</v>
      </c>
      <c r="BM113" s="3331">
        <v>0</v>
      </c>
      <c r="BN113" s="3331">
        <v>0</v>
      </c>
      <c r="BO113" s="3331">
        <v>26</v>
      </c>
      <c r="BP113" s="3331">
        <v>145</v>
      </c>
      <c r="BQ113" s="3379">
        <v>84277</v>
      </c>
      <c r="BR113" s="3331">
        <v>9077.4</v>
      </c>
      <c r="BS113" s="3331">
        <v>0</v>
      </c>
      <c r="BT113" s="3331">
        <v>0</v>
      </c>
      <c r="BU113" s="3331">
        <v>-10126</v>
      </c>
      <c r="BV113" s="3331">
        <v>0</v>
      </c>
      <c r="BW113" s="3331">
        <v>0</v>
      </c>
      <c r="BX113" s="3331">
        <v>0</v>
      </c>
      <c r="BY113" s="3331">
        <v>0</v>
      </c>
      <c r="BZ113" s="3331">
        <v>0</v>
      </c>
      <c r="CA113" s="3331">
        <v>0</v>
      </c>
      <c r="CB113" s="3345">
        <v>0</v>
      </c>
      <c r="CC113" s="3346">
        <v>83228.399999999994</v>
      </c>
      <c r="CD113" s="3346">
        <v>-1048.6000000000004</v>
      </c>
      <c r="CE113" s="3346">
        <v>84</v>
      </c>
      <c r="CF113" s="3346">
        <v>42</v>
      </c>
      <c r="CG113" s="3346">
        <v>17</v>
      </c>
      <c r="CH113" s="3346">
        <v>0</v>
      </c>
      <c r="CI113" s="3346">
        <v>9</v>
      </c>
      <c r="CJ113" s="3346">
        <v>0</v>
      </c>
      <c r="CK113" s="3346">
        <v>0</v>
      </c>
      <c r="CL113" s="3346">
        <v>0</v>
      </c>
      <c r="CM113" s="3345">
        <v>0</v>
      </c>
    </row>
    <row r="114" spans="1:91">
      <c r="A114" s="3313"/>
      <c r="B114" s="2551" t="str">
        <f t="shared" si="1"/>
        <v>3039710019</v>
      </c>
      <c r="C114" s="2492" t="s">
        <v>710</v>
      </c>
      <c r="D114" s="2026">
        <v>3971</v>
      </c>
      <c r="E114" s="2026">
        <v>19</v>
      </c>
      <c r="F114" s="2027">
        <v>4106</v>
      </c>
      <c r="G114" s="2497" t="s">
        <v>1566</v>
      </c>
      <c r="H114" s="2026" t="s">
        <v>1560</v>
      </c>
      <c r="I114" s="2028">
        <v>2</v>
      </c>
      <c r="J114" s="2500">
        <v>0</v>
      </c>
      <c r="K114" s="2500">
        <v>0</v>
      </c>
      <c r="L114" s="2500">
        <v>0</v>
      </c>
      <c r="M114" s="2500">
        <v>0</v>
      </c>
      <c r="N114" s="2029">
        <v>0</v>
      </c>
      <c r="O114" s="2030" t="s">
        <v>1572</v>
      </c>
      <c r="P114" s="3341"/>
      <c r="Q114" s="3340"/>
      <c r="R114" s="3340"/>
      <c r="S114" s="3340"/>
      <c r="T114" s="3340"/>
      <c r="U114" s="3340"/>
      <c r="V114" s="3340"/>
      <c r="W114" s="3340"/>
      <c r="X114" s="3340"/>
      <c r="Y114" s="3340"/>
      <c r="Z114" s="3340"/>
      <c r="AA114" s="3340"/>
      <c r="AB114" s="3340"/>
      <c r="AC114" s="3340"/>
      <c r="AD114" s="3340"/>
      <c r="AE114" s="3340"/>
      <c r="AF114" s="3340"/>
      <c r="AG114" s="3340"/>
      <c r="AH114" s="3340"/>
      <c r="AI114" s="3340"/>
      <c r="AJ114" s="3340"/>
      <c r="AK114" s="3340"/>
      <c r="AL114" s="3340"/>
      <c r="AM114" s="3343"/>
      <c r="AN114" s="3278"/>
      <c r="AO114" s="3280"/>
      <c r="AP114" s="3274"/>
      <c r="AQ114" s="3274"/>
      <c r="AR114" s="3340"/>
      <c r="AS114" s="3340"/>
      <c r="AT114" s="3340"/>
      <c r="AU114" s="3340"/>
      <c r="AV114" s="3340"/>
      <c r="AW114" s="3340"/>
      <c r="AX114" s="3340"/>
      <c r="AY114" s="3340"/>
      <c r="AZ114" s="3340"/>
      <c r="BA114" s="3340"/>
      <c r="BB114" s="3340"/>
      <c r="BC114" s="3340"/>
      <c r="BD114" s="3340"/>
      <c r="BE114" s="3340"/>
      <c r="BF114" s="3340"/>
      <c r="BG114" s="3340"/>
      <c r="BH114" s="3340"/>
      <c r="BI114" s="3340"/>
      <c r="BJ114" s="3340"/>
      <c r="BK114" s="3340"/>
      <c r="BL114" s="3340"/>
      <c r="BM114" s="3340"/>
      <c r="BN114" s="3340"/>
      <c r="BO114" s="3340"/>
      <c r="BP114" s="3340"/>
      <c r="BQ114" s="3387"/>
      <c r="BR114" s="3385"/>
      <c r="BS114" s="3385"/>
      <c r="BT114" s="3385"/>
      <c r="BU114" s="3385"/>
      <c r="BV114" s="3385"/>
      <c r="BW114" s="3385"/>
      <c r="BX114" s="3385"/>
      <c r="BY114" s="3385"/>
      <c r="BZ114" s="3385"/>
      <c r="CA114" s="3385"/>
      <c r="CB114" s="3386"/>
      <c r="CC114" s="3384"/>
      <c r="CD114" s="3384"/>
      <c r="CE114" s="3384"/>
      <c r="CF114" s="3384"/>
      <c r="CG114" s="3384"/>
      <c r="CH114" s="3384"/>
      <c r="CI114" s="3384"/>
      <c r="CJ114" s="3384"/>
      <c r="CK114" s="3384"/>
      <c r="CL114" s="3384"/>
      <c r="CM114" s="3386"/>
    </row>
    <row r="115" spans="1:91" ht="15.75" thickBot="1">
      <c r="A115" s="3283"/>
      <c r="B115" s="2551" t="str">
        <f t="shared" si="1"/>
        <v>3039710021</v>
      </c>
      <c r="C115" s="2493" t="s">
        <v>721</v>
      </c>
      <c r="D115" s="2018">
        <v>3971</v>
      </c>
      <c r="E115" s="2018">
        <v>21</v>
      </c>
      <c r="F115" s="2019">
        <v>6860</v>
      </c>
      <c r="G115" s="2498" t="s">
        <v>1566</v>
      </c>
      <c r="H115" s="2018" t="s">
        <v>1560</v>
      </c>
      <c r="I115" s="2020">
        <v>2</v>
      </c>
      <c r="J115" s="2501">
        <v>0</v>
      </c>
      <c r="K115" s="2501">
        <v>4420</v>
      </c>
      <c r="L115" s="2501">
        <v>0</v>
      </c>
      <c r="M115" s="2501">
        <v>4420</v>
      </c>
      <c r="N115" s="2508">
        <v>0</v>
      </c>
      <c r="O115" s="2031" t="s">
        <v>1572</v>
      </c>
      <c r="P115" s="3342"/>
      <c r="Q115" s="3332"/>
      <c r="R115" s="3332"/>
      <c r="S115" s="3332"/>
      <c r="T115" s="3332"/>
      <c r="U115" s="3332"/>
      <c r="V115" s="3332"/>
      <c r="W115" s="3332"/>
      <c r="X115" s="3332"/>
      <c r="Y115" s="3332"/>
      <c r="Z115" s="3332"/>
      <c r="AA115" s="3332"/>
      <c r="AB115" s="3332"/>
      <c r="AC115" s="3332"/>
      <c r="AD115" s="3332"/>
      <c r="AE115" s="3332"/>
      <c r="AF115" s="3332"/>
      <c r="AG115" s="3332"/>
      <c r="AH115" s="3332"/>
      <c r="AI115" s="3332"/>
      <c r="AJ115" s="3332"/>
      <c r="AK115" s="3332"/>
      <c r="AL115" s="3332"/>
      <c r="AM115" s="3344"/>
      <c r="AN115" s="3338"/>
      <c r="AO115" s="3339"/>
      <c r="AP115" s="3361"/>
      <c r="AQ115" s="3361"/>
      <c r="AR115" s="3332"/>
      <c r="AS115" s="3332"/>
      <c r="AT115" s="3332"/>
      <c r="AU115" s="3332"/>
      <c r="AV115" s="3332"/>
      <c r="AW115" s="3332"/>
      <c r="AX115" s="3332"/>
      <c r="AY115" s="3332"/>
      <c r="AZ115" s="3332"/>
      <c r="BA115" s="3332"/>
      <c r="BB115" s="3332"/>
      <c r="BC115" s="3332"/>
      <c r="BD115" s="3332"/>
      <c r="BE115" s="3332"/>
      <c r="BF115" s="3332"/>
      <c r="BG115" s="3332"/>
      <c r="BH115" s="3332"/>
      <c r="BI115" s="3332"/>
      <c r="BJ115" s="3332"/>
      <c r="BK115" s="3332"/>
      <c r="BL115" s="3332"/>
      <c r="BM115" s="3332"/>
      <c r="BN115" s="3332"/>
      <c r="BO115" s="3332"/>
      <c r="BP115" s="3332"/>
      <c r="BQ115" s="3357"/>
      <c r="BR115" s="3375"/>
      <c r="BS115" s="3375"/>
      <c r="BT115" s="3375"/>
      <c r="BU115" s="3375"/>
      <c r="BV115" s="3375"/>
      <c r="BW115" s="3375"/>
      <c r="BX115" s="3375"/>
      <c r="BY115" s="3375"/>
      <c r="BZ115" s="3375"/>
      <c r="CA115" s="3375"/>
      <c r="CB115" s="3371"/>
      <c r="CC115" s="3373"/>
      <c r="CD115" s="3373"/>
      <c r="CE115" s="3373"/>
      <c r="CF115" s="3373"/>
      <c r="CG115" s="3373"/>
      <c r="CH115" s="3373"/>
      <c r="CI115" s="3373"/>
      <c r="CJ115" s="3373"/>
      <c r="CK115" s="3373"/>
      <c r="CL115" s="3373"/>
      <c r="CM115" s="3371"/>
    </row>
    <row r="116" spans="1:91">
      <c r="A116" s="3312">
        <v>42</v>
      </c>
      <c r="B116" s="2551" t="str">
        <f t="shared" si="1"/>
        <v>3039720056</v>
      </c>
      <c r="C116" s="2022" t="s">
        <v>703</v>
      </c>
      <c r="D116" s="2023">
        <v>3972</v>
      </c>
      <c r="E116" s="2023">
        <v>56</v>
      </c>
      <c r="F116" s="2506">
        <v>2605</v>
      </c>
      <c r="G116" s="2507" t="s">
        <v>1079</v>
      </c>
      <c r="H116" s="2023" t="s">
        <v>1584</v>
      </c>
      <c r="I116" s="2024">
        <v>1.25</v>
      </c>
      <c r="J116" s="2505">
        <v>0</v>
      </c>
      <c r="K116" s="2505">
        <v>2166</v>
      </c>
      <c r="L116" s="2505">
        <v>0</v>
      </c>
      <c r="M116" s="2505">
        <v>2166</v>
      </c>
      <c r="N116" s="2025">
        <v>0</v>
      </c>
      <c r="O116" s="2525" t="s">
        <v>1572</v>
      </c>
      <c r="P116" s="3346">
        <v>0</v>
      </c>
      <c r="Q116" s="3331">
        <v>0</v>
      </c>
      <c r="R116" s="3331">
        <v>0</v>
      </c>
      <c r="S116" s="3331">
        <v>0</v>
      </c>
      <c r="T116" s="3331">
        <v>2166</v>
      </c>
      <c r="U116" s="3331">
        <v>0</v>
      </c>
      <c r="V116" s="3331">
        <v>0</v>
      </c>
      <c r="W116" s="3331">
        <v>0</v>
      </c>
      <c r="X116" s="3331">
        <v>540</v>
      </c>
      <c r="Y116" s="3331">
        <v>0</v>
      </c>
      <c r="Z116" s="3331">
        <v>0</v>
      </c>
      <c r="AA116" s="3331">
        <v>0</v>
      </c>
      <c r="AB116" s="3331">
        <v>2706</v>
      </c>
      <c r="AC116" s="3331">
        <v>2706</v>
      </c>
      <c r="AD116" s="3331">
        <v>0</v>
      </c>
      <c r="AE116" s="3331">
        <v>0</v>
      </c>
      <c r="AF116" s="3331">
        <v>0</v>
      </c>
      <c r="AG116" s="3331">
        <v>0</v>
      </c>
      <c r="AH116" s="3331">
        <v>0</v>
      </c>
      <c r="AI116" s="3331">
        <v>2</v>
      </c>
      <c r="AJ116" s="3331">
        <v>0</v>
      </c>
      <c r="AK116" s="3331">
        <v>0</v>
      </c>
      <c r="AL116" s="3331">
        <v>2</v>
      </c>
      <c r="AM116" s="3345">
        <v>25</v>
      </c>
      <c r="AN116" s="3277" t="s">
        <v>1585</v>
      </c>
      <c r="AO116" s="3279" t="s">
        <v>706</v>
      </c>
      <c r="AP116" s="3265" t="s">
        <v>1599</v>
      </c>
      <c r="AQ116" s="3265">
        <v>22581</v>
      </c>
      <c r="AR116" s="3331">
        <v>4797</v>
      </c>
      <c r="AS116" s="3331">
        <v>0</v>
      </c>
      <c r="AT116" s="3331">
        <v>0</v>
      </c>
      <c r="AU116" s="3331">
        <v>0</v>
      </c>
      <c r="AV116" s="3331">
        <v>0</v>
      </c>
      <c r="AW116" s="3331">
        <v>0</v>
      </c>
      <c r="AX116" s="3331">
        <v>0</v>
      </c>
      <c r="AY116" s="3331">
        <v>0</v>
      </c>
      <c r="AZ116" s="3331">
        <v>0</v>
      </c>
      <c r="BA116" s="3331">
        <v>0</v>
      </c>
      <c r="BB116" s="3331">
        <v>0</v>
      </c>
      <c r="BC116" s="3331">
        <v>27378</v>
      </c>
      <c r="BD116" s="3331">
        <v>28669</v>
      </c>
      <c r="BE116" s="3331">
        <v>22</v>
      </c>
      <c r="BF116" s="3331">
        <v>11</v>
      </c>
      <c r="BG116" s="3331">
        <v>6</v>
      </c>
      <c r="BH116" s="3331">
        <v>0</v>
      </c>
      <c r="BI116" s="3331">
        <v>5</v>
      </c>
      <c r="BJ116" s="3331">
        <v>0</v>
      </c>
      <c r="BK116" s="3331">
        <v>0</v>
      </c>
      <c r="BL116" s="3331">
        <v>0</v>
      </c>
      <c r="BM116" s="3331">
        <v>0</v>
      </c>
      <c r="BN116" s="3331">
        <v>0</v>
      </c>
      <c r="BO116" s="3331">
        <v>11</v>
      </c>
      <c r="BP116" s="3331">
        <v>85</v>
      </c>
      <c r="BQ116" s="3388">
        <v>22581</v>
      </c>
      <c r="BR116" s="3340">
        <v>4797</v>
      </c>
      <c r="BS116" s="3340">
        <v>0</v>
      </c>
      <c r="BT116" s="3340">
        <v>0</v>
      </c>
      <c r="BU116" s="3340">
        <v>-2166</v>
      </c>
      <c r="BV116" s="3340">
        <v>0</v>
      </c>
      <c r="BW116" s="3340">
        <v>0</v>
      </c>
      <c r="BX116" s="3340">
        <v>0</v>
      </c>
      <c r="BY116" s="3340">
        <v>-540</v>
      </c>
      <c r="BZ116" s="3340">
        <v>0</v>
      </c>
      <c r="CA116" s="3340">
        <v>0</v>
      </c>
      <c r="CB116" s="3343">
        <v>0</v>
      </c>
      <c r="CC116" s="3341">
        <v>24672</v>
      </c>
      <c r="CD116" s="3341">
        <v>2091</v>
      </c>
      <c r="CE116" s="3341">
        <v>22</v>
      </c>
      <c r="CF116" s="3341">
        <v>11</v>
      </c>
      <c r="CG116" s="3341">
        <v>6</v>
      </c>
      <c r="CH116" s="3341">
        <v>0</v>
      </c>
      <c r="CI116" s="3341">
        <v>5</v>
      </c>
      <c r="CJ116" s="3341">
        <v>0</v>
      </c>
      <c r="CK116" s="3341">
        <v>-2</v>
      </c>
      <c r="CL116" s="3341">
        <v>0</v>
      </c>
      <c r="CM116" s="3343">
        <v>0</v>
      </c>
    </row>
    <row r="117" spans="1:91" ht="15.75" thickBot="1">
      <c r="A117" s="3283"/>
      <c r="B117" s="2551" t="str">
        <f t="shared" si="1"/>
        <v>3039720057</v>
      </c>
      <c r="C117" s="2493" t="s">
        <v>710</v>
      </c>
      <c r="D117" s="2018">
        <v>3972</v>
      </c>
      <c r="E117" s="2018">
        <v>57</v>
      </c>
      <c r="F117" s="2019">
        <v>5000</v>
      </c>
      <c r="G117" s="2498" t="s">
        <v>1079</v>
      </c>
      <c r="H117" s="2018" t="s">
        <v>1584</v>
      </c>
      <c r="I117" s="2020">
        <v>1.25</v>
      </c>
      <c r="J117" s="2501">
        <v>0</v>
      </c>
      <c r="K117" s="2501">
        <v>540</v>
      </c>
      <c r="L117" s="2501">
        <v>0</v>
      </c>
      <c r="M117" s="2501">
        <v>540</v>
      </c>
      <c r="N117" s="2508">
        <v>0</v>
      </c>
      <c r="O117" s="2031" t="s">
        <v>1572</v>
      </c>
      <c r="P117" s="3342"/>
      <c r="Q117" s="3332"/>
      <c r="R117" s="3332"/>
      <c r="S117" s="3332"/>
      <c r="T117" s="3332"/>
      <c r="U117" s="3332"/>
      <c r="V117" s="3332"/>
      <c r="W117" s="3332"/>
      <c r="X117" s="3332"/>
      <c r="Y117" s="3332"/>
      <c r="Z117" s="3332"/>
      <c r="AA117" s="3332"/>
      <c r="AB117" s="3332"/>
      <c r="AC117" s="3332"/>
      <c r="AD117" s="3332"/>
      <c r="AE117" s="3332"/>
      <c r="AF117" s="3332"/>
      <c r="AG117" s="3332"/>
      <c r="AH117" s="3332"/>
      <c r="AI117" s="3332"/>
      <c r="AJ117" s="3332"/>
      <c r="AK117" s="3332"/>
      <c r="AL117" s="3332"/>
      <c r="AM117" s="3344"/>
      <c r="AN117" s="3338"/>
      <c r="AO117" s="3339"/>
      <c r="AP117" s="3361"/>
      <c r="AQ117" s="3361"/>
      <c r="AR117" s="3332"/>
      <c r="AS117" s="3332"/>
      <c r="AT117" s="3332"/>
      <c r="AU117" s="3332"/>
      <c r="AV117" s="3332"/>
      <c r="AW117" s="3332"/>
      <c r="AX117" s="3332"/>
      <c r="AY117" s="3332"/>
      <c r="AZ117" s="3332"/>
      <c r="BA117" s="3332"/>
      <c r="BB117" s="3332"/>
      <c r="BC117" s="3332"/>
      <c r="BD117" s="3332"/>
      <c r="BE117" s="3332"/>
      <c r="BF117" s="3332"/>
      <c r="BG117" s="3332"/>
      <c r="BH117" s="3332"/>
      <c r="BI117" s="3332"/>
      <c r="BJ117" s="3332"/>
      <c r="BK117" s="3332"/>
      <c r="BL117" s="3332"/>
      <c r="BM117" s="3332"/>
      <c r="BN117" s="3332"/>
      <c r="BO117" s="3332"/>
      <c r="BP117" s="3332"/>
      <c r="BQ117" s="3357"/>
      <c r="BR117" s="3375"/>
      <c r="BS117" s="3375"/>
      <c r="BT117" s="3375"/>
      <c r="BU117" s="3375"/>
      <c r="BV117" s="3375"/>
      <c r="BW117" s="3375"/>
      <c r="BX117" s="3375"/>
      <c r="BY117" s="3375"/>
      <c r="BZ117" s="3375"/>
      <c r="CA117" s="3375"/>
      <c r="CB117" s="3371"/>
      <c r="CC117" s="3373"/>
      <c r="CD117" s="3373"/>
      <c r="CE117" s="3373"/>
      <c r="CF117" s="3373"/>
      <c r="CG117" s="3373"/>
      <c r="CH117" s="3373"/>
      <c r="CI117" s="3373"/>
      <c r="CJ117" s="3373"/>
      <c r="CK117" s="3373"/>
      <c r="CL117" s="3373"/>
      <c r="CM117" s="3371"/>
    </row>
    <row r="118" spans="1:91">
      <c r="A118" s="3282">
        <v>43</v>
      </c>
      <c r="B118" s="2551" t="str">
        <f t="shared" si="1"/>
        <v>3039730022</v>
      </c>
      <c r="C118" s="2010" t="s">
        <v>703</v>
      </c>
      <c r="D118" s="2011">
        <v>3973</v>
      </c>
      <c r="E118" s="2011">
        <v>22</v>
      </c>
      <c r="F118" s="2494">
        <v>5000</v>
      </c>
      <c r="G118" s="2496" t="s">
        <v>947</v>
      </c>
      <c r="H118" s="2011" t="s">
        <v>1560</v>
      </c>
      <c r="I118" s="2012">
        <v>1</v>
      </c>
      <c r="J118" s="2491">
        <v>0</v>
      </c>
      <c r="K118" s="2491">
        <v>0</v>
      </c>
      <c r="L118" s="2491">
        <v>0</v>
      </c>
      <c r="M118" s="2491">
        <v>0</v>
      </c>
      <c r="N118" s="2489">
        <v>0</v>
      </c>
      <c r="O118" s="2036" t="s">
        <v>720</v>
      </c>
      <c r="P118" s="3346">
        <v>0</v>
      </c>
      <c r="Q118" s="3331">
        <v>0</v>
      </c>
      <c r="R118" s="3331">
        <v>0</v>
      </c>
      <c r="S118" s="3331">
        <v>0</v>
      </c>
      <c r="T118" s="3331">
        <v>0</v>
      </c>
      <c r="U118" s="3331">
        <v>0</v>
      </c>
      <c r="V118" s="3331">
        <v>0</v>
      </c>
      <c r="W118" s="3331">
        <v>0</v>
      </c>
      <c r="X118" s="3331">
        <v>0</v>
      </c>
      <c r="Y118" s="3331">
        <v>0</v>
      </c>
      <c r="Z118" s="3331">
        <v>0</v>
      </c>
      <c r="AA118" s="3331">
        <v>16160</v>
      </c>
      <c r="AB118" s="3331">
        <v>16160</v>
      </c>
      <c r="AC118" s="3331">
        <v>16160</v>
      </c>
      <c r="AD118" s="3331">
        <v>0</v>
      </c>
      <c r="AE118" s="3331">
        <v>0</v>
      </c>
      <c r="AF118" s="3331">
        <v>0</v>
      </c>
      <c r="AG118" s="3331">
        <v>0</v>
      </c>
      <c r="AH118" s="3331">
        <v>0</v>
      </c>
      <c r="AI118" s="3331">
        <v>0</v>
      </c>
      <c r="AJ118" s="3331">
        <v>0</v>
      </c>
      <c r="AK118" s="3331">
        <v>54</v>
      </c>
      <c r="AL118" s="3331">
        <v>54</v>
      </c>
      <c r="AM118" s="3345">
        <v>15</v>
      </c>
      <c r="AN118" s="3277" t="s">
        <v>741</v>
      </c>
      <c r="AO118" s="3279" t="s">
        <v>706</v>
      </c>
      <c r="AP118" s="3265" t="s">
        <v>1629</v>
      </c>
      <c r="AQ118" s="3265">
        <v>120720</v>
      </c>
      <c r="AR118" s="3331">
        <v>20640</v>
      </c>
      <c r="AS118" s="3331">
        <v>0</v>
      </c>
      <c r="AT118" s="3331">
        <v>0</v>
      </c>
      <c r="AU118" s="3331">
        <v>0</v>
      </c>
      <c r="AV118" s="3331">
        <v>0</v>
      </c>
      <c r="AW118" s="3331">
        <v>0</v>
      </c>
      <c r="AX118" s="3331">
        <v>0</v>
      </c>
      <c r="AY118" s="3331">
        <v>0</v>
      </c>
      <c r="AZ118" s="3331">
        <v>0</v>
      </c>
      <c r="BA118" s="3331">
        <v>0</v>
      </c>
      <c r="BB118" s="3331">
        <v>51600</v>
      </c>
      <c r="BC118" s="3331">
        <v>192960</v>
      </c>
      <c r="BD118" s="3331">
        <v>198120</v>
      </c>
      <c r="BE118" s="3331">
        <v>120</v>
      </c>
      <c r="BF118" s="3331">
        <v>60</v>
      </c>
      <c r="BG118" s="3331">
        <v>24</v>
      </c>
      <c r="BH118" s="3331">
        <v>0</v>
      </c>
      <c r="BI118" s="3331">
        <v>21</v>
      </c>
      <c r="BJ118" s="3331">
        <v>0</v>
      </c>
      <c r="BK118" s="3331">
        <v>0</v>
      </c>
      <c r="BL118" s="3331">
        <v>0</v>
      </c>
      <c r="BM118" s="3331">
        <v>0</v>
      </c>
      <c r="BN118" s="3331">
        <v>27</v>
      </c>
      <c r="BO118" s="3331">
        <v>72</v>
      </c>
      <c r="BP118" s="3331">
        <v>145</v>
      </c>
      <c r="BQ118" s="3379">
        <v>120720</v>
      </c>
      <c r="BR118" s="3331">
        <v>20640</v>
      </c>
      <c r="BS118" s="3331">
        <v>0</v>
      </c>
      <c r="BT118" s="3331">
        <v>0</v>
      </c>
      <c r="BU118" s="3331">
        <v>0</v>
      </c>
      <c r="BV118" s="3331">
        <v>0</v>
      </c>
      <c r="BW118" s="3331">
        <v>0</v>
      </c>
      <c r="BX118" s="3331">
        <v>0</v>
      </c>
      <c r="BY118" s="3331">
        <v>0</v>
      </c>
      <c r="BZ118" s="3331">
        <v>0</v>
      </c>
      <c r="CA118" s="3331">
        <v>0</v>
      </c>
      <c r="CB118" s="3345">
        <v>35440</v>
      </c>
      <c r="CC118" s="3346">
        <v>176800</v>
      </c>
      <c r="CD118" s="3346">
        <v>20640</v>
      </c>
      <c r="CE118" s="3346">
        <v>120</v>
      </c>
      <c r="CF118" s="3346">
        <v>60</v>
      </c>
      <c r="CG118" s="3346">
        <v>24</v>
      </c>
      <c r="CH118" s="3346">
        <v>0</v>
      </c>
      <c r="CI118" s="3346">
        <v>21</v>
      </c>
      <c r="CJ118" s="3346">
        <v>0</v>
      </c>
      <c r="CK118" s="3346">
        <v>0</v>
      </c>
      <c r="CL118" s="3346">
        <v>0</v>
      </c>
      <c r="CM118" s="3345">
        <v>-27</v>
      </c>
    </row>
    <row r="119" spans="1:91" ht="15.75" thickBot="1">
      <c r="A119" s="3380"/>
      <c r="B119" s="2551" t="str">
        <f t="shared" si="1"/>
        <v>3039730024</v>
      </c>
      <c r="C119" s="2468" t="s">
        <v>710</v>
      </c>
      <c r="D119" s="2014">
        <v>3973</v>
      </c>
      <c r="E119" s="2014">
        <v>24</v>
      </c>
      <c r="F119" s="2038">
        <v>21800</v>
      </c>
      <c r="G119" s="2133" t="s">
        <v>947</v>
      </c>
      <c r="H119" s="2014" t="s">
        <v>1560</v>
      </c>
      <c r="I119" s="2016">
        <v>1</v>
      </c>
      <c r="J119" s="2538">
        <v>0</v>
      </c>
      <c r="K119" s="2538">
        <v>0</v>
      </c>
      <c r="L119" s="2538">
        <v>0</v>
      </c>
      <c r="M119" s="2538">
        <v>16160</v>
      </c>
      <c r="N119" s="2509">
        <v>0</v>
      </c>
      <c r="O119" s="2031" t="s">
        <v>1630</v>
      </c>
      <c r="P119" s="3342"/>
      <c r="Q119" s="3332"/>
      <c r="R119" s="3332"/>
      <c r="S119" s="3332"/>
      <c r="T119" s="3332"/>
      <c r="U119" s="3332"/>
      <c r="V119" s="3332"/>
      <c r="W119" s="3332"/>
      <c r="X119" s="3332"/>
      <c r="Y119" s="3332"/>
      <c r="Z119" s="3332"/>
      <c r="AA119" s="3332"/>
      <c r="AB119" s="3332"/>
      <c r="AC119" s="3332"/>
      <c r="AD119" s="3332"/>
      <c r="AE119" s="3332"/>
      <c r="AF119" s="3332"/>
      <c r="AG119" s="3332"/>
      <c r="AH119" s="3332"/>
      <c r="AI119" s="3332"/>
      <c r="AJ119" s="3332"/>
      <c r="AK119" s="3332"/>
      <c r="AL119" s="3332"/>
      <c r="AM119" s="3344"/>
      <c r="AN119" s="3338"/>
      <c r="AO119" s="3339"/>
      <c r="AP119" s="3361"/>
      <c r="AQ119" s="3361"/>
      <c r="AR119" s="3332"/>
      <c r="AS119" s="3332"/>
      <c r="AT119" s="3332"/>
      <c r="AU119" s="3332"/>
      <c r="AV119" s="3332"/>
      <c r="AW119" s="3332"/>
      <c r="AX119" s="3332"/>
      <c r="AY119" s="3332"/>
      <c r="AZ119" s="3332"/>
      <c r="BA119" s="3332"/>
      <c r="BB119" s="3332"/>
      <c r="BC119" s="3332"/>
      <c r="BD119" s="3332"/>
      <c r="BE119" s="3332"/>
      <c r="BF119" s="3332"/>
      <c r="BG119" s="3332"/>
      <c r="BH119" s="3332"/>
      <c r="BI119" s="3332"/>
      <c r="BJ119" s="3332"/>
      <c r="BK119" s="3332"/>
      <c r="BL119" s="3332"/>
      <c r="BM119" s="3332"/>
      <c r="BN119" s="3332"/>
      <c r="BO119" s="3332"/>
      <c r="BP119" s="3332"/>
      <c r="BQ119" s="3387"/>
      <c r="BR119" s="3385"/>
      <c r="BS119" s="3385"/>
      <c r="BT119" s="3385"/>
      <c r="BU119" s="3385"/>
      <c r="BV119" s="3385"/>
      <c r="BW119" s="3385"/>
      <c r="BX119" s="3385"/>
      <c r="BY119" s="3385"/>
      <c r="BZ119" s="3385"/>
      <c r="CA119" s="3385"/>
      <c r="CB119" s="3386"/>
      <c r="CC119" s="3384"/>
      <c r="CD119" s="3384"/>
      <c r="CE119" s="3384"/>
      <c r="CF119" s="3384"/>
      <c r="CG119" s="3384"/>
      <c r="CH119" s="3384"/>
      <c r="CI119" s="3384"/>
      <c r="CJ119" s="3384"/>
      <c r="CK119" s="3384"/>
      <c r="CL119" s="3384"/>
      <c r="CM119" s="3386"/>
    </row>
    <row r="120" spans="1:91">
      <c r="A120" s="3282">
        <v>44</v>
      </c>
      <c r="B120" s="2551" t="str">
        <f t="shared" si="1"/>
        <v>3039730050</v>
      </c>
      <c r="C120" s="2010" t="s">
        <v>703</v>
      </c>
      <c r="D120" s="2011">
        <v>3973</v>
      </c>
      <c r="E120" s="2011">
        <v>50</v>
      </c>
      <c r="F120" s="2494">
        <v>5000</v>
      </c>
      <c r="G120" s="2496" t="s">
        <v>1079</v>
      </c>
      <c r="H120" s="2011" t="s">
        <v>1560</v>
      </c>
      <c r="I120" s="2012">
        <v>1.25</v>
      </c>
      <c r="J120" s="2491">
        <v>0</v>
      </c>
      <c r="K120" s="2491">
        <v>0</v>
      </c>
      <c r="L120" s="2491">
        <v>0</v>
      </c>
      <c r="M120" s="2491">
        <v>0</v>
      </c>
      <c r="N120" s="2489">
        <v>0</v>
      </c>
      <c r="O120" s="2525" t="s">
        <v>1631</v>
      </c>
      <c r="P120" s="3346">
        <v>6250</v>
      </c>
      <c r="Q120" s="3331">
        <v>0</v>
      </c>
      <c r="R120" s="3331">
        <v>0</v>
      </c>
      <c r="S120" s="3331">
        <v>0</v>
      </c>
      <c r="T120" s="3331">
        <v>2500</v>
      </c>
      <c r="U120" s="3331">
        <v>0</v>
      </c>
      <c r="V120" s="3331">
        <v>0</v>
      </c>
      <c r="W120" s="3331">
        <v>0</v>
      </c>
      <c r="X120" s="3331">
        <v>0</v>
      </c>
      <c r="Y120" s="3331">
        <v>0</v>
      </c>
      <c r="Z120" s="3331">
        <v>0</v>
      </c>
      <c r="AA120" s="3331">
        <v>0</v>
      </c>
      <c r="AB120" s="3331">
        <v>8750</v>
      </c>
      <c r="AC120" s="3331">
        <v>8750</v>
      </c>
      <c r="AD120" s="3331">
        <v>6</v>
      </c>
      <c r="AE120" s="3331">
        <v>0</v>
      </c>
      <c r="AF120" s="3331">
        <v>0</v>
      </c>
      <c r="AG120" s="3331">
        <v>0</v>
      </c>
      <c r="AH120" s="3331">
        <v>0</v>
      </c>
      <c r="AI120" s="3331">
        <v>0</v>
      </c>
      <c r="AJ120" s="3331">
        <v>0</v>
      </c>
      <c r="AK120" s="3331">
        <v>0</v>
      </c>
      <c r="AL120" s="3331">
        <v>0</v>
      </c>
      <c r="AM120" s="3345">
        <v>45</v>
      </c>
      <c r="AN120" s="3277" t="s">
        <v>1612</v>
      </c>
      <c r="AO120" s="3279" t="s">
        <v>1560</v>
      </c>
      <c r="AP120" s="3265" t="s">
        <v>1613</v>
      </c>
      <c r="AQ120" s="3265">
        <v>16500</v>
      </c>
      <c r="AR120" s="3331">
        <v>0</v>
      </c>
      <c r="AS120" s="3331">
        <v>0</v>
      </c>
      <c r="AT120" s="3331">
        <v>0</v>
      </c>
      <c r="AU120" s="3331">
        <v>0</v>
      </c>
      <c r="AV120" s="3331">
        <v>0</v>
      </c>
      <c r="AW120" s="3331">
        <v>0</v>
      </c>
      <c r="AX120" s="3331">
        <v>0</v>
      </c>
      <c r="AY120" s="3331">
        <v>0</v>
      </c>
      <c r="AZ120" s="3331">
        <v>0</v>
      </c>
      <c r="BA120" s="3331">
        <v>0</v>
      </c>
      <c r="BB120" s="3331">
        <v>0</v>
      </c>
      <c r="BC120" s="3331">
        <v>16500</v>
      </c>
      <c r="BD120" s="3331">
        <v>16500</v>
      </c>
      <c r="BE120" s="3331">
        <v>16</v>
      </c>
      <c r="BF120" s="3331">
        <v>8</v>
      </c>
      <c r="BG120" s="3331">
        <v>4</v>
      </c>
      <c r="BH120" s="3331">
        <v>0</v>
      </c>
      <c r="BI120" s="3331">
        <v>0</v>
      </c>
      <c r="BJ120" s="3331">
        <v>0</v>
      </c>
      <c r="BK120" s="3331">
        <v>0</v>
      </c>
      <c r="BL120" s="3331">
        <v>0</v>
      </c>
      <c r="BM120" s="3331">
        <v>0</v>
      </c>
      <c r="BN120" s="3331">
        <v>0</v>
      </c>
      <c r="BO120" s="3331">
        <v>4</v>
      </c>
      <c r="BP120" s="3331">
        <v>55</v>
      </c>
      <c r="BQ120" s="3379">
        <v>10250</v>
      </c>
      <c r="BR120" s="3331">
        <v>0</v>
      </c>
      <c r="BS120" s="3331">
        <v>0</v>
      </c>
      <c r="BT120" s="3331">
        <v>0</v>
      </c>
      <c r="BU120" s="3331">
        <v>-2500</v>
      </c>
      <c r="BV120" s="3331">
        <v>0</v>
      </c>
      <c r="BW120" s="3331">
        <v>0</v>
      </c>
      <c r="BX120" s="3331">
        <v>0</v>
      </c>
      <c r="BY120" s="3331">
        <v>0</v>
      </c>
      <c r="BZ120" s="3331">
        <v>0</v>
      </c>
      <c r="CA120" s="3331">
        <v>0</v>
      </c>
      <c r="CB120" s="3345">
        <v>0</v>
      </c>
      <c r="CC120" s="3346">
        <v>7750</v>
      </c>
      <c r="CD120" s="3346">
        <v>-2500</v>
      </c>
      <c r="CE120" s="3346">
        <v>10</v>
      </c>
      <c r="CF120" s="3346">
        <v>8</v>
      </c>
      <c r="CG120" s="3346">
        <v>4</v>
      </c>
      <c r="CH120" s="3346">
        <v>0</v>
      </c>
      <c r="CI120" s="3346">
        <v>0</v>
      </c>
      <c r="CJ120" s="3346">
        <v>0</v>
      </c>
      <c r="CK120" s="3346">
        <v>0</v>
      </c>
      <c r="CL120" s="3346">
        <v>0</v>
      </c>
      <c r="CM120" s="3345">
        <v>0</v>
      </c>
    </row>
    <row r="121" spans="1:91" ht="15.75" thickBot="1">
      <c r="A121" s="3283"/>
      <c r="B121" s="2551" t="str">
        <f t="shared" si="1"/>
        <v>3039730052</v>
      </c>
      <c r="C121" s="2493" t="s">
        <v>710</v>
      </c>
      <c r="D121" s="2018">
        <v>3973</v>
      </c>
      <c r="E121" s="2018">
        <v>52</v>
      </c>
      <c r="F121" s="2019">
        <v>2500</v>
      </c>
      <c r="G121" s="2498" t="s">
        <v>1079</v>
      </c>
      <c r="H121" s="2018" t="s">
        <v>1560</v>
      </c>
      <c r="I121" s="2020">
        <v>1.25</v>
      </c>
      <c r="J121" s="2501">
        <v>0</v>
      </c>
      <c r="K121" s="2501">
        <v>2500</v>
      </c>
      <c r="L121" s="2501">
        <v>0</v>
      </c>
      <c r="M121" s="2501">
        <v>2500</v>
      </c>
      <c r="N121" s="2508">
        <v>0</v>
      </c>
      <c r="O121" s="2037" t="s">
        <v>1572</v>
      </c>
      <c r="P121" s="3342"/>
      <c r="Q121" s="3332"/>
      <c r="R121" s="3332"/>
      <c r="S121" s="3332"/>
      <c r="T121" s="3332"/>
      <c r="U121" s="3332"/>
      <c r="V121" s="3332"/>
      <c r="W121" s="3332"/>
      <c r="X121" s="3332"/>
      <c r="Y121" s="3332"/>
      <c r="Z121" s="3332"/>
      <c r="AA121" s="3332"/>
      <c r="AB121" s="3332"/>
      <c r="AC121" s="3332"/>
      <c r="AD121" s="3332"/>
      <c r="AE121" s="3332"/>
      <c r="AF121" s="3332"/>
      <c r="AG121" s="3332"/>
      <c r="AH121" s="3332"/>
      <c r="AI121" s="3332"/>
      <c r="AJ121" s="3332"/>
      <c r="AK121" s="3332"/>
      <c r="AL121" s="3332"/>
      <c r="AM121" s="3344"/>
      <c r="AN121" s="3338"/>
      <c r="AO121" s="3339"/>
      <c r="AP121" s="3361"/>
      <c r="AQ121" s="3361"/>
      <c r="AR121" s="3332"/>
      <c r="AS121" s="3332"/>
      <c r="AT121" s="3332"/>
      <c r="AU121" s="3332"/>
      <c r="AV121" s="3332"/>
      <c r="AW121" s="3332"/>
      <c r="AX121" s="3332"/>
      <c r="AY121" s="3332"/>
      <c r="AZ121" s="3332"/>
      <c r="BA121" s="3332"/>
      <c r="BB121" s="3332"/>
      <c r="BC121" s="3332"/>
      <c r="BD121" s="3332"/>
      <c r="BE121" s="3332"/>
      <c r="BF121" s="3332"/>
      <c r="BG121" s="3332"/>
      <c r="BH121" s="3332"/>
      <c r="BI121" s="3332"/>
      <c r="BJ121" s="3332"/>
      <c r="BK121" s="3332"/>
      <c r="BL121" s="3332"/>
      <c r="BM121" s="3332"/>
      <c r="BN121" s="3332"/>
      <c r="BO121" s="3332"/>
      <c r="BP121" s="3332"/>
      <c r="BQ121" s="3357"/>
      <c r="BR121" s="3375"/>
      <c r="BS121" s="3375"/>
      <c r="BT121" s="3375"/>
      <c r="BU121" s="3375"/>
      <c r="BV121" s="3375"/>
      <c r="BW121" s="3375"/>
      <c r="BX121" s="3375"/>
      <c r="BY121" s="3375"/>
      <c r="BZ121" s="3375"/>
      <c r="CA121" s="3375"/>
      <c r="CB121" s="3371"/>
      <c r="CC121" s="3373"/>
      <c r="CD121" s="3373"/>
      <c r="CE121" s="3373"/>
      <c r="CF121" s="3373"/>
      <c r="CG121" s="3373"/>
      <c r="CH121" s="3373"/>
      <c r="CI121" s="3373"/>
      <c r="CJ121" s="3373"/>
      <c r="CK121" s="3373"/>
      <c r="CL121" s="3373"/>
      <c r="CM121" s="3371"/>
    </row>
    <row r="122" spans="1:91">
      <c r="A122" s="3312">
        <v>45</v>
      </c>
      <c r="B122" s="2551" t="str">
        <f t="shared" si="1"/>
        <v>3039730053</v>
      </c>
      <c r="C122" s="2022" t="s">
        <v>703</v>
      </c>
      <c r="D122" s="2023">
        <v>3973</v>
      </c>
      <c r="E122" s="2023">
        <v>53</v>
      </c>
      <c r="F122" s="2506">
        <v>5000</v>
      </c>
      <c r="G122" s="2507" t="s">
        <v>1079</v>
      </c>
      <c r="H122" s="2023" t="s">
        <v>1560</v>
      </c>
      <c r="I122" s="2024">
        <v>1.25</v>
      </c>
      <c r="J122" s="2505">
        <v>0</v>
      </c>
      <c r="K122" s="2505">
        <v>0</v>
      </c>
      <c r="L122" s="2505">
        <v>0</v>
      </c>
      <c r="M122" s="2505">
        <v>2156</v>
      </c>
      <c r="N122" s="2025">
        <v>2</v>
      </c>
      <c r="O122" s="2525" t="s">
        <v>1578</v>
      </c>
      <c r="P122" s="3346">
        <v>2156</v>
      </c>
      <c r="Q122" s="3331">
        <v>0</v>
      </c>
      <c r="R122" s="3331">
        <v>0</v>
      </c>
      <c r="S122" s="3331">
        <v>0</v>
      </c>
      <c r="T122" s="3331">
        <v>0</v>
      </c>
      <c r="U122" s="3331">
        <v>0</v>
      </c>
      <c r="V122" s="3331">
        <v>0</v>
      </c>
      <c r="W122" s="3331">
        <v>0</v>
      </c>
      <c r="X122" s="3331">
        <v>0</v>
      </c>
      <c r="Y122" s="3331">
        <v>0</v>
      </c>
      <c r="Z122" s="3331">
        <v>0</v>
      </c>
      <c r="AA122" s="3331">
        <v>0</v>
      </c>
      <c r="AB122" s="3331">
        <v>2156</v>
      </c>
      <c r="AC122" s="3331">
        <v>2156</v>
      </c>
      <c r="AD122" s="3331">
        <v>2</v>
      </c>
      <c r="AE122" s="3331">
        <v>0</v>
      </c>
      <c r="AF122" s="3331">
        <v>0</v>
      </c>
      <c r="AG122" s="3331">
        <v>0</v>
      </c>
      <c r="AH122" s="3331">
        <v>0</v>
      </c>
      <c r="AI122" s="3331">
        <v>0</v>
      </c>
      <c r="AJ122" s="3331">
        <v>0</v>
      </c>
      <c r="AK122" s="3331">
        <v>0</v>
      </c>
      <c r="AL122" s="3331">
        <v>0</v>
      </c>
      <c r="AM122" s="3345">
        <v>35</v>
      </c>
      <c r="AN122" s="3277" t="s">
        <v>1612</v>
      </c>
      <c r="AO122" s="3279" t="s">
        <v>1560</v>
      </c>
      <c r="AP122" s="3265" t="s">
        <v>1613</v>
      </c>
      <c r="AQ122" s="3265">
        <v>16500</v>
      </c>
      <c r="AR122" s="3331">
        <v>0</v>
      </c>
      <c r="AS122" s="3331">
        <v>0</v>
      </c>
      <c r="AT122" s="3331">
        <v>0</v>
      </c>
      <c r="AU122" s="3331">
        <v>0</v>
      </c>
      <c r="AV122" s="3331">
        <v>0</v>
      </c>
      <c r="AW122" s="3331">
        <v>0</v>
      </c>
      <c r="AX122" s="3331">
        <v>0</v>
      </c>
      <c r="AY122" s="3331">
        <v>0</v>
      </c>
      <c r="AZ122" s="3331">
        <v>0</v>
      </c>
      <c r="BA122" s="3331">
        <v>0</v>
      </c>
      <c r="BB122" s="3331">
        <v>0</v>
      </c>
      <c r="BC122" s="3331">
        <v>16500</v>
      </c>
      <c r="BD122" s="3331">
        <v>16500</v>
      </c>
      <c r="BE122" s="3331">
        <v>16</v>
      </c>
      <c r="BF122" s="3331">
        <v>8</v>
      </c>
      <c r="BG122" s="3331">
        <v>4</v>
      </c>
      <c r="BH122" s="3331">
        <v>0</v>
      </c>
      <c r="BI122" s="3331">
        <v>0</v>
      </c>
      <c r="BJ122" s="3331">
        <v>0</v>
      </c>
      <c r="BK122" s="3331">
        <v>0</v>
      </c>
      <c r="BL122" s="3331">
        <v>0</v>
      </c>
      <c r="BM122" s="3331">
        <v>0</v>
      </c>
      <c r="BN122" s="3331">
        <v>0</v>
      </c>
      <c r="BO122" s="3331">
        <v>4</v>
      </c>
      <c r="BP122" s="3331">
        <v>55</v>
      </c>
      <c r="BQ122" s="3388">
        <v>14344</v>
      </c>
      <c r="BR122" s="3340">
        <v>0</v>
      </c>
      <c r="BS122" s="3340">
        <v>0</v>
      </c>
      <c r="BT122" s="3340">
        <v>0</v>
      </c>
      <c r="BU122" s="3340">
        <v>0</v>
      </c>
      <c r="BV122" s="3340">
        <v>0</v>
      </c>
      <c r="BW122" s="3340">
        <v>0</v>
      </c>
      <c r="BX122" s="3340">
        <v>0</v>
      </c>
      <c r="BY122" s="3340">
        <v>0</v>
      </c>
      <c r="BZ122" s="3340">
        <v>0</v>
      </c>
      <c r="CA122" s="3340">
        <v>0</v>
      </c>
      <c r="CB122" s="3343">
        <v>0</v>
      </c>
      <c r="CC122" s="3341">
        <v>14344</v>
      </c>
      <c r="CD122" s="3341">
        <v>0</v>
      </c>
      <c r="CE122" s="3341">
        <v>14</v>
      </c>
      <c r="CF122" s="3341">
        <v>8</v>
      </c>
      <c r="CG122" s="3341">
        <v>4</v>
      </c>
      <c r="CH122" s="3341">
        <v>0</v>
      </c>
      <c r="CI122" s="3341">
        <v>0</v>
      </c>
      <c r="CJ122" s="3341">
        <v>0</v>
      </c>
      <c r="CK122" s="3341">
        <v>0</v>
      </c>
      <c r="CL122" s="3341">
        <v>0</v>
      </c>
      <c r="CM122" s="3343">
        <v>0</v>
      </c>
    </row>
    <row r="123" spans="1:91" ht="15.75" thickBot="1">
      <c r="A123" s="3283"/>
      <c r="B123" s="2551" t="str">
        <f t="shared" si="1"/>
        <v>3039730055</v>
      </c>
      <c r="C123" s="2493" t="s">
        <v>710</v>
      </c>
      <c r="D123" s="2018">
        <v>3973</v>
      </c>
      <c r="E123" s="2018">
        <v>55</v>
      </c>
      <c r="F123" s="2019">
        <v>2500</v>
      </c>
      <c r="G123" s="2498" t="s">
        <v>1079</v>
      </c>
      <c r="H123" s="2018" t="s">
        <v>1560</v>
      </c>
      <c r="I123" s="2020">
        <v>1.25</v>
      </c>
      <c r="J123" s="2501">
        <v>0</v>
      </c>
      <c r="K123" s="2501">
        <v>0</v>
      </c>
      <c r="L123" s="2501">
        <v>0</v>
      </c>
      <c r="M123" s="2501">
        <v>0</v>
      </c>
      <c r="N123" s="2508">
        <v>0</v>
      </c>
      <c r="O123" s="2037" t="s">
        <v>720</v>
      </c>
      <c r="P123" s="3342"/>
      <c r="Q123" s="3332"/>
      <c r="R123" s="3332"/>
      <c r="S123" s="3332"/>
      <c r="T123" s="3332"/>
      <c r="U123" s="3332"/>
      <c r="V123" s="3332"/>
      <c r="W123" s="3332"/>
      <c r="X123" s="3332"/>
      <c r="Y123" s="3332"/>
      <c r="Z123" s="3332"/>
      <c r="AA123" s="3332"/>
      <c r="AB123" s="3332"/>
      <c r="AC123" s="3332"/>
      <c r="AD123" s="3332"/>
      <c r="AE123" s="3332"/>
      <c r="AF123" s="3332"/>
      <c r="AG123" s="3332"/>
      <c r="AH123" s="3332"/>
      <c r="AI123" s="3332"/>
      <c r="AJ123" s="3332"/>
      <c r="AK123" s="3332"/>
      <c r="AL123" s="3332"/>
      <c r="AM123" s="3344"/>
      <c r="AN123" s="3338"/>
      <c r="AO123" s="3339"/>
      <c r="AP123" s="3361"/>
      <c r="AQ123" s="3361"/>
      <c r="AR123" s="3332"/>
      <c r="AS123" s="3332"/>
      <c r="AT123" s="3332"/>
      <c r="AU123" s="3332"/>
      <c r="AV123" s="3332"/>
      <c r="AW123" s="3332"/>
      <c r="AX123" s="3332"/>
      <c r="AY123" s="3332"/>
      <c r="AZ123" s="3332"/>
      <c r="BA123" s="3332"/>
      <c r="BB123" s="3332"/>
      <c r="BC123" s="3332"/>
      <c r="BD123" s="3332"/>
      <c r="BE123" s="3332"/>
      <c r="BF123" s="3332"/>
      <c r="BG123" s="3332"/>
      <c r="BH123" s="3332"/>
      <c r="BI123" s="3332"/>
      <c r="BJ123" s="3332"/>
      <c r="BK123" s="3332"/>
      <c r="BL123" s="3332"/>
      <c r="BM123" s="3332"/>
      <c r="BN123" s="3332"/>
      <c r="BO123" s="3332"/>
      <c r="BP123" s="3332"/>
      <c r="BQ123" s="3357"/>
      <c r="BR123" s="3375"/>
      <c r="BS123" s="3375"/>
      <c r="BT123" s="3375"/>
      <c r="BU123" s="3375"/>
      <c r="BV123" s="3375"/>
      <c r="BW123" s="3375"/>
      <c r="BX123" s="3375"/>
      <c r="BY123" s="3375"/>
      <c r="BZ123" s="3375"/>
      <c r="CA123" s="3375"/>
      <c r="CB123" s="3371"/>
      <c r="CC123" s="3373"/>
      <c r="CD123" s="3373"/>
      <c r="CE123" s="3373"/>
      <c r="CF123" s="3373"/>
      <c r="CG123" s="3373"/>
      <c r="CH123" s="3373"/>
      <c r="CI123" s="3373"/>
      <c r="CJ123" s="3373"/>
      <c r="CK123" s="3373"/>
      <c r="CL123" s="3373"/>
      <c r="CM123" s="3371"/>
    </row>
    <row r="124" spans="1:91">
      <c r="A124" s="3428">
        <v>46</v>
      </c>
      <c r="B124" s="2551">
        <f t="shared" si="1"/>
        <v>0</v>
      </c>
      <c r="C124" s="2010" t="s">
        <v>703</v>
      </c>
      <c r="D124" s="2067"/>
      <c r="E124" s="2067"/>
      <c r="F124" s="2068"/>
      <c r="G124" s="2069"/>
      <c r="H124" s="2067"/>
      <c r="I124" s="2070"/>
      <c r="J124" s="2071"/>
      <c r="K124" s="2071"/>
      <c r="L124" s="2071"/>
      <c r="M124" s="2071"/>
      <c r="N124" s="2072"/>
      <c r="O124" s="3431"/>
      <c r="P124" s="3431"/>
      <c r="Q124" s="3436"/>
      <c r="R124" s="3436"/>
      <c r="S124" s="3436"/>
      <c r="T124" s="3436"/>
      <c r="U124" s="3436"/>
      <c r="V124" s="3436"/>
      <c r="W124" s="3436"/>
      <c r="X124" s="3436"/>
      <c r="Y124" s="3436"/>
      <c r="Z124" s="3436"/>
      <c r="AA124" s="3436"/>
      <c r="AB124" s="3436"/>
      <c r="AC124" s="3436"/>
      <c r="AD124" s="3436"/>
      <c r="AE124" s="3436"/>
      <c r="AF124" s="3436"/>
      <c r="AG124" s="3436"/>
      <c r="AH124" s="3436"/>
      <c r="AI124" s="3436"/>
      <c r="AJ124" s="3436"/>
      <c r="AK124" s="3436"/>
      <c r="AL124" s="3436"/>
      <c r="AM124" s="3445"/>
      <c r="AN124" s="2073"/>
      <c r="AO124" s="2074"/>
      <c r="AP124" s="2469"/>
      <c r="AQ124" s="2469"/>
      <c r="AR124" s="2469"/>
      <c r="AS124" s="2075"/>
      <c r="AT124" s="2469"/>
      <c r="AU124" s="2469"/>
      <c r="AV124" s="2469"/>
      <c r="AW124" s="2469"/>
      <c r="AX124" s="2469"/>
      <c r="AY124" s="2469"/>
      <c r="AZ124" s="2469"/>
      <c r="BA124" s="2469"/>
      <c r="BB124" s="2469"/>
      <c r="BC124" s="3436"/>
      <c r="BD124" s="3436"/>
      <c r="BE124" s="3439"/>
      <c r="BF124" s="3439"/>
      <c r="BG124" s="3439"/>
      <c r="BH124" s="3439"/>
      <c r="BI124" s="3439"/>
      <c r="BJ124" s="3439"/>
      <c r="BK124" s="3439"/>
      <c r="BL124" s="3439"/>
      <c r="BM124" s="3439"/>
      <c r="BN124" s="3439"/>
      <c r="BO124" s="3439"/>
      <c r="BP124" s="2076"/>
      <c r="BQ124" s="3442"/>
      <c r="BR124" s="3439"/>
      <c r="BS124" s="3439"/>
      <c r="BT124" s="3439"/>
      <c r="BU124" s="3439"/>
      <c r="BV124" s="3439"/>
      <c r="BW124" s="3439"/>
      <c r="BX124" s="3439"/>
      <c r="BY124" s="3439"/>
      <c r="BZ124" s="3439"/>
      <c r="CA124" s="3439"/>
      <c r="CB124" s="3452"/>
      <c r="CC124" s="3442"/>
      <c r="CD124" s="3439"/>
      <c r="CE124" s="3439"/>
      <c r="CF124" s="3439"/>
      <c r="CG124" s="3439"/>
      <c r="CH124" s="3439"/>
      <c r="CI124" s="3439"/>
      <c r="CJ124" s="3439"/>
      <c r="CK124" s="3439"/>
      <c r="CL124" s="3439"/>
      <c r="CM124" s="3452"/>
    </row>
    <row r="125" spans="1:91">
      <c r="A125" s="3429"/>
      <c r="B125" s="2551">
        <f t="shared" si="1"/>
        <v>0</v>
      </c>
      <c r="C125" s="3455" t="s">
        <v>710</v>
      </c>
      <c r="D125" s="3456"/>
      <c r="E125" s="3456"/>
      <c r="F125" s="3457"/>
      <c r="G125" s="3460"/>
      <c r="H125" s="3456"/>
      <c r="I125" s="3463"/>
      <c r="J125" s="3450"/>
      <c r="K125" s="3450"/>
      <c r="L125" s="3450"/>
      <c r="M125" s="3450"/>
      <c r="N125" s="3451"/>
      <c r="O125" s="3432"/>
      <c r="P125" s="3434"/>
      <c r="Q125" s="3437"/>
      <c r="R125" s="3715"/>
      <c r="S125" s="3715"/>
      <c r="T125" s="3715"/>
      <c r="U125" s="3715"/>
      <c r="V125" s="3715"/>
      <c r="W125" s="3715"/>
      <c r="X125" s="3715"/>
      <c r="Y125" s="3715"/>
      <c r="Z125" s="3715"/>
      <c r="AA125" s="3715"/>
      <c r="AB125" s="3437"/>
      <c r="AC125" s="3437"/>
      <c r="AD125" s="3437"/>
      <c r="AE125" s="3437"/>
      <c r="AF125" s="3437"/>
      <c r="AG125" s="3437"/>
      <c r="AH125" s="3437"/>
      <c r="AI125" s="3437"/>
      <c r="AJ125" s="3437"/>
      <c r="AK125" s="3437"/>
      <c r="AL125" s="3437"/>
      <c r="AM125" s="3446"/>
      <c r="AN125" s="2073"/>
      <c r="AO125" s="2077"/>
      <c r="AP125" s="2078"/>
      <c r="AQ125" s="2078"/>
      <c r="AR125" s="2079"/>
      <c r="AS125" s="2079"/>
      <c r="AT125" s="2079"/>
      <c r="AU125" s="2079"/>
      <c r="AV125" s="2079"/>
      <c r="AW125" s="2079"/>
      <c r="AX125" s="2079"/>
      <c r="AY125" s="2079"/>
      <c r="AZ125" s="2079"/>
      <c r="BA125" s="2079"/>
      <c r="BB125" s="2079"/>
      <c r="BC125" s="3448"/>
      <c r="BD125" s="3448"/>
      <c r="BE125" s="3437"/>
      <c r="BF125" s="3437"/>
      <c r="BG125" s="3437"/>
      <c r="BH125" s="3437"/>
      <c r="BI125" s="3437"/>
      <c r="BJ125" s="3437"/>
      <c r="BK125" s="3437"/>
      <c r="BL125" s="3437"/>
      <c r="BM125" s="3437"/>
      <c r="BN125" s="3437"/>
      <c r="BO125" s="3437"/>
      <c r="BP125" s="2080"/>
      <c r="BQ125" s="3443"/>
      <c r="BR125" s="3440"/>
      <c r="BS125" s="3440"/>
      <c r="BT125" s="3440"/>
      <c r="BU125" s="3440"/>
      <c r="BV125" s="3440"/>
      <c r="BW125" s="3440"/>
      <c r="BX125" s="3440"/>
      <c r="BY125" s="3440"/>
      <c r="BZ125" s="3440"/>
      <c r="CA125" s="3440"/>
      <c r="CB125" s="3453"/>
      <c r="CC125" s="3443"/>
      <c r="CD125" s="3440"/>
      <c r="CE125" s="3440"/>
      <c r="CF125" s="3440"/>
      <c r="CG125" s="3440"/>
      <c r="CH125" s="3440"/>
      <c r="CI125" s="3440"/>
      <c r="CJ125" s="3440"/>
      <c r="CK125" s="3440"/>
      <c r="CL125" s="3440"/>
      <c r="CM125" s="3453"/>
    </row>
    <row r="126" spans="1:91">
      <c r="A126" s="3429"/>
      <c r="B126" s="2551">
        <f t="shared" si="1"/>
        <v>0</v>
      </c>
      <c r="C126" s="3274"/>
      <c r="D126" s="3437"/>
      <c r="E126" s="3437"/>
      <c r="F126" s="3458"/>
      <c r="G126" s="3461"/>
      <c r="H126" s="3437"/>
      <c r="I126" s="3437"/>
      <c r="J126" s="3437"/>
      <c r="K126" s="3437"/>
      <c r="L126" s="3437"/>
      <c r="M126" s="3437"/>
      <c r="N126" s="3446"/>
      <c r="O126" s="3432"/>
      <c r="P126" s="3434"/>
      <c r="Q126" s="3437"/>
      <c r="R126" s="3715"/>
      <c r="S126" s="3715"/>
      <c r="T126" s="3715"/>
      <c r="U126" s="3715"/>
      <c r="V126" s="3715"/>
      <c r="W126" s="3715"/>
      <c r="X126" s="3715"/>
      <c r="Y126" s="3715"/>
      <c r="Z126" s="3715"/>
      <c r="AA126" s="3715"/>
      <c r="AB126" s="3437"/>
      <c r="AC126" s="3437"/>
      <c r="AD126" s="3437"/>
      <c r="AE126" s="3437"/>
      <c r="AF126" s="3437"/>
      <c r="AG126" s="3437"/>
      <c r="AH126" s="3437"/>
      <c r="AI126" s="3437"/>
      <c r="AJ126" s="3437"/>
      <c r="AK126" s="3437"/>
      <c r="AL126" s="3437"/>
      <c r="AM126" s="3446"/>
      <c r="AN126" s="2073"/>
      <c r="AO126" s="2077"/>
      <c r="AP126" s="2078"/>
      <c r="AQ126" s="2078"/>
      <c r="AR126" s="2079"/>
      <c r="AS126" s="2079"/>
      <c r="AT126" s="2079"/>
      <c r="AU126" s="2079"/>
      <c r="AV126" s="2079"/>
      <c r="AW126" s="2079"/>
      <c r="AX126" s="2079"/>
      <c r="AY126" s="2079"/>
      <c r="AZ126" s="2079"/>
      <c r="BA126" s="2079"/>
      <c r="BB126" s="2079"/>
      <c r="BC126" s="3448"/>
      <c r="BD126" s="3448"/>
      <c r="BE126" s="3437"/>
      <c r="BF126" s="3437"/>
      <c r="BG126" s="3437"/>
      <c r="BH126" s="3437"/>
      <c r="BI126" s="3437"/>
      <c r="BJ126" s="3437"/>
      <c r="BK126" s="3437"/>
      <c r="BL126" s="3437"/>
      <c r="BM126" s="3437"/>
      <c r="BN126" s="3437"/>
      <c r="BO126" s="3437"/>
      <c r="BP126" s="2080"/>
      <c r="BQ126" s="3443"/>
      <c r="BR126" s="3440"/>
      <c r="BS126" s="3440"/>
      <c r="BT126" s="3440"/>
      <c r="BU126" s="3440"/>
      <c r="BV126" s="3440"/>
      <c r="BW126" s="3440"/>
      <c r="BX126" s="3440"/>
      <c r="BY126" s="3440"/>
      <c r="BZ126" s="3440"/>
      <c r="CA126" s="3440"/>
      <c r="CB126" s="3453"/>
      <c r="CC126" s="3443"/>
      <c r="CD126" s="3440"/>
      <c r="CE126" s="3440"/>
      <c r="CF126" s="3440"/>
      <c r="CG126" s="3440"/>
      <c r="CH126" s="3440"/>
      <c r="CI126" s="3440"/>
      <c r="CJ126" s="3440"/>
      <c r="CK126" s="3440"/>
      <c r="CL126" s="3440"/>
      <c r="CM126" s="3453"/>
    </row>
    <row r="127" spans="1:91">
      <c r="A127" s="3429"/>
      <c r="B127" s="2551">
        <f t="shared" si="1"/>
        <v>0</v>
      </c>
      <c r="C127" s="3274"/>
      <c r="D127" s="3437"/>
      <c r="E127" s="3437"/>
      <c r="F127" s="3458"/>
      <c r="G127" s="3461"/>
      <c r="H127" s="3437"/>
      <c r="I127" s="3437"/>
      <c r="J127" s="3437"/>
      <c r="K127" s="3437"/>
      <c r="L127" s="3437"/>
      <c r="M127" s="3437"/>
      <c r="N127" s="3446"/>
      <c r="O127" s="3432"/>
      <c r="P127" s="3434"/>
      <c r="Q127" s="3437"/>
      <c r="R127" s="3715"/>
      <c r="S127" s="3715"/>
      <c r="T127" s="3715"/>
      <c r="U127" s="3715"/>
      <c r="V127" s="3715"/>
      <c r="W127" s="3715"/>
      <c r="X127" s="3715"/>
      <c r="Y127" s="3715"/>
      <c r="Z127" s="3715"/>
      <c r="AA127" s="3715"/>
      <c r="AB127" s="3437"/>
      <c r="AC127" s="3437"/>
      <c r="AD127" s="3437"/>
      <c r="AE127" s="3437"/>
      <c r="AF127" s="3437"/>
      <c r="AG127" s="3437"/>
      <c r="AH127" s="3437"/>
      <c r="AI127" s="3437"/>
      <c r="AJ127" s="3437"/>
      <c r="AK127" s="3437"/>
      <c r="AL127" s="3437"/>
      <c r="AM127" s="3446"/>
      <c r="AN127" s="2073"/>
      <c r="AO127" s="2077"/>
      <c r="AP127" s="2078"/>
      <c r="AQ127" s="2078"/>
      <c r="AR127" s="2079"/>
      <c r="AS127" s="2079"/>
      <c r="AT127" s="2079"/>
      <c r="AU127" s="2079"/>
      <c r="AV127" s="2079"/>
      <c r="AW127" s="2079"/>
      <c r="AX127" s="2079"/>
      <c r="AY127" s="2079"/>
      <c r="AZ127" s="2079"/>
      <c r="BA127" s="2079"/>
      <c r="BB127" s="2079"/>
      <c r="BC127" s="3448"/>
      <c r="BD127" s="3448"/>
      <c r="BE127" s="3437"/>
      <c r="BF127" s="3437"/>
      <c r="BG127" s="3437"/>
      <c r="BH127" s="3437"/>
      <c r="BI127" s="3437"/>
      <c r="BJ127" s="3437"/>
      <c r="BK127" s="3437"/>
      <c r="BL127" s="3437"/>
      <c r="BM127" s="3437"/>
      <c r="BN127" s="3437"/>
      <c r="BO127" s="3437"/>
      <c r="BP127" s="2080"/>
      <c r="BQ127" s="3443"/>
      <c r="BR127" s="3440"/>
      <c r="BS127" s="3440"/>
      <c r="BT127" s="3440"/>
      <c r="BU127" s="3440"/>
      <c r="BV127" s="3440"/>
      <c r="BW127" s="3440"/>
      <c r="BX127" s="3440"/>
      <c r="BY127" s="3440"/>
      <c r="BZ127" s="3440"/>
      <c r="CA127" s="3440"/>
      <c r="CB127" s="3453"/>
      <c r="CC127" s="3443"/>
      <c r="CD127" s="3440"/>
      <c r="CE127" s="3440"/>
      <c r="CF127" s="3440"/>
      <c r="CG127" s="3440"/>
      <c r="CH127" s="3440"/>
      <c r="CI127" s="3440"/>
      <c r="CJ127" s="3440"/>
      <c r="CK127" s="3440"/>
      <c r="CL127" s="3440"/>
      <c r="CM127" s="3453"/>
    </row>
    <row r="128" spans="1:91">
      <c r="A128" s="3429"/>
      <c r="B128" s="2551">
        <f t="shared" si="1"/>
        <v>0</v>
      </c>
      <c r="C128" s="3274"/>
      <c r="D128" s="3437"/>
      <c r="E128" s="3437"/>
      <c r="F128" s="3458"/>
      <c r="G128" s="3461"/>
      <c r="H128" s="3437"/>
      <c r="I128" s="3437"/>
      <c r="J128" s="3437"/>
      <c r="K128" s="3437"/>
      <c r="L128" s="3437"/>
      <c r="M128" s="3437"/>
      <c r="N128" s="3446"/>
      <c r="O128" s="3432"/>
      <c r="P128" s="3434"/>
      <c r="Q128" s="3437"/>
      <c r="R128" s="3715"/>
      <c r="S128" s="3715"/>
      <c r="T128" s="3715"/>
      <c r="U128" s="3715"/>
      <c r="V128" s="3715"/>
      <c r="W128" s="3715"/>
      <c r="X128" s="3715"/>
      <c r="Y128" s="3715"/>
      <c r="Z128" s="3715"/>
      <c r="AA128" s="3715"/>
      <c r="AB128" s="3437"/>
      <c r="AC128" s="3437"/>
      <c r="AD128" s="3437"/>
      <c r="AE128" s="3437"/>
      <c r="AF128" s="3437"/>
      <c r="AG128" s="3437"/>
      <c r="AH128" s="3437"/>
      <c r="AI128" s="3437"/>
      <c r="AJ128" s="3437"/>
      <c r="AK128" s="3437"/>
      <c r="AL128" s="3437"/>
      <c r="AM128" s="3446"/>
      <c r="AN128" s="2073"/>
      <c r="AO128" s="2077"/>
      <c r="AP128" s="2078"/>
      <c r="AQ128" s="2078"/>
      <c r="AR128" s="2079"/>
      <c r="AS128" s="2079"/>
      <c r="AT128" s="2079"/>
      <c r="AU128" s="2079"/>
      <c r="AV128" s="2079"/>
      <c r="AW128" s="2079"/>
      <c r="AX128" s="2079"/>
      <c r="AY128" s="2079"/>
      <c r="AZ128" s="2079"/>
      <c r="BA128" s="2079"/>
      <c r="BB128" s="2079"/>
      <c r="BC128" s="3448"/>
      <c r="BD128" s="3448"/>
      <c r="BE128" s="3437"/>
      <c r="BF128" s="3437"/>
      <c r="BG128" s="3437"/>
      <c r="BH128" s="3437"/>
      <c r="BI128" s="3437"/>
      <c r="BJ128" s="3437"/>
      <c r="BK128" s="3437"/>
      <c r="BL128" s="3437"/>
      <c r="BM128" s="3437"/>
      <c r="BN128" s="3437"/>
      <c r="BO128" s="3437"/>
      <c r="BP128" s="2080"/>
      <c r="BQ128" s="3443"/>
      <c r="BR128" s="3440"/>
      <c r="BS128" s="3440"/>
      <c r="BT128" s="3440"/>
      <c r="BU128" s="3440"/>
      <c r="BV128" s="3440"/>
      <c r="BW128" s="3440"/>
      <c r="BX128" s="3440"/>
      <c r="BY128" s="3440"/>
      <c r="BZ128" s="3440"/>
      <c r="CA128" s="3440"/>
      <c r="CB128" s="3453"/>
      <c r="CC128" s="3443"/>
      <c r="CD128" s="3440"/>
      <c r="CE128" s="3440"/>
      <c r="CF128" s="3440"/>
      <c r="CG128" s="3440"/>
      <c r="CH128" s="3440"/>
      <c r="CI128" s="3440"/>
      <c r="CJ128" s="3440"/>
      <c r="CK128" s="3440"/>
      <c r="CL128" s="3440"/>
      <c r="CM128" s="3453"/>
    </row>
    <row r="129" spans="1:91">
      <c r="A129" s="3429"/>
      <c r="B129" s="2551">
        <f t="shared" si="1"/>
        <v>0</v>
      </c>
      <c r="C129" s="3274"/>
      <c r="D129" s="3437"/>
      <c r="E129" s="3437"/>
      <c r="F129" s="3458"/>
      <c r="G129" s="3461"/>
      <c r="H129" s="3437"/>
      <c r="I129" s="3437"/>
      <c r="J129" s="3437"/>
      <c r="K129" s="3437"/>
      <c r="L129" s="3437"/>
      <c r="M129" s="3437"/>
      <c r="N129" s="3446"/>
      <c r="O129" s="3432"/>
      <c r="P129" s="3434"/>
      <c r="Q129" s="3437"/>
      <c r="R129" s="3715"/>
      <c r="S129" s="3715"/>
      <c r="T129" s="3715"/>
      <c r="U129" s="3715"/>
      <c r="V129" s="3715"/>
      <c r="W129" s="3715"/>
      <c r="X129" s="3715"/>
      <c r="Y129" s="3715"/>
      <c r="Z129" s="3715"/>
      <c r="AA129" s="3715"/>
      <c r="AB129" s="3437"/>
      <c r="AC129" s="3437"/>
      <c r="AD129" s="3437"/>
      <c r="AE129" s="3437"/>
      <c r="AF129" s="3437"/>
      <c r="AG129" s="3437"/>
      <c r="AH129" s="3437"/>
      <c r="AI129" s="3437"/>
      <c r="AJ129" s="3437"/>
      <c r="AK129" s="3437"/>
      <c r="AL129" s="3437"/>
      <c r="AM129" s="3446"/>
      <c r="AN129" s="2073"/>
      <c r="AO129" s="2077"/>
      <c r="AP129" s="2078"/>
      <c r="AQ129" s="2078"/>
      <c r="AR129" s="2079"/>
      <c r="AS129" s="2079"/>
      <c r="AT129" s="2079"/>
      <c r="AU129" s="2079"/>
      <c r="AV129" s="2079"/>
      <c r="AW129" s="2079"/>
      <c r="AX129" s="2079"/>
      <c r="AY129" s="2079"/>
      <c r="AZ129" s="2079"/>
      <c r="BA129" s="2079"/>
      <c r="BB129" s="2079"/>
      <c r="BC129" s="3448"/>
      <c r="BD129" s="3448"/>
      <c r="BE129" s="3437"/>
      <c r="BF129" s="3437"/>
      <c r="BG129" s="3437"/>
      <c r="BH129" s="3437"/>
      <c r="BI129" s="3437"/>
      <c r="BJ129" s="3437"/>
      <c r="BK129" s="3437"/>
      <c r="BL129" s="3437"/>
      <c r="BM129" s="3437"/>
      <c r="BN129" s="3437"/>
      <c r="BO129" s="3437"/>
      <c r="BP129" s="2080"/>
      <c r="BQ129" s="3443"/>
      <c r="BR129" s="3440"/>
      <c r="BS129" s="3440"/>
      <c r="BT129" s="3440"/>
      <c r="BU129" s="3440"/>
      <c r="BV129" s="3440"/>
      <c r="BW129" s="3440"/>
      <c r="BX129" s="3440"/>
      <c r="BY129" s="3440"/>
      <c r="BZ129" s="3440"/>
      <c r="CA129" s="3440"/>
      <c r="CB129" s="3453"/>
      <c r="CC129" s="3443"/>
      <c r="CD129" s="3440"/>
      <c r="CE129" s="3440"/>
      <c r="CF129" s="3440"/>
      <c r="CG129" s="3440"/>
      <c r="CH129" s="3440"/>
      <c r="CI129" s="3440"/>
      <c r="CJ129" s="3440"/>
      <c r="CK129" s="3440"/>
      <c r="CL129" s="3440"/>
      <c r="CM129" s="3453"/>
    </row>
    <row r="130" spans="1:91">
      <c r="A130" s="3429"/>
      <c r="B130" s="2551">
        <f t="shared" si="1"/>
        <v>0</v>
      </c>
      <c r="C130" s="3274"/>
      <c r="D130" s="3437"/>
      <c r="E130" s="3437"/>
      <c r="F130" s="3458"/>
      <c r="G130" s="3461"/>
      <c r="H130" s="3437"/>
      <c r="I130" s="3437"/>
      <c r="J130" s="3437"/>
      <c r="K130" s="3437"/>
      <c r="L130" s="3437"/>
      <c r="M130" s="3437"/>
      <c r="N130" s="3446"/>
      <c r="O130" s="3432"/>
      <c r="P130" s="3434"/>
      <c r="Q130" s="3437"/>
      <c r="R130" s="3715"/>
      <c r="S130" s="3715"/>
      <c r="T130" s="3715"/>
      <c r="U130" s="3715"/>
      <c r="V130" s="3715"/>
      <c r="W130" s="3715"/>
      <c r="X130" s="3715"/>
      <c r="Y130" s="3715"/>
      <c r="Z130" s="3715"/>
      <c r="AA130" s="3715"/>
      <c r="AB130" s="3437"/>
      <c r="AC130" s="3437"/>
      <c r="AD130" s="3437"/>
      <c r="AE130" s="3437"/>
      <c r="AF130" s="3437"/>
      <c r="AG130" s="3437"/>
      <c r="AH130" s="3437"/>
      <c r="AI130" s="3437"/>
      <c r="AJ130" s="3437"/>
      <c r="AK130" s="3437"/>
      <c r="AL130" s="3437"/>
      <c r="AM130" s="3446"/>
      <c r="AN130" s="2073"/>
      <c r="AO130" s="2077"/>
      <c r="AP130" s="2078"/>
      <c r="AQ130" s="2078"/>
      <c r="AR130" s="2079"/>
      <c r="AS130" s="2079"/>
      <c r="AT130" s="2079"/>
      <c r="AU130" s="2079"/>
      <c r="AV130" s="2079"/>
      <c r="AW130" s="2079"/>
      <c r="AX130" s="2079"/>
      <c r="AY130" s="2079"/>
      <c r="AZ130" s="2079"/>
      <c r="BA130" s="2079"/>
      <c r="BB130" s="2079"/>
      <c r="BC130" s="3448"/>
      <c r="BD130" s="3448"/>
      <c r="BE130" s="3437"/>
      <c r="BF130" s="3437"/>
      <c r="BG130" s="3437"/>
      <c r="BH130" s="3437"/>
      <c r="BI130" s="3437"/>
      <c r="BJ130" s="3437"/>
      <c r="BK130" s="3437"/>
      <c r="BL130" s="3437"/>
      <c r="BM130" s="3437"/>
      <c r="BN130" s="3437"/>
      <c r="BO130" s="3437"/>
      <c r="BP130" s="2080"/>
      <c r="BQ130" s="3443"/>
      <c r="BR130" s="3440"/>
      <c r="BS130" s="3440"/>
      <c r="BT130" s="3440"/>
      <c r="BU130" s="3440"/>
      <c r="BV130" s="3440"/>
      <c r="BW130" s="3440"/>
      <c r="BX130" s="3440"/>
      <c r="BY130" s="3440"/>
      <c r="BZ130" s="3440"/>
      <c r="CA130" s="3440"/>
      <c r="CB130" s="3453"/>
      <c r="CC130" s="3443"/>
      <c r="CD130" s="3440"/>
      <c r="CE130" s="3440"/>
      <c r="CF130" s="3440"/>
      <c r="CG130" s="3440"/>
      <c r="CH130" s="3440"/>
      <c r="CI130" s="3440"/>
      <c r="CJ130" s="3440"/>
      <c r="CK130" s="3440"/>
      <c r="CL130" s="3440"/>
      <c r="CM130" s="3453"/>
    </row>
    <row r="131" spans="1:91" ht="15.75" thickBot="1">
      <c r="A131" s="3430"/>
      <c r="B131" s="2551">
        <f t="shared" si="1"/>
        <v>0</v>
      </c>
      <c r="C131" s="3361"/>
      <c r="D131" s="3438"/>
      <c r="E131" s="3438"/>
      <c r="F131" s="3459"/>
      <c r="G131" s="3462"/>
      <c r="H131" s="3438"/>
      <c r="I131" s="3438"/>
      <c r="J131" s="3438"/>
      <c r="K131" s="3438"/>
      <c r="L131" s="3438"/>
      <c r="M131" s="3438"/>
      <c r="N131" s="3447"/>
      <c r="O131" s="3433"/>
      <c r="P131" s="3435"/>
      <c r="Q131" s="3438"/>
      <c r="R131" s="3716"/>
      <c r="S131" s="3716"/>
      <c r="T131" s="3716"/>
      <c r="U131" s="3716"/>
      <c r="V131" s="3716"/>
      <c r="W131" s="3716"/>
      <c r="X131" s="3716"/>
      <c r="Y131" s="3716"/>
      <c r="Z131" s="3716"/>
      <c r="AA131" s="3716"/>
      <c r="AB131" s="3438"/>
      <c r="AC131" s="3438"/>
      <c r="AD131" s="3438"/>
      <c r="AE131" s="3438"/>
      <c r="AF131" s="3438"/>
      <c r="AG131" s="3438"/>
      <c r="AH131" s="3438"/>
      <c r="AI131" s="3438"/>
      <c r="AJ131" s="3438"/>
      <c r="AK131" s="3438"/>
      <c r="AL131" s="3438"/>
      <c r="AM131" s="3447"/>
      <c r="AN131" s="2073"/>
      <c r="AO131" s="2081"/>
      <c r="AP131" s="2078"/>
      <c r="AQ131" s="2078"/>
      <c r="AR131" s="2470"/>
      <c r="AS131" s="2079"/>
      <c r="AT131" s="2079"/>
      <c r="AU131" s="2079"/>
      <c r="AV131" s="2079"/>
      <c r="AW131" s="2079"/>
      <c r="AX131" s="2079"/>
      <c r="AY131" s="2079"/>
      <c r="AZ131" s="2079"/>
      <c r="BA131" s="2079"/>
      <c r="BB131" s="2470"/>
      <c r="BC131" s="3449"/>
      <c r="BD131" s="3449"/>
      <c r="BE131" s="3438"/>
      <c r="BF131" s="3438"/>
      <c r="BG131" s="3438"/>
      <c r="BH131" s="3438"/>
      <c r="BI131" s="3438"/>
      <c r="BJ131" s="3438"/>
      <c r="BK131" s="3438"/>
      <c r="BL131" s="3438"/>
      <c r="BM131" s="3438"/>
      <c r="BN131" s="3438"/>
      <c r="BO131" s="3438"/>
      <c r="BP131" s="2467"/>
      <c r="BQ131" s="3444"/>
      <c r="BR131" s="3441"/>
      <c r="BS131" s="3441"/>
      <c r="BT131" s="3441"/>
      <c r="BU131" s="3441"/>
      <c r="BV131" s="3441"/>
      <c r="BW131" s="3441"/>
      <c r="BX131" s="3441"/>
      <c r="BY131" s="3441"/>
      <c r="BZ131" s="3441"/>
      <c r="CA131" s="3441"/>
      <c r="CB131" s="3454"/>
      <c r="CC131" s="3444"/>
      <c r="CD131" s="3441"/>
      <c r="CE131" s="3441"/>
      <c r="CF131" s="3441"/>
      <c r="CG131" s="3441"/>
      <c r="CH131" s="3441"/>
      <c r="CI131" s="3441"/>
      <c r="CJ131" s="3441"/>
      <c r="CK131" s="3441"/>
      <c r="CL131" s="3441"/>
      <c r="CM131" s="3454"/>
    </row>
    <row r="132" spans="1:91">
      <c r="A132" s="3282">
        <v>47</v>
      </c>
      <c r="B132" s="2551" t="str">
        <f t="shared" si="1"/>
        <v>3039770017</v>
      </c>
      <c r="C132" s="2010" t="s">
        <v>703</v>
      </c>
      <c r="D132" s="2011">
        <v>3977</v>
      </c>
      <c r="E132" s="2011">
        <v>17</v>
      </c>
      <c r="F132" s="2494">
        <v>2000</v>
      </c>
      <c r="G132" s="2496" t="s">
        <v>947</v>
      </c>
      <c r="H132" s="2011" t="s">
        <v>1560</v>
      </c>
      <c r="I132" s="2012">
        <v>1</v>
      </c>
      <c r="J132" s="2491">
        <v>0</v>
      </c>
      <c r="K132" s="2491">
        <v>880</v>
      </c>
      <c r="L132" s="2491">
        <v>0</v>
      </c>
      <c r="M132" s="2491">
        <v>880</v>
      </c>
      <c r="N132" s="2489">
        <v>0</v>
      </c>
      <c r="O132" s="2525" t="s">
        <v>1572</v>
      </c>
      <c r="P132" s="3346">
        <v>770</v>
      </c>
      <c r="Q132" s="3331">
        <v>0</v>
      </c>
      <c r="R132" s="3331">
        <v>0</v>
      </c>
      <c r="S132" s="3331">
        <v>0</v>
      </c>
      <c r="T132" s="3331">
        <v>2880</v>
      </c>
      <c r="U132" s="3331">
        <v>0</v>
      </c>
      <c r="V132" s="3331">
        <v>0</v>
      </c>
      <c r="W132" s="3331">
        <v>0</v>
      </c>
      <c r="X132" s="3331">
        <v>0</v>
      </c>
      <c r="Y132" s="3331">
        <v>0</v>
      </c>
      <c r="Z132" s="3331">
        <v>0</v>
      </c>
      <c r="AA132" s="3331">
        <v>0</v>
      </c>
      <c r="AB132" s="3331">
        <v>3650</v>
      </c>
      <c r="AC132" s="3331">
        <v>3650</v>
      </c>
      <c r="AD132" s="3331">
        <v>0</v>
      </c>
      <c r="AE132" s="3331">
        <v>0</v>
      </c>
      <c r="AF132" s="3331">
        <v>0</v>
      </c>
      <c r="AG132" s="3331">
        <v>0</v>
      </c>
      <c r="AH132" s="3331">
        <v>0</v>
      </c>
      <c r="AI132" s="3331">
        <v>0</v>
      </c>
      <c r="AJ132" s="3331">
        <v>0</v>
      </c>
      <c r="AK132" s="3331">
        <v>0</v>
      </c>
      <c r="AL132" s="3331">
        <v>0</v>
      </c>
      <c r="AM132" s="3345">
        <v>25</v>
      </c>
      <c r="AN132" s="3277" t="s">
        <v>1615</v>
      </c>
      <c r="AO132" s="3279" t="s">
        <v>1560</v>
      </c>
      <c r="AP132" s="3265" t="s">
        <v>1616</v>
      </c>
      <c r="AQ132" s="3265">
        <v>36000</v>
      </c>
      <c r="AR132" s="3331">
        <v>0</v>
      </c>
      <c r="AS132" s="3331">
        <v>0</v>
      </c>
      <c r="AT132" s="3331">
        <v>0</v>
      </c>
      <c r="AU132" s="3331">
        <v>0</v>
      </c>
      <c r="AV132" s="3331">
        <v>0</v>
      </c>
      <c r="AW132" s="3331">
        <v>0</v>
      </c>
      <c r="AX132" s="3331">
        <v>0</v>
      </c>
      <c r="AY132" s="3331">
        <v>0</v>
      </c>
      <c r="AZ132" s="3331">
        <v>0</v>
      </c>
      <c r="BA132" s="3331">
        <v>0</v>
      </c>
      <c r="BB132" s="3331">
        <v>0</v>
      </c>
      <c r="BC132" s="3331">
        <v>36000</v>
      </c>
      <c r="BD132" s="3331">
        <v>36000</v>
      </c>
      <c r="BE132" s="3331">
        <v>36</v>
      </c>
      <c r="BF132" s="3331">
        <v>18</v>
      </c>
      <c r="BG132" s="3331">
        <v>9</v>
      </c>
      <c r="BH132" s="3331">
        <v>0</v>
      </c>
      <c r="BI132" s="3331">
        <v>0</v>
      </c>
      <c r="BJ132" s="3331">
        <v>0</v>
      </c>
      <c r="BK132" s="3331">
        <v>0</v>
      </c>
      <c r="BL132" s="3331">
        <v>0</v>
      </c>
      <c r="BM132" s="3331">
        <v>0</v>
      </c>
      <c r="BN132" s="3331">
        <v>0</v>
      </c>
      <c r="BO132" s="3331">
        <v>9</v>
      </c>
      <c r="BP132" s="3331">
        <v>85</v>
      </c>
      <c r="BQ132" s="3379">
        <v>35230</v>
      </c>
      <c r="BR132" s="3331">
        <v>0</v>
      </c>
      <c r="BS132" s="3331">
        <v>0</v>
      </c>
      <c r="BT132" s="3331">
        <v>0</v>
      </c>
      <c r="BU132" s="3331">
        <v>-2880</v>
      </c>
      <c r="BV132" s="3331">
        <v>0</v>
      </c>
      <c r="BW132" s="3331">
        <v>0</v>
      </c>
      <c r="BX132" s="3331">
        <v>0</v>
      </c>
      <c r="BY132" s="3331">
        <v>0</v>
      </c>
      <c r="BZ132" s="3331">
        <v>0</v>
      </c>
      <c r="CA132" s="3331">
        <v>0</v>
      </c>
      <c r="CB132" s="3345">
        <v>0</v>
      </c>
      <c r="CC132" s="3346">
        <v>32350</v>
      </c>
      <c r="CD132" s="3346">
        <v>-2880</v>
      </c>
      <c r="CE132" s="3346">
        <v>36</v>
      </c>
      <c r="CF132" s="3346">
        <v>18</v>
      </c>
      <c r="CG132" s="3346">
        <v>9</v>
      </c>
      <c r="CH132" s="3346">
        <v>0</v>
      </c>
      <c r="CI132" s="3346">
        <v>0</v>
      </c>
      <c r="CJ132" s="3346">
        <v>0</v>
      </c>
      <c r="CK132" s="3346">
        <v>0</v>
      </c>
      <c r="CL132" s="3346">
        <v>0</v>
      </c>
      <c r="CM132" s="3345">
        <v>0</v>
      </c>
    </row>
    <row r="133" spans="1:91">
      <c r="A133" s="3313"/>
      <c r="B133" s="2551" t="str">
        <f t="shared" si="1"/>
        <v>3039770018</v>
      </c>
      <c r="C133" s="2492" t="s">
        <v>710</v>
      </c>
      <c r="D133" s="2026">
        <v>3977</v>
      </c>
      <c r="E133" s="2026">
        <v>18</v>
      </c>
      <c r="F133" s="2027">
        <v>2000</v>
      </c>
      <c r="G133" s="2497" t="s">
        <v>947</v>
      </c>
      <c r="H133" s="2026" t="s">
        <v>1560</v>
      </c>
      <c r="I133" s="2028">
        <v>1</v>
      </c>
      <c r="J133" s="2500">
        <v>0</v>
      </c>
      <c r="K133" s="2500">
        <v>2000</v>
      </c>
      <c r="L133" s="2500">
        <v>0</v>
      </c>
      <c r="M133" s="2500">
        <v>2770</v>
      </c>
      <c r="N133" s="2029">
        <v>1</v>
      </c>
      <c r="O133" s="2030" t="s">
        <v>1632</v>
      </c>
      <c r="P133" s="3341"/>
      <c r="Q133" s="3340"/>
      <c r="R133" s="3340"/>
      <c r="S133" s="3340"/>
      <c r="T133" s="3340"/>
      <c r="U133" s="3340"/>
      <c r="V133" s="3340"/>
      <c r="W133" s="3340"/>
      <c r="X133" s="3340"/>
      <c r="Y133" s="3340"/>
      <c r="Z133" s="3340"/>
      <c r="AA133" s="3340"/>
      <c r="AB133" s="3340"/>
      <c r="AC133" s="3340"/>
      <c r="AD133" s="3340"/>
      <c r="AE133" s="3340"/>
      <c r="AF133" s="3340"/>
      <c r="AG133" s="3340"/>
      <c r="AH133" s="3340"/>
      <c r="AI133" s="3340"/>
      <c r="AJ133" s="3340"/>
      <c r="AK133" s="3340"/>
      <c r="AL133" s="3340"/>
      <c r="AM133" s="3343"/>
      <c r="AN133" s="3278"/>
      <c r="AO133" s="3280"/>
      <c r="AP133" s="3274"/>
      <c r="AQ133" s="3274"/>
      <c r="AR133" s="3340"/>
      <c r="AS133" s="3340"/>
      <c r="AT133" s="3340"/>
      <c r="AU133" s="3340"/>
      <c r="AV133" s="3340"/>
      <c r="AW133" s="3340"/>
      <c r="AX133" s="3340"/>
      <c r="AY133" s="3340"/>
      <c r="AZ133" s="3340"/>
      <c r="BA133" s="3340"/>
      <c r="BB133" s="3340"/>
      <c r="BC133" s="3340"/>
      <c r="BD133" s="3340"/>
      <c r="BE133" s="3340"/>
      <c r="BF133" s="3340"/>
      <c r="BG133" s="3340"/>
      <c r="BH133" s="3340"/>
      <c r="BI133" s="3340"/>
      <c r="BJ133" s="3340"/>
      <c r="BK133" s="3340"/>
      <c r="BL133" s="3340"/>
      <c r="BM133" s="3340"/>
      <c r="BN133" s="3340"/>
      <c r="BO133" s="3340"/>
      <c r="BP133" s="3340"/>
      <c r="BQ133" s="3387"/>
      <c r="BR133" s="3385"/>
      <c r="BS133" s="3385"/>
      <c r="BT133" s="3385"/>
      <c r="BU133" s="3385"/>
      <c r="BV133" s="3385"/>
      <c r="BW133" s="3385"/>
      <c r="BX133" s="3385"/>
      <c r="BY133" s="3385"/>
      <c r="BZ133" s="3385"/>
      <c r="CA133" s="3385"/>
      <c r="CB133" s="3386"/>
      <c r="CC133" s="3384"/>
      <c r="CD133" s="3384"/>
      <c r="CE133" s="3384"/>
      <c r="CF133" s="3384"/>
      <c r="CG133" s="3384"/>
      <c r="CH133" s="3384"/>
      <c r="CI133" s="3384"/>
      <c r="CJ133" s="3384"/>
      <c r="CK133" s="3384"/>
      <c r="CL133" s="3384"/>
      <c r="CM133" s="3386"/>
    </row>
    <row r="134" spans="1:91">
      <c r="A134" s="3313"/>
      <c r="B134" s="2551" t="str">
        <f t="shared" ref="B134:B197" si="2">IF(E134="",,3&amp;IF(LEN($D134)=1,"0000"&amp;$D134,IF(LEN($D134)=2,"000"&amp;$D134,IF(LEN($D134)=3,"00"&amp;$D134,IF(LEN($D134)=4,"0"&amp;$D134,IF(LEN($D134)=5,$D134,0)))))&amp;IF(LEN(E134)=1,"000"&amp;E134,IF(LEN(E134)=2,"00"&amp;E134,IF(LEN(E134)=3,"0"&amp;E134,IF(LEN(E134)=4,E134,0)))))</f>
        <v>3039770019</v>
      </c>
      <c r="C134" s="2492" t="s">
        <v>721</v>
      </c>
      <c r="D134" s="2026">
        <v>3977</v>
      </c>
      <c r="E134" s="2026">
        <v>19</v>
      </c>
      <c r="F134" s="2027">
        <v>2000</v>
      </c>
      <c r="G134" s="2497" t="s">
        <v>947</v>
      </c>
      <c r="H134" s="2026" t="s">
        <v>1560</v>
      </c>
      <c r="I134" s="2028">
        <v>1</v>
      </c>
      <c r="J134" s="2500">
        <v>0</v>
      </c>
      <c r="K134" s="2500">
        <v>0</v>
      </c>
      <c r="L134" s="2500">
        <v>0</v>
      </c>
      <c r="M134" s="2500">
        <v>0</v>
      </c>
      <c r="N134" s="2029">
        <v>0</v>
      </c>
      <c r="O134" s="2030" t="s">
        <v>897</v>
      </c>
      <c r="P134" s="3341"/>
      <c r="Q134" s="3340"/>
      <c r="R134" s="3340"/>
      <c r="S134" s="3340"/>
      <c r="T134" s="3340"/>
      <c r="U134" s="3340"/>
      <c r="V134" s="3340"/>
      <c r="W134" s="3340"/>
      <c r="X134" s="3340"/>
      <c r="Y134" s="3340"/>
      <c r="Z134" s="3340"/>
      <c r="AA134" s="3340"/>
      <c r="AB134" s="3340"/>
      <c r="AC134" s="3340"/>
      <c r="AD134" s="3340"/>
      <c r="AE134" s="3340"/>
      <c r="AF134" s="3340"/>
      <c r="AG134" s="3340"/>
      <c r="AH134" s="3340"/>
      <c r="AI134" s="3340"/>
      <c r="AJ134" s="3340"/>
      <c r="AK134" s="3340"/>
      <c r="AL134" s="3340"/>
      <c r="AM134" s="3343"/>
      <c r="AN134" s="3278"/>
      <c r="AO134" s="3280"/>
      <c r="AP134" s="3274"/>
      <c r="AQ134" s="3274"/>
      <c r="AR134" s="3340"/>
      <c r="AS134" s="3340"/>
      <c r="AT134" s="3340"/>
      <c r="AU134" s="3340"/>
      <c r="AV134" s="3340"/>
      <c r="AW134" s="3340"/>
      <c r="AX134" s="3340"/>
      <c r="AY134" s="3340"/>
      <c r="AZ134" s="3340"/>
      <c r="BA134" s="3340"/>
      <c r="BB134" s="3340"/>
      <c r="BC134" s="3340"/>
      <c r="BD134" s="3340"/>
      <c r="BE134" s="3340"/>
      <c r="BF134" s="3340"/>
      <c r="BG134" s="3340"/>
      <c r="BH134" s="3340"/>
      <c r="BI134" s="3340"/>
      <c r="BJ134" s="3340"/>
      <c r="BK134" s="3340"/>
      <c r="BL134" s="3340"/>
      <c r="BM134" s="3340"/>
      <c r="BN134" s="3340"/>
      <c r="BO134" s="3340"/>
      <c r="BP134" s="3340"/>
      <c r="BQ134" s="3387"/>
      <c r="BR134" s="3385"/>
      <c r="BS134" s="3385"/>
      <c r="BT134" s="3385"/>
      <c r="BU134" s="3385"/>
      <c r="BV134" s="3385"/>
      <c r="BW134" s="3385"/>
      <c r="BX134" s="3385"/>
      <c r="BY134" s="3385"/>
      <c r="BZ134" s="3385"/>
      <c r="CA134" s="3385"/>
      <c r="CB134" s="3386"/>
      <c r="CC134" s="3384"/>
      <c r="CD134" s="3384"/>
      <c r="CE134" s="3384"/>
      <c r="CF134" s="3384"/>
      <c r="CG134" s="3384"/>
      <c r="CH134" s="3384"/>
      <c r="CI134" s="3384"/>
      <c r="CJ134" s="3384"/>
      <c r="CK134" s="3384"/>
      <c r="CL134" s="3384"/>
      <c r="CM134" s="3386"/>
    </row>
    <row r="135" spans="1:91">
      <c r="A135" s="3313"/>
      <c r="B135" s="2551" t="str">
        <f t="shared" si="2"/>
        <v>3039770020</v>
      </c>
      <c r="C135" s="2492" t="s">
        <v>724</v>
      </c>
      <c r="D135" s="2026">
        <v>3977</v>
      </c>
      <c r="E135" s="2026">
        <v>20</v>
      </c>
      <c r="F135" s="2027">
        <v>2000</v>
      </c>
      <c r="G135" s="2497" t="s">
        <v>947</v>
      </c>
      <c r="H135" s="2026" t="s">
        <v>1560</v>
      </c>
      <c r="I135" s="2028">
        <v>1</v>
      </c>
      <c r="J135" s="2500">
        <v>0</v>
      </c>
      <c r="K135" s="2500">
        <v>0</v>
      </c>
      <c r="L135" s="2500">
        <v>0</v>
      </c>
      <c r="M135" s="2500">
        <v>0</v>
      </c>
      <c r="N135" s="2029">
        <v>0</v>
      </c>
      <c r="O135" s="2030" t="s">
        <v>897</v>
      </c>
      <c r="P135" s="3341"/>
      <c r="Q135" s="3340"/>
      <c r="R135" s="3340"/>
      <c r="S135" s="3340"/>
      <c r="T135" s="3340"/>
      <c r="U135" s="3340"/>
      <c r="V135" s="3340"/>
      <c r="W135" s="3340"/>
      <c r="X135" s="3340"/>
      <c r="Y135" s="3340"/>
      <c r="Z135" s="3340"/>
      <c r="AA135" s="3340"/>
      <c r="AB135" s="3340"/>
      <c r="AC135" s="3340"/>
      <c r="AD135" s="3340"/>
      <c r="AE135" s="3340"/>
      <c r="AF135" s="3340"/>
      <c r="AG135" s="3340"/>
      <c r="AH135" s="3340"/>
      <c r="AI135" s="3340"/>
      <c r="AJ135" s="3340"/>
      <c r="AK135" s="3340"/>
      <c r="AL135" s="3340"/>
      <c r="AM135" s="3343"/>
      <c r="AN135" s="3278"/>
      <c r="AO135" s="3280"/>
      <c r="AP135" s="3274"/>
      <c r="AQ135" s="3274"/>
      <c r="AR135" s="3340"/>
      <c r="AS135" s="3340"/>
      <c r="AT135" s="3340"/>
      <c r="AU135" s="3340"/>
      <c r="AV135" s="3340"/>
      <c r="AW135" s="3340"/>
      <c r="AX135" s="3340"/>
      <c r="AY135" s="3340"/>
      <c r="AZ135" s="3340"/>
      <c r="BA135" s="3340"/>
      <c r="BB135" s="3340"/>
      <c r="BC135" s="3340"/>
      <c r="BD135" s="3340"/>
      <c r="BE135" s="3340"/>
      <c r="BF135" s="3340"/>
      <c r="BG135" s="3340"/>
      <c r="BH135" s="3340"/>
      <c r="BI135" s="3340"/>
      <c r="BJ135" s="3340"/>
      <c r="BK135" s="3340"/>
      <c r="BL135" s="3340"/>
      <c r="BM135" s="3340"/>
      <c r="BN135" s="3340"/>
      <c r="BO135" s="3340"/>
      <c r="BP135" s="3340"/>
      <c r="BQ135" s="3387"/>
      <c r="BR135" s="3385"/>
      <c r="BS135" s="3385"/>
      <c r="BT135" s="3385"/>
      <c r="BU135" s="3385"/>
      <c r="BV135" s="3385"/>
      <c r="BW135" s="3385"/>
      <c r="BX135" s="3385"/>
      <c r="BY135" s="3385"/>
      <c r="BZ135" s="3385"/>
      <c r="CA135" s="3385"/>
      <c r="CB135" s="3386"/>
      <c r="CC135" s="3384"/>
      <c r="CD135" s="3384"/>
      <c r="CE135" s="3384"/>
      <c r="CF135" s="3384"/>
      <c r="CG135" s="3384"/>
      <c r="CH135" s="3384"/>
      <c r="CI135" s="3384"/>
      <c r="CJ135" s="3384"/>
      <c r="CK135" s="3384"/>
      <c r="CL135" s="3384"/>
      <c r="CM135" s="3386"/>
    </row>
    <row r="136" spans="1:91" ht="15.75" thickBot="1">
      <c r="A136" s="3283"/>
      <c r="B136" s="2551" t="str">
        <f t="shared" si="2"/>
        <v>3039770021</v>
      </c>
      <c r="C136" s="2493" t="s">
        <v>746</v>
      </c>
      <c r="D136" s="2018">
        <v>3977</v>
      </c>
      <c r="E136" s="2018">
        <v>21</v>
      </c>
      <c r="F136" s="2019">
        <v>2000</v>
      </c>
      <c r="G136" s="2498" t="s">
        <v>947</v>
      </c>
      <c r="H136" s="2018" t="s">
        <v>1560</v>
      </c>
      <c r="I136" s="2020">
        <v>1</v>
      </c>
      <c r="J136" s="2501">
        <v>0</v>
      </c>
      <c r="K136" s="2501">
        <v>0</v>
      </c>
      <c r="L136" s="2501">
        <v>0</v>
      </c>
      <c r="M136" s="2501">
        <v>0</v>
      </c>
      <c r="N136" s="2508">
        <v>0</v>
      </c>
      <c r="O136" s="2031" t="s">
        <v>897</v>
      </c>
      <c r="P136" s="3342"/>
      <c r="Q136" s="3332"/>
      <c r="R136" s="3332"/>
      <c r="S136" s="3332"/>
      <c r="T136" s="3332"/>
      <c r="U136" s="3332"/>
      <c r="V136" s="3332"/>
      <c r="W136" s="3332"/>
      <c r="X136" s="3332"/>
      <c r="Y136" s="3332"/>
      <c r="Z136" s="3332"/>
      <c r="AA136" s="3332"/>
      <c r="AB136" s="3332"/>
      <c r="AC136" s="3332"/>
      <c r="AD136" s="3332"/>
      <c r="AE136" s="3332"/>
      <c r="AF136" s="3332"/>
      <c r="AG136" s="3332"/>
      <c r="AH136" s="3332"/>
      <c r="AI136" s="3332"/>
      <c r="AJ136" s="3332"/>
      <c r="AK136" s="3332"/>
      <c r="AL136" s="3332"/>
      <c r="AM136" s="3344"/>
      <c r="AN136" s="3338"/>
      <c r="AO136" s="3339"/>
      <c r="AP136" s="3361"/>
      <c r="AQ136" s="3361"/>
      <c r="AR136" s="3332"/>
      <c r="AS136" s="3332"/>
      <c r="AT136" s="3332"/>
      <c r="AU136" s="3332"/>
      <c r="AV136" s="3332"/>
      <c r="AW136" s="3332"/>
      <c r="AX136" s="3332"/>
      <c r="AY136" s="3332"/>
      <c r="AZ136" s="3332"/>
      <c r="BA136" s="3332"/>
      <c r="BB136" s="3332"/>
      <c r="BC136" s="3332"/>
      <c r="BD136" s="3332"/>
      <c r="BE136" s="3332"/>
      <c r="BF136" s="3332"/>
      <c r="BG136" s="3332"/>
      <c r="BH136" s="3332"/>
      <c r="BI136" s="3332"/>
      <c r="BJ136" s="3332"/>
      <c r="BK136" s="3332"/>
      <c r="BL136" s="3332"/>
      <c r="BM136" s="3332"/>
      <c r="BN136" s="3332"/>
      <c r="BO136" s="3332"/>
      <c r="BP136" s="3332"/>
      <c r="BQ136" s="3357"/>
      <c r="BR136" s="3375"/>
      <c r="BS136" s="3375"/>
      <c r="BT136" s="3375"/>
      <c r="BU136" s="3375"/>
      <c r="BV136" s="3375"/>
      <c r="BW136" s="3375"/>
      <c r="BX136" s="3375"/>
      <c r="BY136" s="3375"/>
      <c r="BZ136" s="3375"/>
      <c r="CA136" s="3375"/>
      <c r="CB136" s="3371"/>
      <c r="CC136" s="3373"/>
      <c r="CD136" s="3373"/>
      <c r="CE136" s="3373"/>
      <c r="CF136" s="3373"/>
      <c r="CG136" s="3373"/>
      <c r="CH136" s="3373"/>
      <c r="CI136" s="3373"/>
      <c r="CJ136" s="3373"/>
      <c r="CK136" s="3373"/>
      <c r="CL136" s="3373"/>
      <c r="CM136" s="3371"/>
    </row>
    <row r="137" spans="1:91">
      <c r="A137" s="3312">
        <v>48</v>
      </c>
      <c r="B137" s="2551" t="str">
        <f t="shared" si="2"/>
        <v>3039780014</v>
      </c>
      <c r="C137" s="2022" t="s">
        <v>703</v>
      </c>
      <c r="D137" s="2023">
        <v>3978</v>
      </c>
      <c r="E137" s="2023">
        <v>14</v>
      </c>
      <c r="F137" s="2506">
        <v>5000</v>
      </c>
      <c r="G137" s="2507" t="s">
        <v>947</v>
      </c>
      <c r="H137" s="2023" t="s">
        <v>1560</v>
      </c>
      <c r="I137" s="2024">
        <v>1</v>
      </c>
      <c r="J137" s="2505">
        <v>0</v>
      </c>
      <c r="K137" s="2505">
        <v>0</v>
      </c>
      <c r="L137" s="2505">
        <v>0</v>
      </c>
      <c r="M137" s="2505">
        <v>0</v>
      </c>
      <c r="N137" s="2025">
        <v>0</v>
      </c>
      <c r="O137" s="2525" t="s">
        <v>1611</v>
      </c>
      <c r="P137" s="3346">
        <v>0</v>
      </c>
      <c r="Q137" s="3331">
        <v>0</v>
      </c>
      <c r="R137" s="3331">
        <v>0</v>
      </c>
      <c r="S137" s="3331">
        <v>0</v>
      </c>
      <c r="T137" s="3331">
        <v>0</v>
      </c>
      <c r="U137" s="3331">
        <v>0</v>
      </c>
      <c r="V137" s="3331">
        <v>0</v>
      </c>
      <c r="W137" s="3331">
        <v>0</v>
      </c>
      <c r="X137" s="3331">
        <v>0</v>
      </c>
      <c r="Y137" s="3331">
        <v>0</v>
      </c>
      <c r="Z137" s="3331">
        <v>0</v>
      </c>
      <c r="AA137" s="3331">
        <v>0</v>
      </c>
      <c r="AB137" s="3331">
        <v>0</v>
      </c>
      <c r="AC137" s="3331">
        <v>0</v>
      </c>
      <c r="AD137" s="3331">
        <v>0</v>
      </c>
      <c r="AE137" s="3331">
        <v>0</v>
      </c>
      <c r="AF137" s="3331">
        <v>0</v>
      </c>
      <c r="AG137" s="3331">
        <v>0</v>
      </c>
      <c r="AH137" s="3331">
        <v>0</v>
      </c>
      <c r="AI137" s="3331">
        <v>0</v>
      </c>
      <c r="AJ137" s="3331">
        <v>0</v>
      </c>
      <c r="AK137" s="3331">
        <v>0</v>
      </c>
      <c r="AL137" s="3331">
        <v>0</v>
      </c>
      <c r="AM137" s="3345">
        <v>0</v>
      </c>
      <c r="AN137" s="3277" t="s">
        <v>1615</v>
      </c>
      <c r="AO137" s="3279" t="s">
        <v>1560</v>
      </c>
      <c r="AP137" s="3265" t="s">
        <v>1616</v>
      </c>
      <c r="AQ137" s="3265">
        <v>36000</v>
      </c>
      <c r="AR137" s="3331">
        <v>0</v>
      </c>
      <c r="AS137" s="3331">
        <v>0</v>
      </c>
      <c r="AT137" s="3331">
        <v>0</v>
      </c>
      <c r="AU137" s="3331">
        <v>0</v>
      </c>
      <c r="AV137" s="3331">
        <v>0</v>
      </c>
      <c r="AW137" s="3331">
        <v>0</v>
      </c>
      <c r="AX137" s="3331">
        <v>0</v>
      </c>
      <c r="AY137" s="3331">
        <v>0</v>
      </c>
      <c r="AZ137" s="3331">
        <v>0</v>
      </c>
      <c r="BA137" s="3331">
        <v>0</v>
      </c>
      <c r="BB137" s="3331">
        <v>0</v>
      </c>
      <c r="BC137" s="3331">
        <v>36000</v>
      </c>
      <c r="BD137" s="3331">
        <v>36000</v>
      </c>
      <c r="BE137" s="3331">
        <v>36</v>
      </c>
      <c r="BF137" s="3331">
        <v>18</v>
      </c>
      <c r="BG137" s="3331">
        <v>9</v>
      </c>
      <c r="BH137" s="3331">
        <v>0</v>
      </c>
      <c r="BI137" s="3331">
        <v>0</v>
      </c>
      <c r="BJ137" s="3331">
        <v>0</v>
      </c>
      <c r="BK137" s="3331">
        <v>0</v>
      </c>
      <c r="BL137" s="3331">
        <v>0</v>
      </c>
      <c r="BM137" s="3331">
        <v>0</v>
      </c>
      <c r="BN137" s="3331">
        <v>0</v>
      </c>
      <c r="BO137" s="3331">
        <v>9</v>
      </c>
      <c r="BP137" s="3331">
        <v>85</v>
      </c>
      <c r="BQ137" s="3388">
        <v>36000</v>
      </c>
      <c r="BR137" s="3340">
        <v>0</v>
      </c>
      <c r="BS137" s="3340">
        <v>0</v>
      </c>
      <c r="BT137" s="3340">
        <v>0</v>
      </c>
      <c r="BU137" s="3340">
        <v>0</v>
      </c>
      <c r="BV137" s="3340">
        <v>0</v>
      </c>
      <c r="BW137" s="3340">
        <v>0</v>
      </c>
      <c r="BX137" s="3340">
        <v>0</v>
      </c>
      <c r="BY137" s="3340">
        <v>0</v>
      </c>
      <c r="BZ137" s="3340">
        <v>0</v>
      </c>
      <c r="CA137" s="3340">
        <v>0</v>
      </c>
      <c r="CB137" s="3343">
        <v>0</v>
      </c>
      <c r="CC137" s="3341">
        <v>36000</v>
      </c>
      <c r="CD137" s="3341">
        <v>0</v>
      </c>
      <c r="CE137" s="3341">
        <v>36</v>
      </c>
      <c r="CF137" s="3341">
        <v>18</v>
      </c>
      <c r="CG137" s="3341">
        <v>9</v>
      </c>
      <c r="CH137" s="3341">
        <v>0</v>
      </c>
      <c r="CI137" s="3341">
        <v>0</v>
      </c>
      <c r="CJ137" s="3341">
        <v>0</v>
      </c>
      <c r="CK137" s="3341">
        <v>0</v>
      </c>
      <c r="CL137" s="3341">
        <v>0</v>
      </c>
      <c r="CM137" s="3343">
        <v>0</v>
      </c>
    </row>
    <row r="138" spans="1:91" ht="15.75" thickBot="1">
      <c r="A138" s="3283"/>
      <c r="B138" s="2551" t="str">
        <f t="shared" si="2"/>
        <v>3039780015</v>
      </c>
      <c r="C138" s="2493" t="s">
        <v>710</v>
      </c>
      <c r="D138" s="2018">
        <v>3978</v>
      </c>
      <c r="E138" s="2018">
        <v>15</v>
      </c>
      <c r="F138" s="2019">
        <v>5000</v>
      </c>
      <c r="G138" s="2498" t="s">
        <v>947</v>
      </c>
      <c r="H138" s="2018" t="s">
        <v>1560</v>
      </c>
      <c r="I138" s="2020">
        <v>1</v>
      </c>
      <c r="J138" s="2501">
        <v>0</v>
      </c>
      <c r="K138" s="2501">
        <v>0</v>
      </c>
      <c r="L138" s="2501">
        <v>0</v>
      </c>
      <c r="M138" s="2501">
        <v>0</v>
      </c>
      <c r="N138" s="2508">
        <v>0</v>
      </c>
      <c r="O138" s="2037" t="s">
        <v>1611</v>
      </c>
      <c r="P138" s="3342"/>
      <c r="Q138" s="3332"/>
      <c r="R138" s="3332"/>
      <c r="S138" s="3332"/>
      <c r="T138" s="3332"/>
      <c r="U138" s="3332"/>
      <c r="V138" s="3332"/>
      <c r="W138" s="3332"/>
      <c r="X138" s="3332"/>
      <c r="Y138" s="3332"/>
      <c r="Z138" s="3332"/>
      <c r="AA138" s="3332"/>
      <c r="AB138" s="3332"/>
      <c r="AC138" s="3332"/>
      <c r="AD138" s="3332"/>
      <c r="AE138" s="3332"/>
      <c r="AF138" s="3332"/>
      <c r="AG138" s="3332"/>
      <c r="AH138" s="3332"/>
      <c r="AI138" s="3332"/>
      <c r="AJ138" s="3332"/>
      <c r="AK138" s="3332"/>
      <c r="AL138" s="3332"/>
      <c r="AM138" s="3344"/>
      <c r="AN138" s="3338"/>
      <c r="AO138" s="3339"/>
      <c r="AP138" s="3361"/>
      <c r="AQ138" s="3361"/>
      <c r="AR138" s="3332"/>
      <c r="AS138" s="3332"/>
      <c r="AT138" s="3332"/>
      <c r="AU138" s="3332"/>
      <c r="AV138" s="3332"/>
      <c r="AW138" s="3332"/>
      <c r="AX138" s="3332"/>
      <c r="AY138" s="3332"/>
      <c r="AZ138" s="3332"/>
      <c r="BA138" s="3332"/>
      <c r="BB138" s="3332"/>
      <c r="BC138" s="3332"/>
      <c r="BD138" s="3332"/>
      <c r="BE138" s="3332"/>
      <c r="BF138" s="3332"/>
      <c r="BG138" s="3332"/>
      <c r="BH138" s="3332"/>
      <c r="BI138" s="3332"/>
      <c r="BJ138" s="3332"/>
      <c r="BK138" s="3332"/>
      <c r="BL138" s="3332"/>
      <c r="BM138" s="3332"/>
      <c r="BN138" s="3332"/>
      <c r="BO138" s="3332"/>
      <c r="BP138" s="3332"/>
      <c r="BQ138" s="3357"/>
      <c r="BR138" s="3375"/>
      <c r="BS138" s="3375"/>
      <c r="BT138" s="3375"/>
      <c r="BU138" s="3375"/>
      <c r="BV138" s="3375"/>
      <c r="BW138" s="3375"/>
      <c r="BX138" s="3375"/>
      <c r="BY138" s="3375"/>
      <c r="BZ138" s="3375"/>
      <c r="CA138" s="3375"/>
      <c r="CB138" s="3371"/>
      <c r="CC138" s="3373"/>
      <c r="CD138" s="3373"/>
      <c r="CE138" s="3373"/>
      <c r="CF138" s="3373"/>
      <c r="CG138" s="3373"/>
      <c r="CH138" s="3373"/>
      <c r="CI138" s="3373"/>
      <c r="CJ138" s="3373"/>
      <c r="CK138" s="3373"/>
      <c r="CL138" s="3373"/>
      <c r="CM138" s="3371"/>
    </row>
    <row r="139" spans="1:91">
      <c r="A139" s="3282">
        <v>49</v>
      </c>
      <c r="B139" s="2551" t="str">
        <f t="shared" si="2"/>
        <v>3039820011</v>
      </c>
      <c r="C139" s="2010" t="s">
        <v>703</v>
      </c>
      <c r="D139" s="2011">
        <v>3982</v>
      </c>
      <c r="E139" s="2011">
        <v>11</v>
      </c>
      <c r="F139" s="2494">
        <v>5000</v>
      </c>
      <c r="G139" s="2496" t="s">
        <v>1079</v>
      </c>
      <c r="H139" s="2011" t="s">
        <v>1560</v>
      </c>
      <c r="I139" s="2012">
        <v>1.25</v>
      </c>
      <c r="J139" s="2491">
        <v>0</v>
      </c>
      <c r="K139" s="2491">
        <v>0</v>
      </c>
      <c r="L139" s="2491">
        <v>0</v>
      </c>
      <c r="M139" s="2491">
        <v>3960</v>
      </c>
      <c r="N139" s="2489">
        <v>2</v>
      </c>
      <c r="O139" s="2036" t="s">
        <v>1578</v>
      </c>
      <c r="P139" s="3346">
        <v>5560</v>
      </c>
      <c r="Q139" s="3331">
        <v>0</v>
      </c>
      <c r="R139" s="3331">
        <v>0</v>
      </c>
      <c r="S139" s="3331">
        <v>0</v>
      </c>
      <c r="T139" s="3331">
        <v>0</v>
      </c>
      <c r="U139" s="3331">
        <v>0</v>
      </c>
      <c r="V139" s="3331">
        <v>0</v>
      </c>
      <c r="W139" s="3331">
        <v>0</v>
      </c>
      <c r="X139" s="3331">
        <v>0</v>
      </c>
      <c r="Y139" s="3331">
        <v>0</v>
      </c>
      <c r="Z139" s="3331">
        <v>0</v>
      </c>
      <c r="AA139" s="3331">
        <v>0</v>
      </c>
      <c r="AB139" s="3331">
        <v>5560</v>
      </c>
      <c r="AC139" s="3331">
        <v>5560</v>
      </c>
      <c r="AD139" s="3331">
        <v>4</v>
      </c>
      <c r="AE139" s="3331">
        <v>0</v>
      </c>
      <c r="AF139" s="3331">
        <v>0</v>
      </c>
      <c r="AG139" s="3331">
        <v>0</v>
      </c>
      <c r="AH139" s="3331">
        <v>0</v>
      </c>
      <c r="AI139" s="3331">
        <v>0</v>
      </c>
      <c r="AJ139" s="3331">
        <v>0</v>
      </c>
      <c r="AK139" s="3331">
        <v>0</v>
      </c>
      <c r="AL139" s="3331">
        <v>0</v>
      </c>
      <c r="AM139" s="3345">
        <v>25</v>
      </c>
      <c r="AN139" s="3277" t="s">
        <v>1585</v>
      </c>
      <c r="AO139" s="3279" t="s">
        <v>706</v>
      </c>
      <c r="AP139" s="3265" t="s">
        <v>1599</v>
      </c>
      <c r="AQ139" s="3265">
        <v>20925</v>
      </c>
      <c r="AR139" s="3331">
        <v>6075</v>
      </c>
      <c r="AS139" s="3331">
        <v>0</v>
      </c>
      <c r="AT139" s="3331">
        <v>0</v>
      </c>
      <c r="AU139" s="3331">
        <v>0</v>
      </c>
      <c r="AV139" s="3331">
        <v>0</v>
      </c>
      <c r="AW139" s="3331">
        <v>0</v>
      </c>
      <c r="AX139" s="3331">
        <v>0</v>
      </c>
      <c r="AY139" s="3331">
        <v>0</v>
      </c>
      <c r="AZ139" s="3331">
        <v>0</v>
      </c>
      <c r="BA139" s="3331">
        <v>0</v>
      </c>
      <c r="BB139" s="3331">
        <v>0</v>
      </c>
      <c r="BC139" s="3331">
        <v>27000</v>
      </c>
      <c r="BD139" s="3331">
        <v>27925</v>
      </c>
      <c r="BE139" s="3331">
        <v>20</v>
      </c>
      <c r="BF139" s="3331">
        <v>10</v>
      </c>
      <c r="BG139" s="3331">
        <v>5</v>
      </c>
      <c r="BH139" s="3331">
        <v>0</v>
      </c>
      <c r="BI139" s="3331">
        <v>6</v>
      </c>
      <c r="BJ139" s="3331">
        <v>0</v>
      </c>
      <c r="BK139" s="3331">
        <v>0</v>
      </c>
      <c r="BL139" s="3331">
        <v>0</v>
      </c>
      <c r="BM139" s="3331">
        <v>0</v>
      </c>
      <c r="BN139" s="3331">
        <v>0</v>
      </c>
      <c r="BO139" s="3331">
        <v>11</v>
      </c>
      <c r="BP139" s="3331">
        <v>85</v>
      </c>
      <c r="BQ139" s="3379">
        <v>15365</v>
      </c>
      <c r="BR139" s="3331">
        <v>6075</v>
      </c>
      <c r="BS139" s="3331">
        <v>0</v>
      </c>
      <c r="BT139" s="3331">
        <v>0</v>
      </c>
      <c r="BU139" s="3331">
        <v>0</v>
      </c>
      <c r="BV139" s="3331">
        <v>0</v>
      </c>
      <c r="BW139" s="3331">
        <v>0</v>
      </c>
      <c r="BX139" s="3331">
        <v>0</v>
      </c>
      <c r="BY139" s="3331">
        <v>0</v>
      </c>
      <c r="BZ139" s="3331">
        <v>0</v>
      </c>
      <c r="CA139" s="3331">
        <v>0</v>
      </c>
      <c r="CB139" s="3345">
        <v>0</v>
      </c>
      <c r="CC139" s="3346">
        <v>21440</v>
      </c>
      <c r="CD139" s="3346">
        <v>6075</v>
      </c>
      <c r="CE139" s="3346">
        <v>16</v>
      </c>
      <c r="CF139" s="3346">
        <v>10</v>
      </c>
      <c r="CG139" s="3346">
        <v>5</v>
      </c>
      <c r="CH139" s="3346">
        <v>0</v>
      </c>
      <c r="CI139" s="3346">
        <v>6</v>
      </c>
      <c r="CJ139" s="3346">
        <v>0</v>
      </c>
      <c r="CK139" s="3346">
        <v>0</v>
      </c>
      <c r="CL139" s="3346">
        <v>0</v>
      </c>
      <c r="CM139" s="3345">
        <v>0</v>
      </c>
    </row>
    <row r="140" spans="1:91" ht="15.75" thickBot="1">
      <c r="A140" s="3380"/>
      <c r="B140" s="2551" t="str">
        <f t="shared" si="2"/>
        <v>3039820013</v>
      </c>
      <c r="C140" s="2468" t="s">
        <v>710</v>
      </c>
      <c r="D140" s="2014">
        <v>3982</v>
      </c>
      <c r="E140" s="2014">
        <v>13</v>
      </c>
      <c r="F140" s="2038">
        <v>2500</v>
      </c>
      <c r="G140" s="2133" t="s">
        <v>1079</v>
      </c>
      <c r="H140" s="2014" t="s">
        <v>1560</v>
      </c>
      <c r="I140" s="2016">
        <v>1.25</v>
      </c>
      <c r="J140" s="2538">
        <v>0</v>
      </c>
      <c r="K140" s="2538">
        <v>0</v>
      </c>
      <c r="L140" s="2538">
        <v>0</v>
      </c>
      <c r="M140" s="2538">
        <v>1600</v>
      </c>
      <c r="N140" s="2509">
        <v>2</v>
      </c>
      <c r="O140" s="2031" t="s">
        <v>1578</v>
      </c>
      <c r="P140" s="3342"/>
      <c r="Q140" s="3332"/>
      <c r="R140" s="3332"/>
      <c r="S140" s="3332"/>
      <c r="T140" s="3332"/>
      <c r="U140" s="3332"/>
      <c r="V140" s="3332"/>
      <c r="W140" s="3332"/>
      <c r="X140" s="3332"/>
      <c r="Y140" s="3332"/>
      <c r="Z140" s="3332"/>
      <c r="AA140" s="3332"/>
      <c r="AB140" s="3332"/>
      <c r="AC140" s="3332"/>
      <c r="AD140" s="3332"/>
      <c r="AE140" s="3332"/>
      <c r="AF140" s="3332"/>
      <c r="AG140" s="3332"/>
      <c r="AH140" s="3332"/>
      <c r="AI140" s="3332"/>
      <c r="AJ140" s="3332"/>
      <c r="AK140" s="3332"/>
      <c r="AL140" s="3332"/>
      <c r="AM140" s="3344"/>
      <c r="AN140" s="3338"/>
      <c r="AO140" s="3339"/>
      <c r="AP140" s="3361"/>
      <c r="AQ140" s="3361"/>
      <c r="AR140" s="3332"/>
      <c r="AS140" s="3332"/>
      <c r="AT140" s="3332"/>
      <c r="AU140" s="3332"/>
      <c r="AV140" s="3332"/>
      <c r="AW140" s="3332"/>
      <c r="AX140" s="3332"/>
      <c r="AY140" s="3332"/>
      <c r="AZ140" s="3332"/>
      <c r="BA140" s="3332"/>
      <c r="BB140" s="3332"/>
      <c r="BC140" s="3332"/>
      <c r="BD140" s="3332"/>
      <c r="BE140" s="3332"/>
      <c r="BF140" s="3332"/>
      <c r="BG140" s="3332"/>
      <c r="BH140" s="3332"/>
      <c r="BI140" s="3332"/>
      <c r="BJ140" s="3332"/>
      <c r="BK140" s="3332"/>
      <c r="BL140" s="3332"/>
      <c r="BM140" s="3332"/>
      <c r="BN140" s="3332"/>
      <c r="BO140" s="3332"/>
      <c r="BP140" s="3332"/>
      <c r="BQ140" s="3387"/>
      <c r="BR140" s="3385"/>
      <c r="BS140" s="3385"/>
      <c r="BT140" s="3385"/>
      <c r="BU140" s="3385"/>
      <c r="BV140" s="3385"/>
      <c r="BW140" s="3385"/>
      <c r="BX140" s="3385"/>
      <c r="BY140" s="3385"/>
      <c r="BZ140" s="3385"/>
      <c r="CA140" s="3385"/>
      <c r="CB140" s="3386"/>
      <c r="CC140" s="3384"/>
      <c r="CD140" s="3384"/>
      <c r="CE140" s="3384"/>
      <c r="CF140" s="3384"/>
      <c r="CG140" s="3384"/>
      <c r="CH140" s="3384"/>
      <c r="CI140" s="3384"/>
      <c r="CJ140" s="3384"/>
      <c r="CK140" s="3384"/>
      <c r="CL140" s="3384"/>
      <c r="CM140" s="3386"/>
    </row>
    <row r="141" spans="1:91">
      <c r="A141" s="3282">
        <v>50</v>
      </c>
      <c r="B141" s="2551" t="str">
        <f t="shared" si="2"/>
        <v>3039830013</v>
      </c>
      <c r="C141" s="2010" t="s">
        <v>703</v>
      </c>
      <c r="D141" s="2011">
        <v>3983</v>
      </c>
      <c r="E141" s="2011">
        <v>13</v>
      </c>
      <c r="F141" s="2494">
        <v>5000</v>
      </c>
      <c r="G141" s="2496" t="s">
        <v>1079</v>
      </c>
      <c r="H141" s="2011" t="s">
        <v>1584</v>
      </c>
      <c r="I141" s="2012">
        <v>1.25</v>
      </c>
      <c r="J141" s="2491">
        <v>0</v>
      </c>
      <c r="K141" s="2491">
        <v>1000</v>
      </c>
      <c r="L141" s="2491">
        <v>0</v>
      </c>
      <c r="M141" s="2491">
        <v>1000</v>
      </c>
      <c r="N141" s="2489">
        <v>0</v>
      </c>
      <c r="O141" s="2525" t="s">
        <v>1572</v>
      </c>
      <c r="P141" s="3346">
        <v>0</v>
      </c>
      <c r="Q141" s="3331">
        <v>0</v>
      </c>
      <c r="R141" s="3331">
        <v>0</v>
      </c>
      <c r="S141" s="3331">
        <v>0</v>
      </c>
      <c r="T141" s="3331">
        <v>6380</v>
      </c>
      <c r="U141" s="3331">
        <v>0</v>
      </c>
      <c r="V141" s="3331">
        <v>0</v>
      </c>
      <c r="W141" s="3331">
        <v>0</v>
      </c>
      <c r="X141" s="3331">
        <v>0</v>
      </c>
      <c r="Y141" s="3331">
        <v>0</v>
      </c>
      <c r="Z141" s="3331">
        <v>0</v>
      </c>
      <c r="AA141" s="3331">
        <v>0</v>
      </c>
      <c r="AB141" s="3331">
        <v>6380</v>
      </c>
      <c r="AC141" s="3331">
        <v>6380</v>
      </c>
      <c r="AD141" s="3331">
        <v>0</v>
      </c>
      <c r="AE141" s="3331">
        <v>0</v>
      </c>
      <c r="AF141" s="3331">
        <v>0</v>
      </c>
      <c r="AG141" s="3331">
        <v>0</v>
      </c>
      <c r="AH141" s="3331">
        <v>0</v>
      </c>
      <c r="AI141" s="3331">
        <v>0</v>
      </c>
      <c r="AJ141" s="3331">
        <v>0</v>
      </c>
      <c r="AK141" s="3331">
        <v>0</v>
      </c>
      <c r="AL141" s="3331">
        <v>0</v>
      </c>
      <c r="AM141" s="3345">
        <v>15</v>
      </c>
      <c r="AN141" s="3277" t="s">
        <v>1585</v>
      </c>
      <c r="AO141" s="3279" t="s">
        <v>706</v>
      </c>
      <c r="AP141" s="3265" t="s">
        <v>1599</v>
      </c>
      <c r="AQ141" s="3265">
        <v>29700</v>
      </c>
      <c r="AR141" s="3331">
        <v>6300</v>
      </c>
      <c r="AS141" s="3331">
        <v>0</v>
      </c>
      <c r="AT141" s="3331">
        <v>0</v>
      </c>
      <c r="AU141" s="3331">
        <v>0</v>
      </c>
      <c r="AV141" s="3331">
        <v>0</v>
      </c>
      <c r="AW141" s="3331">
        <v>0</v>
      </c>
      <c r="AX141" s="3331">
        <v>0</v>
      </c>
      <c r="AY141" s="3331">
        <v>0</v>
      </c>
      <c r="AZ141" s="3331">
        <v>0</v>
      </c>
      <c r="BA141" s="3331">
        <v>0</v>
      </c>
      <c r="BB141" s="3331">
        <v>0</v>
      </c>
      <c r="BC141" s="3331">
        <v>36000</v>
      </c>
      <c r="BD141" s="3331">
        <v>37700</v>
      </c>
      <c r="BE141" s="3331">
        <v>29</v>
      </c>
      <c r="BF141" s="3331">
        <v>15</v>
      </c>
      <c r="BG141" s="3331">
        <v>8</v>
      </c>
      <c r="BH141" s="3331">
        <v>0</v>
      </c>
      <c r="BI141" s="3331">
        <v>6</v>
      </c>
      <c r="BJ141" s="3331">
        <v>0</v>
      </c>
      <c r="BK141" s="3331">
        <v>0</v>
      </c>
      <c r="BL141" s="3331">
        <v>0</v>
      </c>
      <c r="BM141" s="3331">
        <v>0</v>
      </c>
      <c r="BN141" s="3331">
        <v>0</v>
      </c>
      <c r="BO141" s="3331">
        <v>14</v>
      </c>
      <c r="BP141" s="3331">
        <v>85</v>
      </c>
      <c r="BQ141" s="3379">
        <v>29700</v>
      </c>
      <c r="BR141" s="3331">
        <v>6300</v>
      </c>
      <c r="BS141" s="3331">
        <v>0</v>
      </c>
      <c r="BT141" s="3331">
        <v>0</v>
      </c>
      <c r="BU141" s="3331">
        <v>-6380</v>
      </c>
      <c r="BV141" s="3331">
        <v>0</v>
      </c>
      <c r="BW141" s="3331">
        <v>0</v>
      </c>
      <c r="BX141" s="3331">
        <v>0</v>
      </c>
      <c r="BY141" s="3331">
        <v>0</v>
      </c>
      <c r="BZ141" s="3331">
        <v>0</v>
      </c>
      <c r="CA141" s="3331">
        <v>0</v>
      </c>
      <c r="CB141" s="3345">
        <v>0</v>
      </c>
      <c r="CC141" s="3346">
        <v>29620</v>
      </c>
      <c r="CD141" s="3346">
        <v>-80</v>
      </c>
      <c r="CE141" s="3346">
        <v>29</v>
      </c>
      <c r="CF141" s="3346">
        <v>15</v>
      </c>
      <c r="CG141" s="3346">
        <v>8</v>
      </c>
      <c r="CH141" s="3346">
        <v>0</v>
      </c>
      <c r="CI141" s="3346">
        <v>6</v>
      </c>
      <c r="CJ141" s="3346">
        <v>0</v>
      </c>
      <c r="CK141" s="3346">
        <v>0</v>
      </c>
      <c r="CL141" s="3346">
        <v>0</v>
      </c>
      <c r="CM141" s="3345">
        <v>0</v>
      </c>
    </row>
    <row r="142" spans="1:91" ht="15.75" thickBot="1">
      <c r="A142" s="3283"/>
      <c r="B142" s="2551" t="str">
        <f t="shared" si="2"/>
        <v>3039830015</v>
      </c>
      <c r="C142" s="2493" t="s">
        <v>710</v>
      </c>
      <c r="D142" s="2018">
        <v>3983</v>
      </c>
      <c r="E142" s="2018">
        <v>15</v>
      </c>
      <c r="F142" s="2019">
        <v>5000</v>
      </c>
      <c r="G142" s="2498" t="s">
        <v>1079</v>
      </c>
      <c r="H142" s="2018" t="s">
        <v>1584</v>
      </c>
      <c r="I142" s="2020">
        <v>1.25</v>
      </c>
      <c r="J142" s="2501">
        <v>0</v>
      </c>
      <c r="K142" s="2501">
        <v>5380</v>
      </c>
      <c r="L142" s="2501">
        <v>0</v>
      </c>
      <c r="M142" s="2501">
        <v>5380</v>
      </c>
      <c r="N142" s="2508">
        <v>0</v>
      </c>
      <c r="O142" s="2037" t="s">
        <v>1572</v>
      </c>
      <c r="P142" s="3342"/>
      <c r="Q142" s="3332"/>
      <c r="R142" s="3332"/>
      <c r="S142" s="3332"/>
      <c r="T142" s="3332"/>
      <c r="U142" s="3332"/>
      <c r="V142" s="3332"/>
      <c r="W142" s="3332"/>
      <c r="X142" s="3332"/>
      <c r="Y142" s="3332"/>
      <c r="Z142" s="3332"/>
      <c r="AA142" s="3332"/>
      <c r="AB142" s="3332"/>
      <c r="AC142" s="3332"/>
      <c r="AD142" s="3332"/>
      <c r="AE142" s="3332"/>
      <c r="AF142" s="3332"/>
      <c r="AG142" s="3332"/>
      <c r="AH142" s="3332"/>
      <c r="AI142" s="3332"/>
      <c r="AJ142" s="3332"/>
      <c r="AK142" s="3332"/>
      <c r="AL142" s="3332"/>
      <c r="AM142" s="3344"/>
      <c r="AN142" s="3338"/>
      <c r="AO142" s="3339"/>
      <c r="AP142" s="3361"/>
      <c r="AQ142" s="3361"/>
      <c r="AR142" s="3332"/>
      <c r="AS142" s="3332"/>
      <c r="AT142" s="3332"/>
      <c r="AU142" s="3332"/>
      <c r="AV142" s="3332"/>
      <c r="AW142" s="3332"/>
      <c r="AX142" s="3332"/>
      <c r="AY142" s="3332"/>
      <c r="AZ142" s="3332"/>
      <c r="BA142" s="3332"/>
      <c r="BB142" s="3332"/>
      <c r="BC142" s="3332"/>
      <c r="BD142" s="3332"/>
      <c r="BE142" s="3332"/>
      <c r="BF142" s="3332"/>
      <c r="BG142" s="3332"/>
      <c r="BH142" s="3332"/>
      <c r="BI142" s="3332"/>
      <c r="BJ142" s="3332"/>
      <c r="BK142" s="3332"/>
      <c r="BL142" s="3332"/>
      <c r="BM142" s="3332"/>
      <c r="BN142" s="3332"/>
      <c r="BO142" s="3332"/>
      <c r="BP142" s="3332"/>
      <c r="BQ142" s="3357"/>
      <c r="BR142" s="3375"/>
      <c r="BS142" s="3375"/>
      <c r="BT142" s="3375"/>
      <c r="BU142" s="3375"/>
      <c r="BV142" s="3375"/>
      <c r="BW142" s="3375"/>
      <c r="BX142" s="3375"/>
      <c r="BY142" s="3375"/>
      <c r="BZ142" s="3375"/>
      <c r="CA142" s="3375"/>
      <c r="CB142" s="3371"/>
      <c r="CC142" s="3373"/>
      <c r="CD142" s="3373"/>
      <c r="CE142" s="3373"/>
      <c r="CF142" s="3373"/>
      <c r="CG142" s="3373"/>
      <c r="CH142" s="3373"/>
      <c r="CI142" s="3373"/>
      <c r="CJ142" s="3373"/>
      <c r="CK142" s="3373"/>
      <c r="CL142" s="3373"/>
      <c r="CM142" s="3371"/>
    </row>
    <row r="143" spans="1:91" ht="15.75" thickBot="1">
      <c r="A143" s="2486">
        <v>51</v>
      </c>
      <c r="B143" s="2551" t="str">
        <f t="shared" si="2"/>
        <v>3039840015</v>
      </c>
      <c r="C143" s="2041" t="s">
        <v>703</v>
      </c>
      <c r="D143" s="2479">
        <v>3984</v>
      </c>
      <c r="E143" s="2479">
        <v>15</v>
      </c>
      <c r="F143" s="2482">
        <v>5250</v>
      </c>
      <c r="G143" s="2447" t="s">
        <v>1079</v>
      </c>
      <c r="H143" s="2479" t="s">
        <v>1584</v>
      </c>
      <c r="I143" s="2465">
        <v>1.25</v>
      </c>
      <c r="J143" s="2480">
        <v>0</v>
      </c>
      <c r="K143" s="2480">
        <v>1313</v>
      </c>
      <c r="L143" s="2480">
        <v>0</v>
      </c>
      <c r="M143" s="2480">
        <v>1313</v>
      </c>
      <c r="N143" s="2443">
        <v>0</v>
      </c>
      <c r="O143" s="2031" t="s">
        <v>1578</v>
      </c>
      <c r="P143" s="2487">
        <v>6563</v>
      </c>
      <c r="Q143" s="2480">
        <v>0</v>
      </c>
      <c r="R143" s="2480">
        <v>0</v>
      </c>
      <c r="S143" s="2480">
        <v>0</v>
      </c>
      <c r="T143" s="2480">
        <v>0</v>
      </c>
      <c r="U143" s="2480">
        <v>0</v>
      </c>
      <c r="V143" s="2480">
        <v>0</v>
      </c>
      <c r="W143" s="2480">
        <v>0</v>
      </c>
      <c r="X143" s="2480">
        <v>0</v>
      </c>
      <c r="Y143" s="2480">
        <v>0</v>
      </c>
      <c r="Z143" s="2480">
        <v>0</v>
      </c>
      <c r="AA143" s="2480">
        <v>0</v>
      </c>
      <c r="AB143" s="2480">
        <v>6563</v>
      </c>
      <c r="AC143" s="2480">
        <v>6563</v>
      </c>
      <c r="AD143" s="2480">
        <v>6</v>
      </c>
      <c r="AE143" s="2480">
        <v>0</v>
      </c>
      <c r="AF143" s="2480">
        <v>0</v>
      </c>
      <c r="AG143" s="2480">
        <v>0</v>
      </c>
      <c r="AH143" s="2480">
        <v>0</v>
      </c>
      <c r="AI143" s="2480">
        <v>0</v>
      </c>
      <c r="AJ143" s="2480">
        <v>0</v>
      </c>
      <c r="AK143" s="2480">
        <v>0</v>
      </c>
      <c r="AL143" s="2480">
        <v>0</v>
      </c>
      <c r="AM143" s="2032">
        <v>25</v>
      </c>
      <c r="AN143" s="2033" t="s">
        <v>1585</v>
      </c>
      <c r="AO143" s="2447" t="s">
        <v>706</v>
      </c>
      <c r="AP143" s="2480" t="s">
        <v>1599</v>
      </c>
      <c r="AQ143" s="2480">
        <v>16650</v>
      </c>
      <c r="AR143" s="2480">
        <v>2250</v>
      </c>
      <c r="AS143" s="2480">
        <v>0</v>
      </c>
      <c r="AT143" s="2480">
        <v>0</v>
      </c>
      <c r="AU143" s="2480">
        <v>0</v>
      </c>
      <c r="AV143" s="2480">
        <v>0</v>
      </c>
      <c r="AW143" s="2480">
        <v>0</v>
      </c>
      <c r="AX143" s="2480">
        <v>0</v>
      </c>
      <c r="AY143" s="2480">
        <v>0</v>
      </c>
      <c r="AZ143" s="2480">
        <v>0</v>
      </c>
      <c r="BA143" s="2480">
        <v>0</v>
      </c>
      <c r="BB143" s="2480">
        <v>0</v>
      </c>
      <c r="BC143" s="2480">
        <v>18900</v>
      </c>
      <c r="BD143" s="2480">
        <v>21338</v>
      </c>
      <c r="BE143" s="2480">
        <v>16</v>
      </c>
      <c r="BF143" s="2480">
        <v>8</v>
      </c>
      <c r="BG143" s="2480">
        <v>4</v>
      </c>
      <c r="BH143" s="2480">
        <v>0</v>
      </c>
      <c r="BI143" s="2480">
        <v>2</v>
      </c>
      <c r="BJ143" s="2480">
        <v>0</v>
      </c>
      <c r="BK143" s="2480">
        <v>0</v>
      </c>
      <c r="BL143" s="2480">
        <v>0</v>
      </c>
      <c r="BM143" s="2480">
        <v>0</v>
      </c>
      <c r="BN143" s="2480">
        <v>0</v>
      </c>
      <c r="BO143" s="2480">
        <v>6</v>
      </c>
      <c r="BP143" s="2480">
        <v>85</v>
      </c>
      <c r="BQ143" s="2478">
        <v>10087</v>
      </c>
      <c r="BR143" s="2441">
        <v>2250</v>
      </c>
      <c r="BS143" s="2441">
        <v>0</v>
      </c>
      <c r="BT143" s="2441">
        <v>0</v>
      </c>
      <c r="BU143" s="2441">
        <v>0</v>
      </c>
      <c r="BV143" s="2441">
        <v>0</v>
      </c>
      <c r="BW143" s="2441">
        <v>0</v>
      </c>
      <c r="BX143" s="2441">
        <v>0</v>
      </c>
      <c r="BY143" s="2441">
        <v>0</v>
      </c>
      <c r="BZ143" s="2441">
        <v>0</v>
      </c>
      <c r="CA143" s="2441">
        <v>0</v>
      </c>
      <c r="CB143" s="2443">
        <v>0</v>
      </c>
      <c r="CC143" s="2453">
        <v>12337</v>
      </c>
      <c r="CD143" s="2453">
        <v>2250</v>
      </c>
      <c r="CE143" s="2453">
        <v>10</v>
      </c>
      <c r="CF143" s="2453">
        <v>8</v>
      </c>
      <c r="CG143" s="2453">
        <v>4</v>
      </c>
      <c r="CH143" s="2453">
        <v>0</v>
      </c>
      <c r="CI143" s="2042">
        <v>2</v>
      </c>
      <c r="CJ143" s="2042">
        <v>0</v>
      </c>
      <c r="CK143" s="2042">
        <v>0</v>
      </c>
      <c r="CL143" s="2042">
        <v>0</v>
      </c>
      <c r="CM143" s="2035">
        <v>0</v>
      </c>
    </row>
    <row r="144" spans="1:91">
      <c r="A144" s="3282">
        <v>52</v>
      </c>
      <c r="B144" s="2551" t="str">
        <f t="shared" si="2"/>
        <v>3039850015</v>
      </c>
      <c r="C144" s="2010" t="s">
        <v>703</v>
      </c>
      <c r="D144" s="2011">
        <v>3985</v>
      </c>
      <c r="E144" s="2011">
        <v>15</v>
      </c>
      <c r="F144" s="2494">
        <v>2500</v>
      </c>
      <c r="G144" s="2496" t="s">
        <v>1079</v>
      </c>
      <c r="H144" s="2011" t="s">
        <v>1584</v>
      </c>
      <c r="I144" s="2012">
        <v>1.25</v>
      </c>
      <c r="J144" s="2491">
        <v>0</v>
      </c>
      <c r="K144" s="2491">
        <v>0</v>
      </c>
      <c r="L144" s="2491">
        <v>0</v>
      </c>
      <c r="M144" s="2491">
        <v>0</v>
      </c>
      <c r="N144" s="2489">
        <v>0</v>
      </c>
      <c r="O144" s="2525" t="s">
        <v>720</v>
      </c>
      <c r="P144" s="3346">
        <v>0</v>
      </c>
      <c r="Q144" s="3331">
        <v>0</v>
      </c>
      <c r="R144" s="3331">
        <v>0</v>
      </c>
      <c r="S144" s="3331">
        <v>0</v>
      </c>
      <c r="T144" s="3331">
        <v>0</v>
      </c>
      <c r="U144" s="3331">
        <v>0</v>
      </c>
      <c r="V144" s="3331">
        <v>0</v>
      </c>
      <c r="W144" s="3331">
        <v>0</v>
      </c>
      <c r="X144" s="3331">
        <v>0</v>
      </c>
      <c r="Y144" s="3331">
        <v>0</v>
      </c>
      <c r="Z144" s="3331">
        <v>0</v>
      </c>
      <c r="AA144" s="3331">
        <v>1600</v>
      </c>
      <c r="AB144" s="3331">
        <v>1600</v>
      </c>
      <c r="AC144" s="3331">
        <v>1600</v>
      </c>
      <c r="AD144" s="3331">
        <v>0</v>
      </c>
      <c r="AE144" s="3331">
        <v>0</v>
      </c>
      <c r="AF144" s="3331">
        <v>0</v>
      </c>
      <c r="AG144" s="3331">
        <v>0</v>
      </c>
      <c r="AH144" s="3331">
        <v>0</v>
      </c>
      <c r="AI144" s="3331">
        <v>0</v>
      </c>
      <c r="AJ144" s="3331">
        <v>0</v>
      </c>
      <c r="AK144" s="3331">
        <v>3</v>
      </c>
      <c r="AL144" s="3331">
        <v>3</v>
      </c>
      <c r="AM144" s="3345">
        <v>15</v>
      </c>
      <c r="AN144" s="3277" t="s">
        <v>1585</v>
      </c>
      <c r="AO144" s="3279" t="s">
        <v>706</v>
      </c>
      <c r="AP144" s="3265" t="s">
        <v>1599</v>
      </c>
      <c r="AQ144" s="3265">
        <v>29676</v>
      </c>
      <c r="AR144" s="3331">
        <v>7194.6</v>
      </c>
      <c r="AS144" s="3331">
        <v>0</v>
      </c>
      <c r="AT144" s="3331">
        <v>0</v>
      </c>
      <c r="AU144" s="3331">
        <v>0</v>
      </c>
      <c r="AV144" s="3331">
        <v>0</v>
      </c>
      <c r="AW144" s="3331">
        <v>0</v>
      </c>
      <c r="AX144" s="3331">
        <v>0</v>
      </c>
      <c r="AY144" s="3331">
        <v>0</v>
      </c>
      <c r="AZ144" s="3331">
        <v>0</v>
      </c>
      <c r="BA144" s="3331">
        <v>0</v>
      </c>
      <c r="BB144" s="3331">
        <v>0</v>
      </c>
      <c r="BC144" s="3331">
        <v>36870.6</v>
      </c>
      <c r="BD144" s="3331">
        <v>38420</v>
      </c>
      <c r="BE144" s="3331">
        <v>29</v>
      </c>
      <c r="BF144" s="3331">
        <v>15</v>
      </c>
      <c r="BG144" s="3331">
        <v>8</v>
      </c>
      <c r="BH144" s="3331">
        <v>0</v>
      </c>
      <c r="BI144" s="3331">
        <v>7</v>
      </c>
      <c r="BJ144" s="3331">
        <v>0</v>
      </c>
      <c r="BK144" s="3331">
        <v>0</v>
      </c>
      <c r="BL144" s="3331">
        <v>0</v>
      </c>
      <c r="BM144" s="3331">
        <v>0</v>
      </c>
      <c r="BN144" s="3331">
        <v>0</v>
      </c>
      <c r="BO144" s="3331">
        <v>15</v>
      </c>
      <c r="BP144" s="3331">
        <v>85</v>
      </c>
      <c r="BQ144" s="3379">
        <v>29676</v>
      </c>
      <c r="BR144" s="3331">
        <v>7194.6</v>
      </c>
      <c r="BS144" s="3331">
        <v>0</v>
      </c>
      <c r="BT144" s="3331">
        <v>0</v>
      </c>
      <c r="BU144" s="3331">
        <v>0</v>
      </c>
      <c r="BV144" s="3331">
        <v>0</v>
      </c>
      <c r="BW144" s="3331">
        <v>0</v>
      </c>
      <c r="BX144" s="3331">
        <v>0</v>
      </c>
      <c r="BY144" s="3331">
        <v>0</v>
      </c>
      <c r="BZ144" s="3331">
        <v>0</v>
      </c>
      <c r="CA144" s="3331">
        <v>0</v>
      </c>
      <c r="CB144" s="3345">
        <v>-1600</v>
      </c>
      <c r="CC144" s="3346">
        <v>35270.6</v>
      </c>
      <c r="CD144" s="3346">
        <v>7194.6</v>
      </c>
      <c r="CE144" s="3346">
        <v>29</v>
      </c>
      <c r="CF144" s="3346">
        <v>15</v>
      </c>
      <c r="CG144" s="3346">
        <v>8</v>
      </c>
      <c r="CH144" s="3346">
        <v>0</v>
      </c>
      <c r="CI144" s="3346">
        <v>7</v>
      </c>
      <c r="CJ144" s="3346">
        <v>0</v>
      </c>
      <c r="CK144" s="3346">
        <v>0</v>
      </c>
      <c r="CL144" s="3346">
        <v>0</v>
      </c>
      <c r="CM144" s="3345">
        <v>-3</v>
      </c>
    </row>
    <row r="145" spans="1:91">
      <c r="A145" s="3313"/>
      <c r="B145" s="2551" t="str">
        <f t="shared" si="2"/>
        <v>3039850016</v>
      </c>
      <c r="C145" s="2492" t="s">
        <v>710</v>
      </c>
      <c r="D145" s="2026">
        <v>3985</v>
      </c>
      <c r="E145" s="2026">
        <v>16</v>
      </c>
      <c r="F145" s="2027">
        <v>2450</v>
      </c>
      <c r="G145" s="2497" t="s">
        <v>1079</v>
      </c>
      <c r="H145" s="2026" t="s">
        <v>1584</v>
      </c>
      <c r="I145" s="2028">
        <v>1.25</v>
      </c>
      <c r="J145" s="2500">
        <v>0</v>
      </c>
      <c r="K145" s="2500">
        <v>0</v>
      </c>
      <c r="L145" s="2500">
        <v>0</v>
      </c>
      <c r="M145" s="2500">
        <v>0</v>
      </c>
      <c r="N145" s="2029">
        <v>0</v>
      </c>
      <c r="O145" s="2030" t="s">
        <v>720</v>
      </c>
      <c r="P145" s="3341"/>
      <c r="Q145" s="3340"/>
      <c r="R145" s="3340"/>
      <c r="S145" s="3340"/>
      <c r="T145" s="3340"/>
      <c r="U145" s="3340"/>
      <c r="V145" s="3340"/>
      <c r="W145" s="3340"/>
      <c r="X145" s="3340"/>
      <c r="Y145" s="3340"/>
      <c r="Z145" s="3340"/>
      <c r="AA145" s="3340"/>
      <c r="AB145" s="3340"/>
      <c r="AC145" s="3340"/>
      <c r="AD145" s="3340"/>
      <c r="AE145" s="3340"/>
      <c r="AF145" s="3340"/>
      <c r="AG145" s="3340"/>
      <c r="AH145" s="3340"/>
      <c r="AI145" s="3340"/>
      <c r="AJ145" s="3340"/>
      <c r="AK145" s="3340"/>
      <c r="AL145" s="3340"/>
      <c r="AM145" s="3343"/>
      <c r="AN145" s="3278"/>
      <c r="AO145" s="3280"/>
      <c r="AP145" s="3274"/>
      <c r="AQ145" s="3274"/>
      <c r="AR145" s="3340"/>
      <c r="AS145" s="3340"/>
      <c r="AT145" s="3340"/>
      <c r="AU145" s="3340"/>
      <c r="AV145" s="3340"/>
      <c r="AW145" s="3340"/>
      <c r="AX145" s="3340"/>
      <c r="AY145" s="3340"/>
      <c r="AZ145" s="3340"/>
      <c r="BA145" s="3340"/>
      <c r="BB145" s="3340"/>
      <c r="BC145" s="3340"/>
      <c r="BD145" s="3340"/>
      <c r="BE145" s="3340"/>
      <c r="BF145" s="3340"/>
      <c r="BG145" s="3340"/>
      <c r="BH145" s="3340"/>
      <c r="BI145" s="3340"/>
      <c r="BJ145" s="3340"/>
      <c r="BK145" s="3340"/>
      <c r="BL145" s="3340"/>
      <c r="BM145" s="3340"/>
      <c r="BN145" s="3340"/>
      <c r="BO145" s="3340"/>
      <c r="BP145" s="3340"/>
      <c r="BQ145" s="3387"/>
      <c r="BR145" s="3385"/>
      <c r="BS145" s="3385"/>
      <c r="BT145" s="3385"/>
      <c r="BU145" s="3385"/>
      <c r="BV145" s="3385"/>
      <c r="BW145" s="3385"/>
      <c r="BX145" s="3385"/>
      <c r="BY145" s="3385"/>
      <c r="BZ145" s="3385"/>
      <c r="CA145" s="3385"/>
      <c r="CB145" s="3386"/>
      <c r="CC145" s="3384"/>
      <c r="CD145" s="3384"/>
      <c r="CE145" s="3384"/>
      <c r="CF145" s="3384"/>
      <c r="CG145" s="3384"/>
      <c r="CH145" s="3384"/>
      <c r="CI145" s="3384"/>
      <c r="CJ145" s="3384"/>
      <c r="CK145" s="3384"/>
      <c r="CL145" s="3384"/>
      <c r="CM145" s="3386"/>
    </row>
    <row r="146" spans="1:91">
      <c r="A146" s="3313"/>
      <c r="B146" s="2551" t="str">
        <f t="shared" si="2"/>
        <v>3039850017</v>
      </c>
      <c r="C146" s="2492" t="s">
        <v>721</v>
      </c>
      <c r="D146" s="2026">
        <v>3985</v>
      </c>
      <c r="E146" s="2026">
        <v>17</v>
      </c>
      <c r="F146" s="2027">
        <v>2542</v>
      </c>
      <c r="G146" s="2497" t="s">
        <v>1079</v>
      </c>
      <c r="H146" s="2026" t="s">
        <v>1584</v>
      </c>
      <c r="I146" s="2028">
        <v>1.25</v>
      </c>
      <c r="J146" s="2500">
        <v>0</v>
      </c>
      <c r="K146" s="2500">
        <v>0</v>
      </c>
      <c r="L146" s="2500">
        <v>0</v>
      </c>
      <c r="M146" s="2500">
        <v>1600</v>
      </c>
      <c r="N146" s="2029">
        <v>2</v>
      </c>
      <c r="O146" s="2030" t="s">
        <v>1633</v>
      </c>
      <c r="P146" s="3341"/>
      <c r="Q146" s="3340"/>
      <c r="R146" s="3340"/>
      <c r="S146" s="3340"/>
      <c r="T146" s="3340"/>
      <c r="U146" s="3340"/>
      <c r="V146" s="3340"/>
      <c r="W146" s="3340"/>
      <c r="X146" s="3340"/>
      <c r="Y146" s="3340"/>
      <c r="Z146" s="3340"/>
      <c r="AA146" s="3340"/>
      <c r="AB146" s="3340"/>
      <c r="AC146" s="3340"/>
      <c r="AD146" s="3340"/>
      <c r="AE146" s="3340"/>
      <c r="AF146" s="3340"/>
      <c r="AG146" s="3340"/>
      <c r="AH146" s="3340"/>
      <c r="AI146" s="3340"/>
      <c r="AJ146" s="3340"/>
      <c r="AK146" s="3340"/>
      <c r="AL146" s="3340"/>
      <c r="AM146" s="3343"/>
      <c r="AN146" s="3278"/>
      <c r="AO146" s="3280"/>
      <c r="AP146" s="3274"/>
      <c r="AQ146" s="3274"/>
      <c r="AR146" s="3340"/>
      <c r="AS146" s="3340"/>
      <c r="AT146" s="3340"/>
      <c r="AU146" s="3340"/>
      <c r="AV146" s="3340"/>
      <c r="AW146" s="3340"/>
      <c r="AX146" s="3340"/>
      <c r="AY146" s="3340"/>
      <c r="AZ146" s="3340"/>
      <c r="BA146" s="3340"/>
      <c r="BB146" s="3340"/>
      <c r="BC146" s="3340"/>
      <c r="BD146" s="3340"/>
      <c r="BE146" s="3340"/>
      <c r="BF146" s="3340"/>
      <c r="BG146" s="3340"/>
      <c r="BH146" s="3340"/>
      <c r="BI146" s="3340"/>
      <c r="BJ146" s="3340"/>
      <c r="BK146" s="3340"/>
      <c r="BL146" s="3340"/>
      <c r="BM146" s="3340"/>
      <c r="BN146" s="3340"/>
      <c r="BO146" s="3340"/>
      <c r="BP146" s="3340"/>
      <c r="BQ146" s="3387"/>
      <c r="BR146" s="3385"/>
      <c r="BS146" s="3385"/>
      <c r="BT146" s="3385"/>
      <c r="BU146" s="3385"/>
      <c r="BV146" s="3385"/>
      <c r="BW146" s="3385"/>
      <c r="BX146" s="3385"/>
      <c r="BY146" s="3385"/>
      <c r="BZ146" s="3385"/>
      <c r="CA146" s="3385"/>
      <c r="CB146" s="3386"/>
      <c r="CC146" s="3384"/>
      <c r="CD146" s="3384"/>
      <c r="CE146" s="3384"/>
      <c r="CF146" s="3384"/>
      <c r="CG146" s="3384"/>
      <c r="CH146" s="3384"/>
      <c r="CI146" s="3384"/>
      <c r="CJ146" s="3384"/>
      <c r="CK146" s="3384"/>
      <c r="CL146" s="3384"/>
      <c r="CM146" s="3386"/>
    </row>
    <row r="147" spans="1:91" ht="15.75" thickBot="1">
      <c r="A147" s="3380"/>
      <c r="B147" s="2551" t="str">
        <f t="shared" si="2"/>
        <v>3039850018</v>
      </c>
      <c r="C147" s="2468" t="s">
        <v>724</v>
      </c>
      <c r="D147" s="2014">
        <v>3985</v>
      </c>
      <c r="E147" s="2014">
        <v>18</v>
      </c>
      <c r="F147" s="2038">
        <v>2750</v>
      </c>
      <c r="G147" s="2133" t="s">
        <v>1079</v>
      </c>
      <c r="H147" s="2014" t="s">
        <v>1584</v>
      </c>
      <c r="I147" s="2016">
        <v>1.25</v>
      </c>
      <c r="J147" s="2538">
        <v>0</v>
      </c>
      <c r="K147" s="2538">
        <v>0</v>
      </c>
      <c r="L147" s="2538">
        <v>0</v>
      </c>
      <c r="M147" s="2538">
        <v>0</v>
      </c>
      <c r="N147" s="2509">
        <v>0</v>
      </c>
      <c r="O147" s="2031" t="s">
        <v>718</v>
      </c>
      <c r="P147" s="3342"/>
      <c r="Q147" s="3332"/>
      <c r="R147" s="3332"/>
      <c r="S147" s="3332"/>
      <c r="T147" s="3332"/>
      <c r="U147" s="3332"/>
      <c r="V147" s="3332"/>
      <c r="W147" s="3332"/>
      <c r="X147" s="3332"/>
      <c r="Y147" s="3332"/>
      <c r="Z147" s="3332"/>
      <c r="AA147" s="3332"/>
      <c r="AB147" s="3332"/>
      <c r="AC147" s="3332"/>
      <c r="AD147" s="3332"/>
      <c r="AE147" s="3332"/>
      <c r="AF147" s="3332"/>
      <c r="AG147" s="3332"/>
      <c r="AH147" s="3332"/>
      <c r="AI147" s="3332"/>
      <c r="AJ147" s="3332"/>
      <c r="AK147" s="3332"/>
      <c r="AL147" s="3332"/>
      <c r="AM147" s="3344"/>
      <c r="AN147" s="3338"/>
      <c r="AO147" s="3339"/>
      <c r="AP147" s="3361"/>
      <c r="AQ147" s="3361"/>
      <c r="AR147" s="3332"/>
      <c r="AS147" s="3332"/>
      <c r="AT147" s="3332"/>
      <c r="AU147" s="3332"/>
      <c r="AV147" s="3332"/>
      <c r="AW147" s="3332"/>
      <c r="AX147" s="3332"/>
      <c r="AY147" s="3332"/>
      <c r="AZ147" s="3332"/>
      <c r="BA147" s="3332"/>
      <c r="BB147" s="3332"/>
      <c r="BC147" s="3332"/>
      <c r="BD147" s="3332"/>
      <c r="BE147" s="3332"/>
      <c r="BF147" s="3332"/>
      <c r="BG147" s="3332"/>
      <c r="BH147" s="3332"/>
      <c r="BI147" s="3332"/>
      <c r="BJ147" s="3332"/>
      <c r="BK147" s="3332"/>
      <c r="BL147" s="3332"/>
      <c r="BM147" s="3332"/>
      <c r="BN147" s="3332"/>
      <c r="BO147" s="3332"/>
      <c r="BP147" s="3332"/>
      <c r="BQ147" s="3387"/>
      <c r="BR147" s="3385"/>
      <c r="BS147" s="3385"/>
      <c r="BT147" s="3385"/>
      <c r="BU147" s="3385"/>
      <c r="BV147" s="3385"/>
      <c r="BW147" s="3385"/>
      <c r="BX147" s="3385"/>
      <c r="BY147" s="3385"/>
      <c r="BZ147" s="3385"/>
      <c r="CA147" s="3385"/>
      <c r="CB147" s="3386"/>
      <c r="CC147" s="3384"/>
      <c r="CD147" s="3384"/>
      <c r="CE147" s="3384"/>
      <c r="CF147" s="3384"/>
      <c r="CG147" s="3384"/>
      <c r="CH147" s="3384"/>
      <c r="CI147" s="3384"/>
      <c r="CJ147" s="3384"/>
      <c r="CK147" s="3384"/>
      <c r="CL147" s="3384"/>
      <c r="CM147" s="3386"/>
    </row>
    <row r="148" spans="1:91">
      <c r="A148" s="3282">
        <v>53</v>
      </c>
      <c r="B148" s="2551" t="str">
        <f t="shared" si="2"/>
        <v>3039860011</v>
      </c>
      <c r="C148" s="2010" t="s">
        <v>703</v>
      </c>
      <c r="D148" s="2011">
        <v>3986</v>
      </c>
      <c r="E148" s="2011">
        <v>11</v>
      </c>
      <c r="F148" s="2494">
        <v>4300</v>
      </c>
      <c r="G148" s="2496" t="s">
        <v>1079</v>
      </c>
      <c r="H148" s="2011" t="s">
        <v>1584</v>
      </c>
      <c r="I148" s="2012">
        <v>1.25</v>
      </c>
      <c r="J148" s="2491">
        <v>0</v>
      </c>
      <c r="K148" s="2491">
        <v>0</v>
      </c>
      <c r="L148" s="2491">
        <v>0</v>
      </c>
      <c r="M148" s="2491">
        <v>6460</v>
      </c>
      <c r="N148" s="2489">
        <v>0</v>
      </c>
      <c r="O148" s="2525" t="s">
        <v>1634</v>
      </c>
      <c r="P148" s="3346">
        <v>0</v>
      </c>
      <c r="Q148" s="3331">
        <v>0</v>
      </c>
      <c r="R148" s="3331">
        <v>0</v>
      </c>
      <c r="S148" s="3331">
        <v>0</v>
      </c>
      <c r="T148" s="3331">
        <v>0</v>
      </c>
      <c r="U148" s="3331">
        <v>0</v>
      </c>
      <c r="V148" s="3331">
        <v>0</v>
      </c>
      <c r="W148" s="3331">
        <v>0</v>
      </c>
      <c r="X148" s="3331">
        <v>0</v>
      </c>
      <c r="Y148" s="3331">
        <v>0</v>
      </c>
      <c r="Z148" s="3331">
        <v>16140</v>
      </c>
      <c r="AA148" s="3331">
        <v>0</v>
      </c>
      <c r="AB148" s="3331">
        <v>16140</v>
      </c>
      <c r="AC148" s="3331">
        <v>16140</v>
      </c>
      <c r="AD148" s="3331">
        <v>0</v>
      </c>
      <c r="AE148" s="3331">
        <v>0</v>
      </c>
      <c r="AF148" s="3331">
        <v>0</v>
      </c>
      <c r="AG148" s="3331">
        <v>0</v>
      </c>
      <c r="AH148" s="3331">
        <v>0</v>
      </c>
      <c r="AI148" s="3331">
        <v>0</v>
      </c>
      <c r="AJ148" s="3331">
        <v>0</v>
      </c>
      <c r="AK148" s="3331">
        <v>0</v>
      </c>
      <c r="AL148" s="3331">
        <v>0</v>
      </c>
      <c r="AM148" s="3345">
        <v>35</v>
      </c>
      <c r="AN148" s="3277" t="s">
        <v>1585</v>
      </c>
      <c r="AO148" s="3279" t="s">
        <v>706</v>
      </c>
      <c r="AP148" s="3265" t="s">
        <v>1599</v>
      </c>
      <c r="AQ148" s="3265">
        <v>41863</v>
      </c>
      <c r="AR148" s="3331">
        <v>11416.5</v>
      </c>
      <c r="AS148" s="3331">
        <v>0</v>
      </c>
      <c r="AT148" s="3331">
        <v>0</v>
      </c>
      <c r="AU148" s="3331">
        <v>0</v>
      </c>
      <c r="AV148" s="3331">
        <v>0</v>
      </c>
      <c r="AW148" s="3331">
        <v>0</v>
      </c>
      <c r="AX148" s="3331">
        <v>0</v>
      </c>
      <c r="AY148" s="3331">
        <v>0</v>
      </c>
      <c r="AZ148" s="3331">
        <v>0</v>
      </c>
      <c r="BA148" s="3331">
        <v>0</v>
      </c>
      <c r="BB148" s="3331">
        <v>0</v>
      </c>
      <c r="BC148" s="3331">
        <v>53279.5</v>
      </c>
      <c r="BD148" s="3331">
        <v>55253</v>
      </c>
      <c r="BE148" s="3331">
        <v>41</v>
      </c>
      <c r="BF148" s="3331">
        <v>21</v>
      </c>
      <c r="BG148" s="3331">
        <v>11</v>
      </c>
      <c r="BH148" s="3331">
        <v>0</v>
      </c>
      <c r="BI148" s="3331">
        <v>11</v>
      </c>
      <c r="BJ148" s="3331">
        <v>0</v>
      </c>
      <c r="BK148" s="3331">
        <v>0</v>
      </c>
      <c r="BL148" s="3331">
        <v>0</v>
      </c>
      <c r="BM148" s="3331">
        <v>0</v>
      </c>
      <c r="BN148" s="3331">
        <v>0</v>
      </c>
      <c r="BO148" s="3331">
        <v>22</v>
      </c>
      <c r="BP148" s="3331">
        <v>85</v>
      </c>
      <c r="BQ148" s="3379">
        <v>41863</v>
      </c>
      <c r="BR148" s="3331">
        <v>11416.5</v>
      </c>
      <c r="BS148" s="3331">
        <v>0</v>
      </c>
      <c r="BT148" s="3331">
        <v>0</v>
      </c>
      <c r="BU148" s="3331">
        <v>0</v>
      </c>
      <c r="BV148" s="3331">
        <v>0</v>
      </c>
      <c r="BW148" s="3331">
        <v>0</v>
      </c>
      <c r="BX148" s="3331">
        <v>0</v>
      </c>
      <c r="BY148" s="3331">
        <v>0</v>
      </c>
      <c r="BZ148" s="3331">
        <v>0</v>
      </c>
      <c r="CA148" s="3331">
        <v>-16140</v>
      </c>
      <c r="CB148" s="3345">
        <v>0</v>
      </c>
      <c r="CC148" s="3346">
        <v>37139.5</v>
      </c>
      <c r="CD148" s="3346">
        <v>11416.5</v>
      </c>
      <c r="CE148" s="3346">
        <v>41</v>
      </c>
      <c r="CF148" s="3346">
        <v>21</v>
      </c>
      <c r="CG148" s="3346">
        <v>11</v>
      </c>
      <c r="CH148" s="3346">
        <v>0</v>
      </c>
      <c r="CI148" s="3346">
        <v>11</v>
      </c>
      <c r="CJ148" s="3346">
        <v>0</v>
      </c>
      <c r="CK148" s="3346">
        <v>0</v>
      </c>
      <c r="CL148" s="3346">
        <v>0</v>
      </c>
      <c r="CM148" s="3345">
        <v>0</v>
      </c>
    </row>
    <row r="149" spans="1:91">
      <c r="A149" s="3313"/>
      <c r="B149" s="2551" t="str">
        <f t="shared" si="2"/>
        <v>3039860013</v>
      </c>
      <c r="C149" s="2492" t="s">
        <v>710</v>
      </c>
      <c r="D149" s="2026">
        <v>3986</v>
      </c>
      <c r="E149" s="2026">
        <v>13</v>
      </c>
      <c r="F149" s="2027">
        <v>2750</v>
      </c>
      <c r="G149" s="2497" t="s">
        <v>1079</v>
      </c>
      <c r="H149" s="2026" t="s">
        <v>1584</v>
      </c>
      <c r="I149" s="2028">
        <v>1.25</v>
      </c>
      <c r="J149" s="2500">
        <v>0</v>
      </c>
      <c r="K149" s="2500">
        <v>0</v>
      </c>
      <c r="L149" s="2500">
        <v>0</v>
      </c>
      <c r="M149" s="2500">
        <v>3680</v>
      </c>
      <c r="N149" s="2029">
        <v>0</v>
      </c>
      <c r="O149" s="2030" t="s">
        <v>1634</v>
      </c>
      <c r="P149" s="3341"/>
      <c r="Q149" s="3340"/>
      <c r="R149" s="3340"/>
      <c r="S149" s="3340"/>
      <c r="T149" s="3340"/>
      <c r="U149" s="3340"/>
      <c r="V149" s="3340"/>
      <c r="W149" s="3340"/>
      <c r="X149" s="3340"/>
      <c r="Y149" s="3340"/>
      <c r="Z149" s="3340"/>
      <c r="AA149" s="3340"/>
      <c r="AB149" s="3340"/>
      <c r="AC149" s="3340"/>
      <c r="AD149" s="3340"/>
      <c r="AE149" s="3340"/>
      <c r="AF149" s="3340"/>
      <c r="AG149" s="3340"/>
      <c r="AH149" s="3340"/>
      <c r="AI149" s="3340"/>
      <c r="AJ149" s="3340"/>
      <c r="AK149" s="3340"/>
      <c r="AL149" s="3340"/>
      <c r="AM149" s="3343"/>
      <c r="AN149" s="3278"/>
      <c r="AO149" s="3280"/>
      <c r="AP149" s="3274"/>
      <c r="AQ149" s="3274"/>
      <c r="AR149" s="3340"/>
      <c r="AS149" s="3340"/>
      <c r="AT149" s="3340"/>
      <c r="AU149" s="3340"/>
      <c r="AV149" s="3340"/>
      <c r="AW149" s="3340"/>
      <c r="AX149" s="3340"/>
      <c r="AY149" s="3340"/>
      <c r="AZ149" s="3340"/>
      <c r="BA149" s="3340"/>
      <c r="BB149" s="3340"/>
      <c r="BC149" s="3340"/>
      <c r="BD149" s="3340"/>
      <c r="BE149" s="3340"/>
      <c r="BF149" s="3340"/>
      <c r="BG149" s="3340"/>
      <c r="BH149" s="3340"/>
      <c r="BI149" s="3340"/>
      <c r="BJ149" s="3340"/>
      <c r="BK149" s="3340"/>
      <c r="BL149" s="3340"/>
      <c r="BM149" s="3340"/>
      <c r="BN149" s="3340"/>
      <c r="BO149" s="3340"/>
      <c r="BP149" s="3340"/>
      <c r="BQ149" s="3387"/>
      <c r="BR149" s="3385"/>
      <c r="BS149" s="3385"/>
      <c r="BT149" s="3385"/>
      <c r="BU149" s="3385"/>
      <c r="BV149" s="3385"/>
      <c r="BW149" s="3385"/>
      <c r="BX149" s="3385"/>
      <c r="BY149" s="3385"/>
      <c r="BZ149" s="3385"/>
      <c r="CA149" s="3385"/>
      <c r="CB149" s="3386"/>
      <c r="CC149" s="3384"/>
      <c r="CD149" s="3384"/>
      <c r="CE149" s="3384"/>
      <c r="CF149" s="3384"/>
      <c r="CG149" s="3384"/>
      <c r="CH149" s="3384"/>
      <c r="CI149" s="3384"/>
      <c r="CJ149" s="3384"/>
      <c r="CK149" s="3384"/>
      <c r="CL149" s="3384"/>
      <c r="CM149" s="3386"/>
    </row>
    <row r="150" spans="1:91" ht="15.75" thickBot="1">
      <c r="A150" s="3283"/>
      <c r="B150" s="2551" t="str">
        <f t="shared" si="2"/>
        <v>3039860014</v>
      </c>
      <c r="C150" s="2493" t="s">
        <v>721</v>
      </c>
      <c r="D150" s="2018">
        <v>3986</v>
      </c>
      <c r="E150" s="2018">
        <v>14</v>
      </c>
      <c r="F150" s="2019">
        <v>7750</v>
      </c>
      <c r="G150" s="2498" t="s">
        <v>1079</v>
      </c>
      <c r="H150" s="2018" t="s">
        <v>1584</v>
      </c>
      <c r="I150" s="2020">
        <v>1.25</v>
      </c>
      <c r="J150" s="2501">
        <v>0</v>
      </c>
      <c r="K150" s="2501">
        <v>0</v>
      </c>
      <c r="L150" s="2501">
        <v>0</v>
      </c>
      <c r="M150" s="2501">
        <v>6000</v>
      </c>
      <c r="N150" s="2508">
        <v>0</v>
      </c>
      <c r="O150" s="2031" t="s">
        <v>1634</v>
      </c>
      <c r="P150" s="3342"/>
      <c r="Q150" s="3332"/>
      <c r="R150" s="3332"/>
      <c r="S150" s="3332"/>
      <c r="T150" s="3332"/>
      <c r="U150" s="3332"/>
      <c r="V150" s="3332"/>
      <c r="W150" s="3332"/>
      <c r="X150" s="3332"/>
      <c r="Y150" s="3332"/>
      <c r="Z150" s="3332"/>
      <c r="AA150" s="3332"/>
      <c r="AB150" s="3332"/>
      <c r="AC150" s="3332"/>
      <c r="AD150" s="3332"/>
      <c r="AE150" s="3332"/>
      <c r="AF150" s="3332"/>
      <c r="AG150" s="3332"/>
      <c r="AH150" s="3332"/>
      <c r="AI150" s="3332"/>
      <c r="AJ150" s="3332"/>
      <c r="AK150" s="3332"/>
      <c r="AL150" s="3332"/>
      <c r="AM150" s="3344"/>
      <c r="AN150" s="3338"/>
      <c r="AO150" s="3339"/>
      <c r="AP150" s="3361"/>
      <c r="AQ150" s="3361"/>
      <c r="AR150" s="3332"/>
      <c r="AS150" s="3332"/>
      <c r="AT150" s="3332"/>
      <c r="AU150" s="3332"/>
      <c r="AV150" s="3332"/>
      <c r="AW150" s="3332"/>
      <c r="AX150" s="3332"/>
      <c r="AY150" s="3332"/>
      <c r="AZ150" s="3332"/>
      <c r="BA150" s="3332"/>
      <c r="BB150" s="3332"/>
      <c r="BC150" s="3332"/>
      <c r="BD150" s="3332"/>
      <c r="BE150" s="3332"/>
      <c r="BF150" s="3332"/>
      <c r="BG150" s="3332"/>
      <c r="BH150" s="3332"/>
      <c r="BI150" s="3332"/>
      <c r="BJ150" s="3332"/>
      <c r="BK150" s="3332"/>
      <c r="BL150" s="3332"/>
      <c r="BM150" s="3332"/>
      <c r="BN150" s="3332"/>
      <c r="BO150" s="3332"/>
      <c r="BP150" s="3332"/>
      <c r="BQ150" s="3357"/>
      <c r="BR150" s="3375"/>
      <c r="BS150" s="3375"/>
      <c r="BT150" s="3375"/>
      <c r="BU150" s="3375"/>
      <c r="BV150" s="3375"/>
      <c r="BW150" s="3375"/>
      <c r="BX150" s="3375"/>
      <c r="BY150" s="3375"/>
      <c r="BZ150" s="3375"/>
      <c r="CA150" s="3375"/>
      <c r="CB150" s="3371"/>
      <c r="CC150" s="3373"/>
      <c r="CD150" s="3373"/>
      <c r="CE150" s="3373"/>
      <c r="CF150" s="3373"/>
      <c r="CG150" s="3373"/>
      <c r="CH150" s="3373"/>
      <c r="CI150" s="3373"/>
      <c r="CJ150" s="3373"/>
      <c r="CK150" s="3373"/>
      <c r="CL150" s="3373"/>
      <c r="CM150" s="3371"/>
    </row>
    <row r="151" spans="1:91">
      <c r="A151" s="3312">
        <v>54</v>
      </c>
      <c r="B151" s="2551" t="str">
        <f t="shared" si="2"/>
        <v>3039890009</v>
      </c>
      <c r="C151" s="2022" t="s">
        <v>703</v>
      </c>
      <c r="D151" s="2023">
        <v>3989</v>
      </c>
      <c r="E151" s="2023">
        <v>9</v>
      </c>
      <c r="F151" s="2506">
        <v>2500</v>
      </c>
      <c r="G151" s="2507" t="s">
        <v>947</v>
      </c>
      <c r="H151" s="2023" t="s">
        <v>1560</v>
      </c>
      <c r="I151" s="2024">
        <v>1</v>
      </c>
      <c r="J151" s="2505">
        <v>0</v>
      </c>
      <c r="K151" s="2505">
        <v>0</v>
      </c>
      <c r="L151" s="2505">
        <v>0</v>
      </c>
      <c r="M151" s="2505">
        <v>1900</v>
      </c>
      <c r="N151" s="2025">
        <v>2</v>
      </c>
      <c r="O151" s="2525" t="s">
        <v>1578</v>
      </c>
      <c r="P151" s="3346">
        <v>7300</v>
      </c>
      <c r="Q151" s="3331">
        <v>850</v>
      </c>
      <c r="R151" s="3331">
        <v>0</v>
      </c>
      <c r="S151" s="3331">
        <v>0</v>
      </c>
      <c r="T151" s="3331">
        <v>980</v>
      </c>
      <c r="U151" s="3331">
        <v>0</v>
      </c>
      <c r="V151" s="3331">
        <v>0</v>
      </c>
      <c r="W151" s="3331">
        <v>0</v>
      </c>
      <c r="X151" s="3331">
        <v>0</v>
      </c>
      <c r="Y151" s="3331">
        <v>0</v>
      </c>
      <c r="Z151" s="3331">
        <v>0</v>
      </c>
      <c r="AA151" s="3331">
        <v>0</v>
      </c>
      <c r="AB151" s="3331">
        <v>9130</v>
      </c>
      <c r="AC151" s="3331">
        <v>9130</v>
      </c>
      <c r="AD151" s="3331">
        <v>6</v>
      </c>
      <c r="AE151" s="3331">
        <v>0</v>
      </c>
      <c r="AF151" s="3331">
        <v>6</v>
      </c>
      <c r="AG151" s="3331">
        <v>0</v>
      </c>
      <c r="AH151" s="3331">
        <v>0</v>
      </c>
      <c r="AI151" s="3331">
        <v>0</v>
      </c>
      <c r="AJ151" s="3331">
        <v>0</v>
      </c>
      <c r="AK151" s="3331">
        <v>0</v>
      </c>
      <c r="AL151" s="3331">
        <v>6</v>
      </c>
      <c r="AM151" s="3345">
        <v>35</v>
      </c>
      <c r="AN151" s="3277" t="s">
        <v>1585</v>
      </c>
      <c r="AO151" s="3279" t="s">
        <v>706</v>
      </c>
      <c r="AP151" s="3265" t="s">
        <v>1599</v>
      </c>
      <c r="AQ151" s="3265">
        <v>44550</v>
      </c>
      <c r="AR151" s="3331">
        <v>11250</v>
      </c>
      <c r="AS151" s="3331">
        <v>0</v>
      </c>
      <c r="AT151" s="3331">
        <v>0</v>
      </c>
      <c r="AU151" s="3331">
        <v>0</v>
      </c>
      <c r="AV151" s="3331">
        <v>0</v>
      </c>
      <c r="AW151" s="3331">
        <v>0</v>
      </c>
      <c r="AX151" s="3331">
        <v>0</v>
      </c>
      <c r="AY151" s="3331">
        <v>0</v>
      </c>
      <c r="AZ151" s="3331">
        <v>0</v>
      </c>
      <c r="BA151" s="3331">
        <v>0</v>
      </c>
      <c r="BB151" s="3331">
        <v>0</v>
      </c>
      <c r="BC151" s="3331">
        <v>55800</v>
      </c>
      <c r="BD151" s="3331">
        <v>58050</v>
      </c>
      <c r="BE151" s="3331">
        <v>44</v>
      </c>
      <c r="BF151" s="3331">
        <v>22</v>
      </c>
      <c r="BG151" s="3331">
        <v>11</v>
      </c>
      <c r="BH151" s="3331">
        <v>0</v>
      </c>
      <c r="BI151" s="3331">
        <v>11</v>
      </c>
      <c r="BJ151" s="3331">
        <v>0</v>
      </c>
      <c r="BK151" s="3331">
        <v>0</v>
      </c>
      <c r="BL151" s="3331">
        <v>0</v>
      </c>
      <c r="BM151" s="3331">
        <v>0</v>
      </c>
      <c r="BN151" s="3331">
        <v>0</v>
      </c>
      <c r="BO151" s="3331">
        <v>22</v>
      </c>
      <c r="BP151" s="3331">
        <v>85</v>
      </c>
      <c r="BQ151" s="3388">
        <v>37250</v>
      </c>
      <c r="BR151" s="3340">
        <v>10400</v>
      </c>
      <c r="BS151" s="3340">
        <v>0</v>
      </c>
      <c r="BT151" s="3340">
        <v>0</v>
      </c>
      <c r="BU151" s="3340">
        <v>-980</v>
      </c>
      <c r="BV151" s="3340">
        <v>0</v>
      </c>
      <c r="BW151" s="3340">
        <v>0</v>
      </c>
      <c r="BX151" s="3340">
        <v>0</v>
      </c>
      <c r="BY151" s="3340">
        <v>0</v>
      </c>
      <c r="BZ151" s="3340">
        <v>0</v>
      </c>
      <c r="CA151" s="3340">
        <v>0</v>
      </c>
      <c r="CB151" s="3343">
        <v>0</v>
      </c>
      <c r="CC151" s="3341">
        <v>46670</v>
      </c>
      <c r="CD151" s="3341">
        <v>9420</v>
      </c>
      <c r="CE151" s="3341">
        <v>38</v>
      </c>
      <c r="CF151" s="3341">
        <v>22</v>
      </c>
      <c r="CG151" s="3341">
        <v>11</v>
      </c>
      <c r="CH151" s="3341">
        <v>0</v>
      </c>
      <c r="CI151" s="3346">
        <v>5</v>
      </c>
      <c r="CJ151" s="3346">
        <v>0</v>
      </c>
      <c r="CK151" s="3346">
        <v>0</v>
      </c>
      <c r="CL151" s="3346">
        <v>0</v>
      </c>
      <c r="CM151" s="3345">
        <v>0</v>
      </c>
    </row>
    <row r="152" spans="1:91">
      <c r="A152" s="3313"/>
      <c r="B152" s="2551" t="str">
        <f t="shared" si="2"/>
        <v>3039890010</v>
      </c>
      <c r="C152" s="2492" t="s">
        <v>710</v>
      </c>
      <c r="D152" s="2026">
        <v>3989</v>
      </c>
      <c r="E152" s="2026">
        <v>10</v>
      </c>
      <c r="F152" s="2027">
        <v>2250</v>
      </c>
      <c r="G152" s="2497" t="s">
        <v>947</v>
      </c>
      <c r="H152" s="2026" t="s">
        <v>1560</v>
      </c>
      <c r="I152" s="2028">
        <v>1</v>
      </c>
      <c r="J152" s="2500">
        <v>850</v>
      </c>
      <c r="K152" s="2500">
        <v>0</v>
      </c>
      <c r="L152" s="2500">
        <v>0</v>
      </c>
      <c r="M152" s="2500">
        <v>6250</v>
      </c>
      <c r="N152" s="2029">
        <v>5</v>
      </c>
      <c r="O152" s="2030" t="s">
        <v>1602</v>
      </c>
      <c r="P152" s="3341"/>
      <c r="Q152" s="3340"/>
      <c r="R152" s="3340"/>
      <c r="S152" s="3340"/>
      <c r="T152" s="3340"/>
      <c r="U152" s="3340"/>
      <c r="V152" s="3340"/>
      <c r="W152" s="3340"/>
      <c r="X152" s="3340"/>
      <c r="Y152" s="3340"/>
      <c r="Z152" s="3340"/>
      <c r="AA152" s="3340"/>
      <c r="AB152" s="3340"/>
      <c r="AC152" s="3340"/>
      <c r="AD152" s="3340"/>
      <c r="AE152" s="3340"/>
      <c r="AF152" s="3340"/>
      <c r="AG152" s="3340"/>
      <c r="AH152" s="3340"/>
      <c r="AI152" s="3340"/>
      <c r="AJ152" s="3340"/>
      <c r="AK152" s="3340"/>
      <c r="AL152" s="3340"/>
      <c r="AM152" s="3343"/>
      <c r="AN152" s="3278"/>
      <c r="AO152" s="3280"/>
      <c r="AP152" s="3274"/>
      <c r="AQ152" s="3274"/>
      <c r="AR152" s="3340"/>
      <c r="AS152" s="3340"/>
      <c r="AT152" s="3340"/>
      <c r="AU152" s="3340"/>
      <c r="AV152" s="3340"/>
      <c r="AW152" s="3340"/>
      <c r="AX152" s="3340"/>
      <c r="AY152" s="3340"/>
      <c r="AZ152" s="3340"/>
      <c r="BA152" s="3340"/>
      <c r="BB152" s="3340"/>
      <c r="BC152" s="3340"/>
      <c r="BD152" s="3340"/>
      <c r="BE152" s="3340"/>
      <c r="BF152" s="3340"/>
      <c r="BG152" s="3340"/>
      <c r="BH152" s="3340"/>
      <c r="BI152" s="3340"/>
      <c r="BJ152" s="3340"/>
      <c r="BK152" s="3340"/>
      <c r="BL152" s="3340"/>
      <c r="BM152" s="3340"/>
      <c r="BN152" s="3340"/>
      <c r="BO152" s="3340"/>
      <c r="BP152" s="3340"/>
      <c r="BQ152" s="3387"/>
      <c r="BR152" s="3385"/>
      <c r="BS152" s="3385"/>
      <c r="BT152" s="3385"/>
      <c r="BU152" s="3385"/>
      <c r="BV152" s="3385"/>
      <c r="BW152" s="3385"/>
      <c r="BX152" s="3385"/>
      <c r="BY152" s="3385"/>
      <c r="BZ152" s="3385"/>
      <c r="CA152" s="3385"/>
      <c r="CB152" s="3386"/>
      <c r="CC152" s="3384"/>
      <c r="CD152" s="3384"/>
      <c r="CE152" s="3384"/>
      <c r="CF152" s="3384"/>
      <c r="CG152" s="3384"/>
      <c r="CH152" s="3384"/>
      <c r="CI152" s="3384"/>
      <c r="CJ152" s="3384"/>
      <c r="CK152" s="3384"/>
      <c r="CL152" s="3384"/>
      <c r="CM152" s="3386"/>
    </row>
    <row r="153" spans="1:91">
      <c r="A153" s="3313"/>
      <c r="B153" s="2551" t="str">
        <f t="shared" si="2"/>
        <v>3039890012</v>
      </c>
      <c r="C153" s="2492" t="s">
        <v>721</v>
      </c>
      <c r="D153" s="2026">
        <v>3989</v>
      </c>
      <c r="E153" s="2026">
        <v>12</v>
      </c>
      <c r="F153" s="2027">
        <v>4500</v>
      </c>
      <c r="G153" s="2497" t="s">
        <v>947</v>
      </c>
      <c r="H153" s="2026" t="s">
        <v>1560</v>
      </c>
      <c r="I153" s="2028">
        <v>1</v>
      </c>
      <c r="J153" s="2500">
        <v>0</v>
      </c>
      <c r="K153" s="2500">
        <v>980</v>
      </c>
      <c r="L153" s="2500">
        <v>0</v>
      </c>
      <c r="M153" s="2500">
        <v>980</v>
      </c>
      <c r="N153" s="2029">
        <v>0</v>
      </c>
      <c r="O153" s="2030" t="s">
        <v>1572</v>
      </c>
      <c r="P153" s="3341"/>
      <c r="Q153" s="3340"/>
      <c r="R153" s="3340"/>
      <c r="S153" s="3340"/>
      <c r="T153" s="3340"/>
      <c r="U153" s="3340"/>
      <c r="V153" s="3340"/>
      <c r="W153" s="3340"/>
      <c r="X153" s="3340"/>
      <c r="Y153" s="3340"/>
      <c r="Z153" s="3340"/>
      <c r="AA153" s="3340"/>
      <c r="AB153" s="3340"/>
      <c r="AC153" s="3340"/>
      <c r="AD153" s="3340"/>
      <c r="AE153" s="3340"/>
      <c r="AF153" s="3340"/>
      <c r="AG153" s="3340"/>
      <c r="AH153" s="3340"/>
      <c r="AI153" s="3340"/>
      <c r="AJ153" s="3340"/>
      <c r="AK153" s="3340"/>
      <c r="AL153" s="3340"/>
      <c r="AM153" s="3343"/>
      <c r="AN153" s="3278"/>
      <c r="AO153" s="3280"/>
      <c r="AP153" s="3274"/>
      <c r="AQ153" s="3274"/>
      <c r="AR153" s="3340"/>
      <c r="AS153" s="3340"/>
      <c r="AT153" s="3340"/>
      <c r="AU153" s="3340"/>
      <c r="AV153" s="3340"/>
      <c r="AW153" s="3340"/>
      <c r="AX153" s="3340"/>
      <c r="AY153" s="3340"/>
      <c r="AZ153" s="3340"/>
      <c r="BA153" s="3340"/>
      <c r="BB153" s="3340"/>
      <c r="BC153" s="3340"/>
      <c r="BD153" s="3340"/>
      <c r="BE153" s="3340"/>
      <c r="BF153" s="3340"/>
      <c r="BG153" s="3340"/>
      <c r="BH153" s="3340"/>
      <c r="BI153" s="3340"/>
      <c r="BJ153" s="3340"/>
      <c r="BK153" s="3340"/>
      <c r="BL153" s="3340"/>
      <c r="BM153" s="3340"/>
      <c r="BN153" s="3340"/>
      <c r="BO153" s="3340"/>
      <c r="BP153" s="3340"/>
      <c r="BQ153" s="3387"/>
      <c r="BR153" s="3385"/>
      <c r="BS153" s="3385"/>
      <c r="BT153" s="3385"/>
      <c r="BU153" s="3385"/>
      <c r="BV153" s="3385"/>
      <c r="BW153" s="3385"/>
      <c r="BX153" s="3385"/>
      <c r="BY153" s="3385"/>
      <c r="BZ153" s="3385"/>
      <c r="CA153" s="3385"/>
      <c r="CB153" s="3386"/>
      <c r="CC153" s="3384"/>
      <c r="CD153" s="3384"/>
      <c r="CE153" s="3384"/>
      <c r="CF153" s="3384"/>
      <c r="CG153" s="3384"/>
      <c r="CH153" s="3384"/>
      <c r="CI153" s="3384"/>
      <c r="CJ153" s="3384"/>
      <c r="CK153" s="3384"/>
      <c r="CL153" s="3384"/>
      <c r="CM153" s="3386"/>
    </row>
    <row r="154" spans="1:91">
      <c r="A154" s="3313"/>
      <c r="B154" s="2551" t="str">
        <f t="shared" si="2"/>
        <v>3039890014</v>
      </c>
      <c r="C154" s="2492" t="s">
        <v>724</v>
      </c>
      <c r="D154" s="2026">
        <v>3989</v>
      </c>
      <c r="E154" s="2026">
        <v>14</v>
      </c>
      <c r="F154" s="2027">
        <v>2250</v>
      </c>
      <c r="G154" s="2497" t="s">
        <v>947</v>
      </c>
      <c r="H154" s="2026" t="s">
        <v>1560</v>
      </c>
      <c r="I154" s="2028">
        <v>1</v>
      </c>
      <c r="J154" s="2500">
        <v>0</v>
      </c>
      <c r="K154" s="2500">
        <v>0</v>
      </c>
      <c r="L154" s="2500">
        <v>0</v>
      </c>
      <c r="M154" s="2500">
        <v>0</v>
      </c>
      <c r="N154" s="2029">
        <v>0</v>
      </c>
      <c r="O154" s="2030" t="s">
        <v>1572</v>
      </c>
      <c r="P154" s="3341"/>
      <c r="Q154" s="3340"/>
      <c r="R154" s="3340"/>
      <c r="S154" s="3340"/>
      <c r="T154" s="3340"/>
      <c r="U154" s="3340"/>
      <c r="V154" s="3340"/>
      <c r="W154" s="3340"/>
      <c r="X154" s="3340"/>
      <c r="Y154" s="3340"/>
      <c r="Z154" s="3340"/>
      <c r="AA154" s="3340"/>
      <c r="AB154" s="3340"/>
      <c r="AC154" s="3340"/>
      <c r="AD154" s="3340"/>
      <c r="AE154" s="3340"/>
      <c r="AF154" s="3340"/>
      <c r="AG154" s="3340"/>
      <c r="AH154" s="3340"/>
      <c r="AI154" s="3340"/>
      <c r="AJ154" s="3340"/>
      <c r="AK154" s="3340"/>
      <c r="AL154" s="3340"/>
      <c r="AM154" s="3343"/>
      <c r="AN154" s="3278"/>
      <c r="AO154" s="3280"/>
      <c r="AP154" s="3274"/>
      <c r="AQ154" s="3274"/>
      <c r="AR154" s="3340"/>
      <c r="AS154" s="3340"/>
      <c r="AT154" s="3340"/>
      <c r="AU154" s="3340"/>
      <c r="AV154" s="3340"/>
      <c r="AW154" s="3340"/>
      <c r="AX154" s="3340"/>
      <c r="AY154" s="3340"/>
      <c r="AZ154" s="3340"/>
      <c r="BA154" s="3340"/>
      <c r="BB154" s="3340"/>
      <c r="BC154" s="3340"/>
      <c r="BD154" s="3340"/>
      <c r="BE154" s="3340"/>
      <c r="BF154" s="3340"/>
      <c r="BG154" s="3340"/>
      <c r="BH154" s="3340"/>
      <c r="BI154" s="3340"/>
      <c r="BJ154" s="3340"/>
      <c r="BK154" s="3340"/>
      <c r="BL154" s="3340"/>
      <c r="BM154" s="3340"/>
      <c r="BN154" s="3340"/>
      <c r="BO154" s="3340"/>
      <c r="BP154" s="3340"/>
      <c r="BQ154" s="3387"/>
      <c r="BR154" s="3385"/>
      <c r="BS154" s="3385"/>
      <c r="BT154" s="3385"/>
      <c r="BU154" s="3385"/>
      <c r="BV154" s="3385"/>
      <c r="BW154" s="3385"/>
      <c r="BX154" s="3385"/>
      <c r="BY154" s="3385"/>
      <c r="BZ154" s="3385"/>
      <c r="CA154" s="3385"/>
      <c r="CB154" s="3386"/>
      <c r="CC154" s="3384"/>
      <c r="CD154" s="3384"/>
      <c r="CE154" s="3384"/>
      <c r="CF154" s="3384"/>
      <c r="CG154" s="3384"/>
      <c r="CH154" s="3384"/>
      <c r="CI154" s="3384"/>
      <c r="CJ154" s="3384"/>
      <c r="CK154" s="3384"/>
      <c r="CL154" s="3384"/>
      <c r="CM154" s="3386"/>
    </row>
    <row r="155" spans="1:91" ht="15.75" thickBot="1">
      <c r="A155" s="3283"/>
      <c r="B155" s="2551" t="str">
        <f t="shared" si="2"/>
        <v>3039890016</v>
      </c>
      <c r="C155" s="2493" t="s">
        <v>746</v>
      </c>
      <c r="D155" s="2018">
        <v>3989</v>
      </c>
      <c r="E155" s="2018">
        <v>16</v>
      </c>
      <c r="F155" s="2019">
        <v>4000</v>
      </c>
      <c r="G155" s="2498" t="s">
        <v>947</v>
      </c>
      <c r="H155" s="2018" t="s">
        <v>1560</v>
      </c>
      <c r="I155" s="2020">
        <v>1</v>
      </c>
      <c r="J155" s="2501">
        <v>0</v>
      </c>
      <c r="K155" s="2501">
        <v>0</v>
      </c>
      <c r="L155" s="2501">
        <v>0</v>
      </c>
      <c r="M155" s="2501">
        <v>0</v>
      </c>
      <c r="N155" s="2508">
        <v>0</v>
      </c>
      <c r="O155" s="2031" t="s">
        <v>1611</v>
      </c>
      <c r="P155" s="3342"/>
      <c r="Q155" s="3332"/>
      <c r="R155" s="3332"/>
      <c r="S155" s="3332"/>
      <c r="T155" s="3332"/>
      <c r="U155" s="3332"/>
      <c r="V155" s="3332"/>
      <c r="W155" s="3332"/>
      <c r="X155" s="3332"/>
      <c r="Y155" s="3332"/>
      <c r="Z155" s="3332"/>
      <c r="AA155" s="3332"/>
      <c r="AB155" s="3332"/>
      <c r="AC155" s="3332"/>
      <c r="AD155" s="3332"/>
      <c r="AE155" s="3332"/>
      <c r="AF155" s="3332"/>
      <c r="AG155" s="3332"/>
      <c r="AH155" s="3332"/>
      <c r="AI155" s="3332"/>
      <c r="AJ155" s="3332"/>
      <c r="AK155" s="3332"/>
      <c r="AL155" s="3332"/>
      <c r="AM155" s="3344"/>
      <c r="AN155" s="3338"/>
      <c r="AO155" s="3339"/>
      <c r="AP155" s="3361"/>
      <c r="AQ155" s="3361"/>
      <c r="AR155" s="3332"/>
      <c r="AS155" s="3332"/>
      <c r="AT155" s="3332"/>
      <c r="AU155" s="3332"/>
      <c r="AV155" s="3332"/>
      <c r="AW155" s="3332"/>
      <c r="AX155" s="3332"/>
      <c r="AY155" s="3332"/>
      <c r="AZ155" s="3332"/>
      <c r="BA155" s="3332"/>
      <c r="BB155" s="3332"/>
      <c r="BC155" s="3332"/>
      <c r="BD155" s="3332"/>
      <c r="BE155" s="3332"/>
      <c r="BF155" s="3332"/>
      <c r="BG155" s="3332"/>
      <c r="BH155" s="3332"/>
      <c r="BI155" s="3332"/>
      <c r="BJ155" s="3332"/>
      <c r="BK155" s="3332"/>
      <c r="BL155" s="3332"/>
      <c r="BM155" s="3332"/>
      <c r="BN155" s="3332"/>
      <c r="BO155" s="3332"/>
      <c r="BP155" s="3332"/>
      <c r="BQ155" s="3357"/>
      <c r="BR155" s="3375"/>
      <c r="BS155" s="3375"/>
      <c r="BT155" s="3375"/>
      <c r="BU155" s="3375"/>
      <c r="BV155" s="3375"/>
      <c r="BW155" s="3375"/>
      <c r="BX155" s="3375"/>
      <c r="BY155" s="3375"/>
      <c r="BZ155" s="3375"/>
      <c r="CA155" s="3375"/>
      <c r="CB155" s="3371"/>
      <c r="CC155" s="3373"/>
      <c r="CD155" s="3373"/>
      <c r="CE155" s="3373"/>
      <c r="CF155" s="3373"/>
      <c r="CG155" s="3373"/>
      <c r="CH155" s="3373"/>
      <c r="CI155" s="3373"/>
      <c r="CJ155" s="3373"/>
      <c r="CK155" s="3373"/>
      <c r="CL155" s="3373"/>
      <c r="CM155" s="3371"/>
    </row>
    <row r="156" spans="1:91" ht="15.75" thickBot="1">
      <c r="A156" s="2451">
        <v>55</v>
      </c>
      <c r="B156" s="2551" t="str">
        <f t="shared" si="2"/>
        <v>3039910008</v>
      </c>
      <c r="C156" s="2466" t="s">
        <v>703</v>
      </c>
      <c r="D156" s="2462">
        <v>3991</v>
      </c>
      <c r="E156" s="2462">
        <v>8</v>
      </c>
      <c r="F156" s="2461">
        <v>33000</v>
      </c>
      <c r="G156" s="2445" t="s">
        <v>947</v>
      </c>
      <c r="H156" s="2462" t="s">
        <v>1560</v>
      </c>
      <c r="I156" s="2463">
        <v>1</v>
      </c>
      <c r="J156" s="2448">
        <v>0</v>
      </c>
      <c r="K156" s="2448">
        <v>8540</v>
      </c>
      <c r="L156" s="2448">
        <v>0</v>
      </c>
      <c r="M156" s="2448">
        <v>8540</v>
      </c>
      <c r="N156" s="2438">
        <v>0</v>
      </c>
      <c r="O156" s="2525" t="s">
        <v>1635</v>
      </c>
      <c r="P156" s="2450">
        <v>0</v>
      </c>
      <c r="Q156" s="2448">
        <v>0</v>
      </c>
      <c r="R156" s="2448">
        <v>0</v>
      </c>
      <c r="S156" s="2448">
        <v>0</v>
      </c>
      <c r="T156" s="2448">
        <v>8540</v>
      </c>
      <c r="U156" s="2448">
        <v>0</v>
      </c>
      <c r="V156" s="2448">
        <v>0</v>
      </c>
      <c r="W156" s="2448">
        <v>0</v>
      </c>
      <c r="X156" s="2448">
        <v>0</v>
      </c>
      <c r="Y156" s="2448">
        <v>0</v>
      </c>
      <c r="Z156" s="2448">
        <v>0</v>
      </c>
      <c r="AA156" s="2448">
        <v>0</v>
      </c>
      <c r="AB156" s="2448">
        <v>8540</v>
      </c>
      <c r="AC156" s="2448">
        <v>8540</v>
      </c>
      <c r="AD156" s="2448">
        <v>0</v>
      </c>
      <c r="AE156" s="2448">
        <v>0</v>
      </c>
      <c r="AF156" s="2448">
        <v>28</v>
      </c>
      <c r="AG156" s="2448">
        <v>0</v>
      </c>
      <c r="AH156" s="2448">
        <v>0</v>
      </c>
      <c r="AI156" s="2448">
        <v>0</v>
      </c>
      <c r="AJ156" s="2448">
        <v>0</v>
      </c>
      <c r="AK156" s="2448">
        <v>0</v>
      </c>
      <c r="AL156" s="2448">
        <v>28</v>
      </c>
      <c r="AM156" s="2032">
        <v>15</v>
      </c>
      <c r="AN156" s="2033" t="s">
        <v>1585</v>
      </c>
      <c r="AO156" s="2445" t="s">
        <v>706</v>
      </c>
      <c r="AP156" s="2448" t="s">
        <v>1599</v>
      </c>
      <c r="AQ156" s="2448">
        <v>89100</v>
      </c>
      <c r="AR156" s="2448">
        <v>29700</v>
      </c>
      <c r="AS156" s="2448">
        <v>0</v>
      </c>
      <c r="AT156" s="2448">
        <v>0</v>
      </c>
      <c r="AU156" s="2448">
        <v>0</v>
      </c>
      <c r="AV156" s="2448">
        <v>0</v>
      </c>
      <c r="AW156" s="2448">
        <v>0</v>
      </c>
      <c r="AX156" s="2448">
        <v>0</v>
      </c>
      <c r="AY156" s="2448">
        <v>0</v>
      </c>
      <c r="AZ156" s="2448">
        <v>0</v>
      </c>
      <c r="BA156" s="2448">
        <v>0</v>
      </c>
      <c r="BB156" s="2448">
        <v>0</v>
      </c>
      <c r="BC156" s="2448">
        <v>118800</v>
      </c>
      <c r="BD156" s="2448">
        <v>122100</v>
      </c>
      <c r="BE156" s="2448">
        <v>89</v>
      </c>
      <c r="BF156" s="2448">
        <v>45</v>
      </c>
      <c r="BG156" s="2448">
        <v>23</v>
      </c>
      <c r="BH156" s="2448">
        <v>0</v>
      </c>
      <c r="BI156" s="2448">
        <v>30</v>
      </c>
      <c r="BJ156" s="2448">
        <v>0</v>
      </c>
      <c r="BK156" s="2448">
        <v>0</v>
      </c>
      <c r="BL156" s="2448">
        <v>0</v>
      </c>
      <c r="BM156" s="2448">
        <v>0</v>
      </c>
      <c r="BN156" s="2448">
        <v>0</v>
      </c>
      <c r="BO156" s="2448">
        <v>53</v>
      </c>
      <c r="BP156" s="2448">
        <v>85</v>
      </c>
      <c r="BQ156" s="2440">
        <v>89100</v>
      </c>
      <c r="BR156" s="2439">
        <v>29700</v>
      </c>
      <c r="BS156" s="2439">
        <v>0</v>
      </c>
      <c r="BT156" s="2439">
        <v>0</v>
      </c>
      <c r="BU156" s="2439">
        <v>-8540</v>
      </c>
      <c r="BV156" s="2439">
        <v>0</v>
      </c>
      <c r="BW156" s="2439">
        <v>0</v>
      </c>
      <c r="BX156" s="2439">
        <v>0</v>
      </c>
      <c r="BY156" s="2439">
        <v>0</v>
      </c>
      <c r="BZ156" s="2439">
        <v>0</v>
      </c>
      <c r="CA156" s="2439">
        <v>0</v>
      </c>
      <c r="CB156" s="2438">
        <v>0</v>
      </c>
      <c r="CC156" s="2437">
        <v>110260</v>
      </c>
      <c r="CD156" s="2437">
        <v>21160</v>
      </c>
      <c r="CE156" s="2437">
        <v>89</v>
      </c>
      <c r="CF156" s="2437">
        <v>45</v>
      </c>
      <c r="CG156" s="2437">
        <v>23</v>
      </c>
      <c r="CH156" s="2437">
        <v>0</v>
      </c>
      <c r="CI156" s="2042">
        <v>2</v>
      </c>
      <c r="CJ156" s="2042">
        <v>0</v>
      </c>
      <c r="CK156" s="2042">
        <v>0</v>
      </c>
      <c r="CL156" s="2042">
        <v>0</v>
      </c>
      <c r="CM156" s="2035">
        <v>0</v>
      </c>
    </row>
    <row r="157" spans="1:91">
      <c r="A157" s="3282">
        <v>56</v>
      </c>
      <c r="B157" s="2551" t="str">
        <f t="shared" si="2"/>
        <v>3039920015</v>
      </c>
      <c r="C157" s="2010" t="s">
        <v>703</v>
      </c>
      <c r="D157" s="2011">
        <v>3992</v>
      </c>
      <c r="E157" s="2011">
        <v>15</v>
      </c>
      <c r="F157" s="2494">
        <v>3585</v>
      </c>
      <c r="G157" s="2496" t="s">
        <v>1079</v>
      </c>
      <c r="H157" s="2011" t="s">
        <v>1584</v>
      </c>
      <c r="I157" s="2012">
        <v>1.25</v>
      </c>
      <c r="J157" s="2491">
        <v>0</v>
      </c>
      <c r="K157" s="2491">
        <v>0</v>
      </c>
      <c r="L157" s="2491">
        <v>0</v>
      </c>
      <c r="M157" s="2491">
        <v>0</v>
      </c>
      <c r="N157" s="2489">
        <v>0</v>
      </c>
      <c r="O157" s="2525" t="s">
        <v>1635</v>
      </c>
      <c r="P157" s="3346">
        <v>0</v>
      </c>
      <c r="Q157" s="3331">
        <v>0</v>
      </c>
      <c r="R157" s="3331">
        <v>0</v>
      </c>
      <c r="S157" s="3331">
        <v>0</v>
      </c>
      <c r="T157" s="3331">
        <v>1800</v>
      </c>
      <c r="U157" s="3331">
        <v>0</v>
      </c>
      <c r="V157" s="3331">
        <v>0</v>
      </c>
      <c r="W157" s="3331">
        <v>0</v>
      </c>
      <c r="X157" s="3331">
        <v>0</v>
      </c>
      <c r="Y157" s="3331">
        <v>0</v>
      </c>
      <c r="Z157" s="3331">
        <v>0</v>
      </c>
      <c r="AA157" s="3331">
        <v>0</v>
      </c>
      <c r="AB157" s="3331">
        <v>1800</v>
      </c>
      <c r="AC157" s="3331">
        <v>1800</v>
      </c>
      <c r="AD157" s="3331">
        <v>0</v>
      </c>
      <c r="AE157" s="3331">
        <v>0</v>
      </c>
      <c r="AF157" s="3331">
        <v>0</v>
      </c>
      <c r="AG157" s="3331">
        <v>0</v>
      </c>
      <c r="AH157" s="3331">
        <v>0</v>
      </c>
      <c r="AI157" s="3331">
        <v>0</v>
      </c>
      <c r="AJ157" s="3331">
        <v>0</v>
      </c>
      <c r="AK157" s="3331">
        <v>0</v>
      </c>
      <c r="AL157" s="3331">
        <v>0</v>
      </c>
      <c r="AM157" s="3345">
        <v>15</v>
      </c>
      <c r="AN157" s="3277" t="s">
        <v>1585</v>
      </c>
      <c r="AO157" s="3279" t="s">
        <v>706</v>
      </c>
      <c r="AP157" s="3265" t="s">
        <v>1599</v>
      </c>
      <c r="AQ157" s="3265">
        <v>37755</v>
      </c>
      <c r="AR157" s="3331">
        <v>7551</v>
      </c>
      <c r="AS157" s="3331">
        <v>0</v>
      </c>
      <c r="AT157" s="3331">
        <v>0</v>
      </c>
      <c r="AU157" s="3331">
        <v>0</v>
      </c>
      <c r="AV157" s="3331">
        <v>0</v>
      </c>
      <c r="AW157" s="3331">
        <v>0</v>
      </c>
      <c r="AX157" s="3331">
        <v>0</v>
      </c>
      <c r="AY157" s="3331">
        <v>0</v>
      </c>
      <c r="AZ157" s="3331">
        <v>0</v>
      </c>
      <c r="BA157" s="3331">
        <v>0</v>
      </c>
      <c r="BB157" s="3331">
        <v>0</v>
      </c>
      <c r="BC157" s="3331">
        <v>45306</v>
      </c>
      <c r="BD157" s="3331">
        <v>47543</v>
      </c>
      <c r="BE157" s="3331">
        <v>37</v>
      </c>
      <c r="BF157" s="3331">
        <v>19</v>
      </c>
      <c r="BG157" s="3331">
        <v>10</v>
      </c>
      <c r="BH157" s="3331">
        <v>0</v>
      </c>
      <c r="BI157" s="3331">
        <v>8</v>
      </c>
      <c r="BJ157" s="3331">
        <v>0</v>
      </c>
      <c r="BK157" s="3331">
        <v>0</v>
      </c>
      <c r="BL157" s="3331">
        <v>0</v>
      </c>
      <c r="BM157" s="3331">
        <v>0</v>
      </c>
      <c r="BN157" s="3331">
        <v>0</v>
      </c>
      <c r="BO157" s="3331">
        <v>18</v>
      </c>
      <c r="BP157" s="3331">
        <v>85</v>
      </c>
      <c r="BQ157" s="3379">
        <v>37755</v>
      </c>
      <c r="BR157" s="3331">
        <v>7551</v>
      </c>
      <c r="BS157" s="3331">
        <v>0</v>
      </c>
      <c r="BT157" s="3331">
        <v>0</v>
      </c>
      <c r="BU157" s="3331">
        <v>-1800</v>
      </c>
      <c r="BV157" s="3331">
        <v>0</v>
      </c>
      <c r="BW157" s="3331">
        <v>0</v>
      </c>
      <c r="BX157" s="3331">
        <v>0</v>
      </c>
      <c r="BY157" s="3331">
        <v>0</v>
      </c>
      <c r="BZ157" s="3331">
        <v>0</v>
      </c>
      <c r="CA157" s="3331">
        <v>0</v>
      </c>
      <c r="CB157" s="3345">
        <v>0</v>
      </c>
      <c r="CC157" s="3346">
        <v>43506</v>
      </c>
      <c r="CD157" s="3346">
        <v>5751</v>
      </c>
      <c r="CE157" s="3346">
        <v>37</v>
      </c>
      <c r="CF157" s="3346">
        <v>19</v>
      </c>
      <c r="CG157" s="3346">
        <v>10</v>
      </c>
      <c r="CH157" s="3346">
        <v>0</v>
      </c>
      <c r="CI157" s="3346">
        <v>8</v>
      </c>
      <c r="CJ157" s="3346">
        <v>0</v>
      </c>
      <c r="CK157" s="3346">
        <v>0</v>
      </c>
      <c r="CL157" s="3346">
        <v>0</v>
      </c>
      <c r="CM157" s="3345">
        <v>0</v>
      </c>
    </row>
    <row r="158" spans="1:91">
      <c r="A158" s="3313"/>
      <c r="B158" s="2551" t="str">
        <f t="shared" si="2"/>
        <v>3039920017</v>
      </c>
      <c r="C158" s="2492" t="s">
        <v>710</v>
      </c>
      <c r="D158" s="2026">
        <v>3992</v>
      </c>
      <c r="E158" s="2026">
        <v>17</v>
      </c>
      <c r="F158" s="2027">
        <v>1800</v>
      </c>
      <c r="G158" s="2497" t="s">
        <v>1079</v>
      </c>
      <c r="H158" s="2026" t="s">
        <v>1584</v>
      </c>
      <c r="I158" s="2028">
        <v>1.25</v>
      </c>
      <c r="J158" s="2500">
        <v>0</v>
      </c>
      <c r="K158" s="2500">
        <v>0</v>
      </c>
      <c r="L158" s="2500">
        <v>0</v>
      </c>
      <c r="M158" s="2500">
        <v>0</v>
      </c>
      <c r="N158" s="2029">
        <v>0</v>
      </c>
      <c r="O158" s="2030" t="s">
        <v>1635</v>
      </c>
      <c r="P158" s="3341"/>
      <c r="Q158" s="3340"/>
      <c r="R158" s="3340"/>
      <c r="S158" s="3340"/>
      <c r="T158" s="3340"/>
      <c r="U158" s="3340"/>
      <c r="V158" s="3340"/>
      <c r="W158" s="3340"/>
      <c r="X158" s="3340"/>
      <c r="Y158" s="3340"/>
      <c r="Z158" s="3340"/>
      <c r="AA158" s="3340"/>
      <c r="AB158" s="3340"/>
      <c r="AC158" s="3340"/>
      <c r="AD158" s="3340"/>
      <c r="AE158" s="3340"/>
      <c r="AF158" s="3340"/>
      <c r="AG158" s="3340"/>
      <c r="AH158" s="3340"/>
      <c r="AI158" s="3340"/>
      <c r="AJ158" s="3340"/>
      <c r="AK158" s="3340"/>
      <c r="AL158" s="3340"/>
      <c r="AM158" s="3343"/>
      <c r="AN158" s="3278"/>
      <c r="AO158" s="3280"/>
      <c r="AP158" s="3274"/>
      <c r="AQ158" s="3274"/>
      <c r="AR158" s="3340"/>
      <c r="AS158" s="3340"/>
      <c r="AT158" s="3340"/>
      <c r="AU158" s="3340"/>
      <c r="AV158" s="3340"/>
      <c r="AW158" s="3340"/>
      <c r="AX158" s="3340"/>
      <c r="AY158" s="3340"/>
      <c r="AZ158" s="3340"/>
      <c r="BA158" s="3340"/>
      <c r="BB158" s="3340"/>
      <c r="BC158" s="3340"/>
      <c r="BD158" s="3340"/>
      <c r="BE158" s="3340"/>
      <c r="BF158" s="3340"/>
      <c r="BG158" s="3340"/>
      <c r="BH158" s="3340"/>
      <c r="BI158" s="3340"/>
      <c r="BJ158" s="3340"/>
      <c r="BK158" s="3340"/>
      <c r="BL158" s="3340"/>
      <c r="BM158" s="3340"/>
      <c r="BN158" s="3340"/>
      <c r="BO158" s="3340"/>
      <c r="BP158" s="3340"/>
      <c r="BQ158" s="3387"/>
      <c r="BR158" s="3385"/>
      <c r="BS158" s="3385"/>
      <c r="BT158" s="3385"/>
      <c r="BU158" s="3385"/>
      <c r="BV158" s="3385"/>
      <c r="BW158" s="3385"/>
      <c r="BX158" s="3385"/>
      <c r="BY158" s="3385"/>
      <c r="BZ158" s="3385"/>
      <c r="CA158" s="3385"/>
      <c r="CB158" s="3386"/>
      <c r="CC158" s="3384"/>
      <c r="CD158" s="3384"/>
      <c r="CE158" s="3384"/>
      <c r="CF158" s="3384"/>
      <c r="CG158" s="3384"/>
      <c r="CH158" s="3384"/>
      <c r="CI158" s="3384"/>
      <c r="CJ158" s="3384"/>
      <c r="CK158" s="3384"/>
      <c r="CL158" s="3384"/>
      <c r="CM158" s="3386"/>
    </row>
    <row r="159" spans="1:91">
      <c r="A159" s="3313"/>
      <c r="B159" s="2551" t="str">
        <f t="shared" si="2"/>
        <v>3039920018</v>
      </c>
      <c r="C159" s="2492" t="s">
        <v>721</v>
      </c>
      <c r="D159" s="2026">
        <v>3992</v>
      </c>
      <c r="E159" s="2026">
        <v>18</v>
      </c>
      <c r="F159" s="2027">
        <v>3600</v>
      </c>
      <c r="G159" s="2497" t="s">
        <v>1079</v>
      </c>
      <c r="H159" s="2026" t="s">
        <v>1584</v>
      </c>
      <c r="I159" s="2028">
        <v>1.25</v>
      </c>
      <c r="J159" s="2500">
        <v>0</v>
      </c>
      <c r="K159" s="2500">
        <v>280</v>
      </c>
      <c r="L159" s="2500">
        <v>0</v>
      </c>
      <c r="M159" s="2500">
        <v>280</v>
      </c>
      <c r="N159" s="2029">
        <v>0</v>
      </c>
      <c r="O159" s="2030" t="s">
        <v>1636</v>
      </c>
      <c r="P159" s="3341"/>
      <c r="Q159" s="3340"/>
      <c r="R159" s="3340"/>
      <c r="S159" s="3340"/>
      <c r="T159" s="3340"/>
      <c r="U159" s="3340"/>
      <c r="V159" s="3340"/>
      <c r="W159" s="3340"/>
      <c r="X159" s="3340"/>
      <c r="Y159" s="3340"/>
      <c r="Z159" s="3340"/>
      <c r="AA159" s="3340"/>
      <c r="AB159" s="3340"/>
      <c r="AC159" s="3340"/>
      <c r="AD159" s="3340"/>
      <c r="AE159" s="3340"/>
      <c r="AF159" s="3340"/>
      <c r="AG159" s="3340"/>
      <c r="AH159" s="3340"/>
      <c r="AI159" s="3340"/>
      <c r="AJ159" s="3340"/>
      <c r="AK159" s="3340"/>
      <c r="AL159" s="3340"/>
      <c r="AM159" s="3343"/>
      <c r="AN159" s="3278"/>
      <c r="AO159" s="3280"/>
      <c r="AP159" s="3274"/>
      <c r="AQ159" s="3274"/>
      <c r="AR159" s="3340"/>
      <c r="AS159" s="3340"/>
      <c r="AT159" s="3340"/>
      <c r="AU159" s="3340"/>
      <c r="AV159" s="3340"/>
      <c r="AW159" s="3340"/>
      <c r="AX159" s="3340"/>
      <c r="AY159" s="3340"/>
      <c r="AZ159" s="3340"/>
      <c r="BA159" s="3340"/>
      <c r="BB159" s="3340"/>
      <c r="BC159" s="3340"/>
      <c r="BD159" s="3340"/>
      <c r="BE159" s="3340"/>
      <c r="BF159" s="3340"/>
      <c r="BG159" s="3340"/>
      <c r="BH159" s="3340"/>
      <c r="BI159" s="3340"/>
      <c r="BJ159" s="3340"/>
      <c r="BK159" s="3340"/>
      <c r="BL159" s="3340"/>
      <c r="BM159" s="3340"/>
      <c r="BN159" s="3340"/>
      <c r="BO159" s="3340"/>
      <c r="BP159" s="3340"/>
      <c r="BQ159" s="3387"/>
      <c r="BR159" s="3385"/>
      <c r="BS159" s="3385"/>
      <c r="BT159" s="3385"/>
      <c r="BU159" s="3385"/>
      <c r="BV159" s="3385"/>
      <c r="BW159" s="3385"/>
      <c r="BX159" s="3385"/>
      <c r="BY159" s="3385"/>
      <c r="BZ159" s="3385"/>
      <c r="CA159" s="3385"/>
      <c r="CB159" s="3386"/>
      <c r="CC159" s="3384"/>
      <c r="CD159" s="3384"/>
      <c r="CE159" s="3384"/>
      <c r="CF159" s="3384"/>
      <c r="CG159" s="3384"/>
      <c r="CH159" s="3384"/>
      <c r="CI159" s="3384"/>
      <c r="CJ159" s="3384"/>
      <c r="CK159" s="3384"/>
      <c r="CL159" s="3384"/>
      <c r="CM159" s="3386"/>
    </row>
    <row r="160" spans="1:91" ht="15.75" thickBot="1">
      <c r="A160" s="3283"/>
      <c r="B160" s="2551" t="str">
        <f t="shared" si="2"/>
        <v>3039920020</v>
      </c>
      <c r="C160" s="2493" t="s">
        <v>724</v>
      </c>
      <c r="D160" s="2018">
        <v>3992</v>
      </c>
      <c r="E160" s="2018">
        <v>20</v>
      </c>
      <c r="F160" s="2019">
        <v>3600</v>
      </c>
      <c r="G160" s="2498" t="s">
        <v>1079</v>
      </c>
      <c r="H160" s="2018" t="s">
        <v>1584</v>
      </c>
      <c r="I160" s="2020">
        <v>1.25</v>
      </c>
      <c r="J160" s="2501">
        <v>0</v>
      </c>
      <c r="K160" s="2501">
        <v>1520</v>
      </c>
      <c r="L160" s="2501">
        <v>0</v>
      </c>
      <c r="M160" s="2501">
        <v>1520</v>
      </c>
      <c r="N160" s="2508">
        <v>0</v>
      </c>
      <c r="O160" s="2031" t="s">
        <v>1636</v>
      </c>
      <c r="P160" s="3342"/>
      <c r="Q160" s="3332"/>
      <c r="R160" s="3332"/>
      <c r="S160" s="3332"/>
      <c r="T160" s="3332"/>
      <c r="U160" s="3332"/>
      <c r="V160" s="3332"/>
      <c r="W160" s="3332"/>
      <c r="X160" s="3332"/>
      <c r="Y160" s="3332"/>
      <c r="Z160" s="3332"/>
      <c r="AA160" s="3332"/>
      <c r="AB160" s="3332"/>
      <c r="AC160" s="3332"/>
      <c r="AD160" s="3332"/>
      <c r="AE160" s="3332"/>
      <c r="AF160" s="3332"/>
      <c r="AG160" s="3332"/>
      <c r="AH160" s="3332"/>
      <c r="AI160" s="3332"/>
      <c r="AJ160" s="3332"/>
      <c r="AK160" s="3332"/>
      <c r="AL160" s="3332"/>
      <c r="AM160" s="3344"/>
      <c r="AN160" s="3338"/>
      <c r="AO160" s="3339"/>
      <c r="AP160" s="3361"/>
      <c r="AQ160" s="3361"/>
      <c r="AR160" s="3332"/>
      <c r="AS160" s="3332"/>
      <c r="AT160" s="3332"/>
      <c r="AU160" s="3332"/>
      <c r="AV160" s="3332"/>
      <c r="AW160" s="3332"/>
      <c r="AX160" s="3332"/>
      <c r="AY160" s="3332"/>
      <c r="AZ160" s="3332"/>
      <c r="BA160" s="3332"/>
      <c r="BB160" s="3332"/>
      <c r="BC160" s="3332"/>
      <c r="BD160" s="3332"/>
      <c r="BE160" s="3332"/>
      <c r="BF160" s="3332"/>
      <c r="BG160" s="3332"/>
      <c r="BH160" s="3332"/>
      <c r="BI160" s="3332"/>
      <c r="BJ160" s="3332"/>
      <c r="BK160" s="3332"/>
      <c r="BL160" s="3332"/>
      <c r="BM160" s="3332"/>
      <c r="BN160" s="3332"/>
      <c r="BO160" s="3332"/>
      <c r="BP160" s="3332"/>
      <c r="BQ160" s="3357"/>
      <c r="BR160" s="3375"/>
      <c r="BS160" s="3375"/>
      <c r="BT160" s="3375"/>
      <c r="BU160" s="3375"/>
      <c r="BV160" s="3375"/>
      <c r="BW160" s="3375"/>
      <c r="BX160" s="3375"/>
      <c r="BY160" s="3375"/>
      <c r="BZ160" s="3375"/>
      <c r="CA160" s="3375"/>
      <c r="CB160" s="3371"/>
      <c r="CC160" s="3373"/>
      <c r="CD160" s="3373"/>
      <c r="CE160" s="3373"/>
      <c r="CF160" s="3373"/>
      <c r="CG160" s="3373"/>
      <c r="CH160" s="3373"/>
      <c r="CI160" s="3373"/>
      <c r="CJ160" s="3373"/>
      <c r="CK160" s="3373"/>
      <c r="CL160" s="3373"/>
      <c r="CM160" s="3371"/>
    </row>
    <row r="161" spans="1:91" ht="15.75" thickBot="1">
      <c r="A161" s="2486">
        <v>57</v>
      </c>
      <c r="B161" s="2551" t="str">
        <f t="shared" si="2"/>
        <v>3039940028</v>
      </c>
      <c r="C161" s="2041" t="s">
        <v>703</v>
      </c>
      <c r="D161" s="2479">
        <v>3994</v>
      </c>
      <c r="E161" s="2479">
        <v>28</v>
      </c>
      <c r="F161" s="2482">
        <v>5000</v>
      </c>
      <c r="G161" s="2447" t="s">
        <v>1079</v>
      </c>
      <c r="H161" s="2479" t="s">
        <v>1345</v>
      </c>
      <c r="I161" s="2465">
        <v>1.25</v>
      </c>
      <c r="J161" s="2480">
        <v>0</v>
      </c>
      <c r="K161" s="2480">
        <v>0</v>
      </c>
      <c r="L161" s="2480">
        <v>0</v>
      </c>
      <c r="M161" s="2480">
        <v>0</v>
      </c>
      <c r="N161" s="2443">
        <v>0</v>
      </c>
      <c r="O161" s="2031" t="s">
        <v>718</v>
      </c>
      <c r="P161" s="2487">
        <v>0</v>
      </c>
      <c r="Q161" s="2480">
        <v>0</v>
      </c>
      <c r="R161" s="2480">
        <v>0</v>
      </c>
      <c r="S161" s="2480">
        <v>0</v>
      </c>
      <c r="T161" s="2480">
        <v>0</v>
      </c>
      <c r="U161" s="2480">
        <v>0</v>
      </c>
      <c r="V161" s="2480">
        <v>0</v>
      </c>
      <c r="W161" s="2480">
        <v>0</v>
      </c>
      <c r="X161" s="2480">
        <v>0</v>
      </c>
      <c r="Y161" s="2480">
        <v>0</v>
      </c>
      <c r="Z161" s="2480">
        <v>0</v>
      </c>
      <c r="AA161" s="2480">
        <v>0</v>
      </c>
      <c r="AB161" s="2480">
        <v>0</v>
      </c>
      <c r="AC161" s="2480">
        <v>0</v>
      </c>
      <c r="AD161" s="2480">
        <v>0</v>
      </c>
      <c r="AE161" s="2480">
        <v>0</v>
      </c>
      <c r="AF161" s="2480">
        <v>0</v>
      </c>
      <c r="AG161" s="2480">
        <v>0</v>
      </c>
      <c r="AH161" s="2480">
        <v>0</v>
      </c>
      <c r="AI161" s="2480">
        <v>0</v>
      </c>
      <c r="AJ161" s="2480">
        <v>0</v>
      </c>
      <c r="AK161" s="2480">
        <v>0</v>
      </c>
      <c r="AL161" s="2480">
        <v>0</v>
      </c>
      <c r="AM161" s="2032">
        <v>0</v>
      </c>
      <c r="AN161" s="2033" t="s">
        <v>705</v>
      </c>
      <c r="AO161" s="2447" t="s">
        <v>706</v>
      </c>
      <c r="AP161" s="2480" t="s">
        <v>1637</v>
      </c>
      <c r="AQ161" s="2480">
        <v>18500</v>
      </c>
      <c r="AR161" s="2480">
        <v>4500</v>
      </c>
      <c r="AS161" s="2480">
        <v>0</v>
      </c>
      <c r="AT161" s="2480">
        <v>0</v>
      </c>
      <c r="AU161" s="2480">
        <v>0</v>
      </c>
      <c r="AV161" s="2480">
        <v>0</v>
      </c>
      <c r="AW161" s="2480">
        <v>0</v>
      </c>
      <c r="AX161" s="2480">
        <v>0</v>
      </c>
      <c r="AY161" s="2480">
        <v>0</v>
      </c>
      <c r="AZ161" s="2480">
        <v>0</v>
      </c>
      <c r="BA161" s="2480">
        <v>0</v>
      </c>
      <c r="BB161" s="2480">
        <v>0</v>
      </c>
      <c r="BC161" s="2480">
        <v>23000</v>
      </c>
      <c r="BD161" s="2480">
        <v>23500</v>
      </c>
      <c r="BE161" s="2480">
        <v>18</v>
      </c>
      <c r="BF161" s="2480">
        <v>9</v>
      </c>
      <c r="BG161" s="2480">
        <v>5</v>
      </c>
      <c r="BH161" s="2480">
        <v>0</v>
      </c>
      <c r="BI161" s="2480">
        <v>5</v>
      </c>
      <c r="BJ161" s="2480">
        <v>0</v>
      </c>
      <c r="BK161" s="2480">
        <v>0</v>
      </c>
      <c r="BL161" s="2480">
        <v>0</v>
      </c>
      <c r="BM161" s="2480">
        <v>0</v>
      </c>
      <c r="BN161" s="2480">
        <v>0</v>
      </c>
      <c r="BO161" s="2480">
        <v>10</v>
      </c>
      <c r="BP161" s="2480">
        <v>105</v>
      </c>
      <c r="BQ161" s="2478">
        <v>18500</v>
      </c>
      <c r="BR161" s="2441">
        <v>4500</v>
      </c>
      <c r="BS161" s="2441">
        <v>0</v>
      </c>
      <c r="BT161" s="2441">
        <v>0</v>
      </c>
      <c r="BU161" s="2441">
        <v>0</v>
      </c>
      <c r="BV161" s="2441">
        <v>0</v>
      </c>
      <c r="BW161" s="2441">
        <v>0</v>
      </c>
      <c r="BX161" s="2441">
        <v>0</v>
      </c>
      <c r="BY161" s="2441">
        <v>0</v>
      </c>
      <c r="BZ161" s="2441">
        <v>0</v>
      </c>
      <c r="CA161" s="2441">
        <v>0</v>
      </c>
      <c r="CB161" s="2443">
        <v>0</v>
      </c>
      <c r="CC161" s="2453">
        <v>23000</v>
      </c>
      <c r="CD161" s="2453">
        <v>4500</v>
      </c>
      <c r="CE161" s="2453">
        <v>18</v>
      </c>
      <c r="CF161" s="2453">
        <v>9</v>
      </c>
      <c r="CG161" s="2453">
        <v>5</v>
      </c>
      <c r="CH161" s="2453">
        <v>0</v>
      </c>
      <c r="CI161" s="2042">
        <v>5</v>
      </c>
      <c r="CJ161" s="2042">
        <v>0</v>
      </c>
      <c r="CK161" s="2042">
        <v>0</v>
      </c>
      <c r="CL161" s="2042">
        <v>0</v>
      </c>
      <c r="CM161" s="2035">
        <v>0</v>
      </c>
    </row>
    <row r="162" spans="1:91">
      <c r="A162" s="3282">
        <v>58</v>
      </c>
      <c r="B162" s="2551" t="str">
        <f t="shared" si="2"/>
        <v>3039960034</v>
      </c>
      <c r="C162" s="2010" t="s">
        <v>703</v>
      </c>
      <c r="D162" s="2011">
        <v>3996</v>
      </c>
      <c r="E162" s="2011">
        <v>34</v>
      </c>
      <c r="F162" s="2494">
        <v>2500</v>
      </c>
      <c r="G162" s="2496" t="s">
        <v>1079</v>
      </c>
      <c r="H162" s="2011" t="s">
        <v>1584</v>
      </c>
      <c r="I162" s="2012">
        <v>1.25</v>
      </c>
      <c r="J162" s="2491">
        <v>0</v>
      </c>
      <c r="K162" s="2491">
        <v>0</v>
      </c>
      <c r="L162" s="2491">
        <v>0</v>
      </c>
      <c r="M162" s="2491">
        <v>1080</v>
      </c>
      <c r="N162" s="2489">
        <v>2</v>
      </c>
      <c r="O162" s="2525" t="s">
        <v>1580</v>
      </c>
      <c r="P162" s="3346">
        <v>10455</v>
      </c>
      <c r="Q162" s="3331">
        <v>0</v>
      </c>
      <c r="R162" s="3331">
        <v>0</v>
      </c>
      <c r="S162" s="3331">
        <v>0</v>
      </c>
      <c r="T162" s="3331">
        <v>0</v>
      </c>
      <c r="U162" s="3331">
        <v>0</v>
      </c>
      <c r="V162" s="3331">
        <v>0</v>
      </c>
      <c r="W162" s="3331">
        <v>1125</v>
      </c>
      <c r="X162" s="3331">
        <v>0</v>
      </c>
      <c r="Y162" s="3331">
        <v>0</v>
      </c>
      <c r="Z162" s="3331">
        <v>0</v>
      </c>
      <c r="AA162" s="3331">
        <v>0</v>
      </c>
      <c r="AB162" s="3331">
        <v>11580</v>
      </c>
      <c r="AC162" s="3331">
        <v>11580</v>
      </c>
      <c r="AD162" s="3331">
        <v>10</v>
      </c>
      <c r="AE162" s="3331">
        <v>0</v>
      </c>
      <c r="AF162" s="3331">
        <v>0</v>
      </c>
      <c r="AG162" s="3331">
        <v>0</v>
      </c>
      <c r="AH162" s="3331">
        <v>0</v>
      </c>
      <c r="AI162" s="3331">
        <v>0</v>
      </c>
      <c r="AJ162" s="3331">
        <v>0</v>
      </c>
      <c r="AK162" s="3331">
        <v>0</v>
      </c>
      <c r="AL162" s="3331">
        <v>0</v>
      </c>
      <c r="AM162" s="3345">
        <v>25</v>
      </c>
      <c r="AN162" s="3277" t="s">
        <v>705</v>
      </c>
      <c r="AO162" s="3279" t="s">
        <v>706</v>
      </c>
      <c r="AP162" s="3265" t="s">
        <v>1637</v>
      </c>
      <c r="AQ162" s="3265">
        <v>48274.999999999993</v>
      </c>
      <c r="AR162" s="3331">
        <v>9225</v>
      </c>
      <c r="AS162" s="3331">
        <v>0</v>
      </c>
      <c r="AT162" s="3331">
        <v>0</v>
      </c>
      <c r="AU162" s="3331">
        <v>0</v>
      </c>
      <c r="AV162" s="3331">
        <v>0</v>
      </c>
      <c r="AW162" s="3331">
        <v>0</v>
      </c>
      <c r="AX162" s="3331">
        <v>0</v>
      </c>
      <c r="AY162" s="3331">
        <v>0</v>
      </c>
      <c r="AZ162" s="3331">
        <v>0</v>
      </c>
      <c r="BA162" s="3331">
        <v>0</v>
      </c>
      <c r="BB162" s="3331">
        <v>0</v>
      </c>
      <c r="BC162" s="3331">
        <v>57499.999999999993</v>
      </c>
      <c r="BD162" s="3331">
        <v>59274.999999999993</v>
      </c>
      <c r="BE162" s="3331">
        <v>48</v>
      </c>
      <c r="BF162" s="3331">
        <v>24</v>
      </c>
      <c r="BG162" s="3331">
        <v>12</v>
      </c>
      <c r="BH162" s="3331">
        <v>0</v>
      </c>
      <c r="BI162" s="3331">
        <v>9</v>
      </c>
      <c r="BJ162" s="3331">
        <v>0</v>
      </c>
      <c r="BK162" s="3331">
        <v>0</v>
      </c>
      <c r="BL162" s="3331">
        <v>0</v>
      </c>
      <c r="BM162" s="3331">
        <v>0</v>
      </c>
      <c r="BN162" s="3331">
        <v>0</v>
      </c>
      <c r="BO162" s="3331">
        <v>21</v>
      </c>
      <c r="BP162" s="3331">
        <v>105</v>
      </c>
      <c r="BQ162" s="3379">
        <v>37819.999999999993</v>
      </c>
      <c r="BR162" s="3331">
        <v>9225</v>
      </c>
      <c r="BS162" s="3331">
        <v>0</v>
      </c>
      <c r="BT162" s="3331">
        <v>0</v>
      </c>
      <c r="BU162" s="3331">
        <v>0</v>
      </c>
      <c r="BV162" s="3331">
        <v>0</v>
      </c>
      <c r="BW162" s="3331">
        <v>0</v>
      </c>
      <c r="BX162" s="3331">
        <v>-1125</v>
      </c>
      <c r="BY162" s="3331">
        <v>0</v>
      </c>
      <c r="BZ162" s="3331">
        <v>0</v>
      </c>
      <c r="CA162" s="3331">
        <v>0</v>
      </c>
      <c r="CB162" s="3345">
        <v>0</v>
      </c>
      <c r="CC162" s="3346">
        <v>45919.999999999993</v>
      </c>
      <c r="CD162" s="3346">
        <v>8100</v>
      </c>
      <c r="CE162" s="3346">
        <v>38</v>
      </c>
      <c r="CF162" s="3346">
        <v>24</v>
      </c>
      <c r="CG162" s="3346">
        <v>12</v>
      </c>
      <c r="CH162" s="3346">
        <v>0</v>
      </c>
      <c r="CI162" s="3346">
        <v>9</v>
      </c>
      <c r="CJ162" s="3346">
        <v>0</v>
      </c>
      <c r="CK162" s="3346">
        <v>0</v>
      </c>
      <c r="CL162" s="3346">
        <v>0</v>
      </c>
      <c r="CM162" s="3345">
        <v>0</v>
      </c>
    </row>
    <row r="163" spans="1:91">
      <c r="A163" s="3313"/>
      <c r="B163" s="2551" t="str">
        <f t="shared" si="2"/>
        <v>3039960035</v>
      </c>
      <c r="C163" s="2492" t="s">
        <v>710</v>
      </c>
      <c r="D163" s="2026">
        <v>3996</v>
      </c>
      <c r="E163" s="2026">
        <v>35</v>
      </c>
      <c r="F163" s="2027">
        <v>2500</v>
      </c>
      <c r="G163" s="2497" t="s">
        <v>1079</v>
      </c>
      <c r="H163" s="2026" t="s">
        <v>1584</v>
      </c>
      <c r="I163" s="2028">
        <v>1.25</v>
      </c>
      <c r="J163" s="2500">
        <v>0</v>
      </c>
      <c r="K163" s="2500">
        <v>1125</v>
      </c>
      <c r="L163" s="2500">
        <v>0</v>
      </c>
      <c r="M163" s="2500">
        <v>1125</v>
      </c>
      <c r="N163" s="2029">
        <v>0</v>
      </c>
      <c r="O163" s="2030" t="s">
        <v>1638</v>
      </c>
      <c r="P163" s="3341"/>
      <c r="Q163" s="3340"/>
      <c r="R163" s="3340"/>
      <c r="S163" s="3340"/>
      <c r="T163" s="3340"/>
      <c r="U163" s="3340"/>
      <c r="V163" s="3340"/>
      <c r="W163" s="3340"/>
      <c r="X163" s="3340"/>
      <c r="Y163" s="3340"/>
      <c r="Z163" s="3340"/>
      <c r="AA163" s="3340"/>
      <c r="AB163" s="3340"/>
      <c r="AC163" s="3340"/>
      <c r="AD163" s="3340"/>
      <c r="AE163" s="3340"/>
      <c r="AF163" s="3340"/>
      <c r="AG163" s="3340"/>
      <c r="AH163" s="3340"/>
      <c r="AI163" s="3340"/>
      <c r="AJ163" s="3340"/>
      <c r="AK163" s="3340"/>
      <c r="AL163" s="3340"/>
      <c r="AM163" s="3343"/>
      <c r="AN163" s="3278"/>
      <c r="AO163" s="3280"/>
      <c r="AP163" s="3274"/>
      <c r="AQ163" s="3274"/>
      <c r="AR163" s="3340"/>
      <c r="AS163" s="3340"/>
      <c r="AT163" s="3340"/>
      <c r="AU163" s="3340"/>
      <c r="AV163" s="3340"/>
      <c r="AW163" s="3340"/>
      <c r="AX163" s="3340"/>
      <c r="AY163" s="3340"/>
      <c r="AZ163" s="3340"/>
      <c r="BA163" s="3340"/>
      <c r="BB163" s="3340"/>
      <c r="BC163" s="3340"/>
      <c r="BD163" s="3340"/>
      <c r="BE163" s="3340"/>
      <c r="BF163" s="3340"/>
      <c r="BG163" s="3340"/>
      <c r="BH163" s="3340"/>
      <c r="BI163" s="3340"/>
      <c r="BJ163" s="3340"/>
      <c r="BK163" s="3340"/>
      <c r="BL163" s="3340"/>
      <c r="BM163" s="3340"/>
      <c r="BN163" s="3340"/>
      <c r="BO163" s="3340"/>
      <c r="BP163" s="3340"/>
      <c r="BQ163" s="3387"/>
      <c r="BR163" s="3385"/>
      <c r="BS163" s="3385"/>
      <c r="BT163" s="3385"/>
      <c r="BU163" s="3385"/>
      <c r="BV163" s="3385"/>
      <c r="BW163" s="3385"/>
      <c r="BX163" s="3385"/>
      <c r="BY163" s="3385"/>
      <c r="BZ163" s="3385"/>
      <c r="CA163" s="3385"/>
      <c r="CB163" s="3386"/>
      <c r="CC163" s="3384"/>
      <c r="CD163" s="3384"/>
      <c r="CE163" s="3384"/>
      <c r="CF163" s="3384"/>
      <c r="CG163" s="3384"/>
      <c r="CH163" s="3384"/>
      <c r="CI163" s="3384"/>
      <c r="CJ163" s="3384"/>
      <c r="CK163" s="3384"/>
      <c r="CL163" s="3384"/>
      <c r="CM163" s="3386"/>
    </row>
    <row r="164" spans="1:91">
      <c r="A164" s="3313"/>
      <c r="B164" s="2551" t="str">
        <f t="shared" si="2"/>
        <v>3039960036</v>
      </c>
      <c r="C164" s="2492" t="s">
        <v>721</v>
      </c>
      <c r="D164" s="2026">
        <v>3996</v>
      </c>
      <c r="E164" s="2026">
        <v>36</v>
      </c>
      <c r="F164" s="2027">
        <v>2500</v>
      </c>
      <c r="G164" s="2497" t="s">
        <v>1079</v>
      </c>
      <c r="H164" s="2026" t="s">
        <v>1584</v>
      </c>
      <c r="I164" s="2028">
        <v>1.25</v>
      </c>
      <c r="J164" s="2500">
        <v>0</v>
      </c>
      <c r="K164" s="2500">
        <v>0</v>
      </c>
      <c r="L164" s="2500">
        <v>0</v>
      </c>
      <c r="M164" s="2500">
        <v>0</v>
      </c>
      <c r="N164" s="2029">
        <v>0</v>
      </c>
      <c r="O164" s="2030" t="s">
        <v>1578</v>
      </c>
      <c r="P164" s="3341"/>
      <c r="Q164" s="3340"/>
      <c r="R164" s="3340"/>
      <c r="S164" s="3340"/>
      <c r="T164" s="3340"/>
      <c r="U164" s="3340"/>
      <c r="V164" s="3340"/>
      <c r="W164" s="3340"/>
      <c r="X164" s="3340"/>
      <c r="Y164" s="3340"/>
      <c r="Z164" s="3340"/>
      <c r="AA164" s="3340"/>
      <c r="AB164" s="3340"/>
      <c r="AC164" s="3340"/>
      <c r="AD164" s="3340"/>
      <c r="AE164" s="3340"/>
      <c r="AF164" s="3340"/>
      <c r="AG164" s="3340"/>
      <c r="AH164" s="3340"/>
      <c r="AI164" s="3340"/>
      <c r="AJ164" s="3340"/>
      <c r="AK164" s="3340"/>
      <c r="AL164" s="3340"/>
      <c r="AM164" s="3343"/>
      <c r="AN164" s="3278"/>
      <c r="AO164" s="3280"/>
      <c r="AP164" s="3274"/>
      <c r="AQ164" s="3274"/>
      <c r="AR164" s="3340"/>
      <c r="AS164" s="3340"/>
      <c r="AT164" s="3340"/>
      <c r="AU164" s="3340"/>
      <c r="AV164" s="3340"/>
      <c r="AW164" s="3340"/>
      <c r="AX164" s="3340"/>
      <c r="AY164" s="3340"/>
      <c r="AZ164" s="3340"/>
      <c r="BA164" s="3340"/>
      <c r="BB164" s="3340"/>
      <c r="BC164" s="3340"/>
      <c r="BD164" s="3340"/>
      <c r="BE164" s="3340"/>
      <c r="BF164" s="3340"/>
      <c r="BG164" s="3340"/>
      <c r="BH164" s="3340"/>
      <c r="BI164" s="3340"/>
      <c r="BJ164" s="3340"/>
      <c r="BK164" s="3340"/>
      <c r="BL164" s="3340"/>
      <c r="BM164" s="3340"/>
      <c r="BN164" s="3340"/>
      <c r="BO164" s="3340"/>
      <c r="BP164" s="3340"/>
      <c r="BQ164" s="3387"/>
      <c r="BR164" s="3385"/>
      <c r="BS164" s="3385"/>
      <c r="BT164" s="3385"/>
      <c r="BU164" s="3385"/>
      <c r="BV164" s="3385"/>
      <c r="BW164" s="3385"/>
      <c r="BX164" s="3385"/>
      <c r="BY164" s="3385"/>
      <c r="BZ164" s="3385"/>
      <c r="CA164" s="3385"/>
      <c r="CB164" s="3386"/>
      <c r="CC164" s="3384"/>
      <c r="CD164" s="3384"/>
      <c r="CE164" s="3384"/>
      <c r="CF164" s="3384"/>
      <c r="CG164" s="3384"/>
      <c r="CH164" s="3384"/>
      <c r="CI164" s="3384"/>
      <c r="CJ164" s="3384"/>
      <c r="CK164" s="3384"/>
      <c r="CL164" s="3384"/>
      <c r="CM164" s="3386"/>
    </row>
    <row r="165" spans="1:91">
      <c r="A165" s="3313"/>
      <c r="B165" s="2551" t="str">
        <f t="shared" si="2"/>
        <v>3039960037</v>
      </c>
      <c r="C165" s="2492" t="s">
        <v>724</v>
      </c>
      <c r="D165" s="2026">
        <v>3996</v>
      </c>
      <c r="E165" s="2026">
        <v>37</v>
      </c>
      <c r="F165" s="2027">
        <v>3275</v>
      </c>
      <c r="G165" s="2497" t="s">
        <v>1079</v>
      </c>
      <c r="H165" s="2026" t="s">
        <v>1584</v>
      </c>
      <c r="I165" s="2028">
        <v>1.25</v>
      </c>
      <c r="J165" s="2500">
        <v>0</v>
      </c>
      <c r="K165" s="2500">
        <v>0</v>
      </c>
      <c r="L165" s="2500">
        <v>0</v>
      </c>
      <c r="M165" s="2500">
        <v>0</v>
      </c>
      <c r="N165" s="2029">
        <v>0</v>
      </c>
      <c r="O165" s="2030" t="s">
        <v>1578</v>
      </c>
      <c r="P165" s="3341"/>
      <c r="Q165" s="3340"/>
      <c r="R165" s="3340"/>
      <c r="S165" s="3340"/>
      <c r="T165" s="3340"/>
      <c r="U165" s="3340"/>
      <c r="V165" s="3340"/>
      <c r="W165" s="3340"/>
      <c r="X165" s="3340"/>
      <c r="Y165" s="3340"/>
      <c r="Z165" s="3340"/>
      <c r="AA165" s="3340"/>
      <c r="AB165" s="3340"/>
      <c r="AC165" s="3340"/>
      <c r="AD165" s="3340"/>
      <c r="AE165" s="3340"/>
      <c r="AF165" s="3340"/>
      <c r="AG165" s="3340"/>
      <c r="AH165" s="3340"/>
      <c r="AI165" s="3340"/>
      <c r="AJ165" s="3340"/>
      <c r="AK165" s="3340"/>
      <c r="AL165" s="3340"/>
      <c r="AM165" s="3343"/>
      <c r="AN165" s="3278"/>
      <c r="AO165" s="3280"/>
      <c r="AP165" s="3274"/>
      <c r="AQ165" s="3274"/>
      <c r="AR165" s="3340"/>
      <c r="AS165" s="3340"/>
      <c r="AT165" s="3340"/>
      <c r="AU165" s="3340"/>
      <c r="AV165" s="3340"/>
      <c r="AW165" s="3340"/>
      <c r="AX165" s="3340"/>
      <c r="AY165" s="3340"/>
      <c r="AZ165" s="3340"/>
      <c r="BA165" s="3340"/>
      <c r="BB165" s="3340"/>
      <c r="BC165" s="3340"/>
      <c r="BD165" s="3340"/>
      <c r="BE165" s="3340"/>
      <c r="BF165" s="3340"/>
      <c r="BG165" s="3340"/>
      <c r="BH165" s="3340"/>
      <c r="BI165" s="3340"/>
      <c r="BJ165" s="3340"/>
      <c r="BK165" s="3340"/>
      <c r="BL165" s="3340"/>
      <c r="BM165" s="3340"/>
      <c r="BN165" s="3340"/>
      <c r="BO165" s="3340"/>
      <c r="BP165" s="3340"/>
      <c r="BQ165" s="3387"/>
      <c r="BR165" s="3385"/>
      <c r="BS165" s="3385"/>
      <c r="BT165" s="3385"/>
      <c r="BU165" s="3385"/>
      <c r="BV165" s="3385"/>
      <c r="BW165" s="3385"/>
      <c r="BX165" s="3385"/>
      <c r="BY165" s="3385"/>
      <c r="BZ165" s="3385"/>
      <c r="CA165" s="3385"/>
      <c r="CB165" s="3386"/>
      <c r="CC165" s="3384"/>
      <c r="CD165" s="3384"/>
      <c r="CE165" s="3384"/>
      <c r="CF165" s="3384"/>
      <c r="CG165" s="3384"/>
      <c r="CH165" s="3384"/>
      <c r="CI165" s="3384"/>
      <c r="CJ165" s="3384"/>
      <c r="CK165" s="3384"/>
      <c r="CL165" s="3384"/>
      <c r="CM165" s="3386"/>
    </row>
    <row r="166" spans="1:91" ht="15.75" thickBot="1">
      <c r="A166" s="3380"/>
      <c r="B166" s="2551" t="str">
        <f t="shared" si="2"/>
        <v>3039960039</v>
      </c>
      <c r="C166" s="2468" t="s">
        <v>746</v>
      </c>
      <c r="D166" s="2014">
        <v>3996</v>
      </c>
      <c r="E166" s="2014">
        <v>39</v>
      </c>
      <c r="F166" s="2038">
        <v>1725</v>
      </c>
      <c r="G166" s="2133" t="s">
        <v>1079</v>
      </c>
      <c r="H166" s="2014" t="s">
        <v>1584</v>
      </c>
      <c r="I166" s="2016">
        <v>1.25</v>
      </c>
      <c r="J166" s="2538">
        <v>0</v>
      </c>
      <c r="K166" s="2538">
        <v>0</v>
      </c>
      <c r="L166" s="2538">
        <v>0</v>
      </c>
      <c r="M166" s="2538">
        <v>0</v>
      </c>
      <c r="N166" s="2509">
        <v>0</v>
      </c>
      <c r="O166" s="2031" t="s">
        <v>1578</v>
      </c>
      <c r="P166" s="3342"/>
      <c r="Q166" s="3332"/>
      <c r="R166" s="3332"/>
      <c r="S166" s="3332"/>
      <c r="T166" s="3332"/>
      <c r="U166" s="3332"/>
      <c r="V166" s="3332"/>
      <c r="W166" s="3332"/>
      <c r="X166" s="3332"/>
      <c r="Y166" s="3332"/>
      <c r="Z166" s="3332"/>
      <c r="AA166" s="3332"/>
      <c r="AB166" s="3332"/>
      <c r="AC166" s="3332"/>
      <c r="AD166" s="3332"/>
      <c r="AE166" s="3332"/>
      <c r="AF166" s="3332"/>
      <c r="AG166" s="3332"/>
      <c r="AH166" s="3332"/>
      <c r="AI166" s="3332"/>
      <c r="AJ166" s="3332"/>
      <c r="AK166" s="3332"/>
      <c r="AL166" s="3332"/>
      <c r="AM166" s="3344"/>
      <c r="AN166" s="3338"/>
      <c r="AO166" s="3339"/>
      <c r="AP166" s="3361"/>
      <c r="AQ166" s="3361"/>
      <c r="AR166" s="3332"/>
      <c r="AS166" s="3332"/>
      <c r="AT166" s="3332"/>
      <c r="AU166" s="3332"/>
      <c r="AV166" s="3332"/>
      <c r="AW166" s="3332"/>
      <c r="AX166" s="3332"/>
      <c r="AY166" s="3332"/>
      <c r="AZ166" s="3332"/>
      <c r="BA166" s="3332"/>
      <c r="BB166" s="3332"/>
      <c r="BC166" s="3332"/>
      <c r="BD166" s="3332"/>
      <c r="BE166" s="3332"/>
      <c r="BF166" s="3332"/>
      <c r="BG166" s="3332"/>
      <c r="BH166" s="3332"/>
      <c r="BI166" s="3332"/>
      <c r="BJ166" s="3332"/>
      <c r="BK166" s="3332"/>
      <c r="BL166" s="3332"/>
      <c r="BM166" s="3332"/>
      <c r="BN166" s="3332"/>
      <c r="BO166" s="3332"/>
      <c r="BP166" s="3332"/>
      <c r="BQ166" s="3387"/>
      <c r="BR166" s="3385"/>
      <c r="BS166" s="3385"/>
      <c r="BT166" s="3385"/>
      <c r="BU166" s="3385"/>
      <c r="BV166" s="3385"/>
      <c r="BW166" s="3385"/>
      <c r="BX166" s="3385"/>
      <c r="BY166" s="3385"/>
      <c r="BZ166" s="3385"/>
      <c r="CA166" s="3385"/>
      <c r="CB166" s="3386"/>
      <c r="CC166" s="3384"/>
      <c r="CD166" s="3384"/>
      <c r="CE166" s="3384"/>
      <c r="CF166" s="3384"/>
      <c r="CG166" s="3384"/>
      <c r="CH166" s="3384"/>
      <c r="CI166" s="3384"/>
      <c r="CJ166" s="3384"/>
      <c r="CK166" s="3384"/>
      <c r="CL166" s="3384"/>
      <c r="CM166" s="3386"/>
    </row>
    <row r="167" spans="1:91">
      <c r="A167" s="3282">
        <v>59</v>
      </c>
      <c r="B167" s="2551" t="str">
        <f t="shared" si="2"/>
        <v>3039980030</v>
      </c>
      <c r="C167" s="2010" t="s">
        <v>703</v>
      </c>
      <c r="D167" s="2011">
        <v>3998</v>
      </c>
      <c r="E167" s="2011">
        <v>30</v>
      </c>
      <c r="F167" s="2494">
        <v>5000</v>
      </c>
      <c r="G167" s="2496" t="s">
        <v>1079</v>
      </c>
      <c r="H167" s="2011" t="s">
        <v>1584</v>
      </c>
      <c r="I167" s="2012">
        <v>1.25</v>
      </c>
      <c r="J167" s="2491">
        <v>0</v>
      </c>
      <c r="K167" s="2491">
        <v>0</v>
      </c>
      <c r="L167" s="2491">
        <v>0</v>
      </c>
      <c r="M167" s="2491">
        <v>0</v>
      </c>
      <c r="N167" s="2489">
        <v>0</v>
      </c>
      <c r="O167" s="2525" t="s">
        <v>1578</v>
      </c>
      <c r="P167" s="3346">
        <v>9375</v>
      </c>
      <c r="Q167" s="3331">
        <v>10000</v>
      </c>
      <c r="R167" s="3331">
        <v>0</v>
      </c>
      <c r="S167" s="3331">
        <v>0</v>
      </c>
      <c r="T167" s="3331">
        <v>0</v>
      </c>
      <c r="U167" s="3331">
        <v>0</v>
      </c>
      <c r="V167" s="3331">
        <v>0</v>
      </c>
      <c r="W167" s="3331">
        <v>0</v>
      </c>
      <c r="X167" s="3331">
        <v>2000</v>
      </c>
      <c r="Y167" s="3331">
        <v>0</v>
      </c>
      <c r="Z167" s="3331">
        <v>0</v>
      </c>
      <c r="AA167" s="3331">
        <v>0</v>
      </c>
      <c r="AB167" s="3331">
        <v>21375</v>
      </c>
      <c r="AC167" s="3331">
        <v>21375</v>
      </c>
      <c r="AD167" s="3331">
        <v>9</v>
      </c>
      <c r="AE167" s="3331">
        <v>0</v>
      </c>
      <c r="AF167" s="3331">
        <v>0</v>
      </c>
      <c r="AG167" s="3331">
        <v>0</v>
      </c>
      <c r="AH167" s="3331">
        <v>0</v>
      </c>
      <c r="AI167" s="3331">
        <v>7</v>
      </c>
      <c r="AJ167" s="3331">
        <v>0</v>
      </c>
      <c r="AK167" s="3331">
        <v>0</v>
      </c>
      <c r="AL167" s="3331">
        <v>7</v>
      </c>
      <c r="AM167" s="3345">
        <v>25</v>
      </c>
      <c r="AN167" s="3277" t="s">
        <v>705</v>
      </c>
      <c r="AO167" s="3279" t="s">
        <v>706</v>
      </c>
      <c r="AP167" s="3464" t="s">
        <v>1637</v>
      </c>
      <c r="AQ167" s="3464">
        <v>78050</v>
      </c>
      <c r="AR167" s="3407">
        <v>13950</v>
      </c>
      <c r="AS167" s="3407">
        <v>0</v>
      </c>
      <c r="AT167" s="3407">
        <v>0</v>
      </c>
      <c r="AU167" s="3407">
        <v>0</v>
      </c>
      <c r="AV167" s="3407">
        <v>0</v>
      </c>
      <c r="AW167" s="3407">
        <v>0</v>
      </c>
      <c r="AX167" s="3407">
        <v>0</v>
      </c>
      <c r="AY167" s="3407">
        <v>0</v>
      </c>
      <c r="AZ167" s="3407">
        <v>0</v>
      </c>
      <c r="BA167" s="3407">
        <v>0</v>
      </c>
      <c r="BB167" s="3407">
        <v>0</v>
      </c>
      <c r="BC167" s="3407">
        <v>92000</v>
      </c>
      <c r="BD167" s="3407">
        <v>95050</v>
      </c>
      <c r="BE167" s="3407">
        <v>78</v>
      </c>
      <c r="BF167" s="3407">
        <v>39</v>
      </c>
      <c r="BG167" s="3407">
        <v>20</v>
      </c>
      <c r="BH167" s="3407">
        <v>0</v>
      </c>
      <c r="BI167" s="3407">
        <v>14</v>
      </c>
      <c r="BJ167" s="3407">
        <v>0</v>
      </c>
      <c r="BK167" s="3407">
        <v>0</v>
      </c>
      <c r="BL167" s="3407">
        <v>0</v>
      </c>
      <c r="BM167" s="3407">
        <v>0</v>
      </c>
      <c r="BN167" s="3407">
        <v>0</v>
      </c>
      <c r="BO167" s="3407">
        <v>34</v>
      </c>
      <c r="BP167" s="3407">
        <v>105</v>
      </c>
      <c r="BQ167" s="3473">
        <v>68675</v>
      </c>
      <c r="BR167" s="3407">
        <v>3950</v>
      </c>
      <c r="BS167" s="3407">
        <v>0</v>
      </c>
      <c r="BT167" s="3407">
        <v>0</v>
      </c>
      <c r="BU167" s="3407">
        <v>0</v>
      </c>
      <c r="BV167" s="3407">
        <v>0</v>
      </c>
      <c r="BW167" s="3407">
        <v>0</v>
      </c>
      <c r="BX167" s="3407">
        <v>0</v>
      </c>
      <c r="BY167" s="3407">
        <v>-2000</v>
      </c>
      <c r="BZ167" s="3407">
        <v>0</v>
      </c>
      <c r="CA167" s="3407">
        <v>0</v>
      </c>
      <c r="CB167" s="3404">
        <v>0</v>
      </c>
      <c r="CC167" s="3425">
        <v>70625</v>
      </c>
      <c r="CD167" s="3425">
        <v>1950</v>
      </c>
      <c r="CE167" s="3425">
        <v>69</v>
      </c>
      <c r="CF167" s="3425">
        <v>39</v>
      </c>
      <c r="CG167" s="3425">
        <v>20</v>
      </c>
      <c r="CH167" s="3425">
        <v>0</v>
      </c>
      <c r="CI167" s="3425">
        <v>14</v>
      </c>
      <c r="CJ167" s="3425">
        <v>0</v>
      </c>
      <c r="CK167" s="3425">
        <v>-7</v>
      </c>
      <c r="CL167" s="3425">
        <v>0</v>
      </c>
      <c r="CM167" s="3404">
        <v>0</v>
      </c>
    </row>
    <row r="168" spans="1:91">
      <c r="A168" s="3313"/>
      <c r="B168" s="2551" t="str">
        <f t="shared" si="2"/>
        <v>3039980032</v>
      </c>
      <c r="C168" s="2492" t="s">
        <v>710</v>
      </c>
      <c r="D168" s="2026">
        <v>3998</v>
      </c>
      <c r="E168" s="2026">
        <v>32</v>
      </c>
      <c r="F168" s="2027">
        <v>2500</v>
      </c>
      <c r="G168" s="2497" t="s">
        <v>1079</v>
      </c>
      <c r="H168" s="2026" t="s">
        <v>1584</v>
      </c>
      <c r="I168" s="2028">
        <v>1.25</v>
      </c>
      <c r="J168" s="2500">
        <v>0</v>
      </c>
      <c r="K168" s="2500">
        <v>2000</v>
      </c>
      <c r="L168" s="2500">
        <v>0</v>
      </c>
      <c r="M168" s="2500">
        <v>2000</v>
      </c>
      <c r="N168" s="2029">
        <v>0</v>
      </c>
      <c r="O168" s="2030" t="s">
        <v>1638</v>
      </c>
      <c r="P168" s="3341"/>
      <c r="Q168" s="3340"/>
      <c r="R168" s="3340"/>
      <c r="S168" s="3340"/>
      <c r="T168" s="3340"/>
      <c r="U168" s="3340"/>
      <c r="V168" s="3340"/>
      <c r="W168" s="3340"/>
      <c r="X168" s="3340"/>
      <c r="Y168" s="3340"/>
      <c r="Z168" s="3340"/>
      <c r="AA168" s="3340"/>
      <c r="AB168" s="3340"/>
      <c r="AC168" s="3340"/>
      <c r="AD168" s="3340"/>
      <c r="AE168" s="3340"/>
      <c r="AF168" s="3340"/>
      <c r="AG168" s="3340"/>
      <c r="AH168" s="3340"/>
      <c r="AI168" s="3340"/>
      <c r="AJ168" s="3340"/>
      <c r="AK168" s="3340"/>
      <c r="AL168" s="3340"/>
      <c r="AM168" s="3343"/>
      <c r="AN168" s="3278"/>
      <c r="AO168" s="3280"/>
      <c r="AP168" s="3465"/>
      <c r="AQ168" s="3465"/>
      <c r="AR168" s="3408"/>
      <c r="AS168" s="3408"/>
      <c r="AT168" s="3408"/>
      <c r="AU168" s="3408"/>
      <c r="AV168" s="3408"/>
      <c r="AW168" s="3408"/>
      <c r="AX168" s="3408"/>
      <c r="AY168" s="3408"/>
      <c r="AZ168" s="3408"/>
      <c r="BA168" s="3408"/>
      <c r="BB168" s="3408"/>
      <c r="BC168" s="3408"/>
      <c r="BD168" s="3408"/>
      <c r="BE168" s="3408"/>
      <c r="BF168" s="3408"/>
      <c r="BG168" s="3408"/>
      <c r="BH168" s="3408"/>
      <c r="BI168" s="3408"/>
      <c r="BJ168" s="3408"/>
      <c r="BK168" s="3408"/>
      <c r="BL168" s="3408"/>
      <c r="BM168" s="3408"/>
      <c r="BN168" s="3408"/>
      <c r="BO168" s="3408"/>
      <c r="BP168" s="3408"/>
      <c r="BQ168" s="3474"/>
      <c r="BR168" s="3469"/>
      <c r="BS168" s="3469"/>
      <c r="BT168" s="3469"/>
      <c r="BU168" s="3469"/>
      <c r="BV168" s="3469"/>
      <c r="BW168" s="3469"/>
      <c r="BX168" s="3469"/>
      <c r="BY168" s="3469"/>
      <c r="BZ168" s="3469"/>
      <c r="CA168" s="3469"/>
      <c r="CB168" s="3471"/>
      <c r="CC168" s="3467"/>
      <c r="CD168" s="3467"/>
      <c r="CE168" s="3467"/>
      <c r="CF168" s="3467"/>
      <c r="CG168" s="3467"/>
      <c r="CH168" s="3467"/>
      <c r="CI168" s="3467"/>
      <c r="CJ168" s="3467"/>
      <c r="CK168" s="3467"/>
      <c r="CL168" s="3467"/>
      <c r="CM168" s="3471"/>
    </row>
    <row r="169" spans="1:91">
      <c r="A169" s="3313"/>
      <c r="B169" s="2551" t="str">
        <f t="shared" si="2"/>
        <v>3039980033</v>
      </c>
      <c r="C169" s="2492" t="s">
        <v>721</v>
      </c>
      <c r="D169" s="2026">
        <v>3998</v>
      </c>
      <c r="E169" s="2026">
        <v>33</v>
      </c>
      <c r="F169" s="2027">
        <v>10000</v>
      </c>
      <c r="G169" s="2497" t="s">
        <v>1079</v>
      </c>
      <c r="H169" s="2026" t="s">
        <v>1584</v>
      </c>
      <c r="I169" s="2028">
        <v>1.25</v>
      </c>
      <c r="J169" s="2500">
        <v>10000</v>
      </c>
      <c r="K169" s="2500">
        <v>0</v>
      </c>
      <c r="L169" s="2500">
        <v>0</v>
      </c>
      <c r="M169" s="2500">
        <v>10000</v>
      </c>
      <c r="N169" s="2029">
        <v>0</v>
      </c>
      <c r="O169" s="2030" t="s">
        <v>1639</v>
      </c>
      <c r="P169" s="3341"/>
      <c r="Q169" s="3340"/>
      <c r="R169" s="3340"/>
      <c r="S169" s="3340"/>
      <c r="T169" s="3340"/>
      <c r="U169" s="3340"/>
      <c r="V169" s="3340"/>
      <c r="W169" s="3340"/>
      <c r="X169" s="3340"/>
      <c r="Y169" s="3340"/>
      <c r="Z169" s="3340"/>
      <c r="AA169" s="3340"/>
      <c r="AB169" s="3340"/>
      <c r="AC169" s="3340"/>
      <c r="AD169" s="3340"/>
      <c r="AE169" s="3340"/>
      <c r="AF169" s="3340"/>
      <c r="AG169" s="3340"/>
      <c r="AH169" s="3340"/>
      <c r="AI169" s="3340"/>
      <c r="AJ169" s="3340"/>
      <c r="AK169" s="3340"/>
      <c r="AL169" s="3340"/>
      <c r="AM169" s="3343"/>
      <c r="AN169" s="3278"/>
      <c r="AO169" s="3280"/>
      <c r="AP169" s="3465"/>
      <c r="AQ169" s="3465"/>
      <c r="AR169" s="3408"/>
      <c r="AS169" s="3408"/>
      <c r="AT169" s="3408"/>
      <c r="AU169" s="3408"/>
      <c r="AV169" s="3408"/>
      <c r="AW169" s="3408"/>
      <c r="AX169" s="3408"/>
      <c r="AY169" s="3408"/>
      <c r="AZ169" s="3408"/>
      <c r="BA169" s="3408"/>
      <c r="BB169" s="3408"/>
      <c r="BC169" s="3408"/>
      <c r="BD169" s="3408"/>
      <c r="BE169" s="3408"/>
      <c r="BF169" s="3408"/>
      <c r="BG169" s="3408"/>
      <c r="BH169" s="3408"/>
      <c r="BI169" s="3408"/>
      <c r="BJ169" s="3408"/>
      <c r="BK169" s="3408"/>
      <c r="BL169" s="3408"/>
      <c r="BM169" s="3408"/>
      <c r="BN169" s="3408"/>
      <c r="BO169" s="3408"/>
      <c r="BP169" s="3408"/>
      <c r="BQ169" s="3474"/>
      <c r="BR169" s="3469"/>
      <c r="BS169" s="3469"/>
      <c r="BT169" s="3469"/>
      <c r="BU169" s="3469"/>
      <c r="BV169" s="3469"/>
      <c r="BW169" s="3469"/>
      <c r="BX169" s="3469"/>
      <c r="BY169" s="3469"/>
      <c r="BZ169" s="3469"/>
      <c r="CA169" s="3469"/>
      <c r="CB169" s="3471"/>
      <c r="CC169" s="3467"/>
      <c r="CD169" s="3467"/>
      <c r="CE169" s="3467"/>
      <c r="CF169" s="3467"/>
      <c r="CG169" s="3467"/>
      <c r="CH169" s="3467"/>
      <c r="CI169" s="3467"/>
      <c r="CJ169" s="3467"/>
      <c r="CK169" s="3467"/>
      <c r="CL169" s="3467"/>
      <c r="CM169" s="3471"/>
    </row>
    <row r="170" spans="1:91" ht="15.75" thickBot="1">
      <c r="A170" s="3283"/>
      <c r="B170" s="2551" t="str">
        <f t="shared" si="2"/>
        <v>3039980037</v>
      </c>
      <c r="C170" s="2493" t="s">
        <v>724</v>
      </c>
      <c r="D170" s="2018">
        <v>3998</v>
      </c>
      <c r="E170" s="2018">
        <v>37</v>
      </c>
      <c r="F170" s="2019">
        <v>2500</v>
      </c>
      <c r="G170" s="2498" t="s">
        <v>1079</v>
      </c>
      <c r="H170" s="2018" t="s">
        <v>1584</v>
      </c>
      <c r="I170" s="2020">
        <v>1.25</v>
      </c>
      <c r="J170" s="2501">
        <v>0</v>
      </c>
      <c r="K170" s="2501">
        <v>0</v>
      </c>
      <c r="L170" s="2501">
        <v>0</v>
      </c>
      <c r="M170" s="2501">
        <v>0</v>
      </c>
      <c r="N170" s="2508">
        <v>0</v>
      </c>
      <c r="O170" s="2031" t="s">
        <v>1578</v>
      </c>
      <c r="P170" s="3342"/>
      <c r="Q170" s="3332"/>
      <c r="R170" s="3332"/>
      <c r="S170" s="3332"/>
      <c r="T170" s="3332"/>
      <c r="U170" s="3332"/>
      <c r="V170" s="3332"/>
      <c r="W170" s="3332"/>
      <c r="X170" s="3332"/>
      <c r="Y170" s="3332"/>
      <c r="Z170" s="3332"/>
      <c r="AA170" s="3332"/>
      <c r="AB170" s="3332"/>
      <c r="AC170" s="3332"/>
      <c r="AD170" s="3332"/>
      <c r="AE170" s="3332"/>
      <c r="AF170" s="3332"/>
      <c r="AG170" s="3332"/>
      <c r="AH170" s="3332"/>
      <c r="AI170" s="3332"/>
      <c r="AJ170" s="3332"/>
      <c r="AK170" s="3332"/>
      <c r="AL170" s="3332"/>
      <c r="AM170" s="3344"/>
      <c r="AN170" s="3338"/>
      <c r="AO170" s="3339"/>
      <c r="AP170" s="3466"/>
      <c r="AQ170" s="3466"/>
      <c r="AR170" s="3409"/>
      <c r="AS170" s="3409"/>
      <c r="AT170" s="3409"/>
      <c r="AU170" s="3409"/>
      <c r="AV170" s="3409"/>
      <c r="AW170" s="3409"/>
      <c r="AX170" s="3409"/>
      <c r="AY170" s="3409"/>
      <c r="AZ170" s="3409"/>
      <c r="BA170" s="3409"/>
      <c r="BB170" s="3409"/>
      <c r="BC170" s="3409"/>
      <c r="BD170" s="3409"/>
      <c r="BE170" s="3409"/>
      <c r="BF170" s="3409"/>
      <c r="BG170" s="3409"/>
      <c r="BH170" s="3409"/>
      <c r="BI170" s="3409"/>
      <c r="BJ170" s="3409"/>
      <c r="BK170" s="3409"/>
      <c r="BL170" s="3409"/>
      <c r="BM170" s="3409"/>
      <c r="BN170" s="3409"/>
      <c r="BO170" s="3409"/>
      <c r="BP170" s="3409"/>
      <c r="BQ170" s="3475"/>
      <c r="BR170" s="3470"/>
      <c r="BS170" s="3470"/>
      <c r="BT170" s="3470"/>
      <c r="BU170" s="3470"/>
      <c r="BV170" s="3470"/>
      <c r="BW170" s="3470"/>
      <c r="BX170" s="3470"/>
      <c r="BY170" s="3470"/>
      <c r="BZ170" s="3470"/>
      <c r="CA170" s="3470"/>
      <c r="CB170" s="3472"/>
      <c r="CC170" s="3468"/>
      <c r="CD170" s="3468"/>
      <c r="CE170" s="3468"/>
      <c r="CF170" s="3468"/>
      <c r="CG170" s="3468"/>
      <c r="CH170" s="3468"/>
      <c r="CI170" s="3468"/>
      <c r="CJ170" s="3468"/>
      <c r="CK170" s="3468"/>
      <c r="CL170" s="3468"/>
      <c r="CM170" s="3472"/>
    </row>
    <row r="171" spans="1:91" ht="15.75" thickBot="1">
      <c r="A171" s="2486">
        <v>60</v>
      </c>
      <c r="B171" s="2551" t="str">
        <f t="shared" si="2"/>
        <v>3040030035</v>
      </c>
      <c r="C171" s="2041" t="s">
        <v>703</v>
      </c>
      <c r="D171" s="2479">
        <v>4003</v>
      </c>
      <c r="E171" s="2479">
        <v>35</v>
      </c>
      <c r="F171" s="2482">
        <v>5000</v>
      </c>
      <c r="G171" s="2447" t="s">
        <v>1079</v>
      </c>
      <c r="H171" s="2479" t="s">
        <v>1345</v>
      </c>
      <c r="I171" s="2465">
        <v>1.25</v>
      </c>
      <c r="J171" s="2480">
        <v>0</v>
      </c>
      <c r="K171" s="2480">
        <v>1000</v>
      </c>
      <c r="L171" s="2480">
        <v>0</v>
      </c>
      <c r="M171" s="2480">
        <v>1000</v>
      </c>
      <c r="N171" s="2443">
        <v>0</v>
      </c>
      <c r="O171" s="2031" t="s">
        <v>1572</v>
      </c>
      <c r="P171" s="2487">
        <v>0</v>
      </c>
      <c r="Q171" s="2480">
        <v>0</v>
      </c>
      <c r="R171" s="2480">
        <v>0</v>
      </c>
      <c r="S171" s="2480">
        <v>0</v>
      </c>
      <c r="T171" s="2480">
        <v>1000</v>
      </c>
      <c r="U171" s="2480">
        <v>0</v>
      </c>
      <c r="V171" s="2480">
        <v>0</v>
      </c>
      <c r="W171" s="2480">
        <v>0</v>
      </c>
      <c r="X171" s="2480">
        <v>0</v>
      </c>
      <c r="Y171" s="2480">
        <v>0</v>
      </c>
      <c r="Z171" s="2480">
        <v>0</v>
      </c>
      <c r="AA171" s="2480">
        <v>0</v>
      </c>
      <c r="AB171" s="2480">
        <v>1000</v>
      </c>
      <c r="AC171" s="2480">
        <v>1000</v>
      </c>
      <c r="AD171" s="2480">
        <v>0</v>
      </c>
      <c r="AE171" s="2480">
        <v>0</v>
      </c>
      <c r="AF171" s="2480">
        <v>3</v>
      </c>
      <c r="AG171" s="2480">
        <v>0</v>
      </c>
      <c r="AH171" s="2480">
        <v>0</v>
      </c>
      <c r="AI171" s="2480">
        <v>0</v>
      </c>
      <c r="AJ171" s="2480">
        <v>0</v>
      </c>
      <c r="AK171" s="2480">
        <v>0</v>
      </c>
      <c r="AL171" s="2480">
        <v>3</v>
      </c>
      <c r="AM171" s="2032">
        <v>15</v>
      </c>
      <c r="AN171" s="2033" t="s">
        <v>705</v>
      </c>
      <c r="AO171" s="2447" t="s">
        <v>706</v>
      </c>
      <c r="AP171" s="2460" t="s">
        <v>1637</v>
      </c>
      <c r="AQ171" s="2460">
        <v>19850</v>
      </c>
      <c r="AR171" s="2460">
        <v>3150</v>
      </c>
      <c r="AS171" s="2460">
        <v>0</v>
      </c>
      <c r="AT171" s="2460">
        <v>0</v>
      </c>
      <c r="AU171" s="2460">
        <v>0</v>
      </c>
      <c r="AV171" s="2460">
        <v>0</v>
      </c>
      <c r="AW171" s="2460">
        <v>0</v>
      </c>
      <c r="AX171" s="2460">
        <v>0</v>
      </c>
      <c r="AY171" s="2460">
        <v>0</v>
      </c>
      <c r="AZ171" s="2460">
        <v>0</v>
      </c>
      <c r="BA171" s="2460">
        <v>0</v>
      </c>
      <c r="BB171" s="2460">
        <v>0</v>
      </c>
      <c r="BC171" s="2460">
        <v>23000</v>
      </c>
      <c r="BD171" s="2460">
        <v>23850</v>
      </c>
      <c r="BE171" s="2460">
        <v>19</v>
      </c>
      <c r="BF171" s="2460">
        <v>10</v>
      </c>
      <c r="BG171" s="2460">
        <v>5</v>
      </c>
      <c r="BH171" s="2460">
        <v>0</v>
      </c>
      <c r="BI171" s="2460">
        <v>3</v>
      </c>
      <c r="BJ171" s="2460">
        <v>0</v>
      </c>
      <c r="BK171" s="2460">
        <v>0</v>
      </c>
      <c r="BL171" s="2460">
        <v>0</v>
      </c>
      <c r="BM171" s="2460">
        <v>0</v>
      </c>
      <c r="BN171" s="2460">
        <v>0</v>
      </c>
      <c r="BO171" s="2460">
        <v>8</v>
      </c>
      <c r="BP171" s="2460">
        <v>105</v>
      </c>
      <c r="BQ171" s="2082">
        <v>19850</v>
      </c>
      <c r="BR171" s="2458">
        <v>3150</v>
      </c>
      <c r="BS171" s="2458">
        <v>0</v>
      </c>
      <c r="BT171" s="2458">
        <v>0</v>
      </c>
      <c r="BU171" s="2458">
        <v>-1000</v>
      </c>
      <c r="BV171" s="2458">
        <v>0</v>
      </c>
      <c r="BW171" s="2458">
        <v>0</v>
      </c>
      <c r="BX171" s="2458">
        <v>0</v>
      </c>
      <c r="BY171" s="2458">
        <v>0</v>
      </c>
      <c r="BZ171" s="2458">
        <v>0</v>
      </c>
      <c r="CA171" s="2458">
        <v>0</v>
      </c>
      <c r="CB171" s="2472">
        <v>0</v>
      </c>
      <c r="CC171" s="2473">
        <v>22000</v>
      </c>
      <c r="CD171" s="2473">
        <v>2150</v>
      </c>
      <c r="CE171" s="2473">
        <v>19</v>
      </c>
      <c r="CF171" s="2473">
        <v>10</v>
      </c>
      <c r="CG171" s="2473">
        <v>5</v>
      </c>
      <c r="CH171" s="2473">
        <v>0</v>
      </c>
      <c r="CI171" s="2083">
        <v>0</v>
      </c>
      <c r="CJ171" s="2083">
        <v>0</v>
      </c>
      <c r="CK171" s="2083">
        <v>0</v>
      </c>
      <c r="CL171" s="2083">
        <v>0</v>
      </c>
      <c r="CM171" s="2084">
        <v>0</v>
      </c>
    </row>
    <row r="172" spans="1:91">
      <c r="A172" s="3282">
        <v>61</v>
      </c>
      <c r="B172" s="2551" t="str">
        <f t="shared" si="2"/>
        <v>3040050016</v>
      </c>
      <c r="C172" s="2010" t="s">
        <v>703</v>
      </c>
      <c r="D172" s="2011">
        <v>4005</v>
      </c>
      <c r="E172" s="2011">
        <v>16</v>
      </c>
      <c r="F172" s="2494">
        <v>2500</v>
      </c>
      <c r="G172" s="2496" t="s">
        <v>1079</v>
      </c>
      <c r="H172" s="2011" t="s">
        <v>1560</v>
      </c>
      <c r="I172" s="2012">
        <v>1.25</v>
      </c>
      <c r="J172" s="2491">
        <v>0</v>
      </c>
      <c r="K172" s="2491">
        <v>0</v>
      </c>
      <c r="L172" s="2491">
        <v>0</v>
      </c>
      <c r="M172" s="2491">
        <v>0</v>
      </c>
      <c r="N172" s="2489">
        <v>0</v>
      </c>
      <c r="O172" s="2525" t="s">
        <v>1631</v>
      </c>
      <c r="P172" s="3346">
        <v>6250</v>
      </c>
      <c r="Q172" s="3331">
        <v>0</v>
      </c>
      <c r="R172" s="3331">
        <v>0</v>
      </c>
      <c r="S172" s="3331">
        <v>0</v>
      </c>
      <c r="T172" s="3331">
        <v>0</v>
      </c>
      <c r="U172" s="3331">
        <v>0</v>
      </c>
      <c r="V172" s="3331">
        <v>0</v>
      </c>
      <c r="W172" s="3331">
        <v>0</v>
      </c>
      <c r="X172" s="3331">
        <v>0</v>
      </c>
      <c r="Y172" s="3331">
        <v>0</v>
      </c>
      <c r="Z172" s="3331">
        <v>0</v>
      </c>
      <c r="AA172" s="3331">
        <v>0</v>
      </c>
      <c r="AB172" s="3331">
        <v>6250</v>
      </c>
      <c r="AC172" s="3331">
        <v>6250</v>
      </c>
      <c r="AD172" s="3331">
        <v>6</v>
      </c>
      <c r="AE172" s="3331">
        <v>0</v>
      </c>
      <c r="AF172" s="3331">
        <v>0</v>
      </c>
      <c r="AG172" s="3331">
        <v>0</v>
      </c>
      <c r="AH172" s="3331">
        <v>0</v>
      </c>
      <c r="AI172" s="3331">
        <v>0</v>
      </c>
      <c r="AJ172" s="3331">
        <v>0</v>
      </c>
      <c r="AK172" s="3331">
        <v>0</v>
      </c>
      <c r="AL172" s="3331">
        <v>0</v>
      </c>
      <c r="AM172" s="3345">
        <v>35</v>
      </c>
      <c r="AN172" s="3277" t="s">
        <v>1585</v>
      </c>
      <c r="AO172" s="3279" t="s">
        <v>1560</v>
      </c>
      <c r="AP172" s="3464" t="s">
        <v>1616</v>
      </c>
      <c r="AQ172" s="3464">
        <v>18000</v>
      </c>
      <c r="AR172" s="3407">
        <v>0</v>
      </c>
      <c r="AS172" s="3407">
        <v>0</v>
      </c>
      <c r="AT172" s="3407">
        <v>0</v>
      </c>
      <c r="AU172" s="3407">
        <v>0</v>
      </c>
      <c r="AV172" s="3407">
        <v>0</v>
      </c>
      <c r="AW172" s="3407">
        <v>0</v>
      </c>
      <c r="AX172" s="3407">
        <v>0</v>
      </c>
      <c r="AY172" s="3407">
        <v>0</v>
      </c>
      <c r="AZ172" s="3407">
        <v>0</v>
      </c>
      <c r="BA172" s="3407">
        <v>0</v>
      </c>
      <c r="BB172" s="3407">
        <v>0</v>
      </c>
      <c r="BC172" s="3407">
        <v>18000</v>
      </c>
      <c r="BD172" s="3407">
        <v>18000</v>
      </c>
      <c r="BE172" s="3407">
        <v>18</v>
      </c>
      <c r="BF172" s="3407">
        <v>9</v>
      </c>
      <c r="BG172" s="3407">
        <v>5</v>
      </c>
      <c r="BH172" s="3407">
        <v>0</v>
      </c>
      <c r="BI172" s="3407">
        <v>0</v>
      </c>
      <c r="BJ172" s="3407">
        <v>0</v>
      </c>
      <c r="BK172" s="3407">
        <v>0</v>
      </c>
      <c r="BL172" s="3407">
        <v>0</v>
      </c>
      <c r="BM172" s="3407">
        <v>0</v>
      </c>
      <c r="BN172" s="3407">
        <v>0</v>
      </c>
      <c r="BO172" s="3407">
        <v>5</v>
      </c>
      <c r="BP172" s="3407">
        <v>85</v>
      </c>
      <c r="BQ172" s="3473">
        <v>11750</v>
      </c>
      <c r="BR172" s="3407">
        <v>0</v>
      </c>
      <c r="BS172" s="3407">
        <v>0</v>
      </c>
      <c r="BT172" s="3407">
        <v>0</v>
      </c>
      <c r="BU172" s="3407">
        <v>0</v>
      </c>
      <c r="BV172" s="3407">
        <v>0</v>
      </c>
      <c r="BW172" s="3407">
        <v>0</v>
      </c>
      <c r="BX172" s="3407">
        <v>0</v>
      </c>
      <c r="BY172" s="3407">
        <v>0</v>
      </c>
      <c r="BZ172" s="3407">
        <v>0</v>
      </c>
      <c r="CA172" s="3407">
        <v>0</v>
      </c>
      <c r="CB172" s="3404">
        <v>0</v>
      </c>
      <c r="CC172" s="3425">
        <v>11750</v>
      </c>
      <c r="CD172" s="3425">
        <v>0</v>
      </c>
      <c r="CE172" s="3425">
        <v>12</v>
      </c>
      <c r="CF172" s="3425">
        <v>9</v>
      </c>
      <c r="CG172" s="3425">
        <v>5</v>
      </c>
      <c r="CH172" s="3425">
        <v>0</v>
      </c>
      <c r="CI172" s="3425">
        <v>0</v>
      </c>
      <c r="CJ172" s="3425">
        <v>0</v>
      </c>
      <c r="CK172" s="3425">
        <v>0</v>
      </c>
      <c r="CL172" s="3425">
        <v>0</v>
      </c>
      <c r="CM172" s="3404">
        <v>0</v>
      </c>
    </row>
    <row r="173" spans="1:91" ht="15.75" thickBot="1">
      <c r="A173" s="3380"/>
      <c r="B173" s="2551" t="str">
        <f t="shared" si="2"/>
        <v>3040050017</v>
      </c>
      <c r="C173" s="2468" t="s">
        <v>710</v>
      </c>
      <c r="D173" s="2014">
        <v>4005</v>
      </c>
      <c r="E173" s="2014">
        <v>17</v>
      </c>
      <c r="F173" s="2038">
        <v>2500</v>
      </c>
      <c r="G173" s="2133" t="s">
        <v>1079</v>
      </c>
      <c r="H173" s="2014" t="s">
        <v>1560</v>
      </c>
      <c r="I173" s="2016">
        <v>1.25</v>
      </c>
      <c r="J173" s="2538">
        <v>0</v>
      </c>
      <c r="K173" s="2538">
        <v>0</v>
      </c>
      <c r="L173" s="2538">
        <v>0</v>
      </c>
      <c r="M173" s="2538">
        <v>0</v>
      </c>
      <c r="N173" s="2509">
        <v>0</v>
      </c>
      <c r="O173" s="2031" t="s">
        <v>1631</v>
      </c>
      <c r="P173" s="3342"/>
      <c r="Q173" s="3332"/>
      <c r="R173" s="3332"/>
      <c r="S173" s="3332"/>
      <c r="T173" s="3332"/>
      <c r="U173" s="3332"/>
      <c r="V173" s="3332"/>
      <c r="W173" s="3332"/>
      <c r="X173" s="3332"/>
      <c r="Y173" s="3332"/>
      <c r="Z173" s="3332"/>
      <c r="AA173" s="3332"/>
      <c r="AB173" s="3332"/>
      <c r="AC173" s="3332"/>
      <c r="AD173" s="3332"/>
      <c r="AE173" s="3332"/>
      <c r="AF173" s="3332"/>
      <c r="AG173" s="3332"/>
      <c r="AH173" s="3332"/>
      <c r="AI173" s="3332"/>
      <c r="AJ173" s="3332"/>
      <c r="AK173" s="3332"/>
      <c r="AL173" s="3332"/>
      <c r="AM173" s="3344"/>
      <c r="AN173" s="3338"/>
      <c r="AO173" s="3339"/>
      <c r="AP173" s="3466"/>
      <c r="AQ173" s="3466"/>
      <c r="AR173" s="3409"/>
      <c r="AS173" s="3409"/>
      <c r="AT173" s="3409"/>
      <c r="AU173" s="3409"/>
      <c r="AV173" s="3409"/>
      <c r="AW173" s="3409"/>
      <c r="AX173" s="3409"/>
      <c r="AY173" s="3409"/>
      <c r="AZ173" s="3409"/>
      <c r="BA173" s="3409"/>
      <c r="BB173" s="3409"/>
      <c r="BC173" s="3409"/>
      <c r="BD173" s="3409"/>
      <c r="BE173" s="3409"/>
      <c r="BF173" s="3409"/>
      <c r="BG173" s="3409"/>
      <c r="BH173" s="3409"/>
      <c r="BI173" s="3409"/>
      <c r="BJ173" s="3409"/>
      <c r="BK173" s="3409"/>
      <c r="BL173" s="3409"/>
      <c r="BM173" s="3409"/>
      <c r="BN173" s="3409"/>
      <c r="BO173" s="3409"/>
      <c r="BP173" s="3409"/>
      <c r="BQ173" s="3474"/>
      <c r="BR173" s="3469"/>
      <c r="BS173" s="3469"/>
      <c r="BT173" s="3469"/>
      <c r="BU173" s="3469"/>
      <c r="BV173" s="3469"/>
      <c r="BW173" s="3469"/>
      <c r="BX173" s="3469"/>
      <c r="BY173" s="3469"/>
      <c r="BZ173" s="3469"/>
      <c r="CA173" s="3469"/>
      <c r="CB173" s="3471"/>
      <c r="CC173" s="3467"/>
      <c r="CD173" s="3467"/>
      <c r="CE173" s="3467"/>
      <c r="CF173" s="3467"/>
      <c r="CG173" s="3467"/>
      <c r="CH173" s="3467"/>
      <c r="CI173" s="3467"/>
      <c r="CJ173" s="3467"/>
      <c r="CK173" s="3467"/>
      <c r="CL173" s="3467"/>
      <c r="CM173" s="3471"/>
    </row>
    <row r="174" spans="1:91">
      <c r="A174" s="3282">
        <v>62</v>
      </c>
      <c r="B174" s="2551" t="str">
        <f t="shared" si="2"/>
        <v>3040060011</v>
      </c>
      <c r="C174" s="2010" t="s">
        <v>703</v>
      </c>
      <c r="D174" s="2011">
        <v>4006</v>
      </c>
      <c r="E174" s="2011">
        <v>11</v>
      </c>
      <c r="F174" s="2494">
        <v>5000</v>
      </c>
      <c r="G174" s="2496" t="s">
        <v>1079</v>
      </c>
      <c r="H174" s="2011" t="s">
        <v>1560</v>
      </c>
      <c r="I174" s="2012">
        <v>1.25</v>
      </c>
      <c r="J174" s="2491">
        <v>0</v>
      </c>
      <c r="K174" s="2491">
        <v>2378</v>
      </c>
      <c r="L174" s="2491">
        <v>0</v>
      </c>
      <c r="M174" s="2491">
        <v>2378</v>
      </c>
      <c r="N174" s="2489">
        <v>0</v>
      </c>
      <c r="O174" s="2525" t="s">
        <v>1640</v>
      </c>
      <c r="P174" s="3346">
        <v>0</v>
      </c>
      <c r="Q174" s="3331">
        <v>0</v>
      </c>
      <c r="R174" s="3331">
        <v>0</v>
      </c>
      <c r="S174" s="3331">
        <v>0</v>
      </c>
      <c r="T174" s="3331">
        <v>6590</v>
      </c>
      <c r="U174" s="3331">
        <v>0</v>
      </c>
      <c r="V174" s="3331">
        <v>0</v>
      </c>
      <c r="W174" s="3331">
        <v>0</v>
      </c>
      <c r="X174" s="3331">
        <v>0</v>
      </c>
      <c r="Y174" s="3331">
        <v>0</v>
      </c>
      <c r="Z174" s="3331">
        <v>0</v>
      </c>
      <c r="AA174" s="3331">
        <v>0</v>
      </c>
      <c r="AB174" s="3331">
        <v>6590</v>
      </c>
      <c r="AC174" s="3331">
        <v>6590</v>
      </c>
      <c r="AD174" s="3331">
        <v>0</v>
      </c>
      <c r="AE174" s="3331">
        <v>0</v>
      </c>
      <c r="AF174" s="3331">
        <v>0</v>
      </c>
      <c r="AG174" s="3331">
        <v>0</v>
      </c>
      <c r="AH174" s="3331">
        <v>0</v>
      </c>
      <c r="AI174" s="3331">
        <v>0</v>
      </c>
      <c r="AJ174" s="3331">
        <v>0</v>
      </c>
      <c r="AK174" s="3331">
        <v>0</v>
      </c>
      <c r="AL174" s="3331">
        <v>0</v>
      </c>
      <c r="AM174" s="3345">
        <v>15</v>
      </c>
      <c r="AN174" s="3277" t="s">
        <v>1585</v>
      </c>
      <c r="AO174" s="3279" t="s">
        <v>1560</v>
      </c>
      <c r="AP174" s="3464" t="s">
        <v>1616</v>
      </c>
      <c r="AQ174" s="3464">
        <v>72000</v>
      </c>
      <c r="AR174" s="3407">
        <v>0</v>
      </c>
      <c r="AS174" s="3407">
        <v>0</v>
      </c>
      <c r="AT174" s="3407">
        <v>0</v>
      </c>
      <c r="AU174" s="3407">
        <v>0</v>
      </c>
      <c r="AV174" s="3407">
        <v>0</v>
      </c>
      <c r="AW174" s="3407">
        <v>0</v>
      </c>
      <c r="AX174" s="3407">
        <v>0</v>
      </c>
      <c r="AY174" s="3407">
        <v>0</v>
      </c>
      <c r="AZ174" s="3407">
        <v>0</v>
      </c>
      <c r="BA174" s="3407">
        <v>0</v>
      </c>
      <c r="BB174" s="3407">
        <v>0</v>
      </c>
      <c r="BC174" s="3407">
        <v>72000</v>
      </c>
      <c r="BD174" s="3407">
        <v>72000</v>
      </c>
      <c r="BE174" s="3407">
        <v>72</v>
      </c>
      <c r="BF174" s="3407">
        <v>36</v>
      </c>
      <c r="BG174" s="3407">
        <v>18</v>
      </c>
      <c r="BH174" s="3407">
        <v>0</v>
      </c>
      <c r="BI174" s="3407">
        <v>0</v>
      </c>
      <c r="BJ174" s="3407">
        <v>0</v>
      </c>
      <c r="BK174" s="3407">
        <v>0</v>
      </c>
      <c r="BL174" s="3407">
        <v>0</v>
      </c>
      <c r="BM174" s="3407">
        <v>0</v>
      </c>
      <c r="BN174" s="3407">
        <v>0</v>
      </c>
      <c r="BO174" s="3407">
        <v>18</v>
      </c>
      <c r="BP174" s="3407">
        <v>85</v>
      </c>
      <c r="BQ174" s="3473">
        <v>72000</v>
      </c>
      <c r="BR174" s="3407">
        <v>0</v>
      </c>
      <c r="BS174" s="3407">
        <v>0</v>
      </c>
      <c r="BT174" s="3407">
        <v>0</v>
      </c>
      <c r="BU174" s="3407">
        <v>-6590</v>
      </c>
      <c r="BV174" s="3407">
        <v>0</v>
      </c>
      <c r="BW174" s="3407">
        <v>0</v>
      </c>
      <c r="BX174" s="3407">
        <v>0</v>
      </c>
      <c r="BY174" s="3407">
        <v>0</v>
      </c>
      <c r="BZ174" s="3407">
        <v>0</v>
      </c>
      <c r="CA174" s="3407">
        <v>0</v>
      </c>
      <c r="CB174" s="3404">
        <v>0</v>
      </c>
      <c r="CC174" s="3425">
        <v>65410</v>
      </c>
      <c r="CD174" s="3425">
        <v>-6590</v>
      </c>
      <c r="CE174" s="3425">
        <v>72</v>
      </c>
      <c r="CF174" s="3425">
        <v>36</v>
      </c>
      <c r="CG174" s="3425">
        <v>18</v>
      </c>
      <c r="CH174" s="3425">
        <v>0</v>
      </c>
      <c r="CI174" s="3425">
        <v>0</v>
      </c>
      <c r="CJ174" s="3425">
        <v>0</v>
      </c>
      <c r="CK174" s="3425">
        <v>0</v>
      </c>
      <c r="CL174" s="3425">
        <v>0</v>
      </c>
      <c r="CM174" s="3404">
        <v>0</v>
      </c>
    </row>
    <row r="175" spans="1:91">
      <c r="A175" s="3313"/>
      <c r="B175" s="2551" t="str">
        <f t="shared" si="2"/>
        <v>3040060013</v>
      </c>
      <c r="C175" s="2492" t="s">
        <v>710</v>
      </c>
      <c r="D175" s="2026">
        <v>4006</v>
      </c>
      <c r="E175" s="2026">
        <v>13</v>
      </c>
      <c r="F175" s="2027">
        <v>12000</v>
      </c>
      <c r="G175" s="2497" t="s">
        <v>1079</v>
      </c>
      <c r="H175" s="2026" t="s">
        <v>1560</v>
      </c>
      <c r="I175" s="2028">
        <v>1.25</v>
      </c>
      <c r="J175" s="2500">
        <v>0</v>
      </c>
      <c r="K175" s="2500">
        <v>3092</v>
      </c>
      <c r="L175" s="2500">
        <v>0</v>
      </c>
      <c r="M175" s="2500">
        <v>3092</v>
      </c>
      <c r="N175" s="2029">
        <v>0</v>
      </c>
      <c r="O175" s="2030" t="s">
        <v>1640</v>
      </c>
      <c r="P175" s="3341"/>
      <c r="Q175" s="3340"/>
      <c r="R175" s="3340"/>
      <c r="S175" s="3340"/>
      <c r="T175" s="3340"/>
      <c r="U175" s="3340"/>
      <c r="V175" s="3340"/>
      <c r="W175" s="3340"/>
      <c r="X175" s="3340"/>
      <c r="Y175" s="3340"/>
      <c r="Z175" s="3340"/>
      <c r="AA175" s="3340"/>
      <c r="AB175" s="3340"/>
      <c r="AC175" s="3340"/>
      <c r="AD175" s="3340"/>
      <c r="AE175" s="3340"/>
      <c r="AF175" s="3340"/>
      <c r="AG175" s="3340"/>
      <c r="AH175" s="3340"/>
      <c r="AI175" s="3340"/>
      <c r="AJ175" s="3340"/>
      <c r="AK175" s="3340"/>
      <c r="AL175" s="3340"/>
      <c r="AM175" s="3343"/>
      <c r="AN175" s="3278"/>
      <c r="AO175" s="3280"/>
      <c r="AP175" s="3465"/>
      <c r="AQ175" s="3465"/>
      <c r="AR175" s="3408"/>
      <c r="AS175" s="3408"/>
      <c r="AT175" s="3408"/>
      <c r="AU175" s="3408"/>
      <c r="AV175" s="3408"/>
      <c r="AW175" s="3408"/>
      <c r="AX175" s="3408"/>
      <c r="AY175" s="3408"/>
      <c r="AZ175" s="3408"/>
      <c r="BA175" s="3408"/>
      <c r="BB175" s="3408"/>
      <c r="BC175" s="3408"/>
      <c r="BD175" s="3408"/>
      <c r="BE175" s="3408"/>
      <c r="BF175" s="3408"/>
      <c r="BG175" s="3408"/>
      <c r="BH175" s="3408"/>
      <c r="BI175" s="3408"/>
      <c r="BJ175" s="3408"/>
      <c r="BK175" s="3408"/>
      <c r="BL175" s="3408"/>
      <c r="BM175" s="3408"/>
      <c r="BN175" s="3408"/>
      <c r="BO175" s="3408"/>
      <c r="BP175" s="3408"/>
      <c r="BQ175" s="3474"/>
      <c r="BR175" s="3469"/>
      <c r="BS175" s="3469"/>
      <c r="BT175" s="3469"/>
      <c r="BU175" s="3469"/>
      <c r="BV175" s="3469"/>
      <c r="BW175" s="3469"/>
      <c r="BX175" s="3469"/>
      <c r="BY175" s="3469"/>
      <c r="BZ175" s="3469"/>
      <c r="CA175" s="3469"/>
      <c r="CB175" s="3471"/>
      <c r="CC175" s="3467"/>
      <c r="CD175" s="3467"/>
      <c r="CE175" s="3467"/>
      <c r="CF175" s="3467"/>
      <c r="CG175" s="3467"/>
      <c r="CH175" s="3467"/>
      <c r="CI175" s="3467"/>
      <c r="CJ175" s="3467"/>
      <c r="CK175" s="3467"/>
      <c r="CL175" s="3467"/>
      <c r="CM175" s="3471"/>
    </row>
    <row r="176" spans="1:91" ht="15.75" thickBot="1">
      <c r="A176" s="3283"/>
      <c r="B176" s="2551" t="str">
        <f t="shared" si="2"/>
        <v>3040060019</v>
      </c>
      <c r="C176" s="2493" t="s">
        <v>721</v>
      </c>
      <c r="D176" s="2018">
        <v>4006</v>
      </c>
      <c r="E176" s="2018">
        <v>19</v>
      </c>
      <c r="F176" s="2019">
        <v>3000</v>
      </c>
      <c r="G176" s="2498" t="s">
        <v>1079</v>
      </c>
      <c r="H176" s="2018" t="s">
        <v>1560</v>
      </c>
      <c r="I176" s="2020">
        <v>1.25</v>
      </c>
      <c r="J176" s="2501">
        <v>0</v>
      </c>
      <c r="K176" s="2501">
        <v>1120</v>
      </c>
      <c r="L176" s="2501">
        <v>0</v>
      </c>
      <c r="M176" s="2501">
        <v>1120</v>
      </c>
      <c r="N176" s="2508">
        <v>0</v>
      </c>
      <c r="O176" s="2031" t="s">
        <v>1640</v>
      </c>
      <c r="P176" s="3342"/>
      <c r="Q176" s="3332"/>
      <c r="R176" s="3332"/>
      <c r="S176" s="3332"/>
      <c r="T176" s="3332"/>
      <c r="U176" s="3332"/>
      <c r="V176" s="3332"/>
      <c r="W176" s="3332"/>
      <c r="X176" s="3332"/>
      <c r="Y176" s="3332"/>
      <c r="Z176" s="3332"/>
      <c r="AA176" s="3332"/>
      <c r="AB176" s="3332"/>
      <c r="AC176" s="3332"/>
      <c r="AD176" s="3332"/>
      <c r="AE176" s="3332"/>
      <c r="AF176" s="3332"/>
      <c r="AG176" s="3332"/>
      <c r="AH176" s="3332"/>
      <c r="AI176" s="3332"/>
      <c r="AJ176" s="3332"/>
      <c r="AK176" s="3332"/>
      <c r="AL176" s="3332"/>
      <c r="AM176" s="3344"/>
      <c r="AN176" s="3338"/>
      <c r="AO176" s="3339"/>
      <c r="AP176" s="3466"/>
      <c r="AQ176" s="3466"/>
      <c r="AR176" s="3409"/>
      <c r="AS176" s="3409"/>
      <c r="AT176" s="3409"/>
      <c r="AU176" s="3409"/>
      <c r="AV176" s="3409"/>
      <c r="AW176" s="3409"/>
      <c r="AX176" s="3409"/>
      <c r="AY176" s="3409"/>
      <c r="AZ176" s="3409"/>
      <c r="BA176" s="3409"/>
      <c r="BB176" s="3409"/>
      <c r="BC176" s="3409"/>
      <c r="BD176" s="3409"/>
      <c r="BE176" s="3409"/>
      <c r="BF176" s="3409"/>
      <c r="BG176" s="3409"/>
      <c r="BH176" s="3409"/>
      <c r="BI176" s="3409"/>
      <c r="BJ176" s="3409"/>
      <c r="BK176" s="3409"/>
      <c r="BL176" s="3409"/>
      <c r="BM176" s="3409"/>
      <c r="BN176" s="3409"/>
      <c r="BO176" s="3409"/>
      <c r="BP176" s="3409"/>
      <c r="BQ176" s="3475"/>
      <c r="BR176" s="3470"/>
      <c r="BS176" s="3470"/>
      <c r="BT176" s="3470"/>
      <c r="BU176" s="3470"/>
      <c r="BV176" s="3470"/>
      <c r="BW176" s="3470"/>
      <c r="BX176" s="3470"/>
      <c r="BY176" s="3470"/>
      <c r="BZ176" s="3470"/>
      <c r="CA176" s="3470"/>
      <c r="CB176" s="3472"/>
      <c r="CC176" s="3468"/>
      <c r="CD176" s="3468"/>
      <c r="CE176" s="3468"/>
      <c r="CF176" s="3468"/>
      <c r="CG176" s="3468"/>
      <c r="CH176" s="3468"/>
      <c r="CI176" s="3468"/>
      <c r="CJ176" s="3468"/>
      <c r="CK176" s="3468"/>
      <c r="CL176" s="3468"/>
      <c r="CM176" s="3472"/>
    </row>
    <row r="177" spans="1:91">
      <c r="A177" s="3312">
        <v>63</v>
      </c>
      <c r="B177" s="2551" t="str">
        <f t="shared" si="2"/>
        <v>3040100017</v>
      </c>
      <c r="C177" s="2022" t="s">
        <v>703</v>
      </c>
      <c r="D177" s="2023">
        <v>4010</v>
      </c>
      <c r="E177" s="2023">
        <v>17</v>
      </c>
      <c r="F177" s="2506">
        <v>5000</v>
      </c>
      <c r="G177" s="2507" t="s">
        <v>1082</v>
      </c>
      <c r="H177" s="2023" t="s">
        <v>1345</v>
      </c>
      <c r="I177" s="2024">
        <v>2.4300000000000002</v>
      </c>
      <c r="J177" s="2505">
        <v>3000</v>
      </c>
      <c r="K177" s="2505">
        <v>0</v>
      </c>
      <c r="L177" s="2505">
        <v>0</v>
      </c>
      <c r="M177" s="2505">
        <v>3000</v>
      </c>
      <c r="N177" s="2025">
        <v>0</v>
      </c>
      <c r="O177" s="2525" t="s">
        <v>1573</v>
      </c>
      <c r="P177" s="3346">
        <v>0</v>
      </c>
      <c r="Q177" s="3331">
        <v>10500</v>
      </c>
      <c r="R177" s="3331">
        <v>0</v>
      </c>
      <c r="S177" s="3331">
        <v>0</v>
      </c>
      <c r="T177" s="3331">
        <v>0</v>
      </c>
      <c r="U177" s="3331">
        <v>0</v>
      </c>
      <c r="V177" s="3331">
        <v>0</v>
      </c>
      <c r="W177" s="3331">
        <v>0</v>
      </c>
      <c r="X177" s="3331">
        <v>0</v>
      </c>
      <c r="Y177" s="3331">
        <v>0</v>
      </c>
      <c r="Z177" s="3331">
        <v>0</v>
      </c>
      <c r="AA177" s="3331">
        <v>0</v>
      </c>
      <c r="AB177" s="3331">
        <v>10500</v>
      </c>
      <c r="AC177" s="3331">
        <v>10500</v>
      </c>
      <c r="AD177" s="3331">
        <v>0</v>
      </c>
      <c r="AE177" s="3331">
        <v>0</v>
      </c>
      <c r="AF177" s="3331">
        <v>0</v>
      </c>
      <c r="AG177" s="3331">
        <v>0</v>
      </c>
      <c r="AH177" s="3331">
        <v>0</v>
      </c>
      <c r="AI177" s="3331">
        <v>0</v>
      </c>
      <c r="AJ177" s="3331">
        <v>0</v>
      </c>
      <c r="AK177" s="3331">
        <v>0</v>
      </c>
      <c r="AL177" s="3331">
        <v>0</v>
      </c>
      <c r="AM177" s="3345">
        <v>15</v>
      </c>
      <c r="AN177" s="3277" t="s">
        <v>705</v>
      </c>
      <c r="AO177" s="3279" t="s">
        <v>706</v>
      </c>
      <c r="AP177" s="3464" t="s">
        <v>1637</v>
      </c>
      <c r="AQ177" s="3464">
        <v>63777</v>
      </c>
      <c r="AR177" s="3407">
        <v>11317.5</v>
      </c>
      <c r="AS177" s="3407">
        <v>0</v>
      </c>
      <c r="AT177" s="3407">
        <v>0</v>
      </c>
      <c r="AU177" s="3407">
        <v>0</v>
      </c>
      <c r="AV177" s="3407">
        <v>0</v>
      </c>
      <c r="AW177" s="3407">
        <v>0</v>
      </c>
      <c r="AX177" s="3407">
        <v>0</v>
      </c>
      <c r="AY177" s="3407">
        <v>0</v>
      </c>
      <c r="AZ177" s="3407">
        <v>0</v>
      </c>
      <c r="BA177" s="3407">
        <v>0</v>
      </c>
      <c r="BB177" s="3407">
        <v>0</v>
      </c>
      <c r="BC177" s="3407">
        <v>75094.5</v>
      </c>
      <c r="BD177" s="3407">
        <v>77602</v>
      </c>
      <c r="BE177" s="3407">
        <v>63</v>
      </c>
      <c r="BF177" s="3407">
        <v>32</v>
      </c>
      <c r="BG177" s="3407">
        <v>16</v>
      </c>
      <c r="BH177" s="3407">
        <v>0</v>
      </c>
      <c r="BI177" s="3407">
        <v>11</v>
      </c>
      <c r="BJ177" s="3407">
        <v>0</v>
      </c>
      <c r="BK177" s="3407">
        <v>0</v>
      </c>
      <c r="BL177" s="3407">
        <v>0</v>
      </c>
      <c r="BM177" s="3407">
        <v>0</v>
      </c>
      <c r="BN177" s="3407">
        <v>0</v>
      </c>
      <c r="BO177" s="3407">
        <v>27</v>
      </c>
      <c r="BP177" s="3407">
        <v>105</v>
      </c>
      <c r="BQ177" s="3476">
        <v>63777</v>
      </c>
      <c r="BR177" s="3408">
        <v>817.5</v>
      </c>
      <c r="BS177" s="3408">
        <v>0</v>
      </c>
      <c r="BT177" s="3408">
        <v>0</v>
      </c>
      <c r="BU177" s="3408">
        <v>0</v>
      </c>
      <c r="BV177" s="3408">
        <v>0</v>
      </c>
      <c r="BW177" s="3408">
        <v>0</v>
      </c>
      <c r="BX177" s="3408">
        <v>0</v>
      </c>
      <c r="BY177" s="3408">
        <v>0</v>
      </c>
      <c r="BZ177" s="3408">
        <v>0</v>
      </c>
      <c r="CA177" s="3408">
        <v>0</v>
      </c>
      <c r="CB177" s="3405">
        <v>0</v>
      </c>
      <c r="CC177" s="3426">
        <v>64594.5</v>
      </c>
      <c r="CD177" s="3426">
        <v>817.5</v>
      </c>
      <c r="CE177" s="3426">
        <v>63</v>
      </c>
      <c r="CF177" s="3426">
        <v>32</v>
      </c>
      <c r="CG177" s="3426">
        <v>16</v>
      </c>
      <c r="CH177" s="3426">
        <v>0</v>
      </c>
      <c r="CI177" s="3426">
        <v>11</v>
      </c>
      <c r="CJ177" s="3426">
        <v>0</v>
      </c>
      <c r="CK177" s="3426">
        <v>0</v>
      </c>
      <c r="CL177" s="3426">
        <v>0</v>
      </c>
      <c r="CM177" s="3405">
        <v>0</v>
      </c>
    </row>
    <row r="178" spans="1:91" ht="15.75" thickBot="1">
      <c r="A178" s="3283"/>
      <c r="B178" s="2551" t="str">
        <f t="shared" si="2"/>
        <v>3040100019</v>
      </c>
      <c r="C178" s="2493" t="s">
        <v>710</v>
      </c>
      <c r="D178" s="2018">
        <v>4010</v>
      </c>
      <c r="E178" s="2018">
        <v>19</v>
      </c>
      <c r="F178" s="2019">
        <v>11325</v>
      </c>
      <c r="G178" s="2498" t="s">
        <v>1079</v>
      </c>
      <c r="H178" s="2018" t="s">
        <v>1345</v>
      </c>
      <c r="I178" s="2020">
        <v>1.25</v>
      </c>
      <c r="J178" s="2501">
        <v>7500</v>
      </c>
      <c r="K178" s="2501">
        <v>0</v>
      </c>
      <c r="L178" s="2501">
        <v>0</v>
      </c>
      <c r="M178" s="2501">
        <v>7500</v>
      </c>
      <c r="N178" s="2508">
        <v>0</v>
      </c>
      <c r="O178" s="2037" t="s">
        <v>1573</v>
      </c>
      <c r="P178" s="3342"/>
      <c r="Q178" s="3332"/>
      <c r="R178" s="3332"/>
      <c r="S178" s="3332"/>
      <c r="T178" s="3332"/>
      <c r="U178" s="3332"/>
      <c r="V178" s="3332"/>
      <c r="W178" s="3332"/>
      <c r="X178" s="3332"/>
      <c r="Y178" s="3332"/>
      <c r="Z178" s="3332"/>
      <c r="AA178" s="3332"/>
      <c r="AB178" s="3332"/>
      <c r="AC178" s="3332"/>
      <c r="AD178" s="3332"/>
      <c r="AE178" s="3332"/>
      <c r="AF178" s="3332"/>
      <c r="AG178" s="3332"/>
      <c r="AH178" s="3332"/>
      <c r="AI178" s="3332"/>
      <c r="AJ178" s="3332"/>
      <c r="AK178" s="3332"/>
      <c r="AL178" s="3332"/>
      <c r="AM178" s="3344"/>
      <c r="AN178" s="3338"/>
      <c r="AO178" s="3339"/>
      <c r="AP178" s="3466"/>
      <c r="AQ178" s="3466"/>
      <c r="AR178" s="3409"/>
      <c r="AS178" s="3409"/>
      <c r="AT178" s="3409"/>
      <c r="AU178" s="3409"/>
      <c r="AV178" s="3409"/>
      <c r="AW178" s="3409"/>
      <c r="AX178" s="3409"/>
      <c r="AY178" s="3409"/>
      <c r="AZ178" s="3409"/>
      <c r="BA178" s="3409"/>
      <c r="BB178" s="3409"/>
      <c r="BC178" s="3409"/>
      <c r="BD178" s="3409"/>
      <c r="BE178" s="3409"/>
      <c r="BF178" s="3409"/>
      <c r="BG178" s="3409"/>
      <c r="BH178" s="3409"/>
      <c r="BI178" s="3409"/>
      <c r="BJ178" s="3409"/>
      <c r="BK178" s="3409"/>
      <c r="BL178" s="3409"/>
      <c r="BM178" s="3409"/>
      <c r="BN178" s="3409"/>
      <c r="BO178" s="3409"/>
      <c r="BP178" s="3409"/>
      <c r="BQ178" s="3475"/>
      <c r="BR178" s="3470"/>
      <c r="BS178" s="3470"/>
      <c r="BT178" s="3470"/>
      <c r="BU178" s="3470"/>
      <c r="BV178" s="3470"/>
      <c r="BW178" s="3470"/>
      <c r="BX178" s="3470"/>
      <c r="BY178" s="3470"/>
      <c r="BZ178" s="3470"/>
      <c r="CA178" s="3470"/>
      <c r="CB178" s="3472"/>
      <c r="CC178" s="3468"/>
      <c r="CD178" s="3468"/>
      <c r="CE178" s="3468"/>
      <c r="CF178" s="3468"/>
      <c r="CG178" s="3468"/>
      <c r="CH178" s="3468"/>
      <c r="CI178" s="3468"/>
      <c r="CJ178" s="3468"/>
      <c r="CK178" s="3468"/>
      <c r="CL178" s="3468"/>
      <c r="CM178" s="3472"/>
    </row>
    <row r="179" spans="1:91">
      <c r="A179" s="3282">
        <v>64</v>
      </c>
      <c r="B179" s="2551" t="str">
        <f t="shared" si="2"/>
        <v>3040170015</v>
      </c>
      <c r="C179" s="2010" t="s">
        <v>703</v>
      </c>
      <c r="D179" s="2011">
        <v>4017</v>
      </c>
      <c r="E179" s="2011">
        <v>15</v>
      </c>
      <c r="F179" s="2494">
        <v>4180</v>
      </c>
      <c r="G179" s="2496" t="s">
        <v>1079</v>
      </c>
      <c r="H179" s="2011" t="s">
        <v>1584</v>
      </c>
      <c r="I179" s="2012">
        <v>1.25</v>
      </c>
      <c r="J179" s="2491">
        <v>0</v>
      </c>
      <c r="K179" s="2491">
        <v>0</v>
      </c>
      <c r="L179" s="2491">
        <v>0</v>
      </c>
      <c r="M179" s="2491">
        <v>4180</v>
      </c>
      <c r="N179" s="2489">
        <v>0</v>
      </c>
      <c r="O179" s="2525" t="s">
        <v>1578</v>
      </c>
      <c r="P179" s="3272">
        <v>13451</v>
      </c>
      <c r="Q179" s="3265">
        <v>0</v>
      </c>
      <c r="R179" s="3265">
        <v>0</v>
      </c>
      <c r="S179" s="3265">
        <v>0</v>
      </c>
      <c r="T179" s="3265">
        <v>0</v>
      </c>
      <c r="U179" s="3265">
        <v>0</v>
      </c>
      <c r="V179" s="3265">
        <v>0</v>
      </c>
      <c r="W179" s="3265">
        <v>0</v>
      </c>
      <c r="X179" s="3265">
        <v>0</v>
      </c>
      <c r="Y179" s="3265">
        <v>0</v>
      </c>
      <c r="Z179" s="3265">
        <v>0</v>
      </c>
      <c r="AA179" s="3265">
        <v>0</v>
      </c>
      <c r="AB179" s="3265">
        <v>13451</v>
      </c>
      <c r="AC179" s="3265">
        <v>13451</v>
      </c>
      <c r="AD179" s="3265">
        <v>13</v>
      </c>
      <c r="AE179" s="3265">
        <v>0</v>
      </c>
      <c r="AF179" s="3265">
        <v>0</v>
      </c>
      <c r="AG179" s="3265">
        <v>0</v>
      </c>
      <c r="AH179" s="3265">
        <v>0</v>
      </c>
      <c r="AI179" s="3265">
        <v>0</v>
      </c>
      <c r="AJ179" s="3265">
        <v>0</v>
      </c>
      <c r="AK179" s="3265">
        <v>0</v>
      </c>
      <c r="AL179" s="3265">
        <v>0</v>
      </c>
      <c r="AM179" s="3275">
        <v>25</v>
      </c>
      <c r="AN179" s="3277" t="s">
        <v>705</v>
      </c>
      <c r="AO179" s="3279" t="s">
        <v>706</v>
      </c>
      <c r="AP179" s="3464" t="s">
        <v>1637</v>
      </c>
      <c r="AQ179" s="3464">
        <v>41431</v>
      </c>
      <c r="AR179" s="3407">
        <v>8069.4000000000005</v>
      </c>
      <c r="AS179" s="3407">
        <v>0</v>
      </c>
      <c r="AT179" s="3407">
        <v>0</v>
      </c>
      <c r="AU179" s="3407">
        <v>0</v>
      </c>
      <c r="AV179" s="3407">
        <v>0</v>
      </c>
      <c r="AW179" s="3407">
        <v>0</v>
      </c>
      <c r="AX179" s="3407">
        <v>0</v>
      </c>
      <c r="AY179" s="3407">
        <v>0</v>
      </c>
      <c r="AZ179" s="3407">
        <v>0</v>
      </c>
      <c r="BA179" s="3407">
        <v>0</v>
      </c>
      <c r="BB179" s="3407">
        <v>0</v>
      </c>
      <c r="BC179" s="3407">
        <v>49500.4</v>
      </c>
      <c r="BD179" s="3407">
        <v>50995.000000000007</v>
      </c>
      <c r="BE179" s="3407">
        <v>41</v>
      </c>
      <c r="BF179" s="3407">
        <v>21</v>
      </c>
      <c r="BG179" s="3407">
        <v>11</v>
      </c>
      <c r="BH179" s="3407">
        <v>0</v>
      </c>
      <c r="BI179" s="3407">
        <v>8</v>
      </c>
      <c r="BJ179" s="3407">
        <v>0</v>
      </c>
      <c r="BK179" s="3407">
        <v>0</v>
      </c>
      <c r="BL179" s="3407">
        <v>0</v>
      </c>
      <c r="BM179" s="3407">
        <v>0</v>
      </c>
      <c r="BN179" s="3407">
        <v>0</v>
      </c>
      <c r="BO179" s="3407">
        <v>19</v>
      </c>
      <c r="BP179" s="3407">
        <v>105</v>
      </c>
      <c r="BQ179" s="3473">
        <v>27980</v>
      </c>
      <c r="BR179" s="3407">
        <v>8069.4000000000005</v>
      </c>
      <c r="BS179" s="3407">
        <v>0</v>
      </c>
      <c r="BT179" s="3407">
        <v>0</v>
      </c>
      <c r="BU179" s="3407">
        <v>0</v>
      </c>
      <c r="BV179" s="3407">
        <v>0</v>
      </c>
      <c r="BW179" s="3407">
        <v>0</v>
      </c>
      <c r="BX179" s="3407">
        <v>0</v>
      </c>
      <c r="BY179" s="3407">
        <v>0</v>
      </c>
      <c r="BZ179" s="3407">
        <v>0</v>
      </c>
      <c r="CA179" s="3407">
        <v>0</v>
      </c>
      <c r="CB179" s="3404">
        <v>0</v>
      </c>
      <c r="CC179" s="3425">
        <v>36049.4</v>
      </c>
      <c r="CD179" s="3425">
        <v>8069.4000000000005</v>
      </c>
      <c r="CE179" s="3425">
        <v>28</v>
      </c>
      <c r="CF179" s="3425">
        <v>21</v>
      </c>
      <c r="CG179" s="3425">
        <v>11</v>
      </c>
      <c r="CH179" s="3425">
        <v>0</v>
      </c>
      <c r="CI179" s="3425">
        <v>8</v>
      </c>
      <c r="CJ179" s="3425">
        <v>0</v>
      </c>
      <c r="CK179" s="3425">
        <v>0</v>
      </c>
      <c r="CL179" s="3425">
        <v>0</v>
      </c>
      <c r="CM179" s="3404">
        <v>0</v>
      </c>
    </row>
    <row r="180" spans="1:91" ht="15.75" thickBot="1">
      <c r="A180" s="3380"/>
      <c r="B180" s="2551" t="str">
        <f t="shared" si="2"/>
        <v>3040170019</v>
      </c>
      <c r="C180" s="2468" t="s">
        <v>710</v>
      </c>
      <c r="D180" s="2014">
        <v>4017</v>
      </c>
      <c r="E180" s="2014">
        <v>19</v>
      </c>
      <c r="F180" s="2038">
        <v>6581</v>
      </c>
      <c r="G180" s="2133" t="s">
        <v>1079</v>
      </c>
      <c r="H180" s="2014" t="s">
        <v>1584</v>
      </c>
      <c r="I180" s="2016">
        <v>1.25</v>
      </c>
      <c r="J180" s="2538">
        <v>0</v>
      </c>
      <c r="K180" s="2538">
        <v>0</v>
      </c>
      <c r="L180" s="2538">
        <v>0</v>
      </c>
      <c r="M180" s="2538">
        <v>5385</v>
      </c>
      <c r="N180" s="2509">
        <v>0</v>
      </c>
      <c r="O180" s="2056" t="s">
        <v>1578</v>
      </c>
      <c r="P180" s="3359"/>
      <c r="Q180" s="3361"/>
      <c r="R180" s="3363"/>
      <c r="S180" s="3363"/>
      <c r="T180" s="3363"/>
      <c r="U180" s="3363"/>
      <c r="V180" s="3363"/>
      <c r="W180" s="3363"/>
      <c r="X180" s="3363"/>
      <c r="Y180" s="3363"/>
      <c r="Z180" s="3363"/>
      <c r="AA180" s="3363"/>
      <c r="AB180" s="3363"/>
      <c r="AC180" s="3363"/>
      <c r="AD180" s="3363"/>
      <c r="AE180" s="3363"/>
      <c r="AF180" s="3363"/>
      <c r="AG180" s="3363"/>
      <c r="AH180" s="3363"/>
      <c r="AI180" s="3363"/>
      <c r="AJ180" s="3363"/>
      <c r="AK180" s="3363"/>
      <c r="AL180" s="3363"/>
      <c r="AM180" s="3717"/>
      <c r="AN180" s="3338"/>
      <c r="AO180" s="3339"/>
      <c r="AP180" s="3466"/>
      <c r="AQ180" s="3466"/>
      <c r="AR180" s="3409"/>
      <c r="AS180" s="3409"/>
      <c r="AT180" s="3409"/>
      <c r="AU180" s="3409"/>
      <c r="AV180" s="3409"/>
      <c r="AW180" s="3409"/>
      <c r="AX180" s="3409"/>
      <c r="AY180" s="3409"/>
      <c r="AZ180" s="3409"/>
      <c r="BA180" s="3409"/>
      <c r="BB180" s="3409"/>
      <c r="BC180" s="3409"/>
      <c r="BD180" s="3409"/>
      <c r="BE180" s="3409"/>
      <c r="BF180" s="3409"/>
      <c r="BG180" s="3409"/>
      <c r="BH180" s="3409"/>
      <c r="BI180" s="3409"/>
      <c r="BJ180" s="3409"/>
      <c r="BK180" s="3409"/>
      <c r="BL180" s="3409"/>
      <c r="BM180" s="3409"/>
      <c r="BN180" s="3409"/>
      <c r="BO180" s="3409"/>
      <c r="BP180" s="3409"/>
      <c r="BQ180" s="3474"/>
      <c r="BR180" s="3469"/>
      <c r="BS180" s="3469"/>
      <c r="BT180" s="3469"/>
      <c r="BU180" s="3469"/>
      <c r="BV180" s="3469"/>
      <c r="BW180" s="3469"/>
      <c r="BX180" s="3469"/>
      <c r="BY180" s="3469"/>
      <c r="BZ180" s="3469"/>
      <c r="CA180" s="3469"/>
      <c r="CB180" s="3471"/>
      <c r="CC180" s="3467"/>
      <c r="CD180" s="3467"/>
      <c r="CE180" s="3467"/>
      <c r="CF180" s="3467"/>
      <c r="CG180" s="3467"/>
      <c r="CH180" s="3467"/>
      <c r="CI180" s="3467"/>
      <c r="CJ180" s="3467"/>
      <c r="CK180" s="3467"/>
      <c r="CL180" s="3467"/>
      <c r="CM180" s="3471"/>
    </row>
    <row r="181" spans="1:91">
      <c r="A181" s="3282">
        <v>65</v>
      </c>
      <c r="B181" s="2551" t="str">
        <f t="shared" si="2"/>
        <v>3041390025</v>
      </c>
      <c r="C181" s="2010" t="s">
        <v>703</v>
      </c>
      <c r="D181" s="2011">
        <v>4139</v>
      </c>
      <c r="E181" s="2011">
        <v>25</v>
      </c>
      <c r="F181" s="2494">
        <v>4302</v>
      </c>
      <c r="G181" s="2496" t="s">
        <v>947</v>
      </c>
      <c r="H181" s="2011" t="s">
        <v>1560</v>
      </c>
      <c r="I181" s="2012">
        <v>1</v>
      </c>
      <c r="J181" s="2491">
        <v>0</v>
      </c>
      <c r="K181" s="2491">
        <v>0</v>
      </c>
      <c r="L181" s="2491">
        <v>0</v>
      </c>
      <c r="M181" s="2491">
        <v>0</v>
      </c>
      <c r="N181" s="2489">
        <v>0</v>
      </c>
      <c r="O181" s="2036" t="s">
        <v>720</v>
      </c>
      <c r="P181" s="3346">
        <v>0</v>
      </c>
      <c r="Q181" s="3331">
        <v>0</v>
      </c>
      <c r="R181" s="3331">
        <v>0</v>
      </c>
      <c r="S181" s="3331">
        <v>0</v>
      </c>
      <c r="T181" s="3331">
        <v>0</v>
      </c>
      <c r="U181" s="3331">
        <v>0</v>
      </c>
      <c r="V181" s="3331">
        <v>0</v>
      </c>
      <c r="W181" s="3331">
        <v>0</v>
      </c>
      <c r="X181" s="3331">
        <v>0</v>
      </c>
      <c r="Y181" s="3331">
        <v>0</v>
      </c>
      <c r="Z181" s="3331">
        <v>0</v>
      </c>
      <c r="AA181" s="3331">
        <v>0</v>
      </c>
      <c r="AB181" s="3331">
        <v>0</v>
      </c>
      <c r="AC181" s="3331">
        <v>0</v>
      </c>
      <c r="AD181" s="3331">
        <v>0</v>
      </c>
      <c r="AE181" s="3331">
        <v>0</v>
      </c>
      <c r="AF181" s="3331">
        <v>0</v>
      </c>
      <c r="AG181" s="3331">
        <v>0</v>
      </c>
      <c r="AH181" s="3331">
        <v>0</v>
      </c>
      <c r="AI181" s="3331">
        <v>0</v>
      </c>
      <c r="AJ181" s="3331">
        <v>0</v>
      </c>
      <c r="AK181" s="3331">
        <v>0</v>
      </c>
      <c r="AL181" s="3331">
        <v>0</v>
      </c>
      <c r="AM181" s="3345">
        <v>0</v>
      </c>
      <c r="AN181" s="3277" t="s">
        <v>1585</v>
      </c>
      <c r="AO181" s="3279" t="s">
        <v>1560</v>
      </c>
      <c r="AP181" s="3464" t="s">
        <v>1616</v>
      </c>
      <c r="AQ181" s="3464">
        <v>40903</v>
      </c>
      <c r="AR181" s="3407">
        <v>0</v>
      </c>
      <c r="AS181" s="3407">
        <v>0</v>
      </c>
      <c r="AT181" s="3407">
        <v>0</v>
      </c>
      <c r="AU181" s="3407">
        <v>0</v>
      </c>
      <c r="AV181" s="3407">
        <v>0</v>
      </c>
      <c r="AW181" s="3407">
        <v>0</v>
      </c>
      <c r="AX181" s="3407">
        <v>0</v>
      </c>
      <c r="AY181" s="3407">
        <v>0</v>
      </c>
      <c r="AZ181" s="3407">
        <v>0</v>
      </c>
      <c r="BA181" s="3407">
        <v>0</v>
      </c>
      <c r="BB181" s="3407">
        <v>0</v>
      </c>
      <c r="BC181" s="3407">
        <v>40903</v>
      </c>
      <c r="BD181" s="3407">
        <v>40903</v>
      </c>
      <c r="BE181" s="3407">
        <v>40</v>
      </c>
      <c r="BF181" s="3407">
        <v>20</v>
      </c>
      <c r="BG181" s="3407">
        <v>10</v>
      </c>
      <c r="BH181" s="3407">
        <v>0</v>
      </c>
      <c r="BI181" s="3407">
        <v>0</v>
      </c>
      <c r="BJ181" s="3407">
        <v>0</v>
      </c>
      <c r="BK181" s="3407">
        <v>0</v>
      </c>
      <c r="BL181" s="3407">
        <v>0</v>
      </c>
      <c r="BM181" s="3407">
        <v>0</v>
      </c>
      <c r="BN181" s="3407">
        <v>0</v>
      </c>
      <c r="BO181" s="3407">
        <v>10</v>
      </c>
      <c r="BP181" s="3407">
        <v>85</v>
      </c>
      <c r="BQ181" s="3473">
        <v>40903</v>
      </c>
      <c r="BR181" s="3407">
        <v>0</v>
      </c>
      <c r="BS181" s="3407">
        <v>0</v>
      </c>
      <c r="BT181" s="3407">
        <v>0</v>
      </c>
      <c r="BU181" s="3407">
        <v>0</v>
      </c>
      <c r="BV181" s="3407">
        <v>0</v>
      </c>
      <c r="BW181" s="3407">
        <v>0</v>
      </c>
      <c r="BX181" s="3407">
        <v>0</v>
      </c>
      <c r="BY181" s="3407">
        <v>0</v>
      </c>
      <c r="BZ181" s="3407">
        <v>0</v>
      </c>
      <c r="CA181" s="3407">
        <v>0</v>
      </c>
      <c r="CB181" s="3404">
        <v>0</v>
      </c>
      <c r="CC181" s="3425">
        <v>40903</v>
      </c>
      <c r="CD181" s="3425">
        <v>0</v>
      </c>
      <c r="CE181" s="3425">
        <v>40</v>
      </c>
      <c r="CF181" s="3425">
        <v>20</v>
      </c>
      <c r="CG181" s="3425">
        <v>10</v>
      </c>
      <c r="CH181" s="3425">
        <v>0</v>
      </c>
      <c r="CI181" s="3425">
        <v>0</v>
      </c>
      <c r="CJ181" s="3425">
        <v>0</v>
      </c>
      <c r="CK181" s="3425">
        <v>0</v>
      </c>
      <c r="CL181" s="3425">
        <v>0</v>
      </c>
      <c r="CM181" s="3404">
        <v>0</v>
      </c>
    </row>
    <row r="182" spans="1:91" ht="15.75" thickBot="1">
      <c r="A182" s="3283"/>
      <c r="B182" s="2551" t="str">
        <f t="shared" si="2"/>
        <v>3041390029</v>
      </c>
      <c r="C182" s="2493" t="s">
        <v>710</v>
      </c>
      <c r="D182" s="2018">
        <v>4139</v>
      </c>
      <c r="E182" s="2018">
        <v>29</v>
      </c>
      <c r="F182" s="2019">
        <v>7060</v>
      </c>
      <c r="G182" s="2498" t="s">
        <v>947</v>
      </c>
      <c r="H182" s="2018" t="s">
        <v>1560</v>
      </c>
      <c r="I182" s="2020">
        <v>1</v>
      </c>
      <c r="J182" s="2501">
        <v>0</v>
      </c>
      <c r="K182" s="2501">
        <v>0</v>
      </c>
      <c r="L182" s="2501">
        <v>0</v>
      </c>
      <c r="M182" s="2501">
        <v>0</v>
      </c>
      <c r="N182" s="2508">
        <v>0</v>
      </c>
      <c r="O182" s="2031" t="s">
        <v>720</v>
      </c>
      <c r="P182" s="3342"/>
      <c r="Q182" s="3332"/>
      <c r="R182" s="3332"/>
      <c r="S182" s="3332"/>
      <c r="T182" s="3332"/>
      <c r="U182" s="3332"/>
      <c r="V182" s="3332"/>
      <c r="W182" s="3332"/>
      <c r="X182" s="3332"/>
      <c r="Y182" s="3332"/>
      <c r="Z182" s="3332"/>
      <c r="AA182" s="3332"/>
      <c r="AB182" s="3332"/>
      <c r="AC182" s="3332"/>
      <c r="AD182" s="3332"/>
      <c r="AE182" s="3332"/>
      <c r="AF182" s="3332"/>
      <c r="AG182" s="3332"/>
      <c r="AH182" s="3332"/>
      <c r="AI182" s="3332"/>
      <c r="AJ182" s="3332"/>
      <c r="AK182" s="3332"/>
      <c r="AL182" s="3332"/>
      <c r="AM182" s="3344"/>
      <c r="AN182" s="3338"/>
      <c r="AO182" s="3339"/>
      <c r="AP182" s="3466"/>
      <c r="AQ182" s="3466"/>
      <c r="AR182" s="3409"/>
      <c r="AS182" s="3409"/>
      <c r="AT182" s="3409"/>
      <c r="AU182" s="3409"/>
      <c r="AV182" s="3409"/>
      <c r="AW182" s="3409"/>
      <c r="AX182" s="3409"/>
      <c r="AY182" s="3409"/>
      <c r="AZ182" s="3409"/>
      <c r="BA182" s="3409"/>
      <c r="BB182" s="3409"/>
      <c r="BC182" s="3409"/>
      <c r="BD182" s="3409"/>
      <c r="BE182" s="3409"/>
      <c r="BF182" s="3409"/>
      <c r="BG182" s="3409"/>
      <c r="BH182" s="3409"/>
      <c r="BI182" s="3409"/>
      <c r="BJ182" s="3409"/>
      <c r="BK182" s="3409"/>
      <c r="BL182" s="3409"/>
      <c r="BM182" s="3409"/>
      <c r="BN182" s="3409"/>
      <c r="BO182" s="3409"/>
      <c r="BP182" s="3409"/>
      <c r="BQ182" s="3475"/>
      <c r="BR182" s="3470"/>
      <c r="BS182" s="3470"/>
      <c r="BT182" s="3470"/>
      <c r="BU182" s="3470"/>
      <c r="BV182" s="3470"/>
      <c r="BW182" s="3470"/>
      <c r="BX182" s="3470"/>
      <c r="BY182" s="3470"/>
      <c r="BZ182" s="3470"/>
      <c r="CA182" s="3470"/>
      <c r="CB182" s="3472"/>
      <c r="CC182" s="3468"/>
      <c r="CD182" s="3468"/>
      <c r="CE182" s="3468"/>
      <c r="CF182" s="3468"/>
      <c r="CG182" s="3468"/>
      <c r="CH182" s="3468"/>
      <c r="CI182" s="3468"/>
      <c r="CJ182" s="3468"/>
      <c r="CK182" s="3468"/>
      <c r="CL182" s="3468"/>
      <c r="CM182" s="3472"/>
    </row>
    <row r="183" spans="1:91" ht="26.25" thickBot="1">
      <c r="A183" s="3312">
        <v>66</v>
      </c>
      <c r="B183" s="2551" t="str">
        <f t="shared" si="2"/>
        <v>3041420001</v>
      </c>
      <c r="C183" s="2022" t="s">
        <v>703</v>
      </c>
      <c r="D183" s="2023">
        <v>4142</v>
      </c>
      <c r="E183" s="2023">
        <v>1</v>
      </c>
      <c r="F183" s="2506">
        <v>79700</v>
      </c>
      <c r="G183" s="2507" t="s">
        <v>947</v>
      </c>
      <c r="H183" s="2023" t="s">
        <v>1560</v>
      </c>
      <c r="I183" s="2024">
        <v>1</v>
      </c>
      <c r="J183" s="2505">
        <v>0</v>
      </c>
      <c r="K183" s="2505">
        <v>0</v>
      </c>
      <c r="L183" s="2505">
        <v>0</v>
      </c>
      <c r="M183" s="2505">
        <v>0</v>
      </c>
      <c r="N183" s="2025">
        <v>0</v>
      </c>
      <c r="O183" s="2053" t="s">
        <v>720</v>
      </c>
      <c r="P183" s="2504">
        <v>0</v>
      </c>
      <c r="Q183" s="2505">
        <v>0</v>
      </c>
      <c r="R183" s="2505">
        <v>0</v>
      </c>
      <c r="S183" s="2505">
        <v>0</v>
      </c>
      <c r="T183" s="2505">
        <v>0</v>
      </c>
      <c r="U183" s="2505">
        <v>0</v>
      </c>
      <c r="V183" s="2505">
        <v>0</v>
      </c>
      <c r="W183" s="2505">
        <v>0</v>
      </c>
      <c r="X183" s="2505">
        <v>0</v>
      </c>
      <c r="Y183" s="2505">
        <v>0</v>
      </c>
      <c r="Z183" s="2505">
        <v>0</v>
      </c>
      <c r="AA183" s="2505">
        <v>0</v>
      </c>
      <c r="AB183" s="2505">
        <v>0</v>
      </c>
      <c r="AC183" s="2505">
        <v>0</v>
      </c>
      <c r="AD183" s="2505">
        <v>0</v>
      </c>
      <c r="AE183" s="2505">
        <v>0</v>
      </c>
      <c r="AF183" s="2505">
        <v>0</v>
      </c>
      <c r="AG183" s="2505">
        <v>0</v>
      </c>
      <c r="AH183" s="2505">
        <v>0</v>
      </c>
      <c r="AI183" s="2505">
        <v>0</v>
      </c>
      <c r="AJ183" s="2505">
        <v>0</v>
      </c>
      <c r="AK183" s="2505">
        <v>0</v>
      </c>
      <c r="AL183" s="2505">
        <v>0</v>
      </c>
      <c r="AM183" s="2494">
        <v>0</v>
      </c>
      <c r="AN183" s="3277" t="s">
        <v>1621</v>
      </c>
      <c r="AO183" s="3389" t="s">
        <v>1560</v>
      </c>
      <c r="AP183" s="2060" t="s">
        <v>1641</v>
      </c>
      <c r="AQ183" s="2515">
        <v>414437</v>
      </c>
      <c r="AR183" s="2515">
        <v>43134</v>
      </c>
      <c r="AS183" s="2456">
        <v>0</v>
      </c>
      <c r="AT183" s="2085">
        <v>10000</v>
      </c>
      <c r="AU183" s="2515">
        <v>0</v>
      </c>
      <c r="AV183" s="2515">
        <v>0</v>
      </c>
      <c r="AW183" s="2515">
        <v>0</v>
      </c>
      <c r="AX183" s="2515">
        <v>0</v>
      </c>
      <c r="AY183" s="2515">
        <v>0</v>
      </c>
      <c r="AZ183" s="2515">
        <v>0</v>
      </c>
      <c r="BA183" s="2515">
        <v>53134</v>
      </c>
      <c r="BB183" s="2515">
        <v>53134.133333333331</v>
      </c>
      <c r="BC183" s="3464">
        <v>1030914.1333333333</v>
      </c>
      <c r="BD183" s="3464">
        <v>1030914</v>
      </c>
      <c r="BE183" s="3407">
        <v>720</v>
      </c>
      <c r="BF183" s="3407">
        <v>360</v>
      </c>
      <c r="BG183" s="3407">
        <v>144</v>
      </c>
      <c r="BH183" s="3407">
        <v>0</v>
      </c>
      <c r="BI183" s="3407">
        <v>0</v>
      </c>
      <c r="BJ183" s="3407">
        <v>0</v>
      </c>
      <c r="BK183" s="3407">
        <v>0</v>
      </c>
      <c r="BL183" s="3407">
        <v>0</v>
      </c>
      <c r="BM183" s="3407">
        <v>0</v>
      </c>
      <c r="BN183" s="3407">
        <v>0</v>
      </c>
      <c r="BO183" s="3407">
        <v>144</v>
      </c>
      <c r="BP183" s="3404">
        <v>145</v>
      </c>
      <c r="BQ183" s="3476">
        <v>720912</v>
      </c>
      <c r="BR183" s="3408">
        <v>60734</v>
      </c>
      <c r="BS183" s="3408">
        <v>0</v>
      </c>
      <c r="BT183" s="3408">
        <v>10000</v>
      </c>
      <c r="BU183" s="3408">
        <v>0</v>
      </c>
      <c r="BV183" s="3408">
        <v>0</v>
      </c>
      <c r="BW183" s="3408">
        <v>0</v>
      </c>
      <c r="BX183" s="3408">
        <v>0</v>
      </c>
      <c r="BY183" s="3408">
        <v>0</v>
      </c>
      <c r="BZ183" s="3408">
        <v>0</v>
      </c>
      <c r="CA183" s="3408">
        <v>-28041</v>
      </c>
      <c r="CB183" s="3405">
        <v>186134.13333333333</v>
      </c>
      <c r="CC183" s="3426">
        <v>949739.1333333333</v>
      </c>
      <c r="CD183" s="3426">
        <v>70734</v>
      </c>
      <c r="CE183" s="3426">
        <v>720</v>
      </c>
      <c r="CF183" s="3426">
        <v>360</v>
      </c>
      <c r="CG183" s="3426">
        <v>144</v>
      </c>
      <c r="CH183" s="3426">
        <v>0</v>
      </c>
      <c r="CI183" s="3426">
        <v>0</v>
      </c>
      <c r="CJ183" s="3426">
        <v>0</v>
      </c>
      <c r="CK183" s="3426">
        <v>0</v>
      </c>
      <c r="CL183" s="3426">
        <v>-81</v>
      </c>
      <c r="CM183" s="3405">
        <v>0</v>
      </c>
    </row>
    <row r="184" spans="1:91" ht="15.75" thickBot="1">
      <c r="A184" s="3283"/>
      <c r="B184" s="2551" t="str">
        <f t="shared" si="2"/>
        <v>3041420032</v>
      </c>
      <c r="C184" s="2493" t="s">
        <v>710</v>
      </c>
      <c r="D184" s="2018">
        <v>4142</v>
      </c>
      <c r="E184" s="2018">
        <v>32</v>
      </c>
      <c r="F184" s="2019">
        <v>81175</v>
      </c>
      <c r="G184" s="2498" t="s">
        <v>947</v>
      </c>
      <c r="H184" s="2018" t="s">
        <v>1560</v>
      </c>
      <c r="I184" s="2020">
        <v>1</v>
      </c>
      <c r="J184" s="2501">
        <v>0</v>
      </c>
      <c r="K184" s="2501">
        <v>0</v>
      </c>
      <c r="L184" s="2501">
        <v>0</v>
      </c>
      <c r="M184" s="2501">
        <v>0</v>
      </c>
      <c r="N184" s="2508">
        <v>0</v>
      </c>
      <c r="O184" s="2037" t="s">
        <v>1642</v>
      </c>
      <c r="P184" s="2504">
        <v>0</v>
      </c>
      <c r="Q184" s="2505">
        <v>0</v>
      </c>
      <c r="R184" s="2505">
        <v>0</v>
      </c>
      <c r="S184" s="2505">
        <v>0</v>
      </c>
      <c r="T184" s="2505">
        <v>0</v>
      </c>
      <c r="U184" s="2505">
        <v>0</v>
      </c>
      <c r="V184" s="2505">
        <v>0</v>
      </c>
      <c r="W184" s="2505">
        <v>0</v>
      </c>
      <c r="X184" s="2505">
        <v>0</v>
      </c>
      <c r="Y184" s="2505">
        <v>0</v>
      </c>
      <c r="Z184" s="2505">
        <v>81175</v>
      </c>
      <c r="AA184" s="2505">
        <v>0</v>
      </c>
      <c r="AB184" s="2505">
        <v>81175</v>
      </c>
      <c r="AC184" s="2505">
        <v>81175</v>
      </c>
      <c r="AD184" s="2505">
        <v>0</v>
      </c>
      <c r="AE184" s="2505">
        <v>0</v>
      </c>
      <c r="AF184" s="2505">
        <v>0</v>
      </c>
      <c r="AG184" s="2505">
        <v>0</v>
      </c>
      <c r="AH184" s="2505">
        <v>0</v>
      </c>
      <c r="AI184" s="2505">
        <v>0</v>
      </c>
      <c r="AJ184" s="2505">
        <v>81</v>
      </c>
      <c r="AK184" s="2505">
        <v>0</v>
      </c>
      <c r="AL184" s="2505">
        <v>81</v>
      </c>
      <c r="AM184" s="2506">
        <v>15</v>
      </c>
      <c r="AN184" s="3357"/>
      <c r="AO184" s="3375"/>
      <c r="AP184" s="2060" t="s">
        <v>1643</v>
      </c>
      <c r="AQ184" s="2086">
        <v>306475</v>
      </c>
      <c r="AR184" s="2086">
        <v>17600</v>
      </c>
      <c r="AS184" s="2087">
        <v>0</v>
      </c>
      <c r="AT184" s="2088">
        <v>0</v>
      </c>
      <c r="AU184" s="2086">
        <v>0</v>
      </c>
      <c r="AV184" s="2086">
        <v>0</v>
      </c>
      <c r="AW184" s="2086">
        <v>0</v>
      </c>
      <c r="AX184" s="2086">
        <v>0</v>
      </c>
      <c r="AY184" s="2086">
        <v>0</v>
      </c>
      <c r="AZ184" s="2086">
        <v>0</v>
      </c>
      <c r="BA184" s="2086">
        <v>0</v>
      </c>
      <c r="BB184" s="2086">
        <v>133000</v>
      </c>
      <c r="BC184" s="3466"/>
      <c r="BD184" s="3466"/>
      <c r="BE184" s="3466"/>
      <c r="BF184" s="3466"/>
      <c r="BG184" s="3466"/>
      <c r="BH184" s="3466"/>
      <c r="BI184" s="3466"/>
      <c r="BJ184" s="3466"/>
      <c r="BK184" s="3466"/>
      <c r="BL184" s="3466"/>
      <c r="BM184" s="3466"/>
      <c r="BN184" s="3466"/>
      <c r="BO184" s="3466"/>
      <c r="BP184" s="3477"/>
      <c r="BQ184" s="3475"/>
      <c r="BR184" s="3470"/>
      <c r="BS184" s="3470"/>
      <c r="BT184" s="3470"/>
      <c r="BU184" s="3470"/>
      <c r="BV184" s="3470"/>
      <c r="BW184" s="3470"/>
      <c r="BX184" s="3470"/>
      <c r="BY184" s="3470"/>
      <c r="BZ184" s="3470"/>
      <c r="CA184" s="3470"/>
      <c r="CB184" s="3472"/>
      <c r="CC184" s="3468"/>
      <c r="CD184" s="3468"/>
      <c r="CE184" s="3468"/>
      <c r="CF184" s="3468"/>
      <c r="CG184" s="3468"/>
      <c r="CH184" s="3468"/>
      <c r="CI184" s="3468"/>
      <c r="CJ184" s="3468"/>
      <c r="CK184" s="3468"/>
      <c r="CL184" s="3468"/>
      <c r="CM184" s="3472"/>
    </row>
    <row r="185" spans="1:91">
      <c r="A185" s="3270">
        <v>67</v>
      </c>
      <c r="B185" s="2551" t="str">
        <f t="shared" si="2"/>
        <v>3041430001</v>
      </c>
      <c r="C185" s="3481" t="s">
        <v>703</v>
      </c>
      <c r="D185" s="3389">
        <v>4143</v>
      </c>
      <c r="E185" s="3389">
        <v>1</v>
      </c>
      <c r="F185" s="3275">
        <v>196286</v>
      </c>
      <c r="G185" s="3277" t="s">
        <v>947</v>
      </c>
      <c r="H185" s="3389" t="s">
        <v>1560</v>
      </c>
      <c r="I185" s="3478">
        <v>1</v>
      </c>
      <c r="J185" s="3265">
        <v>1312</v>
      </c>
      <c r="K185" s="3265">
        <v>0</v>
      </c>
      <c r="L185" s="3265">
        <v>20457</v>
      </c>
      <c r="M185" s="3265">
        <v>182284</v>
      </c>
      <c r="N185" s="3345">
        <v>0</v>
      </c>
      <c r="O185" s="3483" t="s">
        <v>1644</v>
      </c>
      <c r="P185" s="3272">
        <v>0</v>
      </c>
      <c r="Q185" s="3265">
        <v>71584</v>
      </c>
      <c r="R185" s="3265">
        <v>30000</v>
      </c>
      <c r="S185" s="3265">
        <v>0</v>
      </c>
      <c r="T185" s="3265">
        <v>0</v>
      </c>
      <c r="U185" s="3265">
        <v>0</v>
      </c>
      <c r="V185" s="3265">
        <v>0</v>
      </c>
      <c r="W185" s="3265">
        <v>0</v>
      </c>
      <c r="X185" s="3265">
        <v>0</v>
      </c>
      <c r="Y185" s="3265">
        <v>0</v>
      </c>
      <c r="Z185" s="3265">
        <v>0</v>
      </c>
      <c r="AA185" s="3265">
        <v>0</v>
      </c>
      <c r="AB185" s="3265">
        <v>101584</v>
      </c>
      <c r="AC185" s="3265">
        <v>101618</v>
      </c>
      <c r="AD185" s="3265">
        <v>0</v>
      </c>
      <c r="AE185" s="3265">
        <v>0</v>
      </c>
      <c r="AF185" s="3265">
        <v>326</v>
      </c>
      <c r="AG185" s="3265">
        <v>0</v>
      </c>
      <c r="AH185" s="3265">
        <v>0</v>
      </c>
      <c r="AI185" s="3265">
        <v>0</v>
      </c>
      <c r="AJ185" s="3265">
        <v>0</v>
      </c>
      <c r="AK185" s="3265">
        <v>0</v>
      </c>
      <c r="AL185" s="3265">
        <v>326</v>
      </c>
      <c r="AM185" s="3275">
        <v>25</v>
      </c>
      <c r="AN185" s="3277" t="s">
        <v>1621</v>
      </c>
      <c r="AO185" s="3279" t="s">
        <v>1560</v>
      </c>
      <c r="AP185" s="2060" t="s">
        <v>1645</v>
      </c>
      <c r="AQ185" s="2459">
        <v>205104</v>
      </c>
      <c r="AR185" s="2459"/>
      <c r="AS185" s="2459">
        <v>30000</v>
      </c>
      <c r="AT185" s="2459"/>
      <c r="AU185" s="2459">
        <v>0</v>
      </c>
      <c r="AV185" s="2459">
        <v>0</v>
      </c>
      <c r="AW185" s="2459">
        <v>11072</v>
      </c>
      <c r="AX185" s="2459">
        <v>0</v>
      </c>
      <c r="AY185" s="2459">
        <v>0</v>
      </c>
      <c r="AZ185" s="2459">
        <v>10000</v>
      </c>
      <c r="BA185" s="2459">
        <v>0</v>
      </c>
      <c r="BB185" s="2459">
        <v>36480</v>
      </c>
      <c r="BC185" s="3464">
        <v>1442784</v>
      </c>
      <c r="BD185" s="3464">
        <v>1511871</v>
      </c>
      <c r="BE185" s="3407">
        <v>1054</v>
      </c>
      <c r="BF185" s="3407">
        <v>527</v>
      </c>
      <c r="BG185" s="3407">
        <v>211</v>
      </c>
      <c r="BH185" s="3407">
        <v>0</v>
      </c>
      <c r="BI185" s="3407">
        <v>0</v>
      </c>
      <c r="BJ185" s="3407">
        <v>30</v>
      </c>
      <c r="BK185" s="3407">
        <v>0</v>
      </c>
      <c r="BL185" s="3407">
        <v>0</v>
      </c>
      <c r="BM185" s="3407">
        <v>0</v>
      </c>
      <c r="BN185" s="3407">
        <v>0</v>
      </c>
      <c r="BO185" s="3407">
        <v>241</v>
      </c>
      <c r="BP185" s="3410">
        <v>145</v>
      </c>
      <c r="BQ185" s="3473">
        <v>1054311</v>
      </c>
      <c r="BR185" s="3407">
        <v>10500.5</v>
      </c>
      <c r="BS185" s="3407">
        <v>0</v>
      </c>
      <c r="BT185" s="3407">
        <v>20000</v>
      </c>
      <c r="BU185" s="3407">
        <v>0</v>
      </c>
      <c r="BV185" s="3407">
        <v>0</v>
      </c>
      <c r="BW185" s="3407">
        <v>78453.5</v>
      </c>
      <c r="BX185" s="3407">
        <v>0</v>
      </c>
      <c r="BY185" s="3407">
        <v>0</v>
      </c>
      <c r="BZ185" s="3407">
        <v>42425</v>
      </c>
      <c r="CA185" s="3407">
        <v>0</v>
      </c>
      <c r="CB185" s="3404">
        <v>177935</v>
      </c>
      <c r="CC185" s="3473">
        <v>1341200</v>
      </c>
      <c r="CD185" s="3407">
        <v>108954</v>
      </c>
      <c r="CE185" s="3407">
        <v>1054</v>
      </c>
      <c r="CF185" s="3407">
        <v>527</v>
      </c>
      <c r="CG185" s="3407">
        <v>211</v>
      </c>
      <c r="CH185" s="3407">
        <v>0</v>
      </c>
      <c r="CI185" s="3407">
        <v>-326</v>
      </c>
      <c r="CJ185" s="3407">
        <v>0</v>
      </c>
      <c r="CK185" s="3407">
        <v>0</v>
      </c>
      <c r="CL185" s="3407">
        <v>0</v>
      </c>
      <c r="CM185" s="3404">
        <v>0</v>
      </c>
    </row>
    <row r="186" spans="1:91" ht="25.5">
      <c r="A186" s="3387"/>
      <c r="B186" s="2551">
        <f t="shared" si="2"/>
        <v>0</v>
      </c>
      <c r="C186" s="3274"/>
      <c r="D186" s="3274"/>
      <c r="E186" s="3274"/>
      <c r="F186" s="3276"/>
      <c r="G186" s="3482"/>
      <c r="H186" s="3274"/>
      <c r="I186" s="3479"/>
      <c r="J186" s="3274"/>
      <c r="K186" s="3274"/>
      <c r="L186" s="3274"/>
      <c r="M186" s="3274"/>
      <c r="N186" s="3276"/>
      <c r="O186" s="3484"/>
      <c r="P186" s="3273"/>
      <c r="Q186" s="3274"/>
      <c r="R186" s="3713"/>
      <c r="S186" s="3713"/>
      <c r="T186" s="3713"/>
      <c r="U186" s="3713"/>
      <c r="V186" s="3713"/>
      <c r="W186" s="3713"/>
      <c r="X186" s="3713"/>
      <c r="Y186" s="3713"/>
      <c r="Z186" s="3713"/>
      <c r="AA186" s="3713"/>
      <c r="AB186" s="3274"/>
      <c r="AC186" s="3274"/>
      <c r="AD186" s="3274"/>
      <c r="AE186" s="3274"/>
      <c r="AF186" s="3274"/>
      <c r="AG186" s="3274"/>
      <c r="AH186" s="3274"/>
      <c r="AI186" s="3274"/>
      <c r="AJ186" s="3274"/>
      <c r="AK186" s="3274"/>
      <c r="AL186" s="3274"/>
      <c r="AM186" s="3276"/>
      <c r="AN186" s="3387"/>
      <c r="AO186" s="3384"/>
      <c r="AP186" s="2062" t="s">
        <v>1646</v>
      </c>
      <c r="AQ186" s="2063">
        <v>247020</v>
      </c>
      <c r="AR186" s="2063">
        <v>25880</v>
      </c>
      <c r="AS186" s="2063"/>
      <c r="AT186" s="2063">
        <v>10000</v>
      </c>
      <c r="AU186" s="2063"/>
      <c r="AV186" s="2063"/>
      <c r="AW186" s="2063">
        <v>22425</v>
      </c>
      <c r="AX186" s="2063"/>
      <c r="AY186" s="2063"/>
      <c r="AZ186" s="2063">
        <v>22425</v>
      </c>
      <c r="BA186" s="2063"/>
      <c r="BB186" s="2063">
        <v>44850</v>
      </c>
      <c r="BC186" s="3465"/>
      <c r="BD186" s="3465"/>
      <c r="BE186" s="3469"/>
      <c r="BF186" s="3469"/>
      <c r="BG186" s="3469"/>
      <c r="BH186" s="3469"/>
      <c r="BI186" s="3469"/>
      <c r="BJ186" s="3469"/>
      <c r="BK186" s="3469"/>
      <c r="BL186" s="3469"/>
      <c r="BM186" s="3469"/>
      <c r="BN186" s="3469"/>
      <c r="BO186" s="3469"/>
      <c r="BP186" s="3486"/>
      <c r="BQ186" s="3474"/>
      <c r="BR186" s="3469"/>
      <c r="BS186" s="3469"/>
      <c r="BT186" s="3469"/>
      <c r="BU186" s="3469"/>
      <c r="BV186" s="3469"/>
      <c r="BW186" s="3469"/>
      <c r="BX186" s="3469"/>
      <c r="BY186" s="3469"/>
      <c r="BZ186" s="3469"/>
      <c r="CA186" s="3469"/>
      <c r="CB186" s="3471"/>
      <c r="CC186" s="3474"/>
      <c r="CD186" s="3469"/>
      <c r="CE186" s="3469"/>
      <c r="CF186" s="3469"/>
      <c r="CG186" s="3469"/>
      <c r="CH186" s="3469"/>
      <c r="CI186" s="3469"/>
      <c r="CJ186" s="3469"/>
      <c r="CK186" s="3469"/>
      <c r="CL186" s="3469"/>
      <c r="CM186" s="3471"/>
    </row>
    <row r="187" spans="1:91" ht="25.5">
      <c r="A187" s="3387"/>
      <c r="B187" s="2551">
        <f t="shared" si="2"/>
        <v>0</v>
      </c>
      <c r="C187" s="3274"/>
      <c r="D187" s="3274"/>
      <c r="E187" s="3274"/>
      <c r="F187" s="3276"/>
      <c r="G187" s="3482"/>
      <c r="H187" s="3274"/>
      <c r="I187" s="3479"/>
      <c r="J187" s="3274"/>
      <c r="K187" s="3274"/>
      <c r="L187" s="3274"/>
      <c r="M187" s="3274"/>
      <c r="N187" s="3276"/>
      <c r="O187" s="3484"/>
      <c r="P187" s="3273"/>
      <c r="Q187" s="3274"/>
      <c r="R187" s="3713"/>
      <c r="S187" s="3713"/>
      <c r="T187" s="3713"/>
      <c r="U187" s="3713"/>
      <c r="V187" s="3713"/>
      <c r="W187" s="3713"/>
      <c r="X187" s="3713"/>
      <c r="Y187" s="3713"/>
      <c r="Z187" s="3713"/>
      <c r="AA187" s="3713"/>
      <c r="AB187" s="3274"/>
      <c r="AC187" s="3274"/>
      <c r="AD187" s="3274"/>
      <c r="AE187" s="3274"/>
      <c r="AF187" s="3274"/>
      <c r="AG187" s="3274"/>
      <c r="AH187" s="3274"/>
      <c r="AI187" s="3274"/>
      <c r="AJ187" s="3274"/>
      <c r="AK187" s="3274"/>
      <c r="AL187" s="3274"/>
      <c r="AM187" s="3276"/>
      <c r="AN187" s="3387"/>
      <c r="AO187" s="3384"/>
      <c r="AP187" s="2062" t="s">
        <v>1646</v>
      </c>
      <c r="AQ187" s="2063">
        <v>269952</v>
      </c>
      <c r="AR187" s="2063">
        <v>34992</v>
      </c>
      <c r="AS187" s="2063"/>
      <c r="AT187" s="2063">
        <v>10000</v>
      </c>
      <c r="AU187" s="2063"/>
      <c r="AV187" s="2063"/>
      <c r="AW187" s="2063">
        <v>23744</v>
      </c>
      <c r="AX187" s="2063"/>
      <c r="AY187" s="2063"/>
      <c r="AZ187" s="2063">
        <v>10000</v>
      </c>
      <c r="BA187" s="2063"/>
      <c r="BB187" s="2063">
        <v>56240</v>
      </c>
      <c r="BC187" s="3465"/>
      <c r="BD187" s="3465"/>
      <c r="BE187" s="3469"/>
      <c r="BF187" s="3469"/>
      <c r="BG187" s="3469"/>
      <c r="BH187" s="3469"/>
      <c r="BI187" s="3469"/>
      <c r="BJ187" s="3469"/>
      <c r="BK187" s="3469"/>
      <c r="BL187" s="3469"/>
      <c r="BM187" s="3469"/>
      <c r="BN187" s="3469"/>
      <c r="BO187" s="3469"/>
      <c r="BP187" s="3486"/>
      <c r="BQ187" s="3474"/>
      <c r="BR187" s="3469"/>
      <c r="BS187" s="3469"/>
      <c r="BT187" s="3469"/>
      <c r="BU187" s="3469"/>
      <c r="BV187" s="3469"/>
      <c r="BW187" s="3469"/>
      <c r="BX187" s="3469"/>
      <c r="BY187" s="3469"/>
      <c r="BZ187" s="3469"/>
      <c r="CA187" s="3469"/>
      <c r="CB187" s="3471"/>
      <c r="CC187" s="3474"/>
      <c r="CD187" s="3469"/>
      <c r="CE187" s="3469"/>
      <c r="CF187" s="3469"/>
      <c r="CG187" s="3469"/>
      <c r="CH187" s="3469"/>
      <c r="CI187" s="3469"/>
      <c r="CJ187" s="3469"/>
      <c r="CK187" s="3469"/>
      <c r="CL187" s="3469"/>
      <c r="CM187" s="3471"/>
    </row>
    <row r="188" spans="1:91" ht="15.75" thickBot="1">
      <c r="A188" s="3357"/>
      <c r="B188" s="2551">
        <f t="shared" si="2"/>
        <v>0</v>
      </c>
      <c r="C188" s="3361"/>
      <c r="D188" s="3361"/>
      <c r="E188" s="3361"/>
      <c r="F188" s="3365"/>
      <c r="G188" s="3378"/>
      <c r="H188" s="3361"/>
      <c r="I188" s="3480"/>
      <c r="J188" s="3361"/>
      <c r="K188" s="3361"/>
      <c r="L188" s="3361"/>
      <c r="M188" s="3361"/>
      <c r="N188" s="3365"/>
      <c r="O188" s="3485"/>
      <c r="P188" s="3359"/>
      <c r="Q188" s="3361"/>
      <c r="R188" s="3363"/>
      <c r="S188" s="3363"/>
      <c r="T188" s="3363"/>
      <c r="U188" s="3363"/>
      <c r="V188" s="3363"/>
      <c r="W188" s="3363"/>
      <c r="X188" s="3363"/>
      <c r="Y188" s="3363"/>
      <c r="Z188" s="3363"/>
      <c r="AA188" s="3363"/>
      <c r="AB188" s="3361"/>
      <c r="AC188" s="3361"/>
      <c r="AD188" s="3361"/>
      <c r="AE188" s="3361"/>
      <c r="AF188" s="3361"/>
      <c r="AG188" s="3361"/>
      <c r="AH188" s="3361"/>
      <c r="AI188" s="3361"/>
      <c r="AJ188" s="3361"/>
      <c r="AK188" s="3361"/>
      <c r="AL188" s="3361"/>
      <c r="AM188" s="3365"/>
      <c r="AN188" s="3357"/>
      <c r="AO188" s="3373"/>
      <c r="AP188" s="2089" t="s">
        <v>1647</v>
      </c>
      <c r="AQ188" s="2515">
        <v>332235</v>
      </c>
      <c r="AR188" s="2515"/>
      <c r="AS188" s="2515"/>
      <c r="AT188" s="2515"/>
      <c r="AU188" s="2515"/>
      <c r="AV188" s="2515"/>
      <c r="AW188" s="2456"/>
      <c r="AX188" s="2515"/>
      <c r="AY188" s="2515"/>
      <c r="AZ188" s="2515"/>
      <c r="BA188" s="2515"/>
      <c r="BB188" s="2515">
        <v>40365</v>
      </c>
      <c r="BC188" s="3466"/>
      <c r="BD188" s="3466"/>
      <c r="BE188" s="3470"/>
      <c r="BF188" s="3470"/>
      <c r="BG188" s="3470"/>
      <c r="BH188" s="3470"/>
      <c r="BI188" s="3470"/>
      <c r="BJ188" s="3470"/>
      <c r="BK188" s="3470"/>
      <c r="BL188" s="3470"/>
      <c r="BM188" s="3470"/>
      <c r="BN188" s="3470"/>
      <c r="BO188" s="3470"/>
      <c r="BP188" s="3487"/>
      <c r="BQ188" s="3475"/>
      <c r="BR188" s="3470"/>
      <c r="BS188" s="3470"/>
      <c r="BT188" s="3470"/>
      <c r="BU188" s="3470"/>
      <c r="BV188" s="3470"/>
      <c r="BW188" s="3470"/>
      <c r="BX188" s="3470"/>
      <c r="BY188" s="3470"/>
      <c r="BZ188" s="3470"/>
      <c r="CA188" s="3470"/>
      <c r="CB188" s="3472"/>
      <c r="CC188" s="3475"/>
      <c r="CD188" s="3470"/>
      <c r="CE188" s="3470"/>
      <c r="CF188" s="3470"/>
      <c r="CG188" s="3470"/>
      <c r="CH188" s="3470"/>
      <c r="CI188" s="3470"/>
      <c r="CJ188" s="3470"/>
      <c r="CK188" s="3470"/>
      <c r="CL188" s="3470"/>
      <c r="CM188" s="3472"/>
    </row>
    <row r="189" spans="1:91" ht="15.75" thickBot="1">
      <c r="A189" s="2051">
        <v>68</v>
      </c>
      <c r="B189" s="2551" t="str">
        <f t="shared" si="2"/>
        <v>3041490050</v>
      </c>
      <c r="C189" s="2044" t="s">
        <v>703</v>
      </c>
      <c r="D189" s="2045">
        <v>4149</v>
      </c>
      <c r="E189" s="2045">
        <v>50</v>
      </c>
      <c r="F189" s="2032">
        <v>18005</v>
      </c>
      <c r="G189" s="2046" t="s">
        <v>1084</v>
      </c>
      <c r="H189" s="2045" t="s">
        <v>1560</v>
      </c>
      <c r="I189" s="2047">
        <v>1</v>
      </c>
      <c r="J189" s="2533">
        <v>0</v>
      </c>
      <c r="K189" s="2533">
        <v>10000</v>
      </c>
      <c r="L189" s="2533">
        <v>0</v>
      </c>
      <c r="M189" s="2533">
        <v>10000</v>
      </c>
      <c r="N189" s="2035">
        <v>0</v>
      </c>
      <c r="O189" s="2048" t="s">
        <v>1572</v>
      </c>
      <c r="P189" s="2049">
        <v>0</v>
      </c>
      <c r="Q189" s="2533">
        <v>0</v>
      </c>
      <c r="R189" s="2533">
        <v>0</v>
      </c>
      <c r="S189" s="2533">
        <v>0</v>
      </c>
      <c r="T189" s="2533">
        <v>10000</v>
      </c>
      <c r="U189" s="2533">
        <v>0</v>
      </c>
      <c r="V189" s="2533">
        <v>0</v>
      </c>
      <c r="W189" s="2533">
        <v>0</v>
      </c>
      <c r="X189" s="2533">
        <v>0</v>
      </c>
      <c r="Y189" s="2533">
        <v>0</v>
      </c>
      <c r="Z189" s="2533">
        <v>0</v>
      </c>
      <c r="AA189" s="2533">
        <v>0</v>
      </c>
      <c r="AB189" s="2533">
        <v>10000</v>
      </c>
      <c r="AC189" s="2533">
        <v>10000</v>
      </c>
      <c r="AD189" s="2533">
        <v>0</v>
      </c>
      <c r="AE189" s="2533">
        <v>0</v>
      </c>
      <c r="AF189" s="2533">
        <v>33</v>
      </c>
      <c r="AG189" s="2533">
        <v>0</v>
      </c>
      <c r="AH189" s="2533">
        <v>0</v>
      </c>
      <c r="AI189" s="2533">
        <v>0</v>
      </c>
      <c r="AJ189" s="2533">
        <v>0</v>
      </c>
      <c r="AK189" s="2533">
        <v>0</v>
      </c>
      <c r="AL189" s="2533">
        <v>33</v>
      </c>
      <c r="AM189" s="2032">
        <v>15</v>
      </c>
      <c r="AN189" s="2033" t="s">
        <v>705</v>
      </c>
      <c r="AO189" s="2046" t="s">
        <v>706</v>
      </c>
      <c r="AP189" s="2090" t="s">
        <v>1637</v>
      </c>
      <c r="AQ189" s="2090">
        <v>66618</v>
      </c>
      <c r="AR189" s="2090">
        <v>16204.5</v>
      </c>
      <c r="AS189" s="2090">
        <v>0</v>
      </c>
      <c r="AT189" s="2090">
        <v>0</v>
      </c>
      <c r="AU189" s="2090">
        <v>0</v>
      </c>
      <c r="AV189" s="2090">
        <v>0</v>
      </c>
      <c r="AW189" s="2090">
        <v>0</v>
      </c>
      <c r="AX189" s="2090">
        <v>0</v>
      </c>
      <c r="AY189" s="2090">
        <v>0</v>
      </c>
      <c r="AZ189" s="2090">
        <v>0</v>
      </c>
      <c r="BA189" s="2090">
        <v>0</v>
      </c>
      <c r="BB189" s="2090">
        <v>0</v>
      </c>
      <c r="BC189" s="2090">
        <v>82822.5</v>
      </c>
      <c r="BD189" s="2090">
        <v>84623</v>
      </c>
      <c r="BE189" s="2090">
        <v>66</v>
      </c>
      <c r="BF189" s="2090">
        <v>33</v>
      </c>
      <c r="BG189" s="2090">
        <v>17</v>
      </c>
      <c r="BH189" s="2090">
        <v>0</v>
      </c>
      <c r="BI189" s="2090">
        <v>16</v>
      </c>
      <c r="BJ189" s="2090">
        <v>0</v>
      </c>
      <c r="BK189" s="2090">
        <v>0</v>
      </c>
      <c r="BL189" s="2090">
        <v>0</v>
      </c>
      <c r="BM189" s="2090">
        <v>0</v>
      </c>
      <c r="BN189" s="2090">
        <v>0</v>
      </c>
      <c r="BO189" s="2090">
        <v>33</v>
      </c>
      <c r="BP189" s="2090">
        <v>105</v>
      </c>
      <c r="BQ189" s="2091">
        <v>66618</v>
      </c>
      <c r="BR189" s="2092">
        <v>16204.5</v>
      </c>
      <c r="BS189" s="2092">
        <v>0</v>
      </c>
      <c r="BT189" s="2092">
        <v>0</v>
      </c>
      <c r="BU189" s="2092">
        <v>-10000</v>
      </c>
      <c r="BV189" s="2092">
        <v>0</v>
      </c>
      <c r="BW189" s="2092">
        <v>0</v>
      </c>
      <c r="BX189" s="2092">
        <v>0</v>
      </c>
      <c r="BY189" s="2092">
        <v>0</v>
      </c>
      <c r="BZ189" s="2092">
        <v>0</v>
      </c>
      <c r="CA189" s="2092">
        <v>0</v>
      </c>
      <c r="CB189" s="2084">
        <v>0</v>
      </c>
      <c r="CC189" s="2083">
        <v>72822.5</v>
      </c>
      <c r="CD189" s="2083">
        <v>6204.5</v>
      </c>
      <c r="CE189" s="2083">
        <v>66</v>
      </c>
      <c r="CF189" s="2083">
        <v>33</v>
      </c>
      <c r="CG189" s="2083">
        <v>17</v>
      </c>
      <c r="CH189" s="2083">
        <v>0</v>
      </c>
      <c r="CI189" s="2083">
        <v>-17</v>
      </c>
      <c r="CJ189" s="2083">
        <v>0</v>
      </c>
      <c r="CK189" s="2083">
        <v>0</v>
      </c>
      <c r="CL189" s="2083">
        <v>0</v>
      </c>
      <c r="CM189" s="2084">
        <v>0</v>
      </c>
    </row>
    <row r="190" spans="1:91">
      <c r="A190" s="3312">
        <v>69</v>
      </c>
      <c r="B190" s="2551" t="str">
        <f t="shared" si="2"/>
        <v>3041530034</v>
      </c>
      <c r="C190" s="2022" t="s">
        <v>703</v>
      </c>
      <c r="D190" s="2023">
        <v>4153</v>
      </c>
      <c r="E190" s="2023">
        <v>34</v>
      </c>
      <c r="F190" s="2506">
        <v>14950</v>
      </c>
      <c r="G190" s="2507" t="s">
        <v>947</v>
      </c>
      <c r="H190" s="2023" t="s">
        <v>1560</v>
      </c>
      <c r="I190" s="2024">
        <v>1</v>
      </c>
      <c r="J190" s="2505">
        <v>0</v>
      </c>
      <c r="K190" s="2505">
        <v>3300</v>
      </c>
      <c r="L190" s="2505">
        <v>0</v>
      </c>
      <c r="M190" s="2505">
        <v>3300</v>
      </c>
      <c r="N190" s="2025">
        <v>0</v>
      </c>
      <c r="O190" s="2525" t="s">
        <v>1648</v>
      </c>
      <c r="P190" s="3346">
        <v>0</v>
      </c>
      <c r="Q190" s="3331">
        <v>3300</v>
      </c>
      <c r="R190" s="3331">
        <v>0</v>
      </c>
      <c r="S190" s="3331">
        <v>3000</v>
      </c>
      <c r="T190" s="3331">
        <v>0</v>
      </c>
      <c r="U190" s="3331">
        <v>0</v>
      </c>
      <c r="V190" s="3331">
        <v>0</v>
      </c>
      <c r="W190" s="3331">
        <v>0</v>
      </c>
      <c r="X190" s="3331">
        <v>0</v>
      </c>
      <c r="Y190" s="3331">
        <v>0</v>
      </c>
      <c r="Z190" s="3331">
        <v>0</v>
      </c>
      <c r="AA190" s="3331">
        <v>0</v>
      </c>
      <c r="AB190" s="3331">
        <v>6300</v>
      </c>
      <c r="AC190" s="3331">
        <v>6300</v>
      </c>
      <c r="AD190" s="3331">
        <v>0</v>
      </c>
      <c r="AE190" s="3331">
        <v>0</v>
      </c>
      <c r="AF190" s="3331">
        <v>5</v>
      </c>
      <c r="AG190" s="3331">
        <v>0</v>
      </c>
      <c r="AH190" s="3331">
        <v>0</v>
      </c>
      <c r="AI190" s="3331">
        <v>0</v>
      </c>
      <c r="AJ190" s="3331">
        <v>0</v>
      </c>
      <c r="AK190" s="3331">
        <v>0</v>
      </c>
      <c r="AL190" s="3331">
        <v>5</v>
      </c>
      <c r="AM190" s="3345">
        <v>15</v>
      </c>
      <c r="AN190" s="3277" t="s">
        <v>1331</v>
      </c>
      <c r="AO190" s="3279" t="s">
        <v>1560</v>
      </c>
      <c r="AP190" s="3464" t="s">
        <v>1649</v>
      </c>
      <c r="AQ190" s="3464">
        <v>125842</v>
      </c>
      <c r="AR190" s="3407">
        <v>10477.5</v>
      </c>
      <c r="AS190" s="3407">
        <v>0</v>
      </c>
      <c r="AT190" s="3407">
        <v>7500</v>
      </c>
      <c r="AU190" s="3407">
        <v>0</v>
      </c>
      <c r="AV190" s="3407">
        <v>0</v>
      </c>
      <c r="AW190" s="3407">
        <v>0</v>
      </c>
      <c r="AX190" s="3407">
        <v>0</v>
      </c>
      <c r="AY190" s="3407">
        <v>0</v>
      </c>
      <c r="AZ190" s="3407">
        <v>0</v>
      </c>
      <c r="BA190" s="3407">
        <v>0</v>
      </c>
      <c r="BB190" s="3407">
        <v>0</v>
      </c>
      <c r="BC190" s="3407">
        <v>143819.5</v>
      </c>
      <c r="BD190" s="3407">
        <v>145817</v>
      </c>
      <c r="BE190" s="3407">
        <v>125</v>
      </c>
      <c r="BF190" s="3407">
        <v>63</v>
      </c>
      <c r="BG190" s="3407">
        <v>25</v>
      </c>
      <c r="BH190" s="3407">
        <v>0</v>
      </c>
      <c r="BI190" s="3407">
        <v>18</v>
      </c>
      <c r="BJ190" s="3407">
        <v>0</v>
      </c>
      <c r="BK190" s="3407">
        <v>0</v>
      </c>
      <c r="BL190" s="3407">
        <v>0</v>
      </c>
      <c r="BM190" s="3407">
        <v>0</v>
      </c>
      <c r="BN190" s="3407">
        <v>0</v>
      </c>
      <c r="BO190" s="3407">
        <v>43</v>
      </c>
      <c r="BP190" s="3407">
        <v>145</v>
      </c>
      <c r="BQ190" s="3476">
        <v>125842</v>
      </c>
      <c r="BR190" s="3408">
        <v>7177.5</v>
      </c>
      <c r="BS190" s="3408">
        <v>0</v>
      </c>
      <c r="BT190" s="3408">
        <v>4500</v>
      </c>
      <c r="BU190" s="3408">
        <v>0</v>
      </c>
      <c r="BV190" s="3408">
        <v>0</v>
      </c>
      <c r="BW190" s="3408">
        <v>0</v>
      </c>
      <c r="BX190" s="3408">
        <v>0</v>
      </c>
      <c r="BY190" s="3408">
        <v>0</v>
      </c>
      <c r="BZ190" s="3408">
        <v>0</v>
      </c>
      <c r="CA190" s="3408">
        <v>0</v>
      </c>
      <c r="CB190" s="3405">
        <v>0</v>
      </c>
      <c r="CC190" s="3426">
        <v>137519.5</v>
      </c>
      <c r="CD190" s="3426">
        <v>11677.5</v>
      </c>
      <c r="CE190" s="3426">
        <v>125</v>
      </c>
      <c r="CF190" s="3426">
        <v>63</v>
      </c>
      <c r="CG190" s="3426">
        <v>25</v>
      </c>
      <c r="CH190" s="3426">
        <v>0</v>
      </c>
      <c r="CI190" s="3425">
        <v>13</v>
      </c>
      <c r="CJ190" s="3425">
        <v>0</v>
      </c>
      <c r="CK190" s="3425">
        <v>0</v>
      </c>
      <c r="CL190" s="3425">
        <v>0</v>
      </c>
      <c r="CM190" s="3404">
        <v>0</v>
      </c>
    </row>
    <row r="191" spans="1:91" ht="15.75" thickBot="1">
      <c r="A191" s="3283"/>
      <c r="B191" s="2551" t="str">
        <f t="shared" si="2"/>
        <v>3041530040</v>
      </c>
      <c r="C191" s="2493" t="s">
        <v>710</v>
      </c>
      <c r="D191" s="2018">
        <v>4153</v>
      </c>
      <c r="E191" s="2018">
        <v>40</v>
      </c>
      <c r="F191" s="2019">
        <v>5025</v>
      </c>
      <c r="G191" s="2498" t="s">
        <v>947</v>
      </c>
      <c r="H191" s="2018" t="s">
        <v>1560</v>
      </c>
      <c r="I191" s="2020">
        <v>1</v>
      </c>
      <c r="J191" s="2501">
        <v>3000</v>
      </c>
      <c r="K191" s="2501">
        <v>0</v>
      </c>
      <c r="L191" s="2501">
        <v>0</v>
      </c>
      <c r="M191" s="2501">
        <v>3000</v>
      </c>
      <c r="N191" s="2508">
        <v>0</v>
      </c>
      <c r="O191" s="2037" t="s">
        <v>1620</v>
      </c>
      <c r="P191" s="3342"/>
      <c r="Q191" s="3332"/>
      <c r="R191" s="3332"/>
      <c r="S191" s="3332"/>
      <c r="T191" s="3332"/>
      <c r="U191" s="3332"/>
      <c r="V191" s="3332"/>
      <c r="W191" s="3332"/>
      <c r="X191" s="3332"/>
      <c r="Y191" s="3332"/>
      <c r="Z191" s="3332"/>
      <c r="AA191" s="3332"/>
      <c r="AB191" s="3332"/>
      <c r="AC191" s="3332"/>
      <c r="AD191" s="3332"/>
      <c r="AE191" s="3332"/>
      <c r="AF191" s="3332"/>
      <c r="AG191" s="3332"/>
      <c r="AH191" s="3332"/>
      <c r="AI191" s="3332"/>
      <c r="AJ191" s="3332"/>
      <c r="AK191" s="3332"/>
      <c r="AL191" s="3332"/>
      <c r="AM191" s="3344"/>
      <c r="AN191" s="3338"/>
      <c r="AO191" s="3339"/>
      <c r="AP191" s="3488"/>
      <c r="AQ191" s="3466"/>
      <c r="AR191" s="3409"/>
      <c r="AS191" s="3409"/>
      <c r="AT191" s="3409"/>
      <c r="AU191" s="3409"/>
      <c r="AV191" s="3409"/>
      <c r="AW191" s="3409"/>
      <c r="AX191" s="3409"/>
      <c r="AY191" s="3409"/>
      <c r="AZ191" s="3409"/>
      <c r="BA191" s="3409"/>
      <c r="BB191" s="3409"/>
      <c r="BC191" s="3409"/>
      <c r="BD191" s="3409"/>
      <c r="BE191" s="3409"/>
      <c r="BF191" s="3409"/>
      <c r="BG191" s="3409"/>
      <c r="BH191" s="3409"/>
      <c r="BI191" s="3409"/>
      <c r="BJ191" s="3409"/>
      <c r="BK191" s="3409"/>
      <c r="BL191" s="3409"/>
      <c r="BM191" s="3409"/>
      <c r="BN191" s="3409"/>
      <c r="BO191" s="3409"/>
      <c r="BP191" s="3409"/>
      <c r="BQ191" s="3475"/>
      <c r="BR191" s="3470"/>
      <c r="BS191" s="3470"/>
      <c r="BT191" s="3470"/>
      <c r="BU191" s="3470"/>
      <c r="BV191" s="3470"/>
      <c r="BW191" s="3470"/>
      <c r="BX191" s="3470"/>
      <c r="BY191" s="3470"/>
      <c r="BZ191" s="3470"/>
      <c r="CA191" s="3470"/>
      <c r="CB191" s="3472"/>
      <c r="CC191" s="3468"/>
      <c r="CD191" s="3468"/>
      <c r="CE191" s="3468"/>
      <c r="CF191" s="3468"/>
      <c r="CG191" s="3468"/>
      <c r="CH191" s="3468"/>
      <c r="CI191" s="3468"/>
      <c r="CJ191" s="3468"/>
      <c r="CK191" s="3468"/>
      <c r="CL191" s="3468"/>
      <c r="CM191" s="3472"/>
    </row>
    <row r="192" spans="1:91">
      <c r="A192" s="3282">
        <v>70</v>
      </c>
      <c r="B192" s="2551" t="str">
        <f t="shared" si="2"/>
        <v>3041530076</v>
      </c>
      <c r="C192" s="2010" t="s">
        <v>703</v>
      </c>
      <c r="D192" s="2011">
        <v>4153</v>
      </c>
      <c r="E192" s="2011">
        <v>76</v>
      </c>
      <c r="F192" s="2494">
        <v>3750</v>
      </c>
      <c r="G192" s="2496" t="s">
        <v>1079</v>
      </c>
      <c r="H192" s="2011" t="s">
        <v>1584</v>
      </c>
      <c r="I192" s="2012">
        <v>1.25</v>
      </c>
      <c r="J192" s="2491">
        <v>0</v>
      </c>
      <c r="K192" s="2491">
        <v>0</v>
      </c>
      <c r="L192" s="2491">
        <v>0</v>
      </c>
      <c r="M192" s="2491">
        <v>0</v>
      </c>
      <c r="N192" s="2489">
        <v>0</v>
      </c>
      <c r="O192" s="2525" t="s">
        <v>1631</v>
      </c>
      <c r="P192" s="3346">
        <v>10938</v>
      </c>
      <c r="Q192" s="3331">
        <v>0</v>
      </c>
      <c r="R192" s="3331">
        <v>0</v>
      </c>
      <c r="S192" s="3331">
        <v>0</v>
      </c>
      <c r="T192" s="3331">
        <v>0</v>
      </c>
      <c r="U192" s="3331">
        <v>0</v>
      </c>
      <c r="V192" s="3331">
        <v>0</v>
      </c>
      <c r="W192" s="3331">
        <v>0</v>
      </c>
      <c r="X192" s="3331">
        <v>0</v>
      </c>
      <c r="Y192" s="3331">
        <v>0</v>
      </c>
      <c r="Z192" s="3331">
        <v>0</v>
      </c>
      <c r="AA192" s="3331">
        <v>0</v>
      </c>
      <c r="AB192" s="3331">
        <v>10938</v>
      </c>
      <c r="AC192" s="3331">
        <v>10938</v>
      </c>
      <c r="AD192" s="3331">
        <v>9</v>
      </c>
      <c r="AE192" s="3331">
        <v>0</v>
      </c>
      <c r="AF192" s="3331">
        <v>0</v>
      </c>
      <c r="AG192" s="3331">
        <v>0</v>
      </c>
      <c r="AH192" s="3331">
        <v>0</v>
      </c>
      <c r="AI192" s="3331">
        <v>0</v>
      </c>
      <c r="AJ192" s="3331">
        <v>0</v>
      </c>
      <c r="AK192" s="3331">
        <v>0</v>
      </c>
      <c r="AL192" s="3331">
        <v>0</v>
      </c>
      <c r="AM192" s="3345">
        <v>35</v>
      </c>
      <c r="AN192" s="3277" t="s">
        <v>1585</v>
      </c>
      <c r="AO192" s="3279" t="s">
        <v>706</v>
      </c>
      <c r="AP192" s="3265" t="s">
        <v>1599</v>
      </c>
      <c r="AQ192" s="3265">
        <v>24975</v>
      </c>
      <c r="AR192" s="3331">
        <v>6525</v>
      </c>
      <c r="AS192" s="3331">
        <v>0</v>
      </c>
      <c r="AT192" s="3331">
        <v>0</v>
      </c>
      <c r="AU192" s="3331">
        <v>0</v>
      </c>
      <c r="AV192" s="3331">
        <v>0</v>
      </c>
      <c r="AW192" s="3331">
        <v>0</v>
      </c>
      <c r="AX192" s="3331">
        <v>0</v>
      </c>
      <c r="AY192" s="3331">
        <v>0</v>
      </c>
      <c r="AZ192" s="3331">
        <v>0</v>
      </c>
      <c r="BA192" s="3331">
        <v>0</v>
      </c>
      <c r="BB192" s="3331">
        <v>0</v>
      </c>
      <c r="BC192" s="3331">
        <v>31500</v>
      </c>
      <c r="BD192" s="3331">
        <v>32725</v>
      </c>
      <c r="BE192" s="3331">
        <v>24</v>
      </c>
      <c r="BF192" s="3331">
        <v>12</v>
      </c>
      <c r="BG192" s="3331">
        <v>6</v>
      </c>
      <c r="BH192" s="3331">
        <v>0</v>
      </c>
      <c r="BI192" s="3331">
        <v>7</v>
      </c>
      <c r="BJ192" s="3331">
        <v>0</v>
      </c>
      <c r="BK192" s="3331">
        <v>0</v>
      </c>
      <c r="BL192" s="3331">
        <v>0</v>
      </c>
      <c r="BM192" s="3331">
        <v>0</v>
      </c>
      <c r="BN192" s="3331">
        <v>0</v>
      </c>
      <c r="BO192" s="3331">
        <v>13</v>
      </c>
      <c r="BP192" s="3331">
        <v>85</v>
      </c>
      <c r="BQ192" s="3379">
        <v>14037</v>
      </c>
      <c r="BR192" s="3331">
        <v>6525</v>
      </c>
      <c r="BS192" s="3331">
        <v>0</v>
      </c>
      <c r="BT192" s="3331">
        <v>0</v>
      </c>
      <c r="BU192" s="3331">
        <v>0</v>
      </c>
      <c r="BV192" s="3331">
        <v>0</v>
      </c>
      <c r="BW192" s="3331">
        <v>0</v>
      </c>
      <c r="BX192" s="3331">
        <v>0</v>
      </c>
      <c r="BY192" s="3331">
        <v>0</v>
      </c>
      <c r="BZ192" s="3331">
        <v>0</v>
      </c>
      <c r="CA192" s="3331">
        <v>0</v>
      </c>
      <c r="CB192" s="3345">
        <v>0</v>
      </c>
      <c r="CC192" s="3346">
        <v>20562</v>
      </c>
      <c r="CD192" s="3346">
        <v>6525</v>
      </c>
      <c r="CE192" s="3346">
        <v>15</v>
      </c>
      <c r="CF192" s="3346">
        <v>12</v>
      </c>
      <c r="CG192" s="3346">
        <v>6</v>
      </c>
      <c r="CH192" s="3346">
        <v>0</v>
      </c>
      <c r="CI192" s="3346">
        <v>7</v>
      </c>
      <c r="CJ192" s="3346">
        <v>0</v>
      </c>
      <c r="CK192" s="3346">
        <v>0</v>
      </c>
      <c r="CL192" s="3346">
        <v>0</v>
      </c>
      <c r="CM192" s="3345">
        <v>0</v>
      </c>
    </row>
    <row r="193" spans="1:91">
      <c r="A193" s="3313"/>
      <c r="B193" s="2551" t="str">
        <f t="shared" si="2"/>
        <v>3041530078</v>
      </c>
      <c r="C193" s="2492" t="s">
        <v>710</v>
      </c>
      <c r="D193" s="2026">
        <v>4153</v>
      </c>
      <c r="E193" s="2026">
        <v>78</v>
      </c>
      <c r="F193" s="2027">
        <v>2000</v>
      </c>
      <c r="G193" s="2497" t="s">
        <v>1079</v>
      </c>
      <c r="H193" s="2026" t="s">
        <v>1584</v>
      </c>
      <c r="I193" s="2028">
        <v>1.25</v>
      </c>
      <c r="J193" s="2500">
        <v>0</v>
      </c>
      <c r="K193" s="2500">
        <v>0</v>
      </c>
      <c r="L193" s="2500">
        <v>0</v>
      </c>
      <c r="M193" s="2500">
        <v>0</v>
      </c>
      <c r="N193" s="2029">
        <v>0</v>
      </c>
      <c r="O193" s="2030" t="s">
        <v>1631</v>
      </c>
      <c r="P193" s="3341"/>
      <c r="Q193" s="3340"/>
      <c r="R193" s="3340"/>
      <c r="S193" s="3340"/>
      <c r="T193" s="3340"/>
      <c r="U193" s="3340"/>
      <c r="V193" s="3340"/>
      <c r="W193" s="3340"/>
      <c r="X193" s="3340"/>
      <c r="Y193" s="3340"/>
      <c r="Z193" s="3340"/>
      <c r="AA193" s="3340"/>
      <c r="AB193" s="3340"/>
      <c r="AC193" s="3340"/>
      <c r="AD193" s="3340"/>
      <c r="AE193" s="3340"/>
      <c r="AF193" s="3340"/>
      <c r="AG193" s="3340"/>
      <c r="AH193" s="3340"/>
      <c r="AI193" s="3340"/>
      <c r="AJ193" s="3340"/>
      <c r="AK193" s="3340"/>
      <c r="AL193" s="3340"/>
      <c r="AM193" s="3343"/>
      <c r="AN193" s="3278"/>
      <c r="AO193" s="3280"/>
      <c r="AP193" s="3274"/>
      <c r="AQ193" s="3274"/>
      <c r="AR193" s="3340"/>
      <c r="AS193" s="3340"/>
      <c r="AT193" s="3340"/>
      <c r="AU193" s="3340"/>
      <c r="AV193" s="3340"/>
      <c r="AW193" s="3340"/>
      <c r="AX193" s="3340"/>
      <c r="AY193" s="3340"/>
      <c r="AZ193" s="3340"/>
      <c r="BA193" s="3340"/>
      <c r="BB193" s="3340"/>
      <c r="BC193" s="3340"/>
      <c r="BD193" s="3340"/>
      <c r="BE193" s="3340"/>
      <c r="BF193" s="3340"/>
      <c r="BG193" s="3340"/>
      <c r="BH193" s="3340"/>
      <c r="BI193" s="3340"/>
      <c r="BJ193" s="3340"/>
      <c r="BK193" s="3340"/>
      <c r="BL193" s="3340"/>
      <c r="BM193" s="3340"/>
      <c r="BN193" s="3340"/>
      <c r="BO193" s="3340"/>
      <c r="BP193" s="3340"/>
      <c r="BQ193" s="3387"/>
      <c r="BR193" s="3385"/>
      <c r="BS193" s="3385"/>
      <c r="BT193" s="3385"/>
      <c r="BU193" s="3385"/>
      <c r="BV193" s="3385"/>
      <c r="BW193" s="3385"/>
      <c r="BX193" s="3385"/>
      <c r="BY193" s="3385"/>
      <c r="BZ193" s="3385"/>
      <c r="CA193" s="3385"/>
      <c r="CB193" s="3386"/>
      <c r="CC193" s="3384"/>
      <c r="CD193" s="3384"/>
      <c r="CE193" s="3384"/>
      <c r="CF193" s="3384"/>
      <c r="CG193" s="3384"/>
      <c r="CH193" s="3384"/>
      <c r="CI193" s="3384"/>
      <c r="CJ193" s="3384"/>
      <c r="CK193" s="3384"/>
      <c r="CL193" s="3384"/>
      <c r="CM193" s="3386"/>
    </row>
    <row r="194" spans="1:91" ht="15.75" thickBot="1">
      <c r="A194" s="3380"/>
      <c r="B194" s="2551" t="str">
        <f t="shared" si="2"/>
        <v>3041530079</v>
      </c>
      <c r="C194" s="2468" t="s">
        <v>721</v>
      </c>
      <c r="D194" s="2014">
        <v>4153</v>
      </c>
      <c r="E194" s="2014">
        <v>79</v>
      </c>
      <c r="F194" s="2038">
        <v>3000</v>
      </c>
      <c r="G194" s="2133" t="s">
        <v>1079</v>
      </c>
      <c r="H194" s="2014" t="s">
        <v>1584</v>
      </c>
      <c r="I194" s="2016">
        <v>1.25</v>
      </c>
      <c r="J194" s="2538">
        <v>0</v>
      </c>
      <c r="K194" s="2538">
        <v>1800</v>
      </c>
      <c r="L194" s="2538">
        <v>0</v>
      </c>
      <c r="M194" s="2538">
        <v>1800</v>
      </c>
      <c r="N194" s="2509">
        <v>0</v>
      </c>
      <c r="O194" s="2031" t="s">
        <v>1631</v>
      </c>
      <c r="P194" s="3342"/>
      <c r="Q194" s="3332"/>
      <c r="R194" s="3332"/>
      <c r="S194" s="3332"/>
      <c r="T194" s="3332"/>
      <c r="U194" s="3332"/>
      <c r="V194" s="3332"/>
      <c r="W194" s="3332"/>
      <c r="X194" s="3332"/>
      <c r="Y194" s="3332"/>
      <c r="Z194" s="3332"/>
      <c r="AA194" s="3332"/>
      <c r="AB194" s="3332"/>
      <c r="AC194" s="3332"/>
      <c r="AD194" s="3332"/>
      <c r="AE194" s="3332"/>
      <c r="AF194" s="3332"/>
      <c r="AG194" s="3332"/>
      <c r="AH194" s="3332"/>
      <c r="AI194" s="3332"/>
      <c r="AJ194" s="3332"/>
      <c r="AK194" s="3332"/>
      <c r="AL194" s="3332"/>
      <c r="AM194" s="3344"/>
      <c r="AN194" s="3338"/>
      <c r="AO194" s="3339"/>
      <c r="AP194" s="3361"/>
      <c r="AQ194" s="3361"/>
      <c r="AR194" s="3332"/>
      <c r="AS194" s="3332"/>
      <c r="AT194" s="3332"/>
      <c r="AU194" s="3332"/>
      <c r="AV194" s="3332"/>
      <c r="AW194" s="3332"/>
      <c r="AX194" s="3332"/>
      <c r="AY194" s="3332"/>
      <c r="AZ194" s="3332"/>
      <c r="BA194" s="3332"/>
      <c r="BB194" s="3332"/>
      <c r="BC194" s="3332"/>
      <c r="BD194" s="3332"/>
      <c r="BE194" s="3332"/>
      <c r="BF194" s="3332"/>
      <c r="BG194" s="3332"/>
      <c r="BH194" s="3332"/>
      <c r="BI194" s="3332"/>
      <c r="BJ194" s="3332"/>
      <c r="BK194" s="3332"/>
      <c r="BL194" s="3332"/>
      <c r="BM194" s="3332"/>
      <c r="BN194" s="3332"/>
      <c r="BO194" s="3332"/>
      <c r="BP194" s="3332"/>
      <c r="BQ194" s="3387"/>
      <c r="BR194" s="3385"/>
      <c r="BS194" s="3385"/>
      <c r="BT194" s="3385"/>
      <c r="BU194" s="3385"/>
      <c r="BV194" s="3385"/>
      <c r="BW194" s="3385"/>
      <c r="BX194" s="3385"/>
      <c r="BY194" s="3385"/>
      <c r="BZ194" s="3385"/>
      <c r="CA194" s="3385"/>
      <c r="CB194" s="3386"/>
      <c r="CC194" s="3384"/>
      <c r="CD194" s="3384"/>
      <c r="CE194" s="3384"/>
      <c r="CF194" s="3384"/>
      <c r="CG194" s="3384"/>
      <c r="CH194" s="3384"/>
      <c r="CI194" s="3373"/>
      <c r="CJ194" s="3373"/>
      <c r="CK194" s="3373"/>
      <c r="CL194" s="3373"/>
      <c r="CM194" s="3371"/>
    </row>
    <row r="195" spans="1:91" ht="15.75" thickBot="1">
      <c r="A195" s="2051">
        <v>71</v>
      </c>
      <c r="B195" s="2551" t="str">
        <f t="shared" si="2"/>
        <v>3041530082</v>
      </c>
      <c r="C195" s="2044" t="s">
        <v>703</v>
      </c>
      <c r="D195" s="2045">
        <v>4153</v>
      </c>
      <c r="E195" s="2045">
        <v>82</v>
      </c>
      <c r="F195" s="2032">
        <v>5000</v>
      </c>
      <c r="G195" s="2046" t="s">
        <v>1079</v>
      </c>
      <c r="H195" s="2045" t="s">
        <v>1584</v>
      </c>
      <c r="I195" s="2047">
        <v>1.25</v>
      </c>
      <c r="J195" s="2533">
        <v>0</v>
      </c>
      <c r="K195" s="2533">
        <v>1250</v>
      </c>
      <c r="L195" s="2533">
        <v>0</v>
      </c>
      <c r="M195" s="2533">
        <v>1250</v>
      </c>
      <c r="N195" s="2035">
        <v>0</v>
      </c>
      <c r="O195" s="2048" t="s">
        <v>1631</v>
      </c>
      <c r="P195" s="2049">
        <v>6250</v>
      </c>
      <c r="Q195" s="2533">
        <v>0</v>
      </c>
      <c r="R195" s="2533">
        <v>0</v>
      </c>
      <c r="S195" s="2533">
        <v>0</v>
      </c>
      <c r="T195" s="2533">
        <v>0</v>
      </c>
      <c r="U195" s="2533">
        <v>0</v>
      </c>
      <c r="V195" s="2533">
        <v>0</v>
      </c>
      <c r="W195" s="2533">
        <v>0</v>
      </c>
      <c r="X195" s="2533">
        <v>0</v>
      </c>
      <c r="Y195" s="2533">
        <v>0</v>
      </c>
      <c r="Z195" s="2533">
        <v>0</v>
      </c>
      <c r="AA195" s="2533">
        <v>0</v>
      </c>
      <c r="AB195" s="2533">
        <v>6250</v>
      </c>
      <c r="AC195" s="2533">
        <v>6250</v>
      </c>
      <c r="AD195" s="2533">
        <v>6</v>
      </c>
      <c r="AE195" s="2533">
        <v>0</v>
      </c>
      <c r="AF195" s="2533">
        <v>0</v>
      </c>
      <c r="AG195" s="2533">
        <v>0</v>
      </c>
      <c r="AH195" s="2533">
        <v>0</v>
      </c>
      <c r="AI195" s="2533">
        <v>0</v>
      </c>
      <c r="AJ195" s="2533">
        <v>0</v>
      </c>
      <c r="AK195" s="2533">
        <v>0</v>
      </c>
      <c r="AL195" s="2533">
        <v>0</v>
      </c>
      <c r="AM195" s="2032">
        <v>35</v>
      </c>
      <c r="AN195" s="2033" t="s">
        <v>1585</v>
      </c>
      <c r="AO195" s="2046" t="s">
        <v>706</v>
      </c>
      <c r="AP195" s="2533" t="s">
        <v>1569</v>
      </c>
      <c r="AQ195" s="2533">
        <v>16000</v>
      </c>
      <c r="AR195" s="2533">
        <v>2000</v>
      </c>
      <c r="AS195" s="2533">
        <v>0</v>
      </c>
      <c r="AT195" s="2533">
        <v>0</v>
      </c>
      <c r="AU195" s="2533">
        <v>0</v>
      </c>
      <c r="AV195" s="2533">
        <v>0</v>
      </c>
      <c r="AW195" s="2533">
        <v>0</v>
      </c>
      <c r="AX195" s="2533">
        <v>0</v>
      </c>
      <c r="AY195" s="2533">
        <v>0</v>
      </c>
      <c r="AZ195" s="2533">
        <v>0</v>
      </c>
      <c r="BA195" s="2533">
        <v>0</v>
      </c>
      <c r="BB195" s="2533">
        <v>0</v>
      </c>
      <c r="BC195" s="2533">
        <v>18000</v>
      </c>
      <c r="BD195" s="2533">
        <v>18750</v>
      </c>
      <c r="BE195" s="2533">
        <v>16</v>
      </c>
      <c r="BF195" s="2533">
        <v>8</v>
      </c>
      <c r="BG195" s="2533">
        <v>4</v>
      </c>
      <c r="BH195" s="2533">
        <v>0</v>
      </c>
      <c r="BI195" s="2533">
        <v>2</v>
      </c>
      <c r="BJ195" s="2533">
        <v>0</v>
      </c>
      <c r="BK195" s="2533">
        <v>0</v>
      </c>
      <c r="BL195" s="2533">
        <v>0</v>
      </c>
      <c r="BM195" s="2533">
        <v>0</v>
      </c>
      <c r="BN195" s="2533">
        <v>0</v>
      </c>
      <c r="BO195" s="2533">
        <v>6</v>
      </c>
      <c r="BP195" s="2533">
        <v>75</v>
      </c>
      <c r="BQ195" s="2050">
        <v>9750</v>
      </c>
      <c r="BR195" s="2034">
        <v>2000</v>
      </c>
      <c r="BS195" s="2034">
        <v>0</v>
      </c>
      <c r="BT195" s="2034">
        <v>0</v>
      </c>
      <c r="BU195" s="2034">
        <v>0</v>
      </c>
      <c r="BV195" s="2034">
        <v>0</v>
      </c>
      <c r="BW195" s="2034">
        <v>0</v>
      </c>
      <c r="BX195" s="2034">
        <v>0</v>
      </c>
      <c r="BY195" s="2034">
        <v>0</v>
      </c>
      <c r="BZ195" s="2034">
        <v>0</v>
      </c>
      <c r="CA195" s="2034">
        <v>0</v>
      </c>
      <c r="CB195" s="2035">
        <v>0</v>
      </c>
      <c r="CC195" s="2042">
        <v>11750</v>
      </c>
      <c r="CD195" s="2042">
        <v>2000</v>
      </c>
      <c r="CE195" s="2042">
        <v>10</v>
      </c>
      <c r="CF195" s="2042">
        <v>8</v>
      </c>
      <c r="CG195" s="2042">
        <v>4</v>
      </c>
      <c r="CH195" s="2042">
        <v>0</v>
      </c>
      <c r="CI195" s="2042">
        <v>2</v>
      </c>
      <c r="CJ195" s="2042">
        <v>0</v>
      </c>
      <c r="CK195" s="2042">
        <v>0</v>
      </c>
      <c r="CL195" s="2042">
        <v>0</v>
      </c>
      <c r="CM195" s="2035">
        <v>0</v>
      </c>
    </row>
    <row r="196" spans="1:91">
      <c r="A196" s="3312">
        <v>72</v>
      </c>
      <c r="B196" s="2551" t="str">
        <f t="shared" si="2"/>
        <v>3041540028</v>
      </c>
      <c r="C196" s="2022" t="s">
        <v>703</v>
      </c>
      <c r="D196" s="2023">
        <v>4154</v>
      </c>
      <c r="E196" s="2023">
        <v>28</v>
      </c>
      <c r="F196" s="2506">
        <v>8375</v>
      </c>
      <c r="G196" s="2507" t="s">
        <v>947</v>
      </c>
      <c r="H196" s="2023" t="s">
        <v>1560</v>
      </c>
      <c r="I196" s="2024">
        <v>1</v>
      </c>
      <c r="J196" s="2505">
        <v>0</v>
      </c>
      <c r="K196" s="2505">
        <v>0</v>
      </c>
      <c r="L196" s="2505">
        <v>1200</v>
      </c>
      <c r="M196" s="2505">
        <v>1200</v>
      </c>
      <c r="N196" s="2025">
        <v>0</v>
      </c>
      <c r="O196" s="2525" t="s">
        <v>1617</v>
      </c>
      <c r="P196" s="3346">
        <v>0</v>
      </c>
      <c r="Q196" s="3331">
        <v>0</v>
      </c>
      <c r="R196" s="3331">
        <v>0</v>
      </c>
      <c r="S196" s="3331">
        <v>0</v>
      </c>
      <c r="T196" s="3331">
        <v>0</v>
      </c>
      <c r="U196" s="3331">
        <v>0</v>
      </c>
      <c r="V196" s="3331">
        <v>0</v>
      </c>
      <c r="W196" s="3331">
        <v>31000</v>
      </c>
      <c r="X196" s="3331">
        <v>0</v>
      </c>
      <c r="Y196" s="3331">
        <v>0</v>
      </c>
      <c r="Z196" s="3331">
        <v>0</v>
      </c>
      <c r="AA196" s="3331">
        <v>0</v>
      </c>
      <c r="AB196" s="3331">
        <v>31000</v>
      </c>
      <c r="AC196" s="3331">
        <v>31000</v>
      </c>
      <c r="AD196" s="3331">
        <v>0</v>
      </c>
      <c r="AE196" s="3331">
        <v>0</v>
      </c>
      <c r="AF196" s="3331">
        <v>15.5</v>
      </c>
      <c r="AG196" s="3331">
        <v>0</v>
      </c>
      <c r="AH196" s="3331">
        <v>0</v>
      </c>
      <c r="AI196" s="3331">
        <v>0</v>
      </c>
      <c r="AJ196" s="3331">
        <v>0</v>
      </c>
      <c r="AK196" s="3331">
        <v>0</v>
      </c>
      <c r="AL196" s="3331">
        <v>15.5</v>
      </c>
      <c r="AM196" s="3345">
        <v>15</v>
      </c>
      <c r="AN196" s="3277" t="s">
        <v>1331</v>
      </c>
      <c r="AO196" s="3279" t="s">
        <v>1560</v>
      </c>
      <c r="AP196" s="3265" t="s">
        <v>1650</v>
      </c>
      <c r="AQ196" s="3265">
        <v>188827.18269230769</v>
      </c>
      <c r="AR196" s="3331">
        <v>65817</v>
      </c>
      <c r="AS196" s="3331">
        <v>0</v>
      </c>
      <c r="AT196" s="3331">
        <v>0</v>
      </c>
      <c r="AU196" s="3331">
        <v>0</v>
      </c>
      <c r="AV196" s="3331">
        <v>0</v>
      </c>
      <c r="AW196" s="3331">
        <v>0</v>
      </c>
      <c r="AX196" s="3331">
        <v>0</v>
      </c>
      <c r="AY196" s="3331">
        <v>0</v>
      </c>
      <c r="AZ196" s="3331">
        <v>0</v>
      </c>
      <c r="BA196" s="3331">
        <v>0</v>
      </c>
      <c r="BB196" s="3331">
        <v>19293.817307692309</v>
      </c>
      <c r="BC196" s="3331">
        <v>273938</v>
      </c>
      <c r="BD196" s="3331">
        <v>281251</v>
      </c>
      <c r="BE196" s="3331">
        <v>188</v>
      </c>
      <c r="BF196" s="3331">
        <v>94</v>
      </c>
      <c r="BG196" s="3331">
        <v>38</v>
      </c>
      <c r="BH196" s="3331">
        <v>0</v>
      </c>
      <c r="BI196" s="3331">
        <v>65</v>
      </c>
      <c r="BJ196" s="3331">
        <v>0</v>
      </c>
      <c r="BK196" s="3331">
        <v>0</v>
      </c>
      <c r="BL196" s="3331">
        <v>0</v>
      </c>
      <c r="BM196" s="3331">
        <v>0</v>
      </c>
      <c r="BN196" s="3331">
        <v>19</v>
      </c>
      <c r="BO196" s="3331">
        <v>122</v>
      </c>
      <c r="BP196" s="3331">
        <v>145</v>
      </c>
      <c r="BQ196" s="3388">
        <v>188827.18269230769</v>
      </c>
      <c r="BR196" s="3340">
        <v>65817</v>
      </c>
      <c r="BS196" s="3340">
        <v>0</v>
      </c>
      <c r="BT196" s="3340">
        <v>0</v>
      </c>
      <c r="BU196" s="3340">
        <v>0</v>
      </c>
      <c r="BV196" s="3340">
        <v>0</v>
      </c>
      <c r="BW196" s="3340">
        <v>0</v>
      </c>
      <c r="BX196" s="3340">
        <v>-31000</v>
      </c>
      <c r="BY196" s="3340">
        <v>0</v>
      </c>
      <c r="BZ196" s="3340">
        <v>0</v>
      </c>
      <c r="CA196" s="3340">
        <v>0</v>
      </c>
      <c r="CB196" s="3343">
        <v>19293.817307692309</v>
      </c>
      <c r="CC196" s="3341">
        <v>242938</v>
      </c>
      <c r="CD196" s="3341">
        <v>34817</v>
      </c>
      <c r="CE196" s="3341">
        <v>188</v>
      </c>
      <c r="CF196" s="3341">
        <v>94</v>
      </c>
      <c r="CG196" s="3341">
        <v>38</v>
      </c>
      <c r="CH196" s="3341">
        <v>0</v>
      </c>
      <c r="CI196" s="3346">
        <v>49.5</v>
      </c>
      <c r="CJ196" s="3346">
        <v>0</v>
      </c>
      <c r="CK196" s="3346">
        <v>0</v>
      </c>
      <c r="CL196" s="3346">
        <v>0</v>
      </c>
      <c r="CM196" s="3345">
        <v>19</v>
      </c>
    </row>
    <row r="197" spans="1:91">
      <c r="A197" s="3313"/>
      <c r="B197" s="2551" t="str">
        <f t="shared" si="2"/>
        <v>3041540035</v>
      </c>
      <c r="C197" s="2492" t="s">
        <v>710</v>
      </c>
      <c r="D197" s="2026">
        <v>4154</v>
      </c>
      <c r="E197" s="2026">
        <v>35</v>
      </c>
      <c r="F197" s="2027">
        <v>7325</v>
      </c>
      <c r="G197" s="2497" t="s">
        <v>947</v>
      </c>
      <c r="H197" s="2026" t="s">
        <v>1560</v>
      </c>
      <c r="I197" s="2028">
        <v>1</v>
      </c>
      <c r="J197" s="2500">
        <v>1250</v>
      </c>
      <c r="K197" s="2500">
        <v>0</v>
      </c>
      <c r="L197" s="2500">
        <v>0</v>
      </c>
      <c r="M197" s="2500">
        <v>1250</v>
      </c>
      <c r="N197" s="2029">
        <v>0</v>
      </c>
      <c r="O197" s="2030" t="s">
        <v>1617</v>
      </c>
      <c r="P197" s="3341"/>
      <c r="Q197" s="3340"/>
      <c r="R197" s="3340"/>
      <c r="S197" s="3340"/>
      <c r="T197" s="3340"/>
      <c r="U197" s="3340"/>
      <c r="V197" s="3340"/>
      <c r="W197" s="3340"/>
      <c r="X197" s="3340"/>
      <c r="Y197" s="3340"/>
      <c r="Z197" s="3340"/>
      <c r="AA197" s="3340"/>
      <c r="AB197" s="3340"/>
      <c r="AC197" s="3340"/>
      <c r="AD197" s="3340"/>
      <c r="AE197" s="3340"/>
      <c r="AF197" s="3340"/>
      <c r="AG197" s="3340"/>
      <c r="AH197" s="3340"/>
      <c r="AI197" s="3340"/>
      <c r="AJ197" s="3340"/>
      <c r="AK197" s="3340"/>
      <c r="AL197" s="3340"/>
      <c r="AM197" s="3343"/>
      <c r="AN197" s="3278"/>
      <c r="AO197" s="3280"/>
      <c r="AP197" s="3274"/>
      <c r="AQ197" s="3274"/>
      <c r="AR197" s="3340"/>
      <c r="AS197" s="3340"/>
      <c r="AT197" s="3340"/>
      <c r="AU197" s="3340"/>
      <c r="AV197" s="3340"/>
      <c r="AW197" s="3340"/>
      <c r="AX197" s="3340"/>
      <c r="AY197" s="3340"/>
      <c r="AZ197" s="3340"/>
      <c r="BA197" s="3340"/>
      <c r="BB197" s="3340"/>
      <c r="BC197" s="3340"/>
      <c r="BD197" s="3340"/>
      <c r="BE197" s="3340"/>
      <c r="BF197" s="3340"/>
      <c r="BG197" s="3340"/>
      <c r="BH197" s="3340"/>
      <c r="BI197" s="3340"/>
      <c r="BJ197" s="3340"/>
      <c r="BK197" s="3340"/>
      <c r="BL197" s="3340"/>
      <c r="BM197" s="3340"/>
      <c r="BN197" s="3340"/>
      <c r="BO197" s="3340"/>
      <c r="BP197" s="3340"/>
      <c r="BQ197" s="3387"/>
      <c r="BR197" s="3385"/>
      <c r="BS197" s="3385"/>
      <c r="BT197" s="3385"/>
      <c r="BU197" s="3385"/>
      <c r="BV197" s="3385"/>
      <c r="BW197" s="3385"/>
      <c r="BX197" s="3385"/>
      <c r="BY197" s="3385"/>
      <c r="BZ197" s="3385"/>
      <c r="CA197" s="3385"/>
      <c r="CB197" s="3386"/>
      <c r="CC197" s="3384"/>
      <c r="CD197" s="3384"/>
      <c r="CE197" s="3384"/>
      <c r="CF197" s="3384"/>
      <c r="CG197" s="3384"/>
      <c r="CH197" s="3384"/>
      <c r="CI197" s="3384"/>
      <c r="CJ197" s="3384"/>
      <c r="CK197" s="3384"/>
      <c r="CL197" s="3384"/>
      <c r="CM197" s="3386"/>
    </row>
    <row r="198" spans="1:91" ht="15.75" thickBot="1">
      <c r="A198" s="3283"/>
      <c r="B198" s="2551" t="str">
        <f t="shared" ref="B198:B217" si="3">IF(E198="",,3&amp;IF(LEN($D198)=1,"0000"&amp;$D198,IF(LEN($D198)=2,"000"&amp;$D198,IF(LEN($D198)=3,"00"&amp;$D198,IF(LEN($D198)=4,"0"&amp;$D198,IF(LEN($D198)=5,$D198,0)))))&amp;IF(LEN(E198)=1,"000"&amp;E198,IF(LEN(E198)=2,"00"&amp;E198,IF(LEN(E198)=3,"0"&amp;E198,IF(LEN(E198)=4,E198,0)))))</f>
        <v>3041540045</v>
      </c>
      <c r="C198" s="2493" t="s">
        <v>721</v>
      </c>
      <c r="D198" s="2018">
        <v>4154</v>
      </c>
      <c r="E198" s="2018">
        <v>45</v>
      </c>
      <c r="F198" s="2019">
        <v>22347</v>
      </c>
      <c r="G198" s="2498" t="s">
        <v>947</v>
      </c>
      <c r="H198" s="2018" t="s">
        <v>1560</v>
      </c>
      <c r="I198" s="2020">
        <v>1</v>
      </c>
      <c r="J198" s="2501">
        <v>0</v>
      </c>
      <c r="K198" s="2501">
        <v>7980</v>
      </c>
      <c r="L198" s="2501">
        <v>0</v>
      </c>
      <c r="M198" s="2501">
        <v>7980</v>
      </c>
      <c r="N198" s="2508">
        <v>0</v>
      </c>
      <c r="O198" s="2031" t="s">
        <v>1617</v>
      </c>
      <c r="P198" s="3342"/>
      <c r="Q198" s="3332"/>
      <c r="R198" s="3332"/>
      <c r="S198" s="3332"/>
      <c r="T198" s="3332"/>
      <c r="U198" s="3332"/>
      <c r="V198" s="3332"/>
      <c r="W198" s="3332"/>
      <c r="X198" s="3332"/>
      <c r="Y198" s="3332"/>
      <c r="Z198" s="3332"/>
      <c r="AA198" s="3332"/>
      <c r="AB198" s="3332"/>
      <c r="AC198" s="3332"/>
      <c r="AD198" s="3332"/>
      <c r="AE198" s="3332"/>
      <c r="AF198" s="3332"/>
      <c r="AG198" s="3332"/>
      <c r="AH198" s="3332"/>
      <c r="AI198" s="3332"/>
      <c r="AJ198" s="3332"/>
      <c r="AK198" s="3332"/>
      <c r="AL198" s="3332"/>
      <c r="AM198" s="3344"/>
      <c r="AN198" s="3338"/>
      <c r="AO198" s="3339"/>
      <c r="AP198" s="3361"/>
      <c r="AQ198" s="3361"/>
      <c r="AR198" s="3332"/>
      <c r="AS198" s="3332"/>
      <c r="AT198" s="3332"/>
      <c r="AU198" s="3332"/>
      <c r="AV198" s="3332"/>
      <c r="AW198" s="3332"/>
      <c r="AX198" s="3332"/>
      <c r="AY198" s="3332"/>
      <c r="AZ198" s="3332"/>
      <c r="BA198" s="3332"/>
      <c r="BB198" s="3332"/>
      <c r="BC198" s="3332"/>
      <c r="BD198" s="3332"/>
      <c r="BE198" s="3332"/>
      <c r="BF198" s="3332"/>
      <c r="BG198" s="3332"/>
      <c r="BH198" s="3332"/>
      <c r="BI198" s="3332"/>
      <c r="BJ198" s="3332"/>
      <c r="BK198" s="3332"/>
      <c r="BL198" s="3332"/>
      <c r="BM198" s="3332"/>
      <c r="BN198" s="3332"/>
      <c r="BO198" s="3332"/>
      <c r="BP198" s="3332"/>
      <c r="BQ198" s="3357"/>
      <c r="BR198" s="3375"/>
      <c r="BS198" s="3375"/>
      <c r="BT198" s="3375"/>
      <c r="BU198" s="3375"/>
      <c r="BV198" s="3375"/>
      <c r="BW198" s="3375"/>
      <c r="BX198" s="3375"/>
      <c r="BY198" s="3375"/>
      <c r="BZ198" s="3375"/>
      <c r="CA198" s="3375"/>
      <c r="CB198" s="3371"/>
      <c r="CC198" s="3373"/>
      <c r="CD198" s="3373"/>
      <c r="CE198" s="3373"/>
      <c r="CF198" s="3373"/>
      <c r="CG198" s="3373"/>
      <c r="CH198" s="3373"/>
      <c r="CI198" s="3373"/>
      <c r="CJ198" s="3373"/>
      <c r="CK198" s="3373"/>
      <c r="CL198" s="3373"/>
      <c r="CM198" s="3371"/>
    </row>
    <row r="199" spans="1:91">
      <c r="A199" s="3282">
        <v>73</v>
      </c>
      <c r="B199" s="2551" t="str">
        <f t="shared" si="3"/>
        <v>3041540099</v>
      </c>
      <c r="C199" s="2010" t="s">
        <v>703</v>
      </c>
      <c r="D199" s="2011">
        <v>4154</v>
      </c>
      <c r="E199" s="2011">
        <v>99</v>
      </c>
      <c r="F199" s="2494">
        <v>2500</v>
      </c>
      <c r="G199" s="2496" t="s">
        <v>1079</v>
      </c>
      <c r="H199" s="2011" t="s">
        <v>1584</v>
      </c>
      <c r="I199" s="2012">
        <v>1.25</v>
      </c>
      <c r="J199" s="2491">
        <v>0</v>
      </c>
      <c r="K199" s="2491">
        <v>0</v>
      </c>
      <c r="L199" s="2491">
        <v>0</v>
      </c>
      <c r="M199" s="2491">
        <v>3024</v>
      </c>
      <c r="N199" s="2489">
        <v>4</v>
      </c>
      <c r="O199" s="2525" t="s">
        <v>1578</v>
      </c>
      <c r="P199" s="3346">
        <v>3024</v>
      </c>
      <c r="Q199" s="3331">
        <v>0</v>
      </c>
      <c r="R199" s="3331">
        <v>0</v>
      </c>
      <c r="S199" s="3331">
        <v>0</v>
      </c>
      <c r="T199" s="3331">
        <v>0</v>
      </c>
      <c r="U199" s="3331">
        <v>0</v>
      </c>
      <c r="V199" s="3331">
        <v>1800</v>
      </c>
      <c r="W199" s="3331">
        <v>0</v>
      </c>
      <c r="X199" s="3331">
        <v>0</v>
      </c>
      <c r="Y199" s="3331">
        <v>0</v>
      </c>
      <c r="Z199" s="3331">
        <v>0</v>
      </c>
      <c r="AA199" s="3331">
        <v>0</v>
      </c>
      <c r="AB199" s="3331">
        <v>4824</v>
      </c>
      <c r="AC199" s="3331">
        <v>4824</v>
      </c>
      <c r="AD199" s="3331">
        <v>3</v>
      </c>
      <c r="AE199" s="3331">
        <v>0</v>
      </c>
      <c r="AF199" s="3331">
        <v>0</v>
      </c>
      <c r="AG199" s="3331">
        <v>0</v>
      </c>
      <c r="AH199" s="3331">
        <v>0</v>
      </c>
      <c r="AI199" s="3331">
        <v>0</v>
      </c>
      <c r="AJ199" s="3331">
        <v>0</v>
      </c>
      <c r="AK199" s="3331">
        <v>0</v>
      </c>
      <c r="AL199" s="3331">
        <v>0</v>
      </c>
      <c r="AM199" s="3345">
        <v>25</v>
      </c>
      <c r="AN199" s="3277" t="s">
        <v>1585</v>
      </c>
      <c r="AO199" s="3279" t="s">
        <v>706</v>
      </c>
      <c r="AP199" s="3265" t="s">
        <v>1599</v>
      </c>
      <c r="AQ199" s="3265">
        <v>20925</v>
      </c>
      <c r="AR199" s="3331">
        <v>6075</v>
      </c>
      <c r="AS199" s="3331">
        <v>0</v>
      </c>
      <c r="AT199" s="3331">
        <v>0</v>
      </c>
      <c r="AU199" s="3331">
        <v>0</v>
      </c>
      <c r="AV199" s="3331">
        <v>0</v>
      </c>
      <c r="AW199" s="3331">
        <v>0</v>
      </c>
      <c r="AX199" s="3331">
        <v>0</v>
      </c>
      <c r="AY199" s="3331">
        <v>0</v>
      </c>
      <c r="AZ199" s="3331">
        <v>0</v>
      </c>
      <c r="BA199" s="3331">
        <v>0</v>
      </c>
      <c r="BB199" s="3331">
        <v>0</v>
      </c>
      <c r="BC199" s="3331">
        <v>27000</v>
      </c>
      <c r="BD199" s="3331">
        <v>27925</v>
      </c>
      <c r="BE199" s="3331">
        <v>20</v>
      </c>
      <c r="BF199" s="3331">
        <v>10</v>
      </c>
      <c r="BG199" s="3331">
        <v>5</v>
      </c>
      <c r="BH199" s="3331">
        <v>0</v>
      </c>
      <c r="BI199" s="3331">
        <v>6</v>
      </c>
      <c r="BJ199" s="3331">
        <v>0</v>
      </c>
      <c r="BK199" s="3331">
        <v>0</v>
      </c>
      <c r="BL199" s="3331">
        <v>0</v>
      </c>
      <c r="BM199" s="3331">
        <v>0</v>
      </c>
      <c r="BN199" s="3331">
        <v>0</v>
      </c>
      <c r="BO199" s="3331">
        <v>11</v>
      </c>
      <c r="BP199" s="3331">
        <v>85</v>
      </c>
      <c r="BQ199" s="3379">
        <v>17901</v>
      </c>
      <c r="BR199" s="3331">
        <v>6075</v>
      </c>
      <c r="BS199" s="3331">
        <v>0</v>
      </c>
      <c r="BT199" s="3331">
        <v>0</v>
      </c>
      <c r="BU199" s="3331">
        <v>0</v>
      </c>
      <c r="BV199" s="3331">
        <v>0</v>
      </c>
      <c r="BW199" s="3331">
        <v>-1800</v>
      </c>
      <c r="BX199" s="3331">
        <v>0</v>
      </c>
      <c r="BY199" s="3331">
        <v>0</v>
      </c>
      <c r="BZ199" s="3331">
        <v>0</v>
      </c>
      <c r="CA199" s="3331">
        <v>0</v>
      </c>
      <c r="CB199" s="3345">
        <v>0</v>
      </c>
      <c r="CC199" s="3346">
        <v>22176</v>
      </c>
      <c r="CD199" s="3346">
        <v>4275</v>
      </c>
      <c r="CE199" s="3346">
        <v>17</v>
      </c>
      <c r="CF199" s="3346">
        <v>10</v>
      </c>
      <c r="CG199" s="3346">
        <v>5</v>
      </c>
      <c r="CH199" s="3346">
        <v>0</v>
      </c>
      <c r="CI199" s="3346">
        <v>6</v>
      </c>
      <c r="CJ199" s="3346">
        <v>0</v>
      </c>
      <c r="CK199" s="3346">
        <v>0</v>
      </c>
      <c r="CL199" s="3346">
        <v>0</v>
      </c>
      <c r="CM199" s="3345">
        <v>0</v>
      </c>
    </row>
    <row r="200" spans="1:91" ht="15.75" thickBot="1">
      <c r="A200" s="3380"/>
      <c r="B200" s="2551" t="str">
        <f t="shared" si="3"/>
        <v>3041540100</v>
      </c>
      <c r="C200" s="2468" t="s">
        <v>710</v>
      </c>
      <c r="D200" s="2014">
        <v>4154</v>
      </c>
      <c r="E200" s="2014">
        <v>100</v>
      </c>
      <c r="F200" s="2038">
        <v>5000</v>
      </c>
      <c r="G200" s="2133" t="s">
        <v>1079</v>
      </c>
      <c r="H200" s="2014" t="s">
        <v>1584</v>
      </c>
      <c r="I200" s="2016">
        <v>1.25</v>
      </c>
      <c r="J200" s="2538">
        <v>0</v>
      </c>
      <c r="K200" s="2538">
        <v>0</v>
      </c>
      <c r="L200" s="2538">
        <v>1800</v>
      </c>
      <c r="M200" s="2538">
        <v>1800</v>
      </c>
      <c r="N200" s="2509">
        <v>0</v>
      </c>
      <c r="O200" s="2031" t="s">
        <v>1651</v>
      </c>
      <c r="P200" s="3342"/>
      <c r="Q200" s="3332"/>
      <c r="R200" s="3332"/>
      <c r="S200" s="3332"/>
      <c r="T200" s="3332"/>
      <c r="U200" s="3332"/>
      <c r="V200" s="3332"/>
      <c r="W200" s="3332"/>
      <c r="X200" s="3332"/>
      <c r="Y200" s="3332"/>
      <c r="Z200" s="3332"/>
      <c r="AA200" s="3332"/>
      <c r="AB200" s="3332"/>
      <c r="AC200" s="3332"/>
      <c r="AD200" s="3332"/>
      <c r="AE200" s="3332"/>
      <c r="AF200" s="3332"/>
      <c r="AG200" s="3332"/>
      <c r="AH200" s="3332"/>
      <c r="AI200" s="3332"/>
      <c r="AJ200" s="3332"/>
      <c r="AK200" s="3332"/>
      <c r="AL200" s="3332"/>
      <c r="AM200" s="3344"/>
      <c r="AN200" s="3338"/>
      <c r="AO200" s="3339"/>
      <c r="AP200" s="3361"/>
      <c r="AQ200" s="3361"/>
      <c r="AR200" s="3332"/>
      <c r="AS200" s="3332"/>
      <c r="AT200" s="3332"/>
      <c r="AU200" s="3332"/>
      <c r="AV200" s="3332"/>
      <c r="AW200" s="3332"/>
      <c r="AX200" s="3332"/>
      <c r="AY200" s="3332"/>
      <c r="AZ200" s="3332"/>
      <c r="BA200" s="3332"/>
      <c r="BB200" s="3332"/>
      <c r="BC200" s="3332"/>
      <c r="BD200" s="3332"/>
      <c r="BE200" s="3332"/>
      <c r="BF200" s="3332"/>
      <c r="BG200" s="3332"/>
      <c r="BH200" s="3332"/>
      <c r="BI200" s="3332"/>
      <c r="BJ200" s="3332"/>
      <c r="BK200" s="3332"/>
      <c r="BL200" s="3332"/>
      <c r="BM200" s="3332"/>
      <c r="BN200" s="3332"/>
      <c r="BO200" s="3332"/>
      <c r="BP200" s="3332"/>
      <c r="BQ200" s="3387"/>
      <c r="BR200" s="3385"/>
      <c r="BS200" s="3385"/>
      <c r="BT200" s="3385"/>
      <c r="BU200" s="3385"/>
      <c r="BV200" s="3385"/>
      <c r="BW200" s="3385"/>
      <c r="BX200" s="3385"/>
      <c r="BY200" s="3385"/>
      <c r="BZ200" s="3385"/>
      <c r="CA200" s="3385"/>
      <c r="CB200" s="3386"/>
      <c r="CC200" s="3384"/>
      <c r="CD200" s="3384"/>
      <c r="CE200" s="3384"/>
      <c r="CF200" s="3384"/>
      <c r="CG200" s="3384"/>
      <c r="CH200" s="3384"/>
      <c r="CI200" s="3373"/>
      <c r="CJ200" s="3373"/>
      <c r="CK200" s="3373"/>
      <c r="CL200" s="3373"/>
      <c r="CM200" s="3371"/>
    </row>
    <row r="201" spans="1:91" ht="15.75" thickBot="1">
      <c r="A201" s="2051">
        <v>74</v>
      </c>
      <c r="B201" s="2551" t="str">
        <f t="shared" si="3"/>
        <v>3041940017</v>
      </c>
      <c r="C201" s="2044" t="s">
        <v>703</v>
      </c>
      <c r="D201" s="2045">
        <v>4194</v>
      </c>
      <c r="E201" s="2045">
        <v>17</v>
      </c>
      <c r="F201" s="2032">
        <v>7003</v>
      </c>
      <c r="G201" s="2046" t="s">
        <v>1079</v>
      </c>
      <c r="H201" s="2045" t="s">
        <v>1560</v>
      </c>
      <c r="I201" s="2047">
        <v>1.25</v>
      </c>
      <c r="J201" s="2533">
        <v>0</v>
      </c>
      <c r="K201" s="2533">
        <v>6000</v>
      </c>
      <c r="L201" s="2533">
        <v>0</v>
      </c>
      <c r="M201" s="2533">
        <v>6000</v>
      </c>
      <c r="N201" s="2035">
        <v>0</v>
      </c>
      <c r="O201" s="2048" t="s">
        <v>1572</v>
      </c>
      <c r="P201" s="2049">
        <v>0</v>
      </c>
      <c r="Q201" s="2533">
        <v>0</v>
      </c>
      <c r="R201" s="2533">
        <v>0</v>
      </c>
      <c r="S201" s="2533">
        <v>0</v>
      </c>
      <c r="T201" s="2533">
        <v>6000</v>
      </c>
      <c r="U201" s="2533">
        <v>0</v>
      </c>
      <c r="V201" s="2533">
        <v>0</v>
      </c>
      <c r="W201" s="2533">
        <v>0</v>
      </c>
      <c r="X201" s="2533">
        <v>0</v>
      </c>
      <c r="Y201" s="2533">
        <v>0</v>
      </c>
      <c r="Z201" s="2533">
        <v>0</v>
      </c>
      <c r="AA201" s="2533">
        <v>0</v>
      </c>
      <c r="AB201" s="2533">
        <v>6000</v>
      </c>
      <c r="AC201" s="2533">
        <v>6000</v>
      </c>
      <c r="AD201" s="2533">
        <v>0</v>
      </c>
      <c r="AE201" s="2533">
        <v>0</v>
      </c>
      <c r="AF201" s="2533">
        <v>0</v>
      </c>
      <c r="AG201" s="2533">
        <v>0</v>
      </c>
      <c r="AH201" s="2533">
        <v>0</v>
      </c>
      <c r="AI201" s="2533">
        <v>0</v>
      </c>
      <c r="AJ201" s="2533">
        <v>0</v>
      </c>
      <c r="AK201" s="2533">
        <v>0</v>
      </c>
      <c r="AL201" s="2533">
        <v>0</v>
      </c>
      <c r="AM201" s="2032">
        <v>15</v>
      </c>
      <c r="AN201" s="2033" t="s">
        <v>1585</v>
      </c>
      <c r="AO201" s="2046" t="s">
        <v>706</v>
      </c>
      <c r="AP201" s="2533" t="s">
        <v>1569</v>
      </c>
      <c r="AQ201" s="2533">
        <v>21711</v>
      </c>
      <c r="AR201" s="2533">
        <v>3500</v>
      </c>
      <c r="AS201" s="2533">
        <v>0</v>
      </c>
      <c r="AT201" s="2533">
        <v>0</v>
      </c>
      <c r="AU201" s="2533">
        <v>0</v>
      </c>
      <c r="AV201" s="2533">
        <v>0</v>
      </c>
      <c r="AW201" s="2533">
        <v>0</v>
      </c>
      <c r="AX201" s="2533">
        <v>0</v>
      </c>
      <c r="AY201" s="2533">
        <v>0</v>
      </c>
      <c r="AZ201" s="2533">
        <v>0</v>
      </c>
      <c r="BA201" s="2533">
        <v>0</v>
      </c>
      <c r="BB201" s="2533">
        <v>0</v>
      </c>
      <c r="BC201" s="2533">
        <v>25211</v>
      </c>
      <c r="BD201" s="2533">
        <v>25711</v>
      </c>
      <c r="BE201" s="2533">
        <v>21</v>
      </c>
      <c r="BF201" s="2533">
        <v>11</v>
      </c>
      <c r="BG201" s="2533">
        <v>6</v>
      </c>
      <c r="BH201" s="2533">
        <v>0</v>
      </c>
      <c r="BI201" s="2533">
        <v>4</v>
      </c>
      <c r="BJ201" s="2533">
        <v>0</v>
      </c>
      <c r="BK201" s="2533">
        <v>0</v>
      </c>
      <c r="BL201" s="2533">
        <v>0</v>
      </c>
      <c r="BM201" s="2533">
        <v>0</v>
      </c>
      <c r="BN201" s="2533">
        <v>0</v>
      </c>
      <c r="BO201" s="2533">
        <v>10</v>
      </c>
      <c r="BP201" s="2533">
        <v>75</v>
      </c>
      <c r="BQ201" s="2050">
        <v>21711</v>
      </c>
      <c r="BR201" s="2034">
        <v>3500</v>
      </c>
      <c r="BS201" s="2034">
        <v>0</v>
      </c>
      <c r="BT201" s="2034">
        <v>0</v>
      </c>
      <c r="BU201" s="2034">
        <v>-6000</v>
      </c>
      <c r="BV201" s="2034">
        <v>0</v>
      </c>
      <c r="BW201" s="2034">
        <v>0</v>
      </c>
      <c r="BX201" s="2034">
        <v>0</v>
      </c>
      <c r="BY201" s="2034">
        <v>0</v>
      </c>
      <c r="BZ201" s="2034">
        <v>0</v>
      </c>
      <c r="CA201" s="2034">
        <v>0</v>
      </c>
      <c r="CB201" s="2035">
        <v>0</v>
      </c>
      <c r="CC201" s="2050">
        <v>19211</v>
      </c>
      <c r="CD201" s="2034">
        <v>-2500</v>
      </c>
      <c r="CE201" s="2034">
        <v>21</v>
      </c>
      <c r="CF201" s="2034">
        <v>11</v>
      </c>
      <c r="CG201" s="2034">
        <v>6</v>
      </c>
      <c r="CH201" s="2034">
        <v>0</v>
      </c>
      <c r="CI201" s="2034">
        <v>4</v>
      </c>
      <c r="CJ201" s="2034">
        <v>0</v>
      </c>
      <c r="CK201" s="2034">
        <v>0</v>
      </c>
      <c r="CL201" s="2034">
        <v>0</v>
      </c>
      <c r="CM201" s="2035">
        <v>0</v>
      </c>
    </row>
    <row r="202" spans="1:91" ht="15.75" thickBot="1">
      <c r="A202" s="2486">
        <v>75</v>
      </c>
      <c r="B202" s="2551" t="str">
        <f t="shared" si="3"/>
        <v>3041950006</v>
      </c>
      <c r="C202" s="2041" t="s">
        <v>703</v>
      </c>
      <c r="D202" s="2479">
        <v>4195</v>
      </c>
      <c r="E202" s="2479">
        <v>6</v>
      </c>
      <c r="F202" s="2482">
        <v>11391</v>
      </c>
      <c r="G202" s="2447" t="s">
        <v>1079</v>
      </c>
      <c r="H202" s="2479" t="s">
        <v>1100</v>
      </c>
      <c r="I202" s="2465">
        <v>1.25</v>
      </c>
      <c r="J202" s="2480">
        <v>0</v>
      </c>
      <c r="K202" s="2480">
        <v>0</v>
      </c>
      <c r="L202" s="2480">
        <v>1584</v>
      </c>
      <c r="M202" s="2480">
        <v>1584</v>
      </c>
      <c r="N202" s="2443">
        <v>0</v>
      </c>
      <c r="O202" s="2031" t="s">
        <v>1652</v>
      </c>
      <c r="P202" s="2487">
        <v>0</v>
      </c>
      <c r="Q202" s="2480">
        <v>0</v>
      </c>
      <c r="R202" s="2480">
        <v>0</v>
      </c>
      <c r="S202" s="2480">
        <v>0</v>
      </c>
      <c r="T202" s="2480">
        <v>0</v>
      </c>
      <c r="U202" s="2480">
        <v>0</v>
      </c>
      <c r="V202" s="2480">
        <v>1800</v>
      </c>
      <c r="W202" s="2480">
        <v>0</v>
      </c>
      <c r="X202" s="2480">
        <v>0</v>
      </c>
      <c r="Y202" s="2480">
        <v>0</v>
      </c>
      <c r="Z202" s="2480">
        <v>0</v>
      </c>
      <c r="AA202" s="2480">
        <v>0</v>
      </c>
      <c r="AB202" s="2480">
        <v>1800</v>
      </c>
      <c r="AC202" s="2480">
        <v>1584</v>
      </c>
      <c r="AD202" s="2480">
        <v>0</v>
      </c>
      <c r="AE202" s="2480">
        <v>0</v>
      </c>
      <c r="AF202" s="2480">
        <v>0</v>
      </c>
      <c r="AG202" s="2480">
        <v>0</v>
      </c>
      <c r="AH202" s="2480">
        <v>0</v>
      </c>
      <c r="AI202" s="2480">
        <v>0</v>
      </c>
      <c r="AJ202" s="2480">
        <v>0</v>
      </c>
      <c r="AK202" s="2480">
        <v>0</v>
      </c>
      <c r="AL202" s="2480">
        <v>0</v>
      </c>
      <c r="AM202" s="2482">
        <v>15</v>
      </c>
      <c r="AN202" s="2033" t="s">
        <v>705</v>
      </c>
      <c r="AO202" s="2447" t="s">
        <v>1560</v>
      </c>
      <c r="AP202" s="2480" t="s">
        <v>1597</v>
      </c>
      <c r="AQ202" s="2480">
        <v>52399</v>
      </c>
      <c r="AR202" s="2480">
        <v>0</v>
      </c>
      <c r="AS202" s="2480">
        <v>0</v>
      </c>
      <c r="AT202" s="2480">
        <v>0</v>
      </c>
      <c r="AU202" s="2480">
        <v>0</v>
      </c>
      <c r="AV202" s="2480">
        <v>0</v>
      </c>
      <c r="AW202" s="2480">
        <v>0</v>
      </c>
      <c r="AX202" s="2480">
        <v>0</v>
      </c>
      <c r="AY202" s="2480">
        <v>0</v>
      </c>
      <c r="AZ202" s="2480">
        <v>0</v>
      </c>
      <c r="BA202" s="2480">
        <v>0</v>
      </c>
      <c r="BB202" s="2480">
        <v>0</v>
      </c>
      <c r="BC202" s="2480">
        <v>52399</v>
      </c>
      <c r="BD202" s="2480">
        <v>52399</v>
      </c>
      <c r="BE202" s="2480">
        <v>52</v>
      </c>
      <c r="BF202" s="2480">
        <v>26</v>
      </c>
      <c r="BG202" s="2480">
        <v>13</v>
      </c>
      <c r="BH202" s="2480">
        <v>0</v>
      </c>
      <c r="BI202" s="2480">
        <v>0</v>
      </c>
      <c r="BJ202" s="2480">
        <v>0</v>
      </c>
      <c r="BK202" s="2480">
        <v>0</v>
      </c>
      <c r="BL202" s="2480">
        <v>0</v>
      </c>
      <c r="BM202" s="2480">
        <v>0</v>
      </c>
      <c r="BN202" s="2480">
        <v>0</v>
      </c>
      <c r="BO202" s="2480">
        <v>13</v>
      </c>
      <c r="BP202" s="2480">
        <v>105</v>
      </c>
      <c r="BQ202" s="2478">
        <v>52399</v>
      </c>
      <c r="BR202" s="2441">
        <v>0</v>
      </c>
      <c r="BS202" s="2441">
        <v>0</v>
      </c>
      <c r="BT202" s="2441">
        <v>0</v>
      </c>
      <c r="BU202" s="2441">
        <v>0</v>
      </c>
      <c r="BV202" s="2441">
        <v>0</v>
      </c>
      <c r="BW202" s="2441">
        <v>-1800</v>
      </c>
      <c r="BX202" s="2441">
        <v>0</v>
      </c>
      <c r="BY202" s="2441">
        <v>0</v>
      </c>
      <c r="BZ202" s="2441">
        <v>0</v>
      </c>
      <c r="CA202" s="2441">
        <v>0</v>
      </c>
      <c r="CB202" s="2443">
        <v>0</v>
      </c>
      <c r="CC202" s="2478">
        <v>50599</v>
      </c>
      <c r="CD202" s="2441">
        <v>-1800</v>
      </c>
      <c r="CE202" s="2441">
        <v>52</v>
      </c>
      <c r="CF202" s="2441">
        <v>26</v>
      </c>
      <c r="CG202" s="2441">
        <v>13</v>
      </c>
      <c r="CH202" s="2441">
        <v>0</v>
      </c>
      <c r="CI202" s="2441">
        <v>0</v>
      </c>
      <c r="CJ202" s="2441">
        <v>0</v>
      </c>
      <c r="CK202" s="2441">
        <v>0</v>
      </c>
      <c r="CL202" s="2441">
        <v>0</v>
      </c>
      <c r="CM202" s="2443">
        <v>0</v>
      </c>
    </row>
    <row r="203" spans="1:91">
      <c r="A203" s="3282">
        <v>76</v>
      </c>
      <c r="B203" s="2551" t="str">
        <f t="shared" si="3"/>
        <v>3041950021</v>
      </c>
      <c r="C203" s="2010" t="s">
        <v>703</v>
      </c>
      <c r="D203" s="2011">
        <v>4195</v>
      </c>
      <c r="E203" s="2011">
        <v>21</v>
      </c>
      <c r="F203" s="2494">
        <v>2963</v>
      </c>
      <c r="G203" s="2496" t="s">
        <v>1079</v>
      </c>
      <c r="H203" s="2011" t="s">
        <v>1100</v>
      </c>
      <c r="I203" s="2012">
        <v>1.25</v>
      </c>
      <c r="J203" s="2491">
        <v>0</v>
      </c>
      <c r="K203" s="2491">
        <v>0</v>
      </c>
      <c r="L203" s="2491">
        <v>0</v>
      </c>
      <c r="M203" s="2491">
        <v>0</v>
      </c>
      <c r="N203" s="2489">
        <v>0</v>
      </c>
      <c r="O203" s="2525" t="s">
        <v>1653</v>
      </c>
      <c r="P203" s="3346">
        <v>0</v>
      </c>
      <c r="Q203" s="3331">
        <v>0</v>
      </c>
      <c r="R203" s="3331">
        <v>0</v>
      </c>
      <c r="S203" s="3331">
        <v>0</v>
      </c>
      <c r="T203" s="3331">
        <v>0</v>
      </c>
      <c r="U203" s="3331">
        <v>0</v>
      </c>
      <c r="V203" s="3331">
        <v>0</v>
      </c>
      <c r="W203" s="3331">
        <v>0</v>
      </c>
      <c r="X203" s="3331">
        <v>0</v>
      </c>
      <c r="Y203" s="3331">
        <v>0</v>
      </c>
      <c r="Z203" s="3331">
        <v>9196</v>
      </c>
      <c r="AA203" s="3331">
        <v>0</v>
      </c>
      <c r="AB203" s="3331">
        <v>9196</v>
      </c>
      <c r="AC203" s="3331">
        <v>9196</v>
      </c>
      <c r="AD203" s="3331">
        <v>0</v>
      </c>
      <c r="AE203" s="3331">
        <v>0</v>
      </c>
      <c r="AF203" s="3331">
        <v>0</v>
      </c>
      <c r="AG203" s="3331">
        <v>0</v>
      </c>
      <c r="AH203" s="3331">
        <v>0</v>
      </c>
      <c r="AI203" s="3331">
        <v>0</v>
      </c>
      <c r="AJ203" s="3331">
        <v>0</v>
      </c>
      <c r="AK203" s="3331">
        <v>0</v>
      </c>
      <c r="AL203" s="3331">
        <v>0</v>
      </c>
      <c r="AM203" s="3345">
        <v>15</v>
      </c>
      <c r="AN203" s="3277" t="s">
        <v>705</v>
      </c>
      <c r="AO203" s="3279" t="s">
        <v>1560</v>
      </c>
      <c r="AP203" s="3265" t="s">
        <v>1597</v>
      </c>
      <c r="AQ203" s="3265">
        <v>55931</v>
      </c>
      <c r="AR203" s="3331">
        <v>0</v>
      </c>
      <c r="AS203" s="3331">
        <v>0</v>
      </c>
      <c r="AT203" s="3331">
        <v>0</v>
      </c>
      <c r="AU203" s="3331">
        <v>0</v>
      </c>
      <c r="AV203" s="3331">
        <v>0</v>
      </c>
      <c r="AW203" s="3331">
        <v>0</v>
      </c>
      <c r="AX203" s="3331">
        <v>0</v>
      </c>
      <c r="AY203" s="3331">
        <v>0</v>
      </c>
      <c r="AZ203" s="3331">
        <v>0</v>
      </c>
      <c r="BA203" s="3331">
        <v>0</v>
      </c>
      <c r="BB203" s="3331">
        <v>0</v>
      </c>
      <c r="BC203" s="3331">
        <v>55931</v>
      </c>
      <c r="BD203" s="3331">
        <v>55931</v>
      </c>
      <c r="BE203" s="3331">
        <v>55</v>
      </c>
      <c r="BF203" s="3331">
        <v>28</v>
      </c>
      <c r="BG203" s="3331">
        <v>14</v>
      </c>
      <c r="BH203" s="3331">
        <v>0</v>
      </c>
      <c r="BI203" s="3331">
        <v>0</v>
      </c>
      <c r="BJ203" s="3331">
        <v>0</v>
      </c>
      <c r="BK203" s="3331">
        <v>0</v>
      </c>
      <c r="BL203" s="3331">
        <v>0</v>
      </c>
      <c r="BM203" s="3331">
        <v>0</v>
      </c>
      <c r="BN203" s="3331">
        <v>0</v>
      </c>
      <c r="BO203" s="3331">
        <v>14</v>
      </c>
      <c r="BP203" s="3331">
        <v>105</v>
      </c>
      <c r="BQ203" s="3379">
        <v>55931</v>
      </c>
      <c r="BR203" s="3331">
        <v>0</v>
      </c>
      <c r="BS203" s="3331">
        <v>0</v>
      </c>
      <c r="BT203" s="3331">
        <v>0</v>
      </c>
      <c r="BU203" s="3331">
        <v>0</v>
      </c>
      <c r="BV203" s="3331">
        <v>0</v>
      </c>
      <c r="BW203" s="3331">
        <v>0</v>
      </c>
      <c r="BX203" s="3331">
        <v>0</v>
      </c>
      <c r="BY203" s="3331">
        <v>0</v>
      </c>
      <c r="BZ203" s="3331">
        <v>0</v>
      </c>
      <c r="CA203" s="3331">
        <v>-9196</v>
      </c>
      <c r="CB203" s="3345">
        <v>0</v>
      </c>
      <c r="CC203" s="3346">
        <v>46735</v>
      </c>
      <c r="CD203" s="3346">
        <v>0</v>
      </c>
      <c r="CE203" s="3346">
        <v>55</v>
      </c>
      <c r="CF203" s="3346">
        <v>28</v>
      </c>
      <c r="CG203" s="3346">
        <v>14</v>
      </c>
      <c r="CH203" s="3346">
        <v>0</v>
      </c>
      <c r="CI203" s="3346">
        <v>0</v>
      </c>
      <c r="CJ203" s="3346">
        <v>0</v>
      </c>
      <c r="CK203" s="3346">
        <v>0</v>
      </c>
      <c r="CL203" s="3346">
        <v>0</v>
      </c>
      <c r="CM203" s="3345">
        <v>0</v>
      </c>
    </row>
    <row r="204" spans="1:91" ht="15.75" thickBot="1">
      <c r="A204" s="3283"/>
      <c r="B204" s="2551" t="str">
        <f t="shared" si="3"/>
        <v>3041950030</v>
      </c>
      <c r="C204" s="2493" t="s">
        <v>710</v>
      </c>
      <c r="D204" s="2018">
        <v>4195</v>
      </c>
      <c r="E204" s="2018">
        <v>30</v>
      </c>
      <c r="F204" s="2019">
        <v>9196</v>
      </c>
      <c r="G204" s="2498" t="s">
        <v>1079</v>
      </c>
      <c r="H204" s="2018" t="s">
        <v>1100</v>
      </c>
      <c r="I204" s="2020">
        <v>1.25</v>
      </c>
      <c r="J204" s="2501">
        <v>0</v>
      </c>
      <c r="K204" s="2501">
        <v>0</v>
      </c>
      <c r="L204" s="2501">
        <v>0</v>
      </c>
      <c r="M204" s="2501">
        <v>9196</v>
      </c>
      <c r="N204" s="2508">
        <v>0</v>
      </c>
      <c r="O204" s="2037" t="s">
        <v>1654</v>
      </c>
      <c r="P204" s="3342"/>
      <c r="Q204" s="3332"/>
      <c r="R204" s="3332"/>
      <c r="S204" s="3332"/>
      <c r="T204" s="3332"/>
      <c r="U204" s="3332"/>
      <c r="V204" s="3332"/>
      <c r="W204" s="3332"/>
      <c r="X204" s="3332"/>
      <c r="Y204" s="3332"/>
      <c r="Z204" s="3332"/>
      <c r="AA204" s="3332"/>
      <c r="AB204" s="3332"/>
      <c r="AC204" s="3332"/>
      <c r="AD204" s="3332"/>
      <c r="AE204" s="3332"/>
      <c r="AF204" s="3332"/>
      <c r="AG204" s="3332"/>
      <c r="AH204" s="3332"/>
      <c r="AI204" s="3332"/>
      <c r="AJ204" s="3332"/>
      <c r="AK204" s="3332"/>
      <c r="AL204" s="3332"/>
      <c r="AM204" s="3344"/>
      <c r="AN204" s="3338"/>
      <c r="AO204" s="3339"/>
      <c r="AP204" s="3361"/>
      <c r="AQ204" s="3361"/>
      <c r="AR204" s="3332"/>
      <c r="AS204" s="3332"/>
      <c r="AT204" s="3332"/>
      <c r="AU204" s="3332"/>
      <c r="AV204" s="3332"/>
      <c r="AW204" s="3332"/>
      <c r="AX204" s="3332"/>
      <c r="AY204" s="3332"/>
      <c r="AZ204" s="3332"/>
      <c r="BA204" s="3332"/>
      <c r="BB204" s="3332"/>
      <c r="BC204" s="3332"/>
      <c r="BD204" s="3332"/>
      <c r="BE204" s="3332"/>
      <c r="BF204" s="3332"/>
      <c r="BG204" s="3332"/>
      <c r="BH204" s="3332"/>
      <c r="BI204" s="3332"/>
      <c r="BJ204" s="3332"/>
      <c r="BK204" s="3332"/>
      <c r="BL204" s="3332"/>
      <c r="BM204" s="3332"/>
      <c r="BN204" s="3332"/>
      <c r="BO204" s="3332"/>
      <c r="BP204" s="3332"/>
      <c r="BQ204" s="3357"/>
      <c r="BR204" s="3375"/>
      <c r="BS204" s="3375"/>
      <c r="BT204" s="3375"/>
      <c r="BU204" s="3375"/>
      <c r="BV204" s="3375"/>
      <c r="BW204" s="3375"/>
      <c r="BX204" s="3375"/>
      <c r="BY204" s="3375"/>
      <c r="BZ204" s="3375"/>
      <c r="CA204" s="3375"/>
      <c r="CB204" s="3371"/>
      <c r="CC204" s="3373"/>
      <c r="CD204" s="3373"/>
      <c r="CE204" s="3373"/>
      <c r="CF204" s="3373"/>
      <c r="CG204" s="3373"/>
      <c r="CH204" s="3373"/>
      <c r="CI204" s="3373"/>
      <c r="CJ204" s="3373"/>
      <c r="CK204" s="3373"/>
      <c r="CL204" s="3373"/>
      <c r="CM204" s="3371"/>
    </row>
    <row r="205" spans="1:91">
      <c r="A205" s="3282">
        <v>77</v>
      </c>
      <c r="B205" s="2551" t="str">
        <f t="shared" si="3"/>
        <v>3042140012</v>
      </c>
      <c r="C205" s="2010" t="s">
        <v>703</v>
      </c>
      <c r="D205" s="2011">
        <v>4214</v>
      </c>
      <c r="E205" s="2011">
        <v>12</v>
      </c>
      <c r="F205" s="2494">
        <v>13500</v>
      </c>
      <c r="G205" s="2496" t="s">
        <v>1079</v>
      </c>
      <c r="H205" s="2011" t="s">
        <v>1100</v>
      </c>
      <c r="I205" s="2012">
        <v>1.25</v>
      </c>
      <c r="J205" s="2491">
        <v>0</v>
      </c>
      <c r="K205" s="2491">
        <v>0</v>
      </c>
      <c r="L205" s="2491">
        <v>0</v>
      </c>
      <c r="M205" s="2491">
        <v>0</v>
      </c>
      <c r="N205" s="2489">
        <v>0</v>
      </c>
      <c r="O205" s="2036" t="s">
        <v>1631</v>
      </c>
      <c r="P205" s="3346">
        <v>24999.33</v>
      </c>
      <c r="Q205" s="3331">
        <v>0</v>
      </c>
      <c r="R205" s="3331">
        <v>0</v>
      </c>
      <c r="S205" s="3331">
        <v>0</v>
      </c>
      <c r="T205" s="3331">
        <v>0</v>
      </c>
      <c r="U205" s="3331">
        <v>0</v>
      </c>
      <c r="V205" s="3331">
        <v>0</v>
      </c>
      <c r="W205" s="3331">
        <v>0</v>
      </c>
      <c r="X205" s="3331">
        <v>0</v>
      </c>
      <c r="Y205" s="3331">
        <v>0</v>
      </c>
      <c r="Z205" s="3331">
        <v>0</v>
      </c>
      <c r="AA205" s="3331">
        <v>0</v>
      </c>
      <c r="AB205" s="3331">
        <v>24999.33</v>
      </c>
      <c r="AC205" s="3331">
        <v>24999.33</v>
      </c>
      <c r="AD205" s="3331">
        <v>24</v>
      </c>
      <c r="AE205" s="3331">
        <v>0</v>
      </c>
      <c r="AF205" s="3331">
        <v>0</v>
      </c>
      <c r="AG205" s="3331">
        <v>0</v>
      </c>
      <c r="AH205" s="3331">
        <v>0</v>
      </c>
      <c r="AI205" s="3331">
        <v>0</v>
      </c>
      <c r="AJ205" s="3331">
        <v>0</v>
      </c>
      <c r="AK205" s="3331">
        <v>0</v>
      </c>
      <c r="AL205" s="3331">
        <v>0</v>
      </c>
      <c r="AM205" s="3345">
        <v>35</v>
      </c>
      <c r="AN205" s="3277" t="s">
        <v>705</v>
      </c>
      <c r="AO205" s="3279" t="s">
        <v>1560</v>
      </c>
      <c r="AP205" s="3265" t="s">
        <v>1597</v>
      </c>
      <c r="AQ205" s="3265">
        <v>92000</v>
      </c>
      <c r="AR205" s="3331">
        <v>0</v>
      </c>
      <c r="AS205" s="3331">
        <v>0</v>
      </c>
      <c r="AT205" s="3331">
        <v>0</v>
      </c>
      <c r="AU205" s="3331">
        <v>0</v>
      </c>
      <c r="AV205" s="3331">
        <v>0</v>
      </c>
      <c r="AW205" s="3331">
        <v>0</v>
      </c>
      <c r="AX205" s="3331">
        <v>0</v>
      </c>
      <c r="AY205" s="3331">
        <v>0</v>
      </c>
      <c r="AZ205" s="3331">
        <v>0</v>
      </c>
      <c r="BA205" s="3331">
        <v>0</v>
      </c>
      <c r="BB205" s="3331">
        <v>0</v>
      </c>
      <c r="BC205" s="3331">
        <v>92000</v>
      </c>
      <c r="BD205" s="3331">
        <v>92000</v>
      </c>
      <c r="BE205" s="3331">
        <v>92</v>
      </c>
      <c r="BF205" s="3331">
        <v>46</v>
      </c>
      <c r="BG205" s="3331">
        <v>23</v>
      </c>
      <c r="BH205" s="3331">
        <v>0</v>
      </c>
      <c r="BI205" s="3331">
        <v>0</v>
      </c>
      <c r="BJ205" s="3331">
        <v>0</v>
      </c>
      <c r="BK205" s="3331">
        <v>0</v>
      </c>
      <c r="BL205" s="3331">
        <v>0</v>
      </c>
      <c r="BM205" s="3331">
        <v>0</v>
      </c>
      <c r="BN205" s="3331">
        <v>0</v>
      </c>
      <c r="BO205" s="3331">
        <v>23</v>
      </c>
      <c r="BP205" s="3331">
        <v>105</v>
      </c>
      <c r="BQ205" s="3379">
        <v>67000.67</v>
      </c>
      <c r="BR205" s="3331">
        <v>0</v>
      </c>
      <c r="BS205" s="3331">
        <v>0</v>
      </c>
      <c r="BT205" s="3331">
        <v>0</v>
      </c>
      <c r="BU205" s="3331">
        <v>0</v>
      </c>
      <c r="BV205" s="3331">
        <v>0</v>
      </c>
      <c r="BW205" s="3331">
        <v>0</v>
      </c>
      <c r="BX205" s="3331">
        <v>0</v>
      </c>
      <c r="BY205" s="3331">
        <v>0</v>
      </c>
      <c r="BZ205" s="3331">
        <v>0</v>
      </c>
      <c r="CA205" s="3331">
        <v>0</v>
      </c>
      <c r="CB205" s="3345">
        <v>0</v>
      </c>
      <c r="CC205" s="3346">
        <v>67000.67</v>
      </c>
      <c r="CD205" s="3346">
        <v>0</v>
      </c>
      <c r="CE205" s="3346">
        <v>68</v>
      </c>
      <c r="CF205" s="3346">
        <v>46</v>
      </c>
      <c r="CG205" s="3346">
        <v>23</v>
      </c>
      <c r="CH205" s="3346">
        <v>0</v>
      </c>
      <c r="CI205" s="3346">
        <v>0</v>
      </c>
      <c r="CJ205" s="3346">
        <v>0</v>
      </c>
      <c r="CK205" s="3346">
        <v>0</v>
      </c>
      <c r="CL205" s="3346">
        <v>0</v>
      </c>
      <c r="CM205" s="3345">
        <v>0</v>
      </c>
    </row>
    <row r="206" spans="1:91" ht="15.75" thickBot="1">
      <c r="A206" s="3380"/>
      <c r="B206" s="2551" t="str">
        <f t="shared" si="3"/>
        <v>3042140020</v>
      </c>
      <c r="C206" s="2468" t="s">
        <v>710</v>
      </c>
      <c r="D206" s="2014">
        <v>4214</v>
      </c>
      <c r="E206" s="2014">
        <v>20</v>
      </c>
      <c r="F206" s="2038">
        <v>6500</v>
      </c>
      <c r="G206" s="2133" t="s">
        <v>1079</v>
      </c>
      <c r="H206" s="2014" t="s">
        <v>1100</v>
      </c>
      <c r="I206" s="2016">
        <v>1.25</v>
      </c>
      <c r="J206" s="2538">
        <v>0</v>
      </c>
      <c r="K206" s="2538">
        <v>0</v>
      </c>
      <c r="L206" s="2538">
        <v>0</v>
      </c>
      <c r="M206" s="2538">
        <v>0</v>
      </c>
      <c r="N206" s="2509">
        <v>0</v>
      </c>
      <c r="O206" s="2031" t="s">
        <v>1631</v>
      </c>
      <c r="P206" s="3342"/>
      <c r="Q206" s="3332"/>
      <c r="R206" s="3332"/>
      <c r="S206" s="3332"/>
      <c r="T206" s="3332"/>
      <c r="U206" s="3332"/>
      <c r="V206" s="3332"/>
      <c r="W206" s="3332"/>
      <c r="X206" s="3332"/>
      <c r="Y206" s="3332"/>
      <c r="Z206" s="3332"/>
      <c r="AA206" s="3332"/>
      <c r="AB206" s="3332"/>
      <c r="AC206" s="3332"/>
      <c r="AD206" s="3332"/>
      <c r="AE206" s="3332"/>
      <c r="AF206" s="3332"/>
      <c r="AG206" s="3332"/>
      <c r="AH206" s="3332"/>
      <c r="AI206" s="3332"/>
      <c r="AJ206" s="3332"/>
      <c r="AK206" s="3332"/>
      <c r="AL206" s="3332"/>
      <c r="AM206" s="3344"/>
      <c r="AN206" s="3338"/>
      <c r="AO206" s="3339"/>
      <c r="AP206" s="3361"/>
      <c r="AQ206" s="3361"/>
      <c r="AR206" s="3332"/>
      <c r="AS206" s="3332"/>
      <c r="AT206" s="3332"/>
      <c r="AU206" s="3332"/>
      <c r="AV206" s="3332"/>
      <c r="AW206" s="3332"/>
      <c r="AX206" s="3332"/>
      <c r="AY206" s="3332"/>
      <c r="AZ206" s="3332"/>
      <c r="BA206" s="3332"/>
      <c r="BB206" s="3332"/>
      <c r="BC206" s="3332"/>
      <c r="BD206" s="3332"/>
      <c r="BE206" s="3332"/>
      <c r="BF206" s="3332"/>
      <c r="BG206" s="3332"/>
      <c r="BH206" s="3332"/>
      <c r="BI206" s="3332"/>
      <c r="BJ206" s="3332"/>
      <c r="BK206" s="3332"/>
      <c r="BL206" s="3332"/>
      <c r="BM206" s="3332"/>
      <c r="BN206" s="3332"/>
      <c r="BO206" s="3332"/>
      <c r="BP206" s="3332"/>
      <c r="BQ206" s="3387"/>
      <c r="BR206" s="3385"/>
      <c r="BS206" s="3385"/>
      <c r="BT206" s="3385"/>
      <c r="BU206" s="3385"/>
      <c r="BV206" s="3385"/>
      <c r="BW206" s="3385"/>
      <c r="BX206" s="3385"/>
      <c r="BY206" s="3385"/>
      <c r="BZ206" s="3385"/>
      <c r="CA206" s="3385"/>
      <c r="CB206" s="3386"/>
      <c r="CC206" s="3384"/>
      <c r="CD206" s="3384"/>
      <c r="CE206" s="3384"/>
      <c r="CF206" s="3384"/>
      <c r="CG206" s="3384"/>
      <c r="CH206" s="3384"/>
      <c r="CI206" s="3384"/>
      <c r="CJ206" s="3384"/>
      <c r="CK206" s="3384"/>
      <c r="CL206" s="3384"/>
      <c r="CM206" s="3386"/>
    </row>
    <row r="207" spans="1:91">
      <c r="A207" s="3282">
        <v>78</v>
      </c>
      <c r="B207" s="2551" t="str">
        <f t="shared" si="3"/>
        <v>3042280013</v>
      </c>
      <c r="C207" s="2010" t="s">
        <v>703</v>
      </c>
      <c r="D207" s="2011">
        <v>4228</v>
      </c>
      <c r="E207" s="2011">
        <v>13</v>
      </c>
      <c r="F207" s="2494">
        <v>7200</v>
      </c>
      <c r="G207" s="2496" t="s">
        <v>1079</v>
      </c>
      <c r="H207" s="2011" t="s">
        <v>1584</v>
      </c>
      <c r="I207" s="2012">
        <v>1.25</v>
      </c>
      <c r="J207" s="2491">
        <v>0</v>
      </c>
      <c r="K207" s="2491">
        <v>0</v>
      </c>
      <c r="L207" s="2491">
        <v>0</v>
      </c>
      <c r="M207" s="2491">
        <v>7200</v>
      </c>
      <c r="N207" s="2489">
        <v>0</v>
      </c>
      <c r="O207" s="2525" t="s">
        <v>1654</v>
      </c>
      <c r="P207" s="3346">
        <v>0</v>
      </c>
      <c r="Q207" s="3331">
        <v>0</v>
      </c>
      <c r="R207" s="3331">
        <v>0</v>
      </c>
      <c r="S207" s="3331">
        <v>0</v>
      </c>
      <c r="T207" s="3331">
        <v>0</v>
      </c>
      <c r="U207" s="3331">
        <v>0</v>
      </c>
      <c r="V207" s="3331">
        <v>0</v>
      </c>
      <c r="W207" s="3331">
        <v>0</v>
      </c>
      <c r="X207" s="3331">
        <v>0</v>
      </c>
      <c r="Y207" s="3331">
        <v>0</v>
      </c>
      <c r="Z207" s="3331">
        <v>18000</v>
      </c>
      <c r="AA207" s="3331">
        <v>0</v>
      </c>
      <c r="AB207" s="3331">
        <v>18000</v>
      </c>
      <c r="AC207" s="3331">
        <v>18000</v>
      </c>
      <c r="AD207" s="3331">
        <v>0</v>
      </c>
      <c r="AE207" s="3331">
        <v>0</v>
      </c>
      <c r="AF207" s="3331">
        <v>0</v>
      </c>
      <c r="AG207" s="3331">
        <v>0</v>
      </c>
      <c r="AH207" s="3331">
        <v>0</v>
      </c>
      <c r="AI207" s="3331">
        <v>0</v>
      </c>
      <c r="AJ207" s="3331">
        <v>0</v>
      </c>
      <c r="AK207" s="3331">
        <v>0</v>
      </c>
      <c r="AL207" s="3331">
        <v>0</v>
      </c>
      <c r="AM207" s="3345">
        <v>15</v>
      </c>
      <c r="AN207" s="3277" t="s">
        <v>705</v>
      </c>
      <c r="AO207" s="3279" t="s">
        <v>706</v>
      </c>
      <c r="AP207" s="3265" t="s">
        <v>1637</v>
      </c>
      <c r="AQ207" s="3265">
        <v>66600</v>
      </c>
      <c r="AR207" s="3331">
        <v>16200</v>
      </c>
      <c r="AS207" s="3331">
        <v>0</v>
      </c>
      <c r="AT207" s="3331">
        <v>0</v>
      </c>
      <c r="AU207" s="3331">
        <v>0</v>
      </c>
      <c r="AV207" s="3331">
        <v>0</v>
      </c>
      <c r="AW207" s="3331">
        <v>0</v>
      </c>
      <c r="AX207" s="3331">
        <v>0</v>
      </c>
      <c r="AY207" s="3331">
        <v>0</v>
      </c>
      <c r="AZ207" s="3331">
        <v>0</v>
      </c>
      <c r="BA207" s="3331">
        <v>0</v>
      </c>
      <c r="BB207" s="3331">
        <v>0</v>
      </c>
      <c r="BC207" s="3331">
        <v>82800</v>
      </c>
      <c r="BD207" s="3331">
        <v>84600</v>
      </c>
      <c r="BE207" s="3331">
        <v>66</v>
      </c>
      <c r="BF207" s="3331">
        <v>33</v>
      </c>
      <c r="BG207" s="3331">
        <v>17</v>
      </c>
      <c r="BH207" s="3331">
        <v>0</v>
      </c>
      <c r="BI207" s="3331">
        <v>16</v>
      </c>
      <c r="BJ207" s="3331">
        <v>0</v>
      </c>
      <c r="BK207" s="3331">
        <v>0</v>
      </c>
      <c r="BL207" s="3331">
        <v>0</v>
      </c>
      <c r="BM207" s="3331">
        <v>0</v>
      </c>
      <c r="BN207" s="3331">
        <v>0</v>
      </c>
      <c r="BO207" s="3331">
        <v>33</v>
      </c>
      <c r="BP207" s="3331">
        <v>105</v>
      </c>
      <c r="BQ207" s="3379">
        <v>66600</v>
      </c>
      <c r="BR207" s="3331">
        <v>16200</v>
      </c>
      <c r="BS207" s="3331">
        <v>0</v>
      </c>
      <c r="BT207" s="3331">
        <v>0</v>
      </c>
      <c r="BU207" s="3331">
        <v>0</v>
      </c>
      <c r="BV207" s="3331">
        <v>0</v>
      </c>
      <c r="BW207" s="3331">
        <v>0</v>
      </c>
      <c r="BX207" s="3331">
        <v>0</v>
      </c>
      <c r="BY207" s="3331">
        <v>0</v>
      </c>
      <c r="BZ207" s="3331">
        <v>0</v>
      </c>
      <c r="CA207" s="3331">
        <v>-18000</v>
      </c>
      <c r="CB207" s="3345">
        <v>0</v>
      </c>
      <c r="CC207" s="3346">
        <v>64800</v>
      </c>
      <c r="CD207" s="3331">
        <v>16200</v>
      </c>
      <c r="CE207" s="3346">
        <v>66</v>
      </c>
      <c r="CF207" s="3346">
        <v>33</v>
      </c>
      <c r="CG207" s="3346">
        <v>17</v>
      </c>
      <c r="CH207" s="3346">
        <v>0</v>
      </c>
      <c r="CI207" s="3346">
        <v>16</v>
      </c>
      <c r="CJ207" s="3346">
        <v>0</v>
      </c>
      <c r="CK207" s="3346">
        <v>0</v>
      </c>
      <c r="CL207" s="3346">
        <v>0</v>
      </c>
      <c r="CM207" s="3345">
        <v>0</v>
      </c>
    </row>
    <row r="208" spans="1:91" ht="15.75" thickBot="1">
      <c r="A208" s="3283"/>
      <c r="B208" s="2551" t="str">
        <f t="shared" si="3"/>
        <v>3042280017</v>
      </c>
      <c r="C208" s="2493" t="s">
        <v>710</v>
      </c>
      <c r="D208" s="2018">
        <v>4228</v>
      </c>
      <c r="E208" s="2018">
        <v>17</v>
      </c>
      <c r="F208" s="2019">
        <v>10800</v>
      </c>
      <c r="G208" s="2498" t="s">
        <v>1079</v>
      </c>
      <c r="H208" s="2018" t="s">
        <v>1584</v>
      </c>
      <c r="I208" s="2020">
        <v>1.25</v>
      </c>
      <c r="J208" s="2501">
        <v>0</v>
      </c>
      <c r="K208" s="2501">
        <v>0</v>
      </c>
      <c r="L208" s="2501">
        <v>0</v>
      </c>
      <c r="M208" s="2501">
        <v>10800</v>
      </c>
      <c r="N208" s="2508">
        <v>0</v>
      </c>
      <c r="O208" s="2037" t="s">
        <v>1654</v>
      </c>
      <c r="P208" s="3342"/>
      <c r="Q208" s="3332"/>
      <c r="R208" s="3332"/>
      <c r="S208" s="3332"/>
      <c r="T208" s="3332"/>
      <c r="U208" s="3332"/>
      <c r="V208" s="3332"/>
      <c r="W208" s="3332"/>
      <c r="X208" s="3332"/>
      <c r="Y208" s="3332"/>
      <c r="Z208" s="3332"/>
      <c r="AA208" s="3332"/>
      <c r="AB208" s="3332"/>
      <c r="AC208" s="3332"/>
      <c r="AD208" s="3332"/>
      <c r="AE208" s="3332"/>
      <c r="AF208" s="3332"/>
      <c r="AG208" s="3332"/>
      <c r="AH208" s="3332"/>
      <c r="AI208" s="3332"/>
      <c r="AJ208" s="3332"/>
      <c r="AK208" s="3332"/>
      <c r="AL208" s="3332"/>
      <c r="AM208" s="3344"/>
      <c r="AN208" s="3338"/>
      <c r="AO208" s="3339"/>
      <c r="AP208" s="3361"/>
      <c r="AQ208" s="3361"/>
      <c r="AR208" s="3332"/>
      <c r="AS208" s="3332"/>
      <c r="AT208" s="3332"/>
      <c r="AU208" s="3332"/>
      <c r="AV208" s="3332"/>
      <c r="AW208" s="3332"/>
      <c r="AX208" s="3332"/>
      <c r="AY208" s="3332"/>
      <c r="AZ208" s="3332"/>
      <c r="BA208" s="3332"/>
      <c r="BB208" s="3332"/>
      <c r="BC208" s="3332"/>
      <c r="BD208" s="3332"/>
      <c r="BE208" s="3332"/>
      <c r="BF208" s="3332"/>
      <c r="BG208" s="3332"/>
      <c r="BH208" s="3332"/>
      <c r="BI208" s="3332"/>
      <c r="BJ208" s="3332"/>
      <c r="BK208" s="3332"/>
      <c r="BL208" s="3332"/>
      <c r="BM208" s="3332"/>
      <c r="BN208" s="3332"/>
      <c r="BO208" s="3332"/>
      <c r="BP208" s="3332"/>
      <c r="BQ208" s="3357"/>
      <c r="BR208" s="3375"/>
      <c r="BS208" s="3375"/>
      <c r="BT208" s="3375"/>
      <c r="BU208" s="3375"/>
      <c r="BV208" s="3375"/>
      <c r="BW208" s="3375"/>
      <c r="BX208" s="3375"/>
      <c r="BY208" s="3375"/>
      <c r="BZ208" s="3375"/>
      <c r="CA208" s="3375"/>
      <c r="CB208" s="3371"/>
      <c r="CC208" s="3373"/>
      <c r="CD208" s="3375"/>
      <c r="CE208" s="3373"/>
      <c r="CF208" s="3373"/>
      <c r="CG208" s="3373"/>
      <c r="CH208" s="3373"/>
      <c r="CI208" s="3373"/>
      <c r="CJ208" s="3373"/>
      <c r="CK208" s="3373"/>
      <c r="CL208" s="3373"/>
      <c r="CM208" s="3371"/>
    </row>
    <row r="209" spans="1:91">
      <c r="A209" s="3489">
        <v>79</v>
      </c>
      <c r="B209" s="2551" t="str">
        <f t="shared" si="3"/>
        <v>3042320018</v>
      </c>
      <c r="C209" s="2022" t="s">
        <v>703</v>
      </c>
      <c r="D209" s="2023">
        <v>4232</v>
      </c>
      <c r="E209" s="2023">
        <v>18</v>
      </c>
      <c r="F209" s="2506">
        <v>13867</v>
      </c>
      <c r="G209" s="2507" t="s">
        <v>1079</v>
      </c>
      <c r="H209" s="2023" t="s">
        <v>1100</v>
      </c>
      <c r="I209" s="2024">
        <v>1.25</v>
      </c>
      <c r="J209" s="2505">
        <v>0</v>
      </c>
      <c r="K209" s="2505">
        <v>0</v>
      </c>
      <c r="L209" s="2505">
        <v>0</v>
      </c>
      <c r="M209" s="2505">
        <v>0</v>
      </c>
      <c r="N209" s="2025">
        <v>0</v>
      </c>
      <c r="O209" s="2036" t="s">
        <v>1631</v>
      </c>
      <c r="P209" s="3346">
        <v>19853.34</v>
      </c>
      <c r="Q209" s="3331">
        <v>0</v>
      </c>
      <c r="R209" s="3331">
        <v>0</v>
      </c>
      <c r="S209" s="3331">
        <v>0</v>
      </c>
      <c r="T209" s="3331">
        <v>0</v>
      </c>
      <c r="U209" s="3331">
        <v>0</v>
      </c>
      <c r="V209" s="3331">
        <v>0</v>
      </c>
      <c r="W209" s="3331">
        <v>0</v>
      </c>
      <c r="X209" s="3331">
        <v>0</v>
      </c>
      <c r="Y209" s="3331">
        <v>0</v>
      </c>
      <c r="Z209" s="3331">
        <v>0</v>
      </c>
      <c r="AA209" s="3331">
        <v>2520</v>
      </c>
      <c r="AB209" s="3331">
        <v>22373.34</v>
      </c>
      <c r="AC209" s="3331">
        <v>22373.34</v>
      </c>
      <c r="AD209" s="3331">
        <v>19</v>
      </c>
      <c r="AE209" s="3331">
        <v>0</v>
      </c>
      <c r="AF209" s="3331">
        <v>0</v>
      </c>
      <c r="AG209" s="3331">
        <v>0</v>
      </c>
      <c r="AH209" s="3331">
        <v>0</v>
      </c>
      <c r="AI209" s="3331">
        <v>0</v>
      </c>
      <c r="AJ209" s="3331">
        <v>0</v>
      </c>
      <c r="AK209" s="3331">
        <v>0</v>
      </c>
      <c r="AL209" s="3331">
        <v>0</v>
      </c>
      <c r="AM209" s="3345">
        <v>35</v>
      </c>
      <c r="AN209" s="3493" t="str">
        <f>[4]With_Action!L660</f>
        <v>R7A</v>
      </c>
      <c r="AO209" s="3495" t="s">
        <v>706</v>
      </c>
      <c r="AP209" s="3497" t="str">
        <f>[4]With_Action!BU660</f>
        <v>Retail/Restaurant (1)/Residential (8)</v>
      </c>
      <c r="AQ209" s="3497">
        <f>[4]With_Action!BV660</f>
        <v>64579</v>
      </c>
      <c r="AR209" s="3491" t="e">
        <f>[4]With_Action!BW660+[4]With_Action!BX660</f>
        <v>#REF!</v>
      </c>
      <c r="AS209" s="3491" t="e">
        <f>[4]With_Action!BY660</f>
        <v>#REF!</v>
      </c>
      <c r="AT209" s="3491">
        <f>[4]With_Action!BZ660</f>
        <v>5000</v>
      </c>
      <c r="AU209" s="3491" t="e">
        <f>[4]With_Action!CA660</f>
        <v>#REF!</v>
      </c>
      <c r="AV209" s="3491" t="e">
        <f>[4]With_Action!CB660</f>
        <v>#REF!</v>
      </c>
      <c r="AW209" s="3491" t="e">
        <f>[4]With_Action!CC660</f>
        <v>#REF!</v>
      </c>
      <c r="AX209" s="3491" t="e">
        <f>[4]With_Action!CD660</f>
        <v>#REF!</v>
      </c>
      <c r="AY209" s="3491" t="e">
        <f>[4]With_Action!CE660</f>
        <v>#REF!</v>
      </c>
      <c r="AZ209" s="3491" t="e">
        <f>[4]With_Action!CF660</f>
        <v>#REF!</v>
      </c>
      <c r="BA209" s="3491" t="e">
        <f>[4]With_Action!CG660</f>
        <v>#REF!</v>
      </c>
      <c r="BB209" s="3491" t="e">
        <f>[4]With_Action!CH660</f>
        <v>#REF!</v>
      </c>
      <c r="BC209" s="3491">
        <f>[4]With_Action!CI660</f>
        <v>80287.600000000006</v>
      </c>
      <c r="BD209" s="3491">
        <f>[4]With_Action!BR660</f>
        <v>64579</v>
      </c>
      <c r="BE209" s="3491">
        <f>[4]With_Action!CS660</f>
        <v>64</v>
      </c>
      <c r="BF209" s="3491">
        <f>[4]With_Action!CV660</f>
        <v>32</v>
      </c>
      <c r="BG209" s="3491">
        <f>[4]With_Action!CW660</f>
        <v>16</v>
      </c>
      <c r="BH209" s="3491">
        <f>[4]With_Action!CX660</f>
        <v>0</v>
      </c>
      <c r="BI209" s="3491">
        <f>[4]With_Action!CY660</f>
        <v>0</v>
      </c>
      <c r="BJ209" s="3491" t="e">
        <f>[4]With_Action!CZ660</f>
        <v>#REF!</v>
      </c>
      <c r="BK209" s="3491" t="e">
        <f>[4]With_Action!DA660</f>
        <v>#REF!</v>
      </c>
      <c r="BL209" s="3491">
        <f>[4]With_Action!DB660</f>
        <v>0</v>
      </c>
      <c r="BM209" s="3491">
        <f>[4]With_Action!DC660</f>
        <v>0</v>
      </c>
      <c r="BN209" s="3491">
        <f>[4]With_Action!DD660</f>
        <v>0</v>
      </c>
      <c r="BO209" s="3491">
        <f>[4]With_Action!DE660</f>
        <v>16</v>
      </c>
      <c r="BP209" s="3491">
        <f>[4]With_Action!CR660</f>
        <v>95</v>
      </c>
      <c r="BQ209" s="3505">
        <f>[4]Increment!C85</f>
        <v>44725.66</v>
      </c>
      <c r="BR209" s="3499">
        <f>[4]Increment!D85+[4]Increment!E85</f>
        <v>10708.6</v>
      </c>
      <c r="BS209" s="3499">
        <f>[4]Increment!F85</f>
        <v>0</v>
      </c>
      <c r="BT209" s="3499">
        <f>[4]Increment!G85</f>
        <v>5000</v>
      </c>
      <c r="BU209" s="3499">
        <f>[4]Increment!H85</f>
        <v>0</v>
      </c>
      <c r="BV209" s="3499">
        <f>[4]Increment!I85</f>
        <v>0</v>
      </c>
      <c r="BW209" s="3499">
        <f>[4]Increment!J85</f>
        <v>0</v>
      </c>
      <c r="BX209" s="3499">
        <f>[4]Increment!K85</f>
        <v>0</v>
      </c>
      <c r="BY209" s="3499">
        <f>[4]Increment!L85</f>
        <v>0</v>
      </c>
      <c r="BZ209" s="3499">
        <f>[4]Increment!M85</f>
        <v>0</v>
      </c>
      <c r="CA209" s="3499">
        <f>[4]Increment!N85</f>
        <v>0</v>
      </c>
      <c r="CB209" s="3503">
        <f>[4]Increment!O85</f>
        <v>-2520</v>
      </c>
      <c r="CC209" s="3501">
        <f>[4]Increment!P85</f>
        <v>57914.260000000009</v>
      </c>
      <c r="CD209" s="3501">
        <f>[4]Increment!Q85</f>
        <v>15708.6</v>
      </c>
      <c r="CE209" s="3501">
        <f>[4]Increment!S85</f>
        <v>45</v>
      </c>
      <c r="CF209" s="3501">
        <f>[4]Increment!U85</f>
        <v>32</v>
      </c>
      <c r="CG209" s="3501">
        <f>[4]Increment!V85</f>
        <v>16</v>
      </c>
      <c r="CH209" s="3501">
        <f>[4]Increment!W85</f>
        <v>0</v>
      </c>
      <c r="CI209" s="3501">
        <f>[4]Increment!X85</f>
        <v>0</v>
      </c>
      <c r="CJ209" s="3501">
        <f>[4]Increment!Z85</f>
        <v>0</v>
      </c>
      <c r="CK209" s="3501">
        <f>[4]Increment!AA85</f>
        <v>0</v>
      </c>
      <c r="CL209" s="3501">
        <f>[4]Increment!AB85</f>
        <v>0</v>
      </c>
      <c r="CM209" s="3503">
        <f>[4]Increment!AC85</f>
        <v>0</v>
      </c>
    </row>
    <row r="210" spans="1:91" ht="15.75" thickBot="1">
      <c r="A210" s="3490"/>
      <c r="B210" s="2551" t="str">
        <f t="shared" si="3"/>
        <v>3042320017</v>
      </c>
      <c r="C210" s="2493" t="s">
        <v>710</v>
      </c>
      <c r="D210" s="2018">
        <v>4232</v>
      </c>
      <c r="E210" s="2018">
        <v>17</v>
      </c>
      <c r="F210" s="2019">
        <v>3587</v>
      </c>
      <c r="G210" s="2498" t="s">
        <v>1079</v>
      </c>
      <c r="H210" s="2018" t="s">
        <v>1100</v>
      </c>
      <c r="I210" s="2020">
        <v>1.25</v>
      </c>
      <c r="J210" s="2501">
        <v>0</v>
      </c>
      <c r="K210" s="2501">
        <v>0</v>
      </c>
      <c r="L210" s="2501">
        <v>0</v>
      </c>
      <c r="M210" s="2501">
        <v>5040</v>
      </c>
      <c r="N210" s="2508">
        <v>0</v>
      </c>
      <c r="O210" s="2031" t="s">
        <v>1655</v>
      </c>
      <c r="P210" s="3342"/>
      <c r="Q210" s="3332"/>
      <c r="R210" s="3363"/>
      <c r="S210" s="3363"/>
      <c r="T210" s="3363"/>
      <c r="U210" s="3363"/>
      <c r="V210" s="3363"/>
      <c r="W210" s="3363"/>
      <c r="X210" s="3363"/>
      <c r="Y210" s="3363"/>
      <c r="Z210" s="3363"/>
      <c r="AA210" s="3363"/>
      <c r="AB210" s="3332"/>
      <c r="AC210" s="3332"/>
      <c r="AD210" s="3332"/>
      <c r="AE210" s="3332"/>
      <c r="AF210" s="3332"/>
      <c r="AG210" s="3332"/>
      <c r="AH210" s="3332"/>
      <c r="AI210" s="3332"/>
      <c r="AJ210" s="3332"/>
      <c r="AK210" s="3332"/>
      <c r="AL210" s="3332"/>
      <c r="AM210" s="3344"/>
      <c r="AN210" s="3494"/>
      <c r="AO210" s="3496"/>
      <c r="AP210" s="3498"/>
      <c r="AQ210" s="3498"/>
      <c r="AR210" s="3492"/>
      <c r="AS210" s="3492"/>
      <c r="AT210" s="3492"/>
      <c r="AU210" s="3492"/>
      <c r="AV210" s="3492"/>
      <c r="AW210" s="3492"/>
      <c r="AX210" s="3492"/>
      <c r="AY210" s="3492"/>
      <c r="AZ210" s="3492"/>
      <c r="BA210" s="3492"/>
      <c r="BB210" s="3492"/>
      <c r="BC210" s="3492"/>
      <c r="BD210" s="3492"/>
      <c r="BE210" s="3492"/>
      <c r="BF210" s="3492"/>
      <c r="BG210" s="3492"/>
      <c r="BH210" s="3492"/>
      <c r="BI210" s="3492"/>
      <c r="BJ210" s="3492"/>
      <c r="BK210" s="3492"/>
      <c r="BL210" s="3492"/>
      <c r="BM210" s="3492"/>
      <c r="BN210" s="3492"/>
      <c r="BO210" s="3492"/>
      <c r="BP210" s="3492"/>
      <c r="BQ210" s="3506"/>
      <c r="BR210" s="3500"/>
      <c r="BS210" s="3500"/>
      <c r="BT210" s="3500"/>
      <c r="BU210" s="3500"/>
      <c r="BV210" s="3500"/>
      <c r="BW210" s="3500"/>
      <c r="BX210" s="3500"/>
      <c r="BY210" s="3500"/>
      <c r="BZ210" s="3500"/>
      <c r="CA210" s="3500"/>
      <c r="CB210" s="3504"/>
      <c r="CC210" s="3502"/>
      <c r="CD210" s="3502"/>
      <c r="CE210" s="3502"/>
      <c r="CF210" s="3502"/>
      <c r="CG210" s="3502"/>
      <c r="CH210" s="3502"/>
      <c r="CI210" s="3502"/>
      <c r="CJ210" s="3502"/>
      <c r="CK210" s="3502"/>
      <c r="CL210" s="3502"/>
      <c r="CM210" s="3504"/>
    </row>
    <row r="211" spans="1:91">
      <c r="A211" s="3270">
        <v>80</v>
      </c>
      <c r="B211" s="2551" t="str">
        <f t="shared" si="3"/>
        <v>3039890001</v>
      </c>
      <c r="C211" s="2010" t="s">
        <v>703</v>
      </c>
      <c r="D211" s="2011">
        <v>3989</v>
      </c>
      <c r="E211" s="2011">
        <v>1</v>
      </c>
      <c r="F211" s="2494">
        <v>5000</v>
      </c>
      <c r="G211" s="2496" t="s">
        <v>947</v>
      </c>
      <c r="H211" s="2011" t="s">
        <v>1560</v>
      </c>
      <c r="I211" s="2012">
        <v>1</v>
      </c>
      <c r="J211" s="2491">
        <v>0</v>
      </c>
      <c r="K211" s="2491">
        <v>0</v>
      </c>
      <c r="L211" s="2491">
        <v>2280</v>
      </c>
      <c r="M211" s="2491">
        <v>2280</v>
      </c>
      <c r="N211" s="2489">
        <v>0</v>
      </c>
      <c r="O211" s="2525" t="s">
        <v>1656</v>
      </c>
      <c r="P211" s="3346">
        <v>0</v>
      </c>
      <c r="Q211" s="3331">
        <v>0</v>
      </c>
      <c r="R211" s="3331">
        <v>0</v>
      </c>
      <c r="S211" s="3331">
        <v>0</v>
      </c>
      <c r="T211" s="3331">
        <v>0</v>
      </c>
      <c r="U211" s="3331">
        <v>0</v>
      </c>
      <c r="V211" s="3331">
        <v>4008</v>
      </c>
      <c r="W211" s="3331">
        <v>0</v>
      </c>
      <c r="X211" s="3331">
        <v>0</v>
      </c>
      <c r="Y211" s="3331">
        <v>0</v>
      </c>
      <c r="Z211" s="3331">
        <v>0</v>
      </c>
      <c r="AA211" s="3331">
        <v>0</v>
      </c>
      <c r="AB211" s="3331">
        <v>4008</v>
      </c>
      <c r="AC211" s="3331">
        <v>4008</v>
      </c>
      <c r="AD211" s="3331">
        <v>0</v>
      </c>
      <c r="AE211" s="3331">
        <v>0</v>
      </c>
      <c r="AF211" s="3331">
        <v>0</v>
      </c>
      <c r="AG211" s="3331">
        <v>0</v>
      </c>
      <c r="AH211" s="3331">
        <v>0</v>
      </c>
      <c r="AI211" s="3331">
        <v>0</v>
      </c>
      <c r="AJ211" s="3331">
        <v>0</v>
      </c>
      <c r="AK211" s="3331">
        <v>0</v>
      </c>
      <c r="AL211" s="3331">
        <v>0</v>
      </c>
      <c r="AM211" s="3345">
        <v>15</v>
      </c>
      <c r="AN211" s="3277" t="s">
        <v>1585</v>
      </c>
      <c r="AO211" s="3279" t="s">
        <v>1560</v>
      </c>
      <c r="AP211" s="3265" t="s">
        <v>1616</v>
      </c>
      <c r="AQ211" s="3265">
        <v>48600</v>
      </c>
      <c r="AR211" s="3331">
        <v>0</v>
      </c>
      <c r="AS211" s="3331">
        <v>0</v>
      </c>
      <c r="AT211" s="3331">
        <v>0</v>
      </c>
      <c r="AU211" s="3331">
        <v>0</v>
      </c>
      <c r="AV211" s="3331">
        <v>0</v>
      </c>
      <c r="AW211" s="3331">
        <v>0</v>
      </c>
      <c r="AX211" s="3331">
        <v>0</v>
      </c>
      <c r="AY211" s="3331">
        <v>0</v>
      </c>
      <c r="AZ211" s="3331">
        <v>0</v>
      </c>
      <c r="BA211" s="3331">
        <v>0</v>
      </c>
      <c r="BB211" s="3331">
        <v>0</v>
      </c>
      <c r="BC211" s="3331">
        <v>48600</v>
      </c>
      <c r="BD211" s="3331">
        <v>48600</v>
      </c>
      <c r="BE211" s="3331">
        <v>48</v>
      </c>
      <c r="BF211" s="3331">
        <v>24</v>
      </c>
      <c r="BG211" s="3331">
        <v>12</v>
      </c>
      <c r="BH211" s="3331">
        <v>0</v>
      </c>
      <c r="BI211" s="3331">
        <v>0</v>
      </c>
      <c r="BJ211" s="3331">
        <v>0</v>
      </c>
      <c r="BK211" s="3331">
        <v>0</v>
      </c>
      <c r="BL211" s="3331">
        <v>0</v>
      </c>
      <c r="BM211" s="3331">
        <v>0</v>
      </c>
      <c r="BN211" s="3331">
        <v>0</v>
      </c>
      <c r="BO211" s="3331">
        <v>12</v>
      </c>
      <c r="BP211" s="3345">
        <v>85</v>
      </c>
      <c r="BQ211" s="3379">
        <v>48600</v>
      </c>
      <c r="BR211" s="3331">
        <v>0</v>
      </c>
      <c r="BS211" s="3331">
        <v>0</v>
      </c>
      <c r="BT211" s="3331">
        <v>0</v>
      </c>
      <c r="BU211" s="3331">
        <v>0</v>
      </c>
      <c r="BV211" s="3331">
        <v>0</v>
      </c>
      <c r="BW211" s="3331">
        <v>-4008</v>
      </c>
      <c r="BX211" s="3331">
        <v>0</v>
      </c>
      <c r="BY211" s="3331">
        <v>0</v>
      </c>
      <c r="BZ211" s="3331">
        <v>0</v>
      </c>
      <c r="CA211" s="3331">
        <v>0</v>
      </c>
      <c r="CB211" s="3345">
        <v>0</v>
      </c>
      <c r="CC211" s="3346">
        <v>44592</v>
      </c>
      <c r="CD211" s="3346">
        <v>-4008</v>
      </c>
      <c r="CE211" s="3346">
        <v>48</v>
      </c>
      <c r="CF211" s="3346">
        <v>24</v>
      </c>
      <c r="CG211" s="3346">
        <v>12</v>
      </c>
      <c r="CH211" s="3346">
        <v>0</v>
      </c>
      <c r="CI211" s="3346">
        <v>0</v>
      </c>
      <c r="CJ211" s="3346">
        <v>0</v>
      </c>
      <c r="CK211" s="3346">
        <v>0</v>
      </c>
      <c r="CL211" s="3346">
        <v>0</v>
      </c>
      <c r="CM211" s="3345">
        <v>0</v>
      </c>
    </row>
    <row r="212" spans="1:91">
      <c r="A212" s="3387"/>
      <c r="B212" s="2551" t="str">
        <f t="shared" si="3"/>
        <v>3039890034</v>
      </c>
      <c r="C212" s="2492" t="s">
        <v>710</v>
      </c>
      <c r="D212" s="2026">
        <v>3989</v>
      </c>
      <c r="E212" s="2026">
        <v>34</v>
      </c>
      <c r="F212" s="2027">
        <v>4250</v>
      </c>
      <c r="G212" s="2497" t="s">
        <v>947</v>
      </c>
      <c r="H212" s="2026" t="s">
        <v>1560</v>
      </c>
      <c r="I212" s="2028">
        <v>1</v>
      </c>
      <c r="J212" s="2500">
        <v>0</v>
      </c>
      <c r="K212" s="2500">
        <v>0</v>
      </c>
      <c r="L212" s="2500">
        <v>1728</v>
      </c>
      <c r="M212" s="2500">
        <v>1728</v>
      </c>
      <c r="N212" s="2029">
        <v>0</v>
      </c>
      <c r="O212" s="2030" t="s">
        <v>1656</v>
      </c>
      <c r="P212" s="3341"/>
      <c r="Q212" s="3340"/>
      <c r="R212" s="3713"/>
      <c r="S212" s="3713"/>
      <c r="T212" s="3713"/>
      <c r="U212" s="3713"/>
      <c r="V212" s="3713"/>
      <c r="W212" s="3713"/>
      <c r="X212" s="3713"/>
      <c r="Y212" s="3713"/>
      <c r="Z212" s="3713"/>
      <c r="AA212" s="3713"/>
      <c r="AB212" s="3340"/>
      <c r="AC212" s="3340"/>
      <c r="AD212" s="3340"/>
      <c r="AE212" s="3340"/>
      <c r="AF212" s="3340"/>
      <c r="AG212" s="3340"/>
      <c r="AH212" s="3340"/>
      <c r="AI212" s="3340"/>
      <c r="AJ212" s="3340"/>
      <c r="AK212" s="3340"/>
      <c r="AL212" s="3340"/>
      <c r="AM212" s="3343"/>
      <c r="AN212" s="3278"/>
      <c r="AO212" s="3280"/>
      <c r="AP212" s="3274"/>
      <c r="AQ212" s="3274"/>
      <c r="AR212" s="3340"/>
      <c r="AS212" s="3340"/>
      <c r="AT212" s="3340"/>
      <c r="AU212" s="3340"/>
      <c r="AV212" s="3340"/>
      <c r="AW212" s="3340"/>
      <c r="AX212" s="3340"/>
      <c r="AY212" s="3340"/>
      <c r="AZ212" s="3340"/>
      <c r="BA212" s="3340"/>
      <c r="BB212" s="3340"/>
      <c r="BC212" s="3340"/>
      <c r="BD212" s="3340"/>
      <c r="BE212" s="3340"/>
      <c r="BF212" s="3340"/>
      <c r="BG212" s="3340"/>
      <c r="BH212" s="3340"/>
      <c r="BI212" s="3340"/>
      <c r="BJ212" s="3340"/>
      <c r="BK212" s="3340"/>
      <c r="BL212" s="3340"/>
      <c r="BM212" s="3340"/>
      <c r="BN212" s="3340"/>
      <c r="BO212" s="3340"/>
      <c r="BP212" s="3343"/>
      <c r="BQ212" s="3387"/>
      <c r="BR212" s="3385"/>
      <c r="BS212" s="3385"/>
      <c r="BT212" s="3385"/>
      <c r="BU212" s="3385"/>
      <c r="BV212" s="3385"/>
      <c r="BW212" s="3385"/>
      <c r="BX212" s="3385"/>
      <c r="BY212" s="3385"/>
      <c r="BZ212" s="3385"/>
      <c r="CA212" s="3385"/>
      <c r="CB212" s="3386"/>
      <c r="CC212" s="3384"/>
      <c r="CD212" s="3384"/>
      <c r="CE212" s="3384"/>
      <c r="CF212" s="3384"/>
      <c r="CG212" s="3384"/>
      <c r="CH212" s="3384"/>
      <c r="CI212" s="3384"/>
      <c r="CJ212" s="3384"/>
      <c r="CK212" s="3384"/>
      <c r="CL212" s="3384"/>
      <c r="CM212" s="3386"/>
    </row>
    <row r="213" spans="1:91" ht="15.75" thickBot="1">
      <c r="A213" s="3357"/>
      <c r="B213" s="2551" t="str">
        <f t="shared" si="3"/>
        <v>3039890036</v>
      </c>
      <c r="C213" s="2493" t="s">
        <v>721</v>
      </c>
      <c r="D213" s="2018">
        <v>3989</v>
      </c>
      <c r="E213" s="2018">
        <v>36</v>
      </c>
      <c r="F213" s="2019">
        <v>4250</v>
      </c>
      <c r="G213" s="2498" t="s">
        <v>947</v>
      </c>
      <c r="H213" s="2018" t="s">
        <v>1560</v>
      </c>
      <c r="I213" s="2020">
        <v>1</v>
      </c>
      <c r="J213" s="2501">
        <v>0</v>
      </c>
      <c r="K213" s="2501">
        <v>0</v>
      </c>
      <c r="L213" s="2501">
        <v>0</v>
      </c>
      <c r="M213" s="2501">
        <v>0</v>
      </c>
      <c r="N213" s="2508">
        <v>0</v>
      </c>
      <c r="O213" s="2031" t="s">
        <v>1596</v>
      </c>
      <c r="P213" s="3342"/>
      <c r="Q213" s="3332"/>
      <c r="R213" s="3363"/>
      <c r="S213" s="3363"/>
      <c r="T213" s="3363"/>
      <c r="U213" s="3363"/>
      <c r="V213" s="3363"/>
      <c r="W213" s="3363"/>
      <c r="X213" s="3363"/>
      <c r="Y213" s="3363"/>
      <c r="Z213" s="3363"/>
      <c r="AA213" s="3363"/>
      <c r="AB213" s="3332"/>
      <c r="AC213" s="3332"/>
      <c r="AD213" s="3332"/>
      <c r="AE213" s="3332"/>
      <c r="AF213" s="3332"/>
      <c r="AG213" s="3332"/>
      <c r="AH213" s="3332"/>
      <c r="AI213" s="3332"/>
      <c r="AJ213" s="3332"/>
      <c r="AK213" s="3332"/>
      <c r="AL213" s="3332"/>
      <c r="AM213" s="3344"/>
      <c r="AN213" s="3338"/>
      <c r="AO213" s="3339"/>
      <c r="AP213" s="3361"/>
      <c r="AQ213" s="3361"/>
      <c r="AR213" s="3332"/>
      <c r="AS213" s="3332"/>
      <c r="AT213" s="3332"/>
      <c r="AU213" s="3332"/>
      <c r="AV213" s="3332"/>
      <c r="AW213" s="3332"/>
      <c r="AX213" s="3332"/>
      <c r="AY213" s="3332"/>
      <c r="AZ213" s="3332"/>
      <c r="BA213" s="3332"/>
      <c r="BB213" s="3332"/>
      <c r="BC213" s="3332"/>
      <c r="BD213" s="3332"/>
      <c r="BE213" s="3332"/>
      <c r="BF213" s="3332"/>
      <c r="BG213" s="3332"/>
      <c r="BH213" s="3332"/>
      <c r="BI213" s="3332"/>
      <c r="BJ213" s="3332"/>
      <c r="BK213" s="3332"/>
      <c r="BL213" s="3332"/>
      <c r="BM213" s="3332"/>
      <c r="BN213" s="3332"/>
      <c r="BO213" s="3332"/>
      <c r="BP213" s="3344"/>
      <c r="BQ213" s="3357"/>
      <c r="BR213" s="3375"/>
      <c r="BS213" s="3375"/>
      <c r="BT213" s="3375"/>
      <c r="BU213" s="3375"/>
      <c r="BV213" s="3375"/>
      <c r="BW213" s="3375"/>
      <c r="BX213" s="3375"/>
      <c r="BY213" s="3375"/>
      <c r="BZ213" s="3375"/>
      <c r="CA213" s="3375"/>
      <c r="CB213" s="3371"/>
      <c r="CC213" s="3373"/>
      <c r="CD213" s="3373"/>
      <c r="CE213" s="3373"/>
      <c r="CF213" s="3373"/>
      <c r="CG213" s="3373"/>
      <c r="CH213" s="3373"/>
      <c r="CI213" s="3373"/>
      <c r="CJ213" s="3373"/>
      <c r="CK213" s="3373"/>
      <c r="CL213" s="3373"/>
      <c r="CM213" s="3371"/>
    </row>
    <row r="214" spans="1:91">
      <c r="A214" s="3282">
        <v>81</v>
      </c>
      <c r="B214" s="2551" t="str">
        <f t="shared" si="3"/>
        <v>3042100001</v>
      </c>
      <c r="C214" s="2010" t="s">
        <v>703</v>
      </c>
      <c r="D214" s="2011">
        <v>4210</v>
      </c>
      <c r="E214" s="2011">
        <v>1</v>
      </c>
      <c r="F214" s="2494">
        <v>2000</v>
      </c>
      <c r="G214" s="2496" t="s">
        <v>1079</v>
      </c>
      <c r="H214" s="2011" t="s">
        <v>1584</v>
      </c>
      <c r="I214" s="2012">
        <v>1.25</v>
      </c>
      <c r="J214" s="2491">
        <v>0</v>
      </c>
      <c r="K214" s="2491">
        <v>0</v>
      </c>
      <c r="L214" s="2491">
        <v>0</v>
      </c>
      <c r="M214" s="2491">
        <v>0</v>
      </c>
      <c r="N214" s="2489">
        <v>0</v>
      </c>
      <c r="O214" s="2525" t="s">
        <v>897</v>
      </c>
      <c r="P214" s="3272">
        <v>0</v>
      </c>
      <c r="Q214" s="3265">
        <v>0</v>
      </c>
      <c r="R214" s="3265">
        <v>0</v>
      </c>
      <c r="S214" s="3265">
        <v>0</v>
      </c>
      <c r="T214" s="3265">
        <v>0</v>
      </c>
      <c r="U214" s="3265">
        <v>0</v>
      </c>
      <c r="V214" s="3265">
        <v>0</v>
      </c>
      <c r="W214" s="3265">
        <v>0</v>
      </c>
      <c r="X214" s="3265">
        <v>0</v>
      </c>
      <c r="Y214" s="3265">
        <v>0</v>
      </c>
      <c r="Z214" s="3265">
        <v>0</v>
      </c>
      <c r="AA214" s="3265">
        <v>9600</v>
      </c>
      <c r="AB214" s="3331">
        <v>9600</v>
      </c>
      <c r="AC214" s="3331">
        <v>9600</v>
      </c>
      <c r="AD214" s="3331">
        <v>0</v>
      </c>
      <c r="AE214" s="3331">
        <v>0</v>
      </c>
      <c r="AF214" s="3331">
        <v>0</v>
      </c>
      <c r="AG214" s="3331">
        <v>0</v>
      </c>
      <c r="AH214" s="3331">
        <v>0</v>
      </c>
      <c r="AI214" s="3331">
        <v>0</v>
      </c>
      <c r="AJ214" s="3331">
        <v>0</v>
      </c>
      <c r="AK214" s="3331">
        <v>19</v>
      </c>
      <c r="AL214" s="3331">
        <v>19</v>
      </c>
      <c r="AM214" s="3345">
        <v>15</v>
      </c>
      <c r="AN214" s="3277" t="s">
        <v>705</v>
      </c>
      <c r="AO214" s="3279" t="s">
        <v>706</v>
      </c>
      <c r="AP214" s="3392" t="s">
        <v>1657</v>
      </c>
      <c r="AQ214" s="3265">
        <v>68080</v>
      </c>
      <c r="AR214" s="3331">
        <v>0</v>
      </c>
      <c r="AS214" s="3331">
        <v>0</v>
      </c>
      <c r="AT214" s="3331">
        <v>0</v>
      </c>
      <c r="AU214" s="3331">
        <v>0</v>
      </c>
      <c r="AV214" s="3331">
        <v>0</v>
      </c>
      <c r="AW214" s="3331">
        <v>0</v>
      </c>
      <c r="AX214" s="3331">
        <v>0</v>
      </c>
      <c r="AY214" s="3331">
        <v>0</v>
      </c>
      <c r="AZ214" s="3331">
        <v>0</v>
      </c>
      <c r="BA214" s="3331">
        <v>0</v>
      </c>
      <c r="BB214" s="3331">
        <v>33120</v>
      </c>
      <c r="BC214" s="3331">
        <v>101200</v>
      </c>
      <c r="BD214" s="3331">
        <v>104880</v>
      </c>
      <c r="BE214" s="3331">
        <v>68</v>
      </c>
      <c r="BF214" s="3331">
        <v>34</v>
      </c>
      <c r="BG214" s="3331">
        <v>17</v>
      </c>
      <c r="BH214" s="3331">
        <v>0</v>
      </c>
      <c r="BI214" s="3331">
        <v>0</v>
      </c>
      <c r="BJ214" s="3331">
        <v>0</v>
      </c>
      <c r="BK214" s="3331">
        <v>0</v>
      </c>
      <c r="BL214" s="3331">
        <v>0</v>
      </c>
      <c r="BM214" s="3331">
        <v>0</v>
      </c>
      <c r="BN214" s="3331">
        <v>25</v>
      </c>
      <c r="BO214" s="3331">
        <v>42</v>
      </c>
      <c r="BP214" s="3345">
        <v>105</v>
      </c>
      <c r="BQ214" s="3379">
        <v>68080</v>
      </c>
      <c r="BR214" s="3331">
        <v>0</v>
      </c>
      <c r="BS214" s="3331">
        <v>0</v>
      </c>
      <c r="BT214" s="3331">
        <v>0</v>
      </c>
      <c r="BU214" s="3331">
        <v>0</v>
      </c>
      <c r="BV214" s="3331">
        <v>0</v>
      </c>
      <c r="BW214" s="3331">
        <v>0</v>
      </c>
      <c r="BX214" s="3331">
        <v>0</v>
      </c>
      <c r="BY214" s="3331">
        <v>0</v>
      </c>
      <c r="BZ214" s="3331">
        <v>0</v>
      </c>
      <c r="CA214" s="3331">
        <v>0</v>
      </c>
      <c r="CB214" s="3345">
        <v>23520</v>
      </c>
      <c r="CC214" s="3346">
        <v>91600</v>
      </c>
      <c r="CD214" s="3346">
        <v>0</v>
      </c>
      <c r="CE214" s="3346">
        <v>68</v>
      </c>
      <c r="CF214" s="3346">
        <v>34</v>
      </c>
      <c r="CG214" s="3346">
        <v>17</v>
      </c>
      <c r="CH214" s="3346">
        <v>0</v>
      </c>
      <c r="CI214" s="3346">
        <v>0</v>
      </c>
      <c r="CJ214" s="3346">
        <v>0</v>
      </c>
      <c r="CK214" s="3346">
        <v>0</v>
      </c>
      <c r="CL214" s="3346">
        <v>0</v>
      </c>
      <c r="CM214" s="3345">
        <v>6</v>
      </c>
    </row>
    <row r="215" spans="1:91">
      <c r="A215" s="3313"/>
      <c r="B215" s="2551" t="str">
        <f t="shared" si="3"/>
        <v>3042100035</v>
      </c>
      <c r="C215" s="2492" t="s">
        <v>710</v>
      </c>
      <c r="D215" s="2026">
        <v>4210</v>
      </c>
      <c r="E215" s="2026">
        <v>35</v>
      </c>
      <c r="F215" s="2027">
        <v>16000</v>
      </c>
      <c r="G215" s="2497" t="s">
        <v>1079</v>
      </c>
      <c r="H215" s="2026" t="s">
        <v>1584</v>
      </c>
      <c r="I215" s="2028">
        <v>1.25</v>
      </c>
      <c r="J215" s="2500">
        <v>0</v>
      </c>
      <c r="K215" s="2500">
        <v>0</v>
      </c>
      <c r="L215" s="2500">
        <v>0</v>
      </c>
      <c r="M215" s="2500">
        <v>9600</v>
      </c>
      <c r="N215" s="2029">
        <v>0</v>
      </c>
      <c r="O215" s="2054" t="s">
        <v>1658</v>
      </c>
      <c r="P215" s="3273"/>
      <c r="Q215" s="3274"/>
      <c r="R215" s="3713"/>
      <c r="S215" s="3713"/>
      <c r="T215" s="3713"/>
      <c r="U215" s="3713"/>
      <c r="V215" s="3713"/>
      <c r="W215" s="3713"/>
      <c r="X215" s="3713"/>
      <c r="Y215" s="3713"/>
      <c r="Z215" s="3713"/>
      <c r="AA215" s="3713"/>
      <c r="AB215" s="3340"/>
      <c r="AC215" s="3340"/>
      <c r="AD215" s="3340"/>
      <c r="AE215" s="3340"/>
      <c r="AF215" s="3340"/>
      <c r="AG215" s="3340"/>
      <c r="AH215" s="3340"/>
      <c r="AI215" s="3340"/>
      <c r="AJ215" s="3340"/>
      <c r="AK215" s="3340"/>
      <c r="AL215" s="3340"/>
      <c r="AM215" s="3343"/>
      <c r="AN215" s="3278"/>
      <c r="AO215" s="3280"/>
      <c r="AP215" s="3393"/>
      <c r="AQ215" s="3274"/>
      <c r="AR215" s="3340"/>
      <c r="AS215" s="3340"/>
      <c r="AT215" s="3340"/>
      <c r="AU215" s="3340"/>
      <c r="AV215" s="3340"/>
      <c r="AW215" s="3340"/>
      <c r="AX215" s="3340"/>
      <c r="AY215" s="3340"/>
      <c r="AZ215" s="3340"/>
      <c r="BA215" s="3340"/>
      <c r="BB215" s="3340"/>
      <c r="BC215" s="3340"/>
      <c r="BD215" s="3340"/>
      <c r="BE215" s="3340"/>
      <c r="BF215" s="3340"/>
      <c r="BG215" s="3340"/>
      <c r="BH215" s="3340"/>
      <c r="BI215" s="3340"/>
      <c r="BJ215" s="3340"/>
      <c r="BK215" s="3340"/>
      <c r="BL215" s="3340"/>
      <c r="BM215" s="3340"/>
      <c r="BN215" s="3340"/>
      <c r="BO215" s="3340"/>
      <c r="BP215" s="3343"/>
      <c r="BQ215" s="3387"/>
      <c r="BR215" s="3385"/>
      <c r="BS215" s="3385"/>
      <c r="BT215" s="3385"/>
      <c r="BU215" s="3385"/>
      <c r="BV215" s="3385"/>
      <c r="BW215" s="3385"/>
      <c r="BX215" s="3385"/>
      <c r="BY215" s="3385"/>
      <c r="BZ215" s="3385"/>
      <c r="CA215" s="3385"/>
      <c r="CB215" s="3386"/>
      <c r="CC215" s="3384"/>
      <c r="CD215" s="3384"/>
      <c r="CE215" s="3384"/>
      <c r="CF215" s="3384"/>
      <c r="CG215" s="3384"/>
      <c r="CH215" s="3384"/>
      <c r="CI215" s="3384"/>
      <c r="CJ215" s="3384"/>
      <c r="CK215" s="3384"/>
      <c r="CL215" s="3384"/>
      <c r="CM215" s="3386"/>
    </row>
    <row r="216" spans="1:91">
      <c r="A216" s="3313"/>
      <c r="B216" s="2551" t="str">
        <f t="shared" si="3"/>
        <v>3042100034</v>
      </c>
      <c r="C216" s="2492" t="s">
        <v>721</v>
      </c>
      <c r="D216" s="2026">
        <v>4210</v>
      </c>
      <c r="E216" s="2026">
        <v>34</v>
      </c>
      <c r="F216" s="2027">
        <v>2000</v>
      </c>
      <c r="G216" s="2497" t="s">
        <v>1079</v>
      </c>
      <c r="H216" s="2026" t="s">
        <v>1584</v>
      </c>
      <c r="I216" s="2028">
        <v>1.25</v>
      </c>
      <c r="J216" s="2500">
        <v>0</v>
      </c>
      <c r="K216" s="2500">
        <v>0</v>
      </c>
      <c r="L216" s="2500">
        <v>0</v>
      </c>
      <c r="M216" s="2500">
        <v>0</v>
      </c>
      <c r="N216" s="2029">
        <v>0</v>
      </c>
      <c r="O216" s="2054" t="s">
        <v>897</v>
      </c>
      <c r="P216" s="3273"/>
      <c r="Q216" s="3274"/>
      <c r="R216" s="3713"/>
      <c r="S216" s="3713"/>
      <c r="T216" s="3713"/>
      <c r="U216" s="3713"/>
      <c r="V216" s="3713"/>
      <c r="W216" s="3713"/>
      <c r="X216" s="3713"/>
      <c r="Y216" s="3713"/>
      <c r="Z216" s="3713"/>
      <c r="AA216" s="3713"/>
      <c r="AB216" s="3340"/>
      <c r="AC216" s="3340"/>
      <c r="AD216" s="3340"/>
      <c r="AE216" s="3340"/>
      <c r="AF216" s="3340"/>
      <c r="AG216" s="3340"/>
      <c r="AH216" s="3340"/>
      <c r="AI216" s="3340"/>
      <c r="AJ216" s="3340"/>
      <c r="AK216" s="3340"/>
      <c r="AL216" s="3340"/>
      <c r="AM216" s="3343"/>
      <c r="AN216" s="3278"/>
      <c r="AO216" s="3280"/>
      <c r="AP216" s="3393"/>
      <c r="AQ216" s="3274"/>
      <c r="AR216" s="3340"/>
      <c r="AS216" s="3340"/>
      <c r="AT216" s="3340"/>
      <c r="AU216" s="3340"/>
      <c r="AV216" s="3340"/>
      <c r="AW216" s="3340"/>
      <c r="AX216" s="3340"/>
      <c r="AY216" s="3340"/>
      <c r="AZ216" s="3340"/>
      <c r="BA216" s="3340"/>
      <c r="BB216" s="3340"/>
      <c r="BC216" s="3340"/>
      <c r="BD216" s="3340"/>
      <c r="BE216" s="3340"/>
      <c r="BF216" s="3340"/>
      <c r="BG216" s="3340"/>
      <c r="BH216" s="3340"/>
      <c r="BI216" s="3340"/>
      <c r="BJ216" s="3340"/>
      <c r="BK216" s="3340"/>
      <c r="BL216" s="3340"/>
      <c r="BM216" s="3340"/>
      <c r="BN216" s="3340"/>
      <c r="BO216" s="3340"/>
      <c r="BP216" s="3343"/>
      <c r="BQ216" s="3387"/>
      <c r="BR216" s="3385"/>
      <c r="BS216" s="3385"/>
      <c r="BT216" s="3385"/>
      <c r="BU216" s="3385"/>
      <c r="BV216" s="3385"/>
      <c r="BW216" s="3385"/>
      <c r="BX216" s="3385"/>
      <c r="BY216" s="3385"/>
      <c r="BZ216" s="3385"/>
      <c r="CA216" s="3385"/>
      <c r="CB216" s="3386"/>
      <c r="CC216" s="3384"/>
      <c r="CD216" s="3384"/>
      <c r="CE216" s="3384"/>
      <c r="CF216" s="3384"/>
      <c r="CG216" s="3384"/>
      <c r="CH216" s="3384"/>
      <c r="CI216" s="3384"/>
      <c r="CJ216" s="3384"/>
      <c r="CK216" s="3384"/>
      <c r="CL216" s="3384"/>
      <c r="CM216" s="3386"/>
    </row>
    <row r="217" spans="1:91" ht="15.75" thickBot="1">
      <c r="A217" s="3283"/>
      <c r="B217" s="2551" t="str">
        <f t="shared" si="3"/>
        <v>3042100043</v>
      </c>
      <c r="C217" s="2493" t="s">
        <v>724</v>
      </c>
      <c r="D217" s="2018">
        <v>4210</v>
      </c>
      <c r="E217" s="2018">
        <v>43</v>
      </c>
      <c r="F217" s="2019">
        <v>2000</v>
      </c>
      <c r="G217" s="2498" t="s">
        <v>1079</v>
      </c>
      <c r="H217" s="2018" t="s">
        <v>1584</v>
      </c>
      <c r="I217" s="2020">
        <v>1.25</v>
      </c>
      <c r="J217" s="2501">
        <v>0</v>
      </c>
      <c r="K217" s="2501">
        <v>0</v>
      </c>
      <c r="L217" s="2501">
        <v>0</v>
      </c>
      <c r="M217" s="2501">
        <v>0</v>
      </c>
      <c r="N217" s="2508">
        <v>0</v>
      </c>
      <c r="O217" s="2055" t="s">
        <v>897</v>
      </c>
      <c r="P217" s="3359"/>
      <c r="Q217" s="3361"/>
      <c r="R217" s="3363"/>
      <c r="S217" s="3363"/>
      <c r="T217" s="3363"/>
      <c r="U217" s="3363"/>
      <c r="V217" s="3363"/>
      <c r="W217" s="3363"/>
      <c r="X217" s="3363"/>
      <c r="Y217" s="3363"/>
      <c r="Z217" s="3363"/>
      <c r="AA217" s="3363"/>
      <c r="AB217" s="3332"/>
      <c r="AC217" s="3332"/>
      <c r="AD217" s="3332"/>
      <c r="AE217" s="3332"/>
      <c r="AF217" s="3332"/>
      <c r="AG217" s="3332"/>
      <c r="AH217" s="3332"/>
      <c r="AI217" s="3332"/>
      <c r="AJ217" s="3332"/>
      <c r="AK217" s="3332"/>
      <c r="AL217" s="3332"/>
      <c r="AM217" s="3344"/>
      <c r="AN217" s="3338"/>
      <c r="AO217" s="3339"/>
      <c r="AP217" s="3394"/>
      <c r="AQ217" s="3361"/>
      <c r="AR217" s="3332"/>
      <c r="AS217" s="3332"/>
      <c r="AT217" s="3332"/>
      <c r="AU217" s="3332"/>
      <c r="AV217" s="3332"/>
      <c r="AW217" s="3332"/>
      <c r="AX217" s="3332"/>
      <c r="AY217" s="3332"/>
      <c r="AZ217" s="3332"/>
      <c r="BA217" s="3332"/>
      <c r="BB217" s="3332"/>
      <c r="BC217" s="3332"/>
      <c r="BD217" s="3332"/>
      <c r="BE217" s="3332"/>
      <c r="BF217" s="3332"/>
      <c r="BG217" s="3332"/>
      <c r="BH217" s="3332"/>
      <c r="BI217" s="3332"/>
      <c r="BJ217" s="3332"/>
      <c r="BK217" s="3332"/>
      <c r="BL217" s="3332"/>
      <c r="BM217" s="3332"/>
      <c r="BN217" s="3332"/>
      <c r="BO217" s="3332"/>
      <c r="BP217" s="3344"/>
      <c r="BQ217" s="3357"/>
      <c r="BR217" s="3375"/>
      <c r="BS217" s="3375"/>
      <c r="BT217" s="3375"/>
      <c r="BU217" s="3375"/>
      <c r="BV217" s="3375"/>
      <c r="BW217" s="3375"/>
      <c r="BX217" s="3375"/>
      <c r="BY217" s="3375"/>
      <c r="BZ217" s="3375"/>
      <c r="CA217" s="3375"/>
      <c r="CB217" s="3371"/>
      <c r="CC217" s="3373"/>
      <c r="CD217" s="3373"/>
      <c r="CE217" s="3373"/>
      <c r="CF217" s="3373"/>
      <c r="CG217" s="3373"/>
      <c r="CH217" s="3373"/>
      <c r="CI217" s="3373"/>
      <c r="CJ217" s="3373"/>
      <c r="CK217" s="3373"/>
      <c r="CL217" s="3373"/>
      <c r="CM217" s="3371"/>
    </row>
    <row r="218" spans="1:91" ht="15.75" thickBot="1">
      <c r="A218" s="2093"/>
      <c r="B218" s="2574"/>
      <c r="C218" s="2094"/>
      <c r="D218" s="2094"/>
      <c r="E218" s="2095" t="s">
        <v>1659</v>
      </c>
      <c r="F218" s="2096">
        <f>SUM(F5:F217)</f>
        <v>1564711</v>
      </c>
      <c r="G218" s="2097"/>
      <c r="H218" s="2098"/>
      <c r="I218" s="2098"/>
      <c r="J218" s="2096">
        <f>SUM(J5:J217)</f>
        <v>122345</v>
      </c>
      <c r="K218" s="2096">
        <f>SUM(K5:K217)</f>
        <v>167954.66666666669</v>
      </c>
      <c r="L218" s="2096">
        <f>SUM(L5:L217)</f>
        <v>44617</v>
      </c>
      <c r="M218" s="2096">
        <f>SUM(M5:M217)</f>
        <v>865831</v>
      </c>
      <c r="N218" s="2096">
        <f>SUM(N5:N217)</f>
        <v>56</v>
      </c>
      <c r="O218" s="2098"/>
      <c r="P218" s="2096">
        <f t="shared" ref="P218:AL218" si="4">SUM(P5:P217)</f>
        <v>203723.67</v>
      </c>
      <c r="Q218" s="2096">
        <f t="shared" si="4"/>
        <v>226127</v>
      </c>
      <c r="R218" s="2096">
        <f t="shared" si="4"/>
        <v>40000</v>
      </c>
      <c r="S218" s="2096">
        <f t="shared" si="4"/>
        <v>13150</v>
      </c>
      <c r="T218" s="2096">
        <f t="shared" si="4"/>
        <v>128365.33333333333</v>
      </c>
      <c r="U218" s="2096">
        <f t="shared" si="4"/>
        <v>167551</v>
      </c>
      <c r="V218" s="2096">
        <f t="shared" si="4"/>
        <v>85248.666666666657</v>
      </c>
      <c r="W218" s="2096">
        <f t="shared" si="4"/>
        <v>73170</v>
      </c>
      <c r="X218" s="2096">
        <f t="shared" si="4"/>
        <v>3055</v>
      </c>
      <c r="Y218" s="2096">
        <f t="shared" si="4"/>
        <v>13932</v>
      </c>
      <c r="Z218" s="2096">
        <f t="shared" si="4"/>
        <v>125886</v>
      </c>
      <c r="AA218" s="2096">
        <f t="shared" si="4"/>
        <v>156972</v>
      </c>
      <c r="AB218" s="2096">
        <f t="shared" si="4"/>
        <v>1237180.6700000002</v>
      </c>
      <c r="AC218" s="2096">
        <f t="shared" si="4"/>
        <v>1191594.3366666667</v>
      </c>
      <c r="AD218" s="2096">
        <f t="shared" si="4"/>
        <v>189</v>
      </c>
      <c r="AE218" s="2096">
        <f t="shared" si="4"/>
        <v>19</v>
      </c>
      <c r="AF218" s="2096">
        <f t="shared" si="4"/>
        <v>665.5</v>
      </c>
      <c r="AG218" s="2096">
        <f t="shared" si="4"/>
        <v>158</v>
      </c>
      <c r="AH218" s="2096">
        <f t="shared" si="4"/>
        <v>51.875</v>
      </c>
      <c r="AI218" s="2096">
        <f t="shared" si="4"/>
        <v>11</v>
      </c>
      <c r="AJ218" s="2096">
        <f t="shared" si="4"/>
        <v>81</v>
      </c>
      <c r="AK218" s="2096">
        <f t="shared" si="4"/>
        <v>140</v>
      </c>
      <c r="AL218" s="2096">
        <f t="shared" si="4"/>
        <v>1126.375</v>
      </c>
      <c r="AM218" s="2098"/>
      <c r="AN218" s="2098"/>
      <c r="AO218" s="2098"/>
      <c r="AP218" s="2098"/>
      <c r="AQ218" s="2096">
        <f t="shared" ref="AQ218:BO218" si="5">SUM(AQ5:AQ217)</f>
        <v>6135856.857875458</v>
      </c>
      <c r="AR218" s="2096" t="e">
        <f t="shared" si="5"/>
        <v>#REF!</v>
      </c>
      <c r="AS218" s="2096" t="e">
        <f t="shared" si="5"/>
        <v>#REF!</v>
      </c>
      <c r="AT218" s="2096">
        <f t="shared" si="5"/>
        <v>64550</v>
      </c>
      <c r="AU218" s="2096" t="e">
        <f t="shared" si="5"/>
        <v>#REF!</v>
      </c>
      <c r="AV218" s="2096" t="e">
        <f t="shared" si="5"/>
        <v>#REF!</v>
      </c>
      <c r="AW218" s="2096" t="e">
        <f t="shared" si="5"/>
        <v>#REF!</v>
      </c>
      <c r="AX218" s="2096" t="e">
        <f t="shared" si="5"/>
        <v>#REF!</v>
      </c>
      <c r="AY218" s="2096" t="e">
        <f t="shared" si="5"/>
        <v>#REF!</v>
      </c>
      <c r="AZ218" s="2096" t="e">
        <f t="shared" si="5"/>
        <v>#REF!</v>
      </c>
      <c r="BA218" s="2096" t="e">
        <f t="shared" si="5"/>
        <v>#REF!</v>
      </c>
      <c r="BB218" s="2096" t="e">
        <f t="shared" si="5"/>
        <v>#REF!</v>
      </c>
      <c r="BC218" s="2096">
        <f t="shared" si="5"/>
        <v>7994557.8392857146</v>
      </c>
      <c r="BD218" s="2096">
        <f t="shared" si="5"/>
        <v>8232495.905952381</v>
      </c>
      <c r="BE218" s="2096">
        <f t="shared" si="5"/>
        <v>6097</v>
      </c>
      <c r="BF218" s="2096">
        <f t="shared" si="5"/>
        <v>3063</v>
      </c>
      <c r="BG218" s="2096">
        <f t="shared" si="5"/>
        <v>1363</v>
      </c>
      <c r="BH218" s="2096">
        <f t="shared" si="5"/>
        <v>0</v>
      </c>
      <c r="BI218" s="2096">
        <f t="shared" si="5"/>
        <v>690</v>
      </c>
      <c r="BJ218" s="2096" t="e">
        <f t="shared" si="5"/>
        <v>#REF!</v>
      </c>
      <c r="BK218" s="2096" t="e">
        <f t="shared" si="5"/>
        <v>#REF!</v>
      </c>
      <c r="BL218" s="2096">
        <f t="shared" si="5"/>
        <v>0</v>
      </c>
      <c r="BM218" s="2096">
        <f t="shared" si="5"/>
        <v>0</v>
      </c>
      <c r="BN218" s="2096">
        <f t="shared" si="5"/>
        <v>145</v>
      </c>
      <c r="BO218" s="2096">
        <f t="shared" si="5"/>
        <v>2238</v>
      </c>
      <c r="BP218" s="2099"/>
      <c r="BQ218" s="2096">
        <f t="shared" ref="BQ218:CM218" si="6">SUM(BQ5:BQ217)</f>
        <v>5932133.187875458</v>
      </c>
      <c r="BR218" s="2096">
        <f t="shared" si="6"/>
        <v>604436</v>
      </c>
      <c r="BS218" s="2096">
        <f t="shared" si="6"/>
        <v>0</v>
      </c>
      <c r="BT218" s="2096">
        <f t="shared" si="6"/>
        <v>51400</v>
      </c>
      <c r="BU218" s="2096">
        <f t="shared" si="6"/>
        <v>-128365.33333333333</v>
      </c>
      <c r="BV218" s="2096">
        <f t="shared" si="6"/>
        <v>-167551</v>
      </c>
      <c r="BW218" s="2096">
        <f t="shared" si="6"/>
        <v>132695.46410256409</v>
      </c>
      <c r="BX218" s="2096">
        <f t="shared" si="6"/>
        <v>-73170</v>
      </c>
      <c r="BY218" s="2096">
        <f t="shared" si="6"/>
        <v>-3055</v>
      </c>
      <c r="BZ218" s="2096">
        <f t="shared" si="6"/>
        <v>28493</v>
      </c>
      <c r="CA218" s="2096">
        <f t="shared" si="6"/>
        <v>-27035.300000000003</v>
      </c>
      <c r="CB218" s="2096">
        <f t="shared" si="6"/>
        <v>435889.15064102563</v>
      </c>
      <c r="CC218" s="2096">
        <f t="shared" si="6"/>
        <v>6757377.1692857137</v>
      </c>
      <c r="CD218" s="2096">
        <f t="shared" si="6"/>
        <v>416390.13076923077</v>
      </c>
      <c r="CE218" s="2096">
        <f t="shared" si="6"/>
        <v>5908</v>
      </c>
      <c r="CF218" s="2096">
        <f t="shared" si="6"/>
        <v>3063</v>
      </c>
      <c r="CG218" s="2096">
        <f t="shared" si="6"/>
        <v>1344</v>
      </c>
      <c r="CH218" s="2096">
        <f t="shared" si="6"/>
        <v>0</v>
      </c>
      <c r="CI218" s="2096">
        <f t="shared" si="6"/>
        <v>-133.5</v>
      </c>
      <c r="CJ218" s="2096">
        <f t="shared" si="6"/>
        <v>-51.875</v>
      </c>
      <c r="CK218" s="2096">
        <f t="shared" si="6"/>
        <v>-11</v>
      </c>
      <c r="CL218" s="2096">
        <f t="shared" si="6"/>
        <v>-81</v>
      </c>
      <c r="CM218" s="2096">
        <f t="shared" si="6"/>
        <v>5</v>
      </c>
    </row>
  </sheetData>
  <mergeCells count="4953">
    <mergeCell ref="CI214:CI217"/>
    <mergeCell ref="CJ214:CJ217"/>
    <mergeCell ref="CK214:CK217"/>
    <mergeCell ref="CL214:CL217"/>
    <mergeCell ref="CM214:CM217"/>
    <mergeCell ref="CC214:CC217"/>
    <mergeCell ref="CD214:CD217"/>
    <mergeCell ref="CE214:CE217"/>
    <mergeCell ref="CF214:CF217"/>
    <mergeCell ref="CG214:CG217"/>
    <mergeCell ref="CH214:CH217"/>
    <mergeCell ref="BW214:BW217"/>
    <mergeCell ref="BX214:BX217"/>
    <mergeCell ref="BY214:BY217"/>
    <mergeCell ref="BZ214:BZ217"/>
    <mergeCell ref="CA214:CA217"/>
    <mergeCell ref="CB214:CB217"/>
    <mergeCell ref="BQ214:BQ217"/>
    <mergeCell ref="BR214:BR217"/>
    <mergeCell ref="BS214:BS217"/>
    <mergeCell ref="BT214:BT217"/>
    <mergeCell ref="BU214:BU217"/>
    <mergeCell ref="BV214:BV217"/>
    <mergeCell ref="BK214:BK217"/>
    <mergeCell ref="BL214:BL217"/>
    <mergeCell ref="BM214:BM217"/>
    <mergeCell ref="BN214:BN217"/>
    <mergeCell ref="BO214:BO217"/>
    <mergeCell ref="BP214:BP217"/>
    <mergeCell ref="BE214:BE217"/>
    <mergeCell ref="BF214:BF217"/>
    <mergeCell ref="BG214:BG217"/>
    <mergeCell ref="BH214:BH217"/>
    <mergeCell ref="BI214:BI217"/>
    <mergeCell ref="BJ214:BJ217"/>
    <mergeCell ref="AY214:AY217"/>
    <mergeCell ref="AZ214:AZ217"/>
    <mergeCell ref="BA214:BA217"/>
    <mergeCell ref="BB214:BB217"/>
    <mergeCell ref="BC214:BC217"/>
    <mergeCell ref="BD214:BD217"/>
    <mergeCell ref="AS214:AS217"/>
    <mergeCell ref="AT214:AT217"/>
    <mergeCell ref="AU214:AU217"/>
    <mergeCell ref="AV214:AV217"/>
    <mergeCell ref="AW214:AW217"/>
    <mergeCell ref="AX214:AX217"/>
    <mergeCell ref="AM214:AM217"/>
    <mergeCell ref="AN214:AN217"/>
    <mergeCell ref="AO214:AO217"/>
    <mergeCell ref="AP214:AP217"/>
    <mergeCell ref="AQ214:AQ217"/>
    <mergeCell ref="AR214:AR217"/>
    <mergeCell ref="AG214:AG217"/>
    <mergeCell ref="AH214:AH217"/>
    <mergeCell ref="AI214:AI217"/>
    <mergeCell ref="AJ214:AJ217"/>
    <mergeCell ref="AK214:AK217"/>
    <mergeCell ref="AL214:AL217"/>
    <mergeCell ref="AA214:AA217"/>
    <mergeCell ref="AB214:AB217"/>
    <mergeCell ref="AC214:AC217"/>
    <mergeCell ref="AD214:AD217"/>
    <mergeCell ref="AE214:AE217"/>
    <mergeCell ref="AF214:AF217"/>
    <mergeCell ref="U214:U217"/>
    <mergeCell ref="V214:V217"/>
    <mergeCell ref="W214:W217"/>
    <mergeCell ref="X214:X217"/>
    <mergeCell ref="Y214:Y217"/>
    <mergeCell ref="Z214:Z217"/>
    <mergeCell ref="A214:A217"/>
    <mergeCell ref="P214:P217"/>
    <mergeCell ref="Q214:Q217"/>
    <mergeCell ref="R214:R217"/>
    <mergeCell ref="S214:S217"/>
    <mergeCell ref="T214:T217"/>
    <mergeCell ref="CH211:CH213"/>
    <mergeCell ref="CI211:CI213"/>
    <mergeCell ref="CJ211:CJ213"/>
    <mergeCell ref="CK211:CK213"/>
    <mergeCell ref="CL211:CL213"/>
    <mergeCell ref="CM211:CM213"/>
    <mergeCell ref="CB211:CB213"/>
    <mergeCell ref="CC211:CC213"/>
    <mergeCell ref="CD211:CD213"/>
    <mergeCell ref="CE211:CE213"/>
    <mergeCell ref="CF211:CF213"/>
    <mergeCell ref="CG211:CG213"/>
    <mergeCell ref="BV211:BV213"/>
    <mergeCell ref="BW211:BW213"/>
    <mergeCell ref="BX211:BX213"/>
    <mergeCell ref="BY211:BY213"/>
    <mergeCell ref="BZ211:BZ213"/>
    <mergeCell ref="CA211:CA213"/>
    <mergeCell ref="BP211:BP213"/>
    <mergeCell ref="BQ211:BQ213"/>
    <mergeCell ref="BR211:BR213"/>
    <mergeCell ref="BS211:BS213"/>
    <mergeCell ref="BT211:BT213"/>
    <mergeCell ref="BU211:BU213"/>
    <mergeCell ref="BJ211:BJ213"/>
    <mergeCell ref="BK211:BK213"/>
    <mergeCell ref="BL211:BL213"/>
    <mergeCell ref="BM211:BM213"/>
    <mergeCell ref="BN211:BN213"/>
    <mergeCell ref="BO211:BO213"/>
    <mergeCell ref="BD211:BD213"/>
    <mergeCell ref="BE211:BE213"/>
    <mergeCell ref="BF211:BF213"/>
    <mergeCell ref="BG211:BG213"/>
    <mergeCell ref="BH211:BH213"/>
    <mergeCell ref="BI211:BI213"/>
    <mergeCell ref="AX211:AX213"/>
    <mergeCell ref="AY211:AY213"/>
    <mergeCell ref="AZ211:AZ213"/>
    <mergeCell ref="BA211:BA213"/>
    <mergeCell ref="BB211:BB213"/>
    <mergeCell ref="BC211:BC213"/>
    <mergeCell ref="AR211:AR213"/>
    <mergeCell ref="AS211:AS213"/>
    <mergeCell ref="AT211:AT213"/>
    <mergeCell ref="AU211:AU213"/>
    <mergeCell ref="AV211:AV213"/>
    <mergeCell ref="AW211:AW213"/>
    <mergeCell ref="AL211:AL213"/>
    <mergeCell ref="AM211:AM213"/>
    <mergeCell ref="AN211:AN213"/>
    <mergeCell ref="AO211:AO213"/>
    <mergeCell ref="AP211:AP213"/>
    <mergeCell ref="AQ211:AQ213"/>
    <mergeCell ref="AF211:AF213"/>
    <mergeCell ref="AG211:AG213"/>
    <mergeCell ref="AH211:AH213"/>
    <mergeCell ref="AI211:AI213"/>
    <mergeCell ref="AJ211:AJ213"/>
    <mergeCell ref="AK211:AK213"/>
    <mergeCell ref="Z211:Z213"/>
    <mergeCell ref="AA211:AA213"/>
    <mergeCell ref="AB211:AB213"/>
    <mergeCell ref="AC211:AC213"/>
    <mergeCell ref="AD211:AD213"/>
    <mergeCell ref="AE211:AE213"/>
    <mergeCell ref="T211:T213"/>
    <mergeCell ref="U211:U213"/>
    <mergeCell ref="V211:V213"/>
    <mergeCell ref="W211:W213"/>
    <mergeCell ref="X211:X213"/>
    <mergeCell ref="Y211:Y213"/>
    <mergeCell ref="CI209:CI210"/>
    <mergeCell ref="CJ209:CJ210"/>
    <mergeCell ref="CK209:CK210"/>
    <mergeCell ref="CL209:CL210"/>
    <mergeCell ref="CM209:CM210"/>
    <mergeCell ref="A211:A213"/>
    <mergeCell ref="P211:P213"/>
    <mergeCell ref="Q211:Q213"/>
    <mergeCell ref="R211:R213"/>
    <mergeCell ref="S211:S213"/>
    <mergeCell ref="CC209:CC210"/>
    <mergeCell ref="CD209:CD210"/>
    <mergeCell ref="CE209:CE210"/>
    <mergeCell ref="CF209:CF210"/>
    <mergeCell ref="CG209:CG210"/>
    <mergeCell ref="CH209:CH210"/>
    <mergeCell ref="BW209:BW210"/>
    <mergeCell ref="BX209:BX210"/>
    <mergeCell ref="BY209:BY210"/>
    <mergeCell ref="BZ209:BZ210"/>
    <mergeCell ref="CA209:CA210"/>
    <mergeCell ref="CB209:CB210"/>
    <mergeCell ref="BQ209:BQ210"/>
    <mergeCell ref="BR209:BR210"/>
    <mergeCell ref="BS209:BS210"/>
    <mergeCell ref="BT209:BT210"/>
    <mergeCell ref="BU209:BU210"/>
    <mergeCell ref="BV209:BV210"/>
    <mergeCell ref="BK209:BK210"/>
    <mergeCell ref="BL209:BL210"/>
    <mergeCell ref="BM209:BM210"/>
    <mergeCell ref="BN209:BN210"/>
    <mergeCell ref="BO209:BO210"/>
    <mergeCell ref="BP209:BP210"/>
    <mergeCell ref="BE209:BE210"/>
    <mergeCell ref="BF209:BF210"/>
    <mergeCell ref="BG209:BG210"/>
    <mergeCell ref="BH209:BH210"/>
    <mergeCell ref="BI209:BI210"/>
    <mergeCell ref="BJ209:BJ210"/>
    <mergeCell ref="AY209:AY210"/>
    <mergeCell ref="AZ209:AZ210"/>
    <mergeCell ref="BA209:BA210"/>
    <mergeCell ref="BB209:BB210"/>
    <mergeCell ref="BC209:BC210"/>
    <mergeCell ref="BD209:BD210"/>
    <mergeCell ref="AS209:AS210"/>
    <mergeCell ref="AT209:AT210"/>
    <mergeCell ref="AU209:AU210"/>
    <mergeCell ref="AV209:AV210"/>
    <mergeCell ref="AW209:AW210"/>
    <mergeCell ref="AX209:AX210"/>
    <mergeCell ref="AM209:AM210"/>
    <mergeCell ref="AN209:AN210"/>
    <mergeCell ref="AO209:AO210"/>
    <mergeCell ref="AP209:AP210"/>
    <mergeCell ref="AQ209:AQ210"/>
    <mergeCell ref="AR209:AR210"/>
    <mergeCell ref="AG209:AG210"/>
    <mergeCell ref="AH209:AH210"/>
    <mergeCell ref="AI209:AI210"/>
    <mergeCell ref="AJ209:AJ210"/>
    <mergeCell ref="AK209:AK210"/>
    <mergeCell ref="AL209:AL210"/>
    <mergeCell ref="AA209:AA210"/>
    <mergeCell ref="AB209:AB210"/>
    <mergeCell ref="AC209:AC210"/>
    <mergeCell ref="AD209:AD210"/>
    <mergeCell ref="AE209:AE210"/>
    <mergeCell ref="AF209:AF210"/>
    <mergeCell ref="U209:U210"/>
    <mergeCell ref="V209:V210"/>
    <mergeCell ref="W209:W210"/>
    <mergeCell ref="X209:X210"/>
    <mergeCell ref="Y209:Y210"/>
    <mergeCell ref="Z209:Z210"/>
    <mergeCell ref="A209:A210"/>
    <mergeCell ref="P209:P210"/>
    <mergeCell ref="Q209:Q210"/>
    <mergeCell ref="R209:R210"/>
    <mergeCell ref="S209:S210"/>
    <mergeCell ref="T209:T210"/>
    <mergeCell ref="CH207:CH208"/>
    <mergeCell ref="CI207:CI208"/>
    <mergeCell ref="CJ207:CJ208"/>
    <mergeCell ref="CK207:CK208"/>
    <mergeCell ref="CL207:CL208"/>
    <mergeCell ref="CM207:CM208"/>
    <mergeCell ref="CB207:CB208"/>
    <mergeCell ref="CC207:CC208"/>
    <mergeCell ref="CD207:CD208"/>
    <mergeCell ref="CE207:CE208"/>
    <mergeCell ref="CF207:CF208"/>
    <mergeCell ref="CG207:CG208"/>
    <mergeCell ref="BV207:BV208"/>
    <mergeCell ref="BW207:BW208"/>
    <mergeCell ref="BX207:BX208"/>
    <mergeCell ref="BY207:BY208"/>
    <mergeCell ref="BZ207:BZ208"/>
    <mergeCell ref="CA207:CA208"/>
    <mergeCell ref="BP207:BP208"/>
    <mergeCell ref="BQ207:BQ208"/>
    <mergeCell ref="BR207:BR208"/>
    <mergeCell ref="BS207:BS208"/>
    <mergeCell ref="BT207:BT208"/>
    <mergeCell ref="BU207:BU208"/>
    <mergeCell ref="BJ207:BJ208"/>
    <mergeCell ref="BK207:BK208"/>
    <mergeCell ref="BL207:BL208"/>
    <mergeCell ref="BM207:BM208"/>
    <mergeCell ref="BN207:BN208"/>
    <mergeCell ref="BO207:BO208"/>
    <mergeCell ref="BD207:BD208"/>
    <mergeCell ref="BE207:BE208"/>
    <mergeCell ref="BF207:BF208"/>
    <mergeCell ref="BG207:BG208"/>
    <mergeCell ref="BH207:BH208"/>
    <mergeCell ref="BI207:BI208"/>
    <mergeCell ref="AX207:AX208"/>
    <mergeCell ref="AY207:AY208"/>
    <mergeCell ref="AZ207:AZ208"/>
    <mergeCell ref="BA207:BA208"/>
    <mergeCell ref="BB207:BB208"/>
    <mergeCell ref="BC207:BC208"/>
    <mergeCell ref="AR207:AR208"/>
    <mergeCell ref="AS207:AS208"/>
    <mergeCell ref="AT207:AT208"/>
    <mergeCell ref="AU207:AU208"/>
    <mergeCell ref="AV207:AV208"/>
    <mergeCell ref="AW207:AW208"/>
    <mergeCell ref="AL207:AL208"/>
    <mergeCell ref="AM207:AM208"/>
    <mergeCell ref="AN207:AN208"/>
    <mergeCell ref="AO207:AO208"/>
    <mergeCell ref="AP207:AP208"/>
    <mergeCell ref="AQ207:AQ208"/>
    <mergeCell ref="AF207:AF208"/>
    <mergeCell ref="AG207:AG208"/>
    <mergeCell ref="AH207:AH208"/>
    <mergeCell ref="AI207:AI208"/>
    <mergeCell ref="AJ207:AJ208"/>
    <mergeCell ref="AK207:AK208"/>
    <mergeCell ref="Z207:Z208"/>
    <mergeCell ref="AA207:AA208"/>
    <mergeCell ref="AB207:AB208"/>
    <mergeCell ref="AC207:AC208"/>
    <mergeCell ref="AD207:AD208"/>
    <mergeCell ref="AE207:AE208"/>
    <mergeCell ref="T207:T208"/>
    <mergeCell ref="U207:U208"/>
    <mergeCell ref="V207:V208"/>
    <mergeCell ref="W207:W208"/>
    <mergeCell ref="X207:X208"/>
    <mergeCell ref="Y207:Y208"/>
    <mergeCell ref="CI205:CI206"/>
    <mergeCell ref="CJ205:CJ206"/>
    <mergeCell ref="CK205:CK206"/>
    <mergeCell ref="CL205:CL206"/>
    <mergeCell ref="CM205:CM206"/>
    <mergeCell ref="A207:A208"/>
    <mergeCell ref="P207:P208"/>
    <mergeCell ref="Q207:Q208"/>
    <mergeCell ref="R207:R208"/>
    <mergeCell ref="S207:S208"/>
    <mergeCell ref="CC205:CC206"/>
    <mergeCell ref="CD205:CD206"/>
    <mergeCell ref="CE205:CE206"/>
    <mergeCell ref="CF205:CF206"/>
    <mergeCell ref="CG205:CG206"/>
    <mergeCell ref="CH205:CH206"/>
    <mergeCell ref="BW205:BW206"/>
    <mergeCell ref="BX205:BX206"/>
    <mergeCell ref="BY205:BY206"/>
    <mergeCell ref="BZ205:BZ206"/>
    <mergeCell ref="CA205:CA206"/>
    <mergeCell ref="CB205:CB206"/>
    <mergeCell ref="BQ205:BQ206"/>
    <mergeCell ref="BR205:BR206"/>
    <mergeCell ref="BS205:BS206"/>
    <mergeCell ref="BT205:BT206"/>
    <mergeCell ref="BU205:BU206"/>
    <mergeCell ref="BV205:BV206"/>
    <mergeCell ref="BK205:BK206"/>
    <mergeCell ref="BL205:BL206"/>
    <mergeCell ref="BM205:BM206"/>
    <mergeCell ref="BN205:BN206"/>
    <mergeCell ref="BO205:BO206"/>
    <mergeCell ref="BP205:BP206"/>
    <mergeCell ref="BE205:BE206"/>
    <mergeCell ref="BF205:BF206"/>
    <mergeCell ref="BG205:BG206"/>
    <mergeCell ref="BH205:BH206"/>
    <mergeCell ref="BI205:BI206"/>
    <mergeCell ref="BJ205:BJ206"/>
    <mergeCell ref="AY205:AY206"/>
    <mergeCell ref="AZ205:AZ206"/>
    <mergeCell ref="BA205:BA206"/>
    <mergeCell ref="BB205:BB206"/>
    <mergeCell ref="BC205:BC206"/>
    <mergeCell ref="BD205:BD206"/>
    <mergeCell ref="AS205:AS206"/>
    <mergeCell ref="AT205:AT206"/>
    <mergeCell ref="AU205:AU206"/>
    <mergeCell ref="AV205:AV206"/>
    <mergeCell ref="AW205:AW206"/>
    <mergeCell ref="AX205:AX206"/>
    <mergeCell ref="AM205:AM206"/>
    <mergeCell ref="AN205:AN206"/>
    <mergeCell ref="AO205:AO206"/>
    <mergeCell ref="AP205:AP206"/>
    <mergeCell ref="AQ205:AQ206"/>
    <mergeCell ref="AR205:AR206"/>
    <mergeCell ref="AG205:AG206"/>
    <mergeCell ref="AH205:AH206"/>
    <mergeCell ref="AI205:AI206"/>
    <mergeCell ref="AJ205:AJ206"/>
    <mergeCell ref="AK205:AK206"/>
    <mergeCell ref="AL205:AL206"/>
    <mergeCell ref="AA205:AA206"/>
    <mergeCell ref="AB205:AB206"/>
    <mergeCell ref="AC205:AC206"/>
    <mergeCell ref="AD205:AD206"/>
    <mergeCell ref="AE205:AE206"/>
    <mergeCell ref="AF205:AF206"/>
    <mergeCell ref="U205:U206"/>
    <mergeCell ref="V205:V206"/>
    <mergeCell ref="W205:W206"/>
    <mergeCell ref="X205:X206"/>
    <mergeCell ref="Y205:Y206"/>
    <mergeCell ref="Z205:Z206"/>
    <mergeCell ref="A205:A206"/>
    <mergeCell ref="P205:P206"/>
    <mergeCell ref="Q205:Q206"/>
    <mergeCell ref="R205:R206"/>
    <mergeCell ref="S205:S206"/>
    <mergeCell ref="T205:T206"/>
    <mergeCell ref="CH203:CH204"/>
    <mergeCell ref="CI203:CI204"/>
    <mergeCell ref="CJ203:CJ204"/>
    <mergeCell ref="CK203:CK204"/>
    <mergeCell ref="CL203:CL204"/>
    <mergeCell ref="BJ203:BJ204"/>
    <mergeCell ref="BK203:BK204"/>
    <mergeCell ref="BL203:BL204"/>
    <mergeCell ref="BM203:BM204"/>
    <mergeCell ref="BN203:BN204"/>
    <mergeCell ref="BO203:BO204"/>
    <mergeCell ref="BD203:BD204"/>
    <mergeCell ref="BE203:BE204"/>
    <mergeCell ref="BF203:BF204"/>
    <mergeCell ref="BG203:BG204"/>
    <mergeCell ref="BH203:BH204"/>
    <mergeCell ref="BI203:BI204"/>
    <mergeCell ref="AX203:AX204"/>
    <mergeCell ref="AY203:AY204"/>
    <mergeCell ref="AZ203:AZ204"/>
    <mergeCell ref="CM203:CM204"/>
    <mergeCell ref="CB203:CB204"/>
    <mergeCell ref="CC203:CC204"/>
    <mergeCell ref="CD203:CD204"/>
    <mergeCell ref="CE203:CE204"/>
    <mergeCell ref="CF203:CF204"/>
    <mergeCell ref="CG203:CG204"/>
    <mergeCell ref="BV203:BV204"/>
    <mergeCell ref="BW203:BW204"/>
    <mergeCell ref="BX203:BX204"/>
    <mergeCell ref="BY203:BY204"/>
    <mergeCell ref="BZ203:BZ204"/>
    <mergeCell ref="CA203:CA204"/>
    <mergeCell ref="BP203:BP204"/>
    <mergeCell ref="BQ203:BQ204"/>
    <mergeCell ref="BR203:BR204"/>
    <mergeCell ref="BS203:BS204"/>
    <mergeCell ref="BT203:BT204"/>
    <mergeCell ref="BU203:BU204"/>
    <mergeCell ref="BA203:BA204"/>
    <mergeCell ref="BB203:BB204"/>
    <mergeCell ref="BC203:BC204"/>
    <mergeCell ref="AR203:AR204"/>
    <mergeCell ref="AS203:AS204"/>
    <mergeCell ref="AT203:AT204"/>
    <mergeCell ref="AU203:AU204"/>
    <mergeCell ref="AV203:AV204"/>
    <mergeCell ref="AW203:AW204"/>
    <mergeCell ref="AL203:AL204"/>
    <mergeCell ref="AM203:AM204"/>
    <mergeCell ref="AN203:AN204"/>
    <mergeCell ref="AO203:AO204"/>
    <mergeCell ref="AP203:AP204"/>
    <mergeCell ref="AQ203:AQ204"/>
    <mergeCell ref="AF203:AF204"/>
    <mergeCell ref="AG203:AG204"/>
    <mergeCell ref="AH203:AH204"/>
    <mergeCell ref="AI203:AI204"/>
    <mergeCell ref="AJ203:AJ204"/>
    <mergeCell ref="AK203:AK204"/>
    <mergeCell ref="Z203:Z204"/>
    <mergeCell ref="AA203:AA204"/>
    <mergeCell ref="AB203:AB204"/>
    <mergeCell ref="AC203:AC204"/>
    <mergeCell ref="AD203:AD204"/>
    <mergeCell ref="AE203:AE204"/>
    <mergeCell ref="T203:T204"/>
    <mergeCell ref="U203:U204"/>
    <mergeCell ref="V203:V204"/>
    <mergeCell ref="W203:W204"/>
    <mergeCell ref="X203:X204"/>
    <mergeCell ref="Y203:Y204"/>
    <mergeCell ref="CI199:CI200"/>
    <mergeCell ref="CJ199:CJ200"/>
    <mergeCell ref="CK199:CK200"/>
    <mergeCell ref="CL199:CL200"/>
    <mergeCell ref="CM199:CM200"/>
    <mergeCell ref="BH199:BH200"/>
    <mergeCell ref="BI199:BI200"/>
    <mergeCell ref="BJ199:BJ200"/>
    <mergeCell ref="AY199:AY200"/>
    <mergeCell ref="AZ199:AZ200"/>
    <mergeCell ref="BA199:BA200"/>
    <mergeCell ref="BB199:BB200"/>
    <mergeCell ref="BC199:BC200"/>
    <mergeCell ref="BD199:BD200"/>
    <mergeCell ref="AS199:AS200"/>
    <mergeCell ref="AT199:AT200"/>
    <mergeCell ref="AU199:AU200"/>
    <mergeCell ref="AV199:AV200"/>
    <mergeCell ref="AW199:AW200"/>
    <mergeCell ref="AX199:AX200"/>
    <mergeCell ref="A203:A204"/>
    <mergeCell ref="P203:P204"/>
    <mergeCell ref="Q203:Q204"/>
    <mergeCell ref="R203:R204"/>
    <mergeCell ref="S203:S204"/>
    <mergeCell ref="CC199:CC200"/>
    <mergeCell ref="CD199:CD200"/>
    <mergeCell ref="CE199:CE200"/>
    <mergeCell ref="CF199:CF200"/>
    <mergeCell ref="CG199:CG200"/>
    <mergeCell ref="CH199:CH200"/>
    <mergeCell ref="BW199:BW200"/>
    <mergeCell ref="BX199:BX200"/>
    <mergeCell ref="BY199:BY200"/>
    <mergeCell ref="BZ199:BZ200"/>
    <mergeCell ref="CA199:CA200"/>
    <mergeCell ref="CB199:CB200"/>
    <mergeCell ref="BQ199:BQ200"/>
    <mergeCell ref="BR199:BR200"/>
    <mergeCell ref="BS199:BS200"/>
    <mergeCell ref="BT199:BT200"/>
    <mergeCell ref="BU199:BU200"/>
    <mergeCell ref="BV199:BV200"/>
    <mergeCell ref="BK199:BK200"/>
    <mergeCell ref="BL199:BL200"/>
    <mergeCell ref="BM199:BM200"/>
    <mergeCell ref="BN199:BN200"/>
    <mergeCell ref="BO199:BO200"/>
    <mergeCell ref="BP199:BP200"/>
    <mergeCell ref="BE199:BE200"/>
    <mergeCell ref="BF199:BF200"/>
    <mergeCell ref="BG199:BG200"/>
    <mergeCell ref="AM199:AM200"/>
    <mergeCell ref="AN199:AN200"/>
    <mergeCell ref="AO199:AO200"/>
    <mergeCell ref="AP199:AP200"/>
    <mergeCell ref="AQ199:AQ200"/>
    <mergeCell ref="AR199:AR200"/>
    <mergeCell ref="AG199:AG200"/>
    <mergeCell ref="AH199:AH200"/>
    <mergeCell ref="AI199:AI200"/>
    <mergeCell ref="AJ199:AJ200"/>
    <mergeCell ref="AK199:AK200"/>
    <mergeCell ref="AL199:AL200"/>
    <mergeCell ref="AA199:AA200"/>
    <mergeCell ref="AB199:AB200"/>
    <mergeCell ref="AC199:AC200"/>
    <mergeCell ref="AD199:AD200"/>
    <mergeCell ref="AE199:AE200"/>
    <mergeCell ref="AF199:AF200"/>
    <mergeCell ref="U199:U200"/>
    <mergeCell ref="V199:V200"/>
    <mergeCell ref="W199:W200"/>
    <mergeCell ref="X199:X200"/>
    <mergeCell ref="Y199:Y200"/>
    <mergeCell ref="Z199:Z200"/>
    <mergeCell ref="A199:A200"/>
    <mergeCell ref="P199:P200"/>
    <mergeCell ref="Q199:Q200"/>
    <mergeCell ref="R199:R200"/>
    <mergeCell ref="S199:S200"/>
    <mergeCell ref="T199:T200"/>
    <mergeCell ref="CH196:CH198"/>
    <mergeCell ref="CI196:CI198"/>
    <mergeCell ref="CJ196:CJ198"/>
    <mergeCell ref="CK196:CK198"/>
    <mergeCell ref="CL196:CL198"/>
    <mergeCell ref="BJ196:BJ198"/>
    <mergeCell ref="BK196:BK198"/>
    <mergeCell ref="BL196:BL198"/>
    <mergeCell ref="BM196:BM198"/>
    <mergeCell ref="BN196:BN198"/>
    <mergeCell ref="BO196:BO198"/>
    <mergeCell ref="BD196:BD198"/>
    <mergeCell ref="BE196:BE198"/>
    <mergeCell ref="BF196:BF198"/>
    <mergeCell ref="BG196:BG198"/>
    <mergeCell ref="BH196:BH198"/>
    <mergeCell ref="BI196:BI198"/>
    <mergeCell ref="AX196:AX198"/>
    <mergeCell ref="AY196:AY198"/>
    <mergeCell ref="AZ196:AZ198"/>
    <mergeCell ref="CM196:CM198"/>
    <mergeCell ref="CB196:CB198"/>
    <mergeCell ref="CC196:CC198"/>
    <mergeCell ref="CD196:CD198"/>
    <mergeCell ref="CE196:CE198"/>
    <mergeCell ref="CF196:CF198"/>
    <mergeCell ref="CG196:CG198"/>
    <mergeCell ref="BV196:BV198"/>
    <mergeCell ref="BW196:BW198"/>
    <mergeCell ref="BX196:BX198"/>
    <mergeCell ref="BY196:BY198"/>
    <mergeCell ref="BZ196:BZ198"/>
    <mergeCell ref="CA196:CA198"/>
    <mergeCell ref="BP196:BP198"/>
    <mergeCell ref="BQ196:BQ198"/>
    <mergeCell ref="BR196:BR198"/>
    <mergeCell ref="BS196:BS198"/>
    <mergeCell ref="BT196:BT198"/>
    <mergeCell ref="BU196:BU198"/>
    <mergeCell ref="BA196:BA198"/>
    <mergeCell ref="BB196:BB198"/>
    <mergeCell ref="BC196:BC198"/>
    <mergeCell ref="AR196:AR198"/>
    <mergeCell ref="AS196:AS198"/>
    <mergeCell ref="AT196:AT198"/>
    <mergeCell ref="AU196:AU198"/>
    <mergeCell ref="AV196:AV198"/>
    <mergeCell ref="AW196:AW198"/>
    <mergeCell ref="AL196:AL198"/>
    <mergeCell ref="AM196:AM198"/>
    <mergeCell ref="AN196:AN198"/>
    <mergeCell ref="AO196:AO198"/>
    <mergeCell ref="AP196:AP198"/>
    <mergeCell ref="AQ196:AQ198"/>
    <mergeCell ref="AF196:AF198"/>
    <mergeCell ref="AG196:AG198"/>
    <mergeCell ref="AH196:AH198"/>
    <mergeCell ref="AI196:AI198"/>
    <mergeCell ref="AJ196:AJ198"/>
    <mergeCell ref="AK196:AK198"/>
    <mergeCell ref="Z196:Z198"/>
    <mergeCell ref="AA196:AA198"/>
    <mergeCell ref="AB196:AB198"/>
    <mergeCell ref="AC196:AC198"/>
    <mergeCell ref="AD196:AD198"/>
    <mergeCell ref="AE196:AE198"/>
    <mergeCell ref="T196:T198"/>
    <mergeCell ref="U196:U198"/>
    <mergeCell ref="V196:V198"/>
    <mergeCell ref="W196:W198"/>
    <mergeCell ref="X196:X198"/>
    <mergeCell ref="Y196:Y198"/>
    <mergeCell ref="CI192:CI194"/>
    <mergeCell ref="CJ192:CJ194"/>
    <mergeCell ref="CK192:CK194"/>
    <mergeCell ref="CL192:CL194"/>
    <mergeCell ref="CM192:CM194"/>
    <mergeCell ref="BH192:BH194"/>
    <mergeCell ref="BI192:BI194"/>
    <mergeCell ref="BJ192:BJ194"/>
    <mergeCell ref="AY192:AY194"/>
    <mergeCell ref="AZ192:AZ194"/>
    <mergeCell ref="BA192:BA194"/>
    <mergeCell ref="BB192:BB194"/>
    <mergeCell ref="BC192:BC194"/>
    <mergeCell ref="BD192:BD194"/>
    <mergeCell ref="AS192:AS194"/>
    <mergeCell ref="AT192:AT194"/>
    <mergeCell ref="AU192:AU194"/>
    <mergeCell ref="AV192:AV194"/>
    <mergeCell ref="AW192:AW194"/>
    <mergeCell ref="AX192:AX194"/>
    <mergeCell ref="A196:A198"/>
    <mergeCell ref="P196:P198"/>
    <mergeCell ref="Q196:Q198"/>
    <mergeCell ref="R196:R198"/>
    <mergeCell ref="S196:S198"/>
    <mergeCell ref="CC192:CC194"/>
    <mergeCell ref="CD192:CD194"/>
    <mergeCell ref="CE192:CE194"/>
    <mergeCell ref="CF192:CF194"/>
    <mergeCell ref="CG192:CG194"/>
    <mergeCell ref="CH192:CH194"/>
    <mergeCell ref="BW192:BW194"/>
    <mergeCell ref="BX192:BX194"/>
    <mergeCell ref="BY192:BY194"/>
    <mergeCell ref="BZ192:BZ194"/>
    <mergeCell ref="CA192:CA194"/>
    <mergeCell ref="CB192:CB194"/>
    <mergeCell ref="BQ192:BQ194"/>
    <mergeCell ref="BR192:BR194"/>
    <mergeCell ref="BS192:BS194"/>
    <mergeCell ref="BT192:BT194"/>
    <mergeCell ref="BU192:BU194"/>
    <mergeCell ref="BV192:BV194"/>
    <mergeCell ref="BK192:BK194"/>
    <mergeCell ref="BL192:BL194"/>
    <mergeCell ref="BM192:BM194"/>
    <mergeCell ref="BN192:BN194"/>
    <mergeCell ref="BO192:BO194"/>
    <mergeCell ref="BP192:BP194"/>
    <mergeCell ref="BE192:BE194"/>
    <mergeCell ref="BF192:BF194"/>
    <mergeCell ref="BG192:BG194"/>
    <mergeCell ref="AM192:AM194"/>
    <mergeCell ref="AN192:AN194"/>
    <mergeCell ref="AO192:AO194"/>
    <mergeCell ref="AP192:AP194"/>
    <mergeCell ref="AQ192:AQ194"/>
    <mergeCell ref="AR192:AR194"/>
    <mergeCell ref="AG192:AG194"/>
    <mergeCell ref="AH192:AH194"/>
    <mergeCell ref="AI192:AI194"/>
    <mergeCell ref="AJ192:AJ194"/>
    <mergeCell ref="AK192:AK194"/>
    <mergeCell ref="AL192:AL194"/>
    <mergeCell ref="AA192:AA194"/>
    <mergeCell ref="AB192:AB194"/>
    <mergeCell ref="AC192:AC194"/>
    <mergeCell ref="AD192:AD194"/>
    <mergeCell ref="AE192:AE194"/>
    <mergeCell ref="AF192:AF194"/>
    <mergeCell ref="U192:U194"/>
    <mergeCell ref="V192:V194"/>
    <mergeCell ref="W192:W194"/>
    <mergeCell ref="X192:X194"/>
    <mergeCell ref="Y192:Y194"/>
    <mergeCell ref="Z192:Z194"/>
    <mergeCell ref="A192:A194"/>
    <mergeCell ref="P192:P194"/>
    <mergeCell ref="Q192:Q194"/>
    <mergeCell ref="R192:R194"/>
    <mergeCell ref="S192:S194"/>
    <mergeCell ref="T192:T194"/>
    <mergeCell ref="CH190:CH191"/>
    <mergeCell ref="CI190:CI191"/>
    <mergeCell ref="CJ190:CJ191"/>
    <mergeCell ref="CK190:CK191"/>
    <mergeCell ref="CL190:CL191"/>
    <mergeCell ref="BJ190:BJ191"/>
    <mergeCell ref="BK190:BK191"/>
    <mergeCell ref="BL190:BL191"/>
    <mergeCell ref="BM190:BM191"/>
    <mergeCell ref="BN190:BN191"/>
    <mergeCell ref="BO190:BO191"/>
    <mergeCell ref="BD190:BD191"/>
    <mergeCell ref="BE190:BE191"/>
    <mergeCell ref="BF190:BF191"/>
    <mergeCell ref="BG190:BG191"/>
    <mergeCell ref="BH190:BH191"/>
    <mergeCell ref="BI190:BI191"/>
    <mergeCell ref="AX190:AX191"/>
    <mergeCell ref="AY190:AY191"/>
    <mergeCell ref="AZ190:AZ191"/>
    <mergeCell ref="CM190:CM191"/>
    <mergeCell ref="CB190:CB191"/>
    <mergeCell ref="CC190:CC191"/>
    <mergeCell ref="CD190:CD191"/>
    <mergeCell ref="CE190:CE191"/>
    <mergeCell ref="CF190:CF191"/>
    <mergeCell ref="CG190:CG191"/>
    <mergeCell ref="BV190:BV191"/>
    <mergeCell ref="BW190:BW191"/>
    <mergeCell ref="BX190:BX191"/>
    <mergeCell ref="BY190:BY191"/>
    <mergeCell ref="BZ190:BZ191"/>
    <mergeCell ref="CA190:CA191"/>
    <mergeCell ref="BP190:BP191"/>
    <mergeCell ref="BQ190:BQ191"/>
    <mergeCell ref="BR190:BR191"/>
    <mergeCell ref="BS190:BS191"/>
    <mergeCell ref="BT190:BT191"/>
    <mergeCell ref="BU190:BU191"/>
    <mergeCell ref="BA190:BA191"/>
    <mergeCell ref="BB190:BB191"/>
    <mergeCell ref="BC190:BC191"/>
    <mergeCell ref="AR190:AR191"/>
    <mergeCell ref="AS190:AS191"/>
    <mergeCell ref="AT190:AT191"/>
    <mergeCell ref="AU190:AU191"/>
    <mergeCell ref="AV190:AV191"/>
    <mergeCell ref="AW190:AW191"/>
    <mergeCell ref="AL190:AL191"/>
    <mergeCell ref="AM190:AM191"/>
    <mergeCell ref="AN190:AN191"/>
    <mergeCell ref="AO190:AO191"/>
    <mergeCell ref="AP190:AP191"/>
    <mergeCell ref="AQ190:AQ191"/>
    <mergeCell ref="AF190:AF191"/>
    <mergeCell ref="AG190:AG191"/>
    <mergeCell ref="AH190:AH191"/>
    <mergeCell ref="AI190:AI191"/>
    <mergeCell ref="AJ190:AJ191"/>
    <mergeCell ref="AK190:AK191"/>
    <mergeCell ref="Z190:Z191"/>
    <mergeCell ref="AA190:AA191"/>
    <mergeCell ref="AB190:AB191"/>
    <mergeCell ref="AC190:AC191"/>
    <mergeCell ref="AD190:AD191"/>
    <mergeCell ref="AE190:AE191"/>
    <mergeCell ref="T190:T191"/>
    <mergeCell ref="U190:U191"/>
    <mergeCell ref="V190:V191"/>
    <mergeCell ref="W190:W191"/>
    <mergeCell ref="X190:X191"/>
    <mergeCell ref="Y190:Y191"/>
    <mergeCell ref="CI185:CI188"/>
    <mergeCell ref="CJ185:CJ188"/>
    <mergeCell ref="CK185:CK188"/>
    <mergeCell ref="CL185:CL188"/>
    <mergeCell ref="CM185:CM188"/>
    <mergeCell ref="BH185:BH188"/>
    <mergeCell ref="BI185:BI188"/>
    <mergeCell ref="BJ185:BJ188"/>
    <mergeCell ref="AL185:AL188"/>
    <mergeCell ref="AM185:AM188"/>
    <mergeCell ref="AN185:AN188"/>
    <mergeCell ref="AO185:AO188"/>
    <mergeCell ref="BC185:BC188"/>
    <mergeCell ref="BD185:BD188"/>
    <mergeCell ref="AF185:AF188"/>
    <mergeCell ref="AG185:AG188"/>
    <mergeCell ref="AH185:AH188"/>
    <mergeCell ref="AI185:AI188"/>
    <mergeCell ref="AJ185:AJ188"/>
    <mergeCell ref="AK185:AK188"/>
    <mergeCell ref="A190:A191"/>
    <mergeCell ref="P190:P191"/>
    <mergeCell ref="Q190:Q191"/>
    <mergeCell ref="R190:R191"/>
    <mergeCell ref="S190:S191"/>
    <mergeCell ref="CC185:CC188"/>
    <mergeCell ref="CD185:CD188"/>
    <mergeCell ref="CE185:CE188"/>
    <mergeCell ref="CF185:CF188"/>
    <mergeCell ref="CG185:CG188"/>
    <mergeCell ref="CH185:CH188"/>
    <mergeCell ref="BW185:BW188"/>
    <mergeCell ref="BX185:BX188"/>
    <mergeCell ref="BY185:BY188"/>
    <mergeCell ref="BZ185:BZ188"/>
    <mergeCell ref="CA185:CA188"/>
    <mergeCell ref="CB185:CB188"/>
    <mergeCell ref="BQ185:BQ188"/>
    <mergeCell ref="BR185:BR188"/>
    <mergeCell ref="BS185:BS188"/>
    <mergeCell ref="BT185:BT188"/>
    <mergeCell ref="BU185:BU188"/>
    <mergeCell ref="BV185:BV188"/>
    <mergeCell ref="BK185:BK188"/>
    <mergeCell ref="BL185:BL188"/>
    <mergeCell ref="BM185:BM188"/>
    <mergeCell ref="BN185:BN188"/>
    <mergeCell ref="BO185:BO188"/>
    <mergeCell ref="BP185:BP188"/>
    <mergeCell ref="BE185:BE188"/>
    <mergeCell ref="BF185:BF188"/>
    <mergeCell ref="BG185:BG188"/>
    <mergeCell ref="Z185:Z188"/>
    <mergeCell ref="AA185:AA188"/>
    <mergeCell ref="AB185:AB188"/>
    <mergeCell ref="AC185:AC188"/>
    <mergeCell ref="AD185:AD188"/>
    <mergeCell ref="AE185:AE188"/>
    <mergeCell ref="T185:T188"/>
    <mergeCell ref="U185:U188"/>
    <mergeCell ref="V185:V188"/>
    <mergeCell ref="W185:W188"/>
    <mergeCell ref="X185:X188"/>
    <mergeCell ref="Y185:Y188"/>
    <mergeCell ref="N185:N188"/>
    <mergeCell ref="O185:O188"/>
    <mergeCell ref="P185:P188"/>
    <mergeCell ref="Q185:Q188"/>
    <mergeCell ref="R185:R188"/>
    <mergeCell ref="S185:S188"/>
    <mergeCell ref="H185:H188"/>
    <mergeCell ref="I185:I188"/>
    <mergeCell ref="J185:J188"/>
    <mergeCell ref="K185:K188"/>
    <mergeCell ref="L185:L188"/>
    <mergeCell ref="M185:M188"/>
    <mergeCell ref="CJ183:CJ184"/>
    <mergeCell ref="CK183:CK184"/>
    <mergeCell ref="CL183:CL184"/>
    <mergeCell ref="CM183:CM184"/>
    <mergeCell ref="A185:A188"/>
    <mergeCell ref="C185:C188"/>
    <mergeCell ref="D185:D188"/>
    <mergeCell ref="E185:E188"/>
    <mergeCell ref="F185:F188"/>
    <mergeCell ref="G185:G188"/>
    <mergeCell ref="CD183:CD184"/>
    <mergeCell ref="CE183:CE184"/>
    <mergeCell ref="CF183:CF184"/>
    <mergeCell ref="CG183:CG184"/>
    <mergeCell ref="CH183:CH184"/>
    <mergeCell ref="CI183:CI184"/>
    <mergeCell ref="BX183:BX184"/>
    <mergeCell ref="BY183:BY184"/>
    <mergeCell ref="BZ183:BZ184"/>
    <mergeCell ref="CA183:CA184"/>
    <mergeCell ref="CB183:CB184"/>
    <mergeCell ref="CC183:CC184"/>
    <mergeCell ref="BR183:BR184"/>
    <mergeCell ref="BS183:BS184"/>
    <mergeCell ref="BT183:BT184"/>
    <mergeCell ref="BU183:BU184"/>
    <mergeCell ref="BV183:BV184"/>
    <mergeCell ref="BW183:BW184"/>
    <mergeCell ref="BL183:BL184"/>
    <mergeCell ref="BM183:BM184"/>
    <mergeCell ref="BN183:BN184"/>
    <mergeCell ref="BO183:BO184"/>
    <mergeCell ref="BP183:BP184"/>
    <mergeCell ref="BQ183:BQ184"/>
    <mergeCell ref="BF183:BF184"/>
    <mergeCell ref="BG183:BG184"/>
    <mergeCell ref="BH183:BH184"/>
    <mergeCell ref="BI183:BI184"/>
    <mergeCell ref="BJ183:BJ184"/>
    <mergeCell ref="BK183:BK184"/>
    <mergeCell ref="A183:A184"/>
    <mergeCell ref="AN183:AN184"/>
    <mergeCell ref="AO183:AO184"/>
    <mergeCell ref="BC183:BC184"/>
    <mergeCell ref="BD183:BD184"/>
    <mergeCell ref="BE183:BE184"/>
    <mergeCell ref="CH181:CH182"/>
    <mergeCell ref="CI181:CI182"/>
    <mergeCell ref="CJ181:CJ182"/>
    <mergeCell ref="CK181:CK182"/>
    <mergeCell ref="CL181:CL182"/>
    <mergeCell ref="CM181:CM182"/>
    <mergeCell ref="CB181:CB182"/>
    <mergeCell ref="CC181:CC182"/>
    <mergeCell ref="CD181:CD182"/>
    <mergeCell ref="CE181:CE182"/>
    <mergeCell ref="CF181:CF182"/>
    <mergeCell ref="CG181:CG182"/>
    <mergeCell ref="BV181:BV182"/>
    <mergeCell ref="BW181:BW182"/>
    <mergeCell ref="BX181:BX182"/>
    <mergeCell ref="BY181:BY182"/>
    <mergeCell ref="BZ181:BZ182"/>
    <mergeCell ref="CA181:CA182"/>
    <mergeCell ref="BP181:BP182"/>
    <mergeCell ref="BQ181:BQ182"/>
    <mergeCell ref="BR181:BR182"/>
    <mergeCell ref="BS181:BS182"/>
    <mergeCell ref="BT181:BT182"/>
    <mergeCell ref="BU181:BU182"/>
    <mergeCell ref="BJ181:BJ182"/>
    <mergeCell ref="BK181:BK182"/>
    <mergeCell ref="BL181:BL182"/>
    <mergeCell ref="BM181:BM182"/>
    <mergeCell ref="BN181:BN182"/>
    <mergeCell ref="BO181:BO182"/>
    <mergeCell ref="BD181:BD182"/>
    <mergeCell ref="BE181:BE182"/>
    <mergeCell ref="BF181:BF182"/>
    <mergeCell ref="BG181:BG182"/>
    <mergeCell ref="BH181:BH182"/>
    <mergeCell ref="BI181:BI182"/>
    <mergeCell ref="AX181:AX182"/>
    <mergeCell ref="AY181:AY182"/>
    <mergeCell ref="AZ181:AZ182"/>
    <mergeCell ref="BA181:BA182"/>
    <mergeCell ref="BB181:BB182"/>
    <mergeCell ref="BC181:BC182"/>
    <mergeCell ref="AR181:AR182"/>
    <mergeCell ref="AS181:AS182"/>
    <mergeCell ref="AT181:AT182"/>
    <mergeCell ref="AU181:AU182"/>
    <mergeCell ref="AV181:AV182"/>
    <mergeCell ref="AW181:AW182"/>
    <mergeCell ref="AL181:AL182"/>
    <mergeCell ref="AM181:AM182"/>
    <mergeCell ref="AN181:AN182"/>
    <mergeCell ref="AO181:AO182"/>
    <mergeCell ref="AP181:AP182"/>
    <mergeCell ref="AQ181:AQ182"/>
    <mergeCell ref="AF181:AF182"/>
    <mergeCell ref="AG181:AG182"/>
    <mergeCell ref="AH181:AH182"/>
    <mergeCell ref="AI181:AI182"/>
    <mergeCell ref="AJ181:AJ182"/>
    <mergeCell ref="AK181:AK182"/>
    <mergeCell ref="Z181:Z182"/>
    <mergeCell ref="AA181:AA182"/>
    <mergeCell ref="AB181:AB182"/>
    <mergeCell ref="AC181:AC182"/>
    <mergeCell ref="AD181:AD182"/>
    <mergeCell ref="AE181:AE182"/>
    <mergeCell ref="T181:T182"/>
    <mergeCell ref="U181:U182"/>
    <mergeCell ref="V181:V182"/>
    <mergeCell ref="W181:W182"/>
    <mergeCell ref="X181:X182"/>
    <mergeCell ref="Y181:Y182"/>
    <mergeCell ref="CI179:CI180"/>
    <mergeCell ref="CJ179:CJ180"/>
    <mergeCell ref="CK179:CK180"/>
    <mergeCell ref="CL179:CL180"/>
    <mergeCell ref="CM179:CM180"/>
    <mergeCell ref="A181:A182"/>
    <mergeCell ref="P181:P182"/>
    <mergeCell ref="Q181:Q182"/>
    <mergeCell ref="R181:R182"/>
    <mergeCell ref="S181:S182"/>
    <mergeCell ref="CC179:CC180"/>
    <mergeCell ref="CD179:CD180"/>
    <mergeCell ref="CE179:CE180"/>
    <mergeCell ref="CF179:CF180"/>
    <mergeCell ref="CG179:CG180"/>
    <mergeCell ref="CH179:CH180"/>
    <mergeCell ref="BW179:BW180"/>
    <mergeCell ref="BX179:BX180"/>
    <mergeCell ref="BY179:BY180"/>
    <mergeCell ref="BZ179:BZ180"/>
    <mergeCell ref="CA179:CA180"/>
    <mergeCell ref="CB179:CB180"/>
    <mergeCell ref="BQ179:BQ180"/>
    <mergeCell ref="BR179:BR180"/>
    <mergeCell ref="BS179:BS180"/>
    <mergeCell ref="BT179:BT180"/>
    <mergeCell ref="BU179:BU180"/>
    <mergeCell ref="BV179:BV180"/>
    <mergeCell ref="BK179:BK180"/>
    <mergeCell ref="BL179:BL180"/>
    <mergeCell ref="BM179:BM180"/>
    <mergeCell ref="BN179:BN180"/>
    <mergeCell ref="BO179:BO180"/>
    <mergeCell ref="BP179:BP180"/>
    <mergeCell ref="BE179:BE180"/>
    <mergeCell ref="BF179:BF180"/>
    <mergeCell ref="BG179:BG180"/>
    <mergeCell ref="BH179:BH180"/>
    <mergeCell ref="BI179:BI180"/>
    <mergeCell ref="BJ179:BJ180"/>
    <mergeCell ref="AY179:AY180"/>
    <mergeCell ref="AZ179:AZ180"/>
    <mergeCell ref="BA179:BA180"/>
    <mergeCell ref="BB179:BB180"/>
    <mergeCell ref="BC179:BC180"/>
    <mergeCell ref="BD179:BD180"/>
    <mergeCell ref="AS179:AS180"/>
    <mergeCell ref="AT179:AT180"/>
    <mergeCell ref="AU179:AU180"/>
    <mergeCell ref="AV179:AV180"/>
    <mergeCell ref="AW179:AW180"/>
    <mergeCell ref="AX179:AX180"/>
    <mergeCell ref="AM179:AM180"/>
    <mergeCell ref="AN179:AN180"/>
    <mergeCell ref="AO179:AO180"/>
    <mergeCell ref="AP179:AP180"/>
    <mergeCell ref="AQ179:AQ180"/>
    <mergeCell ref="AR179:AR180"/>
    <mergeCell ref="AG179:AG180"/>
    <mergeCell ref="AH179:AH180"/>
    <mergeCell ref="AI179:AI180"/>
    <mergeCell ref="AJ179:AJ180"/>
    <mergeCell ref="AK179:AK180"/>
    <mergeCell ref="AL179:AL180"/>
    <mergeCell ref="AA179:AA180"/>
    <mergeCell ref="AB179:AB180"/>
    <mergeCell ref="AC179:AC180"/>
    <mergeCell ref="AD179:AD180"/>
    <mergeCell ref="AE179:AE180"/>
    <mergeCell ref="AF179:AF180"/>
    <mergeCell ref="U179:U180"/>
    <mergeCell ref="V179:V180"/>
    <mergeCell ref="W179:W180"/>
    <mergeCell ref="X179:X180"/>
    <mergeCell ref="Y179:Y180"/>
    <mergeCell ref="Z179:Z180"/>
    <mergeCell ref="A179:A180"/>
    <mergeCell ref="P179:P180"/>
    <mergeCell ref="Q179:Q180"/>
    <mergeCell ref="R179:R180"/>
    <mergeCell ref="S179:S180"/>
    <mergeCell ref="T179:T180"/>
    <mergeCell ref="CH177:CH178"/>
    <mergeCell ref="CI177:CI178"/>
    <mergeCell ref="CJ177:CJ178"/>
    <mergeCell ref="CK177:CK178"/>
    <mergeCell ref="CL177:CL178"/>
    <mergeCell ref="BJ177:BJ178"/>
    <mergeCell ref="BK177:BK178"/>
    <mergeCell ref="BL177:BL178"/>
    <mergeCell ref="BM177:BM178"/>
    <mergeCell ref="BN177:BN178"/>
    <mergeCell ref="BO177:BO178"/>
    <mergeCell ref="BD177:BD178"/>
    <mergeCell ref="BE177:BE178"/>
    <mergeCell ref="BF177:BF178"/>
    <mergeCell ref="BG177:BG178"/>
    <mergeCell ref="BH177:BH178"/>
    <mergeCell ref="BI177:BI178"/>
    <mergeCell ref="AX177:AX178"/>
    <mergeCell ref="AY177:AY178"/>
    <mergeCell ref="AZ177:AZ178"/>
    <mergeCell ref="CM177:CM178"/>
    <mergeCell ref="CB177:CB178"/>
    <mergeCell ref="CC177:CC178"/>
    <mergeCell ref="CD177:CD178"/>
    <mergeCell ref="CE177:CE178"/>
    <mergeCell ref="CF177:CF178"/>
    <mergeCell ref="CG177:CG178"/>
    <mergeCell ref="BV177:BV178"/>
    <mergeCell ref="BW177:BW178"/>
    <mergeCell ref="BX177:BX178"/>
    <mergeCell ref="BY177:BY178"/>
    <mergeCell ref="BZ177:BZ178"/>
    <mergeCell ref="CA177:CA178"/>
    <mergeCell ref="BP177:BP178"/>
    <mergeCell ref="BQ177:BQ178"/>
    <mergeCell ref="BR177:BR178"/>
    <mergeCell ref="BS177:BS178"/>
    <mergeCell ref="BT177:BT178"/>
    <mergeCell ref="BU177:BU178"/>
    <mergeCell ref="BA177:BA178"/>
    <mergeCell ref="BB177:BB178"/>
    <mergeCell ref="BC177:BC178"/>
    <mergeCell ref="AR177:AR178"/>
    <mergeCell ref="AS177:AS178"/>
    <mergeCell ref="AT177:AT178"/>
    <mergeCell ref="AU177:AU178"/>
    <mergeCell ref="AV177:AV178"/>
    <mergeCell ref="AW177:AW178"/>
    <mergeCell ref="AL177:AL178"/>
    <mergeCell ref="AM177:AM178"/>
    <mergeCell ref="AN177:AN178"/>
    <mergeCell ref="AO177:AO178"/>
    <mergeCell ref="AP177:AP178"/>
    <mergeCell ref="AQ177:AQ178"/>
    <mergeCell ref="AF177:AF178"/>
    <mergeCell ref="AG177:AG178"/>
    <mergeCell ref="AH177:AH178"/>
    <mergeCell ref="AI177:AI178"/>
    <mergeCell ref="AJ177:AJ178"/>
    <mergeCell ref="AK177:AK178"/>
    <mergeCell ref="Z177:Z178"/>
    <mergeCell ref="AA177:AA178"/>
    <mergeCell ref="AB177:AB178"/>
    <mergeCell ref="AC177:AC178"/>
    <mergeCell ref="AD177:AD178"/>
    <mergeCell ref="AE177:AE178"/>
    <mergeCell ref="T177:T178"/>
    <mergeCell ref="U177:U178"/>
    <mergeCell ref="V177:V178"/>
    <mergeCell ref="W177:W178"/>
    <mergeCell ref="X177:X178"/>
    <mergeCell ref="Y177:Y178"/>
    <mergeCell ref="CI174:CI176"/>
    <mergeCell ref="CJ174:CJ176"/>
    <mergeCell ref="CK174:CK176"/>
    <mergeCell ref="CL174:CL176"/>
    <mergeCell ref="CM174:CM176"/>
    <mergeCell ref="BH174:BH176"/>
    <mergeCell ref="BI174:BI176"/>
    <mergeCell ref="BJ174:BJ176"/>
    <mergeCell ref="AY174:AY176"/>
    <mergeCell ref="AZ174:AZ176"/>
    <mergeCell ref="BA174:BA176"/>
    <mergeCell ref="BB174:BB176"/>
    <mergeCell ref="BC174:BC176"/>
    <mergeCell ref="BD174:BD176"/>
    <mergeCell ref="AS174:AS176"/>
    <mergeCell ref="AT174:AT176"/>
    <mergeCell ref="AU174:AU176"/>
    <mergeCell ref="AV174:AV176"/>
    <mergeCell ref="AW174:AW176"/>
    <mergeCell ref="AX174:AX176"/>
    <mergeCell ref="A177:A178"/>
    <mergeCell ref="P177:P178"/>
    <mergeCell ref="Q177:Q178"/>
    <mergeCell ref="R177:R178"/>
    <mergeCell ref="S177:S178"/>
    <mergeCell ref="CC174:CC176"/>
    <mergeCell ref="CD174:CD176"/>
    <mergeCell ref="CE174:CE176"/>
    <mergeCell ref="CF174:CF176"/>
    <mergeCell ref="CG174:CG176"/>
    <mergeCell ref="CH174:CH176"/>
    <mergeCell ref="BW174:BW176"/>
    <mergeCell ref="BX174:BX176"/>
    <mergeCell ref="BY174:BY176"/>
    <mergeCell ref="BZ174:BZ176"/>
    <mergeCell ref="CA174:CA176"/>
    <mergeCell ref="CB174:CB176"/>
    <mergeCell ref="BQ174:BQ176"/>
    <mergeCell ref="BR174:BR176"/>
    <mergeCell ref="BS174:BS176"/>
    <mergeCell ref="BT174:BT176"/>
    <mergeCell ref="BU174:BU176"/>
    <mergeCell ref="BV174:BV176"/>
    <mergeCell ref="BK174:BK176"/>
    <mergeCell ref="BL174:BL176"/>
    <mergeCell ref="BM174:BM176"/>
    <mergeCell ref="BN174:BN176"/>
    <mergeCell ref="BO174:BO176"/>
    <mergeCell ref="BP174:BP176"/>
    <mergeCell ref="BE174:BE176"/>
    <mergeCell ref="BF174:BF176"/>
    <mergeCell ref="BG174:BG176"/>
    <mergeCell ref="AM174:AM176"/>
    <mergeCell ref="AN174:AN176"/>
    <mergeCell ref="AO174:AO176"/>
    <mergeCell ref="AP174:AP176"/>
    <mergeCell ref="AQ174:AQ176"/>
    <mergeCell ref="AR174:AR176"/>
    <mergeCell ref="AG174:AG176"/>
    <mergeCell ref="AH174:AH176"/>
    <mergeCell ref="AI174:AI176"/>
    <mergeCell ref="AJ174:AJ176"/>
    <mergeCell ref="AK174:AK176"/>
    <mergeCell ref="AL174:AL176"/>
    <mergeCell ref="AA174:AA176"/>
    <mergeCell ref="AB174:AB176"/>
    <mergeCell ref="AC174:AC176"/>
    <mergeCell ref="AD174:AD176"/>
    <mergeCell ref="AE174:AE176"/>
    <mergeCell ref="AF174:AF176"/>
    <mergeCell ref="U174:U176"/>
    <mergeCell ref="V174:V176"/>
    <mergeCell ref="W174:W176"/>
    <mergeCell ref="X174:X176"/>
    <mergeCell ref="Y174:Y176"/>
    <mergeCell ref="Z174:Z176"/>
    <mergeCell ref="A174:A176"/>
    <mergeCell ref="P174:P176"/>
    <mergeCell ref="Q174:Q176"/>
    <mergeCell ref="R174:R176"/>
    <mergeCell ref="S174:S176"/>
    <mergeCell ref="T174:T176"/>
    <mergeCell ref="CH172:CH173"/>
    <mergeCell ref="CI172:CI173"/>
    <mergeCell ref="CJ172:CJ173"/>
    <mergeCell ref="CK172:CK173"/>
    <mergeCell ref="CL172:CL173"/>
    <mergeCell ref="BJ172:BJ173"/>
    <mergeCell ref="BK172:BK173"/>
    <mergeCell ref="BL172:BL173"/>
    <mergeCell ref="BM172:BM173"/>
    <mergeCell ref="BN172:BN173"/>
    <mergeCell ref="BO172:BO173"/>
    <mergeCell ref="BD172:BD173"/>
    <mergeCell ref="BE172:BE173"/>
    <mergeCell ref="BF172:BF173"/>
    <mergeCell ref="BG172:BG173"/>
    <mergeCell ref="BH172:BH173"/>
    <mergeCell ref="BI172:BI173"/>
    <mergeCell ref="AX172:AX173"/>
    <mergeCell ref="AY172:AY173"/>
    <mergeCell ref="AZ172:AZ173"/>
    <mergeCell ref="CM172:CM173"/>
    <mergeCell ref="CB172:CB173"/>
    <mergeCell ref="CC172:CC173"/>
    <mergeCell ref="CD172:CD173"/>
    <mergeCell ref="CE172:CE173"/>
    <mergeCell ref="CF172:CF173"/>
    <mergeCell ref="CG172:CG173"/>
    <mergeCell ref="BV172:BV173"/>
    <mergeCell ref="BW172:BW173"/>
    <mergeCell ref="BX172:BX173"/>
    <mergeCell ref="BY172:BY173"/>
    <mergeCell ref="BZ172:BZ173"/>
    <mergeCell ref="CA172:CA173"/>
    <mergeCell ref="BP172:BP173"/>
    <mergeCell ref="BQ172:BQ173"/>
    <mergeCell ref="BR172:BR173"/>
    <mergeCell ref="BS172:BS173"/>
    <mergeCell ref="BT172:BT173"/>
    <mergeCell ref="BU172:BU173"/>
    <mergeCell ref="BA172:BA173"/>
    <mergeCell ref="BB172:BB173"/>
    <mergeCell ref="BC172:BC173"/>
    <mergeCell ref="AR172:AR173"/>
    <mergeCell ref="AS172:AS173"/>
    <mergeCell ref="AT172:AT173"/>
    <mergeCell ref="AU172:AU173"/>
    <mergeCell ref="AV172:AV173"/>
    <mergeCell ref="AW172:AW173"/>
    <mergeCell ref="AL172:AL173"/>
    <mergeCell ref="AM172:AM173"/>
    <mergeCell ref="AN172:AN173"/>
    <mergeCell ref="AO172:AO173"/>
    <mergeCell ref="AP172:AP173"/>
    <mergeCell ref="AQ172:AQ173"/>
    <mergeCell ref="AF172:AF173"/>
    <mergeCell ref="AG172:AG173"/>
    <mergeCell ref="AH172:AH173"/>
    <mergeCell ref="AI172:AI173"/>
    <mergeCell ref="AJ172:AJ173"/>
    <mergeCell ref="AK172:AK173"/>
    <mergeCell ref="Z172:Z173"/>
    <mergeCell ref="AA172:AA173"/>
    <mergeCell ref="AB172:AB173"/>
    <mergeCell ref="AC172:AC173"/>
    <mergeCell ref="AD172:AD173"/>
    <mergeCell ref="AE172:AE173"/>
    <mergeCell ref="T172:T173"/>
    <mergeCell ref="U172:U173"/>
    <mergeCell ref="V172:V173"/>
    <mergeCell ref="W172:W173"/>
    <mergeCell ref="X172:X173"/>
    <mergeCell ref="Y172:Y173"/>
    <mergeCell ref="CI167:CI170"/>
    <mergeCell ref="CJ167:CJ170"/>
    <mergeCell ref="CK167:CK170"/>
    <mergeCell ref="CL167:CL170"/>
    <mergeCell ref="CM167:CM170"/>
    <mergeCell ref="BH167:BH170"/>
    <mergeCell ref="BI167:BI170"/>
    <mergeCell ref="BJ167:BJ170"/>
    <mergeCell ref="AY167:AY170"/>
    <mergeCell ref="AZ167:AZ170"/>
    <mergeCell ref="BA167:BA170"/>
    <mergeCell ref="BB167:BB170"/>
    <mergeCell ref="BC167:BC170"/>
    <mergeCell ref="BD167:BD170"/>
    <mergeCell ref="AS167:AS170"/>
    <mergeCell ref="AT167:AT170"/>
    <mergeCell ref="AU167:AU170"/>
    <mergeCell ref="AV167:AV170"/>
    <mergeCell ref="AW167:AW170"/>
    <mergeCell ref="AX167:AX170"/>
    <mergeCell ref="A172:A173"/>
    <mergeCell ref="P172:P173"/>
    <mergeCell ref="Q172:Q173"/>
    <mergeCell ref="R172:R173"/>
    <mergeCell ref="S172:S173"/>
    <mergeCell ref="CC167:CC170"/>
    <mergeCell ref="CD167:CD170"/>
    <mergeCell ref="CE167:CE170"/>
    <mergeCell ref="CF167:CF170"/>
    <mergeCell ref="CG167:CG170"/>
    <mergeCell ref="CH167:CH170"/>
    <mergeCell ref="BW167:BW170"/>
    <mergeCell ref="BX167:BX170"/>
    <mergeCell ref="BY167:BY170"/>
    <mergeCell ref="BZ167:BZ170"/>
    <mergeCell ref="CA167:CA170"/>
    <mergeCell ref="CB167:CB170"/>
    <mergeCell ref="BQ167:BQ170"/>
    <mergeCell ref="BR167:BR170"/>
    <mergeCell ref="BS167:BS170"/>
    <mergeCell ref="BT167:BT170"/>
    <mergeCell ref="BU167:BU170"/>
    <mergeCell ref="BV167:BV170"/>
    <mergeCell ref="BK167:BK170"/>
    <mergeCell ref="BL167:BL170"/>
    <mergeCell ref="BM167:BM170"/>
    <mergeCell ref="BN167:BN170"/>
    <mergeCell ref="BO167:BO170"/>
    <mergeCell ref="BP167:BP170"/>
    <mergeCell ref="BE167:BE170"/>
    <mergeCell ref="BF167:BF170"/>
    <mergeCell ref="BG167:BG170"/>
    <mergeCell ref="AM167:AM170"/>
    <mergeCell ref="AN167:AN170"/>
    <mergeCell ref="AO167:AO170"/>
    <mergeCell ref="AP167:AP170"/>
    <mergeCell ref="AQ167:AQ170"/>
    <mergeCell ref="AR167:AR170"/>
    <mergeCell ref="AG167:AG170"/>
    <mergeCell ref="AH167:AH170"/>
    <mergeCell ref="AI167:AI170"/>
    <mergeCell ref="AJ167:AJ170"/>
    <mergeCell ref="AK167:AK170"/>
    <mergeCell ref="AL167:AL170"/>
    <mergeCell ref="AA167:AA170"/>
    <mergeCell ref="AB167:AB170"/>
    <mergeCell ref="AC167:AC170"/>
    <mergeCell ref="AD167:AD170"/>
    <mergeCell ref="AE167:AE170"/>
    <mergeCell ref="AF167:AF170"/>
    <mergeCell ref="U167:U170"/>
    <mergeCell ref="V167:V170"/>
    <mergeCell ref="W167:W170"/>
    <mergeCell ref="X167:X170"/>
    <mergeCell ref="Y167:Y170"/>
    <mergeCell ref="Z167:Z170"/>
    <mergeCell ref="A167:A170"/>
    <mergeCell ref="P167:P170"/>
    <mergeCell ref="Q167:Q170"/>
    <mergeCell ref="R167:R170"/>
    <mergeCell ref="S167:S170"/>
    <mergeCell ref="T167:T170"/>
    <mergeCell ref="CH162:CH166"/>
    <mergeCell ref="CI162:CI166"/>
    <mergeCell ref="CJ162:CJ166"/>
    <mergeCell ref="CK162:CK166"/>
    <mergeCell ref="CL162:CL166"/>
    <mergeCell ref="BJ162:BJ166"/>
    <mergeCell ref="BK162:BK166"/>
    <mergeCell ref="BL162:BL166"/>
    <mergeCell ref="BM162:BM166"/>
    <mergeCell ref="BN162:BN166"/>
    <mergeCell ref="BO162:BO166"/>
    <mergeCell ref="BD162:BD166"/>
    <mergeCell ref="BE162:BE166"/>
    <mergeCell ref="BF162:BF166"/>
    <mergeCell ref="BG162:BG166"/>
    <mergeCell ref="BH162:BH166"/>
    <mergeCell ref="BI162:BI166"/>
    <mergeCell ref="AX162:AX166"/>
    <mergeCell ref="AY162:AY166"/>
    <mergeCell ref="AZ162:AZ166"/>
    <mergeCell ref="CM162:CM166"/>
    <mergeCell ref="CB162:CB166"/>
    <mergeCell ref="CC162:CC166"/>
    <mergeCell ref="CD162:CD166"/>
    <mergeCell ref="CE162:CE166"/>
    <mergeCell ref="CF162:CF166"/>
    <mergeCell ref="CG162:CG166"/>
    <mergeCell ref="BV162:BV166"/>
    <mergeCell ref="BW162:BW166"/>
    <mergeCell ref="BX162:BX166"/>
    <mergeCell ref="BY162:BY166"/>
    <mergeCell ref="BZ162:BZ166"/>
    <mergeCell ref="CA162:CA166"/>
    <mergeCell ref="BP162:BP166"/>
    <mergeCell ref="BQ162:BQ166"/>
    <mergeCell ref="BR162:BR166"/>
    <mergeCell ref="BS162:BS166"/>
    <mergeCell ref="BT162:BT166"/>
    <mergeCell ref="BU162:BU166"/>
    <mergeCell ref="BA162:BA166"/>
    <mergeCell ref="BB162:BB166"/>
    <mergeCell ref="BC162:BC166"/>
    <mergeCell ref="AR162:AR166"/>
    <mergeCell ref="AS162:AS166"/>
    <mergeCell ref="AT162:AT166"/>
    <mergeCell ref="AU162:AU166"/>
    <mergeCell ref="AV162:AV166"/>
    <mergeCell ref="AW162:AW166"/>
    <mergeCell ref="AL162:AL166"/>
    <mergeCell ref="AM162:AM166"/>
    <mergeCell ref="AN162:AN166"/>
    <mergeCell ref="AO162:AO166"/>
    <mergeCell ref="AP162:AP166"/>
    <mergeCell ref="AQ162:AQ166"/>
    <mergeCell ref="AF162:AF166"/>
    <mergeCell ref="AG162:AG166"/>
    <mergeCell ref="AH162:AH166"/>
    <mergeCell ref="AI162:AI166"/>
    <mergeCell ref="AJ162:AJ166"/>
    <mergeCell ref="AK162:AK166"/>
    <mergeCell ref="Z162:Z166"/>
    <mergeCell ref="AA162:AA166"/>
    <mergeCell ref="AB162:AB166"/>
    <mergeCell ref="AC162:AC166"/>
    <mergeCell ref="AD162:AD166"/>
    <mergeCell ref="AE162:AE166"/>
    <mergeCell ref="T162:T166"/>
    <mergeCell ref="U162:U166"/>
    <mergeCell ref="V162:V166"/>
    <mergeCell ref="W162:W166"/>
    <mergeCell ref="X162:X166"/>
    <mergeCell ref="Y162:Y166"/>
    <mergeCell ref="CI157:CI160"/>
    <mergeCell ref="CJ157:CJ160"/>
    <mergeCell ref="CK157:CK160"/>
    <mergeCell ref="CL157:CL160"/>
    <mergeCell ref="CM157:CM160"/>
    <mergeCell ref="BH157:BH160"/>
    <mergeCell ref="BI157:BI160"/>
    <mergeCell ref="BJ157:BJ160"/>
    <mergeCell ref="AY157:AY160"/>
    <mergeCell ref="AZ157:AZ160"/>
    <mergeCell ref="BA157:BA160"/>
    <mergeCell ref="BB157:BB160"/>
    <mergeCell ref="BC157:BC160"/>
    <mergeCell ref="BD157:BD160"/>
    <mergeCell ref="AS157:AS160"/>
    <mergeCell ref="AT157:AT160"/>
    <mergeCell ref="AU157:AU160"/>
    <mergeCell ref="AV157:AV160"/>
    <mergeCell ref="AW157:AW160"/>
    <mergeCell ref="AX157:AX160"/>
    <mergeCell ref="A162:A166"/>
    <mergeCell ref="P162:P166"/>
    <mergeCell ref="Q162:Q166"/>
    <mergeCell ref="R162:R166"/>
    <mergeCell ref="S162:S166"/>
    <mergeCell ref="CC157:CC160"/>
    <mergeCell ref="CD157:CD160"/>
    <mergeCell ref="CE157:CE160"/>
    <mergeCell ref="CF157:CF160"/>
    <mergeCell ref="CG157:CG160"/>
    <mergeCell ref="CH157:CH160"/>
    <mergeCell ref="BW157:BW160"/>
    <mergeCell ref="BX157:BX160"/>
    <mergeCell ref="BY157:BY160"/>
    <mergeCell ref="BZ157:BZ160"/>
    <mergeCell ref="CA157:CA160"/>
    <mergeCell ref="CB157:CB160"/>
    <mergeCell ref="BQ157:BQ160"/>
    <mergeCell ref="BR157:BR160"/>
    <mergeCell ref="BS157:BS160"/>
    <mergeCell ref="BT157:BT160"/>
    <mergeCell ref="BU157:BU160"/>
    <mergeCell ref="BV157:BV160"/>
    <mergeCell ref="BK157:BK160"/>
    <mergeCell ref="BL157:BL160"/>
    <mergeCell ref="BM157:BM160"/>
    <mergeCell ref="BN157:BN160"/>
    <mergeCell ref="BO157:BO160"/>
    <mergeCell ref="BP157:BP160"/>
    <mergeCell ref="BE157:BE160"/>
    <mergeCell ref="BF157:BF160"/>
    <mergeCell ref="BG157:BG160"/>
    <mergeCell ref="AM157:AM160"/>
    <mergeCell ref="AN157:AN160"/>
    <mergeCell ref="AO157:AO160"/>
    <mergeCell ref="AP157:AP160"/>
    <mergeCell ref="AQ157:AQ160"/>
    <mergeCell ref="AR157:AR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U157:U160"/>
    <mergeCell ref="V157:V160"/>
    <mergeCell ref="W157:W160"/>
    <mergeCell ref="X157:X160"/>
    <mergeCell ref="Y157:Y160"/>
    <mergeCell ref="Z157:Z160"/>
    <mergeCell ref="A157:A160"/>
    <mergeCell ref="P157:P160"/>
    <mergeCell ref="Q157:Q160"/>
    <mergeCell ref="R157:R160"/>
    <mergeCell ref="S157:S160"/>
    <mergeCell ref="T157:T160"/>
    <mergeCell ref="CH151:CH155"/>
    <mergeCell ref="CI151:CI155"/>
    <mergeCell ref="CJ151:CJ155"/>
    <mergeCell ref="CK151:CK155"/>
    <mergeCell ref="CL151:CL155"/>
    <mergeCell ref="BJ151:BJ155"/>
    <mergeCell ref="BK151:BK155"/>
    <mergeCell ref="BL151:BL155"/>
    <mergeCell ref="BM151:BM155"/>
    <mergeCell ref="BN151:BN155"/>
    <mergeCell ref="BO151:BO155"/>
    <mergeCell ref="BD151:BD155"/>
    <mergeCell ref="BE151:BE155"/>
    <mergeCell ref="BF151:BF155"/>
    <mergeCell ref="BG151:BG155"/>
    <mergeCell ref="BH151:BH155"/>
    <mergeCell ref="BI151:BI155"/>
    <mergeCell ref="AX151:AX155"/>
    <mergeCell ref="AY151:AY155"/>
    <mergeCell ref="AZ151:AZ155"/>
    <mergeCell ref="CM151:CM155"/>
    <mergeCell ref="CB151:CB155"/>
    <mergeCell ref="CC151:CC155"/>
    <mergeCell ref="CD151:CD155"/>
    <mergeCell ref="CE151:CE155"/>
    <mergeCell ref="CF151:CF155"/>
    <mergeCell ref="CG151:CG155"/>
    <mergeCell ref="BV151:BV155"/>
    <mergeCell ref="BW151:BW155"/>
    <mergeCell ref="BX151:BX155"/>
    <mergeCell ref="BY151:BY155"/>
    <mergeCell ref="BZ151:BZ155"/>
    <mergeCell ref="CA151:CA155"/>
    <mergeCell ref="BP151:BP155"/>
    <mergeCell ref="BQ151:BQ155"/>
    <mergeCell ref="BR151:BR155"/>
    <mergeCell ref="BS151:BS155"/>
    <mergeCell ref="BT151:BT155"/>
    <mergeCell ref="BU151:BU155"/>
    <mergeCell ref="BA151:BA155"/>
    <mergeCell ref="BB151:BB155"/>
    <mergeCell ref="BC151:BC155"/>
    <mergeCell ref="AR151:AR155"/>
    <mergeCell ref="AS151:AS155"/>
    <mergeCell ref="AT151:AT155"/>
    <mergeCell ref="AU151:AU155"/>
    <mergeCell ref="AV151:AV155"/>
    <mergeCell ref="AW151:AW155"/>
    <mergeCell ref="AL151:AL155"/>
    <mergeCell ref="AM151:AM155"/>
    <mergeCell ref="AN151:AN155"/>
    <mergeCell ref="AO151:AO155"/>
    <mergeCell ref="AP151:AP155"/>
    <mergeCell ref="AQ151:AQ155"/>
    <mergeCell ref="AF151:AF155"/>
    <mergeCell ref="AG151:AG155"/>
    <mergeCell ref="AH151:AH155"/>
    <mergeCell ref="AI151:AI155"/>
    <mergeCell ref="AJ151:AJ155"/>
    <mergeCell ref="AK151:AK155"/>
    <mergeCell ref="Z151:Z155"/>
    <mergeCell ref="AA151:AA155"/>
    <mergeCell ref="AB151:AB155"/>
    <mergeCell ref="AC151:AC155"/>
    <mergeCell ref="AD151:AD155"/>
    <mergeCell ref="AE151:AE155"/>
    <mergeCell ref="T151:T155"/>
    <mergeCell ref="U151:U155"/>
    <mergeCell ref="V151:V155"/>
    <mergeCell ref="W151:W155"/>
    <mergeCell ref="X151:X155"/>
    <mergeCell ref="Y151:Y155"/>
    <mergeCell ref="CI148:CI150"/>
    <mergeCell ref="CJ148:CJ150"/>
    <mergeCell ref="CK148:CK150"/>
    <mergeCell ref="CL148:CL150"/>
    <mergeCell ref="CM148:CM150"/>
    <mergeCell ref="BH148:BH150"/>
    <mergeCell ref="BI148:BI150"/>
    <mergeCell ref="BJ148:BJ150"/>
    <mergeCell ref="AY148:AY150"/>
    <mergeCell ref="AZ148:AZ150"/>
    <mergeCell ref="BA148:BA150"/>
    <mergeCell ref="BB148:BB150"/>
    <mergeCell ref="BC148:BC150"/>
    <mergeCell ref="BD148:BD150"/>
    <mergeCell ref="AS148:AS150"/>
    <mergeCell ref="AT148:AT150"/>
    <mergeCell ref="AU148:AU150"/>
    <mergeCell ref="AV148:AV150"/>
    <mergeCell ref="AW148:AW150"/>
    <mergeCell ref="AX148:AX150"/>
    <mergeCell ref="A151:A155"/>
    <mergeCell ref="P151:P155"/>
    <mergeCell ref="Q151:Q155"/>
    <mergeCell ref="R151:R155"/>
    <mergeCell ref="S151:S155"/>
    <mergeCell ref="CC148:CC150"/>
    <mergeCell ref="CD148:CD150"/>
    <mergeCell ref="CE148:CE150"/>
    <mergeCell ref="CF148:CF150"/>
    <mergeCell ref="CG148:CG150"/>
    <mergeCell ref="CH148:CH150"/>
    <mergeCell ref="BW148:BW150"/>
    <mergeCell ref="BX148:BX150"/>
    <mergeCell ref="BY148:BY150"/>
    <mergeCell ref="BZ148:BZ150"/>
    <mergeCell ref="CA148:CA150"/>
    <mergeCell ref="CB148:CB150"/>
    <mergeCell ref="BQ148:BQ150"/>
    <mergeCell ref="BR148:BR150"/>
    <mergeCell ref="BS148:BS150"/>
    <mergeCell ref="BT148:BT150"/>
    <mergeCell ref="BU148:BU150"/>
    <mergeCell ref="BV148:BV150"/>
    <mergeCell ref="BK148:BK150"/>
    <mergeCell ref="BL148:BL150"/>
    <mergeCell ref="BM148:BM150"/>
    <mergeCell ref="BN148:BN150"/>
    <mergeCell ref="BO148:BO150"/>
    <mergeCell ref="BP148:BP150"/>
    <mergeCell ref="BE148:BE150"/>
    <mergeCell ref="BF148:BF150"/>
    <mergeCell ref="BG148:BG150"/>
    <mergeCell ref="AM148:AM150"/>
    <mergeCell ref="AN148:AN150"/>
    <mergeCell ref="AO148:AO150"/>
    <mergeCell ref="AP148:AP150"/>
    <mergeCell ref="AQ148:AQ150"/>
    <mergeCell ref="AR148:AR150"/>
    <mergeCell ref="AG148:AG150"/>
    <mergeCell ref="AH148:AH150"/>
    <mergeCell ref="AI148:AI150"/>
    <mergeCell ref="AJ148:AJ150"/>
    <mergeCell ref="AK148:AK150"/>
    <mergeCell ref="AL148:AL150"/>
    <mergeCell ref="AA148:AA150"/>
    <mergeCell ref="AB148:AB150"/>
    <mergeCell ref="AC148:AC150"/>
    <mergeCell ref="AD148:AD150"/>
    <mergeCell ref="AE148:AE150"/>
    <mergeCell ref="AF148:AF150"/>
    <mergeCell ref="U148:U150"/>
    <mergeCell ref="V148:V150"/>
    <mergeCell ref="W148:W150"/>
    <mergeCell ref="X148:X150"/>
    <mergeCell ref="Y148:Y150"/>
    <mergeCell ref="Z148:Z150"/>
    <mergeCell ref="A148:A150"/>
    <mergeCell ref="P148:P150"/>
    <mergeCell ref="Q148:Q150"/>
    <mergeCell ref="R148:R150"/>
    <mergeCell ref="S148:S150"/>
    <mergeCell ref="T148:T150"/>
    <mergeCell ref="CH144:CH147"/>
    <mergeCell ref="CI144:CI147"/>
    <mergeCell ref="CJ144:CJ147"/>
    <mergeCell ref="CK144:CK147"/>
    <mergeCell ref="CL144:CL147"/>
    <mergeCell ref="BJ144:BJ147"/>
    <mergeCell ref="BK144:BK147"/>
    <mergeCell ref="BL144:BL147"/>
    <mergeCell ref="BM144:BM147"/>
    <mergeCell ref="BN144:BN147"/>
    <mergeCell ref="BO144:BO147"/>
    <mergeCell ref="BD144:BD147"/>
    <mergeCell ref="BE144:BE147"/>
    <mergeCell ref="BF144:BF147"/>
    <mergeCell ref="BG144:BG147"/>
    <mergeCell ref="BH144:BH147"/>
    <mergeCell ref="BI144:BI147"/>
    <mergeCell ref="AX144:AX147"/>
    <mergeCell ref="AY144:AY147"/>
    <mergeCell ref="AZ144:AZ147"/>
    <mergeCell ref="CM144:CM147"/>
    <mergeCell ref="CB144:CB147"/>
    <mergeCell ref="CC144:CC147"/>
    <mergeCell ref="CD144:CD147"/>
    <mergeCell ref="CE144:CE147"/>
    <mergeCell ref="CF144:CF147"/>
    <mergeCell ref="CG144:CG147"/>
    <mergeCell ref="BV144:BV147"/>
    <mergeCell ref="BW144:BW147"/>
    <mergeCell ref="BX144:BX147"/>
    <mergeCell ref="BY144:BY147"/>
    <mergeCell ref="BZ144:BZ147"/>
    <mergeCell ref="CA144:CA147"/>
    <mergeCell ref="BP144:BP147"/>
    <mergeCell ref="BQ144:BQ147"/>
    <mergeCell ref="BR144:BR147"/>
    <mergeCell ref="BS144:BS147"/>
    <mergeCell ref="BT144:BT147"/>
    <mergeCell ref="BU144:BU147"/>
    <mergeCell ref="BA144:BA147"/>
    <mergeCell ref="BB144:BB147"/>
    <mergeCell ref="BC144:BC147"/>
    <mergeCell ref="AR144:AR147"/>
    <mergeCell ref="AS144:AS147"/>
    <mergeCell ref="AT144:AT147"/>
    <mergeCell ref="AU144:AU147"/>
    <mergeCell ref="AV144:AV147"/>
    <mergeCell ref="AW144:AW147"/>
    <mergeCell ref="AL144:AL147"/>
    <mergeCell ref="AM144:AM147"/>
    <mergeCell ref="AN144:AN147"/>
    <mergeCell ref="AO144:AO147"/>
    <mergeCell ref="AP144:AP147"/>
    <mergeCell ref="AQ144:AQ147"/>
    <mergeCell ref="AF144:AF147"/>
    <mergeCell ref="AG144:AG147"/>
    <mergeCell ref="AH144:AH147"/>
    <mergeCell ref="AI144:AI147"/>
    <mergeCell ref="AJ144:AJ147"/>
    <mergeCell ref="AK144:AK147"/>
    <mergeCell ref="Z144:Z147"/>
    <mergeCell ref="AA144:AA147"/>
    <mergeCell ref="AB144:AB147"/>
    <mergeCell ref="AC144:AC147"/>
    <mergeCell ref="AD144:AD147"/>
    <mergeCell ref="AE144:AE147"/>
    <mergeCell ref="T144:T147"/>
    <mergeCell ref="U144:U147"/>
    <mergeCell ref="V144:V147"/>
    <mergeCell ref="W144:W147"/>
    <mergeCell ref="X144:X147"/>
    <mergeCell ref="Y144:Y147"/>
    <mergeCell ref="CI141:CI142"/>
    <mergeCell ref="CJ141:CJ142"/>
    <mergeCell ref="CK141:CK142"/>
    <mergeCell ref="CL141:CL142"/>
    <mergeCell ref="CM141:CM142"/>
    <mergeCell ref="BH141:BH142"/>
    <mergeCell ref="BI141:BI142"/>
    <mergeCell ref="BJ141:BJ142"/>
    <mergeCell ref="AY141:AY142"/>
    <mergeCell ref="AZ141:AZ142"/>
    <mergeCell ref="BA141:BA142"/>
    <mergeCell ref="BB141:BB142"/>
    <mergeCell ref="BC141:BC142"/>
    <mergeCell ref="BD141:BD142"/>
    <mergeCell ref="AS141:AS142"/>
    <mergeCell ref="AT141:AT142"/>
    <mergeCell ref="AU141:AU142"/>
    <mergeCell ref="AV141:AV142"/>
    <mergeCell ref="AW141:AW142"/>
    <mergeCell ref="AX141:AX142"/>
    <mergeCell ref="A144:A147"/>
    <mergeCell ref="P144:P147"/>
    <mergeCell ref="Q144:Q147"/>
    <mergeCell ref="R144:R147"/>
    <mergeCell ref="S144:S147"/>
    <mergeCell ref="CC141:CC142"/>
    <mergeCell ref="CD141:CD142"/>
    <mergeCell ref="CE141:CE142"/>
    <mergeCell ref="CF141:CF142"/>
    <mergeCell ref="CG141:CG142"/>
    <mergeCell ref="CH141:CH142"/>
    <mergeCell ref="BW141:BW142"/>
    <mergeCell ref="BX141:BX142"/>
    <mergeCell ref="BY141:BY142"/>
    <mergeCell ref="BZ141:BZ142"/>
    <mergeCell ref="CA141:CA142"/>
    <mergeCell ref="CB141:CB142"/>
    <mergeCell ref="BQ141:BQ142"/>
    <mergeCell ref="BR141:BR142"/>
    <mergeCell ref="BS141:BS142"/>
    <mergeCell ref="BT141:BT142"/>
    <mergeCell ref="BU141:BU142"/>
    <mergeCell ref="BV141:BV142"/>
    <mergeCell ref="BK141:BK142"/>
    <mergeCell ref="BL141:BL142"/>
    <mergeCell ref="BM141:BM142"/>
    <mergeCell ref="BN141:BN142"/>
    <mergeCell ref="BO141:BO142"/>
    <mergeCell ref="BP141:BP142"/>
    <mergeCell ref="BE141:BE142"/>
    <mergeCell ref="BF141:BF142"/>
    <mergeCell ref="BG141:BG142"/>
    <mergeCell ref="AM141:AM142"/>
    <mergeCell ref="AN141:AN142"/>
    <mergeCell ref="AO141:AO142"/>
    <mergeCell ref="AP141:AP142"/>
    <mergeCell ref="AQ141:AQ142"/>
    <mergeCell ref="AR141:AR142"/>
    <mergeCell ref="AG141:AG142"/>
    <mergeCell ref="AH141:AH142"/>
    <mergeCell ref="AI141:AI142"/>
    <mergeCell ref="AJ141:AJ142"/>
    <mergeCell ref="AK141:AK142"/>
    <mergeCell ref="AL141:AL142"/>
    <mergeCell ref="AA141:AA142"/>
    <mergeCell ref="AB141:AB142"/>
    <mergeCell ref="AC141:AC142"/>
    <mergeCell ref="AD141:AD142"/>
    <mergeCell ref="AE141:AE142"/>
    <mergeCell ref="AF141:AF142"/>
    <mergeCell ref="U141:U142"/>
    <mergeCell ref="V141:V142"/>
    <mergeCell ref="W141:W142"/>
    <mergeCell ref="X141:X142"/>
    <mergeCell ref="Y141:Y142"/>
    <mergeCell ref="Z141:Z142"/>
    <mergeCell ref="A141:A142"/>
    <mergeCell ref="P141:P142"/>
    <mergeCell ref="Q141:Q142"/>
    <mergeCell ref="R141:R142"/>
    <mergeCell ref="S141:S142"/>
    <mergeCell ref="T141:T142"/>
    <mergeCell ref="CH139:CH140"/>
    <mergeCell ref="CI139:CI140"/>
    <mergeCell ref="CJ139:CJ140"/>
    <mergeCell ref="CK139:CK140"/>
    <mergeCell ref="CL139:CL140"/>
    <mergeCell ref="BJ139:BJ140"/>
    <mergeCell ref="BK139:BK140"/>
    <mergeCell ref="BL139:BL140"/>
    <mergeCell ref="BM139:BM140"/>
    <mergeCell ref="BN139:BN140"/>
    <mergeCell ref="BO139:BO140"/>
    <mergeCell ref="BD139:BD140"/>
    <mergeCell ref="BE139:BE140"/>
    <mergeCell ref="BF139:BF140"/>
    <mergeCell ref="BG139:BG140"/>
    <mergeCell ref="BH139:BH140"/>
    <mergeCell ref="BI139:BI140"/>
    <mergeCell ref="AX139:AX140"/>
    <mergeCell ref="AY139:AY140"/>
    <mergeCell ref="AZ139:AZ140"/>
    <mergeCell ref="CM139:CM140"/>
    <mergeCell ref="CB139:CB140"/>
    <mergeCell ref="CC139:CC140"/>
    <mergeCell ref="CD139:CD140"/>
    <mergeCell ref="CE139:CE140"/>
    <mergeCell ref="CF139:CF140"/>
    <mergeCell ref="CG139:CG140"/>
    <mergeCell ref="BV139:BV140"/>
    <mergeCell ref="BW139:BW140"/>
    <mergeCell ref="BX139:BX140"/>
    <mergeCell ref="BY139:BY140"/>
    <mergeCell ref="BZ139:BZ140"/>
    <mergeCell ref="CA139:CA140"/>
    <mergeCell ref="BP139:BP140"/>
    <mergeCell ref="BQ139:BQ140"/>
    <mergeCell ref="BR139:BR140"/>
    <mergeCell ref="BS139:BS140"/>
    <mergeCell ref="BT139:BT140"/>
    <mergeCell ref="BU139:BU140"/>
    <mergeCell ref="BA139:BA140"/>
    <mergeCell ref="BB139:BB140"/>
    <mergeCell ref="BC139:BC140"/>
    <mergeCell ref="AR139:AR140"/>
    <mergeCell ref="AS139:AS140"/>
    <mergeCell ref="AT139:AT140"/>
    <mergeCell ref="AU139:AU140"/>
    <mergeCell ref="AV139:AV140"/>
    <mergeCell ref="AW139:AW140"/>
    <mergeCell ref="AL139:AL140"/>
    <mergeCell ref="AM139:AM140"/>
    <mergeCell ref="AN139:AN140"/>
    <mergeCell ref="AO139:AO140"/>
    <mergeCell ref="AP139:AP140"/>
    <mergeCell ref="AQ139:AQ140"/>
    <mergeCell ref="AF139:AF140"/>
    <mergeCell ref="AG139:AG140"/>
    <mergeCell ref="AH139:AH140"/>
    <mergeCell ref="AI139:AI140"/>
    <mergeCell ref="AJ139:AJ140"/>
    <mergeCell ref="AK139:AK140"/>
    <mergeCell ref="Z139:Z140"/>
    <mergeCell ref="AA139:AA140"/>
    <mergeCell ref="AB139:AB140"/>
    <mergeCell ref="AC139:AC140"/>
    <mergeCell ref="AD139:AD140"/>
    <mergeCell ref="AE139:AE140"/>
    <mergeCell ref="T139:T140"/>
    <mergeCell ref="U139:U140"/>
    <mergeCell ref="V139:V140"/>
    <mergeCell ref="W139:W140"/>
    <mergeCell ref="X139:X140"/>
    <mergeCell ref="Y139:Y140"/>
    <mergeCell ref="CI137:CI138"/>
    <mergeCell ref="CJ137:CJ138"/>
    <mergeCell ref="CK137:CK138"/>
    <mergeCell ref="CL137:CL138"/>
    <mergeCell ref="CM137:CM138"/>
    <mergeCell ref="BH137:BH138"/>
    <mergeCell ref="BI137:BI138"/>
    <mergeCell ref="BJ137:BJ138"/>
    <mergeCell ref="AY137:AY138"/>
    <mergeCell ref="AZ137:AZ138"/>
    <mergeCell ref="BA137:BA138"/>
    <mergeCell ref="BB137:BB138"/>
    <mergeCell ref="BC137:BC138"/>
    <mergeCell ref="BD137:BD138"/>
    <mergeCell ref="AS137:AS138"/>
    <mergeCell ref="AT137:AT138"/>
    <mergeCell ref="AU137:AU138"/>
    <mergeCell ref="AV137:AV138"/>
    <mergeCell ref="AW137:AW138"/>
    <mergeCell ref="AX137:AX138"/>
    <mergeCell ref="A139:A140"/>
    <mergeCell ref="P139:P140"/>
    <mergeCell ref="Q139:Q140"/>
    <mergeCell ref="R139:R140"/>
    <mergeCell ref="S139:S140"/>
    <mergeCell ref="CC137:CC138"/>
    <mergeCell ref="CD137:CD138"/>
    <mergeCell ref="CE137:CE138"/>
    <mergeCell ref="CF137:CF138"/>
    <mergeCell ref="CG137:CG138"/>
    <mergeCell ref="CH137:CH138"/>
    <mergeCell ref="BW137:BW138"/>
    <mergeCell ref="BX137:BX138"/>
    <mergeCell ref="BY137:BY138"/>
    <mergeCell ref="BZ137:BZ138"/>
    <mergeCell ref="CA137:CA138"/>
    <mergeCell ref="CB137:CB138"/>
    <mergeCell ref="BQ137:BQ138"/>
    <mergeCell ref="BR137:BR138"/>
    <mergeCell ref="BS137:BS138"/>
    <mergeCell ref="BT137:BT138"/>
    <mergeCell ref="BU137:BU138"/>
    <mergeCell ref="BV137:BV138"/>
    <mergeCell ref="BK137:BK138"/>
    <mergeCell ref="BL137:BL138"/>
    <mergeCell ref="BM137:BM138"/>
    <mergeCell ref="BN137:BN138"/>
    <mergeCell ref="BO137:BO138"/>
    <mergeCell ref="BP137:BP138"/>
    <mergeCell ref="BE137:BE138"/>
    <mergeCell ref="BF137:BF138"/>
    <mergeCell ref="BG137:BG138"/>
    <mergeCell ref="AM137:AM138"/>
    <mergeCell ref="AN137:AN138"/>
    <mergeCell ref="AO137:AO138"/>
    <mergeCell ref="AP137:AP138"/>
    <mergeCell ref="AQ137:AQ138"/>
    <mergeCell ref="AR137:AR138"/>
    <mergeCell ref="AG137:AG138"/>
    <mergeCell ref="AH137:AH138"/>
    <mergeCell ref="AI137:AI138"/>
    <mergeCell ref="AJ137:AJ138"/>
    <mergeCell ref="AK137:AK138"/>
    <mergeCell ref="AL137:AL138"/>
    <mergeCell ref="AA137:AA138"/>
    <mergeCell ref="AB137:AB138"/>
    <mergeCell ref="AC137:AC138"/>
    <mergeCell ref="AD137:AD138"/>
    <mergeCell ref="AE137:AE138"/>
    <mergeCell ref="AF137:AF138"/>
    <mergeCell ref="U137:U138"/>
    <mergeCell ref="V137:V138"/>
    <mergeCell ref="W137:W138"/>
    <mergeCell ref="X137:X138"/>
    <mergeCell ref="Y137:Y138"/>
    <mergeCell ref="Z137:Z138"/>
    <mergeCell ref="CJ132:CJ136"/>
    <mergeCell ref="CK132:CK136"/>
    <mergeCell ref="CL132:CL136"/>
    <mergeCell ref="CM132:CM136"/>
    <mergeCell ref="A137:A138"/>
    <mergeCell ref="P137:P138"/>
    <mergeCell ref="Q137:Q138"/>
    <mergeCell ref="R137:R138"/>
    <mergeCell ref="S137:S138"/>
    <mergeCell ref="T137:T138"/>
    <mergeCell ref="CD132:CD136"/>
    <mergeCell ref="CE132:CE136"/>
    <mergeCell ref="CF132:CF136"/>
    <mergeCell ref="CG132:CG136"/>
    <mergeCell ref="CH132:CH136"/>
    <mergeCell ref="CI132:CI136"/>
    <mergeCell ref="BX132:BX136"/>
    <mergeCell ref="BY132:BY136"/>
    <mergeCell ref="BZ132:BZ136"/>
    <mergeCell ref="CA132:CA136"/>
    <mergeCell ref="CB132:CB136"/>
    <mergeCell ref="CC132:CC136"/>
    <mergeCell ref="BR132:BR136"/>
    <mergeCell ref="BS132:BS136"/>
    <mergeCell ref="BT132:BT136"/>
    <mergeCell ref="BU132:BU136"/>
    <mergeCell ref="BV132:BV136"/>
    <mergeCell ref="BW132:BW136"/>
    <mergeCell ref="BL132:BL136"/>
    <mergeCell ref="BM132:BM136"/>
    <mergeCell ref="BN132:BN136"/>
    <mergeCell ref="BO132:BO136"/>
    <mergeCell ref="BP132:BP136"/>
    <mergeCell ref="BQ132:BQ136"/>
    <mergeCell ref="BF132:BF136"/>
    <mergeCell ref="BG132:BG136"/>
    <mergeCell ref="BH132:BH136"/>
    <mergeCell ref="BI132:BI136"/>
    <mergeCell ref="BJ132:BJ136"/>
    <mergeCell ref="BK132:BK136"/>
    <mergeCell ref="AZ132:AZ136"/>
    <mergeCell ref="BA132:BA136"/>
    <mergeCell ref="BB132:BB136"/>
    <mergeCell ref="BC132:BC136"/>
    <mergeCell ref="BD132:BD136"/>
    <mergeCell ref="BE132:BE136"/>
    <mergeCell ref="AT132:AT136"/>
    <mergeCell ref="AU132:AU136"/>
    <mergeCell ref="AV132:AV136"/>
    <mergeCell ref="AW132:AW136"/>
    <mergeCell ref="AX132:AX136"/>
    <mergeCell ref="AY132:AY136"/>
    <mergeCell ref="AN132:AN136"/>
    <mergeCell ref="AO132:AO136"/>
    <mergeCell ref="AP132:AP136"/>
    <mergeCell ref="AQ132:AQ136"/>
    <mergeCell ref="AR132:AR136"/>
    <mergeCell ref="AS132:AS136"/>
    <mergeCell ref="AH132:AH136"/>
    <mergeCell ref="AI132:AI136"/>
    <mergeCell ref="AJ132:AJ136"/>
    <mergeCell ref="AK132:AK136"/>
    <mergeCell ref="AL132:AL136"/>
    <mergeCell ref="AM132:AM136"/>
    <mergeCell ref="AB132:AB136"/>
    <mergeCell ref="AC132:AC136"/>
    <mergeCell ref="AD132:AD136"/>
    <mergeCell ref="AE132:AE136"/>
    <mergeCell ref="AF132:AF136"/>
    <mergeCell ref="AG132:AG136"/>
    <mergeCell ref="V132:V136"/>
    <mergeCell ref="W132:W136"/>
    <mergeCell ref="X132:X136"/>
    <mergeCell ref="Y132:Y136"/>
    <mergeCell ref="Z132:Z136"/>
    <mergeCell ref="AA132:AA136"/>
    <mergeCell ref="P132:P136"/>
    <mergeCell ref="Q132:Q136"/>
    <mergeCell ref="R132:R136"/>
    <mergeCell ref="S132:S136"/>
    <mergeCell ref="T132:T136"/>
    <mergeCell ref="U132:U136"/>
    <mergeCell ref="J125:J131"/>
    <mergeCell ref="K125:K131"/>
    <mergeCell ref="L125:L131"/>
    <mergeCell ref="M125:M131"/>
    <mergeCell ref="N125:N131"/>
    <mergeCell ref="A132:A136"/>
    <mergeCell ref="CK124:CK131"/>
    <mergeCell ref="CL124:CL131"/>
    <mergeCell ref="CM124:CM131"/>
    <mergeCell ref="C125:C131"/>
    <mergeCell ref="D125:D131"/>
    <mergeCell ref="E125:E131"/>
    <mergeCell ref="F125:F131"/>
    <mergeCell ref="G125:G131"/>
    <mergeCell ref="H125:H131"/>
    <mergeCell ref="I125:I131"/>
    <mergeCell ref="CE124:CE131"/>
    <mergeCell ref="CF124:CF131"/>
    <mergeCell ref="CG124:CG131"/>
    <mergeCell ref="CH124:CH131"/>
    <mergeCell ref="CI124:CI131"/>
    <mergeCell ref="CJ124:CJ131"/>
    <mergeCell ref="BY124:BY131"/>
    <mergeCell ref="BZ124:BZ131"/>
    <mergeCell ref="CA124:CA131"/>
    <mergeCell ref="CB124:CB131"/>
    <mergeCell ref="CC124:CC131"/>
    <mergeCell ref="CD124:CD131"/>
    <mergeCell ref="BS124:BS131"/>
    <mergeCell ref="BT124:BT131"/>
    <mergeCell ref="BU124:BU131"/>
    <mergeCell ref="BV124:BV131"/>
    <mergeCell ref="BW124:BW131"/>
    <mergeCell ref="BX124:BX131"/>
    <mergeCell ref="BL124:BL131"/>
    <mergeCell ref="BM124:BM131"/>
    <mergeCell ref="BN124:BN131"/>
    <mergeCell ref="BO124:BO131"/>
    <mergeCell ref="BQ124:BQ131"/>
    <mergeCell ref="BR124:BR131"/>
    <mergeCell ref="BF124:BF131"/>
    <mergeCell ref="BG124:BG131"/>
    <mergeCell ref="BH124:BH131"/>
    <mergeCell ref="BI124:BI131"/>
    <mergeCell ref="BJ124:BJ131"/>
    <mergeCell ref="BK124:BK131"/>
    <mergeCell ref="AK124:AK131"/>
    <mergeCell ref="AL124:AL131"/>
    <mergeCell ref="AM124:AM131"/>
    <mergeCell ref="BC124:BC131"/>
    <mergeCell ref="BD124:BD131"/>
    <mergeCell ref="BE124:BE131"/>
    <mergeCell ref="AE124:AE131"/>
    <mergeCell ref="AF124:AF131"/>
    <mergeCell ref="AG124:AG131"/>
    <mergeCell ref="AH124:AH131"/>
    <mergeCell ref="AI124:AI131"/>
    <mergeCell ref="AJ124:AJ131"/>
    <mergeCell ref="Y124:Y131"/>
    <mergeCell ref="Z124:Z131"/>
    <mergeCell ref="AA124:AA131"/>
    <mergeCell ref="AB124:AB131"/>
    <mergeCell ref="AC124:AC131"/>
    <mergeCell ref="AD124:AD131"/>
    <mergeCell ref="S124:S131"/>
    <mergeCell ref="T124:T131"/>
    <mergeCell ref="U124:U131"/>
    <mergeCell ref="V124:V131"/>
    <mergeCell ref="W124:W131"/>
    <mergeCell ref="X124:X131"/>
    <mergeCell ref="CI122:CI123"/>
    <mergeCell ref="CJ122:CJ123"/>
    <mergeCell ref="CK122:CK123"/>
    <mergeCell ref="CL122:CL123"/>
    <mergeCell ref="CM122:CM123"/>
    <mergeCell ref="A124:A131"/>
    <mergeCell ref="O124:O131"/>
    <mergeCell ref="P124:P131"/>
    <mergeCell ref="Q124:Q131"/>
    <mergeCell ref="R124:R131"/>
    <mergeCell ref="CC122:CC123"/>
    <mergeCell ref="CD122:CD123"/>
    <mergeCell ref="CE122:CE123"/>
    <mergeCell ref="CF122:CF123"/>
    <mergeCell ref="CG122:CG123"/>
    <mergeCell ref="CH122:CH123"/>
    <mergeCell ref="BW122:BW123"/>
    <mergeCell ref="BX122:BX123"/>
    <mergeCell ref="BY122:BY123"/>
    <mergeCell ref="BZ122:BZ123"/>
    <mergeCell ref="CA122:CA123"/>
    <mergeCell ref="CB122:CB123"/>
    <mergeCell ref="BQ122:BQ123"/>
    <mergeCell ref="BR122:BR123"/>
    <mergeCell ref="BS122:BS123"/>
    <mergeCell ref="BT122:BT123"/>
    <mergeCell ref="BU122:BU123"/>
    <mergeCell ref="BV122:BV123"/>
    <mergeCell ref="BK122:BK123"/>
    <mergeCell ref="BL122:BL123"/>
    <mergeCell ref="BM122:BM123"/>
    <mergeCell ref="BN122:BN123"/>
    <mergeCell ref="BO122:BO123"/>
    <mergeCell ref="BP122:BP123"/>
    <mergeCell ref="BE122:BE123"/>
    <mergeCell ref="BF122:BF123"/>
    <mergeCell ref="BG122:BG123"/>
    <mergeCell ref="BH122:BH123"/>
    <mergeCell ref="BI122:BI123"/>
    <mergeCell ref="BJ122:BJ123"/>
    <mergeCell ref="AY122:AY123"/>
    <mergeCell ref="AZ122:AZ123"/>
    <mergeCell ref="BA122:BA123"/>
    <mergeCell ref="BB122:BB123"/>
    <mergeCell ref="BC122:BC123"/>
    <mergeCell ref="BD122:BD123"/>
    <mergeCell ref="AS122:AS123"/>
    <mergeCell ref="AT122:AT123"/>
    <mergeCell ref="AU122:AU123"/>
    <mergeCell ref="AV122:AV123"/>
    <mergeCell ref="AW122:AW123"/>
    <mergeCell ref="AX122:AX123"/>
    <mergeCell ref="AM122:AM123"/>
    <mergeCell ref="AN122:AN123"/>
    <mergeCell ref="AO122:AO123"/>
    <mergeCell ref="AP122:AP123"/>
    <mergeCell ref="AQ122:AQ123"/>
    <mergeCell ref="AR122:AR123"/>
    <mergeCell ref="AG122:AG123"/>
    <mergeCell ref="AH122:AH123"/>
    <mergeCell ref="AI122:AI123"/>
    <mergeCell ref="AJ122:AJ123"/>
    <mergeCell ref="AK122:AK123"/>
    <mergeCell ref="AL122:AL123"/>
    <mergeCell ref="AA122:AA123"/>
    <mergeCell ref="AB122:AB123"/>
    <mergeCell ref="AC122:AC123"/>
    <mergeCell ref="AD122:AD123"/>
    <mergeCell ref="AE122:AE123"/>
    <mergeCell ref="AF122:AF123"/>
    <mergeCell ref="U122:U123"/>
    <mergeCell ref="V122:V123"/>
    <mergeCell ref="W122:W123"/>
    <mergeCell ref="X122:X123"/>
    <mergeCell ref="Y122:Y123"/>
    <mergeCell ref="Z122:Z123"/>
    <mergeCell ref="A122:A123"/>
    <mergeCell ref="P122:P123"/>
    <mergeCell ref="Q122:Q123"/>
    <mergeCell ref="R122:R123"/>
    <mergeCell ref="S122:S123"/>
    <mergeCell ref="T122:T123"/>
    <mergeCell ref="CH120:CH121"/>
    <mergeCell ref="CI120:CI121"/>
    <mergeCell ref="CJ120:CJ121"/>
    <mergeCell ref="CK120:CK121"/>
    <mergeCell ref="CL120:CL121"/>
    <mergeCell ref="BJ120:BJ121"/>
    <mergeCell ref="BK120:BK121"/>
    <mergeCell ref="BL120:BL121"/>
    <mergeCell ref="BM120:BM121"/>
    <mergeCell ref="BN120:BN121"/>
    <mergeCell ref="BO120:BO121"/>
    <mergeCell ref="BD120:BD121"/>
    <mergeCell ref="BE120:BE121"/>
    <mergeCell ref="BF120:BF121"/>
    <mergeCell ref="BG120:BG121"/>
    <mergeCell ref="BH120:BH121"/>
    <mergeCell ref="BI120:BI121"/>
    <mergeCell ref="AX120:AX121"/>
    <mergeCell ref="AY120:AY121"/>
    <mergeCell ref="AZ120:AZ121"/>
    <mergeCell ref="CM120:CM121"/>
    <mergeCell ref="CB120:CB121"/>
    <mergeCell ref="CC120:CC121"/>
    <mergeCell ref="CD120:CD121"/>
    <mergeCell ref="CE120:CE121"/>
    <mergeCell ref="CF120:CF121"/>
    <mergeCell ref="CG120:CG121"/>
    <mergeCell ref="BV120:BV121"/>
    <mergeCell ref="BW120:BW121"/>
    <mergeCell ref="BX120:BX121"/>
    <mergeCell ref="BY120:BY121"/>
    <mergeCell ref="BZ120:BZ121"/>
    <mergeCell ref="CA120:CA121"/>
    <mergeCell ref="BP120:BP121"/>
    <mergeCell ref="BQ120:BQ121"/>
    <mergeCell ref="BR120:BR121"/>
    <mergeCell ref="BS120:BS121"/>
    <mergeCell ref="BT120:BT121"/>
    <mergeCell ref="BU120:BU121"/>
    <mergeCell ref="BA120:BA121"/>
    <mergeCell ref="BB120:BB121"/>
    <mergeCell ref="BC120:BC121"/>
    <mergeCell ref="AR120:AR121"/>
    <mergeCell ref="AS120:AS121"/>
    <mergeCell ref="AT120:AT121"/>
    <mergeCell ref="AU120:AU121"/>
    <mergeCell ref="AV120:AV121"/>
    <mergeCell ref="AW120:AW121"/>
    <mergeCell ref="AL120:AL121"/>
    <mergeCell ref="AM120:AM121"/>
    <mergeCell ref="AN120:AN121"/>
    <mergeCell ref="AO120:AO121"/>
    <mergeCell ref="AP120:AP121"/>
    <mergeCell ref="AQ120:AQ121"/>
    <mergeCell ref="AF120:AF121"/>
    <mergeCell ref="AG120:AG121"/>
    <mergeCell ref="AH120:AH121"/>
    <mergeCell ref="AI120:AI121"/>
    <mergeCell ref="AJ120:AJ121"/>
    <mergeCell ref="AK120:AK121"/>
    <mergeCell ref="Z120:Z121"/>
    <mergeCell ref="AA120:AA121"/>
    <mergeCell ref="AB120:AB121"/>
    <mergeCell ref="AC120:AC121"/>
    <mergeCell ref="AD120:AD121"/>
    <mergeCell ref="AE120:AE121"/>
    <mergeCell ref="T120:T121"/>
    <mergeCell ref="U120:U121"/>
    <mergeCell ref="V120:V121"/>
    <mergeCell ref="W120:W121"/>
    <mergeCell ref="X120:X121"/>
    <mergeCell ref="Y120:Y121"/>
    <mergeCell ref="CI118:CI119"/>
    <mergeCell ref="CJ118:CJ119"/>
    <mergeCell ref="CK118:CK119"/>
    <mergeCell ref="CL118:CL119"/>
    <mergeCell ref="CM118:CM119"/>
    <mergeCell ref="BH118:BH119"/>
    <mergeCell ref="BI118:BI119"/>
    <mergeCell ref="BJ118:BJ119"/>
    <mergeCell ref="AY118:AY119"/>
    <mergeCell ref="AZ118:AZ119"/>
    <mergeCell ref="BA118:BA119"/>
    <mergeCell ref="BB118:BB119"/>
    <mergeCell ref="BC118:BC119"/>
    <mergeCell ref="BD118:BD119"/>
    <mergeCell ref="AS118:AS119"/>
    <mergeCell ref="AT118:AT119"/>
    <mergeCell ref="AU118:AU119"/>
    <mergeCell ref="AV118:AV119"/>
    <mergeCell ref="AW118:AW119"/>
    <mergeCell ref="AX118:AX119"/>
    <mergeCell ref="A120:A121"/>
    <mergeCell ref="P120:P121"/>
    <mergeCell ref="Q120:Q121"/>
    <mergeCell ref="R120:R121"/>
    <mergeCell ref="S120:S121"/>
    <mergeCell ref="CC118:CC119"/>
    <mergeCell ref="CD118:CD119"/>
    <mergeCell ref="CE118:CE119"/>
    <mergeCell ref="CF118:CF119"/>
    <mergeCell ref="CG118:CG119"/>
    <mergeCell ref="CH118:CH119"/>
    <mergeCell ref="BW118:BW119"/>
    <mergeCell ref="BX118:BX119"/>
    <mergeCell ref="BY118:BY119"/>
    <mergeCell ref="BZ118:BZ119"/>
    <mergeCell ref="CA118:CA119"/>
    <mergeCell ref="CB118:CB119"/>
    <mergeCell ref="BQ118:BQ119"/>
    <mergeCell ref="BR118:BR119"/>
    <mergeCell ref="BS118:BS119"/>
    <mergeCell ref="BT118:BT119"/>
    <mergeCell ref="BU118:BU119"/>
    <mergeCell ref="BV118:BV119"/>
    <mergeCell ref="BK118:BK119"/>
    <mergeCell ref="BL118:BL119"/>
    <mergeCell ref="BM118:BM119"/>
    <mergeCell ref="BN118:BN119"/>
    <mergeCell ref="BO118:BO119"/>
    <mergeCell ref="BP118:BP119"/>
    <mergeCell ref="BE118:BE119"/>
    <mergeCell ref="BF118:BF119"/>
    <mergeCell ref="BG118:BG119"/>
    <mergeCell ref="AM118:AM119"/>
    <mergeCell ref="AN118:AN119"/>
    <mergeCell ref="AO118:AO119"/>
    <mergeCell ref="AP118:AP119"/>
    <mergeCell ref="AQ118:AQ119"/>
    <mergeCell ref="AR118:AR119"/>
    <mergeCell ref="AG118:AG119"/>
    <mergeCell ref="AH118:AH119"/>
    <mergeCell ref="AI118:AI119"/>
    <mergeCell ref="AJ118:AJ119"/>
    <mergeCell ref="AK118:AK119"/>
    <mergeCell ref="AL118:AL119"/>
    <mergeCell ref="AA118:AA119"/>
    <mergeCell ref="AB118:AB119"/>
    <mergeCell ref="AC118:AC119"/>
    <mergeCell ref="AD118:AD119"/>
    <mergeCell ref="AE118:AE119"/>
    <mergeCell ref="AF118:AF119"/>
    <mergeCell ref="U118:U119"/>
    <mergeCell ref="V118:V119"/>
    <mergeCell ref="W118:W119"/>
    <mergeCell ref="X118:X119"/>
    <mergeCell ref="Y118:Y119"/>
    <mergeCell ref="Z118:Z119"/>
    <mergeCell ref="CJ116:CJ117"/>
    <mergeCell ref="CK116:CK117"/>
    <mergeCell ref="CL116:CL117"/>
    <mergeCell ref="CM116:CM117"/>
    <mergeCell ref="A118:A119"/>
    <mergeCell ref="P118:P119"/>
    <mergeCell ref="Q118:Q119"/>
    <mergeCell ref="R118:R119"/>
    <mergeCell ref="S118:S119"/>
    <mergeCell ref="T118:T119"/>
    <mergeCell ref="CD116:CD117"/>
    <mergeCell ref="CE116:CE117"/>
    <mergeCell ref="CF116:CF117"/>
    <mergeCell ref="CG116:CG117"/>
    <mergeCell ref="CH116:CH117"/>
    <mergeCell ref="CI116:CI117"/>
    <mergeCell ref="BX116:BX117"/>
    <mergeCell ref="BY116:BY117"/>
    <mergeCell ref="BZ116:BZ117"/>
    <mergeCell ref="CA116:CA117"/>
    <mergeCell ref="CB116:CB117"/>
    <mergeCell ref="CC116:CC117"/>
    <mergeCell ref="BR116:BR117"/>
    <mergeCell ref="BS116:BS117"/>
    <mergeCell ref="BT116:BT117"/>
    <mergeCell ref="BU116:BU117"/>
    <mergeCell ref="BV116:BV117"/>
    <mergeCell ref="BW116:BW117"/>
    <mergeCell ref="BL116:BL117"/>
    <mergeCell ref="BM116:BM117"/>
    <mergeCell ref="BN116:BN117"/>
    <mergeCell ref="BO116:BO117"/>
    <mergeCell ref="BP116:BP117"/>
    <mergeCell ref="BQ116:BQ117"/>
    <mergeCell ref="BF116:BF117"/>
    <mergeCell ref="BG116:BG117"/>
    <mergeCell ref="BH116:BH117"/>
    <mergeCell ref="BI116:BI117"/>
    <mergeCell ref="BJ116:BJ117"/>
    <mergeCell ref="BK116:BK117"/>
    <mergeCell ref="AZ116:AZ117"/>
    <mergeCell ref="BA116:BA117"/>
    <mergeCell ref="BB116:BB117"/>
    <mergeCell ref="BC116:BC117"/>
    <mergeCell ref="BD116:BD117"/>
    <mergeCell ref="BE116:BE117"/>
    <mergeCell ref="AT116:AT117"/>
    <mergeCell ref="AU116:AU117"/>
    <mergeCell ref="AV116:AV117"/>
    <mergeCell ref="AW116:AW117"/>
    <mergeCell ref="AX116:AX117"/>
    <mergeCell ref="AY116:AY117"/>
    <mergeCell ref="AN116:AN117"/>
    <mergeCell ref="AO116:AO117"/>
    <mergeCell ref="AP116:AP117"/>
    <mergeCell ref="AQ116:AQ117"/>
    <mergeCell ref="AR116:AR117"/>
    <mergeCell ref="AS116:AS117"/>
    <mergeCell ref="AH116:AH117"/>
    <mergeCell ref="AI116:AI117"/>
    <mergeCell ref="AJ116:AJ117"/>
    <mergeCell ref="AK116:AK117"/>
    <mergeCell ref="AL116:AL117"/>
    <mergeCell ref="AM116:AM117"/>
    <mergeCell ref="AB116:AB117"/>
    <mergeCell ref="AC116:AC117"/>
    <mergeCell ref="AD116:AD117"/>
    <mergeCell ref="AE116:AE117"/>
    <mergeCell ref="AF116:AF117"/>
    <mergeCell ref="AG116:AG117"/>
    <mergeCell ref="V116:V117"/>
    <mergeCell ref="W116:W117"/>
    <mergeCell ref="X116:X117"/>
    <mergeCell ref="Y116:Y117"/>
    <mergeCell ref="Z116:Z117"/>
    <mergeCell ref="AA116:AA117"/>
    <mergeCell ref="CK113:CK115"/>
    <mergeCell ref="CL113:CL115"/>
    <mergeCell ref="CM113:CM115"/>
    <mergeCell ref="A116:A117"/>
    <mergeCell ref="P116:P117"/>
    <mergeCell ref="Q116:Q117"/>
    <mergeCell ref="R116:R117"/>
    <mergeCell ref="S116:S117"/>
    <mergeCell ref="T116:T117"/>
    <mergeCell ref="U116:U117"/>
    <mergeCell ref="CE113:CE115"/>
    <mergeCell ref="CF113:CF115"/>
    <mergeCell ref="CG113:CG115"/>
    <mergeCell ref="CH113:CH115"/>
    <mergeCell ref="CI113:CI115"/>
    <mergeCell ref="CJ113:CJ115"/>
    <mergeCell ref="BY113:BY115"/>
    <mergeCell ref="BZ113:BZ115"/>
    <mergeCell ref="CA113:CA115"/>
    <mergeCell ref="CB113:CB115"/>
    <mergeCell ref="CC113:CC115"/>
    <mergeCell ref="CD113:CD115"/>
    <mergeCell ref="BS113:BS115"/>
    <mergeCell ref="BT113:BT115"/>
    <mergeCell ref="BU113:BU115"/>
    <mergeCell ref="BV113:BV115"/>
    <mergeCell ref="BW113:BW115"/>
    <mergeCell ref="BX113:BX115"/>
    <mergeCell ref="BM113:BM115"/>
    <mergeCell ref="BN113:BN115"/>
    <mergeCell ref="BO113:BO115"/>
    <mergeCell ref="BP113:BP115"/>
    <mergeCell ref="BQ113:BQ115"/>
    <mergeCell ref="BR113:BR115"/>
    <mergeCell ref="BG113:BG115"/>
    <mergeCell ref="BH113:BH115"/>
    <mergeCell ref="BI113:BI115"/>
    <mergeCell ref="BJ113:BJ115"/>
    <mergeCell ref="BK113:BK115"/>
    <mergeCell ref="BL113:BL115"/>
    <mergeCell ref="BA113:BA115"/>
    <mergeCell ref="BB113:BB115"/>
    <mergeCell ref="BC113:BC115"/>
    <mergeCell ref="BD113:BD115"/>
    <mergeCell ref="BE113:BE115"/>
    <mergeCell ref="BF113:BF115"/>
    <mergeCell ref="AU113:AU115"/>
    <mergeCell ref="AV113:AV115"/>
    <mergeCell ref="AW113:AW115"/>
    <mergeCell ref="AX113:AX115"/>
    <mergeCell ref="AY113:AY115"/>
    <mergeCell ref="AZ113:AZ115"/>
    <mergeCell ref="AO113:AO115"/>
    <mergeCell ref="AP113:AP115"/>
    <mergeCell ref="AQ113:AQ115"/>
    <mergeCell ref="AR113:AR115"/>
    <mergeCell ref="AS113:AS115"/>
    <mergeCell ref="AT113:AT115"/>
    <mergeCell ref="AI113:AI115"/>
    <mergeCell ref="AJ113:AJ115"/>
    <mergeCell ref="AK113:AK115"/>
    <mergeCell ref="AL113:AL115"/>
    <mergeCell ref="AM113:AM115"/>
    <mergeCell ref="AN113:AN115"/>
    <mergeCell ref="AC113:AC115"/>
    <mergeCell ref="AD113:AD115"/>
    <mergeCell ref="AE113:AE115"/>
    <mergeCell ref="AF113:AF115"/>
    <mergeCell ref="AG113:AG115"/>
    <mergeCell ref="AH113:AH115"/>
    <mergeCell ref="W113:W115"/>
    <mergeCell ref="X113:X115"/>
    <mergeCell ref="Y113:Y115"/>
    <mergeCell ref="Z113:Z115"/>
    <mergeCell ref="AA113:AA115"/>
    <mergeCell ref="AB113:AB115"/>
    <mergeCell ref="CL110:CL112"/>
    <mergeCell ref="CM110:CM112"/>
    <mergeCell ref="A113:A115"/>
    <mergeCell ref="P113:P115"/>
    <mergeCell ref="Q113:Q115"/>
    <mergeCell ref="R113:R115"/>
    <mergeCell ref="S113:S115"/>
    <mergeCell ref="T113:T115"/>
    <mergeCell ref="U113:U115"/>
    <mergeCell ref="V113:V115"/>
    <mergeCell ref="CF110:CF112"/>
    <mergeCell ref="CG110:CG112"/>
    <mergeCell ref="CH110:CH112"/>
    <mergeCell ref="CI110:CI112"/>
    <mergeCell ref="CJ110:CJ112"/>
    <mergeCell ref="CK110:CK112"/>
    <mergeCell ref="BZ110:BZ112"/>
    <mergeCell ref="CA110:CA112"/>
    <mergeCell ref="CB110:CB112"/>
    <mergeCell ref="CC110:CC112"/>
    <mergeCell ref="CD110:CD112"/>
    <mergeCell ref="CE110:CE112"/>
    <mergeCell ref="BT110:BT112"/>
    <mergeCell ref="BU110:BU112"/>
    <mergeCell ref="BV110:BV112"/>
    <mergeCell ref="BW110:BW112"/>
    <mergeCell ref="BX110:BX112"/>
    <mergeCell ref="BY110:BY112"/>
    <mergeCell ref="AK110:AK112"/>
    <mergeCell ref="AL110:AL112"/>
    <mergeCell ref="AM110:AM112"/>
    <mergeCell ref="BQ110:BQ112"/>
    <mergeCell ref="BR110:BR112"/>
    <mergeCell ref="BS110:BS112"/>
    <mergeCell ref="AE110:AE112"/>
    <mergeCell ref="AF110:AF112"/>
    <mergeCell ref="AG110:AG112"/>
    <mergeCell ref="AH110:AH112"/>
    <mergeCell ref="AI110:AI112"/>
    <mergeCell ref="AJ110:AJ112"/>
    <mergeCell ref="Y110:Y112"/>
    <mergeCell ref="Z110:Z112"/>
    <mergeCell ref="AA110:AA112"/>
    <mergeCell ref="AB110:AB112"/>
    <mergeCell ref="AC110:AC112"/>
    <mergeCell ref="AD110:AD112"/>
    <mergeCell ref="S110:S112"/>
    <mergeCell ref="T110:T112"/>
    <mergeCell ref="U110:U112"/>
    <mergeCell ref="V110:V112"/>
    <mergeCell ref="W110:W112"/>
    <mergeCell ref="X110:X112"/>
    <mergeCell ref="M110:M112"/>
    <mergeCell ref="N110:N112"/>
    <mergeCell ref="O110:O112"/>
    <mergeCell ref="P110:P112"/>
    <mergeCell ref="Q110:Q112"/>
    <mergeCell ref="R110:R112"/>
    <mergeCell ref="G110:G112"/>
    <mergeCell ref="H110:H112"/>
    <mergeCell ref="I110:I112"/>
    <mergeCell ref="J110:J112"/>
    <mergeCell ref="K110:K112"/>
    <mergeCell ref="L110:L112"/>
    <mergeCell ref="CI105:CI109"/>
    <mergeCell ref="CJ105:CJ109"/>
    <mergeCell ref="CK105:CK109"/>
    <mergeCell ref="CL105:CL109"/>
    <mergeCell ref="CM105:CM109"/>
    <mergeCell ref="BH105:BH109"/>
    <mergeCell ref="BI105:BI109"/>
    <mergeCell ref="BJ105:BJ109"/>
    <mergeCell ref="AY105:AY109"/>
    <mergeCell ref="AZ105:AZ109"/>
    <mergeCell ref="BA105:BA109"/>
    <mergeCell ref="BB105:BB109"/>
    <mergeCell ref="BC105:BC109"/>
    <mergeCell ref="BD105:BD109"/>
    <mergeCell ref="AS105:AS109"/>
    <mergeCell ref="AT105:AT109"/>
    <mergeCell ref="AU105:AU109"/>
    <mergeCell ref="AV105:AV109"/>
    <mergeCell ref="AW105:AW109"/>
    <mergeCell ref="AX105:AX109"/>
    <mergeCell ref="A110:A112"/>
    <mergeCell ref="C110:C112"/>
    <mergeCell ref="D110:D112"/>
    <mergeCell ref="E110:E112"/>
    <mergeCell ref="F110:F112"/>
    <mergeCell ref="CC105:CC109"/>
    <mergeCell ref="CD105:CD109"/>
    <mergeCell ref="CE105:CE109"/>
    <mergeCell ref="CF105:CF109"/>
    <mergeCell ref="CG105:CG109"/>
    <mergeCell ref="CH105:CH109"/>
    <mergeCell ref="BW105:BW109"/>
    <mergeCell ref="BX105:BX109"/>
    <mergeCell ref="BY105:BY109"/>
    <mergeCell ref="BZ105:BZ109"/>
    <mergeCell ref="CA105:CA109"/>
    <mergeCell ref="CB105:CB109"/>
    <mergeCell ref="BQ105:BQ109"/>
    <mergeCell ref="BR105:BR109"/>
    <mergeCell ref="BS105:BS109"/>
    <mergeCell ref="BT105:BT109"/>
    <mergeCell ref="BU105:BU109"/>
    <mergeCell ref="BV105:BV109"/>
    <mergeCell ref="BK105:BK109"/>
    <mergeCell ref="BL105:BL109"/>
    <mergeCell ref="BM105:BM109"/>
    <mergeCell ref="BN105:BN109"/>
    <mergeCell ref="BO105:BO109"/>
    <mergeCell ref="BP105:BP109"/>
    <mergeCell ref="BE105:BE109"/>
    <mergeCell ref="BF105:BF109"/>
    <mergeCell ref="BG105:BG109"/>
    <mergeCell ref="AM105:AM109"/>
    <mergeCell ref="AN105:AN109"/>
    <mergeCell ref="AO105:AO109"/>
    <mergeCell ref="AP105:AP109"/>
    <mergeCell ref="AQ105:AQ109"/>
    <mergeCell ref="AR105:AR109"/>
    <mergeCell ref="AG105:AG109"/>
    <mergeCell ref="AH105:AH109"/>
    <mergeCell ref="AI105:AI109"/>
    <mergeCell ref="AJ105:AJ109"/>
    <mergeCell ref="AK105:AK109"/>
    <mergeCell ref="AL105:AL109"/>
    <mergeCell ref="AA105:AA109"/>
    <mergeCell ref="AB105:AB109"/>
    <mergeCell ref="AC105:AC109"/>
    <mergeCell ref="AD105:AD109"/>
    <mergeCell ref="AE105:AE109"/>
    <mergeCell ref="AF105:AF109"/>
    <mergeCell ref="U105:U109"/>
    <mergeCell ref="V105:V109"/>
    <mergeCell ref="W105:W109"/>
    <mergeCell ref="X105:X109"/>
    <mergeCell ref="Y105:Y109"/>
    <mergeCell ref="Z105:Z109"/>
    <mergeCell ref="A105:A109"/>
    <mergeCell ref="P105:P109"/>
    <mergeCell ref="Q105:Q109"/>
    <mergeCell ref="R105:R109"/>
    <mergeCell ref="S105:S109"/>
    <mergeCell ref="T105:T109"/>
    <mergeCell ref="CH101:CH104"/>
    <mergeCell ref="CI101:CI104"/>
    <mergeCell ref="CJ101:CJ104"/>
    <mergeCell ref="CK101:CK104"/>
    <mergeCell ref="CL101:CL104"/>
    <mergeCell ref="BJ101:BJ104"/>
    <mergeCell ref="BK101:BK104"/>
    <mergeCell ref="BL101:BL104"/>
    <mergeCell ref="BM101:BM104"/>
    <mergeCell ref="BN101:BN104"/>
    <mergeCell ref="BO101:BO104"/>
    <mergeCell ref="BD101:BD104"/>
    <mergeCell ref="BE101:BE104"/>
    <mergeCell ref="BF101:BF104"/>
    <mergeCell ref="BG101:BG104"/>
    <mergeCell ref="BH101:BH104"/>
    <mergeCell ref="BI101:BI104"/>
    <mergeCell ref="AX101:AX104"/>
    <mergeCell ref="AY101:AY104"/>
    <mergeCell ref="AZ101:AZ104"/>
    <mergeCell ref="CM101:CM104"/>
    <mergeCell ref="CB101:CB104"/>
    <mergeCell ref="CC101:CC104"/>
    <mergeCell ref="CD101:CD104"/>
    <mergeCell ref="CE101:CE104"/>
    <mergeCell ref="CF101:CF104"/>
    <mergeCell ref="CG101:CG104"/>
    <mergeCell ref="BV101:BV104"/>
    <mergeCell ref="BW101:BW104"/>
    <mergeCell ref="BX101:BX104"/>
    <mergeCell ref="BY101:BY104"/>
    <mergeCell ref="BZ101:BZ104"/>
    <mergeCell ref="CA101:CA104"/>
    <mergeCell ref="BP101:BP104"/>
    <mergeCell ref="BQ101:BQ104"/>
    <mergeCell ref="BR101:BR104"/>
    <mergeCell ref="BS101:BS104"/>
    <mergeCell ref="BT101:BT104"/>
    <mergeCell ref="BU101:BU104"/>
    <mergeCell ref="BA101:BA104"/>
    <mergeCell ref="BB101:BB104"/>
    <mergeCell ref="BC101:BC104"/>
    <mergeCell ref="AR101:AR104"/>
    <mergeCell ref="AS101:AS104"/>
    <mergeCell ref="AT101:AT104"/>
    <mergeCell ref="AU101:AU104"/>
    <mergeCell ref="AV101:AV104"/>
    <mergeCell ref="AW101:AW104"/>
    <mergeCell ref="AL101:AL104"/>
    <mergeCell ref="AM101:AM104"/>
    <mergeCell ref="AN101:AN104"/>
    <mergeCell ref="AO101:AO104"/>
    <mergeCell ref="AP101:AP104"/>
    <mergeCell ref="AQ101:AQ104"/>
    <mergeCell ref="AF101:AF104"/>
    <mergeCell ref="AG101:AG104"/>
    <mergeCell ref="AH101:AH104"/>
    <mergeCell ref="AI101:AI104"/>
    <mergeCell ref="AJ101:AJ104"/>
    <mergeCell ref="AK101:AK104"/>
    <mergeCell ref="Z101:Z104"/>
    <mergeCell ref="AA101:AA104"/>
    <mergeCell ref="AB101:AB104"/>
    <mergeCell ref="AC101:AC104"/>
    <mergeCell ref="AD101:AD104"/>
    <mergeCell ref="AE101:AE104"/>
    <mergeCell ref="T101:T104"/>
    <mergeCell ref="U101:U104"/>
    <mergeCell ref="V101:V104"/>
    <mergeCell ref="W101:W104"/>
    <mergeCell ref="X101:X104"/>
    <mergeCell ref="Y101:Y104"/>
    <mergeCell ref="CI98:CI100"/>
    <mergeCell ref="CJ98:CJ100"/>
    <mergeCell ref="CK98:CK100"/>
    <mergeCell ref="CL98:CL100"/>
    <mergeCell ref="CM98:CM100"/>
    <mergeCell ref="BH98:BH100"/>
    <mergeCell ref="BI98:BI100"/>
    <mergeCell ref="BJ98:BJ100"/>
    <mergeCell ref="AY98:AY100"/>
    <mergeCell ref="AZ98:AZ100"/>
    <mergeCell ref="BA98:BA100"/>
    <mergeCell ref="BB98:BB100"/>
    <mergeCell ref="BC98:BC100"/>
    <mergeCell ref="BD98:BD100"/>
    <mergeCell ref="AS98:AS100"/>
    <mergeCell ref="AT98:AT100"/>
    <mergeCell ref="AU98:AU100"/>
    <mergeCell ref="AV98:AV100"/>
    <mergeCell ref="AW98:AW100"/>
    <mergeCell ref="AX98:AX100"/>
    <mergeCell ref="A101:A104"/>
    <mergeCell ref="P101:P104"/>
    <mergeCell ref="Q101:Q104"/>
    <mergeCell ref="R101:R104"/>
    <mergeCell ref="S101:S104"/>
    <mergeCell ref="CC98:CC100"/>
    <mergeCell ref="CD98:CD100"/>
    <mergeCell ref="CE98:CE100"/>
    <mergeCell ref="CF98:CF100"/>
    <mergeCell ref="CG98:CG100"/>
    <mergeCell ref="CH98:CH100"/>
    <mergeCell ref="BW98:BW100"/>
    <mergeCell ref="BX98:BX100"/>
    <mergeCell ref="BY98:BY100"/>
    <mergeCell ref="BZ98:BZ100"/>
    <mergeCell ref="CA98:CA100"/>
    <mergeCell ref="CB98:CB100"/>
    <mergeCell ref="BQ98:BQ100"/>
    <mergeCell ref="BR98:BR100"/>
    <mergeCell ref="BS98:BS100"/>
    <mergeCell ref="BT98:BT100"/>
    <mergeCell ref="BU98:BU100"/>
    <mergeCell ref="BV98:BV100"/>
    <mergeCell ref="BK98:BK100"/>
    <mergeCell ref="BL98:BL100"/>
    <mergeCell ref="BM98:BM100"/>
    <mergeCell ref="BN98:BN100"/>
    <mergeCell ref="BO98:BO100"/>
    <mergeCell ref="BP98:BP100"/>
    <mergeCell ref="BE98:BE100"/>
    <mergeCell ref="BF98:BF100"/>
    <mergeCell ref="BG98:BG100"/>
    <mergeCell ref="AM98:AM100"/>
    <mergeCell ref="AN98:AN100"/>
    <mergeCell ref="AO98:AO100"/>
    <mergeCell ref="AP98:AP100"/>
    <mergeCell ref="AQ98:AQ100"/>
    <mergeCell ref="AR98:AR100"/>
    <mergeCell ref="AG98:AG100"/>
    <mergeCell ref="AH98:AH100"/>
    <mergeCell ref="AI98:AI100"/>
    <mergeCell ref="AJ98:AJ100"/>
    <mergeCell ref="AK98:AK100"/>
    <mergeCell ref="AL98:AL100"/>
    <mergeCell ref="AA98:AA100"/>
    <mergeCell ref="AB98:AB100"/>
    <mergeCell ref="AC98:AC100"/>
    <mergeCell ref="AD98:AD100"/>
    <mergeCell ref="AE98:AE100"/>
    <mergeCell ref="AF98:AF100"/>
    <mergeCell ref="U98:U100"/>
    <mergeCell ref="V98:V100"/>
    <mergeCell ref="W98:W100"/>
    <mergeCell ref="X98:X100"/>
    <mergeCell ref="Y98:Y100"/>
    <mergeCell ref="Z98:Z100"/>
    <mergeCell ref="A98:A100"/>
    <mergeCell ref="P98:P100"/>
    <mergeCell ref="Q98:Q100"/>
    <mergeCell ref="R98:R100"/>
    <mergeCell ref="S98:S100"/>
    <mergeCell ref="T98:T100"/>
    <mergeCell ref="CH96:CH97"/>
    <mergeCell ref="CI96:CI97"/>
    <mergeCell ref="CJ96:CJ97"/>
    <mergeCell ref="CK96:CK97"/>
    <mergeCell ref="CL96:CL97"/>
    <mergeCell ref="BJ96:BJ97"/>
    <mergeCell ref="BK96:BK97"/>
    <mergeCell ref="BL96:BL97"/>
    <mergeCell ref="BM96:BM97"/>
    <mergeCell ref="BN96:BN97"/>
    <mergeCell ref="BO96:BO97"/>
    <mergeCell ref="BD96:BD97"/>
    <mergeCell ref="BE96:BE97"/>
    <mergeCell ref="BF96:BF97"/>
    <mergeCell ref="BG96:BG97"/>
    <mergeCell ref="BH96:BH97"/>
    <mergeCell ref="BI96:BI97"/>
    <mergeCell ref="AX96:AX97"/>
    <mergeCell ref="AY96:AY97"/>
    <mergeCell ref="AZ96:AZ97"/>
    <mergeCell ref="CM96:CM97"/>
    <mergeCell ref="CB96:CB97"/>
    <mergeCell ref="CC96:CC97"/>
    <mergeCell ref="CD96:CD97"/>
    <mergeCell ref="CE96:CE97"/>
    <mergeCell ref="CF96:CF97"/>
    <mergeCell ref="CG96:CG97"/>
    <mergeCell ref="BV96:BV97"/>
    <mergeCell ref="BW96:BW97"/>
    <mergeCell ref="BX96:BX97"/>
    <mergeCell ref="BY96:BY97"/>
    <mergeCell ref="BZ96:BZ97"/>
    <mergeCell ref="CA96:CA97"/>
    <mergeCell ref="BP96:BP97"/>
    <mergeCell ref="BQ96:BQ97"/>
    <mergeCell ref="BR96:BR97"/>
    <mergeCell ref="BS96:BS97"/>
    <mergeCell ref="BT96:BT97"/>
    <mergeCell ref="BU96:BU97"/>
    <mergeCell ref="BA96:BA97"/>
    <mergeCell ref="BB96:BB97"/>
    <mergeCell ref="BC96:BC97"/>
    <mergeCell ref="AR96:AR97"/>
    <mergeCell ref="AS96:AS97"/>
    <mergeCell ref="AT96:AT97"/>
    <mergeCell ref="AU96:AU97"/>
    <mergeCell ref="AV96:AV97"/>
    <mergeCell ref="AW96:AW97"/>
    <mergeCell ref="AL96:AL97"/>
    <mergeCell ref="AM96:AM97"/>
    <mergeCell ref="AN96:AN97"/>
    <mergeCell ref="AO96:AO97"/>
    <mergeCell ref="AP96:AP97"/>
    <mergeCell ref="AQ96:AQ97"/>
    <mergeCell ref="AF96:AF97"/>
    <mergeCell ref="AG96:AG97"/>
    <mergeCell ref="AH96:AH97"/>
    <mergeCell ref="AI96:AI97"/>
    <mergeCell ref="AJ96:AJ97"/>
    <mergeCell ref="AK96:AK97"/>
    <mergeCell ref="Z96:Z97"/>
    <mergeCell ref="AA96:AA97"/>
    <mergeCell ref="AB96:AB97"/>
    <mergeCell ref="AC96:AC97"/>
    <mergeCell ref="AD96:AD97"/>
    <mergeCell ref="AE96:AE97"/>
    <mergeCell ref="T96:T97"/>
    <mergeCell ref="U96:U97"/>
    <mergeCell ref="V96:V97"/>
    <mergeCell ref="W96:W97"/>
    <mergeCell ref="X96:X97"/>
    <mergeCell ref="Y96:Y97"/>
    <mergeCell ref="CI93:CI95"/>
    <mergeCell ref="CJ93:CJ95"/>
    <mergeCell ref="CK93:CK95"/>
    <mergeCell ref="CL93:CL95"/>
    <mergeCell ref="CM93:CM95"/>
    <mergeCell ref="BH93:BH95"/>
    <mergeCell ref="BI93:BI95"/>
    <mergeCell ref="BJ93:BJ95"/>
    <mergeCell ref="AY93:AY95"/>
    <mergeCell ref="AZ93:AZ95"/>
    <mergeCell ref="BA93:BA95"/>
    <mergeCell ref="BB93:BB95"/>
    <mergeCell ref="BC93:BC95"/>
    <mergeCell ref="BD93:BD95"/>
    <mergeCell ref="AS93:AS95"/>
    <mergeCell ref="AT93:AT95"/>
    <mergeCell ref="AU93:AU95"/>
    <mergeCell ref="AV93:AV95"/>
    <mergeCell ref="AW93:AW95"/>
    <mergeCell ref="AX93:AX95"/>
    <mergeCell ref="A96:A97"/>
    <mergeCell ref="P96:P97"/>
    <mergeCell ref="Q96:Q97"/>
    <mergeCell ref="R96:R97"/>
    <mergeCell ref="S96:S97"/>
    <mergeCell ref="CC93:CC95"/>
    <mergeCell ref="CD93:CD95"/>
    <mergeCell ref="CE93:CE95"/>
    <mergeCell ref="CF93:CF95"/>
    <mergeCell ref="CG93:CG95"/>
    <mergeCell ref="CH93:CH95"/>
    <mergeCell ref="BW93:BW95"/>
    <mergeCell ref="BX93:BX95"/>
    <mergeCell ref="BY93:BY95"/>
    <mergeCell ref="BZ93:BZ95"/>
    <mergeCell ref="CA93:CA95"/>
    <mergeCell ref="CB93:CB95"/>
    <mergeCell ref="BQ93:BQ95"/>
    <mergeCell ref="BR93:BR95"/>
    <mergeCell ref="BS93:BS95"/>
    <mergeCell ref="BT93:BT95"/>
    <mergeCell ref="BU93:BU95"/>
    <mergeCell ref="BV93:BV95"/>
    <mergeCell ref="BK93:BK95"/>
    <mergeCell ref="BL93:BL95"/>
    <mergeCell ref="BM93:BM95"/>
    <mergeCell ref="BN93:BN95"/>
    <mergeCell ref="BO93:BO95"/>
    <mergeCell ref="BP93:BP95"/>
    <mergeCell ref="BE93:BE95"/>
    <mergeCell ref="BF93:BF95"/>
    <mergeCell ref="BG93:BG95"/>
    <mergeCell ref="AM93:AM95"/>
    <mergeCell ref="AN93:AN95"/>
    <mergeCell ref="AO93:AO95"/>
    <mergeCell ref="AP93:AP95"/>
    <mergeCell ref="AQ93:AQ95"/>
    <mergeCell ref="AR93:AR95"/>
    <mergeCell ref="AG93:AG95"/>
    <mergeCell ref="AH93:AH95"/>
    <mergeCell ref="AI93:AI95"/>
    <mergeCell ref="AJ93:AJ95"/>
    <mergeCell ref="AK93:AK95"/>
    <mergeCell ref="AL93:AL95"/>
    <mergeCell ref="AA93:AA95"/>
    <mergeCell ref="AB93:AB95"/>
    <mergeCell ref="AC93:AC95"/>
    <mergeCell ref="AD93:AD95"/>
    <mergeCell ref="AE93:AE95"/>
    <mergeCell ref="AF93:AF95"/>
    <mergeCell ref="U93:U95"/>
    <mergeCell ref="V93:V95"/>
    <mergeCell ref="W93:W95"/>
    <mergeCell ref="X93:X95"/>
    <mergeCell ref="Y93:Y95"/>
    <mergeCell ref="Z93:Z95"/>
    <mergeCell ref="A93:A95"/>
    <mergeCell ref="P93:P95"/>
    <mergeCell ref="Q93:Q95"/>
    <mergeCell ref="R93:R95"/>
    <mergeCell ref="S93:S95"/>
    <mergeCell ref="T93:T95"/>
    <mergeCell ref="CH90:CH92"/>
    <mergeCell ref="CI90:CI92"/>
    <mergeCell ref="CJ90:CJ92"/>
    <mergeCell ref="CK90:CK92"/>
    <mergeCell ref="CL90:CL92"/>
    <mergeCell ref="BJ90:BJ92"/>
    <mergeCell ref="BK90:BK92"/>
    <mergeCell ref="BL90:BL92"/>
    <mergeCell ref="BM90:BM92"/>
    <mergeCell ref="BN90:BN92"/>
    <mergeCell ref="BO90:BO92"/>
    <mergeCell ref="BD90:BD92"/>
    <mergeCell ref="BE90:BE92"/>
    <mergeCell ref="BF90:BF92"/>
    <mergeCell ref="BG90:BG92"/>
    <mergeCell ref="BH90:BH92"/>
    <mergeCell ref="BI90:BI92"/>
    <mergeCell ref="AX90:AX92"/>
    <mergeCell ref="AY90:AY92"/>
    <mergeCell ref="AZ90:AZ92"/>
    <mergeCell ref="CM90:CM92"/>
    <mergeCell ref="CB90:CB92"/>
    <mergeCell ref="CC90:CC92"/>
    <mergeCell ref="CD90:CD92"/>
    <mergeCell ref="CE90:CE92"/>
    <mergeCell ref="CF90:CF92"/>
    <mergeCell ref="CG90:CG92"/>
    <mergeCell ref="BV90:BV92"/>
    <mergeCell ref="BW90:BW92"/>
    <mergeCell ref="BX90:BX92"/>
    <mergeCell ref="BY90:BY92"/>
    <mergeCell ref="BZ90:BZ92"/>
    <mergeCell ref="CA90:CA92"/>
    <mergeCell ref="BP90:BP92"/>
    <mergeCell ref="BQ90:BQ92"/>
    <mergeCell ref="BR90:BR92"/>
    <mergeCell ref="BS90:BS92"/>
    <mergeCell ref="BT90:BT92"/>
    <mergeCell ref="BU90:BU92"/>
    <mergeCell ref="BA90:BA92"/>
    <mergeCell ref="BB90:BB92"/>
    <mergeCell ref="BC90:BC92"/>
    <mergeCell ref="AR90:AR92"/>
    <mergeCell ref="AS90:AS92"/>
    <mergeCell ref="AT90:AT92"/>
    <mergeCell ref="AU90:AU92"/>
    <mergeCell ref="AV90:AV92"/>
    <mergeCell ref="AW90:AW92"/>
    <mergeCell ref="AL90:AL92"/>
    <mergeCell ref="AM90:AM92"/>
    <mergeCell ref="AN90:AN92"/>
    <mergeCell ref="AO90:AO92"/>
    <mergeCell ref="AP90:AP92"/>
    <mergeCell ref="AQ90:AQ92"/>
    <mergeCell ref="AF90:AF92"/>
    <mergeCell ref="AG90:AG92"/>
    <mergeCell ref="AH90:AH92"/>
    <mergeCell ref="AI90:AI92"/>
    <mergeCell ref="AJ90:AJ92"/>
    <mergeCell ref="AK90:AK92"/>
    <mergeCell ref="Z90:Z92"/>
    <mergeCell ref="AA90:AA92"/>
    <mergeCell ref="AB90:AB92"/>
    <mergeCell ref="AC90:AC92"/>
    <mergeCell ref="AD90:AD92"/>
    <mergeCell ref="AE90:AE92"/>
    <mergeCell ref="T90:T92"/>
    <mergeCell ref="U90:U92"/>
    <mergeCell ref="V90:V92"/>
    <mergeCell ref="W90:W92"/>
    <mergeCell ref="X90:X92"/>
    <mergeCell ref="Y90:Y92"/>
    <mergeCell ref="CI87:CI89"/>
    <mergeCell ref="CJ87:CJ89"/>
    <mergeCell ref="CK87:CK89"/>
    <mergeCell ref="CL87:CL89"/>
    <mergeCell ref="CM87:CM89"/>
    <mergeCell ref="BH87:BH89"/>
    <mergeCell ref="BI87:BI89"/>
    <mergeCell ref="BJ87:BJ89"/>
    <mergeCell ref="AY87:AY89"/>
    <mergeCell ref="AZ87:AZ89"/>
    <mergeCell ref="BA87:BA89"/>
    <mergeCell ref="BB87:BB89"/>
    <mergeCell ref="BC87:BC89"/>
    <mergeCell ref="BD87:BD89"/>
    <mergeCell ref="AS87:AS89"/>
    <mergeCell ref="AT87:AT89"/>
    <mergeCell ref="AU87:AU89"/>
    <mergeCell ref="AV87:AV89"/>
    <mergeCell ref="AW87:AW89"/>
    <mergeCell ref="AX87:AX89"/>
    <mergeCell ref="A90:A92"/>
    <mergeCell ref="P90:P92"/>
    <mergeCell ref="Q90:Q92"/>
    <mergeCell ref="R90:R92"/>
    <mergeCell ref="S90:S92"/>
    <mergeCell ref="CC87:CC89"/>
    <mergeCell ref="CD87:CD89"/>
    <mergeCell ref="CE87:CE89"/>
    <mergeCell ref="CF87:CF89"/>
    <mergeCell ref="CG87:CG89"/>
    <mergeCell ref="CH87:CH89"/>
    <mergeCell ref="BW87:BW89"/>
    <mergeCell ref="BX87:BX89"/>
    <mergeCell ref="BY87:BY89"/>
    <mergeCell ref="BZ87:BZ89"/>
    <mergeCell ref="CA87:CA89"/>
    <mergeCell ref="CB87:CB89"/>
    <mergeCell ref="BQ87:BQ89"/>
    <mergeCell ref="BR87:BR89"/>
    <mergeCell ref="BS87:BS89"/>
    <mergeCell ref="BT87:BT89"/>
    <mergeCell ref="BU87:BU89"/>
    <mergeCell ref="BV87:BV89"/>
    <mergeCell ref="BK87:BK89"/>
    <mergeCell ref="BL87:BL89"/>
    <mergeCell ref="BM87:BM89"/>
    <mergeCell ref="BN87:BN89"/>
    <mergeCell ref="BO87:BO89"/>
    <mergeCell ref="BP87:BP89"/>
    <mergeCell ref="BE87:BE89"/>
    <mergeCell ref="BF87:BF89"/>
    <mergeCell ref="BG87:BG89"/>
    <mergeCell ref="AM87:AM89"/>
    <mergeCell ref="AN87:AN89"/>
    <mergeCell ref="AO87:AO89"/>
    <mergeCell ref="AP87:AP89"/>
    <mergeCell ref="AQ87:AQ89"/>
    <mergeCell ref="AR87:AR89"/>
    <mergeCell ref="AG87:AG89"/>
    <mergeCell ref="AH87:AH89"/>
    <mergeCell ref="AI87:AI89"/>
    <mergeCell ref="AJ87:AJ89"/>
    <mergeCell ref="AK87:AK89"/>
    <mergeCell ref="AL87:AL89"/>
    <mergeCell ref="AA87:AA89"/>
    <mergeCell ref="AB87:AB89"/>
    <mergeCell ref="AC87:AC89"/>
    <mergeCell ref="AD87:AD89"/>
    <mergeCell ref="AE87:AE89"/>
    <mergeCell ref="AF87:AF89"/>
    <mergeCell ref="U87:U89"/>
    <mergeCell ref="V87:V89"/>
    <mergeCell ref="W87:W89"/>
    <mergeCell ref="X87:X89"/>
    <mergeCell ref="Y87:Y89"/>
    <mergeCell ref="Z87:Z89"/>
    <mergeCell ref="A87:A89"/>
    <mergeCell ref="P87:P89"/>
    <mergeCell ref="Q87:Q89"/>
    <mergeCell ref="R87:R89"/>
    <mergeCell ref="S87:S89"/>
    <mergeCell ref="T87:T89"/>
    <mergeCell ref="CH84:CH86"/>
    <mergeCell ref="CI84:CI86"/>
    <mergeCell ref="CJ84:CJ86"/>
    <mergeCell ref="CK84:CK86"/>
    <mergeCell ref="CL84:CL86"/>
    <mergeCell ref="BJ84:BJ86"/>
    <mergeCell ref="BK84:BK86"/>
    <mergeCell ref="BL84:BL86"/>
    <mergeCell ref="BM84:BM86"/>
    <mergeCell ref="BN84:BN86"/>
    <mergeCell ref="BO84:BO86"/>
    <mergeCell ref="BD84:BD86"/>
    <mergeCell ref="BE84:BE86"/>
    <mergeCell ref="BF84:BF86"/>
    <mergeCell ref="BG84:BG86"/>
    <mergeCell ref="BH84:BH86"/>
    <mergeCell ref="BI84:BI86"/>
    <mergeCell ref="AX84:AX86"/>
    <mergeCell ref="AY84:AY86"/>
    <mergeCell ref="AZ84:AZ86"/>
    <mergeCell ref="CM84:CM86"/>
    <mergeCell ref="CB84:CB86"/>
    <mergeCell ref="CC84:CC86"/>
    <mergeCell ref="CD84:CD86"/>
    <mergeCell ref="CE84:CE86"/>
    <mergeCell ref="CF84:CF86"/>
    <mergeCell ref="CG84:CG86"/>
    <mergeCell ref="BV84:BV86"/>
    <mergeCell ref="BW84:BW86"/>
    <mergeCell ref="BX84:BX86"/>
    <mergeCell ref="BY84:BY86"/>
    <mergeCell ref="BZ84:BZ86"/>
    <mergeCell ref="CA84:CA86"/>
    <mergeCell ref="BP84:BP86"/>
    <mergeCell ref="BQ84:BQ86"/>
    <mergeCell ref="BR84:BR86"/>
    <mergeCell ref="BS84:BS86"/>
    <mergeCell ref="BT84:BT86"/>
    <mergeCell ref="BU84:BU86"/>
    <mergeCell ref="BA84:BA86"/>
    <mergeCell ref="BB84:BB86"/>
    <mergeCell ref="BC84:BC86"/>
    <mergeCell ref="AR84:AR86"/>
    <mergeCell ref="AS84:AS86"/>
    <mergeCell ref="AT84:AT86"/>
    <mergeCell ref="AU84:AU86"/>
    <mergeCell ref="AV84:AV86"/>
    <mergeCell ref="AW84:AW86"/>
    <mergeCell ref="AL84:AL86"/>
    <mergeCell ref="AM84:AM86"/>
    <mergeCell ref="AN84:AN86"/>
    <mergeCell ref="AO84:AO86"/>
    <mergeCell ref="AP84:AP86"/>
    <mergeCell ref="AQ84:AQ86"/>
    <mergeCell ref="AF84:AF86"/>
    <mergeCell ref="AG84:AG86"/>
    <mergeCell ref="AH84:AH86"/>
    <mergeCell ref="AI84:AI86"/>
    <mergeCell ref="AJ84:AJ86"/>
    <mergeCell ref="AK84:AK86"/>
    <mergeCell ref="Z84:Z86"/>
    <mergeCell ref="AA84:AA86"/>
    <mergeCell ref="AB84:AB86"/>
    <mergeCell ref="AC84:AC86"/>
    <mergeCell ref="AD84:AD86"/>
    <mergeCell ref="AE84:AE86"/>
    <mergeCell ref="T84:T86"/>
    <mergeCell ref="U84:U86"/>
    <mergeCell ref="V84:V86"/>
    <mergeCell ref="W84:W86"/>
    <mergeCell ref="X84:X86"/>
    <mergeCell ref="Y84:Y86"/>
    <mergeCell ref="CI80:CI83"/>
    <mergeCell ref="CJ80:CJ83"/>
    <mergeCell ref="CK80:CK83"/>
    <mergeCell ref="CL80:CL83"/>
    <mergeCell ref="CM80:CM83"/>
    <mergeCell ref="BH80:BH83"/>
    <mergeCell ref="BI80:BI83"/>
    <mergeCell ref="BJ80:BJ83"/>
    <mergeCell ref="AY80:AY83"/>
    <mergeCell ref="AZ80:AZ83"/>
    <mergeCell ref="BA80:BA83"/>
    <mergeCell ref="BB80:BB83"/>
    <mergeCell ref="BC80:BC83"/>
    <mergeCell ref="BD80:BD83"/>
    <mergeCell ref="AS80:AS83"/>
    <mergeCell ref="AT80:AT83"/>
    <mergeCell ref="AU80:AU83"/>
    <mergeCell ref="AV80:AV83"/>
    <mergeCell ref="AW80:AW83"/>
    <mergeCell ref="AX80:AX83"/>
    <mergeCell ref="A84:A86"/>
    <mergeCell ref="P84:P86"/>
    <mergeCell ref="Q84:Q86"/>
    <mergeCell ref="R84:R86"/>
    <mergeCell ref="S84:S86"/>
    <mergeCell ref="CC80:CC83"/>
    <mergeCell ref="CD80:CD83"/>
    <mergeCell ref="CE80:CE83"/>
    <mergeCell ref="CF80:CF83"/>
    <mergeCell ref="CG80:CG83"/>
    <mergeCell ref="CH80:CH83"/>
    <mergeCell ref="BW80:BW83"/>
    <mergeCell ref="BX80:BX83"/>
    <mergeCell ref="BY80:BY83"/>
    <mergeCell ref="BZ80:BZ83"/>
    <mergeCell ref="CA80:CA83"/>
    <mergeCell ref="CB80:CB83"/>
    <mergeCell ref="BQ80:BQ83"/>
    <mergeCell ref="BR80:BR83"/>
    <mergeCell ref="BS80:BS83"/>
    <mergeCell ref="BT80:BT83"/>
    <mergeCell ref="BU80:BU83"/>
    <mergeCell ref="BV80:BV83"/>
    <mergeCell ref="BK80:BK83"/>
    <mergeCell ref="BL80:BL83"/>
    <mergeCell ref="BM80:BM83"/>
    <mergeCell ref="BN80:BN83"/>
    <mergeCell ref="BO80:BO83"/>
    <mergeCell ref="BP80:BP83"/>
    <mergeCell ref="BE80:BE83"/>
    <mergeCell ref="BF80:BF83"/>
    <mergeCell ref="BG80:BG83"/>
    <mergeCell ref="AM80:AM83"/>
    <mergeCell ref="AN80:AN83"/>
    <mergeCell ref="AO80:AO83"/>
    <mergeCell ref="AP80:AP83"/>
    <mergeCell ref="AQ80:AQ83"/>
    <mergeCell ref="AR80:AR83"/>
    <mergeCell ref="AG80:AG83"/>
    <mergeCell ref="AH80:AH83"/>
    <mergeCell ref="AI80:AI83"/>
    <mergeCell ref="AJ80:AJ83"/>
    <mergeCell ref="AK80:AK83"/>
    <mergeCell ref="AL80:AL83"/>
    <mergeCell ref="AA80:AA83"/>
    <mergeCell ref="AB80:AB83"/>
    <mergeCell ref="AC80:AC83"/>
    <mergeCell ref="AD80:AD83"/>
    <mergeCell ref="AE80:AE83"/>
    <mergeCell ref="AF80:AF83"/>
    <mergeCell ref="U80:U83"/>
    <mergeCell ref="V80:V83"/>
    <mergeCell ref="W80:W83"/>
    <mergeCell ref="X80:X83"/>
    <mergeCell ref="Y80:Y83"/>
    <mergeCell ref="Z80:Z83"/>
    <mergeCell ref="A80:A83"/>
    <mergeCell ref="P80:P83"/>
    <mergeCell ref="Q80:Q83"/>
    <mergeCell ref="R80:R83"/>
    <mergeCell ref="S80:S83"/>
    <mergeCell ref="T80:T83"/>
    <mergeCell ref="CH76:CH77"/>
    <mergeCell ref="CI76:CI77"/>
    <mergeCell ref="CJ76:CJ77"/>
    <mergeCell ref="CK76:CK77"/>
    <mergeCell ref="CL76:CL77"/>
    <mergeCell ref="BJ76:BJ77"/>
    <mergeCell ref="BK76:BK77"/>
    <mergeCell ref="BL76:BL77"/>
    <mergeCell ref="BM76:BM77"/>
    <mergeCell ref="BN76:BN77"/>
    <mergeCell ref="BO76:BO77"/>
    <mergeCell ref="BD76:BD77"/>
    <mergeCell ref="BE76:BE77"/>
    <mergeCell ref="BF76:BF77"/>
    <mergeCell ref="BG76:BG77"/>
    <mergeCell ref="BH76:BH77"/>
    <mergeCell ref="BI76:BI77"/>
    <mergeCell ref="AX76:AX77"/>
    <mergeCell ref="AY76:AY77"/>
    <mergeCell ref="AZ76:AZ77"/>
    <mergeCell ref="CM76:CM77"/>
    <mergeCell ref="CB76:CB77"/>
    <mergeCell ref="CC76:CC77"/>
    <mergeCell ref="CD76:CD77"/>
    <mergeCell ref="CE76:CE77"/>
    <mergeCell ref="CF76:CF77"/>
    <mergeCell ref="CG76:CG77"/>
    <mergeCell ref="BV76:BV77"/>
    <mergeCell ref="BW76:BW77"/>
    <mergeCell ref="BX76:BX77"/>
    <mergeCell ref="BY76:BY77"/>
    <mergeCell ref="BZ76:BZ77"/>
    <mergeCell ref="CA76:CA77"/>
    <mergeCell ref="BP76:BP77"/>
    <mergeCell ref="BQ76:BQ77"/>
    <mergeCell ref="BR76:BR77"/>
    <mergeCell ref="BS76:BS77"/>
    <mergeCell ref="BT76:BT77"/>
    <mergeCell ref="BU76:BU77"/>
    <mergeCell ref="BA76:BA77"/>
    <mergeCell ref="BB76:BB77"/>
    <mergeCell ref="BC76:BC77"/>
    <mergeCell ref="AR76:AR77"/>
    <mergeCell ref="AS76:AS77"/>
    <mergeCell ref="AT76:AT77"/>
    <mergeCell ref="AU76:AU77"/>
    <mergeCell ref="AV76:AV77"/>
    <mergeCell ref="AW76:AW77"/>
    <mergeCell ref="AL76:AL77"/>
    <mergeCell ref="AM76:AM77"/>
    <mergeCell ref="AN76:AN77"/>
    <mergeCell ref="AO76:AO77"/>
    <mergeCell ref="AP76:AP77"/>
    <mergeCell ref="AQ76:AQ77"/>
    <mergeCell ref="AF76:AF77"/>
    <mergeCell ref="AG76:AG77"/>
    <mergeCell ref="AH76:AH77"/>
    <mergeCell ref="AI76:AI77"/>
    <mergeCell ref="AJ76:AJ77"/>
    <mergeCell ref="AK76:AK77"/>
    <mergeCell ref="Z76:Z77"/>
    <mergeCell ref="AA76:AA77"/>
    <mergeCell ref="AB76:AB77"/>
    <mergeCell ref="AC76:AC77"/>
    <mergeCell ref="AD76:AD77"/>
    <mergeCell ref="AE76:AE77"/>
    <mergeCell ref="T76:T77"/>
    <mergeCell ref="U76:U77"/>
    <mergeCell ref="V76:V77"/>
    <mergeCell ref="W76:W77"/>
    <mergeCell ref="X76:X77"/>
    <mergeCell ref="Y76:Y77"/>
    <mergeCell ref="CI69:CI75"/>
    <mergeCell ref="CJ69:CJ75"/>
    <mergeCell ref="CK69:CK75"/>
    <mergeCell ref="CL69:CL75"/>
    <mergeCell ref="CM69:CM75"/>
    <mergeCell ref="BH69:BH75"/>
    <mergeCell ref="BI69:BI75"/>
    <mergeCell ref="BJ69:BJ75"/>
    <mergeCell ref="AY69:AY75"/>
    <mergeCell ref="AZ69:AZ75"/>
    <mergeCell ref="BA69:BA75"/>
    <mergeCell ref="BB69:BB75"/>
    <mergeCell ref="BC69:BC75"/>
    <mergeCell ref="BD69:BD75"/>
    <mergeCell ref="AS69:AS75"/>
    <mergeCell ref="AT69:AT75"/>
    <mergeCell ref="AU69:AU75"/>
    <mergeCell ref="AV69:AV75"/>
    <mergeCell ref="AW69:AW75"/>
    <mergeCell ref="AX69:AX75"/>
    <mergeCell ref="A76:A77"/>
    <mergeCell ref="P76:P77"/>
    <mergeCell ref="Q76:Q77"/>
    <mergeCell ref="R76:R77"/>
    <mergeCell ref="S76:S77"/>
    <mergeCell ref="CC69:CC75"/>
    <mergeCell ref="CD69:CD75"/>
    <mergeCell ref="CE69:CE75"/>
    <mergeCell ref="CF69:CF75"/>
    <mergeCell ref="CG69:CG75"/>
    <mergeCell ref="CH69:CH75"/>
    <mergeCell ref="BW69:BW75"/>
    <mergeCell ref="BX69:BX75"/>
    <mergeCell ref="BY69:BY75"/>
    <mergeCell ref="BZ69:BZ75"/>
    <mergeCell ref="CA69:CA75"/>
    <mergeCell ref="CB69:CB75"/>
    <mergeCell ref="BQ69:BQ75"/>
    <mergeCell ref="BR69:BR75"/>
    <mergeCell ref="BS69:BS75"/>
    <mergeCell ref="BT69:BT75"/>
    <mergeCell ref="BU69:BU75"/>
    <mergeCell ref="BV69:BV75"/>
    <mergeCell ref="BK69:BK75"/>
    <mergeCell ref="BL69:BL75"/>
    <mergeCell ref="BM69:BM75"/>
    <mergeCell ref="BN69:BN75"/>
    <mergeCell ref="BO69:BO75"/>
    <mergeCell ref="BP69:BP75"/>
    <mergeCell ref="BE69:BE75"/>
    <mergeCell ref="BF69:BF75"/>
    <mergeCell ref="BG69:BG75"/>
    <mergeCell ref="AM69:AM75"/>
    <mergeCell ref="AN69:AN75"/>
    <mergeCell ref="AO69:AO75"/>
    <mergeCell ref="AP69:AP75"/>
    <mergeCell ref="AQ69:AQ75"/>
    <mergeCell ref="AR69:AR75"/>
    <mergeCell ref="AG69:AG75"/>
    <mergeCell ref="AH69:AH75"/>
    <mergeCell ref="AI69:AI75"/>
    <mergeCell ref="AJ69:AJ75"/>
    <mergeCell ref="AK69:AK75"/>
    <mergeCell ref="AL69:AL75"/>
    <mergeCell ref="AA69:AA75"/>
    <mergeCell ref="AB69:AB75"/>
    <mergeCell ref="AC69:AC75"/>
    <mergeCell ref="AD69:AD75"/>
    <mergeCell ref="AE69:AE75"/>
    <mergeCell ref="AF69:AF75"/>
    <mergeCell ref="U69:U75"/>
    <mergeCell ref="V69:V75"/>
    <mergeCell ref="W69:W75"/>
    <mergeCell ref="X69:X75"/>
    <mergeCell ref="Y69:Y75"/>
    <mergeCell ref="Z69:Z75"/>
    <mergeCell ref="A69:A75"/>
    <mergeCell ref="P69:P75"/>
    <mergeCell ref="Q69:Q75"/>
    <mergeCell ref="R69:R75"/>
    <mergeCell ref="S69:S75"/>
    <mergeCell ref="T69:T75"/>
    <mergeCell ref="CH67:CH68"/>
    <mergeCell ref="CI67:CI68"/>
    <mergeCell ref="CJ67:CJ68"/>
    <mergeCell ref="CK67:CK68"/>
    <mergeCell ref="CL67:CL68"/>
    <mergeCell ref="BJ67:BJ68"/>
    <mergeCell ref="BK67:BK68"/>
    <mergeCell ref="BL67:BL68"/>
    <mergeCell ref="BM67:BM68"/>
    <mergeCell ref="BN67:BN68"/>
    <mergeCell ref="BO67:BO68"/>
    <mergeCell ref="BD67:BD68"/>
    <mergeCell ref="BE67:BE68"/>
    <mergeCell ref="BF67:BF68"/>
    <mergeCell ref="BG67:BG68"/>
    <mergeCell ref="BH67:BH68"/>
    <mergeCell ref="BI67:BI68"/>
    <mergeCell ref="AX67:AX68"/>
    <mergeCell ref="AY67:AY68"/>
    <mergeCell ref="AZ67:AZ68"/>
    <mergeCell ref="CM67:CM68"/>
    <mergeCell ref="CB67:CB68"/>
    <mergeCell ref="CC67:CC68"/>
    <mergeCell ref="CD67:CD68"/>
    <mergeCell ref="CE67:CE68"/>
    <mergeCell ref="CF67:CF68"/>
    <mergeCell ref="CG67:CG68"/>
    <mergeCell ref="BV67:BV68"/>
    <mergeCell ref="BW67:BW68"/>
    <mergeCell ref="BX67:BX68"/>
    <mergeCell ref="BY67:BY68"/>
    <mergeCell ref="BZ67:BZ68"/>
    <mergeCell ref="CA67:CA68"/>
    <mergeCell ref="BP67:BP68"/>
    <mergeCell ref="BQ67:BQ68"/>
    <mergeCell ref="BR67:BR68"/>
    <mergeCell ref="BS67:BS68"/>
    <mergeCell ref="BT67:BT68"/>
    <mergeCell ref="BU67:BU68"/>
    <mergeCell ref="BA67:BA68"/>
    <mergeCell ref="BB67:BB68"/>
    <mergeCell ref="BC67:BC68"/>
    <mergeCell ref="AR67:AR68"/>
    <mergeCell ref="AS67:AS68"/>
    <mergeCell ref="AT67:AT68"/>
    <mergeCell ref="AU67:AU68"/>
    <mergeCell ref="AV67:AV68"/>
    <mergeCell ref="AW67:AW68"/>
    <mergeCell ref="AL67:AL68"/>
    <mergeCell ref="AM67:AM68"/>
    <mergeCell ref="AN67:AN68"/>
    <mergeCell ref="AO67:AO68"/>
    <mergeCell ref="AP67:AP68"/>
    <mergeCell ref="AQ67:AQ68"/>
    <mergeCell ref="AF67:AF68"/>
    <mergeCell ref="AG67:AG68"/>
    <mergeCell ref="AH67:AH68"/>
    <mergeCell ref="AI67:AI68"/>
    <mergeCell ref="AJ67:AJ68"/>
    <mergeCell ref="AK67:AK68"/>
    <mergeCell ref="Z67:Z68"/>
    <mergeCell ref="AA67:AA68"/>
    <mergeCell ref="AB67:AB68"/>
    <mergeCell ref="AC67:AC68"/>
    <mergeCell ref="AD67:AD68"/>
    <mergeCell ref="AE67:AE68"/>
    <mergeCell ref="T67:T68"/>
    <mergeCell ref="U67:U68"/>
    <mergeCell ref="V67:V68"/>
    <mergeCell ref="W67:W68"/>
    <mergeCell ref="X67:X68"/>
    <mergeCell ref="Y67:Y68"/>
    <mergeCell ref="CI63:CI65"/>
    <mergeCell ref="CJ63:CJ65"/>
    <mergeCell ref="CK63:CK65"/>
    <mergeCell ref="CL63:CL65"/>
    <mergeCell ref="CM63:CM65"/>
    <mergeCell ref="BH63:BH65"/>
    <mergeCell ref="BI63:BI65"/>
    <mergeCell ref="BJ63:BJ65"/>
    <mergeCell ref="AY63:AY65"/>
    <mergeCell ref="AZ63:AZ65"/>
    <mergeCell ref="BA63:BA65"/>
    <mergeCell ref="BB63:BB65"/>
    <mergeCell ref="BC63:BC65"/>
    <mergeCell ref="BD63:BD65"/>
    <mergeCell ref="AS63:AS65"/>
    <mergeCell ref="AT63:AT65"/>
    <mergeCell ref="AU63:AU65"/>
    <mergeCell ref="AV63:AV65"/>
    <mergeCell ref="AW63:AW65"/>
    <mergeCell ref="AX63:AX65"/>
    <mergeCell ref="A67:A68"/>
    <mergeCell ref="P67:P68"/>
    <mergeCell ref="Q67:Q68"/>
    <mergeCell ref="R67:R68"/>
    <mergeCell ref="S67:S68"/>
    <mergeCell ref="CC63:CC65"/>
    <mergeCell ref="CD63:CD65"/>
    <mergeCell ref="CE63:CE65"/>
    <mergeCell ref="CF63:CF65"/>
    <mergeCell ref="CG63:CG65"/>
    <mergeCell ref="CH63:CH65"/>
    <mergeCell ref="BW63:BW65"/>
    <mergeCell ref="BX63:BX65"/>
    <mergeCell ref="BY63:BY65"/>
    <mergeCell ref="BZ63:BZ65"/>
    <mergeCell ref="CA63:CA65"/>
    <mergeCell ref="CB63:CB65"/>
    <mergeCell ref="BQ63:BQ65"/>
    <mergeCell ref="BR63:BR65"/>
    <mergeCell ref="BS63:BS65"/>
    <mergeCell ref="BT63:BT65"/>
    <mergeCell ref="BU63:BU65"/>
    <mergeCell ref="BV63:BV65"/>
    <mergeCell ref="BK63:BK65"/>
    <mergeCell ref="BL63:BL65"/>
    <mergeCell ref="BM63:BM65"/>
    <mergeCell ref="BN63:BN65"/>
    <mergeCell ref="BO63:BO65"/>
    <mergeCell ref="BP63:BP65"/>
    <mergeCell ref="BE63:BE65"/>
    <mergeCell ref="BF63:BF65"/>
    <mergeCell ref="BG63:BG65"/>
    <mergeCell ref="AM63:AM65"/>
    <mergeCell ref="AN63:AN65"/>
    <mergeCell ref="AO63:AO65"/>
    <mergeCell ref="AP63:AP65"/>
    <mergeCell ref="AQ63:AQ65"/>
    <mergeCell ref="AR63:AR65"/>
    <mergeCell ref="AG63:AG65"/>
    <mergeCell ref="AH63:AH65"/>
    <mergeCell ref="AI63:AI65"/>
    <mergeCell ref="AJ63:AJ65"/>
    <mergeCell ref="AK63:AK65"/>
    <mergeCell ref="AL63:AL65"/>
    <mergeCell ref="AA63:AA65"/>
    <mergeCell ref="AB63:AB65"/>
    <mergeCell ref="AC63:AC65"/>
    <mergeCell ref="AD63:AD65"/>
    <mergeCell ref="AE63:AE65"/>
    <mergeCell ref="AF63:AF65"/>
    <mergeCell ref="U63:U65"/>
    <mergeCell ref="V63:V65"/>
    <mergeCell ref="W63:W65"/>
    <mergeCell ref="X63:X65"/>
    <mergeCell ref="Y63:Y65"/>
    <mergeCell ref="Z63:Z65"/>
    <mergeCell ref="A63:A65"/>
    <mergeCell ref="P63:P65"/>
    <mergeCell ref="Q63:Q65"/>
    <mergeCell ref="R63:R65"/>
    <mergeCell ref="S63:S65"/>
    <mergeCell ref="T63:T65"/>
    <mergeCell ref="CH60:CH62"/>
    <mergeCell ref="CI60:CI62"/>
    <mergeCell ref="CJ60:CJ62"/>
    <mergeCell ref="CK60:CK62"/>
    <mergeCell ref="CL60:CL62"/>
    <mergeCell ref="BJ60:BJ62"/>
    <mergeCell ref="BK60:BK62"/>
    <mergeCell ref="BL60:BL62"/>
    <mergeCell ref="BM60:BM62"/>
    <mergeCell ref="BN60:BN62"/>
    <mergeCell ref="BO60:BO62"/>
    <mergeCell ref="BD60:BD62"/>
    <mergeCell ref="BE60:BE62"/>
    <mergeCell ref="BF60:BF62"/>
    <mergeCell ref="BG60:BG62"/>
    <mergeCell ref="BH60:BH62"/>
    <mergeCell ref="BI60:BI62"/>
    <mergeCell ref="AX60:AX62"/>
    <mergeCell ref="AY60:AY62"/>
    <mergeCell ref="AZ60:AZ62"/>
    <mergeCell ref="CM60:CM62"/>
    <mergeCell ref="CB60:CB62"/>
    <mergeCell ref="CC60:CC62"/>
    <mergeCell ref="CD60:CD62"/>
    <mergeCell ref="CE60:CE62"/>
    <mergeCell ref="CF60:CF62"/>
    <mergeCell ref="CG60:CG62"/>
    <mergeCell ref="BV60:BV62"/>
    <mergeCell ref="BW60:BW62"/>
    <mergeCell ref="BX60:BX62"/>
    <mergeCell ref="BY60:BY62"/>
    <mergeCell ref="BZ60:BZ62"/>
    <mergeCell ref="CA60:CA62"/>
    <mergeCell ref="BP60:BP62"/>
    <mergeCell ref="BQ60:BQ62"/>
    <mergeCell ref="BR60:BR62"/>
    <mergeCell ref="BS60:BS62"/>
    <mergeCell ref="BT60:BT62"/>
    <mergeCell ref="BU60:BU62"/>
    <mergeCell ref="BA60:BA62"/>
    <mergeCell ref="BB60:BB62"/>
    <mergeCell ref="BC60:BC62"/>
    <mergeCell ref="AR60:AR62"/>
    <mergeCell ref="AS60:AS62"/>
    <mergeCell ref="AT60:AT62"/>
    <mergeCell ref="AU60:AU62"/>
    <mergeCell ref="AV60:AV62"/>
    <mergeCell ref="AW60:AW62"/>
    <mergeCell ref="AL60:AL62"/>
    <mergeCell ref="AM60:AM62"/>
    <mergeCell ref="AN60:AN62"/>
    <mergeCell ref="AO60:AO62"/>
    <mergeCell ref="AP60:AP62"/>
    <mergeCell ref="AQ60:AQ62"/>
    <mergeCell ref="AF60:AF62"/>
    <mergeCell ref="AG60:AG62"/>
    <mergeCell ref="AH60:AH62"/>
    <mergeCell ref="AI60:AI62"/>
    <mergeCell ref="AJ60:AJ62"/>
    <mergeCell ref="AK60:AK62"/>
    <mergeCell ref="Z60:Z62"/>
    <mergeCell ref="AA60:AA62"/>
    <mergeCell ref="AB60:AB62"/>
    <mergeCell ref="AC60:AC62"/>
    <mergeCell ref="AD60:AD62"/>
    <mergeCell ref="AE60:AE62"/>
    <mergeCell ref="T60:T62"/>
    <mergeCell ref="U60:U62"/>
    <mergeCell ref="V60:V62"/>
    <mergeCell ref="W60:W62"/>
    <mergeCell ref="X60:X62"/>
    <mergeCell ref="Y60:Y62"/>
    <mergeCell ref="CI56:CI59"/>
    <mergeCell ref="CJ56:CJ59"/>
    <mergeCell ref="CK56:CK59"/>
    <mergeCell ref="CL56:CL59"/>
    <mergeCell ref="CM56:CM59"/>
    <mergeCell ref="BH56:BH59"/>
    <mergeCell ref="BI56:BI59"/>
    <mergeCell ref="BJ56:BJ59"/>
    <mergeCell ref="AY56:AY59"/>
    <mergeCell ref="AZ56:AZ59"/>
    <mergeCell ref="BA56:BA59"/>
    <mergeCell ref="BB56:BB59"/>
    <mergeCell ref="BC56:BC59"/>
    <mergeCell ref="BD56:BD59"/>
    <mergeCell ref="AS56:AS59"/>
    <mergeCell ref="AT56:AT59"/>
    <mergeCell ref="AU56:AU59"/>
    <mergeCell ref="AV56:AV59"/>
    <mergeCell ref="AW56:AW59"/>
    <mergeCell ref="AX56:AX59"/>
    <mergeCell ref="A60:A62"/>
    <mergeCell ref="P60:P62"/>
    <mergeCell ref="Q60:Q62"/>
    <mergeCell ref="R60:R62"/>
    <mergeCell ref="S60:S62"/>
    <mergeCell ref="CC56:CC59"/>
    <mergeCell ref="CD56:CD59"/>
    <mergeCell ref="CE56:CE59"/>
    <mergeCell ref="CF56:CF59"/>
    <mergeCell ref="CG56:CG59"/>
    <mergeCell ref="CH56:CH59"/>
    <mergeCell ref="BW56:BW59"/>
    <mergeCell ref="BX56:BX59"/>
    <mergeCell ref="BY56:BY59"/>
    <mergeCell ref="BZ56:BZ59"/>
    <mergeCell ref="CA56:CA59"/>
    <mergeCell ref="CB56:CB59"/>
    <mergeCell ref="BQ56:BQ59"/>
    <mergeCell ref="BR56:BR59"/>
    <mergeCell ref="BS56:BS59"/>
    <mergeCell ref="BT56:BT59"/>
    <mergeCell ref="BU56:BU59"/>
    <mergeCell ref="BV56:BV59"/>
    <mergeCell ref="BK56:BK59"/>
    <mergeCell ref="BL56:BL59"/>
    <mergeCell ref="BM56:BM59"/>
    <mergeCell ref="BN56:BN59"/>
    <mergeCell ref="BO56:BO59"/>
    <mergeCell ref="BP56:BP59"/>
    <mergeCell ref="BE56:BE59"/>
    <mergeCell ref="BF56:BF59"/>
    <mergeCell ref="BG56:BG59"/>
    <mergeCell ref="AM56:AM59"/>
    <mergeCell ref="AN56:AN59"/>
    <mergeCell ref="AO56:AO59"/>
    <mergeCell ref="AP56:AP59"/>
    <mergeCell ref="AQ56:AQ59"/>
    <mergeCell ref="AR56:AR59"/>
    <mergeCell ref="AG56:AG59"/>
    <mergeCell ref="AH56:AH59"/>
    <mergeCell ref="AI56:AI59"/>
    <mergeCell ref="AJ56:AJ59"/>
    <mergeCell ref="AK56:AK59"/>
    <mergeCell ref="AL56:AL59"/>
    <mergeCell ref="AA56:AA59"/>
    <mergeCell ref="AB56:AB59"/>
    <mergeCell ref="AC56:AC59"/>
    <mergeCell ref="AD56:AD59"/>
    <mergeCell ref="AE56:AE59"/>
    <mergeCell ref="AF56:AF59"/>
    <mergeCell ref="U56:U59"/>
    <mergeCell ref="V56:V59"/>
    <mergeCell ref="W56:W59"/>
    <mergeCell ref="X56:X59"/>
    <mergeCell ref="Y56:Y59"/>
    <mergeCell ref="Z56:Z59"/>
    <mergeCell ref="A56:A59"/>
    <mergeCell ref="P56:P59"/>
    <mergeCell ref="Q56:Q59"/>
    <mergeCell ref="R56:R59"/>
    <mergeCell ref="S56:S59"/>
    <mergeCell ref="T56:T59"/>
    <mergeCell ref="CH54:CH55"/>
    <mergeCell ref="CI54:CI55"/>
    <mergeCell ref="CJ54:CJ55"/>
    <mergeCell ref="CK54:CK55"/>
    <mergeCell ref="CL54:CL55"/>
    <mergeCell ref="BJ54:BJ55"/>
    <mergeCell ref="BK54:BK55"/>
    <mergeCell ref="BL54:BL55"/>
    <mergeCell ref="BM54:BM55"/>
    <mergeCell ref="BN54:BN55"/>
    <mergeCell ref="BO54:BO55"/>
    <mergeCell ref="BD54:BD55"/>
    <mergeCell ref="BE54:BE55"/>
    <mergeCell ref="BF54:BF55"/>
    <mergeCell ref="BG54:BG55"/>
    <mergeCell ref="BH54:BH55"/>
    <mergeCell ref="BI54:BI55"/>
    <mergeCell ref="AX54:AX55"/>
    <mergeCell ref="AY54:AY55"/>
    <mergeCell ref="AZ54:AZ55"/>
    <mergeCell ref="CM54:CM55"/>
    <mergeCell ref="CB54:CB55"/>
    <mergeCell ref="CC54:CC55"/>
    <mergeCell ref="CD54:CD55"/>
    <mergeCell ref="CE54:CE55"/>
    <mergeCell ref="CF54:CF55"/>
    <mergeCell ref="CG54:CG55"/>
    <mergeCell ref="BV54:BV55"/>
    <mergeCell ref="BW54:BW55"/>
    <mergeCell ref="BX54:BX55"/>
    <mergeCell ref="BY54:BY55"/>
    <mergeCell ref="BZ54:BZ55"/>
    <mergeCell ref="CA54:CA55"/>
    <mergeCell ref="BP54:BP55"/>
    <mergeCell ref="BQ54:BQ55"/>
    <mergeCell ref="BR54:BR55"/>
    <mergeCell ref="BS54:BS55"/>
    <mergeCell ref="BT54:BT55"/>
    <mergeCell ref="BU54:BU55"/>
    <mergeCell ref="BA54:BA55"/>
    <mergeCell ref="BB54:BB55"/>
    <mergeCell ref="BC54:BC55"/>
    <mergeCell ref="AR54:AR55"/>
    <mergeCell ref="AS54:AS55"/>
    <mergeCell ref="AT54:AT55"/>
    <mergeCell ref="AU54:AU55"/>
    <mergeCell ref="AV54:AV55"/>
    <mergeCell ref="AW54:AW55"/>
    <mergeCell ref="AL54:AL55"/>
    <mergeCell ref="AM54:AM55"/>
    <mergeCell ref="AN54:AN55"/>
    <mergeCell ref="AO54:AO55"/>
    <mergeCell ref="AP54:AP55"/>
    <mergeCell ref="AQ54:AQ55"/>
    <mergeCell ref="AF54:AF55"/>
    <mergeCell ref="AG54:AG55"/>
    <mergeCell ref="AH54:AH55"/>
    <mergeCell ref="AI54:AI55"/>
    <mergeCell ref="AJ54:AJ55"/>
    <mergeCell ref="AK54:AK55"/>
    <mergeCell ref="Z54:Z55"/>
    <mergeCell ref="AA54:AA55"/>
    <mergeCell ref="AB54:AB55"/>
    <mergeCell ref="AC54:AC55"/>
    <mergeCell ref="AD54:AD55"/>
    <mergeCell ref="AE54:AE55"/>
    <mergeCell ref="T54:T55"/>
    <mergeCell ref="U54:U55"/>
    <mergeCell ref="V54:V55"/>
    <mergeCell ref="W54:W55"/>
    <mergeCell ref="X54:X55"/>
    <mergeCell ref="Y54:Y55"/>
    <mergeCell ref="CI49:CI52"/>
    <mergeCell ref="CJ49:CJ52"/>
    <mergeCell ref="CK49:CK52"/>
    <mergeCell ref="CL49:CL52"/>
    <mergeCell ref="CM49:CM52"/>
    <mergeCell ref="BH49:BH52"/>
    <mergeCell ref="BI49:BI52"/>
    <mergeCell ref="BJ49:BJ52"/>
    <mergeCell ref="AY49:AY52"/>
    <mergeCell ref="AZ49:AZ52"/>
    <mergeCell ref="BA49:BA52"/>
    <mergeCell ref="BB49:BB52"/>
    <mergeCell ref="BC49:BC52"/>
    <mergeCell ref="BD49:BD52"/>
    <mergeCell ref="AS49:AS52"/>
    <mergeCell ref="AT49:AT52"/>
    <mergeCell ref="AU49:AU52"/>
    <mergeCell ref="AV49:AV52"/>
    <mergeCell ref="AW49:AW52"/>
    <mergeCell ref="AX49:AX52"/>
    <mergeCell ref="A54:A55"/>
    <mergeCell ref="P54:P55"/>
    <mergeCell ref="Q54:Q55"/>
    <mergeCell ref="R54:R55"/>
    <mergeCell ref="S54:S55"/>
    <mergeCell ref="CC49:CC52"/>
    <mergeCell ref="CD49:CD52"/>
    <mergeCell ref="CE49:CE52"/>
    <mergeCell ref="CF49:CF52"/>
    <mergeCell ref="CG49:CG52"/>
    <mergeCell ref="CH49:CH52"/>
    <mergeCell ref="BW49:BW52"/>
    <mergeCell ref="BX49:BX52"/>
    <mergeCell ref="BY49:BY52"/>
    <mergeCell ref="BZ49:BZ52"/>
    <mergeCell ref="CA49:CA52"/>
    <mergeCell ref="CB49:CB52"/>
    <mergeCell ref="BQ49:BQ52"/>
    <mergeCell ref="BR49:BR52"/>
    <mergeCell ref="BS49:BS52"/>
    <mergeCell ref="BT49:BT52"/>
    <mergeCell ref="BU49:BU52"/>
    <mergeCell ref="BV49:BV52"/>
    <mergeCell ref="BK49:BK52"/>
    <mergeCell ref="BL49:BL52"/>
    <mergeCell ref="BM49:BM52"/>
    <mergeCell ref="BN49:BN52"/>
    <mergeCell ref="BO49:BO52"/>
    <mergeCell ref="BP49:BP52"/>
    <mergeCell ref="BE49:BE52"/>
    <mergeCell ref="BF49:BF52"/>
    <mergeCell ref="BG49:BG52"/>
    <mergeCell ref="AM49:AM52"/>
    <mergeCell ref="AN49:AN52"/>
    <mergeCell ref="AO49:AO52"/>
    <mergeCell ref="AP49:AP52"/>
    <mergeCell ref="AQ49:AQ52"/>
    <mergeCell ref="AR49:AR52"/>
    <mergeCell ref="AG49:AG52"/>
    <mergeCell ref="AH49:AH52"/>
    <mergeCell ref="AI49:AI52"/>
    <mergeCell ref="AJ49:AJ52"/>
    <mergeCell ref="AK49:AK52"/>
    <mergeCell ref="AL49:AL52"/>
    <mergeCell ref="AA49:AA52"/>
    <mergeCell ref="AB49:AB52"/>
    <mergeCell ref="AC49:AC52"/>
    <mergeCell ref="AD49:AD52"/>
    <mergeCell ref="AE49:AE52"/>
    <mergeCell ref="AF49:AF52"/>
    <mergeCell ref="U49:U52"/>
    <mergeCell ref="V49:V52"/>
    <mergeCell ref="W49:W52"/>
    <mergeCell ref="X49:X52"/>
    <mergeCell ref="Y49:Y52"/>
    <mergeCell ref="Z49:Z52"/>
    <mergeCell ref="A49:A52"/>
    <mergeCell ref="P49:P52"/>
    <mergeCell ref="Q49:Q52"/>
    <mergeCell ref="R49:R52"/>
    <mergeCell ref="S49:S52"/>
    <mergeCell ref="T49:T52"/>
    <mergeCell ref="CH43:CH48"/>
    <mergeCell ref="CI43:CI48"/>
    <mergeCell ref="CJ43:CJ48"/>
    <mergeCell ref="CK43:CK48"/>
    <mergeCell ref="CL43:CL48"/>
    <mergeCell ref="BJ43:BJ48"/>
    <mergeCell ref="BK43:BK48"/>
    <mergeCell ref="BL43:BL48"/>
    <mergeCell ref="BM43:BM48"/>
    <mergeCell ref="BN43:BN48"/>
    <mergeCell ref="BO43:BO48"/>
    <mergeCell ref="BD43:BD48"/>
    <mergeCell ref="BE43:BE48"/>
    <mergeCell ref="BF43:BF48"/>
    <mergeCell ref="BG43:BG48"/>
    <mergeCell ref="BH43:BH48"/>
    <mergeCell ref="BI43:BI48"/>
    <mergeCell ref="AX43:AX48"/>
    <mergeCell ref="AY43:AY48"/>
    <mergeCell ref="AZ43:AZ48"/>
    <mergeCell ref="CM43:CM48"/>
    <mergeCell ref="CB43:CB48"/>
    <mergeCell ref="CC43:CC48"/>
    <mergeCell ref="CD43:CD48"/>
    <mergeCell ref="CE43:CE48"/>
    <mergeCell ref="CF43:CF48"/>
    <mergeCell ref="CG43:CG48"/>
    <mergeCell ref="BV43:BV48"/>
    <mergeCell ref="BW43:BW48"/>
    <mergeCell ref="BX43:BX48"/>
    <mergeCell ref="BY43:BY48"/>
    <mergeCell ref="BZ43:BZ48"/>
    <mergeCell ref="CA43:CA48"/>
    <mergeCell ref="BP43:BP48"/>
    <mergeCell ref="BQ43:BQ48"/>
    <mergeCell ref="BR43:BR48"/>
    <mergeCell ref="BS43:BS48"/>
    <mergeCell ref="BT43:BT48"/>
    <mergeCell ref="BU43:BU48"/>
    <mergeCell ref="BA43:BA48"/>
    <mergeCell ref="BB43:BB48"/>
    <mergeCell ref="BC43:BC48"/>
    <mergeCell ref="AR43:AR48"/>
    <mergeCell ref="AS43:AS48"/>
    <mergeCell ref="AT43:AT48"/>
    <mergeCell ref="AU43:AU48"/>
    <mergeCell ref="AV43:AV48"/>
    <mergeCell ref="AW43:AW48"/>
    <mergeCell ref="AL43:AL48"/>
    <mergeCell ref="AM43:AM48"/>
    <mergeCell ref="AN43:AN48"/>
    <mergeCell ref="AO43:AO48"/>
    <mergeCell ref="AP43:AP48"/>
    <mergeCell ref="AQ43:AQ48"/>
    <mergeCell ref="AF43:AF48"/>
    <mergeCell ref="AG43:AG48"/>
    <mergeCell ref="AH43:AH48"/>
    <mergeCell ref="AI43:AI48"/>
    <mergeCell ref="AJ43:AJ48"/>
    <mergeCell ref="AK43:AK48"/>
    <mergeCell ref="Z43:Z48"/>
    <mergeCell ref="AA43:AA48"/>
    <mergeCell ref="AB43:AB48"/>
    <mergeCell ref="AC43:AC48"/>
    <mergeCell ref="AD43:AD48"/>
    <mergeCell ref="AE43:AE48"/>
    <mergeCell ref="T43:T48"/>
    <mergeCell ref="U43:U48"/>
    <mergeCell ref="V43:V48"/>
    <mergeCell ref="W43:W48"/>
    <mergeCell ref="X43:X48"/>
    <mergeCell ref="Y43:Y48"/>
    <mergeCell ref="CI40:CI41"/>
    <mergeCell ref="CJ40:CJ41"/>
    <mergeCell ref="CK40:CK41"/>
    <mergeCell ref="CL40:CL41"/>
    <mergeCell ref="CM40:CM41"/>
    <mergeCell ref="BH40:BH41"/>
    <mergeCell ref="BI40:BI41"/>
    <mergeCell ref="BJ40:BJ41"/>
    <mergeCell ref="AY40:AY41"/>
    <mergeCell ref="AZ40:AZ41"/>
    <mergeCell ref="BA40:BA41"/>
    <mergeCell ref="BB40:BB41"/>
    <mergeCell ref="BC40:BC41"/>
    <mergeCell ref="BD40:BD41"/>
    <mergeCell ref="AS40:AS41"/>
    <mergeCell ref="AT40:AT41"/>
    <mergeCell ref="AU40:AU41"/>
    <mergeCell ref="AV40:AV41"/>
    <mergeCell ref="AW40:AW41"/>
    <mergeCell ref="AX40:AX41"/>
    <mergeCell ref="A43:A48"/>
    <mergeCell ref="P43:P48"/>
    <mergeCell ref="Q43:Q48"/>
    <mergeCell ref="R43:R48"/>
    <mergeCell ref="S43:S48"/>
    <mergeCell ref="CC40:CC41"/>
    <mergeCell ref="CD40:CD41"/>
    <mergeCell ref="CE40:CE41"/>
    <mergeCell ref="CF40:CF41"/>
    <mergeCell ref="CG40:CG41"/>
    <mergeCell ref="CH40:CH41"/>
    <mergeCell ref="BW40:BW41"/>
    <mergeCell ref="BX40:BX41"/>
    <mergeCell ref="BY40:BY41"/>
    <mergeCell ref="BZ40:BZ41"/>
    <mergeCell ref="CA40:CA41"/>
    <mergeCell ref="CB40:CB41"/>
    <mergeCell ref="BQ40:BQ41"/>
    <mergeCell ref="BR40:BR41"/>
    <mergeCell ref="BS40:BS41"/>
    <mergeCell ref="BT40:BT41"/>
    <mergeCell ref="BU40:BU41"/>
    <mergeCell ref="BV40:BV41"/>
    <mergeCell ref="BK40:BK41"/>
    <mergeCell ref="BL40:BL41"/>
    <mergeCell ref="BM40:BM41"/>
    <mergeCell ref="BN40:BN41"/>
    <mergeCell ref="BO40:BO41"/>
    <mergeCell ref="BP40:BP41"/>
    <mergeCell ref="BE40:BE41"/>
    <mergeCell ref="BF40:BF41"/>
    <mergeCell ref="BG40:BG41"/>
    <mergeCell ref="AM40:AM41"/>
    <mergeCell ref="AN40:AN41"/>
    <mergeCell ref="AO40:AO41"/>
    <mergeCell ref="AP40:AP41"/>
    <mergeCell ref="AQ40:AQ41"/>
    <mergeCell ref="AR40:AR41"/>
    <mergeCell ref="AG40:AG41"/>
    <mergeCell ref="AH40:AH41"/>
    <mergeCell ref="AI40:AI41"/>
    <mergeCell ref="AJ40:AJ41"/>
    <mergeCell ref="AK40:AK41"/>
    <mergeCell ref="AL40:AL41"/>
    <mergeCell ref="AA40:AA41"/>
    <mergeCell ref="AB40:AB41"/>
    <mergeCell ref="AC40:AC41"/>
    <mergeCell ref="AD40:AD41"/>
    <mergeCell ref="AE40:AE41"/>
    <mergeCell ref="AF40:AF41"/>
    <mergeCell ref="U40:U41"/>
    <mergeCell ref="V40:V41"/>
    <mergeCell ref="W40:W41"/>
    <mergeCell ref="X40:X41"/>
    <mergeCell ref="Y40:Y41"/>
    <mergeCell ref="Z40:Z41"/>
    <mergeCell ref="A40:A41"/>
    <mergeCell ref="P40:P41"/>
    <mergeCell ref="Q40:Q41"/>
    <mergeCell ref="R40:R41"/>
    <mergeCell ref="S40:S41"/>
    <mergeCell ref="T40:T41"/>
    <mergeCell ref="CH37:CH38"/>
    <mergeCell ref="CI37:CI38"/>
    <mergeCell ref="CJ37:CJ38"/>
    <mergeCell ref="CK37:CK38"/>
    <mergeCell ref="CL37:CL38"/>
    <mergeCell ref="BJ37:BJ38"/>
    <mergeCell ref="BK37:BK38"/>
    <mergeCell ref="BL37:BL38"/>
    <mergeCell ref="BM37:BM38"/>
    <mergeCell ref="BN37:BN38"/>
    <mergeCell ref="BO37:BO38"/>
    <mergeCell ref="BD37:BD38"/>
    <mergeCell ref="BE37:BE38"/>
    <mergeCell ref="BF37:BF38"/>
    <mergeCell ref="BG37:BG38"/>
    <mergeCell ref="BH37:BH38"/>
    <mergeCell ref="BI37:BI38"/>
    <mergeCell ref="AX37:AX38"/>
    <mergeCell ref="AY37:AY38"/>
    <mergeCell ref="AZ37:AZ38"/>
    <mergeCell ref="CM37:CM38"/>
    <mergeCell ref="CB37:CB38"/>
    <mergeCell ref="CC37:CC38"/>
    <mergeCell ref="CD37:CD38"/>
    <mergeCell ref="CE37:CE38"/>
    <mergeCell ref="CF37:CF38"/>
    <mergeCell ref="CG37:CG38"/>
    <mergeCell ref="BV37:BV38"/>
    <mergeCell ref="BW37:BW38"/>
    <mergeCell ref="BX37:BX38"/>
    <mergeCell ref="BY37:BY38"/>
    <mergeCell ref="BZ37:BZ38"/>
    <mergeCell ref="CA37:CA38"/>
    <mergeCell ref="BP37:BP38"/>
    <mergeCell ref="BQ37:BQ38"/>
    <mergeCell ref="BR37:BR38"/>
    <mergeCell ref="BS37:BS38"/>
    <mergeCell ref="BT37:BT38"/>
    <mergeCell ref="BU37:BU38"/>
    <mergeCell ref="BA37:BA38"/>
    <mergeCell ref="BB37:BB38"/>
    <mergeCell ref="BC37:BC38"/>
    <mergeCell ref="AR37:AR38"/>
    <mergeCell ref="AS37:AS38"/>
    <mergeCell ref="AT37:AT38"/>
    <mergeCell ref="AU37:AU38"/>
    <mergeCell ref="AV37:AV38"/>
    <mergeCell ref="AW37:AW38"/>
    <mergeCell ref="AL37:AL38"/>
    <mergeCell ref="AM37:AM38"/>
    <mergeCell ref="AN37:AN38"/>
    <mergeCell ref="AO37:AO38"/>
    <mergeCell ref="AP37:AP38"/>
    <mergeCell ref="AQ37:AQ38"/>
    <mergeCell ref="AF37:AF38"/>
    <mergeCell ref="AG37:AG38"/>
    <mergeCell ref="AH37:AH38"/>
    <mergeCell ref="AI37:AI38"/>
    <mergeCell ref="AJ37:AJ38"/>
    <mergeCell ref="AK37:AK38"/>
    <mergeCell ref="Z37:Z38"/>
    <mergeCell ref="AA37:AA38"/>
    <mergeCell ref="AB37:AB38"/>
    <mergeCell ref="AC37:AC38"/>
    <mergeCell ref="AD37:AD38"/>
    <mergeCell ref="AE37:AE38"/>
    <mergeCell ref="T37:T38"/>
    <mergeCell ref="U37:U38"/>
    <mergeCell ref="V37:V38"/>
    <mergeCell ref="W37:W38"/>
    <mergeCell ref="X37:X38"/>
    <mergeCell ref="Y37:Y38"/>
    <mergeCell ref="CI34:CI35"/>
    <mergeCell ref="CJ34:CJ35"/>
    <mergeCell ref="CK34:CK35"/>
    <mergeCell ref="CL34:CL35"/>
    <mergeCell ref="CM34:CM35"/>
    <mergeCell ref="BH34:BH35"/>
    <mergeCell ref="BI34:BI35"/>
    <mergeCell ref="BJ34:BJ35"/>
    <mergeCell ref="AY34:AY35"/>
    <mergeCell ref="AZ34:AZ35"/>
    <mergeCell ref="BA34:BA35"/>
    <mergeCell ref="BB34:BB35"/>
    <mergeCell ref="BC34:BC35"/>
    <mergeCell ref="BD34:BD35"/>
    <mergeCell ref="AS34:AS35"/>
    <mergeCell ref="AT34:AT35"/>
    <mergeCell ref="AU34:AU35"/>
    <mergeCell ref="AV34:AV35"/>
    <mergeCell ref="AW34:AW35"/>
    <mergeCell ref="AX34:AX35"/>
    <mergeCell ref="A37:A38"/>
    <mergeCell ref="P37:P38"/>
    <mergeCell ref="Q37:Q38"/>
    <mergeCell ref="R37:R38"/>
    <mergeCell ref="S37:S38"/>
    <mergeCell ref="CC34:CC35"/>
    <mergeCell ref="CD34:CD35"/>
    <mergeCell ref="CE34:CE35"/>
    <mergeCell ref="CF34:CF35"/>
    <mergeCell ref="CG34:CG35"/>
    <mergeCell ref="CH34:CH35"/>
    <mergeCell ref="BW34:BW35"/>
    <mergeCell ref="BX34:BX35"/>
    <mergeCell ref="BY34:BY35"/>
    <mergeCell ref="BZ34:BZ35"/>
    <mergeCell ref="CA34:CA35"/>
    <mergeCell ref="CB34:CB35"/>
    <mergeCell ref="BQ34:BQ35"/>
    <mergeCell ref="BR34:BR35"/>
    <mergeCell ref="BS34:BS35"/>
    <mergeCell ref="BT34:BT35"/>
    <mergeCell ref="BU34:BU35"/>
    <mergeCell ref="BV34:BV35"/>
    <mergeCell ref="BK34:BK35"/>
    <mergeCell ref="BL34:BL35"/>
    <mergeCell ref="BM34:BM35"/>
    <mergeCell ref="BN34:BN35"/>
    <mergeCell ref="BO34:BO35"/>
    <mergeCell ref="BP34:BP35"/>
    <mergeCell ref="BE34:BE35"/>
    <mergeCell ref="BF34:BF35"/>
    <mergeCell ref="BG34:BG35"/>
    <mergeCell ref="AM34:AM35"/>
    <mergeCell ref="AN34:AN35"/>
    <mergeCell ref="AO34:AO35"/>
    <mergeCell ref="AP34:AP35"/>
    <mergeCell ref="AQ34:AQ35"/>
    <mergeCell ref="AR34:AR35"/>
    <mergeCell ref="AG34:AG35"/>
    <mergeCell ref="AH34:AH35"/>
    <mergeCell ref="AI34:AI35"/>
    <mergeCell ref="AJ34:AJ35"/>
    <mergeCell ref="AK34:AK35"/>
    <mergeCell ref="AL34:AL35"/>
    <mergeCell ref="AA34:AA35"/>
    <mergeCell ref="AB34:AB35"/>
    <mergeCell ref="AC34:AC35"/>
    <mergeCell ref="AD34:AD35"/>
    <mergeCell ref="AE34:AE35"/>
    <mergeCell ref="AF34:AF35"/>
    <mergeCell ref="U34:U35"/>
    <mergeCell ref="V34:V35"/>
    <mergeCell ref="W34:W35"/>
    <mergeCell ref="X34:X35"/>
    <mergeCell ref="Y34:Y35"/>
    <mergeCell ref="Z34:Z35"/>
    <mergeCell ref="A34:A35"/>
    <mergeCell ref="P34:P35"/>
    <mergeCell ref="Q34:Q35"/>
    <mergeCell ref="R34:R35"/>
    <mergeCell ref="S34:S35"/>
    <mergeCell ref="T34:T35"/>
    <mergeCell ref="CH31:CH33"/>
    <mergeCell ref="CI31:CI33"/>
    <mergeCell ref="CJ31:CJ33"/>
    <mergeCell ref="CK31:CK33"/>
    <mergeCell ref="CL31:CL33"/>
    <mergeCell ref="BJ31:BJ33"/>
    <mergeCell ref="BK31:BK33"/>
    <mergeCell ref="BL31:BL33"/>
    <mergeCell ref="BM31:BM33"/>
    <mergeCell ref="BN31:BN33"/>
    <mergeCell ref="BO31:BO33"/>
    <mergeCell ref="BD31:BD33"/>
    <mergeCell ref="BE31:BE33"/>
    <mergeCell ref="BF31:BF33"/>
    <mergeCell ref="BG31:BG33"/>
    <mergeCell ref="BH31:BH33"/>
    <mergeCell ref="BI31:BI33"/>
    <mergeCell ref="AX31:AX33"/>
    <mergeCell ref="AY31:AY33"/>
    <mergeCell ref="AZ31:AZ33"/>
    <mergeCell ref="CM31:CM33"/>
    <mergeCell ref="CB31:CB33"/>
    <mergeCell ref="CC31:CC33"/>
    <mergeCell ref="CD31:CD33"/>
    <mergeCell ref="CE31:CE33"/>
    <mergeCell ref="CF31:CF33"/>
    <mergeCell ref="CG31:CG33"/>
    <mergeCell ref="BV31:BV33"/>
    <mergeCell ref="BW31:BW33"/>
    <mergeCell ref="BX31:BX33"/>
    <mergeCell ref="BY31:BY33"/>
    <mergeCell ref="BZ31:BZ33"/>
    <mergeCell ref="CA31:CA33"/>
    <mergeCell ref="BP31:BP33"/>
    <mergeCell ref="BQ31:BQ33"/>
    <mergeCell ref="BR31:BR33"/>
    <mergeCell ref="BS31:BS33"/>
    <mergeCell ref="BT31:BT33"/>
    <mergeCell ref="BU31:BU33"/>
    <mergeCell ref="BA31:BA33"/>
    <mergeCell ref="BB31:BB33"/>
    <mergeCell ref="BC31:BC33"/>
    <mergeCell ref="AR31:AR33"/>
    <mergeCell ref="AS31:AS33"/>
    <mergeCell ref="AT31:AT33"/>
    <mergeCell ref="AU31:AU33"/>
    <mergeCell ref="AV31:AV33"/>
    <mergeCell ref="AW31:AW33"/>
    <mergeCell ref="AL31:AL33"/>
    <mergeCell ref="AM31:AM33"/>
    <mergeCell ref="AN31:AN33"/>
    <mergeCell ref="AO31:AO33"/>
    <mergeCell ref="AP31:AP33"/>
    <mergeCell ref="AQ31:AQ33"/>
    <mergeCell ref="AF31:AF33"/>
    <mergeCell ref="AG31:AG33"/>
    <mergeCell ref="AH31:AH33"/>
    <mergeCell ref="AI31:AI33"/>
    <mergeCell ref="AJ31:AJ33"/>
    <mergeCell ref="AK31:AK33"/>
    <mergeCell ref="Z31:Z33"/>
    <mergeCell ref="AA31:AA33"/>
    <mergeCell ref="AB31:AB33"/>
    <mergeCell ref="AC31:AC33"/>
    <mergeCell ref="AD31:AD33"/>
    <mergeCell ref="AE31:AE33"/>
    <mergeCell ref="T31:T33"/>
    <mergeCell ref="U31:U33"/>
    <mergeCell ref="V31:V33"/>
    <mergeCell ref="W31:W33"/>
    <mergeCell ref="X31:X33"/>
    <mergeCell ref="Y31:Y33"/>
    <mergeCell ref="CI28:CI30"/>
    <mergeCell ref="CJ28:CJ30"/>
    <mergeCell ref="CK28:CK30"/>
    <mergeCell ref="CL28:CL30"/>
    <mergeCell ref="CM28:CM30"/>
    <mergeCell ref="BH28:BH30"/>
    <mergeCell ref="BI28:BI30"/>
    <mergeCell ref="BJ28:BJ30"/>
    <mergeCell ref="AY28:AY30"/>
    <mergeCell ref="AZ28:AZ30"/>
    <mergeCell ref="BA28:BA30"/>
    <mergeCell ref="BB28:BB30"/>
    <mergeCell ref="BC28:BC30"/>
    <mergeCell ref="BD28:BD30"/>
    <mergeCell ref="AS28:AS30"/>
    <mergeCell ref="AT28:AT30"/>
    <mergeCell ref="AU28:AU30"/>
    <mergeCell ref="AV28:AV30"/>
    <mergeCell ref="AW28:AW30"/>
    <mergeCell ref="AX28:AX30"/>
    <mergeCell ref="A31:A33"/>
    <mergeCell ref="P31:P33"/>
    <mergeCell ref="Q31:Q33"/>
    <mergeCell ref="R31:R33"/>
    <mergeCell ref="S31:S33"/>
    <mergeCell ref="CC28:CC30"/>
    <mergeCell ref="CD28:CD30"/>
    <mergeCell ref="CE28:CE30"/>
    <mergeCell ref="CF28:CF30"/>
    <mergeCell ref="CG28:CG30"/>
    <mergeCell ref="CH28:CH30"/>
    <mergeCell ref="BW28:BW30"/>
    <mergeCell ref="BX28:BX30"/>
    <mergeCell ref="BY28:BY30"/>
    <mergeCell ref="BZ28:BZ30"/>
    <mergeCell ref="CA28:CA30"/>
    <mergeCell ref="CB28:CB30"/>
    <mergeCell ref="BQ28:BQ30"/>
    <mergeCell ref="BR28:BR30"/>
    <mergeCell ref="BS28:BS30"/>
    <mergeCell ref="BT28:BT30"/>
    <mergeCell ref="BU28:BU30"/>
    <mergeCell ref="BV28:BV30"/>
    <mergeCell ref="BK28:BK30"/>
    <mergeCell ref="BL28:BL30"/>
    <mergeCell ref="BM28:BM30"/>
    <mergeCell ref="BN28:BN30"/>
    <mergeCell ref="BO28:BO30"/>
    <mergeCell ref="BP28:BP30"/>
    <mergeCell ref="BE28:BE30"/>
    <mergeCell ref="BF28:BF30"/>
    <mergeCell ref="BG28:BG30"/>
    <mergeCell ref="AM28:AM30"/>
    <mergeCell ref="AN28:AN30"/>
    <mergeCell ref="AO28:AO30"/>
    <mergeCell ref="AP28:AP30"/>
    <mergeCell ref="AQ28:AQ30"/>
    <mergeCell ref="AR28:AR30"/>
    <mergeCell ref="AG28:AG30"/>
    <mergeCell ref="AH28:AH30"/>
    <mergeCell ref="AI28:AI30"/>
    <mergeCell ref="AJ28:AJ30"/>
    <mergeCell ref="AK28:AK30"/>
    <mergeCell ref="AL28:AL30"/>
    <mergeCell ref="AA28:AA30"/>
    <mergeCell ref="AB28:AB30"/>
    <mergeCell ref="AC28:AC30"/>
    <mergeCell ref="AD28:AD30"/>
    <mergeCell ref="AE28:AE30"/>
    <mergeCell ref="AF28:AF30"/>
    <mergeCell ref="U28:U30"/>
    <mergeCell ref="V28:V30"/>
    <mergeCell ref="W28:W30"/>
    <mergeCell ref="X28:X30"/>
    <mergeCell ref="Y28:Y30"/>
    <mergeCell ref="Z28:Z30"/>
    <mergeCell ref="A28:A30"/>
    <mergeCell ref="P28:P30"/>
    <mergeCell ref="Q28:Q30"/>
    <mergeCell ref="R28:R30"/>
    <mergeCell ref="S28:S30"/>
    <mergeCell ref="T28:T30"/>
    <mergeCell ref="CH23:CH27"/>
    <mergeCell ref="CI23:CI27"/>
    <mergeCell ref="CJ23:CJ27"/>
    <mergeCell ref="CK23:CK27"/>
    <mergeCell ref="CL23:CL27"/>
    <mergeCell ref="BJ23:BJ27"/>
    <mergeCell ref="BK23:BK27"/>
    <mergeCell ref="BL23:BL27"/>
    <mergeCell ref="BM23:BM27"/>
    <mergeCell ref="BN23:BN27"/>
    <mergeCell ref="BO23:BO27"/>
    <mergeCell ref="BD23:BD27"/>
    <mergeCell ref="BE23:BE27"/>
    <mergeCell ref="BF23:BF27"/>
    <mergeCell ref="BG23:BG27"/>
    <mergeCell ref="BH23:BH27"/>
    <mergeCell ref="BI23:BI27"/>
    <mergeCell ref="AX23:AX27"/>
    <mergeCell ref="AY23:AY27"/>
    <mergeCell ref="AZ23:AZ27"/>
    <mergeCell ref="CM23:CM27"/>
    <mergeCell ref="CB23:CB27"/>
    <mergeCell ref="CC23:CC27"/>
    <mergeCell ref="CD23:CD27"/>
    <mergeCell ref="CE23:CE27"/>
    <mergeCell ref="CF23:CF27"/>
    <mergeCell ref="CG23:CG27"/>
    <mergeCell ref="BV23:BV27"/>
    <mergeCell ref="BW23:BW27"/>
    <mergeCell ref="BX23:BX27"/>
    <mergeCell ref="BY23:BY27"/>
    <mergeCell ref="BZ23:BZ27"/>
    <mergeCell ref="CA23:CA27"/>
    <mergeCell ref="BP23:BP27"/>
    <mergeCell ref="BQ23:BQ27"/>
    <mergeCell ref="BR23:BR27"/>
    <mergeCell ref="BS23:BS27"/>
    <mergeCell ref="BT23:BT27"/>
    <mergeCell ref="BU23:BU27"/>
    <mergeCell ref="BA23:BA27"/>
    <mergeCell ref="BB23:BB27"/>
    <mergeCell ref="BC23:BC27"/>
    <mergeCell ref="AR23:AR27"/>
    <mergeCell ref="AS23:AS27"/>
    <mergeCell ref="AT23:AT27"/>
    <mergeCell ref="AU23:AU27"/>
    <mergeCell ref="AV23:AV27"/>
    <mergeCell ref="AW23:AW27"/>
    <mergeCell ref="AL23:AL27"/>
    <mergeCell ref="AM23:AM27"/>
    <mergeCell ref="AN23:AN27"/>
    <mergeCell ref="AO23:AO27"/>
    <mergeCell ref="AP23:AP27"/>
    <mergeCell ref="AQ23:AQ27"/>
    <mergeCell ref="AF23:AF27"/>
    <mergeCell ref="AG23:AG27"/>
    <mergeCell ref="AH23:AH27"/>
    <mergeCell ref="AI23:AI27"/>
    <mergeCell ref="AJ23:AJ27"/>
    <mergeCell ref="AK23:AK27"/>
    <mergeCell ref="Z23:Z27"/>
    <mergeCell ref="AA23:AA27"/>
    <mergeCell ref="AB23:AB27"/>
    <mergeCell ref="AC23:AC27"/>
    <mergeCell ref="AD23:AD27"/>
    <mergeCell ref="AE23:AE27"/>
    <mergeCell ref="T23:T27"/>
    <mergeCell ref="U23:U27"/>
    <mergeCell ref="V23:V27"/>
    <mergeCell ref="W23:W27"/>
    <mergeCell ref="X23:X27"/>
    <mergeCell ref="Y23:Y27"/>
    <mergeCell ref="CI20:CI22"/>
    <mergeCell ref="CJ20:CJ22"/>
    <mergeCell ref="CK20:CK22"/>
    <mergeCell ref="CL20:CL22"/>
    <mergeCell ref="CM20:CM22"/>
    <mergeCell ref="BH20:BH22"/>
    <mergeCell ref="BI20:BI22"/>
    <mergeCell ref="BJ20:BJ22"/>
    <mergeCell ref="AY20:AY22"/>
    <mergeCell ref="AZ20:AZ22"/>
    <mergeCell ref="BA20:BA22"/>
    <mergeCell ref="BB20:BB22"/>
    <mergeCell ref="BC20:BC22"/>
    <mergeCell ref="BD20:BD22"/>
    <mergeCell ref="AS20:AS22"/>
    <mergeCell ref="AT20:AT22"/>
    <mergeCell ref="AU20:AU22"/>
    <mergeCell ref="AV20:AV22"/>
    <mergeCell ref="AW20:AW22"/>
    <mergeCell ref="AX20:AX22"/>
    <mergeCell ref="A23:A27"/>
    <mergeCell ref="P23:P27"/>
    <mergeCell ref="Q23:Q27"/>
    <mergeCell ref="R23:R27"/>
    <mergeCell ref="S23:S27"/>
    <mergeCell ref="CC20:CC22"/>
    <mergeCell ref="CD20:CD22"/>
    <mergeCell ref="CE20:CE22"/>
    <mergeCell ref="CF20:CF22"/>
    <mergeCell ref="CG20:CG22"/>
    <mergeCell ref="CH20:CH22"/>
    <mergeCell ref="BW20:BW22"/>
    <mergeCell ref="BX20:BX22"/>
    <mergeCell ref="BY20:BY22"/>
    <mergeCell ref="BZ20:BZ22"/>
    <mergeCell ref="CA20:CA22"/>
    <mergeCell ref="CB20:CB22"/>
    <mergeCell ref="BQ20:BQ22"/>
    <mergeCell ref="BR20:BR22"/>
    <mergeCell ref="BS20:BS22"/>
    <mergeCell ref="BT20:BT22"/>
    <mergeCell ref="BU20:BU22"/>
    <mergeCell ref="BV20:BV22"/>
    <mergeCell ref="BK20:BK22"/>
    <mergeCell ref="BL20:BL22"/>
    <mergeCell ref="BM20:BM22"/>
    <mergeCell ref="BN20:BN22"/>
    <mergeCell ref="BO20:BO22"/>
    <mergeCell ref="BP20:BP22"/>
    <mergeCell ref="BE20:BE22"/>
    <mergeCell ref="BF20:BF22"/>
    <mergeCell ref="BG20:BG22"/>
    <mergeCell ref="AM20:AM22"/>
    <mergeCell ref="AN20:AN22"/>
    <mergeCell ref="AO20:AO22"/>
    <mergeCell ref="AP20:AP22"/>
    <mergeCell ref="AQ20:AQ22"/>
    <mergeCell ref="AR20:AR22"/>
    <mergeCell ref="AG20:AG22"/>
    <mergeCell ref="AH20:AH22"/>
    <mergeCell ref="AI20:AI22"/>
    <mergeCell ref="AJ20:AJ22"/>
    <mergeCell ref="AK20:AK22"/>
    <mergeCell ref="AL20:AL22"/>
    <mergeCell ref="AA20:AA22"/>
    <mergeCell ref="AB20:AB22"/>
    <mergeCell ref="AC20:AC22"/>
    <mergeCell ref="AD20:AD22"/>
    <mergeCell ref="AE20:AE22"/>
    <mergeCell ref="AF20:AF22"/>
    <mergeCell ref="U20:U22"/>
    <mergeCell ref="V20:V22"/>
    <mergeCell ref="W20:W22"/>
    <mergeCell ref="X20:X22"/>
    <mergeCell ref="Y20:Y22"/>
    <mergeCell ref="Z20:Z22"/>
    <mergeCell ref="A20:A22"/>
    <mergeCell ref="P20:P22"/>
    <mergeCell ref="Q20:Q22"/>
    <mergeCell ref="R20:R22"/>
    <mergeCell ref="S20:S22"/>
    <mergeCell ref="T20:T22"/>
    <mergeCell ref="CH18:CH19"/>
    <mergeCell ref="CI18:CI19"/>
    <mergeCell ref="CJ18:CJ19"/>
    <mergeCell ref="CK18:CK19"/>
    <mergeCell ref="CL18:CL19"/>
    <mergeCell ref="BJ18:BJ19"/>
    <mergeCell ref="BK18:BK19"/>
    <mergeCell ref="BL18:BL19"/>
    <mergeCell ref="BM18:BM19"/>
    <mergeCell ref="BN18:BN19"/>
    <mergeCell ref="BO18:BO19"/>
    <mergeCell ref="BD18:BD19"/>
    <mergeCell ref="BE18:BE19"/>
    <mergeCell ref="BF18:BF19"/>
    <mergeCell ref="BG18:BG19"/>
    <mergeCell ref="BH18:BH19"/>
    <mergeCell ref="BI18:BI19"/>
    <mergeCell ref="AX18:AX19"/>
    <mergeCell ref="AY18:AY19"/>
    <mergeCell ref="AZ18:AZ19"/>
    <mergeCell ref="CM18:CM19"/>
    <mergeCell ref="CB18:CB19"/>
    <mergeCell ref="CC18:CC19"/>
    <mergeCell ref="CD18:CD19"/>
    <mergeCell ref="CE18:CE19"/>
    <mergeCell ref="CF18:CF19"/>
    <mergeCell ref="CG18:CG19"/>
    <mergeCell ref="BV18:BV19"/>
    <mergeCell ref="BW18:BW19"/>
    <mergeCell ref="BX18:BX19"/>
    <mergeCell ref="BY18:BY19"/>
    <mergeCell ref="BZ18:BZ19"/>
    <mergeCell ref="CA18:CA19"/>
    <mergeCell ref="BP18:BP19"/>
    <mergeCell ref="BQ18:BQ19"/>
    <mergeCell ref="BR18:BR19"/>
    <mergeCell ref="BS18:BS19"/>
    <mergeCell ref="BT18:BT19"/>
    <mergeCell ref="BU18:BU19"/>
    <mergeCell ref="BA18:BA19"/>
    <mergeCell ref="BB18:BB19"/>
    <mergeCell ref="BC18:BC19"/>
    <mergeCell ref="AR18:AR19"/>
    <mergeCell ref="AS18:AS19"/>
    <mergeCell ref="AT18:AT19"/>
    <mergeCell ref="AU18:AU19"/>
    <mergeCell ref="AV18:AV19"/>
    <mergeCell ref="AW18:AW19"/>
    <mergeCell ref="AL18:AL19"/>
    <mergeCell ref="AM18:AM19"/>
    <mergeCell ref="AN18:AN19"/>
    <mergeCell ref="AO18:AO19"/>
    <mergeCell ref="AP18:AP19"/>
    <mergeCell ref="AQ18:AQ19"/>
    <mergeCell ref="AF18:AF19"/>
    <mergeCell ref="AG18:AG19"/>
    <mergeCell ref="AH18:AH19"/>
    <mergeCell ref="AI18:AI19"/>
    <mergeCell ref="AJ18:AJ19"/>
    <mergeCell ref="AK18:AK19"/>
    <mergeCell ref="Z18:Z19"/>
    <mergeCell ref="AA18:AA19"/>
    <mergeCell ref="AB18:AB19"/>
    <mergeCell ref="AC18:AC19"/>
    <mergeCell ref="AD18:AD19"/>
    <mergeCell ref="AE18:AE19"/>
    <mergeCell ref="T18:T19"/>
    <mergeCell ref="U18:U19"/>
    <mergeCell ref="V18:V19"/>
    <mergeCell ref="W18:W19"/>
    <mergeCell ref="X18:X19"/>
    <mergeCell ref="Y18:Y19"/>
    <mergeCell ref="CI15:CI17"/>
    <mergeCell ref="CJ15:CJ17"/>
    <mergeCell ref="CK15:CK17"/>
    <mergeCell ref="CL15:CL17"/>
    <mergeCell ref="CM15:CM17"/>
    <mergeCell ref="BH15:BH17"/>
    <mergeCell ref="BI15:BI17"/>
    <mergeCell ref="BJ15:BJ17"/>
    <mergeCell ref="AY15:AY17"/>
    <mergeCell ref="AZ15:AZ17"/>
    <mergeCell ref="BA15:BA17"/>
    <mergeCell ref="BB15:BB17"/>
    <mergeCell ref="BC15:BC17"/>
    <mergeCell ref="BD15:BD17"/>
    <mergeCell ref="AS15:AS17"/>
    <mergeCell ref="AT15:AT17"/>
    <mergeCell ref="AU15:AU17"/>
    <mergeCell ref="AV15:AV17"/>
    <mergeCell ref="AW15:AW17"/>
    <mergeCell ref="AX15:AX17"/>
    <mergeCell ref="A18:A19"/>
    <mergeCell ref="P18:P19"/>
    <mergeCell ref="Q18:Q19"/>
    <mergeCell ref="R18:R19"/>
    <mergeCell ref="S18:S19"/>
    <mergeCell ref="CC15:CC17"/>
    <mergeCell ref="CD15:CD17"/>
    <mergeCell ref="CE15:CE17"/>
    <mergeCell ref="CF15:CF17"/>
    <mergeCell ref="CG15:CG17"/>
    <mergeCell ref="CH15:CH17"/>
    <mergeCell ref="BW15:BW17"/>
    <mergeCell ref="BX15:BX17"/>
    <mergeCell ref="BY15:BY17"/>
    <mergeCell ref="BZ15:BZ17"/>
    <mergeCell ref="CA15:CA17"/>
    <mergeCell ref="CB15:CB17"/>
    <mergeCell ref="BQ15:BQ17"/>
    <mergeCell ref="BR15:BR17"/>
    <mergeCell ref="BS15:BS17"/>
    <mergeCell ref="BT15:BT17"/>
    <mergeCell ref="BU15:BU17"/>
    <mergeCell ref="BV15:BV17"/>
    <mergeCell ref="BK15:BK17"/>
    <mergeCell ref="BL15:BL17"/>
    <mergeCell ref="BM15:BM17"/>
    <mergeCell ref="BN15:BN17"/>
    <mergeCell ref="BO15:BO17"/>
    <mergeCell ref="BP15:BP17"/>
    <mergeCell ref="BE15:BE17"/>
    <mergeCell ref="BF15:BF17"/>
    <mergeCell ref="BG15:BG17"/>
    <mergeCell ref="AM15:AM17"/>
    <mergeCell ref="AN15:AN17"/>
    <mergeCell ref="AO15:AO17"/>
    <mergeCell ref="AP15:AP17"/>
    <mergeCell ref="AQ15:AQ17"/>
    <mergeCell ref="AR15:AR17"/>
    <mergeCell ref="AG15:AG17"/>
    <mergeCell ref="AH15:AH17"/>
    <mergeCell ref="AI15:AI17"/>
    <mergeCell ref="AJ15:AJ17"/>
    <mergeCell ref="AK15:AK17"/>
    <mergeCell ref="AL15:AL17"/>
    <mergeCell ref="AA15:AA17"/>
    <mergeCell ref="AB15:AB17"/>
    <mergeCell ref="AC15:AC17"/>
    <mergeCell ref="AD15:AD17"/>
    <mergeCell ref="AE15:AE17"/>
    <mergeCell ref="AF15:AF17"/>
    <mergeCell ref="U15:U17"/>
    <mergeCell ref="V15:V17"/>
    <mergeCell ref="W15:W17"/>
    <mergeCell ref="X15:X17"/>
    <mergeCell ref="Y15:Y17"/>
    <mergeCell ref="Z15:Z17"/>
    <mergeCell ref="A15:A17"/>
    <mergeCell ref="P15:P17"/>
    <mergeCell ref="Q15:Q17"/>
    <mergeCell ref="R15:R17"/>
    <mergeCell ref="S15:S17"/>
    <mergeCell ref="T15:T17"/>
    <mergeCell ref="CH13:CH14"/>
    <mergeCell ref="CI13:CI14"/>
    <mergeCell ref="CJ13:CJ14"/>
    <mergeCell ref="CK13:CK14"/>
    <mergeCell ref="CL13:CL14"/>
    <mergeCell ref="BJ13:BJ14"/>
    <mergeCell ref="BK13:BK14"/>
    <mergeCell ref="BL13:BL14"/>
    <mergeCell ref="BM13:BM14"/>
    <mergeCell ref="BN13:BN14"/>
    <mergeCell ref="BO13:BO14"/>
    <mergeCell ref="BD13:BD14"/>
    <mergeCell ref="BE13:BE14"/>
    <mergeCell ref="BF13:BF14"/>
    <mergeCell ref="BG13:BG14"/>
    <mergeCell ref="BH13:BH14"/>
    <mergeCell ref="BI13:BI14"/>
    <mergeCell ref="AX13:AX14"/>
    <mergeCell ref="AY13:AY14"/>
    <mergeCell ref="AZ13:AZ14"/>
    <mergeCell ref="CM13:CM14"/>
    <mergeCell ref="CB13:CB14"/>
    <mergeCell ref="CC13:CC14"/>
    <mergeCell ref="CD13:CD14"/>
    <mergeCell ref="CE13:CE14"/>
    <mergeCell ref="CF13:CF14"/>
    <mergeCell ref="CG13:CG14"/>
    <mergeCell ref="BV13:BV14"/>
    <mergeCell ref="BW13:BW14"/>
    <mergeCell ref="BX13:BX14"/>
    <mergeCell ref="BY13:BY14"/>
    <mergeCell ref="BZ13:BZ14"/>
    <mergeCell ref="CA13:CA14"/>
    <mergeCell ref="BP13:BP14"/>
    <mergeCell ref="BQ13:BQ14"/>
    <mergeCell ref="BR13:BR14"/>
    <mergeCell ref="BS13:BS14"/>
    <mergeCell ref="BT13:BT14"/>
    <mergeCell ref="BU13:BU14"/>
    <mergeCell ref="BA13:BA14"/>
    <mergeCell ref="BB13:BB14"/>
    <mergeCell ref="BC13:BC14"/>
    <mergeCell ref="AR13:AR14"/>
    <mergeCell ref="AS13:AS14"/>
    <mergeCell ref="AT13:AT14"/>
    <mergeCell ref="AU13:AU14"/>
    <mergeCell ref="AV13:AV14"/>
    <mergeCell ref="AW13:AW14"/>
    <mergeCell ref="AL13:AL14"/>
    <mergeCell ref="AM13:AM14"/>
    <mergeCell ref="AN13:AN14"/>
    <mergeCell ref="AO13:AO14"/>
    <mergeCell ref="AP13:AP14"/>
    <mergeCell ref="AQ13:AQ14"/>
    <mergeCell ref="AF13:AF14"/>
    <mergeCell ref="AG13:AG14"/>
    <mergeCell ref="AH13:AH14"/>
    <mergeCell ref="AI13:AI14"/>
    <mergeCell ref="AJ13:AJ14"/>
    <mergeCell ref="AK13:AK14"/>
    <mergeCell ref="Z13:Z14"/>
    <mergeCell ref="AA13:AA14"/>
    <mergeCell ref="AB13:AB14"/>
    <mergeCell ref="AC13:AC14"/>
    <mergeCell ref="AD13:AD14"/>
    <mergeCell ref="AE13:AE14"/>
    <mergeCell ref="T13:T14"/>
    <mergeCell ref="U13:U14"/>
    <mergeCell ref="V13:V14"/>
    <mergeCell ref="W13:W14"/>
    <mergeCell ref="X13:X14"/>
    <mergeCell ref="Y13:Y14"/>
    <mergeCell ref="CI9:CI11"/>
    <mergeCell ref="CJ9:CJ11"/>
    <mergeCell ref="CK9:CK11"/>
    <mergeCell ref="CL9:CL11"/>
    <mergeCell ref="CM9:CM11"/>
    <mergeCell ref="BH9:BH11"/>
    <mergeCell ref="BI9:BI11"/>
    <mergeCell ref="BJ9:BJ11"/>
    <mergeCell ref="AY9:AY11"/>
    <mergeCell ref="AZ9:AZ11"/>
    <mergeCell ref="BA9:BA11"/>
    <mergeCell ref="BB9:BB11"/>
    <mergeCell ref="BC9:BC11"/>
    <mergeCell ref="BD9:BD11"/>
    <mergeCell ref="AS9:AS11"/>
    <mergeCell ref="AT9:AT11"/>
    <mergeCell ref="AU9:AU11"/>
    <mergeCell ref="AV9:AV11"/>
    <mergeCell ref="AW9:AW11"/>
    <mergeCell ref="AX9:AX11"/>
    <mergeCell ref="A13:A14"/>
    <mergeCell ref="P13:P14"/>
    <mergeCell ref="Q13:Q14"/>
    <mergeCell ref="R13:R14"/>
    <mergeCell ref="S13:S14"/>
    <mergeCell ref="CC9:CC11"/>
    <mergeCell ref="CD9:CD11"/>
    <mergeCell ref="CE9:CE11"/>
    <mergeCell ref="CF9:CF11"/>
    <mergeCell ref="CG9:CG11"/>
    <mergeCell ref="CH9:CH11"/>
    <mergeCell ref="BW9:BW11"/>
    <mergeCell ref="BX9:BX11"/>
    <mergeCell ref="BY9:BY11"/>
    <mergeCell ref="BZ9:BZ11"/>
    <mergeCell ref="CA9:CA11"/>
    <mergeCell ref="CB9:CB11"/>
    <mergeCell ref="BQ9:BQ11"/>
    <mergeCell ref="BR9:BR11"/>
    <mergeCell ref="BS9:BS11"/>
    <mergeCell ref="BT9:BT11"/>
    <mergeCell ref="BU9:BU11"/>
    <mergeCell ref="BV9:BV11"/>
    <mergeCell ref="BK9:BK11"/>
    <mergeCell ref="BL9:BL11"/>
    <mergeCell ref="BM9:BM11"/>
    <mergeCell ref="BN9:BN11"/>
    <mergeCell ref="BO9:BO11"/>
    <mergeCell ref="BP9:BP11"/>
    <mergeCell ref="BE9:BE11"/>
    <mergeCell ref="BF9:BF11"/>
    <mergeCell ref="BG9:BG11"/>
    <mergeCell ref="AM9:AM11"/>
    <mergeCell ref="AN9:AN11"/>
    <mergeCell ref="AO9:AO11"/>
    <mergeCell ref="AP9:AP11"/>
    <mergeCell ref="AQ9:AQ11"/>
    <mergeCell ref="AR9:AR11"/>
    <mergeCell ref="AG9:AG11"/>
    <mergeCell ref="AH9:AH11"/>
    <mergeCell ref="AI9:AI11"/>
    <mergeCell ref="AJ9:AJ11"/>
    <mergeCell ref="AK9:AK11"/>
    <mergeCell ref="AL9:AL11"/>
    <mergeCell ref="AA9:AA11"/>
    <mergeCell ref="AB9:AB11"/>
    <mergeCell ref="AC9:AC11"/>
    <mergeCell ref="AD9:AD11"/>
    <mergeCell ref="AE9:AE11"/>
    <mergeCell ref="AF9:AF11"/>
    <mergeCell ref="U9:U11"/>
    <mergeCell ref="V9:V11"/>
    <mergeCell ref="W9:W11"/>
    <mergeCell ref="X9:X11"/>
    <mergeCell ref="Y9:Y11"/>
    <mergeCell ref="Z9:Z11"/>
    <mergeCell ref="A9:A11"/>
    <mergeCell ref="P9:P11"/>
    <mergeCell ref="Q9:Q11"/>
    <mergeCell ref="R9:R11"/>
    <mergeCell ref="S9:S11"/>
    <mergeCell ref="T9:T11"/>
    <mergeCell ref="CH7:CH8"/>
    <mergeCell ref="CI7:CI8"/>
    <mergeCell ref="CJ7:CJ8"/>
    <mergeCell ref="CK7:CK8"/>
    <mergeCell ref="CL7:CL8"/>
    <mergeCell ref="BJ7:BJ8"/>
    <mergeCell ref="BK7:BK8"/>
    <mergeCell ref="BL7:BL8"/>
    <mergeCell ref="BM7:BM8"/>
    <mergeCell ref="BN7:BN8"/>
    <mergeCell ref="BO7:BO8"/>
    <mergeCell ref="BD7:BD8"/>
    <mergeCell ref="BE7:BE8"/>
    <mergeCell ref="BF7:BF8"/>
    <mergeCell ref="BG7:BG8"/>
    <mergeCell ref="BH7:BH8"/>
    <mergeCell ref="BI7:BI8"/>
    <mergeCell ref="AX7:AX8"/>
    <mergeCell ref="AY7:AY8"/>
    <mergeCell ref="AZ7:AZ8"/>
    <mergeCell ref="AF7:AF8"/>
    <mergeCell ref="AG7:AG8"/>
    <mergeCell ref="AH7:AH8"/>
    <mergeCell ref="AI7:AI8"/>
    <mergeCell ref="AJ7:AJ8"/>
    <mergeCell ref="AK7:AK8"/>
    <mergeCell ref="CM7:CM8"/>
    <mergeCell ref="CB7:CB8"/>
    <mergeCell ref="CC7:CC8"/>
    <mergeCell ref="CD7:CD8"/>
    <mergeCell ref="CE7:CE8"/>
    <mergeCell ref="CF7:CF8"/>
    <mergeCell ref="CG7:CG8"/>
    <mergeCell ref="BV7:BV8"/>
    <mergeCell ref="BW7:BW8"/>
    <mergeCell ref="BX7:BX8"/>
    <mergeCell ref="BY7:BY8"/>
    <mergeCell ref="BZ7:BZ8"/>
    <mergeCell ref="CA7:CA8"/>
    <mergeCell ref="BP7:BP8"/>
    <mergeCell ref="BQ7:BQ8"/>
    <mergeCell ref="BR7:BR8"/>
    <mergeCell ref="BS7:BS8"/>
    <mergeCell ref="BT7:BT8"/>
    <mergeCell ref="BU7:BU8"/>
    <mergeCell ref="CL5:CL6"/>
    <mergeCell ref="CM5:CM6"/>
    <mergeCell ref="BH5:BH6"/>
    <mergeCell ref="BI5:BI6"/>
    <mergeCell ref="BJ5:BJ6"/>
    <mergeCell ref="AY5:AY6"/>
    <mergeCell ref="AZ5:AZ6"/>
    <mergeCell ref="BA5:BA6"/>
    <mergeCell ref="BB5:BB6"/>
    <mergeCell ref="BC5:BC6"/>
    <mergeCell ref="BD5:BD6"/>
    <mergeCell ref="AS5:AS6"/>
    <mergeCell ref="AT5:AT6"/>
    <mergeCell ref="AU5:AU6"/>
    <mergeCell ref="AV5:AV6"/>
    <mergeCell ref="AW5:AW6"/>
    <mergeCell ref="AX5:AX6"/>
    <mergeCell ref="BF5:BF6"/>
    <mergeCell ref="BG5:BG6"/>
    <mergeCell ref="Z7:Z8"/>
    <mergeCell ref="AA7:AA8"/>
    <mergeCell ref="AB7:AB8"/>
    <mergeCell ref="AC7:AC8"/>
    <mergeCell ref="AD7:AD8"/>
    <mergeCell ref="AE7:AE8"/>
    <mergeCell ref="T7:T8"/>
    <mergeCell ref="U7:U8"/>
    <mergeCell ref="V7:V8"/>
    <mergeCell ref="W7:W8"/>
    <mergeCell ref="X7:X8"/>
    <mergeCell ref="Y7:Y8"/>
    <mergeCell ref="CI5:CI6"/>
    <mergeCell ref="CJ5:CJ6"/>
    <mergeCell ref="CK5:CK6"/>
    <mergeCell ref="BA7:BA8"/>
    <mergeCell ref="BB7:BB8"/>
    <mergeCell ref="BC7:BC8"/>
    <mergeCell ref="AR7:AR8"/>
    <mergeCell ref="AS7:AS8"/>
    <mergeCell ref="AT7:AT8"/>
    <mergeCell ref="AU7:AU8"/>
    <mergeCell ref="AV7:AV8"/>
    <mergeCell ref="AW7:AW8"/>
    <mergeCell ref="AL7:AL8"/>
    <mergeCell ref="AM7:AM8"/>
    <mergeCell ref="AN7:AN8"/>
    <mergeCell ref="AO7:AO8"/>
    <mergeCell ref="AP7:AP8"/>
    <mergeCell ref="AQ7:AQ8"/>
    <mergeCell ref="AE5:AE6"/>
    <mergeCell ref="AF5:AF6"/>
    <mergeCell ref="A7:A8"/>
    <mergeCell ref="P7:P8"/>
    <mergeCell ref="Q7:Q8"/>
    <mergeCell ref="R7:R8"/>
    <mergeCell ref="S7:S8"/>
    <mergeCell ref="CC5:CC6"/>
    <mergeCell ref="CD5:CD6"/>
    <mergeCell ref="CE5:CE6"/>
    <mergeCell ref="CF5:CF6"/>
    <mergeCell ref="CG5:CG6"/>
    <mergeCell ref="CH5:CH6"/>
    <mergeCell ref="BW5:BW6"/>
    <mergeCell ref="BX5:BX6"/>
    <mergeCell ref="BY5:BY6"/>
    <mergeCell ref="BZ5:BZ6"/>
    <mergeCell ref="CA5:CA6"/>
    <mergeCell ref="CB5:CB6"/>
    <mergeCell ref="BQ5:BQ6"/>
    <mergeCell ref="BR5:BR6"/>
    <mergeCell ref="BS5:BS6"/>
    <mergeCell ref="BT5:BT6"/>
    <mergeCell ref="BU5:BU6"/>
    <mergeCell ref="BV5:BV6"/>
    <mergeCell ref="BK5:BK6"/>
    <mergeCell ref="BL5:BL6"/>
    <mergeCell ref="BM5:BM6"/>
    <mergeCell ref="BN5:BN6"/>
    <mergeCell ref="BO5:BO6"/>
    <mergeCell ref="BP5:BP6"/>
    <mergeCell ref="BE5:BE6"/>
    <mergeCell ref="U5:U6"/>
    <mergeCell ref="V5:V6"/>
    <mergeCell ref="W5:W6"/>
    <mergeCell ref="X5:X6"/>
    <mergeCell ref="Y5:Y6"/>
    <mergeCell ref="Z5:Z6"/>
    <mergeCell ref="AN2:AV2"/>
    <mergeCell ref="BQ2:BY2"/>
    <mergeCell ref="AN3:BO3"/>
    <mergeCell ref="BQ3:CM3"/>
    <mergeCell ref="A5:A6"/>
    <mergeCell ref="P5:P6"/>
    <mergeCell ref="Q5:Q6"/>
    <mergeCell ref="R5:R6"/>
    <mergeCell ref="S5:S6"/>
    <mergeCell ref="T5:T6"/>
    <mergeCell ref="AM5:AM6"/>
    <mergeCell ref="AN5:AN6"/>
    <mergeCell ref="AO5:AO6"/>
    <mergeCell ref="AP5:AP6"/>
    <mergeCell ref="AQ5:AQ6"/>
    <mergeCell ref="AR5:AR6"/>
    <mergeCell ref="AG5:AG6"/>
    <mergeCell ref="AH5:AH6"/>
    <mergeCell ref="AI5:AI6"/>
    <mergeCell ref="AJ5:AJ6"/>
    <mergeCell ref="AK5:AK6"/>
    <mergeCell ref="AL5:AL6"/>
    <mergeCell ref="AA5:AA6"/>
    <mergeCell ref="AB5:AB6"/>
    <mergeCell ref="AC5:AC6"/>
    <mergeCell ref="AD5:AD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M244"/>
  <sheetViews>
    <sheetView topLeftCell="A5" workbookViewId="0">
      <selection activeCell="B242" sqref="B5:B242"/>
    </sheetView>
  </sheetViews>
  <sheetFormatPr defaultRowHeight="15"/>
  <cols>
    <col min="2" max="2" width="11.5703125" bestFit="1" customWidth="1"/>
  </cols>
  <sheetData>
    <row r="1" spans="1:91">
      <c r="A1" s="1986"/>
      <c r="B1" s="1986"/>
      <c r="C1" s="1760"/>
      <c r="D1" s="1760"/>
      <c r="E1" s="1760"/>
      <c r="F1" s="1760"/>
      <c r="G1" s="1760"/>
      <c r="H1" s="1760"/>
      <c r="I1" s="1760"/>
      <c r="J1" s="1760"/>
      <c r="K1" s="1987"/>
      <c r="L1" s="1760" t="s">
        <v>1660</v>
      </c>
      <c r="M1" s="1760"/>
      <c r="R1" s="1760"/>
      <c r="S1" s="1760"/>
      <c r="T1" s="1760"/>
      <c r="U1" s="1760"/>
      <c r="V1" s="1760"/>
      <c r="W1" s="1760"/>
      <c r="X1" s="1760"/>
      <c r="Y1" s="1760"/>
      <c r="Z1" s="1760"/>
      <c r="AA1" s="1760"/>
      <c r="AB1" s="1760"/>
      <c r="AC1" s="1760"/>
      <c r="AD1" s="1760"/>
      <c r="AE1" s="1760"/>
      <c r="AF1" s="1760"/>
      <c r="AG1" s="1760"/>
      <c r="AH1" s="1760"/>
      <c r="AI1" s="1760"/>
      <c r="AJ1" s="1760"/>
      <c r="AK1" s="1760"/>
      <c r="AL1" s="1760"/>
      <c r="AR1" s="1760"/>
      <c r="AS1" s="1760"/>
      <c r="AT1" s="1760"/>
      <c r="AU1" s="1760"/>
      <c r="AV1" s="1760"/>
      <c r="AW1" s="1760"/>
      <c r="AX1" s="1760"/>
      <c r="AY1" s="1760"/>
      <c r="AZ1" s="1760"/>
      <c r="BA1" s="1760"/>
      <c r="BB1" s="1760"/>
      <c r="BC1" s="1760"/>
      <c r="BD1" s="1760"/>
      <c r="BE1" s="1760"/>
      <c r="BF1" s="1760"/>
      <c r="BG1" s="1760"/>
      <c r="BH1" s="1760"/>
      <c r="BI1" s="1760"/>
      <c r="BJ1" s="1760"/>
      <c r="BK1" s="1760"/>
      <c r="BL1" s="1760"/>
      <c r="BM1" s="1760"/>
      <c r="BN1" s="1760"/>
      <c r="BO1" s="1760"/>
      <c r="BP1" s="1760"/>
      <c r="BQ1" s="1760"/>
      <c r="BR1" s="1760"/>
      <c r="BS1" s="1760"/>
      <c r="BT1" s="1760"/>
      <c r="BU1" s="1760"/>
      <c r="BV1" s="1760"/>
      <c r="BW1" s="1760"/>
      <c r="BX1" s="1760"/>
      <c r="BY1" s="1760"/>
      <c r="BZ1" s="1760"/>
      <c r="CA1" s="1760"/>
      <c r="CB1" s="1760"/>
      <c r="CC1" s="1760"/>
      <c r="CD1" s="1760"/>
      <c r="CE1" s="1760"/>
      <c r="CF1" s="1760"/>
      <c r="CG1" s="1760"/>
      <c r="CH1" s="1760"/>
      <c r="CI1" s="1760"/>
      <c r="CJ1" s="1760">
        <v>1</v>
      </c>
      <c r="CK1" s="1760"/>
      <c r="CL1" s="1760"/>
      <c r="CM1" s="1760"/>
    </row>
    <row r="2" spans="1:91">
      <c r="A2" s="3509" t="s">
        <v>815</v>
      </c>
      <c r="B2" s="3509"/>
      <c r="C2" s="3509"/>
      <c r="D2" s="3509"/>
      <c r="E2" s="3509"/>
      <c r="F2" s="3509"/>
      <c r="G2" s="3509"/>
      <c r="H2" s="3509"/>
      <c r="I2" s="3509"/>
      <c r="J2" s="3509"/>
      <c r="K2" s="2100"/>
      <c r="L2" s="1760" t="s">
        <v>1661</v>
      </c>
      <c r="M2" s="1760"/>
      <c r="N2" s="1760"/>
      <c r="O2" s="1760"/>
      <c r="P2" s="1760"/>
      <c r="Q2" s="1760"/>
      <c r="R2" s="1760"/>
      <c r="S2" s="1760"/>
      <c r="T2" s="1760"/>
      <c r="U2" s="1760"/>
      <c r="V2" s="1760"/>
      <c r="W2" s="1760"/>
      <c r="X2" s="1760"/>
      <c r="Y2" s="1760"/>
      <c r="Z2" s="1760"/>
      <c r="AA2" s="1760"/>
      <c r="AB2" s="1760"/>
      <c r="AC2" s="1760"/>
      <c r="AD2" s="2101"/>
      <c r="AE2" s="2101"/>
      <c r="AF2" s="2101"/>
      <c r="AG2" s="2101"/>
      <c r="AH2" s="2101"/>
      <c r="AI2" s="2101"/>
      <c r="AJ2" s="2101"/>
      <c r="AK2" s="2101"/>
      <c r="AL2" s="1760"/>
      <c r="AR2" s="1760"/>
      <c r="AS2" s="1760"/>
      <c r="AT2" s="1760"/>
      <c r="AU2" s="1760"/>
      <c r="AV2" s="1760"/>
      <c r="AW2" s="1760"/>
      <c r="AX2" s="1760"/>
      <c r="AY2" s="1760"/>
      <c r="AZ2" s="1760"/>
      <c r="BA2" s="1760"/>
      <c r="BB2" s="1760"/>
      <c r="BC2" s="1760"/>
      <c r="BD2" s="1760"/>
      <c r="BE2" s="1760"/>
      <c r="BF2" s="1760"/>
      <c r="BG2" s="1760"/>
      <c r="BH2" s="1760"/>
      <c r="BI2" s="1760"/>
      <c r="BJ2" s="1760"/>
      <c r="BK2" s="1760"/>
      <c r="BL2" s="1760"/>
      <c r="BM2" s="1760"/>
      <c r="BN2" s="1760"/>
      <c r="BO2" s="1760"/>
      <c r="BP2" s="1760"/>
      <c r="BQ2" s="1760"/>
      <c r="BR2" s="1760"/>
      <c r="BS2" s="1760"/>
      <c r="BT2" s="1760"/>
      <c r="BU2" s="1760"/>
      <c r="BV2" s="1760"/>
      <c r="BW2" s="1760"/>
      <c r="BX2" s="1760"/>
      <c r="BY2" s="1760"/>
      <c r="BZ2" s="1760"/>
      <c r="CA2" s="1760"/>
      <c r="CB2" s="1760"/>
      <c r="CC2" s="1760"/>
      <c r="CD2" s="1760"/>
      <c r="CE2" s="1760"/>
      <c r="CF2" s="1760"/>
      <c r="CG2" s="1760"/>
      <c r="CH2" s="1760"/>
      <c r="CI2" s="1760"/>
      <c r="CJ2" s="1760"/>
      <c r="CK2" s="1760"/>
      <c r="CL2" s="1760"/>
      <c r="CM2" s="1760"/>
    </row>
    <row r="3" spans="1:91">
      <c r="A3" s="1990"/>
      <c r="B3" s="2572"/>
      <c r="C3" s="3709"/>
      <c r="D3" s="1076" t="s">
        <v>923</v>
      </c>
      <c r="E3" s="1076"/>
      <c r="F3" s="1991"/>
      <c r="G3" s="1076" t="s">
        <v>610</v>
      </c>
      <c r="H3" s="1076"/>
      <c r="I3" s="1076"/>
      <c r="J3" s="1076"/>
      <c r="K3" s="1076"/>
      <c r="L3" s="1076"/>
      <c r="M3" s="1076"/>
      <c r="N3" s="1991"/>
      <c r="O3" s="1076"/>
      <c r="P3" s="2102" t="s">
        <v>611</v>
      </c>
      <c r="Q3" s="2103"/>
      <c r="R3" s="2104"/>
      <c r="S3" s="2104"/>
      <c r="T3" s="2104"/>
      <c r="U3" s="2104"/>
      <c r="V3" s="2104"/>
      <c r="W3" s="2104"/>
      <c r="X3" s="2104"/>
      <c r="Y3" s="2104"/>
      <c r="Z3" s="2104"/>
      <c r="AA3" s="2104"/>
      <c r="AB3" s="2104"/>
      <c r="AC3" s="2104"/>
      <c r="AD3" s="2104"/>
      <c r="AE3" s="2104"/>
      <c r="AF3" s="2104"/>
      <c r="AG3" s="2104"/>
      <c r="AH3" s="2104"/>
      <c r="AI3" s="2104"/>
      <c r="AJ3" s="2104"/>
      <c r="AK3" s="2104"/>
      <c r="AL3" s="2105"/>
      <c r="AM3" s="3510" t="s">
        <v>612</v>
      </c>
      <c r="AN3" s="3268"/>
      <c r="AO3" s="3268"/>
      <c r="AP3" s="3268"/>
      <c r="AQ3" s="3268"/>
      <c r="AR3" s="3268"/>
      <c r="AS3" s="3268"/>
      <c r="AT3" s="3268"/>
      <c r="AU3" s="3268"/>
      <c r="AV3" s="3268"/>
      <c r="AW3" s="3268"/>
      <c r="AX3" s="3268"/>
      <c r="AY3" s="3268"/>
      <c r="AZ3" s="3268"/>
      <c r="BA3" s="3268"/>
      <c r="BB3" s="3268"/>
      <c r="BC3" s="3268"/>
      <c r="BD3" s="3268"/>
      <c r="BE3" s="3268"/>
      <c r="BF3" s="3268"/>
      <c r="BG3" s="3268"/>
      <c r="BH3" s="3268"/>
      <c r="BI3" s="3268"/>
      <c r="BJ3" s="3268"/>
      <c r="BK3" s="3268"/>
      <c r="BL3" s="3268"/>
      <c r="BM3" s="3268"/>
      <c r="BN3" s="3268"/>
      <c r="BO3" s="3267" t="s">
        <v>613</v>
      </c>
      <c r="BP3" s="3268"/>
      <c r="BQ3" s="3268"/>
      <c r="BR3" s="3268"/>
      <c r="BS3" s="3268"/>
      <c r="BT3" s="3268"/>
      <c r="BU3" s="3268"/>
      <c r="BV3" s="3268"/>
      <c r="BW3" s="3268"/>
      <c r="BX3" s="3268"/>
      <c r="BY3" s="3268"/>
      <c r="BZ3" s="3268"/>
      <c r="CA3" s="3268"/>
      <c r="CB3" s="3268"/>
      <c r="CC3" s="3268"/>
      <c r="CD3" s="3268"/>
      <c r="CE3" s="3268"/>
      <c r="CF3" s="3268"/>
      <c r="CG3" s="3268"/>
      <c r="CH3" s="3269"/>
      <c r="CI3" s="1076"/>
      <c r="CJ3" s="1076"/>
      <c r="CK3" s="1076"/>
      <c r="CL3" s="1076"/>
      <c r="CM3" s="2106"/>
    </row>
    <row r="4" spans="1:91" ht="35.25" thickBot="1">
      <c r="A4" s="2107" t="s">
        <v>0</v>
      </c>
      <c r="B4" s="2573"/>
      <c r="C4" s="1992"/>
      <c r="D4" s="1993" t="s">
        <v>615</v>
      </c>
      <c r="E4" s="2002" t="s">
        <v>616</v>
      </c>
      <c r="F4" s="2108" t="s">
        <v>617</v>
      </c>
      <c r="G4" s="1993" t="s">
        <v>618</v>
      </c>
      <c r="H4" s="2002" t="s">
        <v>619</v>
      </c>
      <c r="I4" s="2002" t="s">
        <v>1551</v>
      </c>
      <c r="J4" s="2002" t="s">
        <v>624</v>
      </c>
      <c r="K4" s="2002" t="s">
        <v>1552</v>
      </c>
      <c r="L4" s="2002" t="s">
        <v>626</v>
      </c>
      <c r="M4" s="2002" t="s">
        <v>627</v>
      </c>
      <c r="N4" s="1994" t="s">
        <v>628</v>
      </c>
      <c r="O4" s="2109"/>
      <c r="P4" s="3710" t="s">
        <v>629</v>
      </c>
      <c r="Q4" s="1996" t="s">
        <v>1555</v>
      </c>
      <c r="R4" s="1996" t="s">
        <v>1132</v>
      </c>
      <c r="S4" s="1996" t="s">
        <v>634</v>
      </c>
      <c r="T4" s="1996" t="s">
        <v>638</v>
      </c>
      <c r="U4" s="1996" t="s">
        <v>643</v>
      </c>
      <c r="V4" s="1996" t="s">
        <v>644</v>
      </c>
      <c r="W4" s="1996" t="s">
        <v>646</v>
      </c>
      <c r="X4" s="1996" t="s">
        <v>647</v>
      </c>
      <c r="Y4" s="1996" t="s">
        <v>648</v>
      </c>
      <c r="Z4" s="1996" t="s">
        <v>649</v>
      </c>
      <c r="AA4" s="1996" t="s">
        <v>697</v>
      </c>
      <c r="AB4" s="1996" t="s">
        <v>627</v>
      </c>
      <c r="AC4" s="1996" t="s">
        <v>1235</v>
      </c>
      <c r="AD4" s="1997" t="s">
        <v>661</v>
      </c>
      <c r="AE4" s="1998" t="s">
        <v>663</v>
      </c>
      <c r="AF4" s="1997" t="s">
        <v>1554</v>
      </c>
      <c r="AG4" s="1997" t="s">
        <v>665</v>
      </c>
      <c r="AH4" s="1997" t="s">
        <v>701</v>
      </c>
      <c r="AI4" s="1997" t="s">
        <v>667</v>
      </c>
      <c r="AJ4" s="1997" t="s">
        <v>668</v>
      </c>
      <c r="AK4" s="1997" t="s">
        <v>669</v>
      </c>
      <c r="AL4" s="2110" t="s">
        <v>670</v>
      </c>
      <c r="AM4" s="2111" t="s">
        <v>671</v>
      </c>
      <c r="AN4" s="2002" t="s">
        <v>675</v>
      </c>
      <c r="AO4" s="2001"/>
      <c r="AP4" s="1996" t="s">
        <v>629</v>
      </c>
      <c r="AQ4" s="2002" t="s">
        <v>1555</v>
      </c>
      <c r="AR4" s="1996" t="s">
        <v>635</v>
      </c>
      <c r="AS4" s="2002" t="s">
        <v>634</v>
      </c>
      <c r="AT4" s="1996" t="s">
        <v>638</v>
      </c>
      <c r="AU4" s="1996" t="s">
        <v>643</v>
      </c>
      <c r="AV4" s="2002" t="s">
        <v>644</v>
      </c>
      <c r="AW4" s="1996" t="s">
        <v>646</v>
      </c>
      <c r="AX4" s="1996" t="s">
        <v>647</v>
      </c>
      <c r="AY4" s="1996" t="s">
        <v>648</v>
      </c>
      <c r="AZ4" s="1996" t="s">
        <v>649</v>
      </c>
      <c r="BA4" s="2002" t="s">
        <v>697</v>
      </c>
      <c r="BB4" s="2004" t="s">
        <v>627</v>
      </c>
      <c r="BC4" s="1996" t="s">
        <v>1235</v>
      </c>
      <c r="BD4" s="1996" t="s">
        <v>1556</v>
      </c>
      <c r="BE4" s="1997" t="s">
        <v>661</v>
      </c>
      <c r="BF4" s="2112" t="s">
        <v>1662</v>
      </c>
      <c r="BG4" s="1998" t="s">
        <v>663</v>
      </c>
      <c r="BH4" s="1997" t="s">
        <v>1554</v>
      </c>
      <c r="BI4" s="1997" t="s">
        <v>665</v>
      </c>
      <c r="BJ4" s="1997" t="s">
        <v>701</v>
      </c>
      <c r="BK4" s="1997" t="s">
        <v>667</v>
      </c>
      <c r="BL4" s="1997" t="s">
        <v>668</v>
      </c>
      <c r="BM4" s="1997" t="s">
        <v>669</v>
      </c>
      <c r="BN4" s="2113" t="s">
        <v>670</v>
      </c>
      <c r="BO4" s="2007" t="s">
        <v>629</v>
      </c>
      <c r="BP4" s="1993" t="s">
        <v>1555</v>
      </c>
      <c r="BQ4" s="1993" t="s">
        <v>1132</v>
      </c>
      <c r="BR4" s="2002" t="s">
        <v>1663</v>
      </c>
      <c r="BS4" s="2002" t="s">
        <v>634</v>
      </c>
      <c r="BT4" s="2003" t="s">
        <v>638</v>
      </c>
      <c r="BU4" s="2003" t="s">
        <v>643</v>
      </c>
      <c r="BV4" s="2002" t="s">
        <v>644</v>
      </c>
      <c r="BW4" s="2003" t="s">
        <v>646</v>
      </c>
      <c r="BX4" s="2003" t="s">
        <v>647</v>
      </c>
      <c r="BY4" s="2003" t="s">
        <v>648</v>
      </c>
      <c r="BZ4" s="2003" t="s">
        <v>649</v>
      </c>
      <c r="CA4" s="2008" t="s">
        <v>697</v>
      </c>
      <c r="CB4" s="2003" t="s">
        <v>627</v>
      </c>
      <c r="CC4" s="2009" t="s">
        <v>1559</v>
      </c>
      <c r="CD4" s="2003" t="s">
        <v>628</v>
      </c>
      <c r="CE4" s="2003" t="s">
        <v>1556</v>
      </c>
      <c r="CF4" s="2009" t="s">
        <v>661</v>
      </c>
      <c r="CG4" s="2009" t="s">
        <v>688</v>
      </c>
      <c r="CH4" s="1997" t="s">
        <v>1664</v>
      </c>
      <c r="CI4" s="1997" t="s">
        <v>1554</v>
      </c>
      <c r="CJ4" s="1997" t="s">
        <v>665</v>
      </c>
      <c r="CK4" s="1997" t="s">
        <v>701</v>
      </c>
      <c r="CL4" s="1997" t="s">
        <v>667</v>
      </c>
      <c r="CM4" s="1997" t="s">
        <v>668</v>
      </c>
    </row>
    <row r="5" spans="1:91">
      <c r="A5" s="3270" t="s">
        <v>1665</v>
      </c>
      <c r="B5" s="2551" t="str">
        <f>IF(E5="",,3&amp;IF(LEN($D5)=1,"0000"&amp;$D5,IF(LEN($D5)=2,"000"&amp;$D5,IF(LEN($D5)=3,"00"&amp;$D5,IF(LEN($D5)=4,"0"&amp;$D5,IF(LEN($D5)=5,$D5,0)))))&amp;IF(LEN(E5)=1,"000"&amp;E5,IF(LEN(E5)=2,"00"&amp;E5,IF(LEN(E5)=3,"0"&amp;E5,IF(LEN(E5)=4,E5,0)))))</f>
        <v>3014370021</v>
      </c>
      <c r="C5" s="2010" t="s">
        <v>703</v>
      </c>
      <c r="D5" s="2011">
        <v>1437</v>
      </c>
      <c r="E5" s="2011">
        <v>21</v>
      </c>
      <c r="F5" s="2494">
        <v>12500</v>
      </c>
      <c r="G5" s="2496" t="s">
        <v>756</v>
      </c>
      <c r="H5" s="2011" t="s">
        <v>1560</v>
      </c>
      <c r="I5" s="2012">
        <v>2</v>
      </c>
      <c r="J5" s="2491">
        <v>0</v>
      </c>
      <c r="K5" s="2491">
        <v>4641</v>
      </c>
      <c r="L5" s="2491">
        <v>0</v>
      </c>
      <c r="M5" s="2491">
        <v>0</v>
      </c>
      <c r="N5" s="2489">
        <v>0</v>
      </c>
      <c r="O5" s="2437" t="s">
        <v>1666</v>
      </c>
      <c r="P5" s="3272">
        <v>0</v>
      </c>
      <c r="Q5" s="3272">
        <v>0</v>
      </c>
      <c r="R5" s="3272">
        <v>0</v>
      </c>
      <c r="S5" s="3272">
        <v>0</v>
      </c>
      <c r="T5" s="3272">
        <v>0</v>
      </c>
      <c r="U5" s="3272">
        <v>0</v>
      </c>
      <c r="V5" s="3272">
        <v>0</v>
      </c>
      <c r="W5" s="3272">
        <v>0</v>
      </c>
      <c r="X5" s="3272">
        <v>0</v>
      </c>
      <c r="Y5" s="3272">
        <v>0</v>
      </c>
      <c r="Z5" s="3272">
        <v>4641</v>
      </c>
      <c r="AA5" s="3272">
        <v>0</v>
      </c>
      <c r="AB5" s="3507">
        <v>4641</v>
      </c>
      <c r="AC5" s="3265">
        <v>0</v>
      </c>
      <c r="AD5" s="3265">
        <v>0</v>
      </c>
      <c r="AE5" s="3265">
        <v>0</v>
      </c>
      <c r="AF5" s="3265">
        <v>0</v>
      </c>
      <c r="AG5" s="3265">
        <v>0</v>
      </c>
      <c r="AH5" s="3265">
        <v>0</v>
      </c>
      <c r="AI5" s="3265">
        <v>5</v>
      </c>
      <c r="AJ5" s="3265">
        <v>0</v>
      </c>
      <c r="AK5" s="3265">
        <v>5</v>
      </c>
      <c r="AL5" s="3513">
        <v>15</v>
      </c>
      <c r="AM5" s="3515" t="s">
        <v>1476</v>
      </c>
      <c r="AN5" s="3512" t="s">
        <v>1560</v>
      </c>
      <c r="AO5" s="3407" t="s">
        <v>1667</v>
      </c>
      <c r="AP5" s="3511">
        <v>84658</v>
      </c>
      <c r="AQ5" s="3511">
        <v>13482</v>
      </c>
      <c r="AR5" s="3511">
        <v>0</v>
      </c>
      <c r="AS5" s="3511">
        <v>0</v>
      </c>
      <c r="AT5" s="3511">
        <v>0</v>
      </c>
      <c r="AU5" s="3511">
        <v>0</v>
      </c>
      <c r="AV5" s="3511">
        <v>0</v>
      </c>
      <c r="AW5" s="3511">
        <v>0</v>
      </c>
      <c r="AX5" s="3511">
        <v>0</v>
      </c>
      <c r="AY5" s="3511">
        <v>0</v>
      </c>
      <c r="AZ5" s="3511">
        <v>0</v>
      </c>
      <c r="BA5" s="3511">
        <v>0</v>
      </c>
      <c r="BB5" s="3511">
        <v>98140</v>
      </c>
      <c r="BC5" s="3511">
        <v>84</v>
      </c>
      <c r="BD5" s="3511">
        <v>42.329000000000001</v>
      </c>
      <c r="BE5" s="3511">
        <v>21</v>
      </c>
      <c r="BF5" s="3511">
        <v>0</v>
      </c>
      <c r="BG5" s="3511">
        <v>13</v>
      </c>
      <c r="BH5" s="3511">
        <v>0</v>
      </c>
      <c r="BI5" s="3511">
        <v>0</v>
      </c>
      <c r="BJ5" s="3511">
        <v>0</v>
      </c>
      <c r="BK5" s="3511">
        <v>0</v>
      </c>
      <c r="BL5" s="3511">
        <v>20</v>
      </c>
      <c r="BM5" s="3511">
        <v>54</v>
      </c>
      <c r="BN5" s="3517">
        <v>125</v>
      </c>
      <c r="BO5" s="3519">
        <v>84658</v>
      </c>
      <c r="BP5" s="3464">
        <v>13482</v>
      </c>
      <c r="BQ5" s="3464">
        <v>0</v>
      </c>
      <c r="BR5" s="3464">
        <v>0</v>
      </c>
      <c r="BS5" s="3464">
        <v>0</v>
      </c>
      <c r="BT5" s="3464">
        <v>0</v>
      </c>
      <c r="BU5" s="3464">
        <v>0</v>
      </c>
      <c r="BV5" s="3464">
        <v>0</v>
      </c>
      <c r="BW5" s="3464">
        <v>0</v>
      </c>
      <c r="BX5" s="3464">
        <v>0</v>
      </c>
      <c r="BY5" s="3464">
        <v>0</v>
      </c>
      <c r="BZ5" s="3464">
        <v>-4641</v>
      </c>
      <c r="CA5" s="3524">
        <v>0</v>
      </c>
      <c r="CB5" s="3519">
        <v>93499</v>
      </c>
      <c r="CC5" s="3464">
        <v>13482</v>
      </c>
      <c r="CD5" s="3464">
        <v>84</v>
      </c>
      <c r="CE5" s="3464">
        <v>42.329000000000001</v>
      </c>
      <c r="CF5" s="3464">
        <v>21</v>
      </c>
      <c r="CG5" s="3464">
        <v>0</v>
      </c>
      <c r="CH5" s="3522">
        <v>13</v>
      </c>
      <c r="CI5" s="3522">
        <v>0</v>
      </c>
      <c r="CJ5" s="3522">
        <v>0</v>
      </c>
      <c r="CK5" s="3522">
        <v>0</v>
      </c>
      <c r="CL5" s="3522">
        <v>-5</v>
      </c>
      <c r="CM5" s="3522">
        <v>20</v>
      </c>
    </row>
    <row r="6" spans="1:91" ht="15.75" thickBot="1">
      <c r="A6" s="3271"/>
      <c r="B6" s="2551" t="str">
        <f t="shared" ref="B6:B69" si="0">IF(E6="",,3&amp;IF(LEN($D6)=1,"0000"&amp;$D6,IF(LEN($D6)=2,"000"&amp;$D6,IF(LEN($D6)=3,"00"&amp;$D6,IF(LEN($D6)=4,"0"&amp;$D6,IF(LEN($D6)=5,$D6,0)))))&amp;IF(LEN(E6)=1,"000"&amp;E6,IF(LEN(E6)=2,"00"&amp;E6,IF(LEN(E6)=3,"0"&amp;E6,IF(LEN(E6)=4,E6,0)))))</f>
        <v>3014370023</v>
      </c>
      <c r="C6" s="2468" t="s">
        <v>710</v>
      </c>
      <c r="D6" s="2014">
        <v>1437</v>
      </c>
      <c r="E6" s="2014">
        <v>23</v>
      </c>
      <c r="F6" s="2015">
        <v>5025</v>
      </c>
      <c r="G6" s="2495" t="s">
        <v>756</v>
      </c>
      <c r="H6" s="2014" t="s">
        <v>1560</v>
      </c>
      <c r="I6" s="2016">
        <v>2</v>
      </c>
      <c r="J6" s="2538">
        <v>0</v>
      </c>
      <c r="K6" s="2538">
        <v>0</v>
      </c>
      <c r="L6" s="2538">
        <v>0</v>
      </c>
      <c r="M6" s="2538">
        <v>0</v>
      </c>
      <c r="N6" s="2509">
        <v>0</v>
      </c>
      <c r="O6" s="2503" t="s">
        <v>1668</v>
      </c>
      <c r="P6" s="3273"/>
      <c r="Q6" s="3273"/>
      <c r="R6" s="3273"/>
      <c r="S6" s="3273"/>
      <c r="T6" s="3273"/>
      <c r="U6" s="3273"/>
      <c r="V6" s="3273"/>
      <c r="W6" s="3273"/>
      <c r="X6" s="3273"/>
      <c r="Y6" s="3273"/>
      <c r="Z6" s="3273"/>
      <c r="AA6" s="3273"/>
      <c r="AB6" s="3508"/>
      <c r="AC6" s="3274"/>
      <c r="AD6" s="3274"/>
      <c r="AE6" s="3274"/>
      <c r="AF6" s="3274"/>
      <c r="AG6" s="3274"/>
      <c r="AH6" s="3274"/>
      <c r="AI6" s="3274"/>
      <c r="AJ6" s="3274"/>
      <c r="AK6" s="3274"/>
      <c r="AL6" s="3514"/>
      <c r="AM6" s="3516"/>
      <c r="AN6" s="3470"/>
      <c r="AO6" s="3718"/>
      <c r="AP6" s="3719"/>
      <c r="AQ6" s="3719"/>
      <c r="AR6" s="3719"/>
      <c r="AS6" s="3719"/>
      <c r="AT6" s="3719"/>
      <c r="AU6" s="3719"/>
      <c r="AV6" s="3719"/>
      <c r="AW6" s="3719"/>
      <c r="AX6" s="3719"/>
      <c r="AY6" s="3719"/>
      <c r="AZ6" s="3719"/>
      <c r="BA6" s="3719"/>
      <c r="BB6" s="3719"/>
      <c r="BC6" s="3719"/>
      <c r="BD6" s="3719"/>
      <c r="BE6" s="3719"/>
      <c r="BF6" s="3719"/>
      <c r="BG6" s="3719"/>
      <c r="BH6" s="3719"/>
      <c r="BI6" s="3719"/>
      <c r="BJ6" s="3719"/>
      <c r="BK6" s="3719"/>
      <c r="BL6" s="3719"/>
      <c r="BM6" s="3719"/>
      <c r="BN6" s="3518"/>
      <c r="BO6" s="3520"/>
      <c r="BP6" s="3466"/>
      <c r="BQ6" s="3466"/>
      <c r="BR6" s="3466"/>
      <c r="BS6" s="3466"/>
      <c r="BT6" s="3466"/>
      <c r="BU6" s="3466"/>
      <c r="BV6" s="3466"/>
      <c r="BW6" s="3466"/>
      <c r="BX6" s="3466"/>
      <c r="BY6" s="3466"/>
      <c r="BZ6" s="3466"/>
      <c r="CA6" s="3477"/>
      <c r="CB6" s="3520"/>
      <c r="CC6" s="3466"/>
      <c r="CD6" s="3466"/>
      <c r="CE6" s="3466"/>
      <c r="CF6" s="3466"/>
      <c r="CG6" s="3466"/>
      <c r="CH6" s="3466"/>
      <c r="CI6" s="3466"/>
      <c r="CJ6" s="3466"/>
      <c r="CK6" s="3466"/>
      <c r="CL6" s="3466"/>
      <c r="CM6" s="3466"/>
    </row>
    <row r="7" spans="1:91">
      <c r="A7" s="3282" t="s">
        <v>1669</v>
      </c>
      <c r="B7" s="2551" t="str">
        <f t="shared" si="0"/>
        <v>3014500001</v>
      </c>
      <c r="C7" s="2466" t="s">
        <v>703</v>
      </c>
      <c r="D7" s="2462">
        <v>1450</v>
      </c>
      <c r="E7" s="2462">
        <v>1</v>
      </c>
      <c r="F7" s="2461">
        <v>2300</v>
      </c>
      <c r="G7" s="2445" t="s">
        <v>947</v>
      </c>
      <c r="H7" s="2462" t="s">
        <v>1560</v>
      </c>
      <c r="I7" s="2463">
        <v>1</v>
      </c>
      <c r="J7" s="2448">
        <v>1296</v>
      </c>
      <c r="K7" s="2448">
        <v>867</v>
      </c>
      <c r="L7" s="2448">
        <v>0</v>
      </c>
      <c r="M7" s="2448">
        <v>3219</v>
      </c>
      <c r="N7" s="2438">
        <v>1</v>
      </c>
      <c r="O7" s="2437" t="s">
        <v>1670</v>
      </c>
      <c r="P7" s="3284">
        <v>2676</v>
      </c>
      <c r="Q7" s="3284">
        <v>2106</v>
      </c>
      <c r="R7" s="3284">
        <v>0</v>
      </c>
      <c r="S7" s="3284">
        <v>0</v>
      </c>
      <c r="T7" s="3284">
        <v>4040</v>
      </c>
      <c r="U7" s="3284">
        <v>0</v>
      </c>
      <c r="V7" s="3284">
        <v>0</v>
      </c>
      <c r="W7" s="3284">
        <v>0</v>
      </c>
      <c r="X7" s="3284">
        <v>1304</v>
      </c>
      <c r="Y7" s="3284">
        <v>0</v>
      </c>
      <c r="Z7" s="3284">
        <v>0</v>
      </c>
      <c r="AA7" s="3284">
        <v>0</v>
      </c>
      <c r="AB7" s="3530">
        <v>10126</v>
      </c>
      <c r="AC7" s="3286">
        <v>2</v>
      </c>
      <c r="AD7" s="3286">
        <v>0</v>
      </c>
      <c r="AE7" s="3286">
        <v>0</v>
      </c>
      <c r="AF7" s="3286">
        <v>0</v>
      </c>
      <c r="AG7" s="3286">
        <v>0</v>
      </c>
      <c r="AH7" s="3286">
        <v>4</v>
      </c>
      <c r="AI7" s="3286">
        <v>0</v>
      </c>
      <c r="AJ7" s="3286">
        <v>0</v>
      </c>
      <c r="AK7" s="3286">
        <v>4</v>
      </c>
      <c r="AL7" s="3513">
        <v>25</v>
      </c>
      <c r="AM7" s="3515" t="s">
        <v>705</v>
      </c>
      <c r="AN7" s="3512" t="s">
        <v>706</v>
      </c>
      <c r="AO7" s="3407" t="s">
        <v>1671</v>
      </c>
      <c r="AP7" s="3511">
        <v>46001</v>
      </c>
      <c r="AQ7" s="3511">
        <v>10836</v>
      </c>
      <c r="AR7" s="3511">
        <v>0</v>
      </c>
      <c r="AS7" s="3511">
        <v>0</v>
      </c>
      <c r="AT7" s="3511">
        <v>0</v>
      </c>
      <c r="AU7" s="3511">
        <v>0</v>
      </c>
      <c r="AV7" s="3511">
        <v>0</v>
      </c>
      <c r="AW7" s="3511">
        <v>0</v>
      </c>
      <c r="AX7" s="3511">
        <v>0</v>
      </c>
      <c r="AY7" s="3511">
        <v>0</v>
      </c>
      <c r="AZ7" s="3511">
        <v>0</v>
      </c>
      <c r="BA7" s="3511">
        <v>14899.5</v>
      </c>
      <c r="BB7" s="3511">
        <v>71736.5</v>
      </c>
      <c r="BC7" s="3511">
        <v>46</v>
      </c>
      <c r="BD7" s="3511">
        <v>23.000499999999999</v>
      </c>
      <c r="BE7" s="3511">
        <v>12</v>
      </c>
      <c r="BF7" s="3511">
        <v>0</v>
      </c>
      <c r="BG7" s="3511">
        <v>11</v>
      </c>
      <c r="BH7" s="3511">
        <v>0</v>
      </c>
      <c r="BI7" s="3511">
        <v>0</v>
      </c>
      <c r="BJ7" s="3511">
        <v>0</v>
      </c>
      <c r="BK7" s="3511">
        <v>0</v>
      </c>
      <c r="BL7" s="3511">
        <v>0</v>
      </c>
      <c r="BM7" s="3511">
        <v>23</v>
      </c>
      <c r="BN7" s="3517">
        <v>105</v>
      </c>
      <c r="BO7" s="3519">
        <v>43325</v>
      </c>
      <c r="BP7" s="3464">
        <v>8730</v>
      </c>
      <c r="BQ7" s="3464">
        <v>0</v>
      </c>
      <c r="BR7" s="3464">
        <v>0</v>
      </c>
      <c r="BS7" s="3464">
        <v>0</v>
      </c>
      <c r="BT7" s="3464">
        <v>-4040</v>
      </c>
      <c r="BU7" s="3464">
        <v>0</v>
      </c>
      <c r="BV7" s="3464">
        <v>0</v>
      </c>
      <c r="BW7" s="3464">
        <v>0</v>
      </c>
      <c r="BX7" s="3464">
        <v>-1304</v>
      </c>
      <c r="BY7" s="3464">
        <v>0</v>
      </c>
      <c r="BZ7" s="3464">
        <v>0</v>
      </c>
      <c r="CA7" s="3524">
        <v>14899.5</v>
      </c>
      <c r="CB7" s="3519">
        <v>61610.5</v>
      </c>
      <c r="CC7" s="3464">
        <v>3386</v>
      </c>
      <c r="CD7" s="3464">
        <v>44</v>
      </c>
      <c r="CE7" s="3464">
        <v>23.000499999999999</v>
      </c>
      <c r="CF7" s="3464">
        <v>12</v>
      </c>
      <c r="CG7" s="3464">
        <v>0</v>
      </c>
      <c r="CH7" s="3464">
        <v>11</v>
      </c>
      <c r="CI7" s="3464">
        <v>0</v>
      </c>
      <c r="CJ7" s="3464">
        <v>0</v>
      </c>
      <c r="CK7" s="3464">
        <v>-4</v>
      </c>
      <c r="CL7" s="3464">
        <v>0</v>
      </c>
      <c r="CM7" s="3464">
        <v>0</v>
      </c>
    </row>
    <row r="8" spans="1:91">
      <c r="A8" s="3523"/>
      <c r="B8" s="2551" t="str">
        <f t="shared" si="0"/>
        <v>3014500002</v>
      </c>
      <c r="C8" s="2492" t="s">
        <v>710</v>
      </c>
      <c r="D8" s="2497">
        <v>1450</v>
      </c>
      <c r="E8" s="2026">
        <v>2</v>
      </c>
      <c r="F8" s="2027">
        <v>2121</v>
      </c>
      <c r="G8" s="2497" t="s">
        <v>947</v>
      </c>
      <c r="H8" s="2026" t="s">
        <v>1560</v>
      </c>
      <c r="I8" s="2028">
        <v>1</v>
      </c>
      <c r="J8" s="2500">
        <v>0</v>
      </c>
      <c r="K8" s="2500">
        <v>437</v>
      </c>
      <c r="L8" s="2500">
        <v>0</v>
      </c>
      <c r="M8" s="2500">
        <v>437</v>
      </c>
      <c r="N8" s="2029">
        <v>0</v>
      </c>
      <c r="O8" s="2502" t="s">
        <v>1672</v>
      </c>
      <c r="P8" s="3288"/>
      <c r="Q8" s="3288"/>
      <c r="R8" s="3288"/>
      <c r="S8" s="3288"/>
      <c r="T8" s="3288"/>
      <c r="U8" s="3288"/>
      <c r="V8" s="3288"/>
      <c r="W8" s="3288"/>
      <c r="X8" s="3288"/>
      <c r="Y8" s="3288"/>
      <c r="Z8" s="3288"/>
      <c r="AA8" s="3288"/>
      <c r="AB8" s="3531"/>
      <c r="AC8" s="3281"/>
      <c r="AD8" s="3281"/>
      <c r="AE8" s="3281"/>
      <c r="AF8" s="3281"/>
      <c r="AG8" s="3281"/>
      <c r="AH8" s="3281"/>
      <c r="AI8" s="3281"/>
      <c r="AJ8" s="3281"/>
      <c r="AK8" s="3281"/>
      <c r="AL8" s="3529"/>
      <c r="AM8" s="3525"/>
      <c r="AN8" s="3469"/>
      <c r="AO8" s="3526"/>
      <c r="AP8" s="3527"/>
      <c r="AQ8" s="3527"/>
      <c r="AR8" s="3527"/>
      <c r="AS8" s="3527"/>
      <c r="AT8" s="3527"/>
      <c r="AU8" s="3527"/>
      <c r="AV8" s="3527"/>
      <c r="AW8" s="3527"/>
      <c r="AX8" s="3527"/>
      <c r="AY8" s="3527"/>
      <c r="AZ8" s="3527"/>
      <c r="BA8" s="3527"/>
      <c r="BB8" s="3527"/>
      <c r="BC8" s="3527"/>
      <c r="BD8" s="3527"/>
      <c r="BE8" s="3527"/>
      <c r="BF8" s="3527"/>
      <c r="BG8" s="3527"/>
      <c r="BH8" s="3527"/>
      <c r="BI8" s="3527"/>
      <c r="BJ8" s="3527"/>
      <c r="BK8" s="3527"/>
      <c r="BL8" s="3527"/>
      <c r="BM8" s="3527"/>
      <c r="BN8" s="3535"/>
      <c r="BO8" s="3534"/>
      <c r="BP8" s="3465"/>
      <c r="BQ8" s="3465"/>
      <c r="BR8" s="3465"/>
      <c r="BS8" s="3465"/>
      <c r="BT8" s="3465"/>
      <c r="BU8" s="3465"/>
      <c r="BV8" s="3465"/>
      <c r="BW8" s="3465"/>
      <c r="BX8" s="3465"/>
      <c r="BY8" s="3465"/>
      <c r="BZ8" s="3465"/>
      <c r="CA8" s="3533"/>
      <c r="CB8" s="3534"/>
      <c r="CC8" s="3465"/>
      <c r="CD8" s="3465"/>
      <c r="CE8" s="3465"/>
      <c r="CF8" s="3465"/>
      <c r="CG8" s="3465"/>
      <c r="CH8" s="3465"/>
      <c r="CI8" s="3465"/>
      <c r="CJ8" s="3465"/>
      <c r="CK8" s="3465"/>
      <c r="CL8" s="3465"/>
      <c r="CM8" s="3465"/>
    </row>
    <row r="9" spans="1:91">
      <c r="A9" s="3523"/>
      <c r="B9" s="2551" t="str">
        <f t="shared" si="0"/>
        <v>3014500003</v>
      </c>
      <c r="C9" s="2492" t="s">
        <v>721</v>
      </c>
      <c r="D9" s="2497">
        <v>1450</v>
      </c>
      <c r="E9" s="2026">
        <v>3</v>
      </c>
      <c r="F9" s="2027">
        <v>1950</v>
      </c>
      <c r="G9" s="2497" t="s">
        <v>947</v>
      </c>
      <c r="H9" s="2026" t="s">
        <v>1560</v>
      </c>
      <c r="I9" s="2028">
        <v>1</v>
      </c>
      <c r="J9" s="2500">
        <v>0</v>
      </c>
      <c r="K9" s="2500">
        <v>0</v>
      </c>
      <c r="L9" s="2500">
        <v>0</v>
      </c>
      <c r="M9" s="2500">
        <v>0</v>
      </c>
      <c r="N9" s="2029">
        <v>0</v>
      </c>
      <c r="O9" s="2502" t="s">
        <v>1603</v>
      </c>
      <c r="P9" s="3288"/>
      <c r="Q9" s="3288"/>
      <c r="R9" s="3288"/>
      <c r="S9" s="3288"/>
      <c r="T9" s="3288"/>
      <c r="U9" s="3288"/>
      <c r="V9" s="3288"/>
      <c r="W9" s="3288"/>
      <c r="X9" s="3288"/>
      <c r="Y9" s="3288"/>
      <c r="Z9" s="3288"/>
      <c r="AA9" s="3288"/>
      <c r="AB9" s="3531"/>
      <c r="AC9" s="3281"/>
      <c r="AD9" s="3281"/>
      <c r="AE9" s="3281"/>
      <c r="AF9" s="3281"/>
      <c r="AG9" s="3281"/>
      <c r="AH9" s="3281"/>
      <c r="AI9" s="3281"/>
      <c r="AJ9" s="3281"/>
      <c r="AK9" s="3281"/>
      <c r="AL9" s="3529"/>
      <c r="AM9" s="3525"/>
      <c r="AN9" s="3469"/>
      <c r="AO9" s="3526"/>
      <c r="AP9" s="3527"/>
      <c r="AQ9" s="3527"/>
      <c r="AR9" s="3527"/>
      <c r="AS9" s="3527"/>
      <c r="AT9" s="3527"/>
      <c r="AU9" s="3527"/>
      <c r="AV9" s="3527"/>
      <c r="AW9" s="3527"/>
      <c r="AX9" s="3527"/>
      <c r="AY9" s="3527"/>
      <c r="AZ9" s="3527"/>
      <c r="BA9" s="3527"/>
      <c r="BB9" s="3527"/>
      <c r="BC9" s="3527"/>
      <c r="BD9" s="3527"/>
      <c r="BE9" s="3527"/>
      <c r="BF9" s="3527"/>
      <c r="BG9" s="3527"/>
      <c r="BH9" s="3527"/>
      <c r="BI9" s="3527"/>
      <c r="BJ9" s="3527"/>
      <c r="BK9" s="3527"/>
      <c r="BL9" s="3527"/>
      <c r="BM9" s="3527"/>
      <c r="BN9" s="3535"/>
      <c r="BO9" s="3534"/>
      <c r="BP9" s="3465"/>
      <c r="BQ9" s="3465"/>
      <c r="BR9" s="3465"/>
      <c r="BS9" s="3465"/>
      <c r="BT9" s="3465"/>
      <c r="BU9" s="3465"/>
      <c r="BV9" s="3465"/>
      <c r="BW9" s="3465"/>
      <c r="BX9" s="3465"/>
      <c r="BY9" s="3465"/>
      <c r="BZ9" s="3465"/>
      <c r="CA9" s="3533"/>
      <c r="CB9" s="3534"/>
      <c r="CC9" s="3465"/>
      <c r="CD9" s="3465"/>
      <c r="CE9" s="3465"/>
      <c r="CF9" s="3465"/>
      <c r="CG9" s="3465"/>
      <c r="CH9" s="3465"/>
      <c r="CI9" s="3465"/>
      <c r="CJ9" s="3465"/>
      <c r="CK9" s="3465"/>
      <c r="CL9" s="3465"/>
      <c r="CM9" s="3465"/>
    </row>
    <row r="10" spans="1:91">
      <c r="A10" s="3523"/>
      <c r="B10" s="2551" t="str">
        <f t="shared" si="0"/>
        <v>3014500050</v>
      </c>
      <c r="C10" s="2492" t="s">
        <v>724</v>
      </c>
      <c r="D10" s="2497">
        <v>1450</v>
      </c>
      <c r="E10" s="2026">
        <v>50</v>
      </c>
      <c r="F10" s="2027">
        <v>1929</v>
      </c>
      <c r="G10" s="2497" t="s">
        <v>947</v>
      </c>
      <c r="H10" s="2026" t="s">
        <v>1560</v>
      </c>
      <c r="I10" s="2028">
        <v>1</v>
      </c>
      <c r="J10" s="2500">
        <v>810</v>
      </c>
      <c r="K10" s="2500">
        <v>0</v>
      </c>
      <c r="L10" s="2500">
        <v>0</v>
      </c>
      <c r="M10" s="2500">
        <v>2430</v>
      </c>
      <c r="N10" s="2029">
        <v>2</v>
      </c>
      <c r="O10" s="2502" t="s">
        <v>1670</v>
      </c>
      <c r="P10" s="3288"/>
      <c r="Q10" s="3288"/>
      <c r="R10" s="3288"/>
      <c r="S10" s="3288"/>
      <c r="T10" s="3288"/>
      <c r="U10" s="3288"/>
      <c r="V10" s="3288"/>
      <c r="W10" s="3288"/>
      <c r="X10" s="3288"/>
      <c r="Y10" s="3288"/>
      <c r="Z10" s="3288"/>
      <c r="AA10" s="3288"/>
      <c r="AB10" s="3531"/>
      <c r="AC10" s="3281"/>
      <c r="AD10" s="3281"/>
      <c r="AE10" s="3281"/>
      <c r="AF10" s="3281"/>
      <c r="AG10" s="3281"/>
      <c r="AH10" s="3281"/>
      <c r="AI10" s="3281"/>
      <c r="AJ10" s="3281"/>
      <c r="AK10" s="3281"/>
      <c r="AL10" s="3529"/>
      <c r="AM10" s="3525"/>
      <c r="AN10" s="3469"/>
      <c r="AO10" s="3526"/>
      <c r="AP10" s="3527"/>
      <c r="AQ10" s="3527"/>
      <c r="AR10" s="3527"/>
      <c r="AS10" s="3527"/>
      <c r="AT10" s="3527"/>
      <c r="AU10" s="3527"/>
      <c r="AV10" s="3527"/>
      <c r="AW10" s="3527"/>
      <c r="AX10" s="3527"/>
      <c r="AY10" s="3527"/>
      <c r="AZ10" s="3527"/>
      <c r="BA10" s="3527"/>
      <c r="BB10" s="3527"/>
      <c r="BC10" s="3527"/>
      <c r="BD10" s="3527"/>
      <c r="BE10" s="3527"/>
      <c r="BF10" s="3527"/>
      <c r="BG10" s="3527"/>
      <c r="BH10" s="3527"/>
      <c r="BI10" s="3527"/>
      <c r="BJ10" s="3527"/>
      <c r="BK10" s="3527"/>
      <c r="BL10" s="3527"/>
      <c r="BM10" s="3527"/>
      <c r="BN10" s="3535"/>
      <c r="BO10" s="3534"/>
      <c r="BP10" s="3465"/>
      <c r="BQ10" s="3465"/>
      <c r="BR10" s="3465"/>
      <c r="BS10" s="3465"/>
      <c r="BT10" s="3465"/>
      <c r="BU10" s="3465"/>
      <c r="BV10" s="3465"/>
      <c r="BW10" s="3465"/>
      <c r="BX10" s="3465"/>
      <c r="BY10" s="3465"/>
      <c r="BZ10" s="3465"/>
      <c r="CA10" s="3533"/>
      <c r="CB10" s="3534"/>
      <c r="CC10" s="3465"/>
      <c r="CD10" s="3465"/>
      <c r="CE10" s="3465"/>
      <c r="CF10" s="3465"/>
      <c r="CG10" s="3465"/>
      <c r="CH10" s="3465"/>
      <c r="CI10" s="3465"/>
      <c r="CJ10" s="3465"/>
      <c r="CK10" s="3465"/>
      <c r="CL10" s="3465"/>
      <c r="CM10" s="3465"/>
    </row>
    <row r="11" spans="1:91">
      <c r="A11" s="3523"/>
      <c r="B11" s="2551" t="str">
        <f t="shared" si="0"/>
        <v>3014500051</v>
      </c>
      <c r="C11" s="2492" t="s">
        <v>746</v>
      </c>
      <c r="D11" s="2497">
        <v>1450</v>
      </c>
      <c r="E11" s="2026">
        <v>51</v>
      </c>
      <c r="F11" s="2027">
        <v>4298</v>
      </c>
      <c r="G11" s="2497" t="s">
        <v>947</v>
      </c>
      <c r="H11" s="2026" t="s">
        <v>1560</v>
      </c>
      <c r="I11" s="2028">
        <v>1</v>
      </c>
      <c r="J11" s="2500">
        <v>0</v>
      </c>
      <c r="K11" s="2500">
        <v>4040</v>
      </c>
      <c r="L11" s="2500">
        <v>0</v>
      </c>
      <c r="M11" s="2500">
        <v>4040</v>
      </c>
      <c r="N11" s="2029">
        <v>0</v>
      </c>
      <c r="O11" s="2502" t="s">
        <v>1572</v>
      </c>
      <c r="P11" s="3288"/>
      <c r="Q11" s="3288"/>
      <c r="R11" s="3288"/>
      <c r="S11" s="3288"/>
      <c r="T11" s="3288"/>
      <c r="U11" s="3288"/>
      <c r="V11" s="3288"/>
      <c r="W11" s="3288"/>
      <c r="X11" s="3288"/>
      <c r="Y11" s="3288"/>
      <c r="Z11" s="3288"/>
      <c r="AA11" s="3288"/>
      <c r="AB11" s="3531"/>
      <c r="AC11" s="3281"/>
      <c r="AD11" s="3281"/>
      <c r="AE11" s="3281"/>
      <c r="AF11" s="3281"/>
      <c r="AG11" s="3281"/>
      <c r="AH11" s="3281"/>
      <c r="AI11" s="3281"/>
      <c r="AJ11" s="3281"/>
      <c r="AK11" s="3281"/>
      <c r="AL11" s="3529"/>
      <c r="AM11" s="3525"/>
      <c r="AN11" s="3469"/>
      <c r="AO11" s="3526"/>
      <c r="AP11" s="3527"/>
      <c r="AQ11" s="3527"/>
      <c r="AR11" s="3527"/>
      <c r="AS11" s="3527"/>
      <c r="AT11" s="3527"/>
      <c r="AU11" s="3527"/>
      <c r="AV11" s="3527"/>
      <c r="AW11" s="3527"/>
      <c r="AX11" s="3527"/>
      <c r="AY11" s="3527"/>
      <c r="AZ11" s="3527"/>
      <c r="BA11" s="3527"/>
      <c r="BB11" s="3527"/>
      <c r="BC11" s="3527"/>
      <c r="BD11" s="3527"/>
      <c r="BE11" s="3527"/>
      <c r="BF11" s="3527"/>
      <c r="BG11" s="3527"/>
      <c r="BH11" s="3527"/>
      <c r="BI11" s="3527"/>
      <c r="BJ11" s="3527"/>
      <c r="BK11" s="3527"/>
      <c r="BL11" s="3527"/>
      <c r="BM11" s="3527"/>
      <c r="BN11" s="3535"/>
      <c r="BO11" s="3534"/>
      <c r="BP11" s="3465"/>
      <c r="BQ11" s="3465"/>
      <c r="BR11" s="3465"/>
      <c r="BS11" s="3465"/>
      <c r="BT11" s="3465"/>
      <c r="BU11" s="3465"/>
      <c r="BV11" s="3465"/>
      <c r="BW11" s="3465"/>
      <c r="BX11" s="3465"/>
      <c r="BY11" s="3465"/>
      <c r="BZ11" s="3465"/>
      <c r="CA11" s="3533"/>
      <c r="CB11" s="3534"/>
      <c r="CC11" s="3465"/>
      <c r="CD11" s="3465"/>
      <c r="CE11" s="3465"/>
      <c r="CF11" s="3465"/>
      <c r="CG11" s="3465"/>
      <c r="CH11" s="3465"/>
      <c r="CI11" s="3465"/>
      <c r="CJ11" s="3465"/>
      <c r="CK11" s="3465"/>
      <c r="CL11" s="3465"/>
      <c r="CM11" s="3465"/>
    </row>
    <row r="12" spans="1:91" ht="15.75" thickBot="1">
      <c r="A12" s="3380"/>
      <c r="B12" s="2551" t="str">
        <f t="shared" si="0"/>
        <v>3014500053</v>
      </c>
      <c r="C12" s="2488" t="s">
        <v>879</v>
      </c>
      <c r="D12" s="2114">
        <v>1450</v>
      </c>
      <c r="E12" s="2114">
        <v>53</v>
      </c>
      <c r="F12" s="2481">
        <v>2997</v>
      </c>
      <c r="G12" s="2446" t="s">
        <v>947</v>
      </c>
      <c r="H12" s="2114" t="s">
        <v>1560</v>
      </c>
      <c r="I12" s="2464">
        <v>1</v>
      </c>
      <c r="J12" s="2483">
        <v>0</v>
      </c>
      <c r="K12" s="2483">
        <v>0</v>
      </c>
      <c r="L12" s="2483">
        <v>0</v>
      </c>
      <c r="M12" s="2483">
        <v>0</v>
      </c>
      <c r="N12" s="2442">
        <v>0</v>
      </c>
      <c r="O12" s="2115" t="s">
        <v>720</v>
      </c>
      <c r="P12" s="3521"/>
      <c r="Q12" s="3521"/>
      <c r="R12" s="3521"/>
      <c r="S12" s="3521"/>
      <c r="T12" s="3521"/>
      <c r="U12" s="3521"/>
      <c r="V12" s="3521"/>
      <c r="W12" s="3521"/>
      <c r="X12" s="3521"/>
      <c r="Y12" s="3521"/>
      <c r="Z12" s="3521"/>
      <c r="AA12" s="3521"/>
      <c r="AB12" s="3532"/>
      <c r="AC12" s="3528"/>
      <c r="AD12" s="3528"/>
      <c r="AE12" s="3528"/>
      <c r="AF12" s="3528"/>
      <c r="AG12" s="3528"/>
      <c r="AH12" s="3528"/>
      <c r="AI12" s="3528"/>
      <c r="AJ12" s="3528"/>
      <c r="AK12" s="3528"/>
      <c r="AL12" s="3529"/>
      <c r="AM12" s="3525"/>
      <c r="AN12" s="3469"/>
      <c r="AO12" s="3526"/>
      <c r="AP12" s="3527"/>
      <c r="AQ12" s="3527"/>
      <c r="AR12" s="3527"/>
      <c r="AS12" s="3527"/>
      <c r="AT12" s="3527"/>
      <c r="AU12" s="3527"/>
      <c r="AV12" s="3527"/>
      <c r="AW12" s="3527"/>
      <c r="AX12" s="3527"/>
      <c r="AY12" s="3527"/>
      <c r="AZ12" s="3527"/>
      <c r="BA12" s="3527"/>
      <c r="BB12" s="3527"/>
      <c r="BC12" s="3527"/>
      <c r="BD12" s="3527"/>
      <c r="BE12" s="3527"/>
      <c r="BF12" s="3527"/>
      <c r="BG12" s="3527"/>
      <c r="BH12" s="3527"/>
      <c r="BI12" s="3527"/>
      <c r="BJ12" s="3527"/>
      <c r="BK12" s="3527"/>
      <c r="BL12" s="3527"/>
      <c r="BM12" s="3527"/>
      <c r="BN12" s="3535"/>
      <c r="BO12" s="3534"/>
      <c r="BP12" s="3465"/>
      <c r="BQ12" s="3465"/>
      <c r="BR12" s="3465"/>
      <c r="BS12" s="3465"/>
      <c r="BT12" s="3465"/>
      <c r="BU12" s="3465"/>
      <c r="BV12" s="3465"/>
      <c r="BW12" s="3465"/>
      <c r="BX12" s="3465"/>
      <c r="BY12" s="3465"/>
      <c r="BZ12" s="3465"/>
      <c r="CA12" s="3533"/>
      <c r="CB12" s="3534"/>
      <c r="CC12" s="3465"/>
      <c r="CD12" s="3465"/>
      <c r="CE12" s="3465"/>
      <c r="CF12" s="3465"/>
      <c r="CG12" s="3465"/>
      <c r="CH12" s="3465"/>
      <c r="CI12" s="3465"/>
      <c r="CJ12" s="3465"/>
      <c r="CK12" s="3465"/>
      <c r="CL12" s="3465"/>
      <c r="CM12" s="3465"/>
    </row>
    <row r="13" spans="1:91" ht="15.75" thickBot="1">
      <c r="A13" s="2051" t="s">
        <v>1673</v>
      </c>
      <c r="B13" s="2551" t="str">
        <f t="shared" si="0"/>
        <v>3014370001</v>
      </c>
      <c r="C13" s="2044" t="s">
        <v>703</v>
      </c>
      <c r="D13" s="2045">
        <v>1437</v>
      </c>
      <c r="E13" s="2045">
        <v>1</v>
      </c>
      <c r="F13" s="2032">
        <v>14000</v>
      </c>
      <c r="G13" s="2046" t="s">
        <v>756</v>
      </c>
      <c r="H13" s="2045" t="s">
        <v>1560</v>
      </c>
      <c r="I13" s="2047">
        <v>2</v>
      </c>
      <c r="J13" s="2533">
        <v>0</v>
      </c>
      <c r="K13" s="2533">
        <v>0</v>
      </c>
      <c r="L13" s="2533">
        <v>0</v>
      </c>
      <c r="M13" s="2533">
        <v>28716</v>
      </c>
      <c r="N13" s="2035">
        <v>0</v>
      </c>
      <c r="O13" s="2042" t="s">
        <v>1674</v>
      </c>
      <c r="P13" s="2049">
        <v>0</v>
      </c>
      <c r="Q13" s="2049">
        <v>0</v>
      </c>
      <c r="R13" s="2049">
        <v>0</v>
      </c>
      <c r="S13" s="2049">
        <v>0</v>
      </c>
      <c r="T13" s="2049">
        <v>0</v>
      </c>
      <c r="U13" s="2049">
        <v>0</v>
      </c>
      <c r="V13" s="2049">
        <v>0</v>
      </c>
      <c r="W13" s="2049">
        <v>0</v>
      </c>
      <c r="X13" s="2049">
        <v>0</v>
      </c>
      <c r="Y13" s="2049">
        <v>0</v>
      </c>
      <c r="Z13" s="2049">
        <v>0</v>
      </c>
      <c r="AA13" s="2049">
        <v>28716</v>
      </c>
      <c r="AB13" s="2116">
        <v>28716</v>
      </c>
      <c r="AC13" s="2533">
        <v>0</v>
      </c>
      <c r="AD13" s="2533">
        <v>0</v>
      </c>
      <c r="AE13" s="2533">
        <v>0</v>
      </c>
      <c r="AF13" s="2533">
        <v>0</v>
      </c>
      <c r="AG13" s="2533">
        <v>0</v>
      </c>
      <c r="AH13" s="2533">
        <v>0</v>
      </c>
      <c r="AI13" s="2533">
        <v>0</v>
      </c>
      <c r="AJ13" s="2533">
        <v>0</v>
      </c>
      <c r="AK13" s="2533">
        <v>0</v>
      </c>
      <c r="AL13" s="2117">
        <v>40</v>
      </c>
      <c r="AM13" s="2118" t="s">
        <v>1476</v>
      </c>
      <c r="AN13" s="2119" t="s">
        <v>1560</v>
      </c>
      <c r="AO13" s="2092" t="s">
        <v>1675</v>
      </c>
      <c r="AP13" s="2120">
        <v>51800</v>
      </c>
      <c r="AQ13" s="2120">
        <v>11200</v>
      </c>
      <c r="AR13" s="2120">
        <v>0</v>
      </c>
      <c r="AS13" s="2120">
        <v>0</v>
      </c>
      <c r="AT13" s="2120">
        <v>0</v>
      </c>
      <c r="AU13" s="2120">
        <v>0</v>
      </c>
      <c r="AV13" s="2120">
        <v>0</v>
      </c>
      <c r="AW13" s="2120">
        <v>0</v>
      </c>
      <c r="AX13" s="2120">
        <v>0</v>
      </c>
      <c r="AY13" s="2120">
        <v>0</v>
      </c>
      <c r="AZ13" s="2120">
        <v>0</v>
      </c>
      <c r="BA13" s="2120">
        <v>15400</v>
      </c>
      <c r="BB13" s="2120">
        <v>78400</v>
      </c>
      <c r="BC13" s="2120">
        <v>51</v>
      </c>
      <c r="BD13" s="2120">
        <v>25.9</v>
      </c>
      <c r="BE13" s="2120">
        <v>13</v>
      </c>
      <c r="BF13" s="2120">
        <v>0</v>
      </c>
      <c r="BG13" s="2120">
        <v>11</v>
      </c>
      <c r="BH13" s="2120">
        <v>0</v>
      </c>
      <c r="BI13" s="2120">
        <v>0</v>
      </c>
      <c r="BJ13" s="2120">
        <v>0</v>
      </c>
      <c r="BK13" s="2120">
        <v>0</v>
      </c>
      <c r="BL13" s="2120">
        <v>15</v>
      </c>
      <c r="BM13" s="2120">
        <v>39</v>
      </c>
      <c r="BN13" s="2121">
        <v>125</v>
      </c>
      <c r="BO13" s="2048">
        <v>51800</v>
      </c>
      <c r="BP13" s="2090">
        <v>11200</v>
      </c>
      <c r="BQ13" s="2090">
        <v>0</v>
      </c>
      <c r="BR13" s="2090">
        <v>0</v>
      </c>
      <c r="BS13" s="2090">
        <v>0</v>
      </c>
      <c r="BT13" s="2090">
        <v>0</v>
      </c>
      <c r="BU13" s="2090">
        <v>0</v>
      </c>
      <c r="BV13" s="2090">
        <v>0</v>
      </c>
      <c r="BW13" s="2090">
        <v>0</v>
      </c>
      <c r="BX13" s="2090">
        <v>0</v>
      </c>
      <c r="BY13" s="2090">
        <v>0</v>
      </c>
      <c r="BZ13" s="2090">
        <v>0</v>
      </c>
      <c r="CA13" s="2122">
        <v>-13316</v>
      </c>
      <c r="CB13" s="2048">
        <v>49684</v>
      </c>
      <c r="CC13" s="2090">
        <v>11200</v>
      </c>
      <c r="CD13" s="2090">
        <v>51</v>
      </c>
      <c r="CE13" s="2090">
        <v>25.9</v>
      </c>
      <c r="CF13" s="2090">
        <v>13</v>
      </c>
      <c r="CG13" s="2090">
        <v>0</v>
      </c>
      <c r="CH13" s="2122">
        <v>11</v>
      </c>
      <c r="CI13" s="2122">
        <v>0</v>
      </c>
      <c r="CJ13" s="2122">
        <v>0</v>
      </c>
      <c r="CK13" s="2122">
        <v>0</v>
      </c>
      <c r="CL13" s="2122">
        <v>0</v>
      </c>
      <c r="CM13" s="2122">
        <v>15</v>
      </c>
    </row>
    <row r="14" spans="1:91">
      <c r="A14" s="3270" t="s">
        <v>1676</v>
      </c>
      <c r="B14" s="2551" t="str">
        <f t="shared" si="0"/>
        <v>3015400070</v>
      </c>
      <c r="C14" s="2466" t="s">
        <v>703</v>
      </c>
      <c r="D14" s="2462">
        <v>1540</v>
      </c>
      <c r="E14" s="2462">
        <v>70</v>
      </c>
      <c r="F14" s="2461">
        <v>3796</v>
      </c>
      <c r="G14" s="2445" t="s">
        <v>947</v>
      </c>
      <c r="H14" s="2462" t="s">
        <v>1560</v>
      </c>
      <c r="I14" s="2463">
        <v>1</v>
      </c>
      <c r="J14" s="2448">
        <v>0</v>
      </c>
      <c r="K14" s="2448">
        <v>1986</v>
      </c>
      <c r="L14" s="2448">
        <v>0</v>
      </c>
      <c r="M14" s="2448">
        <v>1986</v>
      </c>
      <c r="N14" s="2438">
        <v>0</v>
      </c>
      <c r="O14" s="2437" t="s">
        <v>1572</v>
      </c>
      <c r="P14" s="3272">
        <v>0</v>
      </c>
      <c r="Q14" s="3272">
        <v>0</v>
      </c>
      <c r="R14" s="3272">
        <v>0</v>
      </c>
      <c r="S14" s="3272">
        <v>0</v>
      </c>
      <c r="T14" s="3272">
        <v>1986</v>
      </c>
      <c r="U14" s="3272">
        <v>0</v>
      </c>
      <c r="V14" s="3272">
        <v>0</v>
      </c>
      <c r="W14" s="3272">
        <v>0</v>
      </c>
      <c r="X14" s="3272">
        <v>0</v>
      </c>
      <c r="Y14" s="3272">
        <v>16310</v>
      </c>
      <c r="Z14" s="3272">
        <v>0</v>
      </c>
      <c r="AA14" s="3272">
        <v>0</v>
      </c>
      <c r="AB14" s="3507">
        <v>18296</v>
      </c>
      <c r="AC14" s="3265">
        <v>0</v>
      </c>
      <c r="AD14" s="3265">
        <v>0</v>
      </c>
      <c r="AE14" s="3265">
        <v>0</v>
      </c>
      <c r="AF14" s="3265">
        <v>0</v>
      </c>
      <c r="AG14" s="3265">
        <v>0</v>
      </c>
      <c r="AH14" s="3265">
        <v>0</v>
      </c>
      <c r="AI14" s="3265">
        <v>0</v>
      </c>
      <c r="AJ14" s="3265">
        <v>0</v>
      </c>
      <c r="AK14" s="3265">
        <v>0</v>
      </c>
      <c r="AL14" s="3513">
        <v>15</v>
      </c>
      <c r="AM14" s="3515" t="s">
        <v>1564</v>
      </c>
      <c r="AN14" s="3512" t="s">
        <v>1560</v>
      </c>
      <c r="AO14" s="3407" t="s">
        <v>1677</v>
      </c>
      <c r="AP14" s="3511">
        <v>77773</v>
      </c>
      <c r="AQ14" s="3511">
        <v>10000</v>
      </c>
      <c r="AR14" s="3511">
        <v>0</v>
      </c>
      <c r="AS14" s="3511">
        <v>3086</v>
      </c>
      <c r="AT14" s="3511">
        <v>0</v>
      </c>
      <c r="AU14" s="3511">
        <v>0</v>
      </c>
      <c r="AV14" s="3511">
        <v>0</v>
      </c>
      <c r="AW14" s="3511">
        <v>0</v>
      </c>
      <c r="AX14" s="3511">
        <v>0</v>
      </c>
      <c r="AY14" s="3511">
        <v>0</v>
      </c>
      <c r="AZ14" s="3511">
        <v>0</v>
      </c>
      <c r="BA14" s="3511">
        <v>0</v>
      </c>
      <c r="BB14" s="3511">
        <v>90859</v>
      </c>
      <c r="BC14" s="3511">
        <v>77</v>
      </c>
      <c r="BD14" s="3511">
        <v>38.886499999999998</v>
      </c>
      <c r="BE14" s="3511">
        <v>19</v>
      </c>
      <c r="BF14" s="3511">
        <v>0</v>
      </c>
      <c r="BG14" s="3511">
        <v>0</v>
      </c>
      <c r="BH14" s="3511">
        <v>0</v>
      </c>
      <c r="BI14" s="3511">
        <v>0</v>
      </c>
      <c r="BJ14" s="3511">
        <v>0</v>
      </c>
      <c r="BK14" s="3511">
        <v>0</v>
      </c>
      <c r="BL14" s="3511">
        <v>0</v>
      </c>
      <c r="BM14" s="3511">
        <v>19</v>
      </c>
      <c r="BN14" s="3517">
        <v>95</v>
      </c>
      <c r="BO14" s="3519">
        <v>77773</v>
      </c>
      <c r="BP14" s="3464">
        <v>10000</v>
      </c>
      <c r="BQ14" s="3464">
        <v>0</v>
      </c>
      <c r="BR14" s="3464">
        <v>0</v>
      </c>
      <c r="BS14" s="3464">
        <v>3086</v>
      </c>
      <c r="BT14" s="3464">
        <v>-1986</v>
      </c>
      <c r="BU14" s="3464">
        <v>0</v>
      </c>
      <c r="BV14" s="3464">
        <v>0</v>
      </c>
      <c r="BW14" s="3464">
        <v>0</v>
      </c>
      <c r="BX14" s="3464">
        <v>0</v>
      </c>
      <c r="BY14" s="3464">
        <v>-16310</v>
      </c>
      <c r="BZ14" s="3464">
        <v>0</v>
      </c>
      <c r="CA14" s="3524">
        <v>0</v>
      </c>
      <c r="CB14" s="3519">
        <v>72563</v>
      </c>
      <c r="CC14" s="3464">
        <v>-5210</v>
      </c>
      <c r="CD14" s="3464">
        <v>77</v>
      </c>
      <c r="CE14" s="3464">
        <v>38.886499999999998</v>
      </c>
      <c r="CF14" s="3464">
        <v>19</v>
      </c>
      <c r="CG14" s="3464">
        <v>0</v>
      </c>
      <c r="CH14" s="3464">
        <v>0</v>
      </c>
      <c r="CI14" s="3464">
        <v>0</v>
      </c>
      <c r="CJ14" s="3464">
        <v>0</v>
      </c>
      <c r="CK14" s="3464">
        <v>0</v>
      </c>
      <c r="CL14" s="3464">
        <v>0</v>
      </c>
      <c r="CM14" s="3464">
        <v>0</v>
      </c>
    </row>
    <row r="15" spans="1:91">
      <c r="A15" s="3387"/>
      <c r="B15" s="2551" t="str">
        <f t="shared" si="0"/>
        <v>3015400072</v>
      </c>
      <c r="C15" s="2492" t="s">
        <v>710</v>
      </c>
      <c r="D15" s="2026">
        <v>1540</v>
      </c>
      <c r="E15" s="2026">
        <v>72</v>
      </c>
      <c r="F15" s="2027">
        <v>15200</v>
      </c>
      <c r="G15" s="2497" t="s">
        <v>947</v>
      </c>
      <c r="H15" s="2026" t="s">
        <v>1560</v>
      </c>
      <c r="I15" s="2028">
        <v>1</v>
      </c>
      <c r="J15" s="2500">
        <v>0</v>
      </c>
      <c r="K15" s="2500">
        <v>16310</v>
      </c>
      <c r="L15" s="2500">
        <v>0</v>
      </c>
      <c r="M15" s="2500">
        <v>16310</v>
      </c>
      <c r="N15" s="2029">
        <v>0</v>
      </c>
      <c r="O15" s="2502" t="s">
        <v>1678</v>
      </c>
      <c r="P15" s="3273"/>
      <c r="Q15" s="3273"/>
      <c r="R15" s="3273"/>
      <c r="S15" s="3273"/>
      <c r="T15" s="3273"/>
      <c r="U15" s="3273"/>
      <c r="V15" s="3273"/>
      <c r="W15" s="3273"/>
      <c r="X15" s="3273"/>
      <c r="Y15" s="3273"/>
      <c r="Z15" s="3273"/>
      <c r="AA15" s="3273"/>
      <c r="AB15" s="3508"/>
      <c r="AC15" s="3274"/>
      <c r="AD15" s="3274"/>
      <c r="AE15" s="3274"/>
      <c r="AF15" s="3274"/>
      <c r="AG15" s="3274"/>
      <c r="AH15" s="3274"/>
      <c r="AI15" s="3274"/>
      <c r="AJ15" s="3274"/>
      <c r="AK15" s="3274"/>
      <c r="AL15" s="3529"/>
      <c r="AM15" s="3525"/>
      <c r="AN15" s="3469"/>
      <c r="AO15" s="3526"/>
      <c r="AP15" s="3527"/>
      <c r="AQ15" s="3527"/>
      <c r="AR15" s="3527"/>
      <c r="AS15" s="3527"/>
      <c r="AT15" s="3527"/>
      <c r="AU15" s="3527"/>
      <c r="AV15" s="3527"/>
      <c r="AW15" s="3527"/>
      <c r="AX15" s="3527"/>
      <c r="AY15" s="3527"/>
      <c r="AZ15" s="3527"/>
      <c r="BA15" s="3527"/>
      <c r="BB15" s="3527"/>
      <c r="BC15" s="3527"/>
      <c r="BD15" s="3527"/>
      <c r="BE15" s="3527"/>
      <c r="BF15" s="3527"/>
      <c r="BG15" s="3527"/>
      <c r="BH15" s="3527"/>
      <c r="BI15" s="3527"/>
      <c r="BJ15" s="3527"/>
      <c r="BK15" s="3527"/>
      <c r="BL15" s="3527"/>
      <c r="BM15" s="3527"/>
      <c r="BN15" s="3535"/>
      <c r="BO15" s="3534"/>
      <c r="BP15" s="3465"/>
      <c r="BQ15" s="3465"/>
      <c r="BR15" s="3465"/>
      <c r="BS15" s="3465"/>
      <c r="BT15" s="3465"/>
      <c r="BU15" s="3465"/>
      <c r="BV15" s="3465"/>
      <c r="BW15" s="3465"/>
      <c r="BX15" s="3465"/>
      <c r="BY15" s="3465"/>
      <c r="BZ15" s="3465"/>
      <c r="CA15" s="3533"/>
      <c r="CB15" s="3534"/>
      <c r="CC15" s="3465"/>
      <c r="CD15" s="3465"/>
      <c r="CE15" s="3465"/>
      <c r="CF15" s="3465"/>
      <c r="CG15" s="3465"/>
      <c r="CH15" s="3465"/>
      <c r="CI15" s="3465"/>
      <c r="CJ15" s="3465"/>
      <c r="CK15" s="3465"/>
      <c r="CL15" s="3465"/>
      <c r="CM15" s="3465"/>
    </row>
    <row r="16" spans="1:91" ht="15.75" thickBot="1">
      <c r="A16" s="3357"/>
      <c r="B16" s="2551" t="str">
        <f t="shared" si="0"/>
        <v>3015400082</v>
      </c>
      <c r="C16" s="2488" t="s">
        <v>721</v>
      </c>
      <c r="D16" s="2114">
        <v>1540</v>
      </c>
      <c r="E16" s="2114">
        <v>82</v>
      </c>
      <c r="F16" s="2481">
        <v>756</v>
      </c>
      <c r="G16" s="2446" t="s">
        <v>947</v>
      </c>
      <c r="H16" s="2114" t="s">
        <v>1560</v>
      </c>
      <c r="I16" s="2464">
        <v>1</v>
      </c>
      <c r="J16" s="2483">
        <v>0</v>
      </c>
      <c r="K16" s="2483">
        <v>0</v>
      </c>
      <c r="L16" s="2483">
        <v>0</v>
      </c>
      <c r="M16" s="2483">
        <v>0</v>
      </c>
      <c r="N16" s="2442">
        <v>0</v>
      </c>
      <c r="O16" s="2452" t="s">
        <v>720</v>
      </c>
      <c r="P16" s="3359"/>
      <c r="Q16" s="3359"/>
      <c r="R16" s="3359"/>
      <c r="S16" s="3359"/>
      <c r="T16" s="3359"/>
      <c r="U16" s="3359"/>
      <c r="V16" s="3359"/>
      <c r="W16" s="3359"/>
      <c r="X16" s="3359"/>
      <c r="Y16" s="3359"/>
      <c r="Z16" s="3359"/>
      <c r="AA16" s="3359"/>
      <c r="AB16" s="3536"/>
      <c r="AC16" s="3361"/>
      <c r="AD16" s="3361"/>
      <c r="AE16" s="3361"/>
      <c r="AF16" s="3361"/>
      <c r="AG16" s="3361"/>
      <c r="AH16" s="3361"/>
      <c r="AI16" s="3361"/>
      <c r="AJ16" s="3361"/>
      <c r="AK16" s="3361"/>
      <c r="AL16" s="3514"/>
      <c r="AM16" s="3516"/>
      <c r="AN16" s="3470"/>
      <c r="AO16" s="3718"/>
      <c r="AP16" s="3719"/>
      <c r="AQ16" s="3719"/>
      <c r="AR16" s="3719"/>
      <c r="AS16" s="3719"/>
      <c r="AT16" s="3719"/>
      <c r="AU16" s="3719"/>
      <c r="AV16" s="3719"/>
      <c r="AW16" s="3719"/>
      <c r="AX16" s="3719"/>
      <c r="AY16" s="3719"/>
      <c r="AZ16" s="3719"/>
      <c r="BA16" s="3719"/>
      <c r="BB16" s="3719"/>
      <c r="BC16" s="3719"/>
      <c r="BD16" s="3719"/>
      <c r="BE16" s="3719"/>
      <c r="BF16" s="3719"/>
      <c r="BG16" s="3719"/>
      <c r="BH16" s="3719"/>
      <c r="BI16" s="3719"/>
      <c r="BJ16" s="3719"/>
      <c r="BK16" s="3719"/>
      <c r="BL16" s="3719"/>
      <c r="BM16" s="3719"/>
      <c r="BN16" s="3518"/>
      <c r="BO16" s="3520"/>
      <c r="BP16" s="3466"/>
      <c r="BQ16" s="3466"/>
      <c r="BR16" s="3466"/>
      <c r="BS16" s="3466"/>
      <c r="BT16" s="3466"/>
      <c r="BU16" s="3466"/>
      <c r="BV16" s="3466"/>
      <c r="BW16" s="3466"/>
      <c r="BX16" s="3466"/>
      <c r="BY16" s="3466"/>
      <c r="BZ16" s="3466"/>
      <c r="CA16" s="3477"/>
      <c r="CB16" s="3520"/>
      <c r="CC16" s="3466"/>
      <c r="CD16" s="3466"/>
      <c r="CE16" s="3466"/>
      <c r="CF16" s="3466"/>
      <c r="CG16" s="3466"/>
      <c r="CH16" s="3466"/>
      <c r="CI16" s="3466"/>
      <c r="CJ16" s="3466"/>
      <c r="CK16" s="3466"/>
      <c r="CL16" s="3466"/>
      <c r="CM16" s="3466"/>
    </row>
    <row r="17" spans="1:91">
      <c r="A17" s="3282" t="s">
        <v>1679</v>
      </c>
      <c r="B17" s="2551" t="str">
        <f t="shared" si="0"/>
        <v>3015440014</v>
      </c>
      <c r="C17" s="2010" t="s">
        <v>703</v>
      </c>
      <c r="D17" s="2462">
        <v>1544</v>
      </c>
      <c r="E17" s="2462">
        <v>14</v>
      </c>
      <c r="F17" s="2461">
        <v>1500</v>
      </c>
      <c r="G17" s="2445" t="s">
        <v>947</v>
      </c>
      <c r="H17" s="2462" t="s">
        <v>1560</v>
      </c>
      <c r="I17" s="2463">
        <v>1</v>
      </c>
      <c r="J17" s="2448">
        <v>0</v>
      </c>
      <c r="K17" s="2448">
        <v>0</v>
      </c>
      <c r="L17" s="2448">
        <v>0</v>
      </c>
      <c r="M17" s="2448">
        <v>1420</v>
      </c>
      <c r="N17" s="2438">
        <v>2</v>
      </c>
      <c r="O17" s="2437" t="s">
        <v>1580</v>
      </c>
      <c r="P17" s="3284">
        <v>1420</v>
      </c>
      <c r="Q17" s="3284">
        <v>0</v>
      </c>
      <c r="R17" s="3284">
        <v>0</v>
      </c>
      <c r="S17" s="3284">
        <v>0</v>
      </c>
      <c r="T17" s="3284">
        <v>0</v>
      </c>
      <c r="U17" s="3284">
        <v>0</v>
      </c>
      <c r="V17" s="3284">
        <v>0</v>
      </c>
      <c r="W17" s="3284">
        <v>0</v>
      </c>
      <c r="X17" s="3284">
        <v>0</v>
      </c>
      <c r="Y17" s="3284">
        <v>0</v>
      </c>
      <c r="Z17" s="3284">
        <v>0</v>
      </c>
      <c r="AA17" s="3284">
        <v>0</v>
      </c>
      <c r="AB17" s="3530">
        <v>1420</v>
      </c>
      <c r="AC17" s="3286">
        <v>1</v>
      </c>
      <c r="AD17" s="3286">
        <v>1</v>
      </c>
      <c r="AE17" s="3286">
        <v>0</v>
      </c>
      <c r="AF17" s="3286">
        <v>0</v>
      </c>
      <c r="AG17" s="3286">
        <v>0</v>
      </c>
      <c r="AH17" s="3286">
        <v>0</v>
      </c>
      <c r="AI17" s="3286">
        <v>0</v>
      </c>
      <c r="AJ17" s="3286">
        <v>0</v>
      </c>
      <c r="AK17" s="3286">
        <v>1</v>
      </c>
      <c r="AL17" s="3513">
        <v>10</v>
      </c>
      <c r="AM17" s="3515" t="s">
        <v>1585</v>
      </c>
      <c r="AN17" s="3512" t="s">
        <v>1560</v>
      </c>
      <c r="AO17" s="3407" t="s">
        <v>1616</v>
      </c>
      <c r="AP17" s="3511">
        <v>23519</v>
      </c>
      <c r="AQ17" s="3511">
        <v>0</v>
      </c>
      <c r="AR17" s="3511">
        <v>0</v>
      </c>
      <c r="AS17" s="3511">
        <v>0</v>
      </c>
      <c r="AT17" s="3511">
        <v>0</v>
      </c>
      <c r="AU17" s="3511">
        <v>0</v>
      </c>
      <c r="AV17" s="3511">
        <v>0</v>
      </c>
      <c r="AW17" s="3511">
        <v>0</v>
      </c>
      <c r="AX17" s="3511">
        <v>0</v>
      </c>
      <c r="AY17" s="3511">
        <v>0</v>
      </c>
      <c r="AZ17" s="3511">
        <v>0</v>
      </c>
      <c r="BA17" s="3511">
        <v>0</v>
      </c>
      <c r="BB17" s="3511">
        <v>23519</v>
      </c>
      <c r="BC17" s="3511">
        <v>23</v>
      </c>
      <c r="BD17" s="3511">
        <v>11.759499999999999</v>
      </c>
      <c r="BE17" s="3511">
        <v>6</v>
      </c>
      <c r="BF17" s="3511">
        <v>0</v>
      </c>
      <c r="BG17" s="3511">
        <v>0</v>
      </c>
      <c r="BH17" s="3511">
        <v>0</v>
      </c>
      <c r="BI17" s="3511">
        <v>0</v>
      </c>
      <c r="BJ17" s="3511">
        <v>0</v>
      </c>
      <c r="BK17" s="3511">
        <v>0</v>
      </c>
      <c r="BL17" s="3511">
        <v>0</v>
      </c>
      <c r="BM17" s="3511">
        <v>6</v>
      </c>
      <c r="BN17" s="3517">
        <v>85</v>
      </c>
      <c r="BO17" s="3519">
        <v>22099</v>
      </c>
      <c r="BP17" s="3464">
        <v>0</v>
      </c>
      <c r="BQ17" s="3464">
        <v>0</v>
      </c>
      <c r="BR17" s="3464">
        <v>0</v>
      </c>
      <c r="BS17" s="3464">
        <v>0</v>
      </c>
      <c r="BT17" s="3464">
        <v>0</v>
      </c>
      <c r="BU17" s="3464">
        <v>0</v>
      </c>
      <c r="BV17" s="3464">
        <v>0</v>
      </c>
      <c r="BW17" s="3464">
        <v>0</v>
      </c>
      <c r="BX17" s="3464">
        <v>0</v>
      </c>
      <c r="BY17" s="3464">
        <v>0</v>
      </c>
      <c r="BZ17" s="3464">
        <v>0</v>
      </c>
      <c r="CA17" s="3524">
        <v>0</v>
      </c>
      <c r="CB17" s="3519">
        <v>22099</v>
      </c>
      <c r="CC17" s="3464">
        <v>0</v>
      </c>
      <c r="CD17" s="3464">
        <v>22</v>
      </c>
      <c r="CE17" s="3464">
        <v>11.759499999999999</v>
      </c>
      <c r="CF17" s="3464">
        <v>5</v>
      </c>
      <c r="CG17" s="3464">
        <v>0</v>
      </c>
      <c r="CH17" s="3464">
        <v>0</v>
      </c>
      <c r="CI17" s="3464">
        <v>0</v>
      </c>
      <c r="CJ17" s="3464">
        <v>0</v>
      </c>
      <c r="CK17" s="3464">
        <v>0</v>
      </c>
      <c r="CL17" s="3464">
        <v>0</v>
      </c>
      <c r="CM17" s="3464">
        <v>0</v>
      </c>
    </row>
    <row r="18" spans="1:91">
      <c r="A18" s="3271"/>
      <c r="B18" s="2551" t="str">
        <f t="shared" si="0"/>
        <v>3015440015</v>
      </c>
      <c r="C18" s="2123" t="s">
        <v>710</v>
      </c>
      <c r="D18" s="2026">
        <v>1544</v>
      </c>
      <c r="E18" s="2026">
        <v>15</v>
      </c>
      <c r="F18" s="2027">
        <v>2533</v>
      </c>
      <c r="G18" s="2497" t="s">
        <v>947</v>
      </c>
      <c r="H18" s="2026" t="s">
        <v>1560</v>
      </c>
      <c r="I18" s="2028">
        <v>1</v>
      </c>
      <c r="J18" s="2500">
        <v>0</v>
      </c>
      <c r="K18" s="2500">
        <v>0</v>
      </c>
      <c r="L18" s="2500">
        <v>0</v>
      </c>
      <c r="M18" s="2500">
        <v>0</v>
      </c>
      <c r="N18" s="2029">
        <v>1</v>
      </c>
      <c r="O18" s="2115" t="s">
        <v>1603</v>
      </c>
      <c r="P18" s="3288"/>
      <c r="Q18" s="3288"/>
      <c r="R18" s="3288"/>
      <c r="S18" s="3288"/>
      <c r="T18" s="3288"/>
      <c r="U18" s="3288"/>
      <c r="V18" s="3288"/>
      <c r="W18" s="3288"/>
      <c r="X18" s="3288"/>
      <c r="Y18" s="3288"/>
      <c r="Z18" s="3288"/>
      <c r="AA18" s="3288"/>
      <c r="AB18" s="3531"/>
      <c r="AC18" s="3281"/>
      <c r="AD18" s="3281"/>
      <c r="AE18" s="3281"/>
      <c r="AF18" s="3281"/>
      <c r="AG18" s="3281"/>
      <c r="AH18" s="3281"/>
      <c r="AI18" s="3281"/>
      <c r="AJ18" s="3281"/>
      <c r="AK18" s="3281"/>
      <c r="AL18" s="3529"/>
      <c r="AM18" s="3525"/>
      <c r="AN18" s="3469"/>
      <c r="AO18" s="3526"/>
      <c r="AP18" s="3527"/>
      <c r="AQ18" s="3527"/>
      <c r="AR18" s="3527"/>
      <c r="AS18" s="3527"/>
      <c r="AT18" s="3527"/>
      <c r="AU18" s="3527"/>
      <c r="AV18" s="3527"/>
      <c r="AW18" s="3527"/>
      <c r="AX18" s="3527"/>
      <c r="AY18" s="3527"/>
      <c r="AZ18" s="3527"/>
      <c r="BA18" s="3527"/>
      <c r="BB18" s="3527"/>
      <c r="BC18" s="3527"/>
      <c r="BD18" s="3527"/>
      <c r="BE18" s="3527"/>
      <c r="BF18" s="3527"/>
      <c r="BG18" s="3527"/>
      <c r="BH18" s="3527"/>
      <c r="BI18" s="3527"/>
      <c r="BJ18" s="3527"/>
      <c r="BK18" s="3527"/>
      <c r="BL18" s="3527"/>
      <c r="BM18" s="3527"/>
      <c r="BN18" s="3535"/>
      <c r="BO18" s="3534"/>
      <c r="BP18" s="3465"/>
      <c r="BQ18" s="3465"/>
      <c r="BR18" s="3465"/>
      <c r="BS18" s="3465"/>
      <c r="BT18" s="3465"/>
      <c r="BU18" s="3465"/>
      <c r="BV18" s="3465"/>
      <c r="BW18" s="3465"/>
      <c r="BX18" s="3465"/>
      <c r="BY18" s="3465"/>
      <c r="BZ18" s="3465"/>
      <c r="CA18" s="3533"/>
      <c r="CB18" s="3534"/>
      <c r="CC18" s="3465"/>
      <c r="CD18" s="3465"/>
      <c r="CE18" s="3465"/>
      <c r="CF18" s="3465"/>
      <c r="CG18" s="3465"/>
      <c r="CH18" s="3465"/>
      <c r="CI18" s="3465"/>
      <c r="CJ18" s="3465"/>
      <c r="CK18" s="3465"/>
      <c r="CL18" s="3465"/>
      <c r="CM18" s="3465"/>
    </row>
    <row r="19" spans="1:91" ht="15.75" thickBot="1">
      <c r="A19" s="3283"/>
      <c r="B19" s="2551" t="str">
        <f t="shared" si="0"/>
        <v>3015440016</v>
      </c>
      <c r="C19" s="2493" t="s">
        <v>710</v>
      </c>
      <c r="D19" s="2479">
        <v>1544</v>
      </c>
      <c r="E19" s="2479">
        <v>16</v>
      </c>
      <c r="F19" s="2482">
        <v>2500</v>
      </c>
      <c r="G19" s="2447" t="s">
        <v>947</v>
      </c>
      <c r="H19" s="2479" t="s">
        <v>1560</v>
      </c>
      <c r="I19" s="2465">
        <v>1</v>
      </c>
      <c r="J19" s="2480">
        <v>0</v>
      </c>
      <c r="K19" s="2480">
        <v>0</v>
      </c>
      <c r="L19" s="2480">
        <v>0</v>
      </c>
      <c r="M19" s="2480">
        <v>0</v>
      </c>
      <c r="N19" s="2443">
        <v>0</v>
      </c>
      <c r="O19" s="2503" t="s">
        <v>1603</v>
      </c>
      <c r="P19" s="3285">
        <v>1420</v>
      </c>
      <c r="Q19" s="3285">
        <v>0</v>
      </c>
      <c r="R19" s="3285">
        <v>0</v>
      </c>
      <c r="S19" s="3285">
        <v>0</v>
      </c>
      <c r="T19" s="3285">
        <v>0</v>
      </c>
      <c r="U19" s="3285">
        <v>0</v>
      </c>
      <c r="V19" s="3285">
        <v>0</v>
      </c>
      <c r="W19" s="3285">
        <v>0</v>
      </c>
      <c r="X19" s="3285">
        <v>0</v>
      </c>
      <c r="Y19" s="3285">
        <v>0</v>
      </c>
      <c r="Z19" s="3285">
        <v>0</v>
      </c>
      <c r="AA19" s="3285">
        <v>0</v>
      </c>
      <c r="AB19" s="3537">
        <v>1420</v>
      </c>
      <c r="AC19" s="3287">
        <v>1</v>
      </c>
      <c r="AD19" s="3287">
        <v>1</v>
      </c>
      <c r="AE19" s="3287">
        <v>0</v>
      </c>
      <c r="AF19" s="3287">
        <v>0</v>
      </c>
      <c r="AG19" s="3287">
        <v>0</v>
      </c>
      <c r="AH19" s="3287">
        <v>0</v>
      </c>
      <c r="AI19" s="3287">
        <v>0</v>
      </c>
      <c r="AJ19" s="3287">
        <v>0</v>
      </c>
      <c r="AK19" s="3287">
        <v>1</v>
      </c>
      <c r="AL19" s="3514"/>
      <c r="AM19" s="3516"/>
      <c r="AN19" s="3470"/>
      <c r="AO19" s="3718"/>
      <c r="AP19" s="3719"/>
      <c r="AQ19" s="3719"/>
      <c r="AR19" s="3719"/>
      <c r="AS19" s="3719"/>
      <c r="AT19" s="3719"/>
      <c r="AU19" s="3719"/>
      <c r="AV19" s="3719"/>
      <c r="AW19" s="3719"/>
      <c r="AX19" s="3719"/>
      <c r="AY19" s="3719"/>
      <c r="AZ19" s="3719"/>
      <c r="BA19" s="3719"/>
      <c r="BB19" s="3719"/>
      <c r="BC19" s="3719"/>
      <c r="BD19" s="3719"/>
      <c r="BE19" s="3719"/>
      <c r="BF19" s="3719"/>
      <c r="BG19" s="3719"/>
      <c r="BH19" s="3719"/>
      <c r="BI19" s="3719"/>
      <c r="BJ19" s="3719"/>
      <c r="BK19" s="3719"/>
      <c r="BL19" s="3719"/>
      <c r="BM19" s="3719"/>
      <c r="BN19" s="3518"/>
      <c r="BO19" s="3520"/>
      <c r="BP19" s="3466"/>
      <c r="BQ19" s="3466"/>
      <c r="BR19" s="3466"/>
      <c r="BS19" s="3466"/>
      <c r="BT19" s="3466"/>
      <c r="BU19" s="3466"/>
      <c r="BV19" s="3466"/>
      <c r="BW19" s="3466"/>
      <c r="BX19" s="3466"/>
      <c r="BY19" s="3466"/>
      <c r="BZ19" s="3466"/>
      <c r="CA19" s="3477"/>
      <c r="CB19" s="3520"/>
      <c r="CC19" s="3466"/>
      <c r="CD19" s="3466"/>
      <c r="CE19" s="3466"/>
      <c r="CF19" s="3466"/>
      <c r="CG19" s="3466"/>
      <c r="CH19" s="3466"/>
      <c r="CI19" s="3466"/>
      <c r="CJ19" s="3466"/>
      <c r="CK19" s="3466"/>
      <c r="CL19" s="3466"/>
      <c r="CM19" s="3466"/>
    </row>
    <row r="20" spans="1:91" ht="15.75" thickBot="1">
      <c r="A20" s="2124" t="s">
        <v>1680</v>
      </c>
      <c r="B20" s="2551" t="str">
        <f t="shared" si="0"/>
        <v>3015430001</v>
      </c>
      <c r="C20" s="2022" t="s">
        <v>703</v>
      </c>
      <c r="D20" s="2023">
        <v>1543</v>
      </c>
      <c r="E20" s="2023">
        <v>1</v>
      </c>
      <c r="F20" s="2506">
        <v>12675</v>
      </c>
      <c r="G20" s="2507" t="s">
        <v>947</v>
      </c>
      <c r="H20" s="2023" t="s">
        <v>1560</v>
      </c>
      <c r="I20" s="2024">
        <v>1</v>
      </c>
      <c r="J20" s="2505">
        <v>9440</v>
      </c>
      <c r="K20" s="2505">
        <v>0</v>
      </c>
      <c r="L20" s="2505">
        <v>0</v>
      </c>
      <c r="M20" s="2505">
        <v>9440</v>
      </c>
      <c r="N20" s="2025">
        <v>0</v>
      </c>
      <c r="O20" s="2452" t="s">
        <v>1681</v>
      </c>
      <c r="P20" s="2484">
        <v>0</v>
      </c>
      <c r="Q20" s="2484">
        <v>0</v>
      </c>
      <c r="R20" s="2484">
        <v>9440</v>
      </c>
      <c r="S20" s="2484">
        <v>0</v>
      </c>
      <c r="T20" s="2484">
        <v>0</v>
      </c>
      <c r="U20" s="2484">
        <v>0</v>
      </c>
      <c r="V20" s="2484">
        <v>0</v>
      </c>
      <c r="W20" s="2484">
        <v>0</v>
      </c>
      <c r="X20" s="2484">
        <v>0</v>
      </c>
      <c r="Y20" s="2484">
        <v>0</v>
      </c>
      <c r="Z20" s="2484">
        <v>0</v>
      </c>
      <c r="AA20" s="2484">
        <v>0</v>
      </c>
      <c r="AB20" s="2520">
        <v>9440</v>
      </c>
      <c r="AC20" s="2483">
        <v>0</v>
      </c>
      <c r="AD20" s="2483">
        <v>0</v>
      </c>
      <c r="AE20" s="2483">
        <v>31</v>
      </c>
      <c r="AF20" s="2483">
        <v>0</v>
      </c>
      <c r="AG20" s="2483">
        <v>0</v>
      </c>
      <c r="AH20" s="2483">
        <v>0</v>
      </c>
      <c r="AI20" s="2483">
        <v>0</v>
      </c>
      <c r="AJ20" s="2483">
        <v>0</v>
      </c>
      <c r="AK20" s="2483">
        <v>31</v>
      </c>
      <c r="AL20" s="2516">
        <v>10</v>
      </c>
      <c r="AM20" s="2125" t="s">
        <v>1585</v>
      </c>
      <c r="AN20" s="2126" t="s">
        <v>706</v>
      </c>
      <c r="AO20" s="2127" t="s">
        <v>1682</v>
      </c>
      <c r="AP20" s="2128">
        <v>32955</v>
      </c>
      <c r="AQ20" s="2128">
        <v>0</v>
      </c>
      <c r="AR20" s="2128">
        <v>10140</v>
      </c>
      <c r="AS20" s="2128">
        <v>0</v>
      </c>
      <c r="AT20" s="2128">
        <v>0</v>
      </c>
      <c r="AU20" s="2128">
        <v>0</v>
      </c>
      <c r="AV20" s="2128">
        <v>0</v>
      </c>
      <c r="AW20" s="2128">
        <v>0</v>
      </c>
      <c r="AX20" s="2128">
        <v>0</v>
      </c>
      <c r="AY20" s="2128">
        <v>0</v>
      </c>
      <c r="AZ20" s="2128">
        <v>0</v>
      </c>
      <c r="BA20" s="2128">
        <v>12675</v>
      </c>
      <c r="BB20" s="2128">
        <v>55770</v>
      </c>
      <c r="BC20" s="2128">
        <v>32</v>
      </c>
      <c r="BD20" s="2128">
        <v>16.477499999999999</v>
      </c>
      <c r="BE20" s="2128">
        <v>8</v>
      </c>
      <c r="BF20" s="2128">
        <v>0</v>
      </c>
      <c r="BG20" s="2128">
        <v>0</v>
      </c>
      <c r="BH20" s="2128">
        <v>0</v>
      </c>
      <c r="BI20" s="2128">
        <v>0</v>
      </c>
      <c r="BJ20" s="2128">
        <v>0</v>
      </c>
      <c r="BK20" s="2128">
        <v>0</v>
      </c>
      <c r="BL20" s="2128">
        <v>16</v>
      </c>
      <c r="BM20" s="2128">
        <v>24</v>
      </c>
      <c r="BN20" s="2129">
        <v>85</v>
      </c>
      <c r="BO20" s="2130">
        <v>32955</v>
      </c>
      <c r="BP20" s="2131">
        <v>0</v>
      </c>
      <c r="BQ20" s="2131">
        <v>-9440</v>
      </c>
      <c r="BR20" s="2131">
        <v>10140</v>
      </c>
      <c r="BS20" s="2131">
        <v>0</v>
      </c>
      <c r="BT20" s="2131">
        <v>0</v>
      </c>
      <c r="BU20" s="2131">
        <v>0</v>
      </c>
      <c r="BV20" s="2131">
        <v>0</v>
      </c>
      <c r="BW20" s="2131">
        <v>0</v>
      </c>
      <c r="BX20" s="2131">
        <v>0</v>
      </c>
      <c r="BY20" s="2131">
        <v>0</v>
      </c>
      <c r="BZ20" s="2131">
        <v>0</v>
      </c>
      <c r="CA20" s="2132">
        <v>12675</v>
      </c>
      <c r="CB20" s="2130">
        <v>46330</v>
      </c>
      <c r="CC20" s="2131">
        <v>700</v>
      </c>
      <c r="CD20" s="2131">
        <v>32</v>
      </c>
      <c r="CE20" s="2131">
        <v>16.477499999999999</v>
      </c>
      <c r="CF20" s="2131">
        <v>8</v>
      </c>
      <c r="CG20" s="2131">
        <v>0</v>
      </c>
      <c r="CH20" s="2131">
        <v>-31</v>
      </c>
      <c r="CI20" s="2131">
        <v>0</v>
      </c>
      <c r="CJ20" s="2131">
        <v>0</v>
      </c>
      <c r="CK20" s="2131">
        <v>0</v>
      </c>
      <c r="CL20" s="2131">
        <v>0</v>
      </c>
      <c r="CM20" s="2131">
        <v>16</v>
      </c>
    </row>
    <row r="21" spans="1:91">
      <c r="A21" s="3270" t="s">
        <v>1683</v>
      </c>
      <c r="B21" s="2551" t="str">
        <f t="shared" si="0"/>
        <v>3015530013</v>
      </c>
      <c r="C21" s="2010" t="s">
        <v>703</v>
      </c>
      <c r="D21" s="2011">
        <v>1553</v>
      </c>
      <c r="E21" s="2011">
        <v>13</v>
      </c>
      <c r="F21" s="2494">
        <v>25000</v>
      </c>
      <c r="G21" s="2496" t="s">
        <v>756</v>
      </c>
      <c r="H21" s="2011" t="s">
        <v>1560</v>
      </c>
      <c r="I21" s="2012">
        <v>2</v>
      </c>
      <c r="J21" s="2491">
        <v>0</v>
      </c>
      <c r="K21" s="2491">
        <v>10000</v>
      </c>
      <c r="L21" s="2491">
        <v>0</v>
      </c>
      <c r="M21" s="2491">
        <v>10000</v>
      </c>
      <c r="N21" s="2489">
        <v>0</v>
      </c>
      <c r="O21" s="2437" t="s">
        <v>1684</v>
      </c>
      <c r="P21" s="3272">
        <v>0</v>
      </c>
      <c r="Q21" s="3272">
        <v>0</v>
      </c>
      <c r="R21" s="3272">
        <v>0</v>
      </c>
      <c r="S21" s="3272">
        <v>0</v>
      </c>
      <c r="T21" s="3272">
        <v>0</v>
      </c>
      <c r="U21" s="3272">
        <v>0</v>
      </c>
      <c r="V21" s="3272">
        <v>0</v>
      </c>
      <c r="W21" s="3272">
        <v>0</v>
      </c>
      <c r="X21" s="3272">
        <v>10000</v>
      </c>
      <c r="Y21" s="3272">
        <v>0</v>
      </c>
      <c r="Z21" s="3272">
        <v>15000</v>
      </c>
      <c r="AA21" s="3272">
        <v>0</v>
      </c>
      <c r="AB21" s="3507">
        <v>25000</v>
      </c>
      <c r="AC21" s="3265">
        <v>0</v>
      </c>
      <c r="AD21" s="3265">
        <v>0</v>
      </c>
      <c r="AE21" s="3265">
        <v>0</v>
      </c>
      <c r="AF21" s="3265">
        <v>0</v>
      </c>
      <c r="AG21" s="3265">
        <v>0</v>
      </c>
      <c r="AH21" s="3265">
        <v>33</v>
      </c>
      <c r="AI21" s="3265">
        <v>15</v>
      </c>
      <c r="AJ21" s="3265">
        <v>0</v>
      </c>
      <c r="AK21" s="3265">
        <v>48</v>
      </c>
      <c r="AL21" s="3513">
        <v>10</v>
      </c>
      <c r="AM21" s="3515" t="s">
        <v>1685</v>
      </c>
      <c r="AN21" s="3512" t="s">
        <v>1560</v>
      </c>
      <c r="AO21" s="3407" t="s">
        <v>1686</v>
      </c>
      <c r="AP21" s="3511">
        <v>119300</v>
      </c>
      <c r="AQ21" s="3511">
        <v>0</v>
      </c>
      <c r="AR21" s="3511">
        <v>0</v>
      </c>
      <c r="AS21" s="3511">
        <v>0</v>
      </c>
      <c r="AT21" s="3511">
        <v>0</v>
      </c>
      <c r="AU21" s="3511">
        <v>0</v>
      </c>
      <c r="AV21" s="3511">
        <v>0</v>
      </c>
      <c r="AW21" s="3511">
        <v>0</v>
      </c>
      <c r="AX21" s="3511">
        <v>0</v>
      </c>
      <c r="AY21" s="3511">
        <v>0</v>
      </c>
      <c r="AZ21" s="3511">
        <v>20700</v>
      </c>
      <c r="BA21" s="3511">
        <v>0</v>
      </c>
      <c r="BB21" s="3511">
        <v>140000</v>
      </c>
      <c r="BC21" s="3511">
        <v>119</v>
      </c>
      <c r="BD21" s="3511">
        <v>59.65</v>
      </c>
      <c r="BE21" s="3511">
        <v>0</v>
      </c>
      <c r="BF21" s="3511">
        <v>0</v>
      </c>
      <c r="BG21" s="3511">
        <v>0</v>
      </c>
      <c r="BH21" s="3511">
        <v>0</v>
      </c>
      <c r="BI21" s="3511">
        <v>0</v>
      </c>
      <c r="BJ21" s="3511">
        <v>0</v>
      </c>
      <c r="BK21" s="3511">
        <v>0</v>
      </c>
      <c r="BL21" s="3511">
        <v>0</v>
      </c>
      <c r="BM21" s="3511">
        <v>0</v>
      </c>
      <c r="BN21" s="3517">
        <v>125</v>
      </c>
      <c r="BO21" s="3519">
        <v>119300</v>
      </c>
      <c r="BP21" s="3464">
        <v>0</v>
      </c>
      <c r="BQ21" s="3464">
        <v>0</v>
      </c>
      <c r="BR21" s="3464">
        <v>0</v>
      </c>
      <c r="BS21" s="3464">
        <v>0</v>
      </c>
      <c r="BT21" s="3464">
        <v>0</v>
      </c>
      <c r="BU21" s="3464">
        <v>0</v>
      </c>
      <c r="BV21" s="3464">
        <v>0</v>
      </c>
      <c r="BW21" s="3464">
        <v>0</v>
      </c>
      <c r="BX21" s="3464">
        <v>-10000</v>
      </c>
      <c r="BY21" s="3464">
        <v>0</v>
      </c>
      <c r="BZ21" s="3464">
        <v>5700</v>
      </c>
      <c r="CA21" s="3524">
        <v>0</v>
      </c>
      <c r="CB21" s="3519">
        <v>115000</v>
      </c>
      <c r="CC21" s="3464">
        <v>-10000</v>
      </c>
      <c r="CD21" s="3464">
        <v>119</v>
      </c>
      <c r="CE21" s="3464">
        <v>59.65</v>
      </c>
      <c r="CF21" s="3464">
        <v>0</v>
      </c>
      <c r="CG21" s="3464">
        <v>0</v>
      </c>
      <c r="CH21" s="3464">
        <v>0</v>
      </c>
      <c r="CI21" s="3464">
        <v>0</v>
      </c>
      <c r="CJ21" s="3464">
        <v>0</v>
      </c>
      <c r="CK21" s="3464">
        <v>-33</v>
      </c>
      <c r="CL21" s="3464">
        <v>-15</v>
      </c>
      <c r="CM21" s="3464">
        <v>0</v>
      </c>
    </row>
    <row r="22" spans="1:91" ht="15.75" thickBot="1">
      <c r="A22" s="3271"/>
      <c r="B22" s="2551" t="str">
        <f t="shared" si="0"/>
        <v>3015530018</v>
      </c>
      <c r="C22" s="2468" t="s">
        <v>710</v>
      </c>
      <c r="D22" s="2014">
        <v>1553</v>
      </c>
      <c r="E22" s="2014">
        <v>18</v>
      </c>
      <c r="F22" s="2038">
        <v>0</v>
      </c>
      <c r="G22" s="2133" t="s">
        <v>756</v>
      </c>
      <c r="H22" s="2014" t="s">
        <v>1560</v>
      </c>
      <c r="I22" s="2016">
        <v>2</v>
      </c>
      <c r="J22" s="2538">
        <v>0</v>
      </c>
      <c r="K22" s="2538">
        <v>0</v>
      </c>
      <c r="L22" s="2538">
        <v>0</v>
      </c>
      <c r="M22" s="2538">
        <v>15000</v>
      </c>
      <c r="N22" s="2509">
        <v>0</v>
      </c>
      <c r="O22" s="2503" t="s">
        <v>1654</v>
      </c>
      <c r="P22" s="3288"/>
      <c r="Q22" s="3288"/>
      <c r="R22" s="3288"/>
      <c r="S22" s="3288"/>
      <c r="T22" s="3288"/>
      <c r="U22" s="3288"/>
      <c r="V22" s="3288"/>
      <c r="W22" s="3288"/>
      <c r="X22" s="3288"/>
      <c r="Y22" s="3288"/>
      <c r="Z22" s="3288"/>
      <c r="AA22" s="3288"/>
      <c r="AB22" s="3531"/>
      <c r="AC22" s="3281"/>
      <c r="AD22" s="3281"/>
      <c r="AE22" s="3281"/>
      <c r="AF22" s="3281"/>
      <c r="AG22" s="3281"/>
      <c r="AH22" s="3281"/>
      <c r="AI22" s="3281"/>
      <c r="AJ22" s="3281"/>
      <c r="AK22" s="3281"/>
      <c r="AL22" s="3514"/>
      <c r="AM22" s="3516"/>
      <c r="AN22" s="3470"/>
      <c r="AO22" s="3718"/>
      <c r="AP22" s="3719"/>
      <c r="AQ22" s="3719"/>
      <c r="AR22" s="3719"/>
      <c r="AS22" s="3719"/>
      <c r="AT22" s="3719"/>
      <c r="AU22" s="3719"/>
      <c r="AV22" s="3719"/>
      <c r="AW22" s="3719"/>
      <c r="AX22" s="3719"/>
      <c r="AY22" s="3719"/>
      <c r="AZ22" s="3719"/>
      <c r="BA22" s="3719"/>
      <c r="BB22" s="3719"/>
      <c r="BC22" s="3719"/>
      <c r="BD22" s="3719"/>
      <c r="BE22" s="3719"/>
      <c r="BF22" s="3719"/>
      <c r="BG22" s="3719"/>
      <c r="BH22" s="3719"/>
      <c r="BI22" s="3719"/>
      <c r="BJ22" s="3719"/>
      <c r="BK22" s="3719"/>
      <c r="BL22" s="3719"/>
      <c r="BM22" s="3719"/>
      <c r="BN22" s="3518"/>
      <c r="BO22" s="3520"/>
      <c r="BP22" s="3466"/>
      <c r="BQ22" s="3466"/>
      <c r="BR22" s="3466"/>
      <c r="BS22" s="3466"/>
      <c r="BT22" s="3466"/>
      <c r="BU22" s="3466"/>
      <c r="BV22" s="3466"/>
      <c r="BW22" s="3466"/>
      <c r="BX22" s="3466"/>
      <c r="BY22" s="3466"/>
      <c r="BZ22" s="3466"/>
      <c r="CA22" s="3477"/>
      <c r="CB22" s="3520"/>
      <c r="CC22" s="3466"/>
      <c r="CD22" s="3466"/>
      <c r="CE22" s="3466"/>
      <c r="CF22" s="3466"/>
      <c r="CG22" s="3466"/>
      <c r="CH22" s="3466"/>
      <c r="CI22" s="3466"/>
      <c r="CJ22" s="3466"/>
      <c r="CK22" s="3466"/>
      <c r="CL22" s="3466"/>
      <c r="CM22" s="3466"/>
    </row>
    <row r="23" spans="1:91" ht="15.75" thickBot="1">
      <c r="A23" s="2451" t="s">
        <v>1687</v>
      </c>
      <c r="B23" s="2551" t="str">
        <f t="shared" si="0"/>
        <v>3015540001</v>
      </c>
      <c r="C23" s="2466" t="s">
        <v>703</v>
      </c>
      <c r="D23" s="2462">
        <v>1554</v>
      </c>
      <c r="E23" s="2462">
        <v>1</v>
      </c>
      <c r="F23" s="2461">
        <v>15000</v>
      </c>
      <c r="G23" s="2445" t="s">
        <v>756</v>
      </c>
      <c r="H23" s="2462" t="s">
        <v>1560</v>
      </c>
      <c r="I23" s="2463">
        <v>2</v>
      </c>
      <c r="J23" s="2448">
        <v>0</v>
      </c>
      <c r="K23" s="2448">
        <v>29548</v>
      </c>
      <c r="L23" s="2448">
        <v>0</v>
      </c>
      <c r="M23" s="2448">
        <v>29548</v>
      </c>
      <c r="N23" s="2438">
        <v>0</v>
      </c>
      <c r="O23" s="2437" t="s">
        <v>1684</v>
      </c>
      <c r="P23" s="2437">
        <v>0</v>
      </c>
      <c r="Q23" s="2437">
        <v>0</v>
      </c>
      <c r="R23" s="2437">
        <v>0</v>
      </c>
      <c r="S23" s="2437">
        <v>0</v>
      </c>
      <c r="T23" s="2437">
        <v>0</v>
      </c>
      <c r="U23" s="2437">
        <v>0</v>
      </c>
      <c r="V23" s="2437">
        <v>0</v>
      </c>
      <c r="W23" s="2437">
        <v>29548</v>
      </c>
      <c r="X23" s="2437">
        <v>0</v>
      </c>
      <c r="Y23" s="2437">
        <v>0</v>
      </c>
      <c r="Z23" s="2437">
        <v>0</v>
      </c>
      <c r="AA23" s="2437">
        <v>0</v>
      </c>
      <c r="AB23" s="2134">
        <v>29548</v>
      </c>
      <c r="AC23" s="2439">
        <v>0</v>
      </c>
      <c r="AD23" s="2439">
        <v>0</v>
      </c>
      <c r="AE23" s="2439">
        <v>14.773999999999999</v>
      </c>
      <c r="AF23" s="2439">
        <v>0</v>
      </c>
      <c r="AG23" s="2439">
        <v>0</v>
      </c>
      <c r="AH23" s="2439">
        <v>0</v>
      </c>
      <c r="AI23" s="2439">
        <v>0</v>
      </c>
      <c r="AJ23" s="2439">
        <v>0</v>
      </c>
      <c r="AK23" s="2439">
        <v>14.773999999999999</v>
      </c>
      <c r="AL23" s="2537">
        <v>10</v>
      </c>
      <c r="AM23" s="2118" t="s">
        <v>1685</v>
      </c>
      <c r="AN23" s="2119" t="s">
        <v>706</v>
      </c>
      <c r="AO23" s="2092" t="s">
        <v>1688</v>
      </c>
      <c r="AP23" s="2120">
        <v>57000</v>
      </c>
      <c r="AQ23" s="2120">
        <v>0</v>
      </c>
      <c r="AR23" s="2120">
        <v>0</v>
      </c>
      <c r="AS23" s="2120">
        <v>0</v>
      </c>
      <c r="AT23" s="2120">
        <v>0</v>
      </c>
      <c r="AU23" s="2120">
        <v>0</v>
      </c>
      <c r="AV23" s="2120">
        <v>0</v>
      </c>
      <c r="AW23" s="2120">
        <v>0</v>
      </c>
      <c r="AX23" s="2120">
        <v>0</v>
      </c>
      <c r="AY23" s="2120">
        <v>0</v>
      </c>
      <c r="AZ23" s="2120">
        <v>12000</v>
      </c>
      <c r="BA23" s="2120">
        <v>15000</v>
      </c>
      <c r="BB23" s="2120">
        <v>84000</v>
      </c>
      <c r="BC23" s="2120">
        <v>57</v>
      </c>
      <c r="BD23" s="2120">
        <v>28.5</v>
      </c>
      <c r="BE23" s="2120">
        <v>0</v>
      </c>
      <c r="BF23" s="2120">
        <v>0</v>
      </c>
      <c r="BG23" s="2120">
        <v>0</v>
      </c>
      <c r="BH23" s="2120">
        <v>0</v>
      </c>
      <c r="BI23" s="2120">
        <v>0</v>
      </c>
      <c r="BJ23" s="2120">
        <v>0</v>
      </c>
      <c r="BK23" s="2120">
        <v>0</v>
      </c>
      <c r="BL23" s="2120">
        <v>0</v>
      </c>
      <c r="BM23" s="2120">
        <v>0</v>
      </c>
      <c r="BN23" s="2121">
        <v>125</v>
      </c>
      <c r="BO23" s="2048">
        <v>57000</v>
      </c>
      <c r="BP23" s="2090">
        <v>0</v>
      </c>
      <c r="BQ23" s="2090">
        <v>0</v>
      </c>
      <c r="BR23" s="2090">
        <v>0</v>
      </c>
      <c r="BS23" s="2090">
        <v>0</v>
      </c>
      <c r="BT23" s="2090">
        <v>0</v>
      </c>
      <c r="BU23" s="2090">
        <v>0</v>
      </c>
      <c r="BV23" s="2090">
        <v>0</v>
      </c>
      <c r="BW23" s="2090">
        <v>-29548</v>
      </c>
      <c r="BX23" s="2090">
        <v>0</v>
      </c>
      <c r="BY23" s="2090">
        <v>0</v>
      </c>
      <c r="BZ23" s="2090">
        <v>12000</v>
      </c>
      <c r="CA23" s="2122">
        <v>15000</v>
      </c>
      <c r="CB23" s="2048">
        <v>54452</v>
      </c>
      <c r="CC23" s="2090">
        <v>-29548</v>
      </c>
      <c r="CD23" s="2090">
        <v>57</v>
      </c>
      <c r="CE23" s="2090">
        <v>28.5</v>
      </c>
      <c r="CF23" s="2090">
        <v>0</v>
      </c>
      <c r="CG23" s="2090">
        <v>0</v>
      </c>
      <c r="CH23" s="2090">
        <v>-14.773999999999999</v>
      </c>
      <c r="CI23" s="2090">
        <v>0</v>
      </c>
      <c r="CJ23" s="2090">
        <v>0</v>
      </c>
      <c r="CK23" s="2090">
        <v>0</v>
      </c>
      <c r="CL23" s="2090">
        <v>0</v>
      </c>
      <c r="CM23" s="2090">
        <v>0</v>
      </c>
    </row>
    <row r="24" spans="1:91">
      <c r="A24" s="3282" t="s">
        <v>1689</v>
      </c>
      <c r="B24" s="2551" t="str">
        <f t="shared" si="0"/>
        <v>3015740023</v>
      </c>
      <c r="C24" s="2010" t="s">
        <v>703</v>
      </c>
      <c r="D24" s="2011">
        <v>1574</v>
      </c>
      <c r="E24" s="2011">
        <v>23</v>
      </c>
      <c r="F24" s="2494">
        <v>17533</v>
      </c>
      <c r="G24" s="2496" t="s">
        <v>756</v>
      </c>
      <c r="H24" s="2011" t="s">
        <v>1560</v>
      </c>
      <c r="I24" s="2012">
        <v>2</v>
      </c>
      <c r="J24" s="2491">
        <v>0</v>
      </c>
      <c r="K24" s="2491">
        <v>20000</v>
      </c>
      <c r="L24" s="2491">
        <v>0</v>
      </c>
      <c r="M24" s="2491">
        <v>20000</v>
      </c>
      <c r="N24" s="2489">
        <v>0</v>
      </c>
      <c r="O24" s="2490" t="s">
        <v>1690</v>
      </c>
      <c r="P24" s="3284">
        <v>0</v>
      </c>
      <c r="Q24" s="3284">
        <v>0</v>
      </c>
      <c r="R24" s="3284">
        <v>0</v>
      </c>
      <c r="S24" s="3284">
        <v>0</v>
      </c>
      <c r="T24" s="3284">
        <v>0</v>
      </c>
      <c r="U24" s="3284">
        <v>0</v>
      </c>
      <c r="V24" s="3284">
        <v>0</v>
      </c>
      <c r="W24" s="3284">
        <v>32085</v>
      </c>
      <c r="X24" s="3284">
        <v>0</v>
      </c>
      <c r="Y24" s="3284">
        <v>0</v>
      </c>
      <c r="Z24" s="3284">
        <v>0</v>
      </c>
      <c r="AA24" s="3284">
        <v>0</v>
      </c>
      <c r="AB24" s="3530">
        <v>32085</v>
      </c>
      <c r="AC24" s="3286">
        <v>0</v>
      </c>
      <c r="AD24" s="3286">
        <v>0</v>
      </c>
      <c r="AE24" s="3286">
        <v>0</v>
      </c>
      <c r="AF24" s="3286">
        <v>0</v>
      </c>
      <c r="AG24" s="3286">
        <v>0</v>
      </c>
      <c r="AH24" s="3286">
        <v>0</v>
      </c>
      <c r="AI24" s="3286">
        <v>0</v>
      </c>
      <c r="AJ24" s="3286">
        <v>0</v>
      </c>
      <c r="AK24" s="3286">
        <v>0</v>
      </c>
      <c r="AL24" s="3513">
        <v>10</v>
      </c>
      <c r="AM24" s="3515" t="s">
        <v>1476</v>
      </c>
      <c r="AN24" s="3512" t="s">
        <v>1560</v>
      </c>
      <c r="AO24" s="3407" t="s">
        <v>1667</v>
      </c>
      <c r="AP24" s="3511">
        <v>122805</v>
      </c>
      <c r="AQ24" s="3511">
        <v>9714.15</v>
      </c>
      <c r="AR24" s="3511">
        <v>0</v>
      </c>
      <c r="AS24" s="3511">
        <v>9714.15</v>
      </c>
      <c r="AT24" s="3511">
        <v>0</v>
      </c>
      <c r="AU24" s="3511">
        <v>0</v>
      </c>
      <c r="AV24" s="3511">
        <v>0</v>
      </c>
      <c r="AW24" s="3511">
        <v>0</v>
      </c>
      <c r="AX24" s="3511">
        <v>0</v>
      </c>
      <c r="AY24" s="3511">
        <v>0</v>
      </c>
      <c r="AZ24" s="3511">
        <v>0</v>
      </c>
      <c r="BA24" s="3511">
        <v>0</v>
      </c>
      <c r="BB24" s="3511">
        <v>142233.29999999999</v>
      </c>
      <c r="BC24" s="3511">
        <v>122</v>
      </c>
      <c r="BD24" s="3511">
        <v>61.402500000000003</v>
      </c>
      <c r="BE24" s="3511">
        <v>31</v>
      </c>
      <c r="BF24" s="3511">
        <v>0</v>
      </c>
      <c r="BG24" s="3511">
        <v>19</v>
      </c>
      <c r="BH24" s="3511">
        <v>0</v>
      </c>
      <c r="BI24" s="3511">
        <v>0</v>
      </c>
      <c r="BJ24" s="3511">
        <v>0</v>
      </c>
      <c r="BK24" s="3511">
        <v>0</v>
      </c>
      <c r="BL24" s="3511">
        <v>0</v>
      </c>
      <c r="BM24" s="3511">
        <v>50</v>
      </c>
      <c r="BN24" s="3517">
        <v>125</v>
      </c>
      <c r="BO24" s="3519">
        <v>122805</v>
      </c>
      <c r="BP24" s="3464">
        <v>9714.15</v>
      </c>
      <c r="BQ24" s="3464">
        <v>0</v>
      </c>
      <c r="BR24" s="3464">
        <v>0</v>
      </c>
      <c r="BS24" s="3464">
        <v>9714.15</v>
      </c>
      <c r="BT24" s="3464">
        <v>0</v>
      </c>
      <c r="BU24" s="3464">
        <v>0</v>
      </c>
      <c r="BV24" s="3464">
        <v>0</v>
      </c>
      <c r="BW24" s="3464">
        <v>-32085</v>
      </c>
      <c r="BX24" s="3464">
        <v>0</v>
      </c>
      <c r="BY24" s="3464">
        <v>0</v>
      </c>
      <c r="BZ24" s="3464">
        <v>0</v>
      </c>
      <c r="CA24" s="3524">
        <v>0</v>
      </c>
      <c r="CB24" s="3519">
        <v>110148.29999999999</v>
      </c>
      <c r="CC24" s="3464">
        <v>-12656.7</v>
      </c>
      <c r="CD24" s="3464">
        <v>122</v>
      </c>
      <c r="CE24" s="3464">
        <v>61.402500000000003</v>
      </c>
      <c r="CF24" s="3464">
        <v>31</v>
      </c>
      <c r="CG24" s="3464">
        <v>0</v>
      </c>
      <c r="CH24" s="3464">
        <v>19</v>
      </c>
      <c r="CI24" s="3464">
        <v>0</v>
      </c>
      <c r="CJ24" s="3464">
        <v>0</v>
      </c>
      <c r="CK24" s="3464">
        <v>0</v>
      </c>
      <c r="CL24" s="3464">
        <v>0</v>
      </c>
      <c r="CM24" s="3464">
        <v>0</v>
      </c>
    </row>
    <row r="25" spans="1:91" ht="15.75" thickBot="1">
      <c r="A25" s="3283"/>
      <c r="B25" s="2551" t="str">
        <f t="shared" si="0"/>
        <v>3015740032</v>
      </c>
      <c r="C25" s="2493" t="s">
        <v>710</v>
      </c>
      <c r="D25" s="2018">
        <v>1574</v>
      </c>
      <c r="E25" s="2018">
        <v>32</v>
      </c>
      <c r="F25" s="2019">
        <v>7866</v>
      </c>
      <c r="G25" s="2498" t="s">
        <v>756</v>
      </c>
      <c r="H25" s="2018" t="s">
        <v>1560</v>
      </c>
      <c r="I25" s="2020">
        <v>2</v>
      </c>
      <c r="J25" s="2501">
        <v>0</v>
      </c>
      <c r="K25" s="2501">
        <v>12085</v>
      </c>
      <c r="L25" s="2501">
        <v>0</v>
      </c>
      <c r="M25" s="2501">
        <v>12085</v>
      </c>
      <c r="N25" s="2508">
        <v>0</v>
      </c>
      <c r="O25" s="2503" t="s">
        <v>1690</v>
      </c>
      <c r="P25" s="3285"/>
      <c r="Q25" s="3285"/>
      <c r="R25" s="3285"/>
      <c r="S25" s="3285"/>
      <c r="T25" s="3285"/>
      <c r="U25" s="3285"/>
      <c r="V25" s="3285"/>
      <c r="W25" s="3285"/>
      <c r="X25" s="3285"/>
      <c r="Y25" s="3285"/>
      <c r="Z25" s="3285"/>
      <c r="AA25" s="3285"/>
      <c r="AB25" s="3537"/>
      <c r="AC25" s="3287"/>
      <c r="AD25" s="3287"/>
      <c r="AE25" s="3287"/>
      <c r="AF25" s="3287"/>
      <c r="AG25" s="3287"/>
      <c r="AH25" s="3287"/>
      <c r="AI25" s="3287"/>
      <c r="AJ25" s="3287"/>
      <c r="AK25" s="3287"/>
      <c r="AL25" s="3514"/>
      <c r="AM25" s="3516"/>
      <c r="AN25" s="3470"/>
      <c r="AO25" s="3718"/>
      <c r="AP25" s="3719"/>
      <c r="AQ25" s="3719"/>
      <c r="AR25" s="3719"/>
      <c r="AS25" s="3719"/>
      <c r="AT25" s="3719"/>
      <c r="AU25" s="3719"/>
      <c r="AV25" s="3719"/>
      <c r="AW25" s="3719"/>
      <c r="AX25" s="3719"/>
      <c r="AY25" s="3719"/>
      <c r="AZ25" s="3719"/>
      <c r="BA25" s="3719"/>
      <c r="BB25" s="3719"/>
      <c r="BC25" s="3719"/>
      <c r="BD25" s="3719"/>
      <c r="BE25" s="3719"/>
      <c r="BF25" s="3719"/>
      <c r="BG25" s="3719"/>
      <c r="BH25" s="3719"/>
      <c r="BI25" s="3719"/>
      <c r="BJ25" s="3719"/>
      <c r="BK25" s="3719"/>
      <c r="BL25" s="3719"/>
      <c r="BM25" s="3719"/>
      <c r="BN25" s="3518"/>
      <c r="BO25" s="3520"/>
      <c r="BP25" s="3466"/>
      <c r="BQ25" s="3466"/>
      <c r="BR25" s="3466"/>
      <c r="BS25" s="3466"/>
      <c r="BT25" s="3466"/>
      <c r="BU25" s="3466"/>
      <c r="BV25" s="3466"/>
      <c r="BW25" s="3466"/>
      <c r="BX25" s="3466"/>
      <c r="BY25" s="3466"/>
      <c r="BZ25" s="3466"/>
      <c r="CA25" s="3477"/>
      <c r="CB25" s="3520"/>
      <c r="CC25" s="3466"/>
      <c r="CD25" s="3466"/>
      <c r="CE25" s="3466"/>
      <c r="CF25" s="3466"/>
      <c r="CG25" s="3466"/>
      <c r="CH25" s="3466"/>
      <c r="CI25" s="3466"/>
      <c r="CJ25" s="3466"/>
      <c r="CK25" s="3466"/>
      <c r="CL25" s="3466"/>
      <c r="CM25" s="3466"/>
    </row>
    <row r="26" spans="1:91">
      <c r="A26" s="3270" t="s">
        <v>1691</v>
      </c>
      <c r="B26" s="2551" t="str">
        <f t="shared" si="0"/>
        <v>3036710041</v>
      </c>
      <c r="C26" s="2010" t="s">
        <v>703</v>
      </c>
      <c r="D26" s="2011">
        <v>3671</v>
      </c>
      <c r="E26" s="2011">
        <v>41</v>
      </c>
      <c r="F26" s="2494">
        <v>2800</v>
      </c>
      <c r="G26" s="2496" t="s">
        <v>1566</v>
      </c>
      <c r="H26" s="2011" t="s">
        <v>1560</v>
      </c>
      <c r="I26" s="2012">
        <v>2</v>
      </c>
      <c r="J26" s="2491">
        <v>1500</v>
      </c>
      <c r="K26" s="2491">
        <v>0</v>
      </c>
      <c r="L26" s="2491">
        <v>0</v>
      </c>
      <c r="M26" s="2491">
        <v>3000</v>
      </c>
      <c r="N26" s="2489">
        <v>1</v>
      </c>
      <c r="O26" s="2437" t="s">
        <v>1670</v>
      </c>
      <c r="P26" s="3272">
        <v>3000</v>
      </c>
      <c r="Q26" s="3272">
        <v>8050</v>
      </c>
      <c r="R26" s="3272">
        <v>0</v>
      </c>
      <c r="S26" s="3272">
        <v>0</v>
      </c>
      <c r="T26" s="3272">
        <v>0</v>
      </c>
      <c r="U26" s="3272">
        <v>0</v>
      </c>
      <c r="V26" s="3272">
        <v>0</v>
      </c>
      <c r="W26" s="3272">
        <v>0</v>
      </c>
      <c r="X26" s="3272">
        <v>2525</v>
      </c>
      <c r="Y26" s="3272">
        <v>0</v>
      </c>
      <c r="Z26" s="3272">
        <v>0</v>
      </c>
      <c r="AA26" s="3272">
        <v>0</v>
      </c>
      <c r="AB26" s="3507">
        <v>13575</v>
      </c>
      <c r="AC26" s="3265">
        <v>2</v>
      </c>
      <c r="AD26" s="3265">
        <v>0</v>
      </c>
      <c r="AE26" s="3265">
        <v>0</v>
      </c>
      <c r="AF26" s="3265">
        <v>0</v>
      </c>
      <c r="AG26" s="3265">
        <v>0</v>
      </c>
      <c r="AH26" s="3265">
        <v>8</v>
      </c>
      <c r="AI26" s="3265">
        <v>0</v>
      </c>
      <c r="AJ26" s="3265">
        <v>0</v>
      </c>
      <c r="AK26" s="3265">
        <v>8</v>
      </c>
      <c r="AL26" s="3513">
        <v>30</v>
      </c>
      <c r="AM26" s="3515" t="s">
        <v>1331</v>
      </c>
      <c r="AN26" s="3512" t="s">
        <v>1560</v>
      </c>
      <c r="AO26" s="3407" t="s">
        <v>1692</v>
      </c>
      <c r="AP26" s="3511">
        <v>71917</v>
      </c>
      <c r="AQ26" s="3511">
        <v>11986.2</v>
      </c>
      <c r="AR26" s="3511">
        <v>0</v>
      </c>
      <c r="AS26" s="3511">
        <v>11986.2</v>
      </c>
      <c r="AT26" s="3511">
        <v>0</v>
      </c>
      <c r="AU26" s="3511">
        <v>0</v>
      </c>
      <c r="AV26" s="3511">
        <v>0</v>
      </c>
      <c r="AW26" s="3511">
        <v>0</v>
      </c>
      <c r="AX26" s="3511">
        <v>0</v>
      </c>
      <c r="AY26" s="3511">
        <v>0</v>
      </c>
      <c r="AZ26" s="3511">
        <v>0</v>
      </c>
      <c r="BA26" s="3511">
        <v>0</v>
      </c>
      <c r="BB26" s="3511">
        <v>95889.4</v>
      </c>
      <c r="BC26" s="3511">
        <v>71</v>
      </c>
      <c r="BD26" s="3511">
        <v>35.958500000000001</v>
      </c>
      <c r="BE26" s="3511">
        <v>14</v>
      </c>
      <c r="BF26" s="3511">
        <v>0</v>
      </c>
      <c r="BG26" s="3511">
        <v>24</v>
      </c>
      <c r="BH26" s="3511">
        <v>0</v>
      </c>
      <c r="BI26" s="3511">
        <v>0</v>
      </c>
      <c r="BJ26" s="3511">
        <v>0</v>
      </c>
      <c r="BK26" s="3511">
        <v>0</v>
      </c>
      <c r="BL26" s="3511">
        <v>0</v>
      </c>
      <c r="BM26" s="3511">
        <v>38</v>
      </c>
      <c r="BN26" s="3517">
        <v>145</v>
      </c>
      <c r="BO26" s="3519">
        <v>68917</v>
      </c>
      <c r="BP26" s="3464">
        <v>3936.2000000000007</v>
      </c>
      <c r="BQ26" s="3464">
        <v>0</v>
      </c>
      <c r="BR26" s="3464">
        <v>0</v>
      </c>
      <c r="BS26" s="3464">
        <v>11986.2</v>
      </c>
      <c r="BT26" s="3464">
        <v>0</v>
      </c>
      <c r="BU26" s="3464">
        <v>0</v>
      </c>
      <c r="BV26" s="3464">
        <v>0</v>
      </c>
      <c r="BW26" s="3464">
        <v>0</v>
      </c>
      <c r="BX26" s="3464">
        <v>-2525</v>
      </c>
      <c r="BY26" s="3464">
        <v>0</v>
      </c>
      <c r="BZ26" s="3464">
        <v>0</v>
      </c>
      <c r="CA26" s="3524">
        <v>0</v>
      </c>
      <c r="CB26" s="3519">
        <v>82314.399999999994</v>
      </c>
      <c r="CC26" s="3464">
        <v>13397.400000000001</v>
      </c>
      <c r="CD26" s="3464">
        <v>69</v>
      </c>
      <c r="CE26" s="3464">
        <v>35.958500000000001</v>
      </c>
      <c r="CF26" s="3464">
        <v>14</v>
      </c>
      <c r="CG26" s="3464">
        <v>0</v>
      </c>
      <c r="CH26" s="3464">
        <v>24</v>
      </c>
      <c r="CI26" s="3464">
        <v>0</v>
      </c>
      <c r="CJ26" s="3464">
        <v>0</v>
      </c>
      <c r="CK26" s="3464">
        <v>-8</v>
      </c>
      <c r="CL26" s="3464">
        <v>0</v>
      </c>
      <c r="CM26" s="3464">
        <v>0</v>
      </c>
    </row>
    <row r="27" spans="1:91">
      <c r="A27" s="3271"/>
      <c r="B27" s="2551" t="str">
        <f t="shared" si="0"/>
        <v>3036710042</v>
      </c>
      <c r="C27" s="2492" t="s">
        <v>710</v>
      </c>
      <c r="D27" s="2026">
        <v>3671</v>
      </c>
      <c r="E27" s="2026">
        <v>42</v>
      </c>
      <c r="F27" s="2027">
        <v>2800</v>
      </c>
      <c r="G27" s="2497" t="s">
        <v>1566</v>
      </c>
      <c r="H27" s="2026" t="s">
        <v>1560</v>
      </c>
      <c r="I27" s="2028">
        <v>2</v>
      </c>
      <c r="J27" s="2500">
        <v>1500</v>
      </c>
      <c r="K27" s="2500">
        <v>0</v>
      </c>
      <c r="L27" s="2500">
        <v>0</v>
      </c>
      <c r="M27" s="2500">
        <v>3000</v>
      </c>
      <c r="N27" s="2029">
        <v>1</v>
      </c>
      <c r="O27" s="2502" t="s">
        <v>1670</v>
      </c>
      <c r="P27" s="3288"/>
      <c r="Q27" s="3288"/>
      <c r="R27" s="3288"/>
      <c r="S27" s="3288"/>
      <c r="T27" s="3288"/>
      <c r="U27" s="3288"/>
      <c r="V27" s="3288"/>
      <c r="W27" s="3288"/>
      <c r="X27" s="3288"/>
      <c r="Y27" s="3288"/>
      <c r="Z27" s="3288"/>
      <c r="AA27" s="3288"/>
      <c r="AB27" s="3531"/>
      <c r="AC27" s="3281"/>
      <c r="AD27" s="3281"/>
      <c r="AE27" s="3281"/>
      <c r="AF27" s="3281"/>
      <c r="AG27" s="3281"/>
      <c r="AH27" s="3281"/>
      <c r="AI27" s="3281"/>
      <c r="AJ27" s="3281"/>
      <c r="AK27" s="3281"/>
      <c r="AL27" s="3529"/>
      <c r="AM27" s="3525"/>
      <c r="AN27" s="3469"/>
      <c r="AO27" s="3526"/>
      <c r="AP27" s="3527"/>
      <c r="AQ27" s="3527"/>
      <c r="AR27" s="3527"/>
      <c r="AS27" s="3527"/>
      <c r="AT27" s="3527"/>
      <c r="AU27" s="3527"/>
      <c r="AV27" s="3527"/>
      <c r="AW27" s="3527"/>
      <c r="AX27" s="3527"/>
      <c r="AY27" s="3527"/>
      <c r="AZ27" s="3527"/>
      <c r="BA27" s="3527"/>
      <c r="BB27" s="3527"/>
      <c r="BC27" s="3527"/>
      <c r="BD27" s="3527"/>
      <c r="BE27" s="3527"/>
      <c r="BF27" s="3527"/>
      <c r="BG27" s="3527"/>
      <c r="BH27" s="3527"/>
      <c r="BI27" s="3527"/>
      <c r="BJ27" s="3527"/>
      <c r="BK27" s="3527"/>
      <c r="BL27" s="3527"/>
      <c r="BM27" s="3527"/>
      <c r="BN27" s="3535"/>
      <c r="BO27" s="3534"/>
      <c r="BP27" s="3465"/>
      <c r="BQ27" s="3465"/>
      <c r="BR27" s="3465"/>
      <c r="BS27" s="3465"/>
      <c r="BT27" s="3465"/>
      <c r="BU27" s="3465"/>
      <c r="BV27" s="3465"/>
      <c r="BW27" s="3465"/>
      <c r="BX27" s="3465"/>
      <c r="BY27" s="3465"/>
      <c r="BZ27" s="3465"/>
      <c r="CA27" s="3533"/>
      <c r="CB27" s="3534"/>
      <c r="CC27" s="3465"/>
      <c r="CD27" s="3465"/>
      <c r="CE27" s="3465"/>
      <c r="CF27" s="3465"/>
      <c r="CG27" s="3465"/>
      <c r="CH27" s="3465"/>
      <c r="CI27" s="3465"/>
      <c r="CJ27" s="3465"/>
      <c r="CK27" s="3465"/>
      <c r="CL27" s="3465"/>
      <c r="CM27" s="3465"/>
    </row>
    <row r="28" spans="1:91" ht="15.75" thickBot="1">
      <c r="A28" s="3271"/>
      <c r="B28" s="2551" t="str">
        <f t="shared" si="0"/>
        <v>3036710043</v>
      </c>
      <c r="C28" s="2468" t="s">
        <v>721</v>
      </c>
      <c r="D28" s="2014">
        <v>3671</v>
      </c>
      <c r="E28" s="2014">
        <v>43</v>
      </c>
      <c r="F28" s="2038">
        <v>7718</v>
      </c>
      <c r="G28" s="2133" t="s">
        <v>1566</v>
      </c>
      <c r="H28" s="2014" t="s">
        <v>1560</v>
      </c>
      <c r="I28" s="2016">
        <v>2</v>
      </c>
      <c r="J28" s="2538">
        <v>5050</v>
      </c>
      <c r="K28" s="2538">
        <v>2525</v>
      </c>
      <c r="L28" s="2538">
        <v>0</v>
      </c>
      <c r="M28" s="2538">
        <v>7575</v>
      </c>
      <c r="N28" s="2509">
        <v>0</v>
      </c>
      <c r="O28" s="2452" t="s">
        <v>1693</v>
      </c>
      <c r="P28" s="3288"/>
      <c r="Q28" s="3288"/>
      <c r="R28" s="3288"/>
      <c r="S28" s="3288"/>
      <c r="T28" s="3288"/>
      <c r="U28" s="3288"/>
      <c r="V28" s="3288"/>
      <c r="W28" s="3288"/>
      <c r="X28" s="3288"/>
      <c r="Y28" s="3288"/>
      <c r="Z28" s="3288"/>
      <c r="AA28" s="3288"/>
      <c r="AB28" s="3531"/>
      <c r="AC28" s="3281"/>
      <c r="AD28" s="3281"/>
      <c r="AE28" s="3281"/>
      <c r="AF28" s="3281"/>
      <c r="AG28" s="3281"/>
      <c r="AH28" s="3281"/>
      <c r="AI28" s="3281"/>
      <c r="AJ28" s="3281"/>
      <c r="AK28" s="3281"/>
      <c r="AL28" s="3514"/>
      <c r="AM28" s="3516"/>
      <c r="AN28" s="3470"/>
      <c r="AO28" s="3718"/>
      <c r="AP28" s="3719"/>
      <c r="AQ28" s="3719"/>
      <c r="AR28" s="3719"/>
      <c r="AS28" s="3719"/>
      <c r="AT28" s="3719"/>
      <c r="AU28" s="3719"/>
      <c r="AV28" s="3719"/>
      <c r="AW28" s="3719"/>
      <c r="AX28" s="3719"/>
      <c r="AY28" s="3719"/>
      <c r="AZ28" s="3719"/>
      <c r="BA28" s="3719"/>
      <c r="BB28" s="3719"/>
      <c r="BC28" s="3719"/>
      <c r="BD28" s="3719"/>
      <c r="BE28" s="3719"/>
      <c r="BF28" s="3719"/>
      <c r="BG28" s="3719"/>
      <c r="BH28" s="3719"/>
      <c r="BI28" s="3719"/>
      <c r="BJ28" s="3719"/>
      <c r="BK28" s="3719"/>
      <c r="BL28" s="3719"/>
      <c r="BM28" s="3719"/>
      <c r="BN28" s="3518"/>
      <c r="BO28" s="3520"/>
      <c r="BP28" s="3466"/>
      <c r="BQ28" s="3466"/>
      <c r="BR28" s="3466"/>
      <c r="BS28" s="3466"/>
      <c r="BT28" s="3466"/>
      <c r="BU28" s="3466"/>
      <c r="BV28" s="3466"/>
      <c r="BW28" s="3466"/>
      <c r="BX28" s="3466"/>
      <c r="BY28" s="3466"/>
      <c r="BZ28" s="3466"/>
      <c r="CA28" s="3477"/>
      <c r="CB28" s="3520"/>
      <c r="CC28" s="3466"/>
      <c r="CD28" s="3466"/>
      <c r="CE28" s="3466"/>
      <c r="CF28" s="3466"/>
      <c r="CG28" s="3466"/>
      <c r="CH28" s="3466"/>
      <c r="CI28" s="3466"/>
      <c r="CJ28" s="3466"/>
      <c r="CK28" s="3466"/>
      <c r="CL28" s="3466"/>
      <c r="CM28" s="3466"/>
    </row>
    <row r="29" spans="1:91">
      <c r="A29" s="3270" t="s">
        <v>1694</v>
      </c>
      <c r="B29" s="2551" t="str">
        <f t="shared" si="0"/>
        <v>3036720043</v>
      </c>
      <c r="C29" s="2010" t="s">
        <v>703</v>
      </c>
      <c r="D29" s="2011">
        <v>3672</v>
      </c>
      <c r="E29" s="2011">
        <v>43</v>
      </c>
      <c r="F29" s="2494">
        <v>6847</v>
      </c>
      <c r="G29" s="2496" t="s">
        <v>1566</v>
      </c>
      <c r="H29" s="2011" t="s">
        <v>1560</v>
      </c>
      <c r="I29" s="2012">
        <v>2</v>
      </c>
      <c r="J29" s="2491">
        <v>0</v>
      </c>
      <c r="K29" s="2491">
        <v>11088</v>
      </c>
      <c r="L29" s="2491">
        <v>0</v>
      </c>
      <c r="M29" s="2491">
        <v>11088</v>
      </c>
      <c r="N29" s="2489">
        <v>0</v>
      </c>
      <c r="O29" s="2437" t="s">
        <v>1695</v>
      </c>
      <c r="P29" s="3272">
        <v>0</v>
      </c>
      <c r="Q29" s="3272">
        <v>0</v>
      </c>
      <c r="R29" s="3272">
        <v>0</v>
      </c>
      <c r="S29" s="3272">
        <v>0</v>
      </c>
      <c r="T29" s="3272">
        <v>0</v>
      </c>
      <c r="U29" s="3272">
        <v>0</v>
      </c>
      <c r="V29" s="3272">
        <v>1952</v>
      </c>
      <c r="W29" s="3272">
        <v>0</v>
      </c>
      <c r="X29" s="3272">
        <v>0</v>
      </c>
      <c r="Y29" s="3272">
        <v>11088</v>
      </c>
      <c r="Z29" s="3272">
        <v>0</v>
      </c>
      <c r="AA29" s="3272">
        <v>0</v>
      </c>
      <c r="AB29" s="3507">
        <v>13040</v>
      </c>
      <c r="AC29" s="3265">
        <v>0</v>
      </c>
      <c r="AD29" s="3265">
        <v>0</v>
      </c>
      <c r="AE29" s="3265">
        <v>0</v>
      </c>
      <c r="AF29" s="3265">
        <v>0</v>
      </c>
      <c r="AG29" s="3265">
        <v>0</v>
      </c>
      <c r="AH29" s="3265">
        <v>0</v>
      </c>
      <c r="AI29" s="3265">
        <v>0</v>
      </c>
      <c r="AJ29" s="3265">
        <v>0</v>
      </c>
      <c r="AK29" s="3265">
        <v>0</v>
      </c>
      <c r="AL29" s="3513">
        <v>20</v>
      </c>
      <c r="AM29" s="3515" t="s">
        <v>1331</v>
      </c>
      <c r="AN29" s="3512" t="s">
        <v>1560</v>
      </c>
      <c r="AO29" s="3407" t="s">
        <v>1696</v>
      </c>
      <c r="AP29" s="3511">
        <v>55881</v>
      </c>
      <c r="AQ29" s="3511">
        <v>7983</v>
      </c>
      <c r="AR29" s="3511">
        <v>0</v>
      </c>
      <c r="AS29" s="3511">
        <v>0</v>
      </c>
      <c r="AT29" s="3511">
        <v>0</v>
      </c>
      <c r="AU29" s="3511">
        <v>0</v>
      </c>
      <c r="AV29" s="3511">
        <v>0</v>
      </c>
      <c r="AW29" s="3511">
        <v>0</v>
      </c>
      <c r="AX29" s="3511">
        <v>0</v>
      </c>
      <c r="AY29" s="3511">
        <v>0</v>
      </c>
      <c r="AZ29" s="3511">
        <v>0</v>
      </c>
      <c r="BA29" s="3511">
        <v>0</v>
      </c>
      <c r="BB29" s="3511">
        <v>63864</v>
      </c>
      <c r="BC29" s="3511">
        <v>55</v>
      </c>
      <c r="BD29" s="3511">
        <v>27.9405</v>
      </c>
      <c r="BE29" s="3511">
        <v>11</v>
      </c>
      <c r="BF29" s="3511">
        <v>0</v>
      </c>
      <c r="BG29" s="3511">
        <v>8</v>
      </c>
      <c r="BH29" s="3511">
        <v>0</v>
      </c>
      <c r="BI29" s="3511">
        <v>0</v>
      </c>
      <c r="BJ29" s="3511">
        <v>0</v>
      </c>
      <c r="BK29" s="3511">
        <v>0</v>
      </c>
      <c r="BL29" s="3511">
        <v>0</v>
      </c>
      <c r="BM29" s="3511">
        <v>19</v>
      </c>
      <c r="BN29" s="3517">
        <v>145</v>
      </c>
      <c r="BO29" s="3519">
        <v>55881</v>
      </c>
      <c r="BP29" s="3464">
        <v>7983</v>
      </c>
      <c r="BQ29" s="3464">
        <v>0</v>
      </c>
      <c r="BR29" s="3464">
        <v>0</v>
      </c>
      <c r="BS29" s="3464">
        <v>0</v>
      </c>
      <c r="BT29" s="3464">
        <v>0</v>
      </c>
      <c r="BU29" s="3464">
        <v>0</v>
      </c>
      <c r="BV29" s="3464">
        <v>-1952</v>
      </c>
      <c r="BW29" s="3464">
        <v>0</v>
      </c>
      <c r="BX29" s="3464">
        <v>0</v>
      </c>
      <c r="BY29" s="3464">
        <v>-11088</v>
      </c>
      <c r="BZ29" s="3464">
        <v>0</v>
      </c>
      <c r="CA29" s="3524">
        <v>0</v>
      </c>
      <c r="CB29" s="3519">
        <v>50824</v>
      </c>
      <c r="CC29" s="3464">
        <v>-5057</v>
      </c>
      <c r="CD29" s="3464">
        <v>55</v>
      </c>
      <c r="CE29" s="3464">
        <v>27.9405</v>
      </c>
      <c r="CF29" s="3464">
        <v>11</v>
      </c>
      <c r="CG29" s="3464">
        <v>0</v>
      </c>
      <c r="CH29" s="3464">
        <v>8</v>
      </c>
      <c r="CI29" s="3464">
        <v>0</v>
      </c>
      <c r="CJ29" s="3464">
        <v>0</v>
      </c>
      <c r="CK29" s="3464">
        <v>0</v>
      </c>
      <c r="CL29" s="3464">
        <v>0</v>
      </c>
      <c r="CM29" s="3464">
        <v>0</v>
      </c>
    </row>
    <row r="30" spans="1:91" ht="15.75" thickBot="1">
      <c r="A30" s="3539"/>
      <c r="B30" s="2551" t="str">
        <f t="shared" si="0"/>
        <v>3036720046</v>
      </c>
      <c r="C30" s="2493" t="s">
        <v>710</v>
      </c>
      <c r="D30" s="2018">
        <v>3672</v>
      </c>
      <c r="E30" s="2018">
        <v>46</v>
      </c>
      <c r="F30" s="2019">
        <v>2023</v>
      </c>
      <c r="G30" s="2498" t="s">
        <v>1566</v>
      </c>
      <c r="H30" s="2018" t="s">
        <v>1560</v>
      </c>
      <c r="I30" s="2020">
        <v>2</v>
      </c>
      <c r="J30" s="2501">
        <v>0</v>
      </c>
      <c r="K30" s="2501">
        <v>0</v>
      </c>
      <c r="L30" s="2501">
        <v>1952</v>
      </c>
      <c r="M30" s="2501">
        <v>1952</v>
      </c>
      <c r="N30" s="2508">
        <v>0</v>
      </c>
      <c r="O30" s="2503" t="s">
        <v>1656</v>
      </c>
      <c r="P30" s="3538"/>
      <c r="Q30" s="3538"/>
      <c r="R30" s="3538"/>
      <c r="S30" s="3538"/>
      <c r="T30" s="3538"/>
      <c r="U30" s="3538"/>
      <c r="V30" s="3538"/>
      <c r="W30" s="3538"/>
      <c r="X30" s="3538"/>
      <c r="Y30" s="3538"/>
      <c r="Z30" s="3538"/>
      <c r="AA30" s="3538"/>
      <c r="AB30" s="3540"/>
      <c r="AC30" s="3720"/>
      <c r="AD30" s="3720"/>
      <c r="AE30" s="3720"/>
      <c r="AF30" s="3720"/>
      <c r="AG30" s="3720"/>
      <c r="AH30" s="3720"/>
      <c r="AI30" s="3720"/>
      <c r="AJ30" s="3720"/>
      <c r="AK30" s="3720"/>
      <c r="AL30" s="3514"/>
      <c r="AM30" s="3516"/>
      <c r="AN30" s="3470"/>
      <c r="AO30" s="3718"/>
      <c r="AP30" s="3719"/>
      <c r="AQ30" s="3719"/>
      <c r="AR30" s="3719"/>
      <c r="AS30" s="3719"/>
      <c r="AT30" s="3719"/>
      <c r="AU30" s="3719"/>
      <c r="AV30" s="3719"/>
      <c r="AW30" s="3719"/>
      <c r="AX30" s="3719"/>
      <c r="AY30" s="3719"/>
      <c r="AZ30" s="3719"/>
      <c r="BA30" s="3719"/>
      <c r="BB30" s="3719"/>
      <c r="BC30" s="3719"/>
      <c r="BD30" s="3719"/>
      <c r="BE30" s="3719"/>
      <c r="BF30" s="3719"/>
      <c r="BG30" s="3719"/>
      <c r="BH30" s="3719"/>
      <c r="BI30" s="3719"/>
      <c r="BJ30" s="3719"/>
      <c r="BK30" s="3719"/>
      <c r="BL30" s="3719"/>
      <c r="BM30" s="3719"/>
      <c r="BN30" s="3518"/>
      <c r="BO30" s="3520"/>
      <c r="BP30" s="3466"/>
      <c r="BQ30" s="3466"/>
      <c r="BR30" s="3466"/>
      <c r="BS30" s="3466"/>
      <c r="BT30" s="3466"/>
      <c r="BU30" s="3466"/>
      <c r="BV30" s="3466"/>
      <c r="BW30" s="3466"/>
      <c r="BX30" s="3466"/>
      <c r="BY30" s="3466"/>
      <c r="BZ30" s="3466"/>
      <c r="CA30" s="3477"/>
      <c r="CB30" s="3520"/>
      <c r="CC30" s="3466"/>
      <c r="CD30" s="3466"/>
      <c r="CE30" s="3466"/>
      <c r="CF30" s="3466"/>
      <c r="CG30" s="3466"/>
      <c r="CH30" s="3466"/>
      <c r="CI30" s="3466"/>
      <c r="CJ30" s="3466"/>
      <c r="CK30" s="3466"/>
      <c r="CL30" s="3466"/>
      <c r="CM30" s="3466"/>
    </row>
    <row r="31" spans="1:91">
      <c r="A31" s="3271" t="s">
        <v>1697</v>
      </c>
      <c r="B31" s="2551" t="str">
        <f t="shared" si="0"/>
        <v>3036730020</v>
      </c>
      <c r="C31" s="2022" t="s">
        <v>703</v>
      </c>
      <c r="D31" s="2023">
        <v>3673</v>
      </c>
      <c r="E31" s="2023">
        <v>20</v>
      </c>
      <c r="F31" s="2506">
        <v>2500</v>
      </c>
      <c r="G31" s="2507" t="s">
        <v>1079</v>
      </c>
      <c r="H31" s="2023" t="s">
        <v>1584</v>
      </c>
      <c r="I31" s="2024">
        <v>1.25</v>
      </c>
      <c r="J31" s="2505">
        <v>0</v>
      </c>
      <c r="K31" s="2505">
        <v>2500</v>
      </c>
      <c r="L31" s="2505">
        <v>0</v>
      </c>
      <c r="M31" s="2505">
        <v>2500</v>
      </c>
      <c r="N31" s="2025">
        <v>0</v>
      </c>
      <c r="O31" s="2452" t="s">
        <v>1572</v>
      </c>
      <c r="P31" s="3288">
        <v>0</v>
      </c>
      <c r="Q31" s="3288">
        <v>0</v>
      </c>
      <c r="R31" s="3288">
        <v>0</v>
      </c>
      <c r="S31" s="3288">
        <v>0</v>
      </c>
      <c r="T31" s="3288">
        <v>2500</v>
      </c>
      <c r="U31" s="3288">
        <v>0</v>
      </c>
      <c r="V31" s="3288">
        <v>0</v>
      </c>
      <c r="W31" s="3288">
        <v>0</v>
      </c>
      <c r="X31" s="3288">
        <v>0</v>
      </c>
      <c r="Y31" s="3288">
        <v>2100</v>
      </c>
      <c r="Z31" s="3288">
        <v>0</v>
      </c>
      <c r="AA31" s="3288">
        <v>0</v>
      </c>
      <c r="AB31" s="3531">
        <v>4600</v>
      </c>
      <c r="AC31" s="3281">
        <v>0</v>
      </c>
      <c r="AD31" s="3281">
        <v>0</v>
      </c>
      <c r="AE31" s="3281">
        <v>0</v>
      </c>
      <c r="AF31" s="3281">
        <v>0</v>
      </c>
      <c r="AG31" s="3281">
        <v>0</v>
      </c>
      <c r="AH31" s="3281">
        <v>0</v>
      </c>
      <c r="AI31" s="3281">
        <v>0</v>
      </c>
      <c r="AJ31" s="3281">
        <v>0</v>
      </c>
      <c r="AK31" s="3281">
        <v>0</v>
      </c>
      <c r="AL31" s="3513">
        <v>10</v>
      </c>
      <c r="AM31" s="3515" t="s">
        <v>1585</v>
      </c>
      <c r="AN31" s="3512" t="s">
        <v>706</v>
      </c>
      <c r="AO31" s="3407" t="s">
        <v>1586</v>
      </c>
      <c r="AP31" s="3511">
        <v>13949.571428571428</v>
      </c>
      <c r="AQ31" s="3511">
        <v>4050</v>
      </c>
      <c r="AR31" s="3511">
        <v>0</v>
      </c>
      <c r="AS31" s="3511">
        <v>0</v>
      </c>
      <c r="AT31" s="3511">
        <v>0</v>
      </c>
      <c r="AU31" s="3511">
        <v>0</v>
      </c>
      <c r="AV31" s="3511">
        <v>0</v>
      </c>
      <c r="AW31" s="3511">
        <v>0</v>
      </c>
      <c r="AX31" s="3511">
        <v>0</v>
      </c>
      <c r="AY31" s="3511">
        <v>0</v>
      </c>
      <c r="AZ31" s="3511">
        <v>0</v>
      </c>
      <c r="BA31" s="3511">
        <v>0</v>
      </c>
      <c r="BB31" s="3511">
        <v>17999.571428571428</v>
      </c>
      <c r="BC31" s="3511">
        <v>13</v>
      </c>
      <c r="BD31" s="3511">
        <v>6.9747857142857139</v>
      </c>
      <c r="BE31" s="3511">
        <v>3</v>
      </c>
      <c r="BF31" s="3511">
        <v>0</v>
      </c>
      <c r="BG31" s="3511">
        <v>4</v>
      </c>
      <c r="BH31" s="3511">
        <v>0</v>
      </c>
      <c r="BI31" s="3511">
        <v>0</v>
      </c>
      <c r="BJ31" s="3511">
        <v>0</v>
      </c>
      <c r="BK31" s="3511">
        <v>0</v>
      </c>
      <c r="BL31" s="3511">
        <v>0</v>
      </c>
      <c r="BM31" s="3511">
        <v>7</v>
      </c>
      <c r="BN31" s="3517">
        <v>85</v>
      </c>
      <c r="BO31" s="3519">
        <v>13949.571428571428</v>
      </c>
      <c r="BP31" s="3464">
        <v>4050</v>
      </c>
      <c r="BQ31" s="3464">
        <v>0</v>
      </c>
      <c r="BR31" s="3464">
        <v>0</v>
      </c>
      <c r="BS31" s="3464">
        <v>0</v>
      </c>
      <c r="BT31" s="3464">
        <v>-2500</v>
      </c>
      <c r="BU31" s="3464">
        <v>0</v>
      </c>
      <c r="BV31" s="3464">
        <v>0</v>
      </c>
      <c r="BW31" s="3464">
        <v>0</v>
      </c>
      <c r="BX31" s="3464">
        <v>0</v>
      </c>
      <c r="BY31" s="3464">
        <v>-2100</v>
      </c>
      <c r="BZ31" s="3464">
        <v>0</v>
      </c>
      <c r="CA31" s="3524">
        <v>0</v>
      </c>
      <c r="CB31" s="3519">
        <v>13399.571428571428</v>
      </c>
      <c r="CC31" s="3464">
        <v>-550</v>
      </c>
      <c r="CD31" s="3464">
        <v>13</v>
      </c>
      <c r="CE31" s="3464">
        <v>6.9747857142857139</v>
      </c>
      <c r="CF31" s="3464">
        <v>3</v>
      </c>
      <c r="CG31" s="3464">
        <v>0</v>
      </c>
      <c r="CH31" s="3464">
        <v>4</v>
      </c>
      <c r="CI31" s="3464">
        <v>0</v>
      </c>
      <c r="CJ31" s="3464">
        <v>0</v>
      </c>
      <c r="CK31" s="3464">
        <v>0</v>
      </c>
      <c r="CL31" s="3464">
        <v>0</v>
      </c>
      <c r="CM31" s="3464">
        <v>0</v>
      </c>
    </row>
    <row r="32" spans="1:91" ht="15.75" thickBot="1">
      <c r="A32" s="3337"/>
      <c r="B32" s="2551" t="str">
        <f t="shared" si="0"/>
        <v>3036730021</v>
      </c>
      <c r="C32" s="2493" t="s">
        <v>703</v>
      </c>
      <c r="D32" s="2018">
        <v>3673</v>
      </c>
      <c r="E32" s="2018">
        <v>21</v>
      </c>
      <c r="F32" s="2019">
        <v>2500</v>
      </c>
      <c r="G32" s="2498" t="s">
        <v>1079</v>
      </c>
      <c r="H32" s="2018" t="s">
        <v>1584</v>
      </c>
      <c r="I32" s="2020">
        <v>1.25</v>
      </c>
      <c r="J32" s="2501">
        <v>0</v>
      </c>
      <c r="K32" s="2501">
        <v>2100</v>
      </c>
      <c r="L32" s="2501">
        <v>0</v>
      </c>
      <c r="M32" s="2501">
        <v>2100</v>
      </c>
      <c r="N32" s="2508">
        <v>0</v>
      </c>
      <c r="O32" s="2503" t="s">
        <v>1601</v>
      </c>
      <c r="P32" s="3309"/>
      <c r="Q32" s="3309"/>
      <c r="R32" s="3309"/>
      <c r="S32" s="3309"/>
      <c r="T32" s="3309"/>
      <c r="U32" s="3309"/>
      <c r="V32" s="3309"/>
      <c r="W32" s="3309"/>
      <c r="X32" s="3309"/>
      <c r="Y32" s="3309"/>
      <c r="Z32" s="3309"/>
      <c r="AA32" s="3309"/>
      <c r="AB32" s="3541"/>
      <c r="AC32" s="3308"/>
      <c r="AD32" s="3308"/>
      <c r="AE32" s="3308"/>
      <c r="AF32" s="3308"/>
      <c r="AG32" s="3308"/>
      <c r="AH32" s="3308"/>
      <c r="AI32" s="3308"/>
      <c r="AJ32" s="3308"/>
      <c r="AK32" s="3308"/>
      <c r="AL32" s="3514"/>
      <c r="AM32" s="3516"/>
      <c r="AN32" s="3470"/>
      <c r="AO32" s="3718"/>
      <c r="AP32" s="3719"/>
      <c r="AQ32" s="3719"/>
      <c r="AR32" s="3719"/>
      <c r="AS32" s="3719"/>
      <c r="AT32" s="3719"/>
      <c r="AU32" s="3719"/>
      <c r="AV32" s="3719"/>
      <c r="AW32" s="3719"/>
      <c r="AX32" s="3719"/>
      <c r="AY32" s="3719"/>
      <c r="AZ32" s="3719"/>
      <c r="BA32" s="3719"/>
      <c r="BB32" s="3719"/>
      <c r="BC32" s="3719"/>
      <c r="BD32" s="3719"/>
      <c r="BE32" s="3719"/>
      <c r="BF32" s="3719"/>
      <c r="BG32" s="3719"/>
      <c r="BH32" s="3719"/>
      <c r="BI32" s="3719"/>
      <c r="BJ32" s="3719"/>
      <c r="BK32" s="3719"/>
      <c r="BL32" s="3719"/>
      <c r="BM32" s="3719"/>
      <c r="BN32" s="3518"/>
      <c r="BO32" s="3520"/>
      <c r="BP32" s="3466"/>
      <c r="BQ32" s="3466"/>
      <c r="BR32" s="3466"/>
      <c r="BS32" s="3466"/>
      <c r="BT32" s="3466"/>
      <c r="BU32" s="3466"/>
      <c r="BV32" s="3466"/>
      <c r="BW32" s="3466"/>
      <c r="BX32" s="3466"/>
      <c r="BY32" s="3466"/>
      <c r="BZ32" s="3466"/>
      <c r="CA32" s="3477"/>
      <c r="CB32" s="3520"/>
      <c r="CC32" s="3466"/>
      <c r="CD32" s="3466"/>
      <c r="CE32" s="3466"/>
      <c r="CF32" s="3466"/>
      <c r="CG32" s="3466"/>
      <c r="CH32" s="3466"/>
      <c r="CI32" s="3466"/>
      <c r="CJ32" s="3466"/>
      <c r="CK32" s="3466"/>
      <c r="CL32" s="3466"/>
      <c r="CM32" s="3466"/>
    </row>
    <row r="33" spans="1:91">
      <c r="A33" s="3270" t="s">
        <v>1698</v>
      </c>
      <c r="B33" s="2551" t="str">
        <f t="shared" si="0"/>
        <v>3036730036</v>
      </c>
      <c r="C33" s="2466" t="s">
        <v>703</v>
      </c>
      <c r="D33" s="2462">
        <v>3673</v>
      </c>
      <c r="E33" s="2462">
        <v>36</v>
      </c>
      <c r="F33" s="2461">
        <v>2729</v>
      </c>
      <c r="G33" s="2445" t="s">
        <v>1566</v>
      </c>
      <c r="H33" s="2462" t="s">
        <v>1560</v>
      </c>
      <c r="I33" s="2463">
        <v>2</v>
      </c>
      <c r="J33" s="2448">
        <v>990</v>
      </c>
      <c r="K33" s="2448">
        <v>0</v>
      </c>
      <c r="L33" s="2448">
        <v>0</v>
      </c>
      <c r="M33" s="2448">
        <v>3000</v>
      </c>
      <c r="N33" s="2438">
        <v>2</v>
      </c>
      <c r="O33" s="2437" t="s">
        <v>1699</v>
      </c>
      <c r="P33" s="3272">
        <v>6958</v>
      </c>
      <c r="Q33" s="3272">
        <v>4512</v>
      </c>
      <c r="R33" s="3272">
        <v>0</v>
      </c>
      <c r="S33" s="3272">
        <v>0</v>
      </c>
      <c r="T33" s="3272">
        <v>0</v>
      </c>
      <c r="U33" s="3272">
        <v>0</v>
      </c>
      <c r="V33" s="3272">
        <v>0</v>
      </c>
      <c r="W33" s="3272">
        <v>0</v>
      </c>
      <c r="X33" s="3272">
        <v>0</v>
      </c>
      <c r="Y33" s="3272">
        <v>0</v>
      </c>
      <c r="Z33" s="3272">
        <v>0</v>
      </c>
      <c r="AA33" s="3272">
        <v>0</v>
      </c>
      <c r="AB33" s="3507">
        <v>11470</v>
      </c>
      <c r="AC33" s="3265">
        <v>5</v>
      </c>
      <c r="AD33" s="3265">
        <v>0</v>
      </c>
      <c r="AE33" s="3265">
        <v>0</v>
      </c>
      <c r="AF33" s="3265">
        <v>0</v>
      </c>
      <c r="AG33" s="3265">
        <v>0</v>
      </c>
      <c r="AH33" s="3265">
        <v>0</v>
      </c>
      <c r="AI33" s="3265">
        <v>0</v>
      </c>
      <c r="AJ33" s="3265">
        <v>0</v>
      </c>
      <c r="AK33" s="3265">
        <v>0</v>
      </c>
      <c r="AL33" s="3513">
        <v>30</v>
      </c>
      <c r="AM33" s="3515" t="s">
        <v>1331</v>
      </c>
      <c r="AN33" s="3512" t="s">
        <v>1560</v>
      </c>
      <c r="AO33" s="3407" t="s">
        <v>1692</v>
      </c>
      <c r="AP33" s="3511">
        <v>57300.999999999993</v>
      </c>
      <c r="AQ33" s="3511">
        <v>8324.85</v>
      </c>
      <c r="AR33" s="3511">
        <v>0</v>
      </c>
      <c r="AS33" s="3511">
        <v>8324.85</v>
      </c>
      <c r="AT33" s="3511">
        <v>0</v>
      </c>
      <c r="AU33" s="3511">
        <v>0</v>
      </c>
      <c r="AV33" s="3511">
        <v>0</v>
      </c>
      <c r="AW33" s="3511">
        <v>0</v>
      </c>
      <c r="AX33" s="3511">
        <v>0</v>
      </c>
      <c r="AY33" s="3511">
        <v>0</v>
      </c>
      <c r="AZ33" s="3511">
        <v>0</v>
      </c>
      <c r="BA33" s="3511">
        <v>0</v>
      </c>
      <c r="BB33" s="3511">
        <v>73950.7</v>
      </c>
      <c r="BC33" s="3511">
        <v>57</v>
      </c>
      <c r="BD33" s="3511">
        <v>28.650499999999997</v>
      </c>
      <c r="BE33" s="3511">
        <v>11</v>
      </c>
      <c r="BF33" s="3511">
        <v>0</v>
      </c>
      <c r="BG33" s="3511">
        <v>17</v>
      </c>
      <c r="BH33" s="3511">
        <v>0</v>
      </c>
      <c r="BI33" s="3511">
        <v>0</v>
      </c>
      <c r="BJ33" s="3511">
        <v>0</v>
      </c>
      <c r="BK33" s="3511">
        <v>0</v>
      </c>
      <c r="BL33" s="3511">
        <v>20</v>
      </c>
      <c r="BM33" s="3511">
        <v>48</v>
      </c>
      <c r="BN33" s="3517">
        <v>145</v>
      </c>
      <c r="BO33" s="3519">
        <v>50342.999999999993</v>
      </c>
      <c r="BP33" s="3464">
        <v>3812.8500000000004</v>
      </c>
      <c r="BQ33" s="3464">
        <v>0</v>
      </c>
      <c r="BR33" s="3464">
        <v>0</v>
      </c>
      <c r="BS33" s="3464">
        <v>8324.85</v>
      </c>
      <c r="BT33" s="3464">
        <v>0</v>
      </c>
      <c r="BU33" s="3464">
        <v>0</v>
      </c>
      <c r="BV33" s="3464">
        <v>0</v>
      </c>
      <c r="BW33" s="3464">
        <v>0</v>
      </c>
      <c r="BX33" s="3464">
        <v>0</v>
      </c>
      <c r="BY33" s="3464">
        <v>0</v>
      </c>
      <c r="BZ33" s="3464">
        <v>0</v>
      </c>
      <c r="CA33" s="3524">
        <v>0</v>
      </c>
      <c r="CB33" s="3519">
        <v>62480.7</v>
      </c>
      <c r="CC33" s="3464">
        <v>12137.7</v>
      </c>
      <c r="CD33" s="3464">
        <v>52</v>
      </c>
      <c r="CE33" s="3464">
        <v>28.650499999999997</v>
      </c>
      <c r="CF33" s="3464">
        <v>11</v>
      </c>
      <c r="CG33" s="3464">
        <v>0</v>
      </c>
      <c r="CH33" s="3464">
        <v>17</v>
      </c>
      <c r="CI33" s="3464">
        <v>0</v>
      </c>
      <c r="CJ33" s="3464">
        <v>0</v>
      </c>
      <c r="CK33" s="3464">
        <v>0</v>
      </c>
      <c r="CL33" s="3464">
        <v>0</v>
      </c>
      <c r="CM33" s="3464">
        <v>20</v>
      </c>
    </row>
    <row r="34" spans="1:91">
      <c r="A34" s="3387"/>
      <c r="B34" s="2551" t="str">
        <f t="shared" si="0"/>
        <v>3036730037</v>
      </c>
      <c r="C34" s="2492" t="s">
        <v>710</v>
      </c>
      <c r="D34" s="2026">
        <v>3673</v>
      </c>
      <c r="E34" s="2026">
        <v>37</v>
      </c>
      <c r="F34" s="2027">
        <v>2300</v>
      </c>
      <c r="G34" s="2497" t="s">
        <v>1566</v>
      </c>
      <c r="H34" s="2026" t="s">
        <v>1560</v>
      </c>
      <c r="I34" s="2028">
        <v>2</v>
      </c>
      <c r="J34" s="2500">
        <v>911</v>
      </c>
      <c r="K34" s="2500">
        <v>0</v>
      </c>
      <c r="L34" s="2500">
        <v>0</v>
      </c>
      <c r="M34" s="2500">
        <v>2760</v>
      </c>
      <c r="N34" s="2029">
        <v>2</v>
      </c>
      <c r="O34" s="2502" t="s">
        <v>1699</v>
      </c>
      <c r="P34" s="3273"/>
      <c r="Q34" s="3273"/>
      <c r="R34" s="3273"/>
      <c r="S34" s="3273"/>
      <c r="T34" s="3273"/>
      <c r="U34" s="3273"/>
      <c r="V34" s="3273"/>
      <c r="W34" s="3273"/>
      <c r="X34" s="3273"/>
      <c r="Y34" s="3273"/>
      <c r="Z34" s="3273"/>
      <c r="AA34" s="3273"/>
      <c r="AB34" s="3508"/>
      <c r="AC34" s="3274"/>
      <c r="AD34" s="3274"/>
      <c r="AE34" s="3274"/>
      <c r="AF34" s="3274"/>
      <c r="AG34" s="3274"/>
      <c r="AH34" s="3274"/>
      <c r="AI34" s="3274"/>
      <c r="AJ34" s="3274"/>
      <c r="AK34" s="3274"/>
      <c r="AL34" s="3529"/>
      <c r="AM34" s="3525"/>
      <c r="AN34" s="3469"/>
      <c r="AO34" s="3526"/>
      <c r="AP34" s="3527"/>
      <c r="AQ34" s="3527"/>
      <c r="AR34" s="3527"/>
      <c r="AS34" s="3527"/>
      <c r="AT34" s="3527"/>
      <c r="AU34" s="3527"/>
      <c r="AV34" s="3527"/>
      <c r="AW34" s="3527"/>
      <c r="AX34" s="3527"/>
      <c r="AY34" s="3527"/>
      <c r="AZ34" s="3527"/>
      <c r="BA34" s="3527"/>
      <c r="BB34" s="3527"/>
      <c r="BC34" s="3527"/>
      <c r="BD34" s="3527"/>
      <c r="BE34" s="3527"/>
      <c r="BF34" s="3527"/>
      <c r="BG34" s="3527"/>
      <c r="BH34" s="3527"/>
      <c r="BI34" s="3527"/>
      <c r="BJ34" s="3527"/>
      <c r="BK34" s="3527"/>
      <c r="BL34" s="3527"/>
      <c r="BM34" s="3527"/>
      <c r="BN34" s="3535"/>
      <c r="BO34" s="3534"/>
      <c r="BP34" s="3465"/>
      <c r="BQ34" s="3465"/>
      <c r="BR34" s="3465"/>
      <c r="BS34" s="3465"/>
      <c r="BT34" s="3465"/>
      <c r="BU34" s="3465"/>
      <c r="BV34" s="3465"/>
      <c r="BW34" s="3465"/>
      <c r="BX34" s="3465"/>
      <c r="BY34" s="3465"/>
      <c r="BZ34" s="3465"/>
      <c r="CA34" s="3533"/>
      <c r="CB34" s="3534"/>
      <c r="CC34" s="3465"/>
      <c r="CD34" s="3465"/>
      <c r="CE34" s="3465"/>
      <c r="CF34" s="3465"/>
      <c r="CG34" s="3465"/>
      <c r="CH34" s="3465"/>
      <c r="CI34" s="3465"/>
      <c r="CJ34" s="3465"/>
      <c r="CK34" s="3465"/>
      <c r="CL34" s="3465"/>
      <c r="CM34" s="3465"/>
    </row>
    <row r="35" spans="1:91">
      <c r="A35" s="3387"/>
      <c r="B35" s="2551" t="str">
        <f t="shared" si="0"/>
        <v>3036730038</v>
      </c>
      <c r="C35" s="2492" t="s">
        <v>721</v>
      </c>
      <c r="D35" s="2026">
        <v>3673</v>
      </c>
      <c r="E35" s="2026">
        <v>38</v>
      </c>
      <c r="F35" s="2027">
        <v>2300</v>
      </c>
      <c r="G35" s="2497" t="s">
        <v>1566</v>
      </c>
      <c r="H35" s="2026" t="s">
        <v>1560</v>
      </c>
      <c r="I35" s="2028">
        <v>2</v>
      </c>
      <c r="J35" s="2500">
        <v>911</v>
      </c>
      <c r="K35" s="2500">
        <v>0</v>
      </c>
      <c r="L35" s="2500">
        <v>0</v>
      </c>
      <c r="M35" s="2500">
        <v>2760</v>
      </c>
      <c r="N35" s="2029">
        <v>0</v>
      </c>
      <c r="O35" s="2502" t="s">
        <v>1699</v>
      </c>
      <c r="P35" s="3273"/>
      <c r="Q35" s="3273"/>
      <c r="R35" s="3273"/>
      <c r="S35" s="3273"/>
      <c r="T35" s="3273"/>
      <c r="U35" s="3273"/>
      <c r="V35" s="3273"/>
      <c r="W35" s="3273"/>
      <c r="X35" s="3273"/>
      <c r="Y35" s="3273"/>
      <c r="Z35" s="3273"/>
      <c r="AA35" s="3273"/>
      <c r="AB35" s="3508"/>
      <c r="AC35" s="3274"/>
      <c r="AD35" s="3274"/>
      <c r="AE35" s="3274"/>
      <c r="AF35" s="3274"/>
      <c r="AG35" s="3274"/>
      <c r="AH35" s="3274"/>
      <c r="AI35" s="3274"/>
      <c r="AJ35" s="3274"/>
      <c r="AK35" s="3274"/>
      <c r="AL35" s="3529"/>
      <c r="AM35" s="3525"/>
      <c r="AN35" s="3469"/>
      <c r="AO35" s="3526"/>
      <c r="AP35" s="3527"/>
      <c r="AQ35" s="3527"/>
      <c r="AR35" s="3527"/>
      <c r="AS35" s="3527"/>
      <c r="AT35" s="3527"/>
      <c r="AU35" s="3527"/>
      <c r="AV35" s="3527"/>
      <c r="AW35" s="3527"/>
      <c r="AX35" s="3527"/>
      <c r="AY35" s="3527"/>
      <c r="AZ35" s="3527"/>
      <c r="BA35" s="3527"/>
      <c r="BB35" s="3527"/>
      <c r="BC35" s="3527"/>
      <c r="BD35" s="3527"/>
      <c r="BE35" s="3527"/>
      <c r="BF35" s="3527"/>
      <c r="BG35" s="3527"/>
      <c r="BH35" s="3527"/>
      <c r="BI35" s="3527"/>
      <c r="BJ35" s="3527"/>
      <c r="BK35" s="3527"/>
      <c r="BL35" s="3527"/>
      <c r="BM35" s="3527"/>
      <c r="BN35" s="3535"/>
      <c r="BO35" s="3534"/>
      <c r="BP35" s="3465"/>
      <c r="BQ35" s="3465"/>
      <c r="BR35" s="3465"/>
      <c r="BS35" s="3465"/>
      <c r="BT35" s="3465"/>
      <c r="BU35" s="3465"/>
      <c r="BV35" s="3465"/>
      <c r="BW35" s="3465"/>
      <c r="BX35" s="3465"/>
      <c r="BY35" s="3465"/>
      <c r="BZ35" s="3465"/>
      <c r="CA35" s="3533"/>
      <c r="CB35" s="3534"/>
      <c r="CC35" s="3465"/>
      <c r="CD35" s="3465"/>
      <c r="CE35" s="3465"/>
      <c r="CF35" s="3465"/>
      <c r="CG35" s="3465"/>
      <c r="CH35" s="3465"/>
      <c r="CI35" s="3465"/>
      <c r="CJ35" s="3465"/>
      <c r="CK35" s="3465"/>
      <c r="CL35" s="3465"/>
      <c r="CM35" s="3465"/>
    </row>
    <row r="36" spans="1:91" ht="15.75" thickBot="1">
      <c r="A36" s="3357"/>
      <c r="B36" s="2551" t="str">
        <f t="shared" si="0"/>
        <v>3036730039</v>
      </c>
      <c r="C36" s="2488" t="s">
        <v>724</v>
      </c>
      <c r="D36" s="2114">
        <v>3673</v>
      </c>
      <c r="E36" s="2114">
        <v>39</v>
      </c>
      <c r="F36" s="2481">
        <v>2942</v>
      </c>
      <c r="G36" s="2446" t="s">
        <v>1566</v>
      </c>
      <c r="H36" s="2114" t="s">
        <v>1560</v>
      </c>
      <c r="I36" s="2464">
        <v>2</v>
      </c>
      <c r="J36" s="2483">
        <v>1700</v>
      </c>
      <c r="K36" s="2483">
        <v>0</v>
      </c>
      <c r="L36" s="2483">
        <v>0</v>
      </c>
      <c r="M36" s="2483">
        <v>2950</v>
      </c>
      <c r="N36" s="2442">
        <v>1</v>
      </c>
      <c r="O36" s="2452" t="s">
        <v>1670</v>
      </c>
      <c r="P36" s="3359"/>
      <c r="Q36" s="3359"/>
      <c r="R36" s="3359"/>
      <c r="S36" s="3359"/>
      <c r="T36" s="3359"/>
      <c r="U36" s="3359"/>
      <c r="V36" s="3359"/>
      <c r="W36" s="3359"/>
      <c r="X36" s="3359"/>
      <c r="Y36" s="3359"/>
      <c r="Z36" s="3359"/>
      <c r="AA36" s="3359"/>
      <c r="AB36" s="3536"/>
      <c r="AC36" s="3361"/>
      <c r="AD36" s="3361"/>
      <c r="AE36" s="3361"/>
      <c r="AF36" s="3361"/>
      <c r="AG36" s="3361"/>
      <c r="AH36" s="3361"/>
      <c r="AI36" s="3361"/>
      <c r="AJ36" s="3361"/>
      <c r="AK36" s="3361"/>
      <c r="AL36" s="3514"/>
      <c r="AM36" s="3516"/>
      <c r="AN36" s="3470"/>
      <c r="AO36" s="3718"/>
      <c r="AP36" s="3719"/>
      <c r="AQ36" s="3719"/>
      <c r="AR36" s="3719"/>
      <c r="AS36" s="3719"/>
      <c r="AT36" s="3719"/>
      <c r="AU36" s="3719"/>
      <c r="AV36" s="3719"/>
      <c r="AW36" s="3719"/>
      <c r="AX36" s="3719"/>
      <c r="AY36" s="3719"/>
      <c r="AZ36" s="3719"/>
      <c r="BA36" s="3719"/>
      <c r="BB36" s="3719"/>
      <c r="BC36" s="3719"/>
      <c r="BD36" s="3719"/>
      <c r="BE36" s="3719"/>
      <c r="BF36" s="3719"/>
      <c r="BG36" s="3719"/>
      <c r="BH36" s="3719"/>
      <c r="BI36" s="3719"/>
      <c r="BJ36" s="3719"/>
      <c r="BK36" s="3719"/>
      <c r="BL36" s="3719"/>
      <c r="BM36" s="3719"/>
      <c r="BN36" s="3518"/>
      <c r="BO36" s="3520"/>
      <c r="BP36" s="3466"/>
      <c r="BQ36" s="3466"/>
      <c r="BR36" s="3466"/>
      <c r="BS36" s="3466"/>
      <c r="BT36" s="3466"/>
      <c r="BU36" s="3466"/>
      <c r="BV36" s="3466"/>
      <c r="BW36" s="3466"/>
      <c r="BX36" s="3466"/>
      <c r="BY36" s="3466"/>
      <c r="BZ36" s="3466"/>
      <c r="CA36" s="3477"/>
      <c r="CB36" s="3520"/>
      <c r="CC36" s="3466"/>
      <c r="CD36" s="3466"/>
      <c r="CE36" s="3466"/>
      <c r="CF36" s="3466"/>
      <c r="CG36" s="3466"/>
      <c r="CH36" s="3466"/>
      <c r="CI36" s="3466"/>
      <c r="CJ36" s="3466"/>
      <c r="CK36" s="3466"/>
      <c r="CL36" s="3466"/>
      <c r="CM36" s="3466"/>
    </row>
    <row r="37" spans="1:91">
      <c r="A37" s="3270" t="s">
        <v>1700</v>
      </c>
      <c r="B37" s="2551" t="str">
        <f t="shared" si="0"/>
        <v>3036740038</v>
      </c>
      <c r="C37" s="2010" t="s">
        <v>703</v>
      </c>
      <c r="D37" s="2462">
        <v>3674</v>
      </c>
      <c r="E37" s="2462">
        <v>38</v>
      </c>
      <c r="F37" s="2461">
        <v>2725</v>
      </c>
      <c r="G37" s="2445" t="s">
        <v>1079</v>
      </c>
      <c r="H37" s="2462" t="s">
        <v>1100</v>
      </c>
      <c r="I37" s="2463">
        <v>1.25</v>
      </c>
      <c r="J37" s="2448">
        <v>1450</v>
      </c>
      <c r="K37" s="2448">
        <v>2175</v>
      </c>
      <c r="L37" s="2448">
        <v>900</v>
      </c>
      <c r="M37" s="2448">
        <v>4525</v>
      </c>
      <c r="N37" s="2438">
        <v>0</v>
      </c>
      <c r="O37" s="2437" t="s">
        <v>1656</v>
      </c>
      <c r="P37" s="3272">
        <v>989</v>
      </c>
      <c r="Q37" s="3272">
        <v>1450</v>
      </c>
      <c r="R37" s="3272">
        <v>0</v>
      </c>
      <c r="S37" s="3272">
        <v>0</v>
      </c>
      <c r="T37" s="3272">
        <v>0</v>
      </c>
      <c r="U37" s="3272">
        <v>0</v>
      </c>
      <c r="V37" s="3272">
        <v>900</v>
      </c>
      <c r="W37" s="3272">
        <v>900</v>
      </c>
      <c r="X37" s="3272">
        <v>2875</v>
      </c>
      <c r="Y37" s="3272">
        <v>0</v>
      </c>
      <c r="Z37" s="3272">
        <v>0</v>
      </c>
      <c r="AA37" s="3272">
        <v>2298</v>
      </c>
      <c r="AB37" s="3507">
        <v>9412</v>
      </c>
      <c r="AC37" s="3265">
        <v>0</v>
      </c>
      <c r="AD37" s="3265">
        <v>0</v>
      </c>
      <c r="AE37" s="3265">
        <v>0</v>
      </c>
      <c r="AF37" s="3265">
        <v>0</v>
      </c>
      <c r="AG37" s="3265">
        <v>0</v>
      </c>
      <c r="AH37" s="3265">
        <v>9</v>
      </c>
      <c r="AI37" s="3265">
        <v>0</v>
      </c>
      <c r="AJ37" s="3265">
        <v>5</v>
      </c>
      <c r="AK37" s="3265">
        <v>14</v>
      </c>
      <c r="AL37" s="3513">
        <v>30</v>
      </c>
      <c r="AM37" s="3515" t="s">
        <v>741</v>
      </c>
      <c r="AN37" s="3512" t="s">
        <v>706</v>
      </c>
      <c r="AO37" s="3407" t="s">
        <v>1696</v>
      </c>
      <c r="AP37" s="3511">
        <v>52141</v>
      </c>
      <c r="AQ37" s="3511">
        <v>6934.5</v>
      </c>
      <c r="AR37" s="3511">
        <v>0</v>
      </c>
      <c r="AS37" s="3511">
        <v>0</v>
      </c>
      <c r="AT37" s="3511">
        <v>0</v>
      </c>
      <c r="AU37" s="3511">
        <v>0</v>
      </c>
      <c r="AV37" s="3511">
        <v>0</v>
      </c>
      <c r="AW37" s="3511">
        <v>0</v>
      </c>
      <c r="AX37" s="3511">
        <v>0</v>
      </c>
      <c r="AY37" s="3511">
        <v>0</v>
      </c>
      <c r="AZ37" s="3511">
        <v>0</v>
      </c>
      <c r="BA37" s="3511">
        <v>0</v>
      </c>
      <c r="BB37" s="3511">
        <v>59075.5</v>
      </c>
      <c r="BC37" s="3511">
        <v>52</v>
      </c>
      <c r="BD37" s="3511">
        <v>26.070499999999999</v>
      </c>
      <c r="BE37" s="3511">
        <v>10</v>
      </c>
      <c r="BF37" s="3511">
        <v>0</v>
      </c>
      <c r="BG37" s="3511">
        <v>7</v>
      </c>
      <c r="BH37" s="3511">
        <v>0</v>
      </c>
      <c r="BI37" s="3511">
        <v>0</v>
      </c>
      <c r="BJ37" s="3511">
        <v>0</v>
      </c>
      <c r="BK37" s="3511">
        <v>0</v>
      </c>
      <c r="BL37" s="3511">
        <v>0</v>
      </c>
      <c r="BM37" s="3511">
        <v>17</v>
      </c>
      <c r="BN37" s="3517">
        <v>145</v>
      </c>
      <c r="BO37" s="3519">
        <v>51152</v>
      </c>
      <c r="BP37" s="3464">
        <v>5484.5</v>
      </c>
      <c r="BQ37" s="3464">
        <v>0</v>
      </c>
      <c r="BR37" s="3464">
        <v>0</v>
      </c>
      <c r="BS37" s="3464">
        <v>0</v>
      </c>
      <c r="BT37" s="3464">
        <v>0</v>
      </c>
      <c r="BU37" s="3464">
        <v>0</v>
      </c>
      <c r="BV37" s="3464">
        <v>-900</v>
      </c>
      <c r="BW37" s="3464">
        <v>-900</v>
      </c>
      <c r="BX37" s="3464">
        <v>-2875</v>
      </c>
      <c r="BY37" s="3464">
        <v>0</v>
      </c>
      <c r="BZ37" s="3464">
        <v>0</v>
      </c>
      <c r="CA37" s="3524">
        <v>-2298</v>
      </c>
      <c r="CB37" s="3519">
        <v>49663.5</v>
      </c>
      <c r="CC37" s="3464">
        <v>809.5</v>
      </c>
      <c r="CD37" s="3464">
        <v>52</v>
      </c>
      <c r="CE37" s="3464">
        <v>26.070499999999999</v>
      </c>
      <c r="CF37" s="3464">
        <v>10</v>
      </c>
      <c r="CG37" s="3464">
        <v>0</v>
      </c>
      <c r="CH37" s="3464">
        <v>7</v>
      </c>
      <c r="CI37" s="3464">
        <v>0</v>
      </c>
      <c r="CJ37" s="3464">
        <v>0</v>
      </c>
      <c r="CK37" s="3464">
        <v>-9</v>
      </c>
      <c r="CL37" s="3464">
        <v>0</v>
      </c>
      <c r="CM37" s="3464">
        <v>-5</v>
      </c>
    </row>
    <row r="38" spans="1:91">
      <c r="A38" s="3271"/>
      <c r="B38" s="2551" t="str">
        <f t="shared" si="0"/>
        <v>3036740039</v>
      </c>
      <c r="C38" s="2488" t="s">
        <v>710</v>
      </c>
      <c r="D38" s="2026">
        <v>3674</v>
      </c>
      <c r="E38" s="2026">
        <v>39</v>
      </c>
      <c r="F38" s="2027">
        <v>2740</v>
      </c>
      <c r="G38" s="2497" t="s">
        <v>1079</v>
      </c>
      <c r="H38" s="2026" t="s">
        <v>1100</v>
      </c>
      <c r="I38" s="2028">
        <v>1.25</v>
      </c>
      <c r="J38" s="2500">
        <v>0</v>
      </c>
      <c r="K38" s="2500">
        <v>1600</v>
      </c>
      <c r="L38" s="2500">
        <v>0</v>
      </c>
      <c r="M38" s="2500">
        <v>1600</v>
      </c>
      <c r="N38" s="2029">
        <v>0</v>
      </c>
      <c r="O38" s="2452" t="s">
        <v>1633</v>
      </c>
      <c r="P38" s="3288"/>
      <c r="Q38" s="3288"/>
      <c r="R38" s="3288"/>
      <c r="S38" s="3288"/>
      <c r="T38" s="3288"/>
      <c r="U38" s="3288"/>
      <c r="V38" s="3288"/>
      <c r="W38" s="3288"/>
      <c r="X38" s="3288"/>
      <c r="Y38" s="3288"/>
      <c r="Z38" s="3288"/>
      <c r="AA38" s="3288"/>
      <c r="AB38" s="3531"/>
      <c r="AC38" s="3281"/>
      <c r="AD38" s="3281"/>
      <c r="AE38" s="3281"/>
      <c r="AF38" s="3281"/>
      <c r="AG38" s="3281"/>
      <c r="AH38" s="3281"/>
      <c r="AI38" s="3281"/>
      <c r="AJ38" s="3281"/>
      <c r="AK38" s="3281"/>
      <c r="AL38" s="3529"/>
      <c r="AM38" s="3525"/>
      <c r="AN38" s="3469"/>
      <c r="AO38" s="3526"/>
      <c r="AP38" s="3527"/>
      <c r="AQ38" s="3527"/>
      <c r="AR38" s="3527"/>
      <c r="AS38" s="3527"/>
      <c r="AT38" s="3527"/>
      <c r="AU38" s="3527"/>
      <c r="AV38" s="3527"/>
      <c r="AW38" s="3527"/>
      <c r="AX38" s="3527"/>
      <c r="AY38" s="3527"/>
      <c r="AZ38" s="3527"/>
      <c r="BA38" s="3527"/>
      <c r="BB38" s="3527"/>
      <c r="BC38" s="3527"/>
      <c r="BD38" s="3527"/>
      <c r="BE38" s="3527"/>
      <c r="BF38" s="3527"/>
      <c r="BG38" s="3527"/>
      <c r="BH38" s="3527"/>
      <c r="BI38" s="3527"/>
      <c r="BJ38" s="3527"/>
      <c r="BK38" s="3527"/>
      <c r="BL38" s="3527"/>
      <c r="BM38" s="3527"/>
      <c r="BN38" s="3535"/>
      <c r="BO38" s="3534"/>
      <c r="BP38" s="3465"/>
      <c r="BQ38" s="3465"/>
      <c r="BR38" s="3465"/>
      <c r="BS38" s="3465"/>
      <c r="BT38" s="3465"/>
      <c r="BU38" s="3465"/>
      <c r="BV38" s="3465"/>
      <c r="BW38" s="3465"/>
      <c r="BX38" s="3465"/>
      <c r="BY38" s="3465"/>
      <c r="BZ38" s="3465"/>
      <c r="CA38" s="3533"/>
      <c r="CB38" s="3534"/>
      <c r="CC38" s="3465"/>
      <c r="CD38" s="3465"/>
      <c r="CE38" s="3465"/>
      <c r="CF38" s="3465"/>
      <c r="CG38" s="3465"/>
      <c r="CH38" s="3465"/>
      <c r="CI38" s="3465"/>
      <c r="CJ38" s="3465"/>
      <c r="CK38" s="3465"/>
      <c r="CL38" s="3465"/>
      <c r="CM38" s="3465"/>
    </row>
    <row r="39" spans="1:91" ht="15.75" thickBot="1">
      <c r="A39" s="3271"/>
      <c r="B39" s="2551" t="str">
        <f t="shared" si="0"/>
        <v>3036740040</v>
      </c>
      <c r="C39" s="2468" t="s">
        <v>721</v>
      </c>
      <c r="D39" s="2114">
        <v>3674</v>
      </c>
      <c r="E39" s="2114">
        <v>40</v>
      </c>
      <c r="F39" s="2481">
        <v>2740</v>
      </c>
      <c r="G39" s="2446" t="s">
        <v>1079</v>
      </c>
      <c r="H39" s="2114" t="s">
        <v>1100</v>
      </c>
      <c r="I39" s="2464">
        <v>1.25</v>
      </c>
      <c r="J39" s="2483">
        <v>0</v>
      </c>
      <c r="K39" s="2483">
        <v>0</v>
      </c>
      <c r="L39" s="2483">
        <v>0</v>
      </c>
      <c r="M39" s="2483">
        <v>3287</v>
      </c>
      <c r="N39" s="2442">
        <v>0</v>
      </c>
      <c r="O39" s="2452" t="s">
        <v>1701</v>
      </c>
      <c r="P39" s="3288"/>
      <c r="Q39" s="3288"/>
      <c r="R39" s="3288"/>
      <c r="S39" s="3288"/>
      <c r="T39" s="3288"/>
      <c r="U39" s="3288"/>
      <c r="V39" s="3288"/>
      <c r="W39" s="3288"/>
      <c r="X39" s="3288"/>
      <c r="Y39" s="3288"/>
      <c r="Z39" s="3288"/>
      <c r="AA39" s="3288"/>
      <c r="AB39" s="3531"/>
      <c r="AC39" s="3281"/>
      <c r="AD39" s="3281"/>
      <c r="AE39" s="3281"/>
      <c r="AF39" s="3281"/>
      <c r="AG39" s="3281"/>
      <c r="AH39" s="3281"/>
      <c r="AI39" s="3281"/>
      <c r="AJ39" s="3281"/>
      <c r="AK39" s="3281"/>
      <c r="AL39" s="3529"/>
      <c r="AM39" s="3525"/>
      <c r="AN39" s="3469"/>
      <c r="AO39" s="3526"/>
      <c r="AP39" s="3527"/>
      <c r="AQ39" s="3527"/>
      <c r="AR39" s="3527"/>
      <c r="AS39" s="3527"/>
      <c r="AT39" s="3527"/>
      <c r="AU39" s="3527"/>
      <c r="AV39" s="3527"/>
      <c r="AW39" s="3527"/>
      <c r="AX39" s="3527"/>
      <c r="AY39" s="3527"/>
      <c r="AZ39" s="3527"/>
      <c r="BA39" s="3527"/>
      <c r="BB39" s="3527"/>
      <c r="BC39" s="3527"/>
      <c r="BD39" s="3527"/>
      <c r="BE39" s="3527"/>
      <c r="BF39" s="3527"/>
      <c r="BG39" s="3527"/>
      <c r="BH39" s="3527"/>
      <c r="BI39" s="3527"/>
      <c r="BJ39" s="3527"/>
      <c r="BK39" s="3527"/>
      <c r="BL39" s="3527"/>
      <c r="BM39" s="3527"/>
      <c r="BN39" s="3535"/>
      <c r="BO39" s="3534"/>
      <c r="BP39" s="3465"/>
      <c r="BQ39" s="3465"/>
      <c r="BR39" s="3465"/>
      <c r="BS39" s="3465"/>
      <c r="BT39" s="3465"/>
      <c r="BU39" s="3465"/>
      <c r="BV39" s="3465"/>
      <c r="BW39" s="3465"/>
      <c r="BX39" s="3465"/>
      <c r="BY39" s="3465"/>
      <c r="BZ39" s="3465"/>
      <c r="CA39" s="3533"/>
      <c r="CB39" s="3534"/>
      <c r="CC39" s="3465"/>
      <c r="CD39" s="3465"/>
      <c r="CE39" s="3465"/>
      <c r="CF39" s="3465"/>
      <c r="CG39" s="3465"/>
      <c r="CH39" s="3465"/>
      <c r="CI39" s="3465"/>
      <c r="CJ39" s="3465"/>
      <c r="CK39" s="3465"/>
      <c r="CL39" s="3465"/>
      <c r="CM39" s="3465"/>
    </row>
    <row r="40" spans="1:91" ht="15.75" thickBot="1">
      <c r="A40" s="2135" t="s">
        <v>1702</v>
      </c>
      <c r="B40" s="2551" t="str">
        <f t="shared" si="0"/>
        <v>3036750001</v>
      </c>
      <c r="C40" s="2044" t="s">
        <v>703</v>
      </c>
      <c r="D40" s="2045">
        <v>3675</v>
      </c>
      <c r="E40" s="2045">
        <v>1</v>
      </c>
      <c r="F40" s="2032">
        <v>5000</v>
      </c>
      <c r="G40" s="2046" t="s">
        <v>1305</v>
      </c>
      <c r="H40" s="2045" t="s">
        <v>1560</v>
      </c>
      <c r="I40" s="2047">
        <v>2</v>
      </c>
      <c r="J40" s="2533">
        <v>0</v>
      </c>
      <c r="K40" s="2533">
        <v>1680</v>
      </c>
      <c r="L40" s="2533">
        <v>0</v>
      </c>
      <c r="M40" s="2533">
        <v>1680</v>
      </c>
      <c r="N40" s="2035">
        <v>0</v>
      </c>
      <c r="O40" s="2042" t="s">
        <v>1684</v>
      </c>
      <c r="P40" s="2049">
        <v>0</v>
      </c>
      <c r="Q40" s="2049">
        <v>0</v>
      </c>
      <c r="R40" s="2049">
        <v>0</v>
      </c>
      <c r="S40" s="2049">
        <v>0</v>
      </c>
      <c r="T40" s="2049">
        <v>0</v>
      </c>
      <c r="U40" s="2049">
        <v>0</v>
      </c>
      <c r="V40" s="2049">
        <v>0</v>
      </c>
      <c r="W40" s="2049">
        <v>5000</v>
      </c>
      <c r="X40" s="2049">
        <v>0</v>
      </c>
      <c r="Y40" s="2049">
        <v>0</v>
      </c>
      <c r="Z40" s="2049">
        <v>0</v>
      </c>
      <c r="AA40" s="2049">
        <v>0</v>
      </c>
      <c r="AB40" s="2116">
        <v>5000</v>
      </c>
      <c r="AC40" s="2533">
        <v>0</v>
      </c>
      <c r="AD40" s="2533">
        <v>0</v>
      </c>
      <c r="AE40" s="2533">
        <v>0</v>
      </c>
      <c r="AF40" s="2533">
        <v>0</v>
      </c>
      <c r="AG40" s="2533">
        <v>0</v>
      </c>
      <c r="AH40" s="2533">
        <v>0</v>
      </c>
      <c r="AI40" s="2533">
        <v>0</v>
      </c>
      <c r="AJ40" s="2533">
        <v>0</v>
      </c>
      <c r="AK40" s="2533">
        <v>0</v>
      </c>
      <c r="AL40" s="2117">
        <v>10</v>
      </c>
      <c r="AM40" s="2118" t="s">
        <v>705</v>
      </c>
      <c r="AN40" s="2119" t="s">
        <v>706</v>
      </c>
      <c r="AO40" s="2092" t="s">
        <v>1588</v>
      </c>
      <c r="AP40" s="2120">
        <v>18500</v>
      </c>
      <c r="AQ40" s="2120">
        <v>4500</v>
      </c>
      <c r="AR40" s="2120">
        <v>0</v>
      </c>
      <c r="AS40" s="2120">
        <v>0</v>
      </c>
      <c r="AT40" s="2120">
        <v>0</v>
      </c>
      <c r="AU40" s="2120">
        <v>0</v>
      </c>
      <c r="AV40" s="2120">
        <v>0</v>
      </c>
      <c r="AW40" s="2120">
        <v>0</v>
      </c>
      <c r="AX40" s="2120">
        <v>0</v>
      </c>
      <c r="AY40" s="2120">
        <v>0</v>
      </c>
      <c r="AZ40" s="2120">
        <v>0</v>
      </c>
      <c r="BA40" s="2120">
        <v>0</v>
      </c>
      <c r="BB40" s="2120">
        <v>23000</v>
      </c>
      <c r="BC40" s="2120">
        <v>18</v>
      </c>
      <c r="BD40" s="2120">
        <v>9.25</v>
      </c>
      <c r="BE40" s="2120">
        <v>5</v>
      </c>
      <c r="BF40" s="2120">
        <v>0</v>
      </c>
      <c r="BG40" s="2120">
        <v>5</v>
      </c>
      <c r="BH40" s="2120">
        <v>0</v>
      </c>
      <c r="BI40" s="2120">
        <v>0</v>
      </c>
      <c r="BJ40" s="2120">
        <v>0</v>
      </c>
      <c r="BK40" s="2120">
        <v>0</v>
      </c>
      <c r="BL40" s="2120">
        <v>0</v>
      </c>
      <c r="BM40" s="2120">
        <v>10</v>
      </c>
      <c r="BN40" s="2121">
        <v>105</v>
      </c>
      <c r="BO40" s="2048">
        <v>18500</v>
      </c>
      <c r="BP40" s="2090">
        <v>4500</v>
      </c>
      <c r="BQ40" s="2090">
        <v>0</v>
      </c>
      <c r="BR40" s="2090">
        <v>0</v>
      </c>
      <c r="BS40" s="2090">
        <v>0</v>
      </c>
      <c r="BT40" s="2090">
        <v>0</v>
      </c>
      <c r="BU40" s="2090">
        <v>0</v>
      </c>
      <c r="BV40" s="2090">
        <v>0</v>
      </c>
      <c r="BW40" s="2090">
        <v>-5000</v>
      </c>
      <c r="BX40" s="2090">
        <v>0</v>
      </c>
      <c r="BY40" s="2090">
        <v>0</v>
      </c>
      <c r="BZ40" s="2090">
        <v>0</v>
      </c>
      <c r="CA40" s="2122">
        <v>0</v>
      </c>
      <c r="CB40" s="2048">
        <v>18000</v>
      </c>
      <c r="CC40" s="2090">
        <v>-500</v>
      </c>
      <c r="CD40" s="2090">
        <v>18</v>
      </c>
      <c r="CE40" s="2090">
        <v>9.25</v>
      </c>
      <c r="CF40" s="2090">
        <v>5</v>
      </c>
      <c r="CG40" s="2090">
        <v>0</v>
      </c>
      <c r="CH40" s="2122">
        <v>5</v>
      </c>
      <c r="CI40" s="2122">
        <v>0</v>
      </c>
      <c r="CJ40" s="2122">
        <v>0</v>
      </c>
      <c r="CK40" s="2122">
        <v>0</v>
      </c>
      <c r="CL40" s="2122">
        <v>0</v>
      </c>
      <c r="CM40" s="2122">
        <v>0</v>
      </c>
    </row>
    <row r="41" spans="1:91" ht="15.75" thickBot="1">
      <c r="A41" s="2529" t="s">
        <v>1703</v>
      </c>
      <c r="B41" s="2551" t="str">
        <f t="shared" si="0"/>
        <v>3036750025</v>
      </c>
      <c r="C41" s="2010" t="s">
        <v>703</v>
      </c>
      <c r="D41" s="2011">
        <v>3675</v>
      </c>
      <c r="E41" s="2011">
        <v>25</v>
      </c>
      <c r="F41" s="2494">
        <v>5000</v>
      </c>
      <c r="G41" s="2496" t="s">
        <v>1305</v>
      </c>
      <c r="H41" s="2011" t="s">
        <v>1560</v>
      </c>
      <c r="I41" s="2012">
        <v>2</v>
      </c>
      <c r="J41" s="2491">
        <v>0</v>
      </c>
      <c r="K41" s="2491">
        <v>0</v>
      </c>
      <c r="L41" s="2491">
        <v>0</v>
      </c>
      <c r="M41" s="2491">
        <v>0</v>
      </c>
      <c r="N41" s="2489">
        <v>0</v>
      </c>
      <c r="O41" s="2437" t="s">
        <v>1684</v>
      </c>
      <c r="P41" s="2450">
        <v>0</v>
      </c>
      <c r="Q41" s="2450">
        <v>0</v>
      </c>
      <c r="R41" s="2450">
        <v>0</v>
      </c>
      <c r="S41" s="2450">
        <v>0</v>
      </c>
      <c r="T41" s="2450">
        <v>0</v>
      </c>
      <c r="U41" s="2450">
        <v>0</v>
      </c>
      <c r="V41" s="2450">
        <v>0</v>
      </c>
      <c r="W41" s="2450">
        <v>5000</v>
      </c>
      <c r="X41" s="2450">
        <v>0</v>
      </c>
      <c r="Y41" s="2450">
        <v>0</v>
      </c>
      <c r="Z41" s="2450">
        <v>0</v>
      </c>
      <c r="AA41" s="2450">
        <v>0</v>
      </c>
      <c r="AB41" s="2519">
        <v>5000</v>
      </c>
      <c r="AC41" s="2448">
        <v>0</v>
      </c>
      <c r="AD41" s="2448">
        <v>0</v>
      </c>
      <c r="AE41" s="2448">
        <v>0</v>
      </c>
      <c r="AF41" s="2448">
        <v>0</v>
      </c>
      <c r="AG41" s="2448">
        <v>0</v>
      </c>
      <c r="AH41" s="2448">
        <v>0</v>
      </c>
      <c r="AI41" s="2448">
        <v>0</v>
      </c>
      <c r="AJ41" s="2448">
        <v>0</v>
      </c>
      <c r="AK41" s="2448">
        <v>0</v>
      </c>
      <c r="AL41" s="2528">
        <v>10</v>
      </c>
      <c r="AM41" s="2118" t="s">
        <v>705</v>
      </c>
      <c r="AN41" s="2119" t="s">
        <v>706</v>
      </c>
      <c r="AO41" s="2092" t="s">
        <v>1588</v>
      </c>
      <c r="AP41" s="2120">
        <v>18500</v>
      </c>
      <c r="AQ41" s="2120">
        <v>4500</v>
      </c>
      <c r="AR41" s="2120">
        <v>0</v>
      </c>
      <c r="AS41" s="2120">
        <v>0</v>
      </c>
      <c r="AT41" s="2120">
        <v>0</v>
      </c>
      <c r="AU41" s="2120">
        <v>0</v>
      </c>
      <c r="AV41" s="2120">
        <v>0</v>
      </c>
      <c r="AW41" s="2120">
        <v>0</v>
      </c>
      <c r="AX41" s="2120">
        <v>0</v>
      </c>
      <c r="AY41" s="2120">
        <v>0</v>
      </c>
      <c r="AZ41" s="2120">
        <v>0</v>
      </c>
      <c r="BA41" s="2120">
        <v>0</v>
      </c>
      <c r="BB41" s="2120">
        <v>23000</v>
      </c>
      <c r="BC41" s="2120">
        <v>18</v>
      </c>
      <c r="BD41" s="2120">
        <v>9.25</v>
      </c>
      <c r="BE41" s="2120">
        <v>5</v>
      </c>
      <c r="BF41" s="2120">
        <v>0</v>
      </c>
      <c r="BG41" s="2120">
        <v>5</v>
      </c>
      <c r="BH41" s="2120">
        <v>0</v>
      </c>
      <c r="BI41" s="2120">
        <v>0</v>
      </c>
      <c r="BJ41" s="2120">
        <v>0</v>
      </c>
      <c r="BK41" s="2120">
        <v>0</v>
      </c>
      <c r="BL41" s="2120">
        <v>0</v>
      </c>
      <c r="BM41" s="2120">
        <v>10</v>
      </c>
      <c r="BN41" s="2121">
        <v>105</v>
      </c>
      <c r="BO41" s="2048">
        <v>18500</v>
      </c>
      <c r="BP41" s="2090">
        <v>4500</v>
      </c>
      <c r="BQ41" s="2090">
        <v>0</v>
      </c>
      <c r="BR41" s="2090">
        <v>0</v>
      </c>
      <c r="BS41" s="2090">
        <v>0</v>
      </c>
      <c r="BT41" s="2090">
        <v>0</v>
      </c>
      <c r="BU41" s="2090">
        <v>0</v>
      </c>
      <c r="BV41" s="2090">
        <v>0</v>
      </c>
      <c r="BW41" s="2090">
        <v>-5000</v>
      </c>
      <c r="BX41" s="2090">
        <v>0</v>
      </c>
      <c r="BY41" s="2090">
        <v>0</v>
      </c>
      <c r="BZ41" s="2090">
        <v>0</v>
      </c>
      <c r="CA41" s="2122">
        <v>0</v>
      </c>
      <c r="CB41" s="2048">
        <v>18000</v>
      </c>
      <c r="CC41" s="2090">
        <v>-500</v>
      </c>
      <c r="CD41" s="2090">
        <v>18</v>
      </c>
      <c r="CE41" s="2090">
        <v>9.25</v>
      </c>
      <c r="CF41" s="2090">
        <v>5</v>
      </c>
      <c r="CG41" s="2090">
        <v>0</v>
      </c>
      <c r="CH41" s="2090">
        <v>5</v>
      </c>
      <c r="CI41" s="2090">
        <v>0</v>
      </c>
      <c r="CJ41" s="2090">
        <v>0</v>
      </c>
      <c r="CK41" s="2090">
        <v>0</v>
      </c>
      <c r="CL41" s="2090">
        <v>0</v>
      </c>
      <c r="CM41" s="2090">
        <v>0</v>
      </c>
    </row>
    <row r="42" spans="1:91" ht="15.75" thickBot="1">
      <c r="A42" s="2136" t="s">
        <v>1704</v>
      </c>
      <c r="B42" s="2551">
        <f t="shared" si="0"/>
        <v>0</v>
      </c>
      <c r="C42" s="2044" t="s">
        <v>703</v>
      </c>
      <c r="D42" s="2045"/>
      <c r="E42" s="2045"/>
      <c r="F42" s="2032"/>
      <c r="G42" s="2046"/>
      <c r="H42" s="2045"/>
      <c r="I42" s="2047"/>
      <c r="J42" s="2533"/>
      <c r="K42" s="2533"/>
      <c r="L42" s="2533"/>
      <c r="M42" s="2533"/>
      <c r="N42" s="2035"/>
      <c r="O42" s="2042"/>
      <c r="P42" s="2049"/>
      <c r="Q42" s="2049"/>
      <c r="R42" s="2049"/>
      <c r="S42" s="2049"/>
      <c r="T42" s="2049"/>
      <c r="U42" s="2049"/>
      <c r="V42" s="2049"/>
      <c r="W42" s="2049"/>
      <c r="X42" s="2049"/>
      <c r="Y42" s="2049"/>
      <c r="Z42" s="2049"/>
      <c r="AA42" s="2049"/>
      <c r="AB42" s="2116"/>
      <c r="AC42" s="2533"/>
      <c r="AD42" s="2533"/>
      <c r="AE42" s="2533"/>
      <c r="AF42" s="2533"/>
      <c r="AG42" s="2533"/>
      <c r="AH42" s="2533"/>
      <c r="AI42" s="2533"/>
      <c r="AJ42" s="2533"/>
      <c r="AK42" s="2533"/>
      <c r="AL42" s="2117"/>
      <c r="AM42" s="2118"/>
      <c r="AN42" s="2119"/>
      <c r="AO42" s="2092"/>
      <c r="AP42" s="2120"/>
      <c r="AQ42" s="2120"/>
      <c r="AR42" s="2120"/>
      <c r="AS42" s="2120"/>
      <c r="AT42" s="2120"/>
      <c r="AU42" s="2120"/>
      <c r="AV42" s="2120"/>
      <c r="AW42" s="2120"/>
      <c r="AX42" s="2120"/>
      <c r="AY42" s="2120"/>
      <c r="AZ42" s="2120"/>
      <c r="BA42" s="2120"/>
      <c r="BB42" s="2120"/>
      <c r="BC42" s="2120"/>
      <c r="BD42" s="2120"/>
      <c r="BE42" s="2120"/>
      <c r="BF42" s="2120"/>
      <c r="BG42" s="2120"/>
      <c r="BH42" s="2120"/>
      <c r="BI42" s="2120"/>
      <c r="BJ42" s="2120"/>
      <c r="BK42" s="2120"/>
      <c r="BL42" s="2120"/>
      <c r="BM42" s="2120"/>
      <c r="BN42" s="2121"/>
      <c r="BO42" s="2048"/>
      <c r="BP42" s="2090"/>
      <c r="BQ42" s="2090"/>
      <c r="BR42" s="2090"/>
      <c r="BS42" s="2090"/>
      <c r="BT42" s="2090"/>
      <c r="BU42" s="2090"/>
      <c r="BV42" s="2090"/>
      <c r="BW42" s="2090"/>
      <c r="BX42" s="2090"/>
      <c r="BY42" s="2090"/>
      <c r="BZ42" s="2090"/>
      <c r="CA42" s="2122"/>
      <c r="CB42" s="2048"/>
      <c r="CC42" s="2090"/>
      <c r="CD42" s="2090"/>
      <c r="CE42" s="2090"/>
      <c r="CF42" s="2090"/>
      <c r="CG42" s="2090"/>
      <c r="CH42" s="2090"/>
      <c r="CI42" s="2090"/>
      <c r="CJ42" s="2090"/>
      <c r="CK42" s="2090"/>
      <c r="CL42" s="2090"/>
      <c r="CM42" s="2090"/>
    </row>
    <row r="43" spans="1:91">
      <c r="A43" s="3489" t="s">
        <v>1705</v>
      </c>
      <c r="B43" s="2551" t="str">
        <f t="shared" si="0"/>
        <v>3036870005</v>
      </c>
      <c r="C43" s="2022" t="s">
        <v>703</v>
      </c>
      <c r="D43" s="2023">
        <v>3687</v>
      </c>
      <c r="E43" s="2023">
        <v>5</v>
      </c>
      <c r="F43" s="2506">
        <v>2500</v>
      </c>
      <c r="G43" s="2507" t="s">
        <v>1566</v>
      </c>
      <c r="H43" s="2023" t="s">
        <v>1560</v>
      </c>
      <c r="I43" s="2024">
        <v>2</v>
      </c>
      <c r="J43" s="2505">
        <v>1875</v>
      </c>
      <c r="K43" s="2505">
        <v>0</v>
      </c>
      <c r="L43" s="2505">
        <v>625</v>
      </c>
      <c r="M43" s="2505">
        <v>2500</v>
      </c>
      <c r="N43" s="2025">
        <v>0</v>
      </c>
      <c r="O43" s="2452" t="s">
        <v>1656</v>
      </c>
      <c r="P43" s="3341">
        <v>2412</v>
      </c>
      <c r="Q43" s="3341">
        <v>3063</v>
      </c>
      <c r="R43" s="3341">
        <v>0</v>
      </c>
      <c r="S43" s="3341">
        <v>0</v>
      </c>
      <c r="T43" s="3341">
        <v>0</v>
      </c>
      <c r="U43" s="3341">
        <v>0</v>
      </c>
      <c r="V43" s="3341">
        <v>3625</v>
      </c>
      <c r="W43" s="3341">
        <v>0</v>
      </c>
      <c r="X43" s="3341">
        <v>0</v>
      </c>
      <c r="Y43" s="3341">
        <v>0</v>
      </c>
      <c r="Z43" s="3341">
        <v>0</v>
      </c>
      <c r="AA43" s="3341">
        <v>0</v>
      </c>
      <c r="AB43" s="3554">
        <v>9100</v>
      </c>
      <c r="AC43" s="3340">
        <v>2</v>
      </c>
      <c r="AD43" s="3340">
        <v>0</v>
      </c>
      <c r="AE43" s="3340">
        <v>0</v>
      </c>
      <c r="AF43" s="3340">
        <v>0</v>
      </c>
      <c r="AG43" s="3340">
        <v>0</v>
      </c>
      <c r="AH43" s="3340">
        <v>0</v>
      </c>
      <c r="AI43" s="3340">
        <v>0</v>
      </c>
      <c r="AJ43" s="3340">
        <v>0</v>
      </c>
      <c r="AK43" s="3340">
        <v>0</v>
      </c>
      <c r="AL43" s="3551">
        <v>30</v>
      </c>
      <c r="AM43" s="3543" t="str">
        <f>[5]With_Action!L979</f>
        <v>C4-4</v>
      </c>
      <c r="AN43" s="3546">
        <f>[5]With_Action!O979</f>
        <v>0</v>
      </c>
      <c r="AO43" s="3491" t="str">
        <f>[5]With_Action!BU979</f>
        <v>Retail (1) / Residential (10)</v>
      </c>
      <c r="AP43" s="3549">
        <f>[5]With_Action!BV979</f>
        <v>30950</v>
      </c>
      <c r="AQ43" s="3549">
        <f>[5]With_Action!BW979</f>
        <v>5850</v>
      </c>
      <c r="AR43" s="3549">
        <f>[5]With_Action!BY979</f>
        <v>0</v>
      </c>
      <c r="AS43" s="3549">
        <f>[5]With_Action!BZ979</f>
        <v>0</v>
      </c>
      <c r="AT43" s="3549">
        <f>[5]With_Action!CA979</f>
        <v>0</v>
      </c>
      <c r="AU43" s="3549">
        <f>[5]With_Action!CB979</f>
        <v>0</v>
      </c>
      <c r="AV43" s="3549">
        <f>[5]With_Action!CC979</f>
        <v>0</v>
      </c>
      <c r="AW43" s="3549">
        <f>[5]With_Action!CD979</f>
        <v>0</v>
      </c>
      <c r="AX43" s="3549">
        <f>[5]With_Action!CE979</f>
        <v>0</v>
      </c>
      <c r="AY43" s="3549">
        <f>[5]With_Action!CF979</f>
        <v>0</v>
      </c>
      <c r="AZ43" s="3549">
        <f>[5]With_Action!CG979</f>
        <v>0</v>
      </c>
      <c r="BA43" s="3549">
        <f>[5]With_Action!CH979</f>
        <v>0</v>
      </c>
      <c r="BB43" s="3549">
        <f>[5]With_Action!CI979</f>
        <v>36800</v>
      </c>
      <c r="BC43" s="3549">
        <f>[5]With_Action!CS979</f>
        <v>30</v>
      </c>
      <c r="BD43" s="3549">
        <f>[5]With_Action!CV979</f>
        <v>15.475</v>
      </c>
      <c r="BE43" s="3549">
        <f>[5]With_Action!CW979</f>
        <v>8</v>
      </c>
      <c r="BF43" s="3549">
        <f>[5]With_Action!CX979</f>
        <v>0</v>
      </c>
      <c r="BG43" s="3549">
        <f>[5]With_Action!CY979</f>
        <v>6</v>
      </c>
      <c r="BH43" s="3549">
        <f>[5]With_Action!CZ979</f>
        <v>0</v>
      </c>
      <c r="BI43" s="3549">
        <f>[5]With_Action!DA979</f>
        <v>0</v>
      </c>
      <c r="BJ43" s="3549">
        <f>[5]With_Action!DB979</f>
        <v>0</v>
      </c>
      <c r="BK43" s="3549">
        <f>[5]With_Action!DC979</f>
        <v>0</v>
      </c>
      <c r="BL43" s="3549">
        <f>[5]With_Action!DD979</f>
        <v>0</v>
      </c>
      <c r="BM43" s="3549">
        <f>[5]With_Action!DE979</f>
        <v>14</v>
      </c>
      <c r="BN43" s="3564">
        <f>[5]With_Action!CR979</f>
        <v>105</v>
      </c>
      <c r="BO43" s="3561">
        <f>[5]Increment!C24</f>
        <v>28538</v>
      </c>
      <c r="BP43" s="3497">
        <f>[5]Increment!D24</f>
        <v>2787</v>
      </c>
      <c r="BQ43" s="3497">
        <f>[5]Increment!E24</f>
        <v>0</v>
      </c>
      <c r="BR43" s="3497">
        <f>[5]Increment!F24</f>
        <v>0</v>
      </c>
      <c r="BS43" s="3497">
        <f>[5]Increment!G24</f>
        <v>0</v>
      </c>
      <c r="BT43" s="3497">
        <f>[5]Increment!H24</f>
        <v>0</v>
      </c>
      <c r="BU43" s="3497">
        <f>[5]Increment!I24</f>
        <v>0</v>
      </c>
      <c r="BV43" s="3497">
        <f>[5]Increment!J24</f>
        <v>-3625</v>
      </c>
      <c r="BW43" s="3497">
        <f>[5]Increment!K24</f>
        <v>0</v>
      </c>
      <c r="BX43" s="3497">
        <f>[5]Increment!L24</f>
        <v>0</v>
      </c>
      <c r="BY43" s="3497">
        <f>[5]Increment!M24</f>
        <v>0</v>
      </c>
      <c r="BZ43" s="3497">
        <f>[5]Increment!N24</f>
        <v>0</v>
      </c>
      <c r="CA43" s="3558">
        <f>[5]Increment!O24</f>
        <v>0</v>
      </c>
      <c r="CB43" s="3561">
        <f>[5]Increment!P24</f>
        <v>27700</v>
      </c>
      <c r="CC43" s="3497">
        <f>[5]Increment!Q24</f>
        <v>-838</v>
      </c>
      <c r="CD43" s="3497">
        <f>[5]Increment!S24</f>
        <v>28</v>
      </c>
      <c r="CE43" s="3497">
        <f>[5]Increment!U24</f>
        <v>15.475</v>
      </c>
      <c r="CF43" s="3497">
        <f>[5]Increment!V24</f>
        <v>8</v>
      </c>
      <c r="CG43" s="3497">
        <f>[5]Increment!W24</f>
        <v>0</v>
      </c>
      <c r="CH43" s="3497">
        <f>[5]Increment!X24</f>
        <v>6</v>
      </c>
      <c r="CI43" s="3497">
        <f>[5]Increment!Y24</f>
        <v>0</v>
      </c>
      <c r="CJ43" s="3497">
        <f>[5]Increment!Z24</f>
        <v>0</v>
      </c>
      <c r="CK43" s="3497">
        <f>[5]Increment!AA24</f>
        <v>0</v>
      </c>
      <c r="CL43" s="3497">
        <f>[5]Increment!AB24</f>
        <v>0</v>
      </c>
      <c r="CM43" s="3497">
        <f>[5]Increment!AC24</f>
        <v>0</v>
      </c>
    </row>
    <row r="44" spans="1:91">
      <c r="A44" s="3542"/>
      <c r="B44" s="2551" t="str">
        <f t="shared" si="0"/>
        <v>3036870006</v>
      </c>
      <c r="C44" s="2492" t="s">
        <v>710</v>
      </c>
      <c r="D44" s="2026">
        <v>3687</v>
      </c>
      <c r="E44" s="2026">
        <v>6</v>
      </c>
      <c r="F44" s="2027">
        <v>2750</v>
      </c>
      <c r="G44" s="2497" t="s">
        <v>1566</v>
      </c>
      <c r="H44" s="2026" t="s">
        <v>1560</v>
      </c>
      <c r="I44" s="2028">
        <v>2</v>
      </c>
      <c r="J44" s="2500">
        <v>1188</v>
      </c>
      <c r="K44" s="2500">
        <v>0</v>
      </c>
      <c r="L44" s="2500">
        <v>0</v>
      </c>
      <c r="M44" s="2500">
        <v>3600</v>
      </c>
      <c r="N44" s="2029">
        <v>1</v>
      </c>
      <c r="O44" s="2502" t="s">
        <v>1670</v>
      </c>
      <c r="P44" s="3341"/>
      <c r="Q44" s="3341"/>
      <c r="R44" s="3341"/>
      <c r="S44" s="3341"/>
      <c r="T44" s="3341"/>
      <c r="U44" s="3341"/>
      <c r="V44" s="3341"/>
      <c r="W44" s="3341"/>
      <c r="X44" s="3341"/>
      <c r="Y44" s="3341"/>
      <c r="Z44" s="3341"/>
      <c r="AA44" s="3341"/>
      <c r="AB44" s="3554"/>
      <c r="AC44" s="3340"/>
      <c r="AD44" s="3340"/>
      <c r="AE44" s="3340"/>
      <c r="AF44" s="3340"/>
      <c r="AG44" s="3340"/>
      <c r="AH44" s="3340"/>
      <c r="AI44" s="3340"/>
      <c r="AJ44" s="3340"/>
      <c r="AK44" s="3340"/>
      <c r="AL44" s="3552"/>
      <c r="AM44" s="3544"/>
      <c r="AN44" s="3547"/>
      <c r="AO44" s="3548"/>
      <c r="AP44" s="3550"/>
      <c r="AQ44" s="3550"/>
      <c r="AR44" s="3550"/>
      <c r="AS44" s="3550"/>
      <c r="AT44" s="3550"/>
      <c r="AU44" s="3550"/>
      <c r="AV44" s="3550"/>
      <c r="AW44" s="3550"/>
      <c r="AX44" s="3550"/>
      <c r="AY44" s="3550"/>
      <c r="AZ44" s="3550"/>
      <c r="BA44" s="3550"/>
      <c r="BB44" s="3550"/>
      <c r="BC44" s="3550"/>
      <c r="BD44" s="3550"/>
      <c r="BE44" s="3550"/>
      <c r="BF44" s="3550"/>
      <c r="BG44" s="3550"/>
      <c r="BH44" s="3550"/>
      <c r="BI44" s="3550"/>
      <c r="BJ44" s="3550"/>
      <c r="BK44" s="3550"/>
      <c r="BL44" s="3550"/>
      <c r="BM44" s="3550"/>
      <c r="BN44" s="3565"/>
      <c r="BO44" s="3562"/>
      <c r="BP44" s="3557"/>
      <c r="BQ44" s="3557"/>
      <c r="BR44" s="3557"/>
      <c r="BS44" s="3557"/>
      <c r="BT44" s="3557"/>
      <c r="BU44" s="3557"/>
      <c r="BV44" s="3557"/>
      <c r="BW44" s="3557"/>
      <c r="BX44" s="3557"/>
      <c r="BY44" s="3557"/>
      <c r="BZ44" s="3557"/>
      <c r="CA44" s="3559"/>
      <c r="CB44" s="3562"/>
      <c r="CC44" s="3557"/>
      <c r="CD44" s="3557"/>
      <c r="CE44" s="3557"/>
      <c r="CF44" s="3557"/>
      <c r="CG44" s="3557"/>
      <c r="CH44" s="3557"/>
      <c r="CI44" s="3557"/>
      <c r="CJ44" s="3557"/>
      <c r="CK44" s="3557"/>
      <c r="CL44" s="3557"/>
      <c r="CM44" s="3557"/>
    </row>
    <row r="45" spans="1:91" ht="15.75" thickBot="1">
      <c r="A45" s="3542"/>
      <c r="B45" s="2551" t="str">
        <f t="shared" si="0"/>
        <v>3036870007</v>
      </c>
      <c r="C45" s="2492" t="s">
        <v>721</v>
      </c>
      <c r="D45" s="2026">
        <v>3687</v>
      </c>
      <c r="E45" s="2026">
        <v>7</v>
      </c>
      <c r="F45" s="2027">
        <v>2750</v>
      </c>
      <c r="G45" s="2497" t="s">
        <v>1566</v>
      </c>
      <c r="H45" s="2026" t="s">
        <v>1560</v>
      </c>
      <c r="I45" s="2028">
        <v>2</v>
      </c>
      <c r="J45" s="2500">
        <v>0</v>
      </c>
      <c r="K45" s="2500">
        <v>0</v>
      </c>
      <c r="L45" s="2500">
        <v>3000</v>
      </c>
      <c r="M45" s="2500">
        <v>3000</v>
      </c>
      <c r="N45" s="2029">
        <v>0</v>
      </c>
      <c r="O45" s="2452" t="s">
        <v>1656</v>
      </c>
      <c r="P45" s="3341"/>
      <c r="Q45" s="3341"/>
      <c r="R45" s="3341"/>
      <c r="S45" s="3341"/>
      <c r="T45" s="3341"/>
      <c r="U45" s="3341"/>
      <c r="V45" s="3341"/>
      <c r="W45" s="3341"/>
      <c r="X45" s="3341"/>
      <c r="Y45" s="3341"/>
      <c r="Z45" s="3341"/>
      <c r="AA45" s="3341"/>
      <c r="AB45" s="3554"/>
      <c r="AC45" s="3340"/>
      <c r="AD45" s="3340"/>
      <c r="AE45" s="3340"/>
      <c r="AF45" s="3340"/>
      <c r="AG45" s="3340"/>
      <c r="AH45" s="3340"/>
      <c r="AI45" s="3340"/>
      <c r="AJ45" s="3340"/>
      <c r="AK45" s="3340"/>
      <c r="AL45" s="3553"/>
      <c r="AM45" s="3545"/>
      <c r="AN45" s="3500"/>
      <c r="AO45" s="3721"/>
      <c r="AP45" s="3722"/>
      <c r="AQ45" s="3722"/>
      <c r="AR45" s="3722"/>
      <c r="AS45" s="3722"/>
      <c r="AT45" s="3722"/>
      <c r="AU45" s="3722"/>
      <c r="AV45" s="3722"/>
      <c r="AW45" s="3722"/>
      <c r="AX45" s="3722"/>
      <c r="AY45" s="3722"/>
      <c r="AZ45" s="3722"/>
      <c r="BA45" s="3722"/>
      <c r="BB45" s="3722"/>
      <c r="BC45" s="3722"/>
      <c r="BD45" s="3722"/>
      <c r="BE45" s="3722"/>
      <c r="BF45" s="3722"/>
      <c r="BG45" s="3722"/>
      <c r="BH45" s="3722"/>
      <c r="BI45" s="3722"/>
      <c r="BJ45" s="3722"/>
      <c r="BK45" s="3722"/>
      <c r="BL45" s="3722"/>
      <c r="BM45" s="3722"/>
      <c r="BN45" s="3566"/>
      <c r="BO45" s="3563"/>
      <c r="BP45" s="3498"/>
      <c r="BQ45" s="3498"/>
      <c r="BR45" s="3498"/>
      <c r="BS45" s="3498"/>
      <c r="BT45" s="3498"/>
      <c r="BU45" s="3498"/>
      <c r="BV45" s="3498"/>
      <c r="BW45" s="3498"/>
      <c r="BX45" s="3498"/>
      <c r="BY45" s="3498"/>
      <c r="BZ45" s="3498"/>
      <c r="CA45" s="3560"/>
      <c r="CB45" s="3563"/>
      <c r="CC45" s="3498"/>
      <c r="CD45" s="3498"/>
      <c r="CE45" s="3498"/>
      <c r="CF45" s="3498"/>
      <c r="CG45" s="3498"/>
      <c r="CH45" s="3498"/>
      <c r="CI45" s="3498"/>
      <c r="CJ45" s="3498"/>
      <c r="CK45" s="3498"/>
      <c r="CL45" s="3498"/>
      <c r="CM45" s="3498"/>
    </row>
    <row r="46" spans="1:91" ht="15.75" thickBot="1">
      <c r="A46" s="2476" t="s">
        <v>1706</v>
      </c>
      <c r="B46" s="2551" t="str">
        <f t="shared" si="0"/>
        <v>3039730046</v>
      </c>
      <c r="C46" s="2010" t="s">
        <v>703</v>
      </c>
      <c r="D46" s="2011">
        <v>3973</v>
      </c>
      <c r="E46" s="2011">
        <v>46</v>
      </c>
      <c r="F46" s="2494">
        <v>10000</v>
      </c>
      <c r="G46" s="2496" t="s">
        <v>1079</v>
      </c>
      <c r="H46" s="2011" t="s">
        <v>1560</v>
      </c>
      <c r="I46" s="2012">
        <v>1.25</v>
      </c>
      <c r="J46" s="2491">
        <v>0</v>
      </c>
      <c r="K46" s="2491">
        <v>10000</v>
      </c>
      <c r="L46" s="2491">
        <v>0</v>
      </c>
      <c r="M46" s="2491">
        <v>10000</v>
      </c>
      <c r="N46" s="2489">
        <v>0</v>
      </c>
      <c r="O46" s="2437" t="s">
        <v>1684</v>
      </c>
      <c r="P46" s="2450">
        <v>0</v>
      </c>
      <c r="Q46" s="2450">
        <v>0</v>
      </c>
      <c r="R46" s="2450">
        <v>0</v>
      </c>
      <c r="S46" s="2450">
        <v>0</v>
      </c>
      <c r="T46" s="2450">
        <v>0</v>
      </c>
      <c r="U46" s="2450">
        <v>0</v>
      </c>
      <c r="V46" s="2450">
        <v>0</v>
      </c>
      <c r="W46" s="2450">
        <v>10000</v>
      </c>
      <c r="X46" s="2450">
        <v>0</v>
      </c>
      <c r="Y46" s="2450">
        <v>0</v>
      </c>
      <c r="Z46" s="2450">
        <v>0</v>
      </c>
      <c r="AA46" s="2450">
        <v>0</v>
      </c>
      <c r="AB46" s="2519">
        <v>10000</v>
      </c>
      <c r="AC46" s="2448">
        <v>0</v>
      </c>
      <c r="AD46" s="2448">
        <v>0</v>
      </c>
      <c r="AE46" s="2448">
        <v>0</v>
      </c>
      <c r="AF46" s="2448">
        <v>0</v>
      </c>
      <c r="AG46" s="2448">
        <v>0</v>
      </c>
      <c r="AH46" s="2448">
        <v>0</v>
      </c>
      <c r="AI46" s="2448">
        <v>0</v>
      </c>
      <c r="AJ46" s="2448">
        <v>0</v>
      </c>
      <c r="AK46" s="2448">
        <v>0</v>
      </c>
      <c r="AL46" s="2528">
        <v>10</v>
      </c>
      <c r="AM46" s="2118" t="s">
        <v>1612</v>
      </c>
      <c r="AN46" s="2119" t="s">
        <v>1560</v>
      </c>
      <c r="AO46" s="2092" t="s">
        <v>1613</v>
      </c>
      <c r="AP46" s="2120">
        <v>22000</v>
      </c>
      <c r="AQ46" s="2120">
        <v>0</v>
      </c>
      <c r="AR46" s="2120">
        <v>0</v>
      </c>
      <c r="AS46" s="2120">
        <v>0</v>
      </c>
      <c r="AT46" s="2120">
        <v>0</v>
      </c>
      <c r="AU46" s="2120">
        <v>0</v>
      </c>
      <c r="AV46" s="2120">
        <v>0</v>
      </c>
      <c r="AW46" s="2120">
        <v>0</v>
      </c>
      <c r="AX46" s="2120">
        <v>0</v>
      </c>
      <c r="AY46" s="2120">
        <v>0</v>
      </c>
      <c r="AZ46" s="2120">
        <v>0</v>
      </c>
      <c r="BA46" s="2120">
        <v>0</v>
      </c>
      <c r="BB46" s="2120">
        <v>22000</v>
      </c>
      <c r="BC46" s="2120">
        <v>22</v>
      </c>
      <c r="BD46" s="2120">
        <v>11</v>
      </c>
      <c r="BE46" s="2120">
        <v>6</v>
      </c>
      <c r="BF46" s="2120">
        <v>0</v>
      </c>
      <c r="BG46" s="2120">
        <v>0</v>
      </c>
      <c r="BH46" s="2120">
        <v>0</v>
      </c>
      <c r="BI46" s="2120">
        <v>0</v>
      </c>
      <c r="BJ46" s="2120">
        <v>0</v>
      </c>
      <c r="BK46" s="2120">
        <v>0</v>
      </c>
      <c r="BL46" s="2120">
        <v>0</v>
      </c>
      <c r="BM46" s="2120">
        <v>6</v>
      </c>
      <c r="BN46" s="2121">
        <v>55</v>
      </c>
      <c r="BO46" s="2048">
        <v>22000</v>
      </c>
      <c r="BP46" s="2090">
        <v>0</v>
      </c>
      <c r="BQ46" s="2090">
        <v>0</v>
      </c>
      <c r="BR46" s="2090">
        <v>0</v>
      </c>
      <c r="BS46" s="2090">
        <v>0</v>
      </c>
      <c r="BT46" s="2090">
        <v>0</v>
      </c>
      <c r="BU46" s="2090">
        <v>0</v>
      </c>
      <c r="BV46" s="2090">
        <v>0</v>
      </c>
      <c r="BW46" s="2090">
        <v>-10000</v>
      </c>
      <c r="BX46" s="2090">
        <v>0</v>
      </c>
      <c r="BY46" s="2090">
        <v>0</v>
      </c>
      <c r="BZ46" s="2090">
        <v>0</v>
      </c>
      <c r="CA46" s="2122">
        <v>0</v>
      </c>
      <c r="CB46" s="2048">
        <v>12000</v>
      </c>
      <c r="CC46" s="2090">
        <v>-10000</v>
      </c>
      <c r="CD46" s="2090">
        <v>22</v>
      </c>
      <c r="CE46" s="2090">
        <v>11</v>
      </c>
      <c r="CF46" s="2090">
        <v>6</v>
      </c>
      <c r="CG46" s="2090">
        <v>0</v>
      </c>
      <c r="CH46" s="2090">
        <v>0</v>
      </c>
      <c r="CI46" s="2090">
        <v>0</v>
      </c>
      <c r="CJ46" s="2090">
        <v>0</v>
      </c>
      <c r="CK46" s="2090">
        <v>0</v>
      </c>
      <c r="CL46" s="2090">
        <v>0</v>
      </c>
      <c r="CM46" s="2090">
        <v>0</v>
      </c>
    </row>
    <row r="47" spans="1:91" ht="15.75" thickBot="1">
      <c r="A47" s="2135" t="s">
        <v>1707</v>
      </c>
      <c r="B47" s="2551" t="str">
        <f t="shared" si="0"/>
        <v>3036880009</v>
      </c>
      <c r="C47" s="2044" t="s">
        <v>703</v>
      </c>
      <c r="D47" s="2045">
        <v>3688</v>
      </c>
      <c r="E47" s="2045">
        <v>9</v>
      </c>
      <c r="F47" s="2032">
        <v>5000</v>
      </c>
      <c r="G47" s="2046" t="s">
        <v>1566</v>
      </c>
      <c r="H47" s="2045" t="s">
        <v>1560</v>
      </c>
      <c r="I47" s="2047">
        <v>2</v>
      </c>
      <c r="J47" s="2533">
        <v>0</v>
      </c>
      <c r="K47" s="2533">
        <v>0</v>
      </c>
      <c r="L47" s="2533">
        <v>0</v>
      </c>
      <c r="M47" s="2533">
        <v>2000</v>
      </c>
      <c r="N47" s="2035">
        <v>2</v>
      </c>
      <c r="O47" s="2042" t="s">
        <v>1578</v>
      </c>
      <c r="P47" s="2049">
        <v>2000</v>
      </c>
      <c r="Q47" s="2049">
        <v>0</v>
      </c>
      <c r="R47" s="2049">
        <v>0</v>
      </c>
      <c r="S47" s="2049">
        <v>0</v>
      </c>
      <c r="T47" s="2049">
        <v>0</v>
      </c>
      <c r="U47" s="2049">
        <v>0</v>
      </c>
      <c r="V47" s="2049">
        <v>0</v>
      </c>
      <c r="W47" s="2049">
        <v>0</v>
      </c>
      <c r="X47" s="2049">
        <v>0</v>
      </c>
      <c r="Y47" s="2049">
        <v>0</v>
      </c>
      <c r="Z47" s="2049">
        <v>0</v>
      </c>
      <c r="AA47" s="2049">
        <v>0</v>
      </c>
      <c r="AB47" s="2116">
        <v>2000</v>
      </c>
      <c r="AC47" s="2533">
        <v>2</v>
      </c>
      <c r="AD47" s="2533">
        <v>0</v>
      </c>
      <c r="AE47" s="2533">
        <v>0</v>
      </c>
      <c r="AF47" s="2533">
        <v>0</v>
      </c>
      <c r="AG47" s="2533">
        <v>0</v>
      </c>
      <c r="AH47" s="2533">
        <v>0</v>
      </c>
      <c r="AI47" s="2533">
        <v>0</v>
      </c>
      <c r="AJ47" s="2533">
        <v>0</v>
      </c>
      <c r="AK47" s="2533">
        <v>0</v>
      </c>
      <c r="AL47" s="2117">
        <v>20</v>
      </c>
      <c r="AM47" s="2118" t="s">
        <v>1612</v>
      </c>
      <c r="AN47" s="2119" t="s">
        <v>1560</v>
      </c>
      <c r="AO47" s="2092" t="s">
        <v>1613</v>
      </c>
      <c r="AP47" s="2120">
        <v>11000</v>
      </c>
      <c r="AQ47" s="2120">
        <v>0</v>
      </c>
      <c r="AR47" s="2120">
        <v>0</v>
      </c>
      <c r="AS47" s="2120">
        <v>0</v>
      </c>
      <c r="AT47" s="2120">
        <v>0</v>
      </c>
      <c r="AU47" s="2120">
        <v>0</v>
      </c>
      <c r="AV47" s="2120">
        <v>0</v>
      </c>
      <c r="AW47" s="2120">
        <v>0</v>
      </c>
      <c r="AX47" s="2120">
        <v>0</v>
      </c>
      <c r="AY47" s="2120">
        <v>0</v>
      </c>
      <c r="AZ47" s="2120">
        <v>0</v>
      </c>
      <c r="BA47" s="2120">
        <v>0</v>
      </c>
      <c r="BB47" s="2120">
        <v>11000</v>
      </c>
      <c r="BC47" s="2120">
        <v>11</v>
      </c>
      <c r="BD47" s="2120">
        <v>5.5</v>
      </c>
      <c r="BE47" s="2120">
        <v>3</v>
      </c>
      <c r="BF47" s="2120">
        <v>0</v>
      </c>
      <c r="BG47" s="2120">
        <v>0</v>
      </c>
      <c r="BH47" s="2120">
        <v>0</v>
      </c>
      <c r="BI47" s="2120">
        <v>0</v>
      </c>
      <c r="BJ47" s="2120">
        <v>0</v>
      </c>
      <c r="BK47" s="2120">
        <v>0</v>
      </c>
      <c r="BL47" s="2120">
        <v>0</v>
      </c>
      <c r="BM47" s="2120">
        <v>3</v>
      </c>
      <c r="BN47" s="2121">
        <v>55</v>
      </c>
      <c r="BO47" s="2048">
        <v>9000</v>
      </c>
      <c r="BP47" s="2090">
        <v>0</v>
      </c>
      <c r="BQ47" s="2090">
        <v>0</v>
      </c>
      <c r="BR47" s="2090">
        <v>0</v>
      </c>
      <c r="BS47" s="2090">
        <v>0</v>
      </c>
      <c r="BT47" s="2090">
        <v>0</v>
      </c>
      <c r="BU47" s="2090">
        <v>0</v>
      </c>
      <c r="BV47" s="2090">
        <v>0</v>
      </c>
      <c r="BW47" s="2090">
        <v>0</v>
      </c>
      <c r="BX47" s="2090">
        <v>0</v>
      </c>
      <c r="BY47" s="2090">
        <v>0</v>
      </c>
      <c r="BZ47" s="2090">
        <v>0</v>
      </c>
      <c r="CA47" s="2122">
        <v>0</v>
      </c>
      <c r="CB47" s="2048">
        <v>9000</v>
      </c>
      <c r="CC47" s="2090">
        <v>0</v>
      </c>
      <c r="CD47" s="2090">
        <v>9</v>
      </c>
      <c r="CE47" s="2090">
        <v>5.5</v>
      </c>
      <c r="CF47" s="2090">
        <v>3</v>
      </c>
      <c r="CG47" s="2090">
        <v>0</v>
      </c>
      <c r="CH47" s="2090">
        <v>0</v>
      </c>
      <c r="CI47" s="2090">
        <v>0</v>
      </c>
      <c r="CJ47" s="2090">
        <v>0</v>
      </c>
      <c r="CK47" s="2090">
        <v>0</v>
      </c>
      <c r="CL47" s="2090">
        <v>0</v>
      </c>
      <c r="CM47" s="2090">
        <v>0</v>
      </c>
    </row>
    <row r="48" spans="1:91">
      <c r="A48" s="3555" t="s">
        <v>1708</v>
      </c>
      <c r="B48" s="2551" t="str">
        <f t="shared" si="0"/>
        <v>3036890025</v>
      </c>
      <c r="C48" s="2022" t="s">
        <v>703</v>
      </c>
      <c r="D48" s="2023">
        <v>3689</v>
      </c>
      <c r="E48" s="2023">
        <v>25</v>
      </c>
      <c r="F48" s="2506">
        <v>2500</v>
      </c>
      <c r="G48" s="2507" t="s">
        <v>1566</v>
      </c>
      <c r="H48" s="2023" t="s">
        <v>1560</v>
      </c>
      <c r="I48" s="2024">
        <v>2</v>
      </c>
      <c r="J48" s="2505">
        <v>0</v>
      </c>
      <c r="K48" s="2505">
        <v>0</v>
      </c>
      <c r="L48" s="2505">
        <v>0</v>
      </c>
      <c r="M48" s="2505">
        <v>1305</v>
      </c>
      <c r="N48" s="2025">
        <v>2</v>
      </c>
      <c r="O48" s="2452" t="s">
        <v>1580</v>
      </c>
      <c r="P48" s="3272">
        <v>1305</v>
      </c>
      <c r="Q48" s="3272">
        <v>0</v>
      </c>
      <c r="R48" s="3272">
        <v>0</v>
      </c>
      <c r="S48" s="3272">
        <v>0</v>
      </c>
      <c r="T48" s="3272">
        <v>5000</v>
      </c>
      <c r="U48" s="3272">
        <v>0</v>
      </c>
      <c r="V48" s="3272">
        <v>0</v>
      </c>
      <c r="W48" s="3272">
        <v>0</v>
      </c>
      <c r="X48" s="3272">
        <v>0</v>
      </c>
      <c r="Y48" s="3272">
        <v>0</v>
      </c>
      <c r="Z48" s="3272">
        <v>0</v>
      </c>
      <c r="AA48" s="3272">
        <v>0</v>
      </c>
      <c r="AB48" s="3507">
        <v>6305</v>
      </c>
      <c r="AC48" s="3265">
        <v>1</v>
      </c>
      <c r="AD48" s="3265">
        <v>0</v>
      </c>
      <c r="AE48" s="3265">
        <v>0</v>
      </c>
      <c r="AF48" s="3265">
        <v>0</v>
      </c>
      <c r="AG48" s="3265">
        <v>0</v>
      </c>
      <c r="AH48" s="3265">
        <v>0</v>
      </c>
      <c r="AI48" s="3265">
        <v>0</v>
      </c>
      <c r="AJ48" s="3265">
        <v>0</v>
      </c>
      <c r="AK48" s="3265">
        <v>0</v>
      </c>
      <c r="AL48" s="3513">
        <v>20</v>
      </c>
      <c r="AM48" s="3515" t="s">
        <v>1585</v>
      </c>
      <c r="AN48" s="3512" t="s">
        <v>1560</v>
      </c>
      <c r="AO48" s="3407" t="s">
        <v>1616</v>
      </c>
      <c r="AP48" s="3511">
        <v>27000</v>
      </c>
      <c r="AQ48" s="3511">
        <v>0</v>
      </c>
      <c r="AR48" s="3511">
        <v>0</v>
      </c>
      <c r="AS48" s="3511">
        <v>0</v>
      </c>
      <c r="AT48" s="3511">
        <v>0</v>
      </c>
      <c r="AU48" s="3511">
        <v>0</v>
      </c>
      <c r="AV48" s="3511">
        <v>0</v>
      </c>
      <c r="AW48" s="3511">
        <v>0</v>
      </c>
      <c r="AX48" s="3511">
        <v>0</v>
      </c>
      <c r="AY48" s="3511">
        <v>0</v>
      </c>
      <c r="AZ48" s="3511">
        <v>0</v>
      </c>
      <c r="BA48" s="3511">
        <v>0</v>
      </c>
      <c r="BB48" s="3511">
        <v>27000</v>
      </c>
      <c r="BC48" s="3511">
        <v>27</v>
      </c>
      <c r="BD48" s="3511">
        <v>13.5</v>
      </c>
      <c r="BE48" s="3511">
        <v>7</v>
      </c>
      <c r="BF48" s="3511">
        <v>0</v>
      </c>
      <c r="BG48" s="3511">
        <v>0</v>
      </c>
      <c r="BH48" s="3511">
        <v>0</v>
      </c>
      <c r="BI48" s="3511">
        <v>0</v>
      </c>
      <c r="BJ48" s="3511">
        <v>0</v>
      </c>
      <c r="BK48" s="3511">
        <v>0</v>
      </c>
      <c r="BL48" s="3511">
        <v>0</v>
      </c>
      <c r="BM48" s="3511">
        <v>7</v>
      </c>
      <c r="BN48" s="3517">
        <v>85</v>
      </c>
      <c r="BO48" s="3519">
        <v>25695</v>
      </c>
      <c r="BP48" s="3464">
        <v>0</v>
      </c>
      <c r="BQ48" s="3464">
        <v>0</v>
      </c>
      <c r="BR48" s="3464">
        <v>0</v>
      </c>
      <c r="BS48" s="3464">
        <v>0</v>
      </c>
      <c r="BT48" s="3464">
        <v>-5000</v>
      </c>
      <c r="BU48" s="3464">
        <v>0</v>
      </c>
      <c r="BV48" s="3464">
        <v>0</v>
      </c>
      <c r="BW48" s="3464">
        <v>0</v>
      </c>
      <c r="BX48" s="3464">
        <v>0</v>
      </c>
      <c r="BY48" s="3464">
        <v>0</v>
      </c>
      <c r="BZ48" s="3464">
        <v>0</v>
      </c>
      <c r="CA48" s="3524">
        <v>0</v>
      </c>
      <c r="CB48" s="3519">
        <v>20695</v>
      </c>
      <c r="CC48" s="3464">
        <v>-5000</v>
      </c>
      <c r="CD48" s="3464">
        <v>26</v>
      </c>
      <c r="CE48" s="3464">
        <v>13.5</v>
      </c>
      <c r="CF48" s="3464">
        <v>7</v>
      </c>
      <c r="CG48" s="3464">
        <v>0</v>
      </c>
      <c r="CH48" s="3464">
        <v>0</v>
      </c>
      <c r="CI48" s="3464">
        <v>0</v>
      </c>
      <c r="CJ48" s="3464">
        <v>0</v>
      </c>
      <c r="CK48" s="3464">
        <v>0</v>
      </c>
      <c r="CL48" s="3464">
        <v>0</v>
      </c>
      <c r="CM48" s="3464">
        <v>0</v>
      </c>
    </row>
    <row r="49" spans="1:91" ht="15.75" thickBot="1">
      <c r="A49" s="3556"/>
      <c r="B49" s="2551" t="str">
        <f t="shared" si="0"/>
        <v>3036890026</v>
      </c>
      <c r="C49" s="2493" t="s">
        <v>710</v>
      </c>
      <c r="D49" s="2018">
        <v>3689</v>
      </c>
      <c r="E49" s="2018">
        <v>26</v>
      </c>
      <c r="F49" s="2019">
        <v>5000</v>
      </c>
      <c r="G49" s="2498" t="s">
        <v>1566</v>
      </c>
      <c r="H49" s="2018" t="s">
        <v>1560</v>
      </c>
      <c r="I49" s="2020">
        <v>2</v>
      </c>
      <c r="J49" s="2501">
        <v>0</v>
      </c>
      <c r="K49" s="2501">
        <v>5000</v>
      </c>
      <c r="L49" s="2501">
        <v>0</v>
      </c>
      <c r="M49" s="2501">
        <v>5000</v>
      </c>
      <c r="N49" s="2508">
        <v>0</v>
      </c>
      <c r="O49" s="2503" t="s">
        <v>1572</v>
      </c>
      <c r="P49" s="3359"/>
      <c r="Q49" s="3359"/>
      <c r="R49" s="3359"/>
      <c r="S49" s="3359"/>
      <c r="T49" s="3359"/>
      <c r="U49" s="3359"/>
      <c r="V49" s="3359"/>
      <c r="W49" s="3359"/>
      <c r="X49" s="3359"/>
      <c r="Y49" s="3359"/>
      <c r="Z49" s="3359"/>
      <c r="AA49" s="3359"/>
      <c r="AB49" s="3536"/>
      <c r="AC49" s="3361"/>
      <c r="AD49" s="3361"/>
      <c r="AE49" s="3361"/>
      <c r="AF49" s="3361"/>
      <c r="AG49" s="3361"/>
      <c r="AH49" s="3361"/>
      <c r="AI49" s="3361"/>
      <c r="AJ49" s="3361"/>
      <c r="AK49" s="3361"/>
      <c r="AL49" s="3514"/>
      <c r="AM49" s="3516"/>
      <c r="AN49" s="3470"/>
      <c r="AO49" s="3718"/>
      <c r="AP49" s="3719"/>
      <c r="AQ49" s="3719"/>
      <c r="AR49" s="3719"/>
      <c r="AS49" s="3719"/>
      <c r="AT49" s="3719"/>
      <c r="AU49" s="3719"/>
      <c r="AV49" s="3719"/>
      <c r="AW49" s="3719"/>
      <c r="AX49" s="3719"/>
      <c r="AY49" s="3719"/>
      <c r="AZ49" s="3719"/>
      <c r="BA49" s="3719"/>
      <c r="BB49" s="3719"/>
      <c r="BC49" s="3719"/>
      <c r="BD49" s="3719"/>
      <c r="BE49" s="3719"/>
      <c r="BF49" s="3719"/>
      <c r="BG49" s="3719"/>
      <c r="BH49" s="3719"/>
      <c r="BI49" s="3719"/>
      <c r="BJ49" s="3719"/>
      <c r="BK49" s="3719"/>
      <c r="BL49" s="3719"/>
      <c r="BM49" s="3719"/>
      <c r="BN49" s="3518"/>
      <c r="BO49" s="3520"/>
      <c r="BP49" s="3466"/>
      <c r="BQ49" s="3466"/>
      <c r="BR49" s="3466"/>
      <c r="BS49" s="3466"/>
      <c r="BT49" s="3466"/>
      <c r="BU49" s="3466"/>
      <c r="BV49" s="3466"/>
      <c r="BW49" s="3466"/>
      <c r="BX49" s="3466"/>
      <c r="BY49" s="3466"/>
      <c r="BZ49" s="3466"/>
      <c r="CA49" s="3477"/>
      <c r="CB49" s="3520"/>
      <c r="CC49" s="3466"/>
      <c r="CD49" s="3466"/>
      <c r="CE49" s="3466"/>
      <c r="CF49" s="3466"/>
      <c r="CG49" s="3466"/>
      <c r="CH49" s="3466"/>
      <c r="CI49" s="3466"/>
      <c r="CJ49" s="3466"/>
      <c r="CK49" s="3466"/>
      <c r="CL49" s="3466"/>
      <c r="CM49" s="3466"/>
    </row>
    <row r="50" spans="1:91">
      <c r="A50" s="3567" t="s">
        <v>1709</v>
      </c>
      <c r="B50" s="2551" t="str">
        <f t="shared" si="0"/>
        <v>3036890012</v>
      </c>
      <c r="C50" s="2010" t="s">
        <v>703</v>
      </c>
      <c r="D50" s="2011">
        <v>3689</v>
      </c>
      <c r="E50" s="2011">
        <v>12</v>
      </c>
      <c r="F50" s="2494">
        <v>10460</v>
      </c>
      <c r="G50" s="2496" t="s">
        <v>1566</v>
      </c>
      <c r="H50" s="2011" t="s">
        <v>1560</v>
      </c>
      <c r="I50" s="2012">
        <v>2</v>
      </c>
      <c r="J50" s="2491">
        <v>10460</v>
      </c>
      <c r="K50" s="2491">
        <v>0</v>
      </c>
      <c r="L50" s="2491">
        <v>0</v>
      </c>
      <c r="M50" s="2491">
        <v>10460</v>
      </c>
      <c r="N50" s="2489">
        <v>0</v>
      </c>
      <c r="O50" s="2437" t="s">
        <v>1601</v>
      </c>
      <c r="P50" s="3272">
        <v>0</v>
      </c>
      <c r="Q50" s="3272">
        <v>10460</v>
      </c>
      <c r="R50" s="3272">
        <v>0</v>
      </c>
      <c r="S50" s="3272">
        <v>0</v>
      </c>
      <c r="T50" s="3272">
        <v>0</v>
      </c>
      <c r="U50" s="3272">
        <v>0</v>
      </c>
      <c r="V50" s="3272">
        <v>0</v>
      </c>
      <c r="W50" s="3272">
        <v>0</v>
      </c>
      <c r="X50" s="3272">
        <v>0</v>
      </c>
      <c r="Y50" s="3272">
        <v>0</v>
      </c>
      <c r="Z50" s="3272">
        <v>0</v>
      </c>
      <c r="AA50" s="3272">
        <v>0</v>
      </c>
      <c r="AB50" s="3507">
        <v>10460</v>
      </c>
      <c r="AC50" s="3265">
        <v>0</v>
      </c>
      <c r="AD50" s="3265">
        <v>0</v>
      </c>
      <c r="AE50" s="3265">
        <v>26</v>
      </c>
      <c r="AF50" s="3265">
        <v>0</v>
      </c>
      <c r="AG50" s="3265">
        <v>0</v>
      </c>
      <c r="AH50" s="3265">
        <v>0</v>
      </c>
      <c r="AI50" s="3265">
        <v>0</v>
      </c>
      <c r="AJ50" s="3265">
        <v>0</v>
      </c>
      <c r="AK50" s="3265">
        <v>26</v>
      </c>
      <c r="AL50" s="3513">
        <v>10</v>
      </c>
      <c r="AM50" s="3515" t="s">
        <v>1331</v>
      </c>
      <c r="AN50" s="3512" t="s">
        <v>1560</v>
      </c>
      <c r="AO50" s="3407" t="s">
        <v>1696</v>
      </c>
      <c r="AP50" s="3511">
        <v>133938</v>
      </c>
      <c r="AQ50" s="3511">
        <v>8487</v>
      </c>
      <c r="AR50" s="3511">
        <v>0</v>
      </c>
      <c r="AS50" s="3511">
        <v>8487</v>
      </c>
      <c r="AT50" s="3511">
        <v>0</v>
      </c>
      <c r="AU50" s="3511">
        <v>0</v>
      </c>
      <c r="AV50" s="3511">
        <v>0</v>
      </c>
      <c r="AW50" s="3511">
        <v>0</v>
      </c>
      <c r="AX50" s="3511">
        <v>0</v>
      </c>
      <c r="AY50" s="3511">
        <v>0</v>
      </c>
      <c r="AZ50" s="3511">
        <v>0</v>
      </c>
      <c r="BA50" s="3511">
        <v>0</v>
      </c>
      <c r="BB50" s="3511">
        <v>150912</v>
      </c>
      <c r="BC50" s="3511">
        <v>133</v>
      </c>
      <c r="BD50" s="3511">
        <v>66.968999999999994</v>
      </c>
      <c r="BE50" s="3511">
        <v>27</v>
      </c>
      <c r="BF50" s="3511">
        <v>0</v>
      </c>
      <c r="BG50" s="3511">
        <v>17</v>
      </c>
      <c r="BH50" s="3511">
        <v>0</v>
      </c>
      <c r="BI50" s="3511">
        <v>0</v>
      </c>
      <c r="BJ50" s="3511">
        <v>0</v>
      </c>
      <c r="BK50" s="3511">
        <v>0</v>
      </c>
      <c r="BL50" s="3511">
        <v>0</v>
      </c>
      <c r="BM50" s="3511">
        <v>44</v>
      </c>
      <c r="BN50" s="3517">
        <v>145</v>
      </c>
      <c r="BO50" s="3519">
        <v>133938</v>
      </c>
      <c r="BP50" s="3464">
        <v>-1973</v>
      </c>
      <c r="BQ50" s="3464">
        <v>0</v>
      </c>
      <c r="BR50" s="3464">
        <v>0</v>
      </c>
      <c r="BS50" s="3464">
        <v>8487</v>
      </c>
      <c r="BT50" s="3464">
        <v>0</v>
      </c>
      <c r="BU50" s="3464">
        <v>0</v>
      </c>
      <c r="BV50" s="3464">
        <v>0</v>
      </c>
      <c r="BW50" s="3464">
        <v>0</v>
      </c>
      <c r="BX50" s="3464">
        <v>0</v>
      </c>
      <c r="BY50" s="3464">
        <v>0</v>
      </c>
      <c r="BZ50" s="3464">
        <v>0</v>
      </c>
      <c r="CA50" s="3524">
        <v>0</v>
      </c>
      <c r="CB50" s="3519">
        <v>140452</v>
      </c>
      <c r="CC50" s="3464">
        <v>6514</v>
      </c>
      <c r="CD50" s="3464">
        <v>133</v>
      </c>
      <c r="CE50" s="3464">
        <v>66.968999999999994</v>
      </c>
      <c r="CF50" s="3464">
        <v>27</v>
      </c>
      <c r="CG50" s="3464">
        <v>0</v>
      </c>
      <c r="CH50" s="3464">
        <v>-9</v>
      </c>
      <c r="CI50" s="3464">
        <v>0</v>
      </c>
      <c r="CJ50" s="3464">
        <v>0</v>
      </c>
      <c r="CK50" s="3464">
        <v>0</v>
      </c>
      <c r="CL50" s="3464">
        <v>0</v>
      </c>
      <c r="CM50" s="3464">
        <v>0</v>
      </c>
    </row>
    <row r="51" spans="1:91">
      <c r="A51" s="3568"/>
      <c r="B51" s="2551" t="str">
        <f t="shared" si="0"/>
        <v>3036890019</v>
      </c>
      <c r="C51" s="2492" t="s">
        <v>710</v>
      </c>
      <c r="D51" s="2026">
        <v>3689</v>
      </c>
      <c r="E51" s="2026">
        <v>19</v>
      </c>
      <c r="F51" s="2027">
        <v>1600</v>
      </c>
      <c r="G51" s="2497" t="s">
        <v>1566</v>
      </c>
      <c r="H51" s="2026" t="s">
        <v>1560</v>
      </c>
      <c r="I51" s="2028">
        <v>2</v>
      </c>
      <c r="J51" s="2500">
        <v>0</v>
      </c>
      <c r="K51" s="2500">
        <v>0</v>
      </c>
      <c r="L51" s="2500">
        <v>0</v>
      </c>
      <c r="M51" s="2500">
        <v>0</v>
      </c>
      <c r="N51" s="2029">
        <v>0</v>
      </c>
      <c r="O51" s="2502" t="s">
        <v>720</v>
      </c>
      <c r="P51" s="3273"/>
      <c r="Q51" s="3273"/>
      <c r="R51" s="3273"/>
      <c r="S51" s="3273"/>
      <c r="T51" s="3273"/>
      <c r="U51" s="3273"/>
      <c r="V51" s="3273"/>
      <c r="W51" s="3273"/>
      <c r="X51" s="3273"/>
      <c r="Y51" s="3273"/>
      <c r="Z51" s="3273"/>
      <c r="AA51" s="3273"/>
      <c r="AB51" s="3508"/>
      <c r="AC51" s="3274"/>
      <c r="AD51" s="3274"/>
      <c r="AE51" s="3274"/>
      <c r="AF51" s="3274"/>
      <c r="AG51" s="3274"/>
      <c r="AH51" s="3274"/>
      <c r="AI51" s="3274"/>
      <c r="AJ51" s="3274"/>
      <c r="AK51" s="3274"/>
      <c r="AL51" s="3529"/>
      <c r="AM51" s="3525"/>
      <c r="AN51" s="3469"/>
      <c r="AO51" s="3526"/>
      <c r="AP51" s="3527"/>
      <c r="AQ51" s="3527"/>
      <c r="AR51" s="3527"/>
      <c r="AS51" s="3527"/>
      <c r="AT51" s="3527"/>
      <c r="AU51" s="3527"/>
      <c r="AV51" s="3527"/>
      <c r="AW51" s="3527"/>
      <c r="AX51" s="3527"/>
      <c r="AY51" s="3527"/>
      <c r="AZ51" s="3527"/>
      <c r="BA51" s="3527"/>
      <c r="BB51" s="3527"/>
      <c r="BC51" s="3527"/>
      <c r="BD51" s="3527"/>
      <c r="BE51" s="3527"/>
      <c r="BF51" s="3527"/>
      <c r="BG51" s="3527"/>
      <c r="BH51" s="3527"/>
      <c r="BI51" s="3527"/>
      <c r="BJ51" s="3527"/>
      <c r="BK51" s="3527"/>
      <c r="BL51" s="3527"/>
      <c r="BM51" s="3527"/>
      <c r="BN51" s="3535"/>
      <c r="BO51" s="3534"/>
      <c r="BP51" s="3465"/>
      <c r="BQ51" s="3465"/>
      <c r="BR51" s="3465"/>
      <c r="BS51" s="3465"/>
      <c r="BT51" s="3465"/>
      <c r="BU51" s="3465"/>
      <c r="BV51" s="3465"/>
      <c r="BW51" s="3465"/>
      <c r="BX51" s="3465"/>
      <c r="BY51" s="3465"/>
      <c r="BZ51" s="3465"/>
      <c r="CA51" s="3533"/>
      <c r="CB51" s="3534"/>
      <c r="CC51" s="3465"/>
      <c r="CD51" s="3465"/>
      <c r="CE51" s="3465"/>
      <c r="CF51" s="3465"/>
      <c r="CG51" s="3465"/>
      <c r="CH51" s="3465"/>
      <c r="CI51" s="3465"/>
      <c r="CJ51" s="3465"/>
      <c r="CK51" s="3465"/>
      <c r="CL51" s="3465"/>
      <c r="CM51" s="3465"/>
    </row>
    <row r="52" spans="1:91">
      <c r="A52" s="3568"/>
      <c r="B52" s="2551" t="str">
        <f t="shared" si="0"/>
        <v>3036890020</v>
      </c>
      <c r="C52" s="2492" t="s">
        <v>721</v>
      </c>
      <c r="D52" s="2026">
        <v>3689</v>
      </c>
      <c r="E52" s="2026">
        <v>20</v>
      </c>
      <c r="F52" s="2027">
        <v>1600</v>
      </c>
      <c r="G52" s="2497" t="s">
        <v>1566</v>
      </c>
      <c r="H52" s="2026" t="s">
        <v>1560</v>
      </c>
      <c r="I52" s="2028">
        <v>2</v>
      </c>
      <c r="J52" s="2500">
        <v>0</v>
      </c>
      <c r="K52" s="2500">
        <v>0</v>
      </c>
      <c r="L52" s="2500">
        <v>0</v>
      </c>
      <c r="M52" s="2500">
        <v>0</v>
      </c>
      <c r="N52" s="2029">
        <v>0</v>
      </c>
      <c r="O52" s="2502" t="s">
        <v>720</v>
      </c>
      <c r="P52" s="3273"/>
      <c r="Q52" s="3273"/>
      <c r="R52" s="3273"/>
      <c r="S52" s="3273"/>
      <c r="T52" s="3273"/>
      <c r="U52" s="3273"/>
      <c r="V52" s="3273"/>
      <c r="W52" s="3273"/>
      <c r="X52" s="3273"/>
      <c r="Y52" s="3273"/>
      <c r="Z52" s="3273"/>
      <c r="AA52" s="3273"/>
      <c r="AB52" s="3508"/>
      <c r="AC52" s="3274"/>
      <c r="AD52" s="3274"/>
      <c r="AE52" s="3274"/>
      <c r="AF52" s="3274"/>
      <c r="AG52" s="3274"/>
      <c r="AH52" s="3274"/>
      <c r="AI52" s="3274"/>
      <c r="AJ52" s="3274"/>
      <c r="AK52" s="3274"/>
      <c r="AL52" s="3529"/>
      <c r="AM52" s="3525"/>
      <c r="AN52" s="3469"/>
      <c r="AO52" s="3526"/>
      <c r="AP52" s="3527"/>
      <c r="AQ52" s="3527"/>
      <c r="AR52" s="3527"/>
      <c r="AS52" s="3527"/>
      <c r="AT52" s="3527"/>
      <c r="AU52" s="3527"/>
      <c r="AV52" s="3527"/>
      <c r="AW52" s="3527"/>
      <c r="AX52" s="3527"/>
      <c r="AY52" s="3527"/>
      <c r="AZ52" s="3527"/>
      <c r="BA52" s="3527"/>
      <c r="BB52" s="3527"/>
      <c r="BC52" s="3527"/>
      <c r="BD52" s="3527"/>
      <c r="BE52" s="3527"/>
      <c r="BF52" s="3527"/>
      <c r="BG52" s="3527"/>
      <c r="BH52" s="3527"/>
      <c r="BI52" s="3527"/>
      <c r="BJ52" s="3527"/>
      <c r="BK52" s="3527"/>
      <c r="BL52" s="3527"/>
      <c r="BM52" s="3527"/>
      <c r="BN52" s="3535"/>
      <c r="BO52" s="3534"/>
      <c r="BP52" s="3465"/>
      <c r="BQ52" s="3465"/>
      <c r="BR52" s="3465"/>
      <c r="BS52" s="3465"/>
      <c r="BT52" s="3465"/>
      <c r="BU52" s="3465"/>
      <c r="BV52" s="3465"/>
      <c r="BW52" s="3465"/>
      <c r="BX52" s="3465"/>
      <c r="BY52" s="3465"/>
      <c r="BZ52" s="3465"/>
      <c r="CA52" s="3533"/>
      <c r="CB52" s="3534"/>
      <c r="CC52" s="3465"/>
      <c r="CD52" s="3465"/>
      <c r="CE52" s="3465"/>
      <c r="CF52" s="3465"/>
      <c r="CG52" s="3465"/>
      <c r="CH52" s="3465"/>
      <c r="CI52" s="3465"/>
      <c r="CJ52" s="3465"/>
      <c r="CK52" s="3465"/>
      <c r="CL52" s="3465"/>
      <c r="CM52" s="3465"/>
    </row>
    <row r="53" spans="1:91">
      <c r="A53" s="3569"/>
      <c r="B53" s="2551" t="str">
        <f t="shared" si="0"/>
        <v>3036890021</v>
      </c>
      <c r="C53" s="2468" t="s">
        <v>724</v>
      </c>
      <c r="D53" s="2026">
        <v>3689</v>
      </c>
      <c r="E53" s="2026">
        <v>21</v>
      </c>
      <c r="F53" s="2027">
        <v>1600</v>
      </c>
      <c r="G53" s="2497" t="s">
        <v>1566</v>
      </c>
      <c r="H53" s="2026" t="s">
        <v>1560</v>
      </c>
      <c r="I53" s="2028">
        <v>2</v>
      </c>
      <c r="J53" s="2500">
        <v>0</v>
      </c>
      <c r="K53" s="2500">
        <v>0</v>
      </c>
      <c r="L53" s="2500">
        <v>0</v>
      </c>
      <c r="M53" s="2500">
        <v>0</v>
      </c>
      <c r="N53" s="2029">
        <v>0</v>
      </c>
      <c r="O53" s="2502" t="s">
        <v>720</v>
      </c>
      <c r="P53" s="3273"/>
      <c r="Q53" s="3273"/>
      <c r="R53" s="3273"/>
      <c r="S53" s="3273"/>
      <c r="T53" s="3273"/>
      <c r="U53" s="3273"/>
      <c r="V53" s="3273"/>
      <c r="W53" s="3273"/>
      <c r="X53" s="3273"/>
      <c r="Y53" s="3273"/>
      <c r="Z53" s="3273"/>
      <c r="AA53" s="3273"/>
      <c r="AB53" s="3508"/>
      <c r="AC53" s="3274"/>
      <c r="AD53" s="3274"/>
      <c r="AE53" s="3274"/>
      <c r="AF53" s="3274"/>
      <c r="AG53" s="3274"/>
      <c r="AH53" s="3274"/>
      <c r="AI53" s="3274"/>
      <c r="AJ53" s="3274"/>
      <c r="AK53" s="3274"/>
      <c r="AL53" s="3529"/>
      <c r="AM53" s="3525"/>
      <c r="AN53" s="3469"/>
      <c r="AO53" s="3526"/>
      <c r="AP53" s="3527"/>
      <c r="AQ53" s="3527"/>
      <c r="AR53" s="3527"/>
      <c r="AS53" s="3527"/>
      <c r="AT53" s="3527"/>
      <c r="AU53" s="3527"/>
      <c r="AV53" s="3527"/>
      <c r="AW53" s="3527"/>
      <c r="AX53" s="3527"/>
      <c r="AY53" s="3527"/>
      <c r="AZ53" s="3527"/>
      <c r="BA53" s="3527"/>
      <c r="BB53" s="3527"/>
      <c r="BC53" s="3527"/>
      <c r="BD53" s="3527"/>
      <c r="BE53" s="3527"/>
      <c r="BF53" s="3527"/>
      <c r="BG53" s="3527"/>
      <c r="BH53" s="3527"/>
      <c r="BI53" s="3527"/>
      <c r="BJ53" s="3527"/>
      <c r="BK53" s="3527"/>
      <c r="BL53" s="3527"/>
      <c r="BM53" s="3527"/>
      <c r="BN53" s="3535"/>
      <c r="BO53" s="3534"/>
      <c r="BP53" s="3465"/>
      <c r="BQ53" s="3465"/>
      <c r="BR53" s="3465"/>
      <c r="BS53" s="3465"/>
      <c r="BT53" s="3465"/>
      <c r="BU53" s="3465"/>
      <c r="BV53" s="3465"/>
      <c r="BW53" s="3465"/>
      <c r="BX53" s="3465"/>
      <c r="BY53" s="3465"/>
      <c r="BZ53" s="3465"/>
      <c r="CA53" s="3533"/>
      <c r="CB53" s="3534"/>
      <c r="CC53" s="3465"/>
      <c r="CD53" s="3465"/>
      <c r="CE53" s="3465"/>
      <c r="CF53" s="3465"/>
      <c r="CG53" s="3465"/>
      <c r="CH53" s="3465"/>
      <c r="CI53" s="3465"/>
      <c r="CJ53" s="3465"/>
      <c r="CK53" s="3465"/>
      <c r="CL53" s="3465"/>
      <c r="CM53" s="3465"/>
    </row>
    <row r="54" spans="1:91">
      <c r="A54" s="3569"/>
      <c r="B54" s="2551" t="str">
        <f t="shared" si="0"/>
        <v>3036890022</v>
      </c>
      <c r="C54" s="2468" t="s">
        <v>746</v>
      </c>
      <c r="D54" s="2026">
        <v>3689</v>
      </c>
      <c r="E54" s="2026">
        <v>22</v>
      </c>
      <c r="F54" s="2027">
        <v>1600</v>
      </c>
      <c r="G54" s="2497" t="s">
        <v>1566</v>
      </c>
      <c r="H54" s="2026" t="s">
        <v>1560</v>
      </c>
      <c r="I54" s="2028">
        <v>2</v>
      </c>
      <c r="J54" s="2500">
        <v>0</v>
      </c>
      <c r="K54" s="2500">
        <v>0</v>
      </c>
      <c r="L54" s="2500">
        <v>0</v>
      </c>
      <c r="M54" s="2500">
        <v>0</v>
      </c>
      <c r="N54" s="2029">
        <v>0</v>
      </c>
      <c r="O54" s="2502" t="s">
        <v>720</v>
      </c>
      <c r="P54" s="3273"/>
      <c r="Q54" s="3273"/>
      <c r="R54" s="3273"/>
      <c r="S54" s="3273"/>
      <c r="T54" s="3273"/>
      <c r="U54" s="3273"/>
      <c r="V54" s="3273"/>
      <c r="W54" s="3273"/>
      <c r="X54" s="3273"/>
      <c r="Y54" s="3273"/>
      <c r="Z54" s="3273"/>
      <c r="AA54" s="3273"/>
      <c r="AB54" s="3508"/>
      <c r="AC54" s="3274"/>
      <c r="AD54" s="3274"/>
      <c r="AE54" s="3274"/>
      <c r="AF54" s="3274"/>
      <c r="AG54" s="3274"/>
      <c r="AH54" s="3274"/>
      <c r="AI54" s="3274"/>
      <c r="AJ54" s="3274"/>
      <c r="AK54" s="3274"/>
      <c r="AL54" s="3529"/>
      <c r="AM54" s="3525"/>
      <c r="AN54" s="3469"/>
      <c r="AO54" s="3526"/>
      <c r="AP54" s="3527"/>
      <c r="AQ54" s="3527"/>
      <c r="AR54" s="3527"/>
      <c r="AS54" s="3527"/>
      <c r="AT54" s="3527"/>
      <c r="AU54" s="3527"/>
      <c r="AV54" s="3527"/>
      <c r="AW54" s="3527"/>
      <c r="AX54" s="3527"/>
      <c r="AY54" s="3527"/>
      <c r="AZ54" s="3527"/>
      <c r="BA54" s="3527"/>
      <c r="BB54" s="3527"/>
      <c r="BC54" s="3527"/>
      <c r="BD54" s="3527"/>
      <c r="BE54" s="3527"/>
      <c r="BF54" s="3527"/>
      <c r="BG54" s="3527"/>
      <c r="BH54" s="3527"/>
      <c r="BI54" s="3527"/>
      <c r="BJ54" s="3527"/>
      <c r="BK54" s="3527"/>
      <c r="BL54" s="3527"/>
      <c r="BM54" s="3527"/>
      <c r="BN54" s="3535"/>
      <c r="BO54" s="3534"/>
      <c r="BP54" s="3465"/>
      <c r="BQ54" s="3465"/>
      <c r="BR54" s="3465"/>
      <c r="BS54" s="3465"/>
      <c r="BT54" s="3465"/>
      <c r="BU54" s="3465"/>
      <c r="BV54" s="3465"/>
      <c r="BW54" s="3465"/>
      <c r="BX54" s="3465"/>
      <c r="BY54" s="3465"/>
      <c r="BZ54" s="3465"/>
      <c r="CA54" s="3533"/>
      <c r="CB54" s="3534"/>
      <c r="CC54" s="3465"/>
      <c r="CD54" s="3465"/>
      <c r="CE54" s="3465"/>
      <c r="CF54" s="3465"/>
      <c r="CG54" s="3465"/>
      <c r="CH54" s="3465"/>
      <c r="CI54" s="3465"/>
      <c r="CJ54" s="3465"/>
      <c r="CK54" s="3465"/>
      <c r="CL54" s="3465"/>
      <c r="CM54" s="3465"/>
    </row>
    <row r="55" spans="1:91">
      <c r="A55" s="3569"/>
      <c r="B55" s="2551" t="str">
        <f t="shared" si="0"/>
        <v>3036890023</v>
      </c>
      <c r="C55" s="2468" t="s">
        <v>879</v>
      </c>
      <c r="D55" s="2026">
        <v>3689</v>
      </c>
      <c r="E55" s="2026">
        <v>23</v>
      </c>
      <c r="F55" s="2027">
        <v>1600</v>
      </c>
      <c r="G55" s="2497" t="s">
        <v>1566</v>
      </c>
      <c r="H55" s="2026" t="s">
        <v>1560</v>
      </c>
      <c r="I55" s="2028">
        <v>2</v>
      </c>
      <c r="J55" s="2500">
        <v>0</v>
      </c>
      <c r="K55" s="2500">
        <v>0</v>
      </c>
      <c r="L55" s="2500">
        <v>0</v>
      </c>
      <c r="M55" s="2500">
        <v>0</v>
      </c>
      <c r="N55" s="2029">
        <v>0</v>
      </c>
      <c r="O55" s="2502" t="s">
        <v>720</v>
      </c>
      <c r="P55" s="3273"/>
      <c r="Q55" s="3273"/>
      <c r="R55" s="3273"/>
      <c r="S55" s="3273"/>
      <c r="T55" s="3273"/>
      <c r="U55" s="3273"/>
      <c r="V55" s="3273"/>
      <c r="W55" s="3273"/>
      <c r="X55" s="3273"/>
      <c r="Y55" s="3273"/>
      <c r="Z55" s="3273"/>
      <c r="AA55" s="3273"/>
      <c r="AB55" s="3508"/>
      <c r="AC55" s="3274"/>
      <c r="AD55" s="3274"/>
      <c r="AE55" s="3274"/>
      <c r="AF55" s="3274"/>
      <c r="AG55" s="3274"/>
      <c r="AH55" s="3274"/>
      <c r="AI55" s="3274"/>
      <c r="AJ55" s="3274"/>
      <c r="AK55" s="3274"/>
      <c r="AL55" s="3529"/>
      <c r="AM55" s="3525"/>
      <c r="AN55" s="3469"/>
      <c r="AO55" s="3526"/>
      <c r="AP55" s="3527"/>
      <c r="AQ55" s="3527"/>
      <c r="AR55" s="3527"/>
      <c r="AS55" s="3527"/>
      <c r="AT55" s="3527"/>
      <c r="AU55" s="3527"/>
      <c r="AV55" s="3527"/>
      <c r="AW55" s="3527"/>
      <c r="AX55" s="3527"/>
      <c r="AY55" s="3527"/>
      <c r="AZ55" s="3527"/>
      <c r="BA55" s="3527"/>
      <c r="BB55" s="3527"/>
      <c r="BC55" s="3527"/>
      <c r="BD55" s="3527"/>
      <c r="BE55" s="3527"/>
      <c r="BF55" s="3527"/>
      <c r="BG55" s="3527"/>
      <c r="BH55" s="3527"/>
      <c r="BI55" s="3527"/>
      <c r="BJ55" s="3527"/>
      <c r="BK55" s="3527"/>
      <c r="BL55" s="3527"/>
      <c r="BM55" s="3527"/>
      <c r="BN55" s="3535"/>
      <c r="BO55" s="3534"/>
      <c r="BP55" s="3465"/>
      <c r="BQ55" s="3465"/>
      <c r="BR55" s="3465"/>
      <c r="BS55" s="3465"/>
      <c r="BT55" s="3465"/>
      <c r="BU55" s="3465"/>
      <c r="BV55" s="3465"/>
      <c r="BW55" s="3465"/>
      <c r="BX55" s="3465"/>
      <c r="BY55" s="3465"/>
      <c r="BZ55" s="3465"/>
      <c r="CA55" s="3533"/>
      <c r="CB55" s="3534"/>
      <c r="CC55" s="3465"/>
      <c r="CD55" s="3465"/>
      <c r="CE55" s="3465"/>
      <c r="CF55" s="3465"/>
      <c r="CG55" s="3465"/>
      <c r="CH55" s="3465"/>
      <c r="CI55" s="3465"/>
      <c r="CJ55" s="3465"/>
      <c r="CK55" s="3465"/>
      <c r="CL55" s="3465"/>
      <c r="CM55" s="3465"/>
    </row>
    <row r="56" spans="1:91" ht="15.75" thickBot="1">
      <c r="A56" s="3569"/>
      <c r="B56" s="2551" t="str">
        <f t="shared" si="0"/>
        <v>3036890024</v>
      </c>
      <c r="C56" s="2468" t="s">
        <v>880</v>
      </c>
      <c r="D56" s="2026">
        <v>3689</v>
      </c>
      <c r="E56" s="2026">
        <v>24</v>
      </c>
      <c r="F56" s="2027">
        <v>2500</v>
      </c>
      <c r="G56" s="2497" t="s">
        <v>1566</v>
      </c>
      <c r="H56" s="2026" t="s">
        <v>1560</v>
      </c>
      <c r="I56" s="2028">
        <v>2</v>
      </c>
      <c r="J56" s="2500">
        <v>0</v>
      </c>
      <c r="K56" s="2500">
        <v>0</v>
      </c>
      <c r="L56" s="2500">
        <v>0</v>
      </c>
      <c r="M56" s="2500">
        <v>0</v>
      </c>
      <c r="N56" s="2029">
        <v>0</v>
      </c>
      <c r="O56" s="2452" t="s">
        <v>720</v>
      </c>
      <c r="P56" s="3359"/>
      <c r="Q56" s="3359"/>
      <c r="R56" s="3359"/>
      <c r="S56" s="3359"/>
      <c r="T56" s="3359"/>
      <c r="U56" s="3359"/>
      <c r="V56" s="3359"/>
      <c r="W56" s="3359"/>
      <c r="X56" s="3359"/>
      <c r="Y56" s="3359"/>
      <c r="Z56" s="3359"/>
      <c r="AA56" s="3359"/>
      <c r="AB56" s="3536"/>
      <c r="AC56" s="3361"/>
      <c r="AD56" s="3361"/>
      <c r="AE56" s="3361"/>
      <c r="AF56" s="3361"/>
      <c r="AG56" s="3361"/>
      <c r="AH56" s="3361"/>
      <c r="AI56" s="3361"/>
      <c r="AJ56" s="3361"/>
      <c r="AK56" s="3361"/>
      <c r="AL56" s="3514"/>
      <c r="AM56" s="3516"/>
      <c r="AN56" s="3470"/>
      <c r="AO56" s="3718"/>
      <c r="AP56" s="3719"/>
      <c r="AQ56" s="3719"/>
      <c r="AR56" s="3719"/>
      <c r="AS56" s="3719"/>
      <c r="AT56" s="3719"/>
      <c r="AU56" s="3719"/>
      <c r="AV56" s="3719"/>
      <c r="AW56" s="3719"/>
      <c r="AX56" s="3719"/>
      <c r="AY56" s="3719"/>
      <c r="AZ56" s="3719"/>
      <c r="BA56" s="3719"/>
      <c r="BB56" s="3719"/>
      <c r="BC56" s="3719"/>
      <c r="BD56" s="3719"/>
      <c r="BE56" s="3719"/>
      <c r="BF56" s="3719"/>
      <c r="BG56" s="3719"/>
      <c r="BH56" s="3719"/>
      <c r="BI56" s="3719"/>
      <c r="BJ56" s="3719"/>
      <c r="BK56" s="3719"/>
      <c r="BL56" s="3719"/>
      <c r="BM56" s="3719"/>
      <c r="BN56" s="3518"/>
      <c r="BO56" s="3520"/>
      <c r="BP56" s="3466"/>
      <c r="BQ56" s="3466"/>
      <c r="BR56" s="3466"/>
      <c r="BS56" s="3466"/>
      <c r="BT56" s="3466"/>
      <c r="BU56" s="3466"/>
      <c r="BV56" s="3466"/>
      <c r="BW56" s="3466"/>
      <c r="BX56" s="3466"/>
      <c r="BY56" s="3466"/>
      <c r="BZ56" s="3466"/>
      <c r="CA56" s="3477"/>
      <c r="CB56" s="3520"/>
      <c r="CC56" s="3466"/>
      <c r="CD56" s="3466"/>
      <c r="CE56" s="3466"/>
      <c r="CF56" s="3466"/>
      <c r="CG56" s="3466"/>
      <c r="CH56" s="3466"/>
      <c r="CI56" s="3466"/>
      <c r="CJ56" s="3466"/>
      <c r="CK56" s="3466"/>
      <c r="CL56" s="3466"/>
      <c r="CM56" s="3466"/>
    </row>
    <row r="57" spans="1:91">
      <c r="A57" s="3282" t="s">
        <v>1710</v>
      </c>
      <c r="B57" s="2551" t="str">
        <f t="shared" si="0"/>
        <v>3036900011</v>
      </c>
      <c r="C57" s="2010" t="s">
        <v>703</v>
      </c>
      <c r="D57" s="2462">
        <v>3690</v>
      </c>
      <c r="E57" s="2462">
        <v>11</v>
      </c>
      <c r="F57" s="2461">
        <v>2533</v>
      </c>
      <c r="G57" s="2445" t="s">
        <v>1566</v>
      </c>
      <c r="H57" s="2462" t="s">
        <v>1560</v>
      </c>
      <c r="I57" s="2463">
        <v>2</v>
      </c>
      <c r="J57" s="2448">
        <v>0</v>
      </c>
      <c r="K57" s="2448">
        <v>0</v>
      </c>
      <c r="L57" s="2448">
        <v>875</v>
      </c>
      <c r="M57" s="2448">
        <v>1750</v>
      </c>
      <c r="N57" s="2438">
        <v>1</v>
      </c>
      <c r="O57" s="2437" t="s">
        <v>1711</v>
      </c>
      <c r="P57" s="3272">
        <v>3475</v>
      </c>
      <c r="Q57" s="3272">
        <v>1325</v>
      </c>
      <c r="R57" s="3272">
        <v>0</v>
      </c>
      <c r="S57" s="3272">
        <v>0</v>
      </c>
      <c r="T57" s="3272">
        <v>5000</v>
      </c>
      <c r="U57" s="3272">
        <v>0</v>
      </c>
      <c r="V57" s="3272">
        <v>875</v>
      </c>
      <c r="W57" s="3272">
        <v>0</v>
      </c>
      <c r="X57" s="3272">
        <v>0</v>
      </c>
      <c r="Y57" s="3272">
        <v>0</v>
      </c>
      <c r="Z57" s="3272">
        <v>0</v>
      </c>
      <c r="AA57" s="3272">
        <v>0</v>
      </c>
      <c r="AB57" s="3507">
        <v>10675</v>
      </c>
      <c r="AC57" s="3265">
        <v>2</v>
      </c>
      <c r="AD57" s="3265">
        <v>0</v>
      </c>
      <c r="AE57" s="3265">
        <v>0</v>
      </c>
      <c r="AF57" s="3265">
        <v>0</v>
      </c>
      <c r="AG57" s="3265">
        <v>0</v>
      </c>
      <c r="AH57" s="3265">
        <v>0</v>
      </c>
      <c r="AI57" s="3265">
        <v>0</v>
      </c>
      <c r="AJ57" s="3265">
        <v>0</v>
      </c>
      <c r="AK57" s="3265">
        <v>0</v>
      </c>
      <c r="AL57" s="3513">
        <v>30</v>
      </c>
      <c r="AM57" s="3515" t="s">
        <v>1331</v>
      </c>
      <c r="AN57" s="3512" t="s">
        <v>1560</v>
      </c>
      <c r="AO57" s="3407" t="s">
        <v>1696</v>
      </c>
      <c r="AP57" s="3511">
        <v>81325</v>
      </c>
      <c r="AQ57" s="3511">
        <v>9560.7000000000007</v>
      </c>
      <c r="AR57" s="3511">
        <v>0</v>
      </c>
      <c r="AS57" s="3511">
        <v>0</v>
      </c>
      <c r="AT57" s="3511">
        <v>0</v>
      </c>
      <c r="AU57" s="3511">
        <v>0</v>
      </c>
      <c r="AV57" s="3511">
        <v>0</v>
      </c>
      <c r="AW57" s="3511">
        <v>0</v>
      </c>
      <c r="AX57" s="3511">
        <v>0</v>
      </c>
      <c r="AY57" s="3511">
        <v>0</v>
      </c>
      <c r="AZ57" s="3511">
        <v>0</v>
      </c>
      <c r="BA57" s="3511">
        <v>0</v>
      </c>
      <c r="BB57" s="3511">
        <v>90885.7</v>
      </c>
      <c r="BC57" s="3511">
        <v>81</v>
      </c>
      <c r="BD57" s="3511">
        <v>40.662500000000001</v>
      </c>
      <c r="BE57" s="3511">
        <v>16</v>
      </c>
      <c r="BF57" s="3511">
        <v>0</v>
      </c>
      <c r="BG57" s="3511">
        <v>10</v>
      </c>
      <c r="BH57" s="3511">
        <v>0</v>
      </c>
      <c r="BI57" s="3511">
        <v>0</v>
      </c>
      <c r="BJ57" s="3511">
        <v>0</v>
      </c>
      <c r="BK57" s="3511">
        <v>0</v>
      </c>
      <c r="BL57" s="3511">
        <v>0</v>
      </c>
      <c r="BM57" s="3511">
        <v>26</v>
      </c>
      <c r="BN57" s="3517">
        <v>145</v>
      </c>
      <c r="BO57" s="3519">
        <v>77850</v>
      </c>
      <c r="BP57" s="3464">
        <v>8235.7000000000007</v>
      </c>
      <c r="BQ57" s="3464">
        <v>0</v>
      </c>
      <c r="BR57" s="3464">
        <v>0</v>
      </c>
      <c r="BS57" s="3464">
        <v>0</v>
      </c>
      <c r="BT57" s="3464">
        <v>-5000</v>
      </c>
      <c r="BU57" s="3464">
        <v>0</v>
      </c>
      <c r="BV57" s="3464">
        <v>-875</v>
      </c>
      <c r="BW57" s="3464">
        <v>0</v>
      </c>
      <c r="BX57" s="3464">
        <v>0</v>
      </c>
      <c r="BY57" s="3464">
        <v>0</v>
      </c>
      <c r="BZ57" s="3464">
        <v>0</v>
      </c>
      <c r="CA57" s="3524">
        <v>0</v>
      </c>
      <c r="CB57" s="3519">
        <v>80210.7</v>
      </c>
      <c r="CC57" s="3464">
        <v>2360.7000000000007</v>
      </c>
      <c r="CD57" s="3464">
        <v>79</v>
      </c>
      <c r="CE57" s="3464">
        <v>40.662500000000001</v>
      </c>
      <c r="CF57" s="3464">
        <v>16</v>
      </c>
      <c r="CG57" s="3464">
        <v>0</v>
      </c>
      <c r="CH57" s="3464">
        <v>10</v>
      </c>
      <c r="CI57" s="3464">
        <v>0</v>
      </c>
      <c r="CJ57" s="3464">
        <v>0</v>
      </c>
      <c r="CK57" s="3464">
        <v>0</v>
      </c>
      <c r="CL57" s="3464">
        <v>0</v>
      </c>
      <c r="CM57" s="3464">
        <v>0</v>
      </c>
    </row>
    <row r="58" spans="1:91">
      <c r="A58" s="3312"/>
      <c r="B58" s="2551" t="str">
        <f t="shared" si="0"/>
        <v>3036900012</v>
      </c>
      <c r="C58" s="2022" t="s">
        <v>710</v>
      </c>
      <c r="D58" s="2026">
        <v>3690</v>
      </c>
      <c r="E58" s="2026">
        <v>12</v>
      </c>
      <c r="F58" s="2027">
        <v>2529</v>
      </c>
      <c r="G58" s="2497" t="s">
        <v>1566</v>
      </c>
      <c r="H58" s="2026" t="s">
        <v>1560</v>
      </c>
      <c r="I58" s="2028">
        <v>2</v>
      </c>
      <c r="J58" s="2500">
        <v>0</v>
      </c>
      <c r="K58" s="2500">
        <v>2500</v>
      </c>
      <c r="L58" s="2500">
        <v>0</v>
      </c>
      <c r="M58" s="2500">
        <v>2500</v>
      </c>
      <c r="N58" s="2029">
        <v>0</v>
      </c>
      <c r="O58" s="2502" t="s">
        <v>1572</v>
      </c>
      <c r="P58" s="3273"/>
      <c r="Q58" s="3273"/>
      <c r="R58" s="3273"/>
      <c r="S58" s="3273"/>
      <c r="T58" s="3273"/>
      <c r="U58" s="3273"/>
      <c r="V58" s="3273"/>
      <c r="W58" s="3273"/>
      <c r="X58" s="3273"/>
      <c r="Y58" s="3273"/>
      <c r="Z58" s="3273"/>
      <c r="AA58" s="3273"/>
      <c r="AB58" s="3508"/>
      <c r="AC58" s="3274"/>
      <c r="AD58" s="3274"/>
      <c r="AE58" s="3274"/>
      <c r="AF58" s="3274"/>
      <c r="AG58" s="3274"/>
      <c r="AH58" s="3274"/>
      <c r="AI58" s="3274"/>
      <c r="AJ58" s="3274"/>
      <c r="AK58" s="3274"/>
      <c r="AL58" s="3529"/>
      <c r="AM58" s="3525"/>
      <c r="AN58" s="3469"/>
      <c r="AO58" s="3526"/>
      <c r="AP58" s="3527"/>
      <c r="AQ58" s="3527"/>
      <c r="AR58" s="3527"/>
      <c r="AS58" s="3527"/>
      <c r="AT58" s="3527"/>
      <c r="AU58" s="3527"/>
      <c r="AV58" s="3527"/>
      <c r="AW58" s="3527"/>
      <c r="AX58" s="3527"/>
      <c r="AY58" s="3527"/>
      <c r="AZ58" s="3527"/>
      <c r="BA58" s="3527"/>
      <c r="BB58" s="3527"/>
      <c r="BC58" s="3527"/>
      <c r="BD58" s="3527"/>
      <c r="BE58" s="3527"/>
      <c r="BF58" s="3527"/>
      <c r="BG58" s="3527"/>
      <c r="BH58" s="3527"/>
      <c r="BI58" s="3527"/>
      <c r="BJ58" s="3527"/>
      <c r="BK58" s="3527"/>
      <c r="BL58" s="3527"/>
      <c r="BM58" s="3527"/>
      <c r="BN58" s="3535"/>
      <c r="BO58" s="3534"/>
      <c r="BP58" s="3465"/>
      <c r="BQ58" s="3465"/>
      <c r="BR58" s="3465"/>
      <c r="BS58" s="3465"/>
      <c r="BT58" s="3465"/>
      <c r="BU58" s="3465"/>
      <c r="BV58" s="3465"/>
      <c r="BW58" s="3465"/>
      <c r="BX58" s="3465"/>
      <c r="BY58" s="3465"/>
      <c r="BZ58" s="3465"/>
      <c r="CA58" s="3533"/>
      <c r="CB58" s="3534"/>
      <c r="CC58" s="3465"/>
      <c r="CD58" s="3465"/>
      <c r="CE58" s="3465"/>
      <c r="CF58" s="3465"/>
      <c r="CG58" s="3465"/>
      <c r="CH58" s="3465"/>
      <c r="CI58" s="3465"/>
      <c r="CJ58" s="3465"/>
      <c r="CK58" s="3465"/>
      <c r="CL58" s="3465"/>
      <c r="CM58" s="3465"/>
    </row>
    <row r="59" spans="1:91">
      <c r="A59" s="3312"/>
      <c r="B59" s="2551" t="str">
        <f t="shared" si="0"/>
        <v>3036900013</v>
      </c>
      <c r="C59" s="2022" t="s">
        <v>721</v>
      </c>
      <c r="D59" s="2026">
        <v>3690</v>
      </c>
      <c r="E59" s="2026">
        <v>13</v>
      </c>
      <c r="F59" s="2027">
        <v>2529</v>
      </c>
      <c r="G59" s="2497" t="s">
        <v>1566</v>
      </c>
      <c r="H59" s="2026" t="s">
        <v>1560</v>
      </c>
      <c r="I59" s="2028">
        <v>2</v>
      </c>
      <c r="J59" s="2500">
        <v>0</v>
      </c>
      <c r="K59" s="2500">
        <v>2500</v>
      </c>
      <c r="L59" s="2500">
        <v>0</v>
      </c>
      <c r="M59" s="2500">
        <v>2500</v>
      </c>
      <c r="N59" s="2029">
        <v>0</v>
      </c>
      <c r="O59" s="2502" t="s">
        <v>1572</v>
      </c>
      <c r="P59" s="3273"/>
      <c r="Q59" s="3273"/>
      <c r="R59" s="3273"/>
      <c r="S59" s="3273"/>
      <c r="T59" s="3273"/>
      <c r="U59" s="3273"/>
      <c r="V59" s="3273"/>
      <c r="W59" s="3273"/>
      <c r="X59" s="3273"/>
      <c r="Y59" s="3273"/>
      <c r="Z59" s="3273"/>
      <c r="AA59" s="3273"/>
      <c r="AB59" s="3508"/>
      <c r="AC59" s="3274"/>
      <c r="AD59" s="3274"/>
      <c r="AE59" s="3274"/>
      <c r="AF59" s="3274"/>
      <c r="AG59" s="3274"/>
      <c r="AH59" s="3274"/>
      <c r="AI59" s="3274"/>
      <c r="AJ59" s="3274"/>
      <c r="AK59" s="3274"/>
      <c r="AL59" s="3529"/>
      <c r="AM59" s="3525"/>
      <c r="AN59" s="3469"/>
      <c r="AO59" s="3526"/>
      <c r="AP59" s="3527"/>
      <c r="AQ59" s="3527"/>
      <c r="AR59" s="3527"/>
      <c r="AS59" s="3527"/>
      <c r="AT59" s="3527"/>
      <c r="AU59" s="3527"/>
      <c r="AV59" s="3527"/>
      <c r="AW59" s="3527"/>
      <c r="AX59" s="3527"/>
      <c r="AY59" s="3527"/>
      <c r="AZ59" s="3527"/>
      <c r="BA59" s="3527"/>
      <c r="BB59" s="3527"/>
      <c r="BC59" s="3527"/>
      <c r="BD59" s="3527"/>
      <c r="BE59" s="3527"/>
      <c r="BF59" s="3527"/>
      <c r="BG59" s="3527"/>
      <c r="BH59" s="3527"/>
      <c r="BI59" s="3527"/>
      <c r="BJ59" s="3527"/>
      <c r="BK59" s="3527"/>
      <c r="BL59" s="3527"/>
      <c r="BM59" s="3527"/>
      <c r="BN59" s="3535"/>
      <c r="BO59" s="3534"/>
      <c r="BP59" s="3465"/>
      <c r="BQ59" s="3465"/>
      <c r="BR59" s="3465"/>
      <c r="BS59" s="3465"/>
      <c r="BT59" s="3465"/>
      <c r="BU59" s="3465"/>
      <c r="BV59" s="3465"/>
      <c r="BW59" s="3465"/>
      <c r="BX59" s="3465"/>
      <c r="BY59" s="3465"/>
      <c r="BZ59" s="3465"/>
      <c r="CA59" s="3533"/>
      <c r="CB59" s="3534"/>
      <c r="CC59" s="3465"/>
      <c r="CD59" s="3465"/>
      <c r="CE59" s="3465"/>
      <c r="CF59" s="3465"/>
      <c r="CG59" s="3465"/>
      <c r="CH59" s="3465"/>
      <c r="CI59" s="3465"/>
      <c r="CJ59" s="3465"/>
      <c r="CK59" s="3465"/>
      <c r="CL59" s="3465"/>
      <c r="CM59" s="3465"/>
    </row>
    <row r="60" spans="1:91">
      <c r="A60" s="3313"/>
      <c r="B60" s="2551" t="str">
        <f t="shared" si="0"/>
        <v>3036900014</v>
      </c>
      <c r="C60" s="2492" t="s">
        <v>724</v>
      </c>
      <c r="D60" s="2026">
        <v>3690</v>
      </c>
      <c r="E60" s="2026">
        <v>14</v>
      </c>
      <c r="F60" s="2027">
        <v>2519</v>
      </c>
      <c r="G60" s="2497" t="s">
        <v>1566</v>
      </c>
      <c r="H60" s="2026" t="s">
        <v>1560</v>
      </c>
      <c r="I60" s="2028">
        <v>2</v>
      </c>
      <c r="J60" s="2500">
        <v>1325</v>
      </c>
      <c r="K60" s="2500">
        <v>0</v>
      </c>
      <c r="L60" s="2500">
        <v>0</v>
      </c>
      <c r="M60" s="2500">
        <v>3925</v>
      </c>
      <c r="N60" s="2029">
        <v>2</v>
      </c>
      <c r="O60" s="2502" t="s">
        <v>1670</v>
      </c>
      <c r="P60" s="3273"/>
      <c r="Q60" s="3273"/>
      <c r="R60" s="3273"/>
      <c r="S60" s="3273"/>
      <c r="T60" s="3273"/>
      <c r="U60" s="3273"/>
      <c r="V60" s="3273"/>
      <c r="W60" s="3273"/>
      <c r="X60" s="3273"/>
      <c r="Y60" s="3273"/>
      <c r="Z60" s="3273"/>
      <c r="AA60" s="3273"/>
      <c r="AB60" s="3508"/>
      <c r="AC60" s="3274"/>
      <c r="AD60" s="3274"/>
      <c r="AE60" s="3274"/>
      <c r="AF60" s="3274"/>
      <c r="AG60" s="3274"/>
      <c r="AH60" s="3274"/>
      <c r="AI60" s="3274"/>
      <c r="AJ60" s="3274"/>
      <c r="AK60" s="3274"/>
      <c r="AL60" s="3529"/>
      <c r="AM60" s="3525"/>
      <c r="AN60" s="3469"/>
      <c r="AO60" s="3526"/>
      <c r="AP60" s="3527"/>
      <c r="AQ60" s="3527"/>
      <c r="AR60" s="3527"/>
      <c r="AS60" s="3527"/>
      <c r="AT60" s="3527"/>
      <c r="AU60" s="3527"/>
      <c r="AV60" s="3527"/>
      <c r="AW60" s="3527"/>
      <c r="AX60" s="3527"/>
      <c r="AY60" s="3527"/>
      <c r="AZ60" s="3527"/>
      <c r="BA60" s="3527"/>
      <c r="BB60" s="3527"/>
      <c r="BC60" s="3527"/>
      <c r="BD60" s="3527"/>
      <c r="BE60" s="3527"/>
      <c r="BF60" s="3527"/>
      <c r="BG60" s="3527"/>
      <c r="BH60" s="3527"/>
      <c r="BI60" s="3527"/>
      <c r="BJ60" s="3527"/>
      <c r="BK60" s="3527"/>
      <c r="BL60" s="3527"/>
      <c r="BM60" s="3527"/>
      <c r="BN60" s="3535"/>
      <c r="BO60" s="3534"/>
      <c r="BP60" s="3465"/>
      <c r="BQ60" s="3465"/>
      <c r="BR60" s="3465"/>
      <c r="BS60" s="3465"/>
      <c r="BT60" s="3465"/>
      <c r="BU60" s="3465"/>
      <c r="BV60" s="3465"/>
      <c r="BW60" s="3465"/>
      <c r="BX60" s="3465"/>
      <c r="BY60" s="3465"/>
      <c r="BZ60" s="3465"/>
      <c r="CA60" s="3533"/>
      <c r="CB60" s="3534"/>
      <c r="CC60" s="3465"/>
      <c r="CD60" s="3465"/>
      <c r="CE60" s="3465"/>
      <c r="CF60" s="3465"/>
      <c r="CG60" s="3465"/>
      <c r="CH60" s="3465"/>
      <c r="CI60" s="3465"/>
      <c r="CJ60" s="3465"/>
      <c r="CK60" s="3465"/>
      <c r="CL60" s="3465"/>
      <c r="CM60" s="3465"/>
    </row>
    <row r="61" spans="1:91" ht="15.75" thickBot="1">
      <c r="A61" s="3283"/>
      <c r="B61" s="2551" t="str">
        <f t="shared" si="0"/>
        <v>3036900015</v>
      </c>
      <c r="C61" s="2493" t="s">
        <v>746</v>
      </c>
      <c r="D61" s="2018">
        <v>3690</v>
      </c>
      <c r="E61" s="2018">
        <v>15</v>
      </c>
      <c r="F61" s="2019">
        <v>2513</v>
      </c>
      <c r="G61" s="2498" t="s">
        <v>1566</v>
      </c>
      <c r="H61" s="2018" t="s">
        <v>1560</v>
      </c>
      <c r="I61" s="2020">
        <v>2</v>
      </c>
      <c r="J61" s="2501">
        <v>0</v>
      </c>
      <c r="K61" s="2501">
        <v>0</v>
      </c>
      <c r="L61" s="2501">
        <v>0</v>
      </c>
      <c r="M61" s="2501">
        <v>0</v>
      </c>
      <c r="N61" s="2508">
        <v>0</v>
      </c>
      <c r="O61" s="2453" t="s">
        <v>720</v>
      </c>
      <c r="P61" s="3359"/>
      <c r="Q61" s="3359"/>
      <c r="R61" s="3359"/>
      <c r="S61" s="3359"/>
      <c r="T61" s="3359"/>
      <c r="U61" s="3359"/>
      <c r="V61" s="3359"/>
      <c r="W61" s="3359"/>
      <c r="X61" s="3359"/>
      <c r="Y61" s="3359"/>
      <c r="Z61" s="3359"/>
      <c r="AA61" s="3359"/>
      <c r="AB61" s="3536"/>
      <c r="AC61" s="3361"/>
      <c r="AD61" s="3361"/>
      <c r="AE61" s="3361"/>
      <c r="AF61" s="3361"/>
      <c r="AG61" s="3361"/>
      <c r="AH61" s="3361"/>
      <c r="AI61" s="3361"/>
      <c r="AJ61" s="3361"/>
      <c r="AK61" s="3361"/>
      <c r="AL61" s="3514"/>
      <c r="AM61" s="3516"/>
      <c r="AN61" s="3470"/>
      <c r="AO61" s="3718"/>
      <c r="AP61" s="3719"/>
      <c r="AQ61" s="3719"/>
      <c r="AR61" s="3719"/>
      <c r="AS61" s="3719"/>
      <c r="AT61" s="3719"/>
      <c r="AU61" s="3719"/>
      <c r="AV61" s="3719"/>
      <c r="AW61" s="3719"/>
      <c r="AX61" s="3719"/>
      <c r="AY61" s="3719"/>
      <c r="AZ61" s="3719"/>
      <c r="BA61" s="3719"/>
      <c r="BB61" s="3719"/>
      <c r="BC61" s="3719"/>
      <c r="BD61" s="3719"/>
      <c r="BE61" s="3719"/>
      <c r="BF61" s="3719"/>
      <c r="BG61" s="3719"/>
      <c r="BH61" s="3719"/>
      <c r="BI61" s="3719"/>
      <c r="BJ61" s="3719"/>
      <c r="BK61" s="3719"/>
      <c r="BL61" s="3719"/>
      <c r="BM61" s="3719"/>
      <c r="BN61" s="3518"/>
      <c r="BO61" s="3520"/>
      <c r="BP61" s="3466"/>
      <c r="BQ61" s="3466"/>
      <c r="BR61" s="3466"/>
      <c r="BS61" s="3466"/>
      <c r="BT61" s="3466"/>
      <c r="BU61" s="3466"/>
      <c r="BV61" s="3466"/>
      <c r="BW61" s="3466"/>
      <c r="BX61" s="3466"/>
      <c r="BY61" s="3466"/>
      <c r="BZ61" s="3466"/>
      <c r="CA61" s="3477"/>
      <c r="CB61" s="3520"/>
      <c r="CC61" s="3466"/>
      <c r="CD61" s="3466"/>
      <c r="CE61" s="3466"/>
      <c r="CF61" s="3466"/>
      <c r="CG61" s="3466"/>
      <c r="CH61" s="3466"/>
      <c r="CI61" s="3466"/>
      <c r="CJ61" s="3466"/>
      <c r="CK61" s="3466"/>
      <c r="CL61" s="3466"/>
      <c r="CM61" s="3466"/>
    </row>
    <row r="62" spans="1:91">
      <c r="A62" s="3570" t="s">
        <v>1712</v>
      </c>
      <c r="B62" s="2551">
        <f t="shared" si="0"/>
        <v>0</v>
      </c>
      <c r="C62" s="2022" t="s">
        <v>703</v>
      </c>
      <c r="D62" s="2023"/>
      <c r="E62" s="2023"/>
      <c r="F62" s="2506"/>
      <c r="G62" s="2507"/>
      <c r="H62" s="2023"/>
      <c r="I62" s="2024"/>
      <c r="J62" s="2505"/>
      <c r="K62" s="2505"/>
      <c r="L62" s="2505"/>
      <c r="M62" s="2505"/>
      <c r="N62" s="2025"/>
      <c r="O62" s="2452"/>
      <c r="P62" s="3272"/>
      <c r="Q62" s="3272"/>
      <c r="R62" s="3272"/>
      <c r="S62" s="3272"/>
      <c r="T62" s="3272"/>
      <c r="U62" s="3272"/>
      <c r="V62" s="3272"/>
      <c r="W62" s="3272"/>
      <c r="X62" s="3272"/>
      <c r="Y62" s="3272"/>
      <c r="Z62" s="3272"/>
      <c r="AA62" s="3272"/>
      <c r="AB62" s="3507"/>
      <c r="AC62" s="3265"/>
      <c r="AD62" s="3265"/>
      <c r="AE62" s="3265"/>
      <c r="AF62" s="3265"/>
      <c r="AG62" s="3265"/>
      <c r="AH62" s="3265"/>
      <c r="AI62" s="3265"/>
      <c r="AJ62" s="3265"/>
      <c r="AK62" s="3265"/>
      <c r="AL62" s="3513"/>
      <c r="AM62" s="3515"/>
      <c r="AN62" s="3512"/>
      <c r="AO62" s="3407"/>
      <c r="AP62" s="3511"/>
      <c r="AQ62" s="3511"/>
      <c r="AR62" s="3511"/>
      <c r="AS62" s="3511"/>
      <c r="AT62" s="3511"/>
      <c r="AU62" s="3511"/>
      <c r="AV62" s="3511"/>
      <c r="AW62" s="3511"/>
      <c r="AX62" s="3511"/>
      <c r="AY62" s="3511"/>
      <c r="AZ62" s="3511"/>
      <c r="BA62" s="3511"/>
      <c r="BB62" s="3511"/>
      <c r="BC62" s="3511"/>
      <c r="BD62" s="3511"/>
      <c r="BE62" s="3511"/>
      <c r="BF62" s="3511"/>
      <c r="BG62" s="3511"/>
      <c r="BH62" s="3511"/>
      <c r="BI62" s="3511"/>
      <c r="BJ62" s="3511"/>
      <c r="BK62" s="3511"/>
      <c r="BL62" s="3511"/>
      <c r="BM62" s="3511"/>
      <c r="BN62" s="3517"/>
      <c r="BO62" s="3519"/>
      <c r="BP62" s="3464"/>
      <c r="BQ62" s="3464"/>
      <c r="BR62" s="3464"/>
      <c r="BS62" s="3464"/>
      <c r="BT62" s="3464"/>
      <c r="BU62" s="3464"/>
      <c r="BV62" s="3464"/>
      <c r="BW62" s="3464"/>
      <c r="BX62" s="3464"/>
      <c r="BY62" s="3464"/>
      <c r="BZ62" s="3464"/>
      <c r="CA62" s="3524"/>
      <c r="CB62" s="3519"/>
      <c r="CC62" s="3464"/>
      <c r="CD62" s="3464"/>
      <c r="CE62" s="3464"/>
      <c r="CF62" s="3464"/>
      <c r="CG62" s="3464"/>
      <c r="CH62" s="3464"/>
      <c r="CI62" s="3464"/>
      <c r="CJ62" s="3464"/>
      <c r="CK62" s="3464"/>
      <c r="CL62" s="3464"/>
      <c r="CM62" s="3464"/>
    </row>
    <row r="63" spans="1:91">
      <c r="A63" s="3571"/>
      <c r="B63" s="2551">
        <f t="shared" si="0"/>
        <v>0</v>
      </c>
      <c r="C63" s="2492" t="s">
        <v>710</v>
      </c>
      <c r="D63" s="2026"/>
      <c r="E63" s="2026"/>
      <c r="F63" s="2027"/>
      <c r="G63" s="2497"/>
      <c r="H63" s="2026"/>
      <c r="I63" s="2028"/>
      <c r="J63" s="2500"/>
      <c r="K63" s="2500"/>
      <c r="L63" s="2500"/>
      <c r="M63" s="2500"/>
      <c r="N63" s="2029"/>
      <c r="O63" s="2502"/>
      <c r="P63" s="3273"/>
      <c r="Q63" s="3273"/>
      <c r="R63" s="3273"/>
      <c r="S63" s="3273"/>
      <c r="T63" s="3273"/>
      <c r="U63" s="3273"/>
      <c r="V63" s="3273"/>
      <c r="W63" s="3273"/>
      <c r="X63" s="3273"/>
      <c r="Y63" s="3273"/>
      <c r="Z63" s="3273"/>
      <c r="AA63" s="3273"/>
      <c r="AB63" s="3508"/>
      <c r="AC63" s="3274"/>
      <c r="AD63" s="3274"/>
      <c r="AE63" s="3274"/>
      <c r="AF63" s="3274"/>
      <c r="AG63" s="3274"/>
      <c r="AH63" s="3274"/>
      <c r="AI63" s="3274"/>
      <c r="AJ63" s="3274"/>
      <c r="AK63" s="3274"/>
      <c r="AL63" s="3529"/>
      <c r="AM63" s="3525"/>
      <c r="AN63" s="3469"/>
      <c r="AO63" s="3526"/>
      <c r="AP63" s="3527"/>
      <c r="AQ63" s="3527"/>
      <c r="AR63" s="3527"/>
      <c r="AS63" s="3527"/>
      <c r="AT63" s="3527"/>
      <c r="AU63" s="3527"/>
      <c r="AV63" s="3527"/>
      <c r="AW63" s="3527"/>
      <c r="AX63" s="3527"/>
      <c r="AY63" s="3527"/>
      <c r="AZ63" s="3527"/>
      <c r="BA63" s="3527"/>
      <c r="BB63" s="3527"/>
      <c r="BC63" s="3527"/>
      <c r="BD63" s="3527"/>
      <c r="BE63" s="3527"/>
      <c r="BF63" s="3527"/>
      <c r="BG63" s="3527"/>
      <c r="BH63" s="3527"/>
      <c r="BI63" s="3527"/>
      <c r="BJ63" s="3527"/>
      <c r="BK63" s="3527"/>
      <c r="BL63" s="3527"/>
      <c r="BM63" s="3527"/>
      <c r="BN63" s="3535"/>
      <c r="BO63" s="3534"/>
      <c r="BP63" s="3465"/>
      <c r="BQ63" s="3465"/>
      <c r="BR63" s="3465"/>
      <c r="BS63" s="3465"/>
      <c r="BT63" s="3465"/>
      <c r="BU63" s="3465"/>
      <c r="BV63" s="3465"/>
      <c r="BW63" s="3465"/>
      <c r="BX63" s="3465"/>
      <c r="BY63" s="3465"/>
      <c r="BZ63" s="3465"/>
      <c r="CA63" s="3533"/>
      <c r="CB63" s="3534"/>
      <c r="CC63" s="3465"/>
      <c r="CD63" s="3465"/>
      <c r="CE63" s="3465"/>
      <c r="CF63" s="3465"/>
      <c r="CG63" s="3465"/>
      <c r="CH63" s="3465"/>
      <c r="CI63" s="3465"/>
      <c r="CJ63" s="3465"/>
      <c r="CK63" s="3465"/>
      <c r="CL63" s="3465"/>
      <c r="CM63" s="3465"/>
    </row>
    <row r="64" spans="1:91" ht="15.75" thickBot="1">
      <c r="A64" s="3572"/>
      <c r="B64" s="2551">
        <f t="shared" si="0"/>
        <v>0</v>
      </c>
      <c r="C64" s="2493" t="s">
        <v>721</v>
      </c>
      <c r="D64" s="2018"/>
      <c r="E64" s="2018"/>
      <c r="F64" s="2019"/>
      <c r="G64" s="2498"/>
      <c r="H64" s="2018"/>
      <c r="I64" s="2020"/>
      <c r="J64" s="2501"/>
      <c r="K64" s="2501"/>
      <c r="L64" s="2501"/>
      <c r="M64" s="2501"/>
      <c r="N64" s="2508"/>
      <c r="O64" s="2503"/>
      <c r="P64" s="3359"/>
      <c r="Q64" s="3359"/>
      <c r="R64" s="3359"/>
      <c r="S64" s="3359"/>
      <c r="T64" s="3359"/>
      <c r="U64" s="3359"/>
      <c r="V64" s="3359"/>
      <c r="W64" s="3359"/>
      <c r="X64" s="3359"/>
      <c r="Y64" s="3359"/>
      <c r="Z64" s="3359"/>
      <c r="AA64" s="3359"/>
      <c r="AB64" s="3536"/>
      <c r="AC64" s="3361"/>
      <c r="AD64" s="3361"/>
      <c r="AE64" s="3361"/>
      <c r="AF64" s="3361"/>
      <c r="AG64" s="3361"/>
      <c r="AH64" s="3361"/>
      <c r="AI64" s="3361"/>
      <c r="AJ64" s="3361"/>
      <c r="AK64" s="3361"/>
      <c r="AL64" s="3514"/>
      <c r="AM64" s="3516"/>
      <c r="AN64" s="3470"/>
      <c r="AO64" s="3718"/>
      <c r="AP64" s="3719"/>
      <c r="AQ64" s="3719"/>
      <c r="AR64" s="3719"/>
      <c r="AS64" s="3719"/>
      <c r="AT64" s="3719"/>
      <c r="AU64" s="3719"/>
      <c r="AV64" s="3719"/>
      <c r="AW64" s="3719"/>
      <c r="AX64" s="3719"/>
      <c r="AY64" s="3719"/>
      <c r="AZ64" s="3719"/>
      <c r="BA64" s="3719"/>
      <c r="BB64" s="3719"/>
      <c r="BC64" s="3719"/>
      <c r="BD64" s="3719"/>
      <c r="BE64" s="3719"/>
      <c r="BF64" s="3719"/>
      <c r="BG64" s="3719"/>
      <c r="BH64" s="3719"/>
      <c r="BI64" s="3719"/>
      <c r="BJ64" s="3719"/>
      <c r="BK64" s="3719"/>
      <c r="BL64" s="3719"/>
      <c r="BM64" s="3719"/>
      <c r="BN64" s="3518"/>
      <c r="BO64" s="3520"/>
      <c r="BP64" s="3466"/>
      <c r="BQ64" s="3466"/>
      <c r="BR64" s="3466"/>
      <c r="BS64" s="3466"/>
      <c r="BT64" s="3466"/>
      <c r="BU64" s="3466"/>
      <c r="BV64" s="3466"/>
      <c r="BW64" s="3466"/>
      <c r="BX64" s="3466"/>
      <c r="BY64" s="3466"/>
      <c r="BZ64" s="3466"/>
      <c r="CA64" s="3477"/>
      <c r="CB64" s="3520"/>
      <c r="CC64" s="3466"/>
      <c r="CD64" s="3466"/>
      <c r="CE64" s="3466"/>
      <c r="CF64" s="3466"/>
      <c r="CG64" s="3466"/>
      <c r="CH64" s="3466"/>
      <c r="CI64" s="3466"/>
      <c r="CJ64" s="3466"/>
      <c r="CK64" s="3466"/>
      <c r="CL64" s="3466"/>
      <c r="CM64" s="3466"/>
    </row>
    <row r="65" spans="1:91">
      <c r="A65" s="3270" t="s">
        <v>1713</v>
      </c>
      <c r="B65" s="2551" t="str">
        <f t="shared" si="0"/>
        <v>3037030035</v>
      </c>
      <c r="C65" s="2010" t="s">
        <v>703</v>
      </c>
      <c r="D65" s="2011">
        <v>3703</v>
      </c>
      <c r="E65" s="2011">
        <v>35</v>
      </c>
      <c r="F65" s="2494">
        <v>2500</v>
      </c>
      <c r="G65" s="2496" t="s">
        <v>1079</v>
      </c>
      <c r="H65" s="2011" t="s">
        <v>1560</v>
      </c>
      <c r="I65" s="2012">
        <v>1.25</v>
      </c>
      <c r="J65" s="2491">
        <v>594</v>
      </c>
      <c r="K65" s="2491">
        <v>0</v>
      </c>
      <c r="L65" s="2491">
        <v>0</v>
      </c>
      <c r="M65" s="2491">
        <v>594</v>
      </c>
      <c r="N65" s="2489">
        <v>0</v>
      </c>
      <c r="O65" s="2437" t="s">
        <v>1606</v>
      </c>
      <c r="P65" s="3272">
        <v>0</v>
      </c>
      <c r="Q65" s="3272">
        <v>2294</v>
      </c>
      <c r="R65" s="3272">
        <v>0</v>
      </c>
      <c r="S65" s="3272">
        <v>0</v>
      </c>
      <c r="T65" s="3272">
        <v>0</v>
      </c>
      <c r="U65" s="3272">
        <v>0</v>
      </c>
      <c r="V65" s="3272">
        <v>1700</v>
      </c>
      <c r="W65" s="3272">
        <v>0</v>
      </c>
      <c r="X65" s="3272">
        <v>700</v>
      </c>
      <c r="Y65" s="3272">
        <v>0</v>
      </c>
      <c r="Z65" s="3272">
        <v>0</v>
      </c>
      <c r="AA65" s="3272">
        <v>0</v>
      </c>
      <c r="AB65" s="3507">
        <v>4694</v>
      </c>
      <c r="AC65" s="3265">
        <v>0</v>
      </c>
      <c r="AD65" s="3265">
        <v>0</v>
      </c>
      <c r="AE65" s="3265">
        <v>0</v>
      </c>
      <c r="AF65" s="3265">
        <v>0</v>
      </c>
      <c r="AG65" s="3265">
        <v>0</v>
      </c>
      <c r="AH65" s="3265">
        <v>2</v>
      </c>
      <c r="AI65" s="3265">
        <v>0</v>
      </c>
      <c r="AJ65" s="3265">
        <v>0</v>
      </c>
      <c r="AK65" s="3265">
        <v>2</v>
      </c>
      <c r="AL65" s="3513">
        <v>25</v>
      </c>
      <c r="AM65" s="3515" t="s">
        <v>705</v>
      </c>
      <c r="AN65" s="3512" t="s">
        <v>706</v>
      </c>
      <c r="AO65" s="3407" t="s">
        <v>1597</v>
      </c>
      <c r="AP65" s="3511">
        <v>23000</v>
      </c>
      <c r="AQ65" s="3511">
        <v>0</v>
      </c>
      <c r="AR65" s="3511">
        <v>0</v>
      </c>
      <c r="AS65" s="3511">
        <v>0</v>
      </c>
      <c r="AT65" s="3511">
        <v>0</v>
      </c>
      <c r="AU65" s="3511">
        <v>0</v>
      </c>
      <c r="AV65" s="3511">
        <v>0</v>
      </c>
      <c r="AW65" s="3511">
        <v>0</v>
      </c>
      <c r="AX65" s="3511">
        <v>0</v>
      </c>
      <c r="AY65" s="3511">
        <v>0</v>
      </c>
      <c r="AZ65" s="3511">
        <v>0</v>
      </c>
      <c r="BA65" s="3511">
        <v>0</v>
      </c>
      <c r="BB65" s="3511">
        <v>23000</v>
      </c>
      <c r="BC65" s="3511">
        <v>23</v>
      </c>
      <c r="BD65" s="3511">
        <v>11.5</v>
      </c>
      <c r="BE65" s="3511">
        <v>6</v>
      </c>
      <c r="BF65" s="3511">
        <v>0</v>
      </c>
      <c r="BG65" s="3511">
        <v>0</v>
      </c>
      <c r="BH65" s="3511">
        <v>0</v>
      </c>
      <c r="BI65" s="3511">
        <v>0</v>
      </c>
      <c r="BJ65" s="3511">
        <v>0</v>
      </c>
      <c r="BK65" s="3511">
        <v>0</v>
      </c>
      <c r="BL65" s="3511">
        <v>0</v>
      </c>
      <c r="BM65" s="3511">
        <v>6</v>
      </c>
      <c r="BN65" s="3517">
        <v>105</v>
      </c>
      <c r="BO65" s="3519">
        <v>23000</v>
      </c>
      <c r="BP65" s="3464">
        <v>-2294</v>
      </c>
      <c r="BQ65" s="3464">
        <v>0</v>
      </c>
      <c r="BR65" s="3464">
        <v>0</v>
      </c>
      <c r="BS65" s="3464">
        <v>0</v>
      </c>
      <c r="BT65" s="3464">
        <v>0</v>
      </c>
      <c r="BU65" s="3464">
        <v>0</v>
      </c>
      <c r="BV65" s="3464">
        <v>-1700</v>
      </c>
      <c r="BW65" s="3464">
        <v>0</v>
      </c>
      <c r="BX65" s="3464">
        <v>-700</v>
      </c>
      <c r="BY65" s="3464">
        <v>0</v>
      </c>
      <c r="BZ65" s="3464">
        <v>0</v>
      </c>
      <c r="CA65" s="3524">
        <v>0</v>
      </c>
      <c r="CB65" s="3519">
        <v>18306</v>
      </c>
      <c r="CC65" s="3464">
        <v>-4694</v>
      </c>
      <c r="CD65" s="3464">
        <v>23</v>
      </c>
      <c r="CE65" s="3464">
        <v>11.5</v>
      </c>
      <c r="CF65" s="3464">
        <v>6</v>
      </c>
      <c r="CG65" s="3464">
        <v>0</v>
      </c>
      <c r="CH65" s="3464">
        <v>0</v>
      </c>
      <c r="CI65" s="3464">
        <v>0</v>
      </c>
      <c r="CJ65" s="3464">
        <v>0</v>
      </c>
      <c r="CK65" s="3464">
        <v>-2</v>
      </c>
      <c r="CL65" s="3464">
        <v>0</v>
      </c>
      <c r="CM65" s="3464">
        <v>0</v>
      </c>
    </row>
    <row r="66" spans="1:91" ht="15.75" thickBot="1">
      <c r="A66" s="3357"/>
      <c r="B66" s="2551" t="str">
        <f t="shared" si="0"/>
        <v>3037030036</v>
      </c>
      <c r="C66" s="2488" t="s">
        <v>710</v>
      </c>
      <c r="D66" s="2114">
        <v>3703</v>
      </c>
      <c r="E66" s="2114">
        <v>36</v>
      </c>
      <c r="F66" s="2481">
        <v>2500</v>
      </c>
      <c r="G66" s="2446" t="s">
        <v>1079</v>
      </c>
      <c r="H66" s="2114" t="s">
        <v>1560</v>
      </c>
      <c r="I66" s="2464">
        <v>1.25</v>
      </c>
      <c r="J66" s="2483">
        <v>1700</v>
      </c>
      <c r="K66" s="2483">
        <v>700</v>
      </c>
      <c r="L66" s="2483">
        <v>1700</v>
      </c>
      <c r="M66" s="2483">
        <v>4100</v>
      </c>
      <c r="N66" s="2442">
        <v>0</v>
      </c>
      <c r="O66" s="2503" t="s">
        <v>1714</v>
      </c>
      <c r="P66" s="3359"/>
      <c r="Q66" s="3359"/>
      <c r="R66" s="3359"/>
      <c r="S66" s="3359"/>
      <c r="T66" s="3359"/>
      <c r="U66" s="3359"/>
      <c r="V66" s="3359"/>
      <c r="W66" s="3359"/>
      <c r="X66" s="3359"/>
      <c r="Y66" s="3359"/>
      <c r="Z66" s="3359"/>
      <c r="AA66" s="3359"/>
      <c r="AB66" s="3536"/>
      <c r="AC66" s="3361"/>
      <c r="AD66" s="3361"/>
      <c r="AE66" s="3361"/>
      <c r="AF66" s="3361"/>
      <c r="AG66" s="3361"/>
      <c r="AH66" s="3361"/>
      <c r="AI66" s="3361"/>
      <c r="AJ66" s="3361"/>
      <c r="AK66" s="3361"/>
      <c r="AL66" s="3514"/>
      <c r="AM66" s="3516"/>
      <c r="AN66" s="3470"/>
      <c r="AO66" s="3718"/>
      <c r="AP66" s="3719"/>
      <c r="AQ66" s="3719"/>
      <c r="AR66" s="3719"/>
      <c r="AS66" s="3719"/>
      <c r="AT66" s="3719"/>
      <c r="AU66" s="3719"/>
      <c r="AV66" s="3719"/>
      <c r="AW66" s="3719"/>
      <c r="AX66" s="3719"/>
      <c r="AY66" s="3719"/>
      <c r="AZ66" s="3719"/>
      <c r="BA66" s="3719"/>
      <c r="BB66" s="3719"/>
      <c r="BC66" s="3719"/>
      <c r="BD66" s="3719"/>
      <c r="BE66" s="3719"/>
      <c r="BF66" s="3719"/>
      <c r="BG66" s="3719"/>
      <c r="BH66" s="3719"/>
      <c r="BI66" s="3719"/>
      <c r="BJ66" s="3719"/>
      <c r="BK66" s="3719"/>
      <c r="BL66" s="3719"/>
      <c r="BM66" s="3719"/>
      <c r="BN66" s="3518"/>
      <c r="BO66" s="3520"/>
      <c r="BP66" s="3466"/>
      <c r="BQ66" s="3466"/>
      <c r="BR66" s="3466"/>
      <c r="BS66" s="3466"/>
      <c r="BT66" s="3466"/>
      <c r="BU66" s="3466"/>
      <c r="BV66" s="3466"/>
      <c r="BW66" s="3466"/>
      <c r="BX66" s="3466"/>
      <c r="BY66" s="3466"/>
      <c r="BZ66" s="3466"/>
      <c r="CA66" s="3477"/>
      <c r="CB66" s="3520"/>
      <c r="CC66" s="3466"/>
      <c r="CD66" s="3466"/>
      <c r="CE66" s="3466"/>
      <c r="CF66" s="3466"/>
      <c r="CG66" s="3466"/>
      <c r="CH66" s="3466"/>
      <c r="CI66" s="3466"/>
      <c r="CJ66" s="3466"/>
      <c r="CK66" s="3466"/>
      <c r="CL66" s="3466"/>
      <c r="CM66" s="3466"/>
    </row>
    <row r="67" spans="1:91">
      <c r="A67" s="3573" t="s">
        <v>1715</v>
      </c>
      <c r="B67" s="2551">
        <f t="shared" si="0"/>
        <v>0</v>
      </c>
      <c r="C67" s="2010" t="s">
        <v>703</v>
      </c>
      <c r="D67" s="2462"/>
      <c r="E67" s="2462"/>
      <c r="F67" s="2461"/>
      <c r="G67" s="2445"/>
      <c r="H67" s="2462"/>
      <c r="I67" s="2463"/>
      <c r="J67" s="2448"/>
      <c r="K67" s="2448"/>
      <c r="L67" s="2448"/>
      <c r="M67" s="2448"/>
      <c r="N67" s="2438"/>
      <c r="O67" s="2437"/>
      <c r="P67" s="3272"/>
      <c r="Q67" s="3272"/>
      <c r="R67" s="3272"/>
      <c r="S67" s="3272"/>
      <c r="T67" s="3272"/>
      <c r="U67" s="3272"/>
      <c r="V67" s="3272"/>
      <c r="W67" s="3272"/>
      <c r="X67" s="3272"/>
      <c r="Y67" s="3272"/>
      <c r="Z67" s="3272"/>
      <c r="AA67" s="3272"/>
      <c r="AB67" s="3507"/>
      <c r="AC67" s="3265"/>
      <c r="AD67" s="3265"/>
      <c r="AE67" s="3265"/>
      <c r="AF67" s="3265"/>
      <c r="AG67" s="3265"/>
      <c r="AH67" s="3265"/>
      <c r="AI67" s="3265"/>
      <c r="AJ67" s="3265"/>
      <c r="AK67" s="3265"/>
      <c r="AL67" s="3513"/>
      <c r="AM67" s="3515"/>
      <c r="AN67" s="3512"/>
      <c r="AO67" s="3407"/>
      <c r="AP67" s="3511"/>
      <c r="AQ67" s="3511"/>
      <c r="AR67" s="3511"/>
      <c r="AS67" s="3511"/>
      <c r="AT67" s="3511"/>
      <c r="AU67" s="3511"/>
      <c r="AV67" s="3511"/>
      <c r="AW67" s="3511"/>
      <c r="AX67" s="3511"/>
      <c r="AY67" s="3511"/>
      <c r="AZ67" s="3511"/>
      <c r="BA67" s="3511"/>
      <c r="BB67" s="3511"/>
      <c r="BC67" s="3511"/>
      <c r="BD67" s="3511"/>
      <c r="BE67" s="3511"/>
      <c r="BF67" s="3511"/>
      <c r="BG67" s="3511"/>
      <c r="BH67" s="3511"/>
      <c r="BI67" s="3511"/>
      <c r="BJ67" s="3511"/>
      <c r="BK67" s="3511"/>
      <c r="BL67" s="3511"/>
      <c r="BM67" s="3511"/>
      <c r="BN67" s="3517"/>
      <c r="BO67" s="3519"/>
      <c r="BP67" s="3464"/>
      <c r="BQ67" s="3464"/>
      <c r="BR67" s="3464"/>
      <c r="BS67" s="3464"/>
      <c r="BT67" s="3464"/>
      <c r="BU67" s="3464"/>
      <c r="BV67" s="3464"/>
      <c r="BW67" s="3464"/>
      <c r="BX67" s="3464"/>
      <c r="BY67" s="3464"/>
      <c r="BZ67" s="3464"/>
      <c r="CA67" s="3524"/>
      <c r="CB67" s="3519"/>
      <c r="CC67" s="3464"/>
      <c r="CD67" s="3464"/>
      <c r="CE67" s="3464"/>
      <c r="CF67" s="3464"/>
      <c r="CG67" s="3464"/>
      <c r="CH67" s="3464"/>
      <c r="CI67" s="3464"/>
      <c r="CJ67" s="3464"/>
      <c r="CK67" s="3464"/>
      <c r="CL67" s="3464"/>
      <c r="CM67" s="3464"/>
    </row>
    <row r="68" spans="1:91">
      <c r="A68" s="3574"/>
      <c r="B68" s="2551">
        <f t="shared" si="0"/>
        <v>0</v>
      </c>
      <c r="C68" s="2488" t="s">
        <v>710</v>
      </c>
      <c r="D68" s="2026"/>
      <c r="E68" s="2026"/>
      <c r="F68" s="2027"/>
      <c r="G68" s="2497"/>
      <c r="H68" s="2026"/>
      <c r="I68" s="2028"/>
      <c r="J68" s="2500"/>
      <c r="K68" s="2500"/>
      <c r="L68" s="2500"/>
      <c r="M68" s="2500"/>
      <c r="N68" s="2029"/>
      <c r="O68" s="2502"/>
      <c r="P68" s="3273"/>
      <c r="Q68" s="3273"/>
      <c r="R68" s="3273"/>
      <c r="S68" s="3273"/>
      <c r="T68" s="3273"/>
      <c r="U68" s="3273"/>
      <c r="V68" s="3273"/>
      <c r="W68" s="3273"/>
      <c r="X68" s="3273"/>
      <c r="Y68" s="3273"/>
      <c r="Z68" s="3273"/>
      <c r="AA68" s="3273"/>
      <c r="AB68" s="3508"/>
      <c r="AC68" s="3274"/>
      <c r="AD68" s="3274"/>
      <c r="AE68" s="3274"/>
      <c r="AF68" s="3274"/>
      <c r="AG68" s="3274"/>
      <c r="AH68" s="3274"/>
      <c r="AI68" s="3274"/>
      <c r="AJ68" s="3274"/>
      <c r="AK68" s="3274"/>
      <c r="AL68" s="3529"/>
      <c r="AM68" s="3525"/>
      <c r="AN68" s="3469"/>
      <c r="AO68" s="3526"/>
      <c r="AP68" s="3527"/>
      <c r="AQ68" s="3527"/>
      <c r="AR68" s="3527"/>
      <c r="AS68" s="3527"/>
      <c r="AT68" s="3527"/>
      <c r="AU68" s="3527"/>
      <c r="AV68" s="3527"/>
      <c r="AW68" s="3527"/>
      <c r="AX68" s="3527"/>
      <c r="AY68" s="3527"/>
      <c r="AZ68" s="3527"/>
      <c r="BA68" s="3527"/>
      <c r="BB68" s="3527"/>
      <c r="BC68" s="3527"/>
      <c r="BD68" s="3527"/>
      <c r="BE68" s="3527"/>
      <c r="BF68" s="3527"/>
      <c r="BG68" s="3527"/>
      <c r="BH68" s="3527"/>
      <c r="BI68" s="3527"/>
      <c r="BJ68" s="3527"/>
      <c r="BK68" s="3527"/>
      <c r="BL68" s="3527"/>
      <c r="BM68" s="3527"/>
      <c r="BN68" s="3535"/>
      <c r="BO68" s="3534"/>
      <c r="BP68" s="3465"/>
      <c r="BQ68" s="3465"/>
      <c r="BR68" s="3465"/>
      <c r="BS68" s="3465"/>
      <c r="BT68" s="3465"/>
      <c r="BU68" s="3465"/>
      <c r="BV68" s="3465"/>
      <c r="BW68" s="3465"/>
      <c r="BX68" s="3465"/>
      <c r="BY68" s="3465"/>
      <c r="BZ68" s="3465"/>
      <c r="CA68" s="3533"/>
      <c r="CB68" s="3534"/>
      <c r="CC68" s="3465"/>
      <c r="CD68" s="3465"/>
      <c r="CE68" s="3465"/>
      <c r="CF68" s="3465"/>
      <c r="CG68" s="3465"/>
      <c r="CH68" s="3465"/>
      <c r="CI68" s="3465"/>
      <c r="CJ68" s="3465"/>
      <c r="CK68" s="3465"/>
      <c r="CL68" s="3465"/>
      <c r="CM68" s="3465"/>
    </row>
    <row r="69" spans="1:91" ht="15.75" thickBot="1">
      <c r="A69" s="3572"/>
      <c r="B69" s="2551">
        <f t="shared" si="0"/>
        <v>0</v>
      </c>
      <c r="C69" s="2493" t="s">
        <v>721</v>
      </c>
      <c r="D69" s="2479"/>
      <c r="E69" s="2479"/>
      <c r="F69" s="2482"/>
      <c r="G69" s="2447"/>
      <c r="H69" s="2479"/>
      <c r="I69" s="2465"/>
      <c r="J69" s="2480"/>
      <c r="K69" s="2480"/>
      <c r="L69" s="2480"/>
      <c r="M69" s="2480"/>
      <c r="N69" s="2443"/>
      <c r="O69" s="2115"/>
      <c r="P69" s="3273"/>
      <c r="Q69" s="3273"/>
      <c r="R69" s="3273"/>
      <c r="S69" s="3273"/>
      <c r="T69" s="3273"/>
      <c r="U69" s="3273"/>
      <c r="V69" s="3273"/>
      <c r="W69" s="3273"/>
      <c r="X69" s="3273"/>
      <c r="Y69" s="3273"/>
      <c r="Z69" s="3273"/>
      <c r="AA69" s="3273"/>
      <c r="AB69" s="3508"/>
      <c r="AC69" s="3274"/>
      <c r="AD69" s="3274"/>
      <c r="AE69" s="3274"/>
      <c r="AF69" s="3274"/>
      <c r="AG69" s="3274"/>
      <c r="AH69" s="3274"/>
      <c r="AI69" s="3274"/>
      <c r="AJ69" s="3274"/>
      <c r="AK69" s="3274"/>
      <c r="AL69" s="3529"/>
      <c r="AM69" s="3516"/>
      <c r="AN69" s="3470"/>
      <c r="AO69" s="3718"/>
      <c r="AP69" s="3719"/>
      <c r="AQ69" s="3719"/>
      <c r="AR69" s="3719"/>
      <c r="AS69" s="3719"/>
      <c r="AT69" s="3719"/>
      <c r="AU69" s="3719"/>
      <c r="AV69" s="3719"/>
      <c r="AW69" s="3719"/>
      <c r="AX69" s="3719"/>
      <c r="AY69" s="3719"/>
      <c r="AZ69" s="3719"/>
      <c r="BA69" s="3719"/>
      <c r="BB69" s="3719"/>
      <c r="BC69" s="3719"/>
      <c r="BD69" s="3719"/>
      <c r="BE69" s="3719"/>
      <c r="BF69" s="3719"/>
      <c r="BG69" s="3719"/>
      <c r="BH69" s="3719"/>
      <c r="BI69" s="3719"/>
      <c r="BJ69" s="3719"/>
      <c r="BK69" s="3719"/>
      <c r="BL69" s="3719"/>
      <c r="BM69" s="3719"/>
      <c r="BN69" s="3518"/>
      <c r="BO69" s="3520"/>
      <c r="BP69" s="3466"/>
      <c r="BQ69" s="3466"/>
      <c r="BR69" s="3466"/>
      <c r="BS69" s="3466"/>
      <c r="BT69" s="3466"/>
      <c r="BU69" s="3466"/>
      <c r="BV69" s="3466"/>
      <c r="BW69" s="3466"/>
      <c r="BX69" s="3466"/>
      <c r="BY69" s="3466"/>
      <c r="BZ69" s="3466"/>
      <c r="CA69" s="3477"/>
      <c r="CB69" s="3520"/>
      <c r="CC69" s="3466"/>
      <c r="CD69" s="3466"/>
      <c r="CE69" s="3466"/>
      <c r="CF69" s="3466"/>
      <c r="CG69" s="3466"/>
      <c r="CH69" s="3466"/>
      <c r="CI69" s="3466"/>
      <c r="CJ69" s="3466"/>
      <c r="CK69" s="3466"/>
      <c r="CL69" s="3466"/>
      <c r="CM69" s="3466"/>
    </row>
    <row r="70" spans="1:91" ht="15.75" thickBot="1">
      <c r="A70" s="2455" t="s">
        <v>1716</v>
      </c>
      <c r="B70" s="2551" t="str">
        <f t="shared" ref="B70:B133" si="1">IF(E70="",,3&amp;IF(LEN($D70)=1,"0000"&amp;$D70,IF(LEN($D70)=2,"000"&amp;$D70,IF(LEN($D70)=3,"00"&amp;$D70,IF(LEN($D70)=4,"0"&amp;$D70,IF(LEN($D70)=5,$D70,0)))))&amp;IF(LEN(E70)=1,"000"&amp;E70,IF(LEN(E70)=2,"00"&amp;E70,IF(LEN(E70)=3,"0"&amp;E70,IF(LEN(E70)=4,E70,0)))))</f>
        <v>3037200021</v>
      </c>
      <c r="C70" s="2022" t="s">
        <v>703</v>
      </c>
      <c r="D70" s="2023">
        <v>3720</v>
      </c>
      <c r="E70" s="2023">
        <v>21</v>
      </c>
      <c r="F70" s="2506">
        <v>5000</v>
      </c>
      <c r="G70" s="2507" t="s">
        <v>1079</v>
      </c>
      <c r="H70" s="2023" t="s">
        <v>1584</v>
      </c>
      <c r="I70" s="2024">
        <v>1.25</v>
      </c>
      <c r="J70" s="2505">
        <v>3319</v>
      </c>
      <c r="K70" s="2505">
        <v>0</v>
      </c>
      <c r="L70" s="2505">
        <v>0</v>
      </c>
      <c r="M70" s="2505">
        <v>3319</v>
      </c>
      <c r="N70" s="2025">
        <v>0</v>
      </c>
      <c r="O70" s="2042" t="s">
        <v>1573</v>
      </c>
      <c r="P70" s="2049">
        <v>0</v>
      </c>
      <c r="Q70" s="2049">
        <v>3319</v>
      </c>
      <c r="R70" s="2049">
        <v>0</v>
      </c>
      <c r="S70" s="2049">
        <v>0</v>
      </c>
      <c r="T70" s="2049">
        <v>0</v>
      </c>
      <c r="U70" s="2049">
        <v>0</v>
      </c>
      <c r="V70" s="2049">
        <v>0</v>
      </c>
      <c r="W70" s="2049">
        <v>0</v>
      </c>
      <c r="X70" s="2049">
        <v>0</v>
      </c>
      <c r="Y70" s="2049">
        <v>0</v>
      </c>
      <c r="Z70" s="2049">
        <v>0</v>
      </c>
      <c r="AA70" s="2049">
        <v>0</v>
      </c>
      <c r="AB70" s="2116">
        <v>3319</v>
      </c>
      <c r="AC70" s="2533">
        <v>0</v>
      </c>
      <c r="AD70" s="2533">
        <v>0</v>
      </c>
      <c r="AE70" s="2533">
        <v>8</v>
      </c>
      <c r="AF70" s="2533">
        <v>0</v>
      </c>
      <c r="AG70" s="2533">
        <v>0</v>
      </c>
      <c r="AH70" s="2533">
        <v>0</v>
      </c>
      <c r="AI70" s="2533">
        <v>0</v>
      </c>
      <c r="AJ70" s="2533">
        <v>0</v>
      </c>
      <c r="AK70" s="2533">
        <v>8</v>
      </c>
      <c r="AL70" s="2117">
        <v>45</v>
      </c>
      <c r="AM70" s="2118" t="s">
        <v>705</v>
      </c>
      <c r="AN70" s="2119" t="s">
        <v>706</v>
      </c>
      <c r="AO70" s="2092" t="s">
        <v>1637</v>
      </c>
      <c r="AP70" s="2120">
        <v>18500</v>
      </c>
      <c r="AQ70" s="2120">
        <v>4500</v>
      </c>
      <c r="AR70" s="2120">
        <v>0</v>
      </c>
      <c r="AS70" s="2120">
        <v>0</v>
      </c>
      <c r="AT70" s="2120">
        <v>0</v>
      </c>
      <c r="AU70" s="2120">
        <v>0</v>
      </c>
      <c r="AV70" s="2120">
        <v>0</v>
      </c>
      <c r="AW70" s="2120">
        <v>0</v>
      </c>
      <c r="AX70" s="2120">
        <v>0</v>
      </c>
      <c r="AY70" s="2120">
        <v>0</v>
      </c>
      <c r="AZ70" s="2120">
        <v>0</v>
      </c>
      <c r="BA70" s="2120">
        <v>0</v>
      </c>
      <c r="BB70" s="2120">
        <v>23000</v>
      </c>
      <c r="BC70" s="2120">
        <v>18</v>
      </c>
      <c r="BD70" s="2120">
        <v>9.25</v>
      </c>
      <c r="BE70" s="2120">
        <v>5</v>
      </c>
      <c r="BF70" s="2120">
        <v>0</v>
      </c>
      <c r="BG70" s="2120">
        <v>5</v>
      </c>
      <c r="BH70" s="2120">
        <v>0</v>
      </c>
      <c r="BI70" s="2120">
        <v>0</v>
      </c>
      <c r="BJ70" s="2120">
        <v>0</v>
      </c>
      <c r="BK70" s="2120">
        <v>0</v>
      </c>
      <c r="BL70" s="2120">
        <v>0</v>
      </c>
      <c r="BM70" s="2120">
        <v>10</v>
      </c>
      <c r="BN70" s="2121">
        <v>105</v>
      </c>
      <c r="BO70" s="2048">
        <v>18500</v>
      </c>
      <c r="BP70" s="2090">
        <v>1181</v>
      </c>
      <c r="BQ70" s="2090">
        <v>0</v>
      </c>
      <c r="BR70" s="2090">
        <v>0</v>
      </c>
      <c r="BS70" s="2090">
        <v>0</v>
      </c>
      <c r="BT70" s="2090">
        <v>0</v>
      </c>
      <c r="BU70" s="2090">
        <v>0</v>
      </c>
      <c r="BV70" s="2090">
        <v>0</v>
      </c>
      <c r="BW70" s="2090">
        <v>0</v>
      </c>
      <c r="BX70" s="2090">
        <v>0</v>
      </c>
      <c r="BY70" s="2090">
        <v>0</v>
      </c>
      <c r="BZ70" s="2090">
        <v>0</v>
      </c>
      <c r="CA70" s="2122">
        <v>0</v>
      </c>
      <c r="CB70" s="2048">
        <v>19681</v>
      </c>
      <c r="CC70" s="2090">
        <v>1181</v>
      </c>
      <c r="CD70" s="2090">
        <v>18</v>
      </c>
      <c r="CE70" s="2090">
        <v>9.25</v>
      </c>
      <c r="CF70" s="2090">
        <v>5</v>
      </c>
      <c r="CG70" s="2090">
        <v>0</v>
      </c>
      <c r="CH70" s="2090">
        <v>-3</v>
      </c>
      <c r="CI70" s="2090">
        <v>0</v>
      </c>
      <c r="CJ70" s="2090">
        <v>0</v>
      </c>
      <c r="CK70" s="2090">
        <v>0</v>
      </c>
      <c r="CL70" s="2090">
        <v>0</v>
      </c>
      <c r="CM70" s="2090">
        <v>0</v>
      </c>
    </row>
    <row r="71" spans="1:91" ht="15.75" thickBot="1">
      <c r="A71" s="2451" t="s">
        <v>1717</v>
      </c>
      <c r="B71" s="2551" t="str">
        <f t="shared" si="1"/>
        <v>3037220028</v>
      </c>
      <c r="C71" s="2010" t="s">
        <v>703</v>
      </c>
      <c r="D71" s="2011">
        <v>3722</v>
      </c>
      <c r="E71" s="2011">
        <v>28</v>
      </c>
      <c r="F71" s="2494">
        <v>20000</v>
      </c>
      <c r="G71" s="2496" t="s">
        <v>1082</v>
      </c>
      <c r="H71" s="2011" t="s">
        <v>1345</v>
      </c>
      <c r="I71" s="2012">
        <v>2.4300000000000002</v>
      </c>
      <c r="J71" s="2491">
        <v>10150</v>
      </c>
      <c r="K71" s="2491">
        <v>0</v>
      </c>
      <c r="L71" s="2491">
        <v>0</v>
      </c>
      <c r="M71" s="2491">
        <v>10150</v>
      </c>
      <c r="N71" s="2489">
        <v>0</v>
      </c>
      <c r="O71" s="2490" t="s">
        <v>1681</v>
      </c>
      <c r="P71" s="2499">
        <v>0</v>
      </c>
      <c r="Q71" s="2499">
        <v>0</v>
      </c>
      <c r="R71" s="2499">
        <v>10150</v>
      </c>
      <c r="S71" s="2499">
        <v>0</v>
      </c>
      <c r="T71" s="2499">
        <v>0</v>
      </c>
      <c r="U71" s="2499">
        <v>0</v>
      </c>
      <c r="V71" s="2499">
        <v>0</v>
      </c>
      <c r="W71" s="2499">
        <v>0</v>
      </c>
      <c r="X71" s="2499">
        <v>0</v>
      </c>
      <c r="Y71" s="2499">
        <v>0</v>
      </c>
      <c r="Z71" s="2499">
        <v>0</v>
      </c>
      <c r="AA71" s="2499">
        <v>0</v>
      </c>
      <c r="AB71" s="2530">
        <v>10150</v>
      </c>
      <c r="AC71" s="2491">
        <v>0</v>
      </c>
      <c r="AD71" s="2491">
        <v>0</v>
      </c>
      <c r="AE71" s="2491">
        <v>25</v>
      </c>
      <c r="AF71" s="2491">
        <v>0</v>
      </c>
      <c r="AG71" s="2491">
        <v>0</v>
      </c>
      <c r="AH71" s="2491">
        <v>0</v>
      </c>
      <c r="AI71" s="2491">
        <v>0</v>
      </c>
      <c r="AJ71" s="2491">
        <v>0</v>
      </c>
      <c r="AK71" s="2491">
        <v>25</v>
      </c>
      <c r="AL71" s="2522">
        <v>15</v>
      </c>
      <c r="AM71" s="2118" t="s">
        <v>705</v>
      </c>
      <c r="AN71" s="2119" t="s">
        <v>706</v>
      </c>
      <c r="AO71" s="2092" t="s">
        <v>1718</v>
      </c>
      <c r="AP71" s="2120">
        <v>92000</v>
      </c>
      <c r="AQ71" s="2120">
        <v>0</v>
      </c>
      <c r="AR71" s="2120">
        <v>18000</v>
      </c>
      <c r="AS71" s="2120">
        <v>0</v>
      </c>
      <c r="AT71" s="2120">
        <v>0</v>
      </c>
      <c r="AU71" s="2120">
        <v>0</v>
      </c>
      <c r="AV71" s="2120">
        <v>0</v>
      </c>
      <c r="AW71" s="2120">
        <v>0</v>
      </c>
      <c r="AX71" s="2120">
        <v>0</v>
      </c>
      <c r="AY71" s="2120">
        <v>0</v>
      </c>
      <c r="AZ71" s="2120">
        <v>0</v>
      </c>
      <c r="BA71" s="2120">
        <v>0</v>
      </c>
      <c r="BB71" s="2120">
        <v>110000</v>
      </c>
      <c r="BC71" s="2120">
        <v>92</v>
      </c>
      <c r="BD71" s="2120">
        <v>46</v>
      </c>
      <c r="BE71" s="2120">
        <v>23</v>
      </c>
      <c r="BF71" s="2120">
        <v>0</v>
      </c>
      <c r="BG71" s="2120">
        <v>0</v>
      </c>
      <c r="BH71" s="2120">
        <v>0</v>
      </c>
      <c r="BI71" s="2120">
        <v>0</v>
      </c>
      <c r="BJ71" s="2120">
        <v>0</v>
      </c>
      <c r="BK71" s="2120">
        <v>0</v>
      </c>
      <c r="BL71" s="2120">
        <v>0</v>
      </c>
      <c r="BM71" s="2120">
        <v>23</v>
      </c>
      <c r="BN71" s="2121">
        <v>105</v>
      </c>
      <c r="BO71" s="2048">
        <v>92000</v>
      </c>
      <c r="BP71" s="2090">
        <v>0</v>
      </c>
      <c r="BQ71" s="2090">
        <v>-10150</v>
      </c>
      <c r="BR71" s="2090">
        <v>18000</v>
      </c>
      <c r="BS71" s="2090">
        <v>0</v>
      </c>
      <c r="BT71" s="2090">
        <v>0</v>
      </c>
      <c r="BU71" s="2090">
        <v>0</v>
      </c>
      <c r="BV71" s="2090">
        <v>0</v>
      </c>
      <c r="BW71" s="2090">
        <v>0</v>
      </c>
      <c r="BX71" s="2090">
        <v>0</v>
      </c>
      <c r="BY71" s="2090">
        <v>0</v>
      </c>
      <c r="BZ71" s="2090">
        <v>0</v>
      </c>
      <c r="CA71" s="2122">
        <v>0</v>
      </c>
      <c r="CB71" s="2048">
        <v>99850</v>
      </c>
      <c r="CC71" s="2090">
        <v>7850</v>
      </c>
      <c r="CD71" s="2090">
        <v>92</v>
      </c>
      <c r="CE71" s="2090">
        <v>46</v>
      </c>
      <c r="CF71" s="2090">
        <v>23</v>
      </c>
      <c r="CG71" s="2090">
        <v>0</v>
      </c>
      <c r="CH71" s="2090">
        <v>-25</v>
      </c>
      <c r="CI71" s="2090">
        <v>0</v>
      </c>
      <c r="CJ71" s="2090">
        <v>0</v>
      </c>
      <c r="CK71" s="2090">
        <v>0</v>
      </c>
      <c r="CL71" s="2090">
        <v>0</v>
      </c>
      <c r="CM71" s="2090">
        <v>0</v>
      </c>
    </row>
    <row r="72" spans="1:91">
      <c r="A72" s="3270" t="s">
        <v>1719</v>
      </c>
      <c r="B72" s="2551" t="str">
        <f t="shared" si="1"/>
        <v>3037420016</v>
      </c>
      <c r="C72" s="2466" t="s">
        <v>703</v>
      </c>
      <c r="D72" s="2462">
        <v>3742</v>
      </c>
      <c r="E72" s="2462">
        <v>16</v>
      </c>
      <c r="F72" s="2461">
        <v>2500</v>
      </c>
      <c r="G72" s="2445" t="s">
        <v>1082</v>
      </c>
      <c r="H72" s="2462" t="s">
        <v>1584</v>
      </c>
      <c r="I72" s="2463">
        <v>2.4300000000000002</v>
      </c>
      <c r="J72" s="2448">
        <v>0</v>
      </c>
      <c r="K72" s="2448">
        <v>0</v>
      </c>
      <c r="L72" s="2448">
        <v>0</v>
      </c>
      <c r="M72" s="2448">
        <v>0</v>
      </c>
      <c r="N72" s="2438">
        <v>0</v>
      </c>
      <c r="O72" s="2437" t="s">
        <v>1670</v>
      </c>
      <c r="P72" s="3272">
        <v>3575</v>
      </c>
      <c r="Q72" s="3272">
        <v>6075</v>
      </c>
      <c r="R72" s="3272">
        <v>0</v>
      </c>
      <c r="S72" s="3272">
        <v>0</v>
      </c>
      <c r="T72" s="3272">
        <v>0</v>
      </c>
      <c r="U72" s="3272">
        <v>0</v>
      </c>
      <c r="V72" s="3272">
        <v>2500</v>
      </c>
      <c r="W72" s="3272">
        <v>0</v>
      </c>
      <c r="X72" s="3272">
        <v>0</v>
      </c>
      <c r="Y72" s="3272">
        <v>0</v>
      </c>
      <c r="Z72" s="3272">
        <v>0</v>
      </c>
      <c r="AA72" s="3272">
        <v>2500</v>
      </c>
      <c r="AB72" s="3507">
        <v>14650</v>
      </c>
      <c r="AC72" s="3265">
        <v>3</v>
      </c>
      <c r="AD72" s="3265">
        <v>2</v>
      </c>
      <c r="AE72" s="3265">
        <v>22</v>
      </c>
      <c r="AF72" s="3265">
        <v>0</v>
      </c>
      <c r="AG72" s="3265">
        <v>0</v>
      </c>
      <c r="AH72" s="3265">
        <v>0</v>
      </c>
      <c r="AI72" s="3265">
        <v>0</v>
      </c>
      <c r="AJ72" s="3265">
        <v>3</v>
      </c>
      <c r="AK72" s="3265">
        <v>27</v>
      </c>
      <c r="AL72" s="3513">
        <v>25</v>
      </c>
      <c r="AM72" s="3515" t="s">
        <v>705</v>
      </c>
      <c r="AN72" s="3512" t="s">
        <v>706</v>
      </c>
      <c r="AO72" s="3407" t="s">
        <v>1637</v>
      </c>
      <c r="AP72" s="3511">
        <v>38350</v>
      </c>
      <c r="AQ72" s="3511">
        <v>7650</v>
      </c>
      <c r="AR72" s="3511">
        <v>0</v>
      </c>
      <c r="AS72" s="3511">
        <v>0</v>
      </c>
      <c r="AT72" s="3511">
        <v>0</v>
      </c>
      <c r="AU72" s="3511">
        <v>0</v>
      </c>
      <c r="AV72" s="3511">
        <v>0</v>
      </c>
      <c r="AW72" s="3511">
        <v>0</v>
      </c>
      <c r="AX72" s="3511">
        <v>0</v>
      </c>
      <c r="AY72" s="3511">
        <v>0</v>
      </c>
      <c r="AZ72" s="3511">
        <v>0</v>
      </c>
      <c r="BA72" s="3511">
        <v>0</v>
      </c>
      <c r="BB72" s="3511">
        <v>46000</v>
      </c>
      <c r="BC72" s="3511">
        <v>38</v>
      </c>
      <c r="BD72" s="3511">
        <v>19.175000000000001</v>
      </c>
      <c r="BE72" s="3511">
        <v>10</v>
      </c>
      <c r="BF72" s="3511">
        <v>0</v>
      </c>
      <c r="BG72" s="3511">
        <v>8</v>
      </c>
      <c r="BH72" s="3511">
        <v>0</v>
      </c>
      <c r="BI72" s="3511">
        <v>0</v>
      </c>
      <c r="BJ72" s="3511">
        <v>0</v>
      </c>
      <c r="BK72" s="3511">
        <v>0</v>
      </c>
      <c r="BL72" s="3511">
        <v>0</v>
      </c>
      <c r="BM72" s="3511">
        <v>18</v>
      </c>
      <c r="BN72" s="3517">
        <v>105</v>
      </c>
      <c r="BO72" s="3519">
        <v>34775</v>
      </c>
      <c r="BP72" s="3464">
        <v>1575</v>
      </c>
      <c r="BQ72" s="3464">
        <v>0</v>
      </c>
      <c r="BR72" s="3464">
        <v>0</v>
      </c>
      <c r="BS72" s="3464">
        <v>0</v>
      </c>
      <c r="BT72" s="3464">
        <v>0</v>
      </c>
      <c r="BU72" s="3464">
        <v>0</v>
      </c>
      <c r="BV72" s="3464">
        <v>-2500</v>
      </c>
      <c r="BW72" s="3464">
        <v>0</v>
      </c>
      <c r="BX72" s="3464">
        <v>0</v>
      </c>
      <c r="BY72" s="3464">
        <v>0</v>
      </c>
      <c r="BZ72" s="3464">
        <v>0</v>
      </c>
      <c r="CA72" s="3524">
        <v>-2500</v>
      </c>
      <c r="CB72" s="3519">
        <v>31350</v>
      </c>
      <c r="CC72" s="3464">
        <v>-925</v>
      </c>
      <c r="CD72" s="3464">
        <v>35</v>
      </c>
      <c r="CE72" s="3464">
        <v>19.175000000000001</v>
      </c>
      <c r="CF72" s="3464">
        <v>8</v>
      </c>
      <c r="CG72" s="3464">
        <v>0</v>
      </c>
      <c r="CH72" s="3464">
        <v>-14</v>
      </c>
      <c r="CI72" s="3464">
        <v>0</v>
      </c>
      <c r="CJ72" s="3464">
        <v>0</v>
      </c>
      <c r="CK72" s="3464">
        <v>0</v>
      </c>
      <c r="CL72" s="3464">
        <v>0</v>
      </c>
      <c r="CM72" s="3464">
        <v>-3</v>
      </c>
    </row>
    <row r="73" spans="1:91">
      <c r="A73" s="3387"/>
      <c r="B73" s="2551" t="str">
        <f t="shared" si="1"/>
        <v>3037420018</v>
      </c>
      <c r="C73" s="2492" t="s">
        <v>710</v>
      </c>
      <c r="D73" s="2026">
        <v>3742</v>
      </c>
      <c r="E73" s="2026">
        <v>18</v>
      </c>
      <c r="F73" s="2027">
        <v>2500</v>
      </c>
      <c r="G73" s="2497" t="s">
        <v>1082</v>
      </c>
      <c r="H73" s="2026" t="s">
        <v>1584</v>
      </c>
      <c r="I73" s="2028">
        <v>2.4300000000000002</v>
      </c>
      <c r="J73" s="2500">
        <v>0</v>
      </c>
      <c r="K73" s="2500">
        <v>0</v>
      </c>
      <c r="L73" s="2500">
        <v>0</v>
      </c>
      <c r="M73" s="2500">
        <v>0</v>
      </c>
      <c r="N73" s="2029">
        <v>1</v>
      </c>
      <c r="O73" s="2502" t="s">
        <v>1670</v>
      </c>
      <c r="P73" s="3273"/>
      <c r="Q73" s="3273"/>
      <c r="R73" s="3273"/>
      <c r="S73" s="3273"/>
      <c r="T73" s="3273"/>
      <c r="U73" s="3273"/>
      <c r="V73" s="3273"/>
      <c r="W73" s="3273"/>
      <c r="X73" s="3273"/>
      <c r="Y73" s="3273"/>
      <c r="Z73" s="3273"/>
      <c r="AA73" s="3273"/>
      <c r="AB73" s="3508"/>
      <c r="AC73" s="3274"/>
      <c r="AD73" s="3274"/>
      <c r="AE73" s="3274"/>
      <c r="AF73" s="3274"/>
      <c r="AG73" s="3274"/>
      <c r="AH73" s="3274"/>
      <c r="AI73" s="3274"/>
      <c r="AJ73" s="3274"/>
      <c r="AK73" s="3274"/>
      <c r="AL73" s="3529"/>
      <c r="AM73" s="3525"/>
      <c r="AN73" s="3469"/>
      <c r="AO73" s="3526"/>
      <c r="AP73" s="3527"/>
      <c r="AQ73" s="3527"/>
      <c r="AR73" s="3527"/>
      <c r="AS73" s="3527"/>
      <c r="AT73" s="3527"/>
      <c r="AU73" s="3527"/>
      <c r="AV73" s="3527"/>
      <c r="AW73" s="3527"/>
      <c r="AX73" s="3527"/>
      <c r="AY73" s="3527"/>
      <c r="AZ73" s="3527"/>
      <c r="BA73" s="3527"/>
      <c r="BB73" s="3527"/>
      <c r="BC73" s="3527"/>
      <c r="BD73" s="3527"/>
      <c r="BE73" s="3527"/>
      <c r="BF73" s="3527"/>
      <c r="BG73" s="3527"/>
      <c r="BH73" s="3527"/>
      <c r="BI73" s="3527"/>
      <c r="BJ73" s="3527"/>
      <c r="BK73" s="3527"/>
      <c r="BL73" s="3527"/>
      <c r="BM73" s="3527"/>
      <c r="BN73" s="3535"/>
      <c r="BO73" s="3534"/>
      <c r="BP73" s="3465"/>
      <c r="BQ73" s="3465"/>
      <c r="BR73" s="3465"/>
      <c r="BS73" s="3465"/>
      <c r="BT73" s="3465"/>
      <c r="BU73" s="3465"/>
      <c r="BV73" s="3465"/>
      <c r="BW73" s="3465"/>
      <c r="BX73" s="3465"/>
      <c r="BY73" s="3465"/>
      <c r="BZ73" s="3465"/>
      <c r="CA73" s="3533"/>
      <c r="CB73" s="3534"/>
      <c r="CC73" s="3465"/>
      <c r="CD73" s="3465"/>
      <c r="CE73" s="3465"/>
      <c r="CF73" s="3465"/>
      <c r="CG73" s="3465"/>
      <c r="CH73" s="3465"/>
      <c r="CI73" s="3465"/>
      <c r="CJ73" s="3465"/>
      <c r="CK73" s="3465"/>
      <c r="CL73" s="3465"/>
      <c r="CM73" s="3465"/>
    </row>
    <row r="74" spans="1:91" ht="15.75" thickBot="1">
      <c r="A74" s="3357"/>
      <c r="B74" s="2551" t="str">
        <f t="shared" si="1"/>
        <v>3037420020</v>
      </c>
      <c r="C74" s="2041" t="s">
        <v>721</v>
      </c>
      <c r="D74" s="2479">
        <v>3742</v>
      </c>
      <c r="E74" s="2479">
        <v>20</v>
      </c>
      <c r="F74" s="2482">
        <v>5000</v>
      </c>
      <c r="G74" s="2447" t="s">
        <v>1082</v>
      </c>
      <c r="H74" s="2479" t="s">
        <v>1584</v>
      </c>
      <c r="I74" s="2465">
        <v>2.4300000000000002</v>
      </c>
      <c r="J74" s="2480">
        <v>0</v>
      </c>
      <c r="K74" s="2480">
        <v>0</v>
      </c>
      <c r="L74" s="2480">
        <v>2500</v>
      </c>
      <c r="M74" s="2480">
        <v>5000</v>
      </c>
      <c r="N74" s="2443">
        <v>0</v>
      </c>
      <c r="O74" s="2453" t="s">
        <v>1720</v>
      </c>
      <c r="P74" s="3359"/>
      <c r="Q74" s="3359"/>
      <c r="R74" s="3359"/>
      <c r="S74" s="3359"/>
      <c r="T74" s="3359"/>
      <c r="U74" s="3359"/>
      <c r="V74" s="3359"/>
      <c r="W74" s="3359"/>
      <c r="X74" s="3359"/>
      <c r="Y74" s="3359"/>
      <c r="Z74" s="3359"/>
      <c r="AA74" s="3359"/>
      <c r="AB74" s="3536"/>
      <c r="AC74" s="3361"/>
      <c r="AD74" s="3361"/>
      <c r="AE74" s="3361"/>
      <c r="AF74" s="3361"/>
      <c r="AG74" s="3361"/>
      <c r="AH74" s="3361"/>
      <c r="AI74" s="3361"/>
      <c r="AJ74" s="3361"/>
      <c r="AK74" s="3361"/>
      <c r="AL74" s="3514"/>
      <c r="AM74" s="3516"/>
      <c r="AN74" s="3470"/>
      <c r="AO74" s="3718"/>
      <c r="AP74" s="3719"/>
      <c r="AQ74" s="3719"/>
      <c r="AR74" s="3719"/>
      <c r="AS74" s="3719"/>
      <c r="AT74" s="3719"/>
      <c r="AU74" s="3719"/>
      <c r="AV74" s="3719"/>
      <c r="AW74" s="3719"/>
      <c r="AX74" s="3719"/>
      <c r="AY74" s="3719"/>
      <c r="AZ74" s="3719"/>
      <c r="BA74" s="3719"/>
      <c r="BB74" s="3719"/>
      <c r="BC74" s="3719"/>
      <c r="BD74" s="3719"/>
      <c r="BE74" s="3719"/>
      <c r="BF74" s="3719"/>
      <c r="BG74" s="3719"/>
      <c r="BH74" s="3719"/>
      <c r="BI74" s="3719"/>
      <c r="BJ74" s="3719"/>
      <c r="BK74" s="3719"/>
      <c r="BL74" s="3719"/>
      <c r="BM74" s="3719"/>
      <c r="BN74" s="3518"/>
      <c r="BO74" s="3520"/>
      <c r="BP74" s="3466"/>
      <c r="BQ74" s="3466"/>
      <c r="BR74" s="3466"/>
      <c r="BS74" s="3466"/>
      <c r="BT74" s="3466"/>
      <c r="BU74" s="3466"/>
      <c r="BV74" s="3466"/>
      <c r="BW74" s="3466"/>
      <c r="BX74" s="3466"/>
      <c r="BY74" s="3466"/>
      <c r="BZ74" s="3466"/>
      <c r="CA74" s="3477"/>
      <c r="CB74" s="3520"/>
      <c r="CC74" s="3466"/>
      <c r="CD74" s="3466"/>
      <c r="CE74" s="3466"/>
      <c r="CF74" s="3466"/>
      <c r="CG74" s="3466"/>
      <c r="CH74" s="3466"/>
      <c r="CI74" s="3466"/>
      <c r="CJ74" s="3466"/>
      <c r="CK74" s="3466"/>
      <c r="CL74" s="3466"/>
      <c r="CM74" s="3466"/>
    </row>
    <row r="75" spans="1:91">
      <c r="A75" s="3575" t="s">
        <v>1721</v>
      </c>
      <c r="B75" s="2551">
        <f t="shared" si="1"/>
        <v>0</v>
      </c>
      <c r="C75" s="2137" t="s">
        <v>703</v>
      </c>
      <c r="D75" s="2114" t="s">
        <v>1560</v>
      </c>
      <c r="E75" s="2114" t="s">
        <v>1560</v>
      </c>
      <c r="F75" s="2481" t="s">
        <v>1560</v>
      </c>
      <c r="G75" s="2446" t="s">
        <v>1560</v>
      </c>
      <c r="H75" s="2114" t="s">
        <v>1560</v>
      </c>
      <c r="I75" s="2464" t="s">
        <v>1560</v>
      </c>
      <c r="J75" s="2483">
        <v>0</v>
      </c>
      <c r="K75" s="2483">
        <v>0</v>
      </c>
      <c r="L75" s="2483" t="s">
        <v>1560</v>
      </c>
      <c r="M75" s="2483" t="s">
        <v>1560</v>
      </c>
      <c r="N75" s="2442" t="s">
        <v>1560</v>
      </c>
      <c r="O75" s="2452"/>
      <c r="P75" s="3272">
        <v>0</v>
      </c>
      <c r="Q75" s="3272">
        <v>5405</v>
      </c>
      <c r="R75" s="3272">
        <v>0</v>
      </c>
      <c r="S75" s="3272">
        <v>0</v>
      </c>
      <c r="T75" s="3272">
        <v>0</v>
      </c>
      <c r="U75" s="3272">
        <v>0</v>
      </c>
      <c r="V75" s="3272">
        <v>0</v>
      </c>
      <c r="W75" s="3272">
        <v>0</v>
      </c>
      <c r="X75" s="3272">
        <v>600</v>
      </c>
      <c r="Y75" s="3272">
        <v>0</v>
      </c>
      <c r="Z75" s="3272">
        <v>0</v>
      </c>
      <c r="AA75" s="3272">
        <v>0</v>
      </c>
      <c r="AB75" s="3507">
        <v>6005</v>
      </c>
      <c r="AC75" s="3265">
        <v>0</v>
      </c>
      <c r="AD75" s="3265">
        <v>0</v>
      </c>
      <c r="AE75" s="3265">
        <v>14</v>
      </c>
      <c r="AF75" s="3265">
        <v>0</v>
      </c>
      <c r="AG75" s="3265">
        <v>0</v>
      </c>
      <c r="AH75" s="3265">
        <v>2</v>
      </c>
      <c r="AI75" s="3265">
        <v>0</v>
      </c>
      <c r="AJ75" s="3265">
        <v>0</v>
      </c>
      <c r="AK75" s="3265">
        <v>16</v>
      </c>
      <c r="AL75" s="3513">
        <v>25</v>
      </c>
      <c r="AM75" s="3578" t="s">
        <v>1612</v>
      </c>
      <c r="AN75" s="3581" t="s">
        <v>706</v>
      </c>
      <c r="AO75" s="3583" t="s">
        <v>1722</v>
      </c>
      <c r="AP75" s="3585">
        <v>9193</v>
      </c>
      <c r="AQ75" s="3585">
        <v>4140.9000000000005</v>
      </c>
      <c r="AR75" s="3585">
        <v>0</v>
      </c>
      <c r="AS75" s="3585">
        <v>0</v>
      </c>
      <c r="AT75" s="3585">
        <v>0</v>
      </c>
      <c r="AU75" s="3585">
        <v>0</v>
      </c>
      <c r="AV75" s="3585">
        <v>0</v>
      </c>
      <c r="AW75" s="3585">
        <v>0</v>
      </c>
      <c r="AX75" s="3585">
        <v>0</v>
      </c>
      <c r="AY75" s="3585">
        <v>0</v>
      </c>
      <c r="AZ75" s="3585">
        <v>0</v>
      </c>
      <c r="BA75" s="3585">
        <v>0</v>
      </c>
      <c r="BB75" s="3585">
        <v>13333.900000000001</v>
      </c>
      <c r="BC75" s="3585">
        <v>9</v>
      </c>
      <c r="BD75" s="3585">
        <v>4.5964999999999998</v>
      </c>
      <c r="BE75" s="3585">
        <v>2</v>
      </c>
      <c r="BF75" s="3585">
        <v>0</v>
      </c>
      <c r="BG75" s="3585">
        <v>4</v>
      </c>
      <c r="BH75" s="3585">
        <v>0</v>
      </c>
      <c r="BI75" s="3585">
        <v>0</v>
      </c>
      <c r="BJ75" s="3585">
        <v>0</v>
      </c>
      <c r="BK75" s="3585">
        <v>0</v>
      </c>
      <c r="BL75" s="3585">
        <v>0</v>
      </c>
      <c r="BM75" s="3585">
        <v>6</v>
      </c>
      <c r="BN75" s="3595">
        <v>55</v>
      </c>
      <c r="BO75" s="3592">
        <v>9193</v>
      </c>
      <c r="BP75" s="3587">
        <v>-1264.0999999999995</v>
      </c>
      <c r="BQ75" s="3587">
        <v>0</v>
      </c>
      <c r="BR75" s="3587">
        <v>0</v>
      </c>
      <c r="BS75" s="3587">
        <v>0</v>
      </c>
      <c r="BT75" s="3587">
        <v>0</v>
      </c>
      <c r="BU75" s="3587">
        <v>0</v>
      </c>
      <c r="BV75" s="3587">
        <v>0</v>
      </c>
      <c r="BW75" s="3587">
        <v>0</v>
      </c>
      <c r="BX75" s="3587">
        <v>-600</v>
      </c>
      <c r="BY75" s="3587">
        <v>0</v>
      </c>
      <c r="BZ75" s="3587">
        <v>0</v>
      </c>
      <c r="CA75" s="3589">
        <v>0</v>
      </c>
      <c r="CB75" s="3592">
        <v>7328.9000000000015</v>
      </c>
      <c r="CC75" s="3587">
        <v>-1864.0999999999995</v>
      </c>
      <c r="CD75" s="3587">
        <v>9</v>
      </c>
      <c r="CE75" s="3587">
        <v>4.5964999999999998</v>
      </c>
      <c r="CF75" s="3587">
        <v>2</v>
      </c>
      <c r="CG75" s="3587">
        <v>0</v>
      </c>
      <c r="CH75" s="3587">
        <v>-10</v>
      </c>
      <c r="CI75" s="3587">
        <v>0</v>
      </c>
      <c r="CJ75" s="3587">
        <v>0</v>
      </c>
      <c r="CK75" s="3587">
        <v>-2</v>
      </c>
      <c r="CL75" s="3587">
        <v>0</v>
      </c>
      <c r="CM75" s="3587">
        <v>0</v>
      </c>
    </row>
    <row r="76" spans="1:91">
      <c r="A76" s="3576"/>
      <c r="B76" s="2551" t="str">
        <f t="shared" si="1"/>
        <v>3039350044</v>
      </c>
      <c r="C76" s="2492" t="s">
        <v>710</v>
      </c>
      <c r="D76" s="2026">
        <v>3935</v>
      </c>
      <c r="E76" s="2026">
        <v>44</v>
      </c>
      <c r="F76" s="2027">
        <v>6061</v>
      </c>
      <c r="G76" s="2497" t="s">
        <v>1079</v>
      </c>
      <c r="H76" s="2026" t="s">
        <v>1584</v>
      </c>
      <c r="I76" s="2028">
        <v>1.25</v>
      </c>
      <c r="J76" s="2500">
        <v>5405</v>
      </c>
      <c r="K76" s="2500">
        <v>600</v>
      </c>
      <c r="L76" s="2500">
        <v>0</v>
      </c>
      <c r="M76" s="2500">
        <v>6005</v>
      </c>
      <c r="N76" s="2029">
        <v>0</v>
      </c>
      <c r="O76" s="2115" t="s">
        <v>1573</v>
      </c>
      <c r="P76" s="3273"/>
      <c r="Q76" s="3273"/>
      <c r="R76" s="3273"/>
      <c r="S76" s="3273"/>
      <c r="T76" s="3273"/>
      <c r="U76" s="3273"/>
      <c r="V76" s="3273"/>
      <c r="W76" s="3273"/>
      <c r="X76" s="3273"/>
      <c r="Y76" s="3273"/>
      <c r="Z76" s="3273"/>
      <c r="AA76" s="3273"/>
      <c r="AB76" s="3508"/>
      <c r="AC76" s="3274"/>
      <c r="AD76" s="3274"/>
      <c r="AE76" s="3274"/>
      <c r="AF76" s="3274"/>
      <c r="AG76" s="3274"/>
      <c r="AH76" s="3274"/>
      <c r="AI76" s="3274"/>
      <c r="AJ76" s="3274"/>
      <c r="AK76" s="3274"/>
      <c r="AL76" s="3529"/>
      <c r="AM76" s="3579"/>
      <c r="AN76" s="3582"/>
      <c r="AO76" s="3584"/>
      <c r="AP76" s="3586"/>
      <c r="AQ76" s="3586"/>
      <c r="AR76" s="3586"/>
      <c r="AS76" s="3586"/>
      <c r="AT76" s="3586"/>
      <c r="AU76" s="3586"/>
      <c r="AV76" s="3586"/>
      <c r="AW76" s="3586"/>
      <c r="AX76" s="3586"/>
      <c r="AY76" s="3586"/>
      <c r="AZ76" s="3586"/>
      <c r="BA76" s="3586"/>
      <c r="BB76" s="3586"/>
      <c r="BC76" s="3586"/>
      <c r="BD76" s="3586"/>
      <c r="BE76" s="3586"/>
      <c r="BF76" s="3586"/>
      <c r="BG76" s="3586"/>
      <c r="BH76" s="3586"/>
      <c r="BI76" s="3586"/>
      <c r="BJ76" s="3586"/>
      <c r="BK76" s="3586"/>
      <c r="BL76" s="3586"/>
      <c r="BM76" s="3586"/>
      <c r="BN76" s="3596"/>
      <c r="BO76" s="3593"/>
      <c r="BP76" s="3588"/>
      <c r="BQ76" s="3588"/>
      <c r="BR76" s="3588"/>
      <c r="BS76" s="3588"/>
      <c r="BT76" s="3588"/>
      <c r="BU76" s="3588"/>
      <c r="BV76" s="3588"/>
      <c r="BW76" s="3588"/>
      <c r="BX76" s="3588"/>
      <c r="BY76" s="3588"/>
      <c r="BZ76" s="3588"/>
      <c r="CA76" s="3590"/>
      <c r="CB76" s="3593"/>
      <c r="CC76" s="3588"/>
      <c r="CD76" s="3588"/>
      <c r="CE76" s="3588"/>
      <c r="CF76" s="3588"/>
      <c r="CG76" s="3588"/>
      <c r="CH76" s="3588"/>
      <c r="CI76" s="3588"/>
      <c r="CJ76" s="3588"/>
      <c r="CK76" s="3588"/>
      <c r="CL76" s="3588"/>
      <c r="CM76" s="3588"/>
    </row>
    <row r="77" spans="1:91" ht="15.75" thickBot="1">
      <c r="A77" s="3577"/>
      <c r="B77" s="2551">
        <f t="shared" si="1"/>
        <v>0</v>
      </c>
      <c r="C77" s="3723" t="s">
        <v>721</v>
      </c>
      <c r="D77" s="2479" t="s">
        <v>1560</v>
      </c>
      <c r="E77" s="2479" t="s">
        <v>1560</v>
      </c>
      <c r="F77" s="2482" t="s">
        <v>1560</v>
      </c>
      <c r="G77" s="2447" t="s">
        <v>1560</v>
      </c>
      <c r="H77" s="2479" t="s">
        <v>1560</v>
      </c>
      <c r="I77" s="2465" t="s">
        <v>1560</v>
      </c>
      <c r="J77" s="2480">
        <v>0</v>
      </c>
      <c r="K77" s="2480">
        <v>0</v>
      </c>
      <c r="L77" s="2480" t="s">
        <v>1560</v>
      </c>
      <c r="M77" s="2480" t="s">
        <v>1560</v>
      </c>
      <c r="N77" s="2443" t="s">
        <v>1560</v>
      </c>
      <c r="O77" s="2503"/>
      <c r="P77" s="3359"/>
      <c r="Q77" s="3359"/>
      <c r="R77" s="3359"/>
      <c r="S77" s="3359"/>
      <c r="T77" s="3359"/>
      <c r="U77" s="3359"/>
      <c r="V77" s="3359"/>
      <c r="W77" s="3359"/>
      <c r="X77" s="3359"/>
      <c r="Y77" s="3359"/>
      <c r="Z77" s="3359"/>
      <c r="AA77" s="3359"/>
      <c r="AB77" s="3536"/>
      <c r="AC77" s="3361"/>
      <c r="AD77" s="3361"/>
      <c r="AE77" s="3361"/>
      <c r="AF77" s="3361"/>
      <c r="AG77" s="3361"/>
      <c r="AH77" s="3361"/>
      <c r="AI77" s="3361"/>
      <c r="AJ77" s="3361"/>
      <c r="AK77" s="3361"/>
      <c r="AL77" s="3514"/>
      <c r="AM77" s="3580"/>
      <c r="AN77" s="3724"/>
      <c r="AO77" s="3725"/>
      <c r="AP77" s="3726"/>
      <c r="AQ77" s="3726"/>
      <c r="AR77" s="3726"/>
      <c r="AS77" s="3726"/>
      <c r="AT77" s="3726"/>
      <c r="AU77" s="3726"/>
      <c r="AV77" s="3726"/>
      <c r="AW77" s="3726"/>
      <c r="AX77" s="3726"/>
      <c r="AY77" s="3726"/>
      <c r="AZ77" s="3726"/>
      <c r="BA77" s="3726"/>
      <c r="BB77" s="3726"/>
      <c r="BC77" s="3726"/>
      <c r="BD77" s="3726"/>
      <c r="BE77" s="3726"/>
      <c r="BF77" s="3726"/>
      <c r="BG77" s="3726"/>
      <c r="BH77" s="3726"/>
      <c r="BI77" s="3726"/>
      <c r="BJ77" s="3726"/>
      <c r="BK77" s="3726"/>
      <c r="BL77" s="3726"/>
      <c r="BM77" s="3726"/>
      <c r="BN77" s="3597"/>
      <c r="BO77" s="3594"/>
      <c r="BP77" s="3727"/>
      <c r="BQ77" s="3727"/>
      <c r="BR77" s="3727"/>
      <c r="BS77" s="3727"/>
      <c r="BT77" s="3727"/>
      <c r="BU77" s="3727"/>
      <c r="BV77" s="3727"/>
      <c r="BW77" s="3727"/>
      <c r="BX77" s="3727"/>
      <c r="BY77" s="3727"/>
      <c r="BZ77" s="3727"/>
      <c r="CA77" s="3591"/>
      <c r="CB77" s="3594"/>
      <c r="CC77" s="3727"/>
      <c r="CD77" s="3727"/>
      <c r="CE77" s="3727"/>
      <c r="CF77" s="3727"/>
      <c r="CG77" s="3727"/>
      <c r="CH77" s="3727"/>
      <c r="CI77" s="3727"/>
      <c r="CJ77" s="3727"/>
      <c r="CK77" s="3727"/>
      <c r="CL77" s="3727"/>
      <c r="CM77" s="3727"/>
    </row>
    <row r="78" spans="1:91">
      <c r="A78" s="3567" t="s">
        <v>1723</v>
      </c>
      <c r="B78" s="2551" t="str">
        <f t="shared" si="1"/>
        <v>3039500017</v>
      </c>
      <c r="C78" s="2010" t="s">
        <v>703</v>
      </c>
      <c r="D78" s="2011">
        <v>3950</v>
      </c>
      <c r="E78" s="2011">
        <v>17</v>
      </c>
      <c r="F78" s="2494">
        <v>1720</v>
      </c>
      <c r="G78" s="2496" t="s">
        <v>1079</v>
      </c>
      <c r="H78" s="2011" t="s">
        <v>1584</v>
      </c>
      <c r="I78" s="2012">
        <v>1.25</v>
      </c>
      <c r="J78" s="2491">
        <v>1720</v>
      </c>
      <c r="K78" s="2491">
        <v>0</v>
      </c>
      <c r="L78" s="2491">
        <v>0</v>
      </c>
      <c r="M78" s="2491">
        <v>1720</v>
      </c>
      <c r="N78" s="2489">
        <v>0</v>
      </c>
      <c r="O78" s="2437" t="s">
        <v>1573</v>
      </c>
      <c r="P78" s="3272">
        <v>0</v>
      </c>
      <c r="Q78" s="3272">
        <v>8500</v>
      </c>
      <c r="R78" s="3272">
        <v>0</v>
      </c>
      <c r="S78" s="3272">
        <v>0</v>
      </c>
      <c r="T78" s="3272">
        <v>0</v>
      </c>
      <c r="U78" s="3272">
        <v>0</v>
      </c>
      <c r="V78" s="3272">
        <v>0</v>
      </c>
      <c r="W78" s="3272">
        <v>0</v>
      </c>
      <c r="X78" s="3272">
        <v>0</v>
      </c>
      <c r="Y78" s="3272">
        <v>0</v>
      </c>
      <c r="Z78" s="3272">
        <v>0</v>
      </c>
      <c r="AA78" s="3272">
        <v>0</v>
      </c>
      <c r="AB78" s="3507">
        <v>8500</v>
      </c>
      <c r="AC78" s="3265">
        <v>0</v>
      </c>
      <c r="AD78" s="3265">
        <v>0</v>
      </c>
      <c r="AE78" s="3265">
        <v>0</v>
      </c>
      <c r="AF78" s="3265">
        <v>0</v>
      </c>
      <c r="AG78" s="3265">
        <v>0</v>
      </c>
      <c r="AH78" s="3265">
        <v>0</v>
      </c>
      <c r="AI78" s="3265">
        <v>0</v>
      </c>
      <c r="AJ78" s="3265">
        <v>0</v>
      </c>
      <c r="AK78" s="3265">
        <v>0</v>
      </c>
      <c r="AL78" s="3513">
        <v>15</v>
      </c>
      <c r="AM78" s="3601" t="s">
        <v>1585</v>
      </c>
      <c r="AN78" s="3512" t="s">
        <v>706</v>
      </c>
      <c r="AO78" s="3407" t="s">
        <v>1599</v>
      </c>
      <c r="AP78" s="3511">
        <v>24868</v>
      </c>
      <c r="AQ78" s="3511">
        <v>6516.9000000000005</v>
      </c>
      <c r="AR78" s="3511">
        <v>0</v>
      </c>
      <c r="AS78" s="3511">
        <v>0</v>
      </c>
      <c r="AT78" s="3511">
        <v>0</v>
      </c>
      <c r="AU78" s="3511">
        <v>0</v>
      </c>
      <c r="AV78" s="3511">
        <v>0</v>
      </c>
      <c r="AW78" s="3511">
        <v>0</v>
      </c>
      <c r="AX78" s="3511">
        <v>0</v>
      </c>
      <c r="AY78" s="3511">
        <v>0</v>
      </c>
      <c r="AZ78" s="3511">
        <v>0</v>
      </c>
      <c r="BA78" s="3511">
        <v>0</v>
      </c>
      <c r="BB78" s="3511">
        <v>31384.9</v>
      </c>
      <c r="BC78" s="3511">
        <v>24</v>
      </c>
      <c r="BD78" s="3511">
        <v>12.433999999999999</v>
      </c>
      <c r="BE78" s="3511">
        <v>6</v>
      </c>
      <c r="BF78" s="3511">
        <v>0</v>
      </c>
      <c r="BG78" s="3511">
        <v>7</v>
      </c>
      <c r="BH78" s="3511">
        <v>0</v>
      </c>
      <c r="BI78" s="3511">
        <v>0</v>
      </c>
      <c r="BJ78" s="3511">
        <v>0</v>
      </c>
      <c r="BK78" s="3511">
        <v>0</v>
      </c>
      <c r="BL78" s="3511">
        <v>0</v>
      </c>
      <c r="BM78" s="3511">
        <v>13</v>
      </c>
      <c r="BN78" s="3517">
        <v>85</v>
      </c>
      <c r="BO78" s="3605">
        <v>24868</v>
      </c>
      <c r="BP78" s="3464">
        <v>-1983.0999999999995</v>
      </c>
      <c r="BQ78" s="3464">
        <v>0</v>
      </c>
      <c r="BR78" s="3464">
        <v>0</v>
      </c>
      <c r="BS78" s="3464">
        <v>0</v>
      </c>
      <c r="BT78" s="3464">
        <v>0</v>
      </c>
      <c r="BU78" s="3464">
        <v>0</v>
      </c>
      <c r="BV78" s="3464">
        <v>0</v>
      </c>
      <c r="BW78" s="3464">
        <v>0</v>
      </c>
      <c r="BX78" s="3464">
        <v>0</v>
      </c>
      <c r="BY78" s="3464">
        <v>0</v>
      </c>
      <c r="BZ78" s="3464">
        <v>0</v>
      </c>
      <c r="CA78" s="3524">
        <v>0</v>
      </c>
      <c r="CB78" s="3605">
        <v>22884.9</v>
      </c>
      <c r="CC78" s="3464">
        <v>-1983.0999999999995</v>
      </c>
      <c r="CD78" s="3464">
        <v>24</v>
      </c>
      <c r="CE78" s="3464">
        <v>12.433999999999999</v>
      </c>
      <c r="CF78" s="3464">
        <v>6</v>
      </c>
      <c r="CG78" s="3464">
        <v>0</v>
      </c>
      <c r="CH78" s="3464">
        <v>7</v>
      </c>
      <c r="CI78" s="3464">
        <v>0</v>
      </c>
      <c r="CJ78" s="3464">
        <v>0</v>
      </c>
      <c r="CK78" s="3464">
        <v>0</v>
      </c>
      <c r="CL78" s="3464">
        <v>0</v>
      </c>
      <c r="CM78" s="3464">
        <v>0</v>
      </c>
    </row>
    <row r="79" spans="1:91">
      <c r="A79" s="3568"/>
      <c r="B79" s="2551" t="str">
        <f t="shared" si="1"/>
        <v>3039500018</v>
      </c>
      <c r="C79" s="2492" t="s">
        <v>710</v>
      </c>
      <c r="D79" s="2026">
        <v>3950</v>
      </c>
      <c r="E79" s="2026">
        <v>18</v>
      </c>
      <c r="F79" s="2027">
        <v>2295</v>
      </c>
      <c r="G79" s="2497" t="s">
        <v>1079</v>
      </c>
      <c r="H79" s="2026" t="s">
        <v>1584</v>
      </c>
      <c r="I79" s="2028">
        <v>1.25</v>
      </c>
      <c r="J79" s="2500">
        <v>2250</v>
      </c>
      <c r="K79" s="2500">
        <v>0</v>
      </c>
      <c r="L79" s="2500">
        <v>0</v>
      </c>
      <c r="M79" s="2500">
        <v>2250</v>
      </c>
      <c r="N79" s="2029">
        <v>0</v>
      </c>
      <c r="O79" s="2502" t="s">
        <v>1573</v>
      </c>
      <c r="P79" s="3273"/>
      <c r="Q79" s="3273"/>
      <c r="R79" s="3273"/>
      <c r="S79" s="3273"/>
      <c r="T79" s="3273"/>
      <c r="U79" s="3273"/>
      <c r="V79" s="3273"/>
      <c r="W79" s="3273"/>
      <c r="X79" s="3273"/>
      <c r="Y79" s="3273"/>
      <c r="Z79" s="3273"/>
      <c r="AA79" s="3273"/>
      <c r="AB79" s="3508"/>
      <c r="AC79" s="3274"/>
      <c r="AD79" s="3274"/>
      <c r="AE79" s="3274"/>
      <c r="AF79" s="3274"/>
      <c r="AG79" s="3274"/>
      <c r="AH79" s="3274"/>
      <c r="AI79" s="3274"/>
      <c r="AJ79" s="3274"/>
      <c r="AK79" s="3274"/>
      <c r="AL79" s="3599"/>
      <c r="AM79" s="3602"/>
      <c r="AN79" s="3604"/>
      <c r="AO79" s="3408"/>
      <c r="AP79" s="3598"/>
      <c r="AQ79" s="3598"/>
      <c r="AR79" s="3598"/>
      <c r="AS79" s="3598"/>
      <c r="AT79" s="3598"/>
      <c r="AU79" s="3598"/>
      <c r="AV79" s="3598"/>
      <c r="AW79" s="3598"/>
      <c r="AX79" s="3598"/>
      <c r="AY79" s="3598"/>
      <c r="AZ79" s="3598"/>
      <c r="BA79" s="3598"/>
      <c r="BB79" s="3598"/>
      <c r="BC79" s="3598"/>
      <c r="BD79" s="3598"/>
      <c r="BE79" s="3598"/>
      <c r="BF79" s="3598"/>
      <c r="BG79" s="3598"/>
      <c r="BH79" s="3598"/>
      <c r="BI79" s="3598"/>
      <c r="BJ79" s="3598"/>
      <c r="BK79" s="3598"/>
      <c r="BL79" s="3598"/>
      <c r="BM79" s="3598"/>
      <c r="BN79" s="3610"/>
      <c r="BO79" s="3606"/>
      <c r="BP79" s="3522"/>
      <c r="BQ79" s="3522"/>
      <c r="BR79" s="3522"/>
      <c r="BS79" s="3522"/>
      <c r="BT79" s="3522"/>
      <c r="BU79" s="3522"/>
      <c r="BV79" s="3522"/>
      <c r="BW79" s="3522"/>
      <c r="BX79" s="3522"/>
      <c r="BY79" s="3522"/>
      <c r="BZ79" s="3522"/>
      <c r="CA79" s="3608"/>
      <c r="CB79" s="3606"/>
      <c r="CC79" s="3522"/>
      <c r="CD79" s="3522"/>
      <c r="CE79" s="3522"/>
      <c r="CF79" s="3522"/>
      <c r="CG79" s="3522"/>
      <c r="CH79" s="3522"/>
      <c r="CI79" s="3522"/>
      <c r="CJ79" s="3522"/>
      <c r="CK79" s="3522"/>
      <c r="CL79" s="3522"/>
      <c r="CM79" s="3522"/>
    </row>
    <row r="80" spans="1:91">
      <c r="A80" s="3568"/>
      <c r="B80" s="2551" t="str">
        <f t="shared" si="1"/>
        <v>3039500019</v>
      </c>
      <c r="C80" s="2492" t="s">
        <v>721</v>
      </c>
      <c r="D80" s="2026">
        <v>3950</v>
      </c>
      <c r="E80" s="2026">
        <v>19</v>
      </c>
      <c r="F80" s="2027">
        <v>2423</v>
      </c>
      <c r="G80" s="2497" t="s">
        <v>1079</v>
      </c>
      <c r="H80" s="2026" t="s">
        <v>1584</v>
      </c>
      <c r="I80" s="2028">
        <v>1.25</v>
      </c>
      <c r="J80" s="2500">
        <v>2250</v>
      </c>
      <c r="K80" s="2500">
        <v>0</v>
      </c>
      <c r="L80" s="2500">
        <v>0</v>
      </c>
      <c r="M80" s="2500">
        <v>2250</v>
      </c>
      <c r="N80" s="2029">
        <v>0</v>
      </c>
      <c r="O80" s="2502" t="s">
        <v>1573</v>
      </c>
      <c r="P80" s="3273"/>
      <c r="Q80" s="3273"/>
      <c r="R80" s="3273"/>
      <c r="S80" s="3273"/>
      <c r="T80" s="3273"/>
      <c r="U80" s="3273"/>
      <c r="V80" s="3273"/>
      <c r="W80" s="3273"/>
      <c r="X80" s="3273"/>
      <c r="Y80" s="3273"/>
      <c r="Z80" s="3273"/>
      <c r="AA80" s="3273"/>
      <c r="AB80" s="3508"/>
      <c r="AC80" s="3274"/>
      <c r="AD80" s="3274"/>
      <c r="AE80" s="3274"/>
      <c r="AF80" s="3274"/>
      <c r="AG80" s="3274"/>
      <c r="AH80" s="3274"/>
      <c r="AI80" s="3274"/>
      <c r="AJ80" s="3274"/>
      <c r="AK80" s="3274"/>
      <c r="AL80" s="3599"/>
      <c r="AM80" s="3602"/>
      <c r="AN80" s="3604"/>
      <c r="AO80" s="3408"/>
      <c r="AP80" s="3598"/>
      <c r="AQ80" s="3598"/>
      <c r="AR80" s="3598"/>
      <c r="AS80" s="3598"/>
      <c r="AT80" s="3598"/>
      <c r="AU80" s="3598"/>
      <c r="AV80" s="3598"/>
      <c r="AW80" s="3598"/>
      <c r="AX80" s="3598"/>
      <c r="AY80" s="3598"/>
      <c r="AZ80" s="3598"/>
      <c r="BA80" s="3598"/>
      <c r="BB80" s="3598"/>
      <c r="BC80" s="3598"/>
      <c r="BD80" s="3598"/>
      <c r="BE80" s="3598"/>
      <c r="BF80" s="3598"/>
      <c r="BG80" s="3598"/>
      <c r="BH80" s="3598"/>
      <c r="BI80" s="3598"/>
      <c r="BJ80" s="3598"/>
      <c r="BK80" s="3598"/>
      <c r="BL80" s="3598"/>
      <c r="BM80" s="3598"/>
      <c r="BN80" s="3610"/>
      <c r="BO80" s="3606"/>
      <c r="BP80" s="3522"/>
      <c r="BQ80" s="3522"/>
      <c r="BR80" s="3522"/>
      <c r="BS80" s="3522"/>
      <c r="BT80" s="3522"/>
      <c r="BU80" s="3522"/>
      <c r="BV80" s="3522"/>
      <c r="BW80" s="3522"/>
      <c r="BX80" s="3522"/>
      <c r="BY80" s="3522"/>
      <c r="BZ80" s="3522"/>
      <c r="CA80" s="3608"/>
      <c r="CB80" s="3606"/>
      <c r="CC80" s="3522"/>
      <c r="CD80" s="3522"/>
      <c r="CE80" s="3522"/>
      <c r="CF80" s="3522"/>
      <c r="CG80" s="3522"/>
      <c r="CH80" s="3522"/>
      <c r="CI80" s="3522"/>
      <c r="CJ80" s="3522"/>
      <c r="CK80" s="3522"/>
      <c r="CL80" s="3522"/>
      <c r="CM80" s="3522"/>
    </row>
    <row r="81" spans="1:91" ht="15.75" thickBot="1">
      <c r="A81" s="3569"/>
      <c r="B81" s="2551" t="str">
        <f t="shared" si="1"/>
        <v>3039500020</v>
      </c>
      <c r="C81" s="2468" t="s">
        <v>724</v>
      </c>
      <c r="D81" s="2014">
        <v>3950</v>
      </c>
      <c r="E81" s="2014">
        <v>20</v>
      </c>
      <c r="F81" s="2038">
        <v>2280</v>
      </c>
      <c r="G81" s="2133" t="s">
        <v>1079</v>
      </c>
      <c r="H81" s="2014" t="s">
        <v>1584</v>
      </c>
      <c r="I81" s="2016">
        <v>1.25</v>
      </c>
      <c r="J81" s="2538">
        <v>2280</v>
      </c>
      <c r="K81" s="2538">
        <v>0</v>
      </c>
      <c r="L81" s="2538">
        <v>0</v>
      </c>
      <c r="M81" s="2538">
        <v>2280</v>
      </c>
      <c r="N81" s="2509">
        <v>0</v>
      </c>
      <c r="O81" s="2452" t="s">
        <v>1573</v>
      </c>
      <c r="P81" s="3359"/>
      <c r="Q81" s="3359"/>
      <c r="R81" s="3359"/>
      <c r="S81" s="3359"/>
      <c r="T81" s="3359"/>
      <c r="U81" s="3359"/>
      <c r="V81" s="3359"/>
      <c r="W81" s="3359"/>
      <c r="X81" s="3359"/>
      <c r="Y81" s="3359"/>
      <c r="Z81" s="3359"/>
      <c r="AA81" s="3359"/>
      <c r="AB81" s="3536"/>
      <c r="AC81" s="3361"/>
      <c r="AD81" s="3361"/>
      <c r="AE81" s="3361"/>
      <c r="AF81" s="3361"/>
      <c r="AG81" s="3361"/>
      <c r="AH81" s="3361"/>
      <c r="AI81" s="3361"/>
      <c r="AJ81" s="3361"/>
      <c r="AK81" s="3361"/>
      <c r="AL81" s="3600"/>
      <c r="AM81" s="3603"/>
      <c r="AN81" s="3728"/>
      <c r="AO81" s="3409"/>
      <c r="AP81" s="3729"/>
      <c r="AQ81" s="3729"/>
      <c r="AR81" s="3729"/>
      <c r="AS81" s="3729"/>
      <c r="AT81" s="3729"/>
      <c r="AU81" s="3729"/>
      <c r="AV81" s="3729"/>
      <c r="AW81" s="3729"/>
      <c r="AX81" s="3729"/>
      <c r="AY81" s="3729"/>
      <c r="AZ81" s="3729"/>
      <c r="BA81" s="3729"/>
      <c r="BB81" s="3729"/>
      <c r="BC81" s="3729"/>
      <c r="BD81" s="3729"/>
      <c r="BE81" s="3729"/>
      <c r="BF81" s="3729"/>
      <c r="BG81" s="3729"/>
      <c r="BH81" s="3729"/>
      <c r="BI81" s="3729"/>
      <c r="BJ81" s="3729"/>
      <c r="BK81" s="3729"/>
      <c r="BL81" s="3729"/>
      <c r="BM81" s="3729"/>
      <c r="BN81" s="3611"/>
      <c r="BO81" s="3607"/>
      <c r="BP81" s="3488"/>
      <c r="BQ81" s="3488"/>
      <c r="BR81" s="3488"/>
      <c r="BS81" s="3488"/>
      <c r="BT81" s="3488"/>
      <c r="BU81" s="3488"/>
      <c r="BV81" s="3488"/>
      <c r="BW81" s="3488"/>
      <c r="BX81" s="3488"/>
      <c r="BY81" s="3488"/>
      <c r="BZ81" s="3488"/>
      <c r="CA81" s="3609"/>
      <c r="CB81" s="3607"/>
      <c r="CC81" s="3488"/>
      <c r="CD81" s="3488"/>
      <c r="CE81" s="3488"/>
      <c r="CF81" s="3488"/>
      <c r="CG81" s="3488"/>
      <c r="CH81" s="3488"/>
      <c r="CI81" s="3488"/>
      <c r="CJ81" s="3488"/>
      <c r="CK81" s="3488"/>
      <c r="CL81" s="3488"/>
      <c r="CM81" s="3488"/>
    </row>
    <row r="82" spans="1:91" ht="15.75" thickBot="1">
      <c r="A82" s="2051" t="s">
        <v>1724</v>
      </c>
      <c r="B82" s="2551" t="str">
        <f t="shared" si="1"/>
        <v>3039510042</v>
      </c>
      <c r="C82" s="2044" t="s">
        <v>703</v>
      </c>
      <c r="D82" s="2045">
        <v>3951</v>
      </c>
      <c r="E82" s="2045">
        <v>42</v>
      </c>
      <c r="F82" s="2032">
        <v>19919</v>
      </c>
      <c r="G82" s="2046" t="s">
        <v>947</v>
      </c>
      <c r="H82" s="2045" t="s">
        <v>1560</v>
      </c>
      <c r="I82" s="2047">
        <v>1</v>
      </c>
      <c r="J82" s="2533">
        <v>0</v>
      </c>
      <c r="K82" s="2533">
        <v>87260</v>
      </c>
      <c r="L82" s="2533">
        <v>0</v>
      </c>
      <c r="M82" s="2533">
        <v>87260</v>
      </c>
      <c r="N82" s="2035">
        <v>0</v>
      </c>
      <c r="O82" s="2042" t="s">
        <v>1725</v>
      </c>
      <c r="P82" s="2049">
        <v>0</v>
      </c>
      <c r="Q82" s="2049">
        <v>0</v>
      </c>
      <c r="R82" s="2049">
        <v>0</v>
      </c>
      <c r="S82" s="2049">
        <v>0</v>
      </c>
      <c r="T82" s="2049">
        <v>0</v>
      </c>
      <c r="U82" s="2049">
        <v>0</v>
      </c>
      <c r="V82" s="2049">
        <v>0</v>
      </c>
      <c r="W82" s="2049">
        <v>87260</v>
      </c>
      <c r="X82" s="2049">
        <v>0</v>
      </c>
      <c r="Y82" s="2049">
        <v>0</v>
      </c>
      <c r="Z82" s="2049">
        <v>0</v>
      </c>
      <c r="AA82" s="2049">
        <v>0</v>
      </c>
      <c r="AB82" s="2116">
        <v>87260</v>
      </c>
      <c r="AC82" s="2533">
        <v>0</v>
      </c>
      <c r="AD82" s="2533">
        <v>0</v>
      </c>
      <c r="AE82" s="2533">
        <v>0</v>
      </c>
      <c r="AF82" s="2533">
        <v>0</v>
      </c>
      <c r="AG82" s="2533">
        <v>0</v>
      </c>
      <c r="AH82" s="2533">
        <v>0</v>
      </c>
      <c r="AI82" s="2533">
        <v>0</v>
      </c>
      <c r="AJ82" s="2533">
        <v>0</v>
      </c>
      <c r="AK82" s="2533">
        <v>0</v>
      </c>
      <c r="AL82" s="2117">
        <v>45</v>
      </c>
      <c r="AM82" s="2118" t="s">
        <v>741</v>
      </c>
      <c r="AN82" s="2119" t="s">
        <v>706</v>
      </c>
      <c r="AO82" s="2092" t="s">
        <v>1595</v>
      </c>
      <c r="AP82" s="2120">
        <v>125489</v>
      </c>
      <c r="AQ82" s="2120">
        <v>8963.5500000000011</v>
      </c>
      <c r="AR82" s="2120">
        <v>0</v>
      </c>
      <c r="AS82" s="2120">
        <v>8963.5500000000011</v>
      </c>
      <c r="AT82" s="2120">
        <v>0</v>
      </c>
      <c r="AU82" s="2120">
        <v>0</v>
      </c>
      <c r="AV82" s="2120">
        <v>0</v>
      </c>
      <c r="AW82" s="2120">
        <v>0</v>
      </c>
      <c r="AX82" s="2120">
        <v>0</v>
      </c>
      <c r="AY82" s="2120">
        <v>0</v>
      </c>
      <c r="AZ82" s="2120">
        <v>0</v>
      </c>
      <c r="BA82" s="2120">
        <v>0</v>
      </c>
      <c r="BB82" s="2120">
        <v>143416.09999999998</v>
      </c>
      <c r="BC82" s="2120">
        <v>125</v>
      </c>
      <c r="BD82" s="2120">
        <v>62.744500000000002</v>
      </c>
      <c r="BE82" s="2120">
        <v>25</v>
      </c>
      <c r="BF82" s="2120">
        <v>0</v>
      </c>
      <c r="BG82" s="2120">
        <v>18</v>
      </c>
      <c r="BH82" s="2120">
        <v>0</v>
      </c>
      <c r="BI82" s="2120">
        <v>0</v>
      </c>
      <c r="BJ82" s="2120">
        <v>0</v>
      </c>
      <c r="BK82" s="2120">
        <v>0</v>
      </c>
      <c r="BL82" s="2120">
        <v>0</v>
      </c>
      <c r="BM82" s="2120">
        <v>43</v>
      </c>
      <c r="BN82" s="2121">
        <v>145</v>
      </c>
      <c r="BO82" s="2048">
        <v>125489</v>
      </c>
      <c r="BP82" s="2090">
        <v>8963.5500000000011</v>
      </c>
      <c r="BQ82" s="2090">
        <v>0</v>
      </c>
      <c r="BR82" s="2090">
        <v>0</v>
      </c>
      <c r="BS82" s="2090">
        <v>8963.5500000000011</v>
      </c>
      <c r="BT82" s="2090">
        <v>0</v>
      </c>
      <c r="BU82" s="2090">
        <v>0</v>
      </c>
      <c r="BV82" s="2090">
        <v>0</v>
      </c>
      <c r="BW82" s="2090">
        <v>-87260</v>
      </c>
      <c r="BX82" s="2090">
        <v>0</v>
      </c>
      <c r="BY82" s="2090">
        <v>0</v>
      </c>
      <c r="BZ82" s="2090">
        <v>0</v>
      </c>
      <c r="CA82" s="2122">
        <v>0</v>
      </c>
      <c r="CB82" s="2048">
        <v>56156.099999999977</v>
      </c>
      <c r="CC82" s="2090">
        <v>-69332.899999999994</v>
      </c>
      <c r="CD82" s="2090">
        <v>125</v>
      </c>
      <c r="CE82" s="2090">
        <v>62.744500000000002</v>
      </c>
      <c r="CF82" s="2090">
        <v>25</v>
      </c>
      <c r="CG82" s="2090">
        <v>0</v>
      </c>
      <c r="CH82" s="2090">
        <v>18</v>
      </c>
      <c r="CI82" s="2090">
        <v>0</v>
      </c>
      <c r="CJ82" s="2090">
        <v>0</v>
      </c>
      <c r="CK82" s="2090">
        <v>0</v>
      </c>
      <c r="CL82" s="2090">
        <v>0</v>
      </c>
      <c r="CM82" s="2090">
        <v>0</v>
      </c>
    </row>
    <row r="83" spans="1:91">
      <c r="A83" s="3381" t="s">
        <v>1726</v>
      </c>
      <c r="B83" s="2551">
        <f t="shared" si="1"/>
        <v>0</v>
      </c>
      <c r="C83" s="2138" t="s">
        <v>703</v>
      </c>
      <c r="D83" s="2023"/>
      <c r="E83" s="2023"/>
      <c r="F83" s="2506"/>
      <c r="G83" s="2507"/>
      <c r="H83" s="2023"/>
      <c r="I83" s="2024"/>
      <c r="J83" s="2505"/>
      <c r="K83" s="2505"/>
      <c r="L83" s="2505"/>
      <c r="M83" s="2505"/>
      <c r="N83" s="2025"/>
      <c r="O83" s="2452"/>
      <c r="P83" s="3272"/>
      <c r="Q83" s="3272"/>
      <c r="R83" s="3272"/>
      <c r="S83" s="3272"/>
      <c r="T83" s="3272"/>
      <c r="U83" s="3272"/>
      <c r="V83" s="3272"/>
      <c r="W83" s="3272"/>
      <c r="X83" s="3272"/>
      <c r="Y83" s="3272"/>
      <c r="Z83" s="3272"/>
      <c r="AA83" s="3272"/>
      <c r="AB83" s="3507"/>
      <c r="AC83" s="3265"/>
      <c r="AD83" s="3265"/>
      <c r="AE83" s="3265"/>
      <c r="AF83" s="3265"/>
      <c r="AG83" s="3265"/>
      <c r="AH83" s="3265"/>
      <c r="AI83" s="3265"/>
      <c r="AJ83" s="3265"/>
      <c r="AK83" s="3265"/>
      <c r="AL83" s="3513"/>
      <c r="AM83" s="3515"/>
      <c r="AN83" s="3512"/>
      <c r="AO83" s="3407"/>
      <c r="AP83" s="3511"/>
      <c r="AQ83" s="3511"/>
      <c r="AR83" s="3511"/>
      <c r="AS83" s="3511"/>
      <c r="AT83" s="3511"/>
      <c r="AU83" s="3511"/>
      <c r="AV83" s="3511"/>
      <c r="AW83" s="3511"/>
      <c r="AX83" s="3511"/>
      <c r="AY83" s="3511"/>
      <c r="AZ83" s="3511"/>
      <c r="BA83" s="3511"/>
      <c r="BB83" s="3511"/>
      <c r="BC83" s="3511"/>
      <c r="BD83" s="3511"/>
      <c r="BE83" s="3511"/>
      <c r="BF83" s="3511"/>
      <c r="BG83" s="3511"/>
      <c r="BH83" s="3511"/>
      <c r="BI83" s="3511"/>
      <c r="BJ83" s="3511"/>
      <c r="BK83" s="3511"/>
      <c r="BL83" s="3511"/>
      <c r="BM83" s="3511"/>
      <c r="BN83" s="3517"/>
      <c r="BO83" s="3519"/>
      <c r="BP83" s="3464"/>
      <c r="BQ83" s="3464"/>
      <c r="BR83" s="3464"/>
      <c r="BS83" s="3464"/>
      <c r="BT83" s="3464"/>
      <c r="BU83" s="3464"/>
      <c r="BV83" s="3464"/>
      <c r="BW83" s="3464"/>
      <c r="BX83" s="3464"/>
      <c r="BY83" s="3464"/>
      <c r="BZ83" s="3464"/>
      <c r="CA83" s="3524"/>
      <c r="CB83" s="3519"/>
      <c r="CC83" s="3464"/>
      <c r="CD83" s="3464"/>
      <c r="CE83" s="3464"/>
      <c r="CF83" s="3464"/>
      <c r="CG83" s="3464"/>
      <c r="CH83" s="3464"/>
      <c r="CI83" s="3464"/>
      <c r="CJ83" s="3464"/>
      <c r="CK83" s="3464"/>
      <c r="CL83" s="3464"/>
      <c r="CM83" s="3464"/>
    </row>
    <row r="84" spans="1:91">
      <c r="A84" s="3382"/>
      <c r="B84" s="2551">
        <f t="shared" si="1"/>
        <v>0</v>
      </c>
      <c r="C84" s="2139" t="s">
        <v>710</v>
      </c>
      <c r="D84" s="2026"/>
      <c r="E84" s="2026"/>
      <c r="F84" s="2027"/>
      <c r="G84" s="2497"/>
      <c r="H84" s="2026"/>
      <c r="I84" s="2028"/>
      <c r="J84" s="2500"/>
      <c r="K84" s="2500"/>
      <c r="L84" s="2500"/>
      <c r="M84" s="2500"/>
      <c r="N84" s="2029"/>
      <c r="O84" s="2115"/>
      <c r="P84" s="3273"/>
      <c r="Q84" s="3273"/>
      <c r="R84" s="3273"/>
      <c r="S84" s="3273"/>
      <c r="T84" s="3273"/>
      <c r="U84" s="3273"/>
      <c r="V84" s="3273"/>
      <c r="W84" s="3273"/>
      <c r="X84" s="3273"/>
      <c r="Y84" s="3273"/>
      <c r="Z84" s="3273"/>
      <c r="AA84" s="3273"/>
      <c r="AB84" s="3508"/>
      <c r="AC84" s="3274"/>
      <c r="AD84" s="3274"/>
      <c r="AE84" s="3274"/>
      <c r="AF84" s="3274"/>
      <c r="AG84" s="3274"/>
      <c r="AH84" s="3274"/>
      <c r="AI84" s="3274"/>
      <c r="AJ84" s="3274"/>
      <c r="AK84" s="3274"/>
      <c r="AL84" s="3529"/>
      <c r="AM84" s="3525"/>
      <c r="AN84" s="3469"/>
      <c r="AO84" s="3526"/>
      <c r="AP84" s="3527"/>
      <c r="AQ84" s="3527"/>
      <c r="AR84" s="3527"/>
      <c r="AS84" s="3527"/>
      <c r="AT84" s="3527"/>
      <c r="AU84" s="3527"/>
      <c r="AV84" s="3527"/>
      <c r="AW84" s="3527"/>
      <c r="AX84" s="3527"/>
      <c r="AY84" s="3527"/>
      <c r="AZ84" s="3527"/>
      <c r="BA84" s="3527"/>
      <c r="BB84" s="3527"/>
      <c r="BC84" s="3527"/>
      <c r="BD84" s="3527"/>
      <c r="BE84" s="3527"/>
      <c r="BF84" s="3527"/>
      <c r="BG84" s="3527"/>
      <c r="BH84" s="3527"/>
      <c r="BI84" s="3527"/>
      <c r="BJ84" s="3527"/>
      <c r="BK84" s="3527"/>
      <c r="BL84" s="3527"/>
      <c r="BM84" s="3527"/>
      <c r="BN84" s="3535"/>
      <c r="BO84" s="3534"/>
      <c r="BP84" s="3465"/>
      <c r="BQ84" s="3465"/>
      <c r="BR84" s="3465"/>
      <c r="BS84" s="3465"/>
      <c r="BT84" s="3465"/>
      <c r="BU84" s="3465"/>
      <c r="BV84" s="3465"/>
      <c r="BW84" s="3465"/>
      <c r="BX84" s="3465"/>
      <c r="BY84" s="3465"/>
      <c r="BZ84" s="3465"/>
      <c r="CA84" s="3533"/>
      <c r="CB84" s="3534"/>
      <c r="CC84" s="3465"/>
      <c r="CD84" s="3465"/>
      <c r="CE84" s="3465"/>
      <c r="CF84" s="3465"/>
      <c r="CG84" s="3465"/>
      <c r="CH84" s="3465"/>
      <c r="CI84" s="3465"/>
      <c r="CJ84" s="3465"/>
      <c r="CK84" s="3465"/>
      <c r="CL84" s="3465"/>
      <c r="CM84" s="3465"/>
    </row>
    <row r="85" spans="1:91" ht="15.75" thickBot="1">
      <c r="A85" s="3383"/>
      <c r="B85" s="2551">
        <f t="shared" si="1"/>
        <v>0</v>
      </c>
      <c r="C85" s="2140" t="s">
        <v>721</v>
      </c>
      <c r="D85" s="2018"/>
      <c r="E85" s="2018"/>
      <c r="F85" s="2019"/>
      <c r="G85" s="2498"/>
      <c r="H85" s="2018"/>
      <c r="I85" s="2020"/>
      <c r="J85" s="2501"/>
      <c r="K85" s="2501"/>
      <c r="L85" s="2501"/>
      <c r="M85" s="2501"/>
      <c r="N85" s="2508"/>
      <c r="O85" s="2503"/>
      <c r="P85" s="3359"/>
      <c r="Q85" s="3359"/>
      <c r="R85" s="3359"/>
      <c r="S85" s="3359"/>
      <c r="T85" s="3359"/>
      <c r="U85" s="3359"/>
      <c r="V85" s="3359"/>
      <c r="W85" s="3359"/>
      <c r="X85" s="3359"/>
      <c r="Y85" s="3359"/>
      <c r="Z85" s="3359"/>
      <c r="AA85" s="3359"/>
      <c r="AB85" s="3536"/>
      <c r="AC85" s="3361"/>
      <c r="AD85" s="3361"/>
      <c r="AE85" s="3361"/>
      <c r="AF85" s="3361"/>
      <c r="AG85" s="3361"/>
      <c r="AH85" s="3361"/>
      <c r="AI85" s="3361"/>
      <c r="AJ85" s="3361"/>
      <c r="AK85" s="3361"/>
      <c r="AL85" s="3514"/>
      <c r="AM85" s="3516"/>
      <c r="AN85" s="3470"/>
      <c r="AO85" s="3718"/>
      <c r="AP85" s="3719"/>
      <c r="AQ85" s="3719"/>
      <c r="AR85" s="3719"/>
      <c r="AS85" s="3719"/>
      <c r="AT85" s="3719"/>
      <c r="AU85" s="3719"/>
      <c r="AV85" s="3719"/>
      <c r="AW85" s="3719"/>
      <c r="AX85" s="3719"/>
      <c r="AY85" s="3719"/>
      <c r="AZ85" s="3719"/>
      <c r="BA85" s="3719"/>
      <c r="BB85" s="3719"/>
      <c r="BC85" s="3719"/>
      <c r="BD85" s="3719"/>
      <c r="BE85" s="3719"/>
      <c r="BF85" s="3719"/>
      <c r="BG85" s="3719"/>
      <c r="BH85" s="3719"/>
      <c r="BI85" s="3719"/>
      <c r="BJ85" s="3719"/>
      <c r="BK85" s="3719"/>
      <c r="BL85" s="3719"/>
      <c r="BM85" s="3719"/>
      <c r="BN85" s="3518"/>
      <c r="BO85" s="3520"/>
      <c r="BP85" s="3466"/>
      <c r="BQ85" s="3466"/>
      <c r="BR85" s="3466"/>
      <c r="BS85" s="3466"/>
      <c r="BT85" s="3466"/>
      <c r="BU85" s="3466"/>
      <c r="BV85" s="3466"/>
      <c r="BW85" s="3466"/>
      <c r="BX85" s="3466"/>
      <c r="BY85" s="3466"/>
      <c r="BZ85" s="3466"/>
      <c r="CA85" s="3477"/>
      <c r="CB85" s="3520"/>
      <c r="CC85" s="3466"/>
      <c r="CD85" s="3466"/>
      <c r="CE85" s="3466"/>
      <c r="CF85" s="3466"/>
      <c r="CG85" s="3466"/>
      <c r="CH85" s="3466"/>
      <c r="CI85" s="3466"/>
      <c r="CJ85" s="3466"/>
      <c r="CK85" s="3466"/>
      <c r="CL85" s="3466"/>
      <c r="CM85" s="3466"/>
    </row>
    <row r="86" spans="1:91" ht="15.75" thickBot="1">
      <c r="A86" s="2449" t="s">
        <v>1727</v>
      </c>
      <c r="B86" s="2551" t="str">
        <f t="shared" si="1"/>
        <v>3039530045</v>
      </c>
      <c r="C86" s="2010" t="s">
        <v>703</v>
      </c>
      <c r="D86" s="2011">
        <v>3953</v>
      </c>
      <c r="E86" s="2011">
        <v>45</v>
      </c>
      <c r="F86" s="2494">
        <v>15650</v>
      </c>
      <c r="G86" s="2496" t="s">
        <v>947</v>
      </c>
      <c r="H86" s="2011" t="s">
        <v>1560</v>
      </c>
      <c r="I86" s="2012">
        <v>1</v>
      </c>
      <c r="J86" s="2491">
        <v>0</v>
      </c>
      <c r="K86" s="2491">
        <v>52640</v>
      </c>
      <c r="L86" s="2491">
        <v>0</v>
      </c>
      <c r="M86" s="2491">
        <v>52640</v>
      </c>
      <c r="N86" s="2489">
        <v>0</v>
      </c>
      <c r="O86" s="2490" t="s">
        <v>1725</v>
      </c>
      <c r="P86" s="2499">
        <v>0</v>
      </c>
      <c r="Q86" s="2499">
        <v>0</v>
      </c>
      <c r="R86" s="2499">
        <v>0</v>
      </c>
      <c r="S86" s="2499">
        <v>0</v>
      </c>
      <c r="T86" s="2499">
        <v>0</v>
      </c>
      <c r="U86" s="2499">
        <v>0</v>
      </c>
      <c r="V86" s="2499">
        <v>0</v>
      </c>
      <c r="W86" s="2499">
        <v>52640</v>
      </c>
      <c r="X86" s="2499">
        <v>0</v>
      </c>
      <c r="Y86" s="2499">
        <v>0</v>
      </c>
      <c r="Z86" s="2499">
        <v>0</v>
      </c>
      <c r="AA86" s="2499">
        <v>0</v>
      </c>
      <c r="AB86" s="2530">
        <v>52640</v>
      </c>
      <c r="AC86" s="2491">
        <v>0</v>
      </c>
      <c r="AD86" s="2491">
        <v>0</v>
      </c>
      <c r="AE86" s="2491">
        <v>3</v>
      </c>
      <c r="AF86" s="2491">
        <v>0</v>
      </c>
      <c r="AG86" s="2491">
        <v>0</v>
      </c>
      <c r="AH86" s="2491">
        <v>0</v>
      </c>
      <c r="AI86" s="2491">
        <v>0</v>
      </c>
      <c r="AJ86" s="2491">
        <v>0</v>
      </c>
      <c r="AK86" s="2491">
        <v>3</v>
      </c>
      <c r="AL86" s="2522">
        <v>45</v>
      </c>
      <c r="AM86" s="2118" t="s">
        <v>741</v>
      </c>
      <c r="AN86" s="2119" t="s">
        <v>706</v>
      </c>
      <c r="AO86" s="2092" t="s">
        <v>1608</v>
      </c>
      <c r="AP86" s="2120">
        <v>84510</v>
      </c>
      <c r="AQ86" s="2120">
        <v>9085</v>
      </c>
      <c r="AR86" s="2120">
        <v>0</v>
      </c>
      <c r="AS86" s="2120">
        <v>5000</v>
      </c>
      <c r="AT86" s="2120">
        <v>0</v>
      </c>
      <c r="AU86" s="2120">
        <v>0</v>
      </c>
      <c r="AV86" s="2120">
        <v>14085</v>
      </c>
      <c r="AW86" s="2120">
        <v>0</v>
      </c>
      <c r="AX86" s="2120">
        <v>0</v>
      </c>
      <c r="AY86" s="2120">
        <v>0</v>
      </c>
      <c r="AZ86" s="2120">
        <v>0</v>
      </c>
      <c r="BA86" s="2120">
        <v>0</v>
      </c>
      <c r="BB86" s="2120">
        <v>112680</v>
      </c>
      <c r="BC86" s="2120">
        <v>84</v>
      </c>
      <c r="BD86" s="2120">
        <v>42.255000000000003</v>
      </c>
      <c r="BE86" s="2120">
        <v>17</v>
      </c>
      <c r="BF86" s="2120">
        <v>0</v>
      </c>
      <c r="BG86" s="2120">
        <v>28</v>
      </c>
      <c r="BH86" s="2120">
        <v>0</v>
      </c>
      <c r="BI86" s="2120">
        <v>0</v>
      </c>
      <c r="BJ86" s="2120">
        <v>0</v>
      </c>
      <c r="BK86" s="2120">
        <v>0</v>
      </c>
      <c r="BL86" s="2120">
        <v>0</v>
      </c>
      <c r="BM86" s="2120">
        <v>45</v>
      </c>
      <c r="BN86" s="2121">
        <v>145</v>
      </c>
      <c r="BO86" s="2048">
        <v>84510</v>
      </c>
      <c r="BP86" s="2090">
        <v>9085</v>
      </c>
      <c r="BQ86" s="2090">
        <v>0</v>
      </c>
      <c r="BR86" s="2090">
        <v>0</v>
      </c>
      <c r="BS86" s="2090">
        <v>5000</v>
      </c>
      <c r="BT86" s="2090">
        <v>0</v>
      </c>
      <c r="BU86" s="2090">
        <v>0</v>
      </c>
      <c r="BV86" s="2090">
        <v>14085</v>
      </c>
      <c r="BW86" s="2090">
        <v>-52640</v>
      </c>
      <c r="BX86" s="2090">
        <v>0</v>
      </c>
      <c r="BY86" s="2090">
        <v>0</v>
      </c>
      <c r="BZ86" s="2090">
        <v>0</v>
      </c>
      <c r="CA86" s="2122">
        <v>0</v>
      </c>
      <c r="CB86" s="2048">
        <v>60040</v>
      </c>
      <c r="CC86" s="2090">
        <v>-24470</v>
      </c>
      <c r="CD86" s="2090">
        <v>84</v>
      </c>
      <c r="CE86" s="2090">
        <v>42.255000000000003</v>
      </c>
      <c r="CF86" s="2090">
        <v>17</v>
      </c>
      <c r="CG86" s="2090">
        <v>0</v>
      </c>
      <c r="CH86" s="2090">
        <v>25</v>
      </c>
      <c r="CI86" s="2090">
        <v>0</v>
      </c>
      <c r="CJ86" s="2090">
        <v>0</v>
      </c>
      <c r="CK86" s="2090">
        <v>0</v>
      </c>
      <c r="CL86" s="2090">
        <v>0</v>
      </c>
      <c r="CM86" s="2090">
        <v>0</v>
      </c>
    </row>
    <row r="87" spans="1:91">
      <c r="A87" s="3282" t="s">
        <v>1728</v>
      </c>
      <c r="B87" s="2551" t="str">
        <f t="shared" si="1"/>
        <v>3039550020</v>
      </c>
      <c r="C87" s="2010" t="s">
        <v>703</v>
      </c>
      <c r="D87" s="2011">
        <v>3955</v>
      </c>
      <c r="E87" s="2011">
        <v>20</v>
      </c>
      <c r="F87" s="2494">
        <v>2580</v>
      </c>
      <c r="G87" s="2496" t="s">
        <v>1079</v>
      </c>
      <c r="H87" s="2011" t="s">
        <v>1584</v>
      </c>
      <c r="I87" s="2012">
        <v>1.25</v>
      </c>
      <c r="J87" s="2491">
        <v>0</v>
      </c>
      <c r="K87" s="2491">
        <v>0</v>
      </c>
      <c r="L87" s="2491">
        <v>0</v>
      </c>
      <c r="M87" s="2491">
        <v>2548</v>
      </c>
      <c r="N87" s="2489">
        <v>0</v>
      </c>
      <c r="O87" s="2437" t="s">
        <v>1580</v>
      </c>
      <c r="P87" s="3272">
        <v>12462</v>
      </c>
      <c r="Q87" s="3272">
        <v>718</v>
      </c>
      <c r="R87" s="3272">
        <v>0</v>
      </c>
      <c r="S87" s="3272">
        <v>0</v>
      </c>
      <c r="T87" s="3272">
        <v>0</v>
      </c>
      <c r="U87" s="3272">
        <v>0</v>
      </c>
      <c r="V87" s="3272">
        <v>0</v>
      </c>
      <c r="W87" s="3272">
        <v>0</v>
      </c>
      <c r="X87" s="3272">
        <v>0</v>
      </c>
      <c r="Y87" s="3272">
        <v>0</v>
      </c>
      <c r="Z87" s="3272">
        <v>0</v>
      </c>
      <c r="AA87" s="3272">
        <v>748</v>
      </c>
      <c r="AB87" s="3507">
        <v>13928</v>
      </c>
      <c r="AC87" s="3265">
        <v>10</v>
      </c>
      <c r="AD87" s="3265">
        <v>0</v>
      </c>
      <c r="AE87" s="3265">
        <v>0</v>
      </c>
      <c r="AF87" s="3265">
        <v>0</v>
      </c>
      <c r="AG87" s="3265">
        <v>0</v>
      </c>
      <c r="AH87" s="3265">
        <v>0</v>
      </c>
      <c r="AI87" s="3265">
        <v>0</v>
      </c>
      <c r="AJ87" s="3265">
        <v>1</v>
      </c>
      <c r="AK87" s="3265">
        <v>1</v>
      </c>
      <c r="AL87" s="3513">
        <v>45</v>
      </c>
      <c r="AM87" s="3515" t="s">
        <v>1585</v>
      </c>
      <c r="AN87" s="3512" t="s">
        <v>706</v>
      </c>
      <c r="AO87" s="3407" t="s">
        <v>1599</v>
      </c>
      <c r="AP87" s="3511">
        <v>28510</v>
      </c>
      <c r="AQ87" s="3511">
        <v>7071.3</v>
      </c>
      <c r="AR87" s="3511">
        <v>0</v>
      </c>
      <c r="AS87" s="3511">
        <v>0</v>
      </c>
      <c r="AT87" s="3511">
        <v>0</v>
      </c>
      <c r="AU87" s="3511">
        <v>0</v>
      </c>
      <c r="AV87" s="3511">
        <v>0</v>
      </c>
      <c r="AW87" s="3511">
        <v>0</v>
      </c>
      <c r="AX87" s="3511">
        <v>0</v>
      </c>
      <c r="AY87" s="3511">
        <v>0</v>
      </c>
      <c r="AZ87" s="3511">
        <v>0</v>
      </c>
      <c r="BA87" s="3511">
        <v>0</v>
      </c>
      <c r="BB87" s="3511">
        <v>35581.300000000003</v>
      </c>
      <c r="BC87" s="3511">
        <v>28</v>
      </c>
      <c r="BD87" s="3511">
        <v>14.255000000000001</v>
      </c>
      <c r="BE87" s="3511">
        <v>7</v>
      </c>
      <c r="BF87" s="3511">
        <v>0</v>
      </c>
      <c r="BG87" s="3511">
        <v>7</v>
      </c>
      <c r="BH87" s="3511">
        <v>0</v>
      </c>
      <c r="BI87" s="3511">
        <v>0</v>
      </c>
      <c r="BJ87" s="3511">
        <v>0</v>
      </c>
      <c r="BK87" s="3511">
        <v>0</v>
      </c>
      <c r="BL87" s="3511">
        <v>0</v>
      </c>
      <c r="BM87" s="3511">
        <v>14</v>
      </c>
      <c r="BN87" s="3517">
        <v>85</v>
      </c>
      <c r="BO87" s="3519">
        <v>16048</v>
      </c>
      <c r="BP87" s="3464">
        <v>6353.3</v>
      </c>
      <c r="BQ87" s="3464">
        <v>0</v>
      </c>
      <c r="BR87" s="3464">
        <v>0</v>
      </c>
      <c r="BS87" s="3464">
        <v>0</v>
      </c>
      <c r="BT87" s="3464">
        <v>0</v>
      </c>
      <c r="BU87" s="3464">
        <v>0</v>
      </c>
      <c r="BV87" s="3464">
        <v>0</v>
      </c>
      <c r="BW87" s="3464">
        <v>0</v>
      </c>
      <c r="BX87" s="3464">
        <v>0</v>
      </c>
      <c r="BY87" s="3464">
        <v>0</v>
      </c>
      <c r="BZ87" s="3464">
        <v>0</v>
      </c>
      <c r="CA87" s="3524">
        <v>-748</v>
      </c>
      <c r="CB87" s="3519">
        <v>21653.300000000003</v>
      </c>
      <c r="CC87" s="3464">
        <v>6353.3</v>
      </c>
      <c r="CD87" s="3464">
        <v>18</v>
      </c>
      <c r="CE87" s="3464">
        <v>14.255000000000001</v>
      </c>
      <c r="CF87" s="3464">
        <v>7</v>
      </c>
      <c r="CG87" s="3464">
        <v>0</v>
      </c>
      <c r="CH87" s="3464">
        <v>7</v>
      </c>
      <c r="CI87" s="3464">
        <v>0</v>
      </c>
      <c r="CJ87" s="3464">
        <v>0</v>
      </c>
      <c r="CK87" s="3464">
        <v>0</v>
      </c>
      <c r="CL87" s="3464">
        <v>0</v>
      </c>
      <c r="CM87" s="3464">
        <v>-1</v>
      </c>
    </row>
    <row r="88" spans="1:91">
      <c r="A88" s="3313"/>
      <c r="B88" s="2551" t="str">
        <f t="shared" si="1"/>
        <v>3039550021</v>
      </c>
      <c r="C88" s="2492" t="s">
        <v>710</v>
      </c>
      <c r="D88" s="2026">
        <v>3955</v>
      </c>
      <c r="E88" s="2026">
        <v>21</v>
      </c>
      <c r="F88" s="2027">
        <v>2735</v>
      </c>
      <c r="G88" s="2497" t="s">
        <v>1079</v>
      </c>
      <c r="H88" s="2026" t="s">
        <v>1584</v>
      </c>
      <c r="I88" s="2028">
        <v>1.25</v>
      </c>
      <c r="J88" s="2500">
        <v>0</v>
      </c>
      <c r="K88" s="2500">
        <v>0</v>
      </c>
      <c r="L88" s="2500">
        <v>0</v>
      </c>
      <c r="M88" s="2500">
        <v>0</v>
      </c>
      <c r="N88" s="2029">
        <v>0</v>
      </c>
      <c r="O88" s="2502" t="s">
        <v>1578</v>
      </c>
      <c r="P88" s="3273"/>
      <c r="Q88" s="3273"/>
      <c r="R88" s="3273"/>
      <c r="S88" s="3273"/>
      <c r="T88" s="3273"/>
      <c r="U88" s="3273"/>
      <c r="V88" s="3273"/>
      <c r="W88" s="3273"/>
      <c r="X88" s="3273"/>
      <c r="Y88" s="3273"/>
      <c r="Z88" s="3273"/>
      <c r="AA88" s="3273"/>
      <c r="AB88" s="3508"/>
      <c r="AC88" s="3274"/>
      <c r="AD88" s="3274"/>
      <c r="AE88" s="3274"/>
      <c r="AF88" s="3274"/>
      <c r="AG88" s="3274"/>
      <c r="AH88" s="3274"/>
      <c r="AI88" s="3274"/>
      <c r="AJ88" s="3274"/>
      <c r="AK88" s="3274"/>
      <c r="AL88" s="3529"/>
      <c r="AM88" s="3525"/>
      <c r="AN88" s="3469"/>
      <c r="AO88" s="3526"/>
      <c r="AP88" s="3527"/>
      <c r="AQ88" s="3527"/>
      <c r="AR88" s="3527"/>
      <c r="AS88" s="3527"/>
      <c r="AT88" s="3527"/>
      <c r="AU88" s="3527"/>
      <c r="AV88" s="3527"/>
      <c r="AW88" s="3527"/>
      <c r="AX88" s="3527"/>
      <c r="AY88" s="3527"/>
      <c r="AZ88" s="3527"/>
      <c r="BA88" s="3527"/>
      <c r="BB88" s="3527"/>
      <c r="BC88" s="3527"/>
      <c r="BD88" s="3527"/>
      <c r="BE88" s="3527"/>
      <c r="BF88" s="3527"/>
      <c r="BG88" s="3527"/>
      <c r="BH88" s="3527"/>
      <c r="BI88" s="3527"/>
      <c r="BJ88" s="3527"/>
      <c r="BK88" s="3527"/>
      <c r="BL88" s="3527"/>
      <c r="BM88" s="3527"/>
      <c r="BN88" s="3535"/>
      <c r="BO88" s="3534"/>
      <c r="BP88" s="3465"/>
      <c r="BQ88" s="3465"/>
      <c r="BR88" s="3465"/>
      <c r="BS88" s="3465"/>
      <c r="BT88" s="3465"/>
      <c r="BU88" s="3465"/>
      <c r="BV88" s="3465"/>
      <c r="BW88" s="3465"/>
      <c r="BX88" s="3465"/>
      <c r="BY88" s="3465"/>
      <c r="BZ88" s="3465"/>
      <c r="CA88" s="3533"/>
      <c r="CB88" s="3534"/>
      <c r="CC88" s="3465"/>
      <c r="CD88" s="3465"/>
      <c r="CE88" s="3465"/>
      <c r="CF88" s="3465"/>
      <c r="CG88" s="3465"/>
      <c r="CH88" s="3465"/>
      <c r="CI88" s="3465"/>
      <c r="CJ88" s="3465"/>
      <c r="CK88" s="3465"/>
      <c r="CL88" s="3465"/>
      <c r="CM88" s="3465"/>
    </row>
    <row r="89" spans="1:91">
      <c r="A89" s="3380"/>
      <c r="B89" s="2551" t="str">
        <f t="shared" si="1"/>
        <v>3039550022</v>
      </c>
      <c r="C89" s="2468" t="s">
        <v>721</v>
      </c>
      <c r="D89" s="2026">
        <v>3955</v>
      </c>
      <c r="E89" s="2026">
        <v>22</v>
      </c>
      <c r="F89" s="2027">
        <v>2209</v>
      </c>
      <c r="G89" s="2497" t="s">
        <v>1079</v>
      </c>
      <c r="H89" s="2026" t="s">
        <v>1584</v>
      </c>
      <c r="I89" s="2028">
        <v>1.25</v>
      </c>
      <c r="J89" s="2500">
        <v>718</v>
      </c>
      <c r="K89" s="2500">
        <v>0</v>
      </c>
      <c r="L89" s="2500">
        <v>0</v>
      </c>
      <c r="M89" s="2500">
        <v>5011</v>
      </c>
      <c r="N89" s="2029">
        <v>5</v>
      </c>
      <c r="O89" s="2502" t="s">
        <v>1729</v>
      </c>
      <c r="P89" s="3273"/>
      <c r="Q89" s="3273"/>
      <c r="R89" s="3273"/>
      <c r="S89" s="3273"/>
      <c r="T89" s="3273"/>
      <c r="U89" s="3273"/>
      <c r="V89" s="3273"/>
      <c r="W89" s="3273"/>
      <c r="X89" s="3273"/>
      <c r="Y89" s="3273"/>
      <c r="Z89" s="3273"/>
      <c r="AA89" s="3273"/>
      <c r="AB89" s="3508"/>
      <c r="AC89" s="3274"/>
      <c r="AD89" s="3274"/>
      <c r="AE89" s="3274"/>
      <c r="AF89" s="3274"/>
      <c r="AG89" s="3274"/>
      <c r="AH89" s="3274"/>
      <c r="AI89" s="3274"/>
      <c r="AJ89" s="3274"/>
      <c r="AK89" s="3274"/>
      <c r="AL89" s="3529"/>
      <c r="AM89" s="3525"/>
      <c r="AN89" s="3469"/>
      <c r="AO89" s="3526"/>
      <c r="AP89" s="3527"/>
      <c r="AQ89" s="3527"/>
      <c r="AR89" s="3527"/>
      <c r="AS89" s="3527"/>
      <c r="AT89" s="3527"/>
      <c r="AU89" s="3527"/>
      <c r="AV89" s="3527"/>
      <c r="AW89" s="3527"/>
      <c r="AX89" s="3527"/>
      <c r="AY89" s="3527"/>
      <c r="AZ89" s="3527"/>
      <c r="BA89" s="3527"/>
      <c r="BB89" s="3527"/>
      <c r="BC89" s="3527"/>
      <c r="BD89" s="3527"/>
      <c r="BE89" s="3527"/>
      <c r="BF89" s="3527"/>
      <c r="BG89" s="3527"/>
      <c r="BH89" s="3527"/>
      <c r="BI89" s="3527"/>
      <c r="BJ89" s="3527"/>
      <c r="BK89" s="3527"/>
      <c r="BL89" s="3527"/>
      <c r="BM89" s="3527"/>
      <c r="BN89" s="3535"/>
      <c r="BO89" s="3534"/>
      <c r="BP89" s="3465"/>
      <c r="BQ89" s="3465"/>
      <c r="BR89" s="3465"/>
      <c r="BS89" s="3465"/>
      <c r="BT89" s="3465"/>
      <c r="BU89" s="3465"/>
      <c r="BV89" s="3465"/>
      <c r="BW89" s="3465"/>
      <c r="BX89" s="3465"/>
      <c r="BY89" s="3465"/>
      <c r="BZ89" s="3465"/>
      <c r="CA89" s="3533"/>
      <c r="CB89" s="3534"/>
      <c r="CC89" s="3465"/>
      <c r="CD89" s="3465"/>
      <c r="CE89" s="3465"/>
      <c r="CF89" s="3465"/>
      <c r="CG89" s="3465"/>
      <c r="CH89" s="3465"/>
      <c r="CI89" s="3465"/>
      <c r="CJ89" s="3465"/>
      <c r="CK89" s="3465"/>
      <c r="CL89" s="3465"/>
      <c r="CM89" s="3465"/>
    </row>
    <row r="90" spans="1:91" ht="15.75" thickBot="1">
      <c r="A90" s="3283"/>
      <c r="B90" s="2551" t="str">
        <f t="shared" si="1"/>
        <v>3039550023</v>
      </c>
      <c r="C90" s="2493" t="s">
        <v>724</v>
      </c>
      <c r="D90" s="2026">
        <v>3955</v>
      </c>
      <c r="E90" s="2026">
        <v>23</v>
      </c>
      <c r="F90" s="2027">
        <v>2360</v>
      </c>
      <c r="G90" s="2497" t="s">
        <v>1079</v>
      </c>
      <c r="H90" s="2026" t="s">
        <v>1584</v>
      </c>
      <c r="I90" s="2028">
        <v>1.25</v>
      </c>
      <c r="J90" s="2500">
        <v>0</v>
      </c>
      <c r="K90" s="2500">
        <v>0</v>
      </c>
      <c r="L90" s="2500">
        <v>0</v>
      </c>
      <c r="M90" s="2500">
        <v>0</v>
      </c>
      <c r="N90" s="2029">
        <v>0</v>
      </c>
      <c r="O90" s="2502" t="s">
        <v>1578</v>
      </c>
      <c r="P90" s="3359"/>
      <c r="Q90" s="3359"/>
      <c r="R90" s="3359"/>
      <c r="S90" s="3359"/>
      <c r="T90" s="3359"/>
      <c r="U90" s="3359"/>
      <c r="V90" s="3359"/>
      <c r="W90" s="3359"/>
      <c r="X90" s="3359"/>
      <c r="Y90" s="3359"/>
      <c r="Z90" s="3359"/>
      <c r="AA90" s="3359"/>
      <c r="AB90" s="3536"/>
      <c r="AC90" s="3361"/>
      <c r="AD90" s="3361"/>
      <c r="AE90" s="3361"/>
      <c r="AF90" s="3361"/>
      <c r="AG90" s="3361"/>
      <c r="AH90" s="3361"/>
      <c r="AI90" s="3361"/>
      <c r="AJ90" s="3361"/>
      <c r="AK90" s="3361"/>
      <c r="AL90" s="3514"/>
      <c r="AM90" s="3516"/>
      <c r="AN90" s="3470"/>
      <c r="AO90" s="3718"/>
      <c r="AP90" s="3719"/>
      <c r="AQ90" s="3719"/>
      <c r="AR90" s="3719"/>
      <c r="AS90" s="3719"/>
      <c r="AT90" s="3719"/>
      <c r="AU90" s="3719"/>
      <c r="AV90" s="3719"/>
      <c r="AW90" s="3719"/>
      <c r="AX90" s="3719"/>
      <c r="AY90" s="3719"/>
      <c r="AZ90" s="3719"/>
      <c r="BA90" s="3719"/>
      <c r="BB90" s="3719"/>
      <c r="BC90" s="3719"/>
      <c r="BD90" s="3719"/>
      <c r="BE90" s="3719"/>
      <c r="BF90" s="3719"/>
      <c r="BG90" s="3719"/>
      <c r="BH90" s="3719"/>
      <c r="BI90" s="3719"/>
      <c r="BJ90" s="3719"/>
      <c r="BK90" s="3719"/>
      <c r="BL90" s="3719"/>
      <c r="BM90" s="3719"/>
      <c r="BN90" s="3518"/>
      <c r="BO90" s="3520"/>
      <c r="BP90" s="3466"/>
      <c r="BQ90" s="3466"/>
      <c r="BR90" s="3466"/>
      <c r="BS90" s="3466"/>
      <c r="BT90" s="3466"/>
      <c r="BU90" s="3466"/>
      <c r="BV90" s="3466"/>
      <c r="BW90" s="3466"/>
      <c r="BX90" s="3466"/>
      <c r="BY90" s="3466"/>
      <c r="BZ90" s="3466"/>
      <c r="CA90" s="3477"/>
      <c r="CB90" s="3520"/>
      <c r="CC90" s="3466"/>
      <c r="CD90" s="3466"/>
      <c r="CE90" s="3466"/>
      <c r="CF90" s="3466"/>
      <c r="CG90" s="3466"/>
      <c r="CH90" s="3466"/>
      <c r="CI90" s="3466"/>
      <c r="CJ90" s="3466"/>
      <c r="CK90" s="3466"/>
      <c r="CL90" s="3466"/>
      <c r="CM90" s="3466"/>
    </row>
    <row r="91" spans="1:91">
      <c r="A91" s="3555" t="s">
        <v>1730</v>
      </c>
      <c r="B91" s="2551" t="str">
        <f t="shared" si="1"/>
        <v>3039560023</v>
      </c>
      <c r="C91" s="2022" t="s">
        <v>703</v>
      </c>
      <c r="D91" s="2023">
        <v>3956</v>
      </c>
      <c r="E91" s="2023">
        <v>23</v>
      </c>
      <c r="F91" s="2506">
        <v>3137</v>
      </c>
      <c r="G91" s="2507" t="s">
        <v>1566</v>
      </c>
      <c r="H91" s="2023" t="s">
        <v>1560</v>
      </c>
      <c r="I91" s="2024">
        <v>2</v>
      </c>
      <c r="J91" s="2505">
        <v>0</v>
      </c>
      <c r="K91" s="2505">
        <v>3075</v>
      </c>
      <c r="L91" s="2505">
        <v>0</v>
      </c>
      <c r="M91" s="2505">
        <v>3075</v>
      </c>
      <c r="N91" s="2025">
        <v>0</v>
      </c>
      <c r="O91" s="2502" t="s">
        <v>1572</v>
      </c>
      <c r="P91" s="3272">
        <v>0</v>
      </c>
      <c r="Q91" s="3272">
        <v>0</v>
      </c>
      <c r="R91" s="3272">
        <v>0</v>
      </c>
      <c r="S91" s="3272">
        <v>0</v>
      </c>
      <c r="T91" s="3272">
        <v>3075</v>
      </c>
      <c r="U91" s="3272">
        <v>0</v>
      </c>
      <c r="V91" s="3272">
        <v>200</v>
      </c>
      <c r="W91" s="3272">
        <v>0</v>
      </c>
      <c r="X91" s="3272">
        <v>0</v>
      </c>
      <c r="Y91" s="3272">
        <v>0</v>
      </c>
      <c r="Z91" s="3272">
        <v>3125</v>
      </c>
      <c r="AA91" s="3272">
        <v>0</v>
      </c>
      <c r="AB91" s="3507">
        <v>6400</v>
      </c>
      <c r="AC91" s="3265">
        <v>0</v>
      </c>
      <c r="AD91" s="3265">
        <v>0</v>
      </c>
      <c r="AE91" s="3265">
        <v>0</v>
      </c>
      <c r="AF91" s="3265">
        <v>0</v>
      </c>
      <c r="AG91" s="3265">
        <v>0</v>
      </c>
      <c r="AH91" s="3265">
        <v>0</v>
      </c>
      <c r="AI91" s="3265">
        <v>0</v>
      </c>
      <c r="AJ91" s="3265">
        <v>0</v>
      </c>
      <c r="AK91" s="3265">
        <v>0</v>
      </c>
      <c r="AL91" s="3513">
        <v>15</v>
      </c>
      <c r="AM91" s="3515" t="s">
        <v>741</v>
      </c>
      <c r="AN91" s="3512" t="s">
        <v>706</v>
      </c>
      <c r="AO91" s="3407" t="s">
        <v>1595</v>
      </c>
      <c r="AP91" s="3511">
        <v>40677</v>
      </c>
      <c r="AQ91" s="3511">
        <v>4768.2</v>
      </c>
      <c r="AR91" s="3511">
        <v>0</v>
      </c>
      <c r="AS91" s="3511">
        <v>0</v>
      </c>
      <c r="AT91" s="3511">
        <v>0</v>
      </c>
      <c r="AU91" s="3511">
        <v>0</v>
      </c>
      <c r="AV91" s="3511">
        <v>0</v>
      </c>
      <c r="AW91" s="3511">
        <v>0</v>
      </c>
      <c r="AX91" s="3511">
        <v>0</v>
      </c>
      <c r="AY91" s="3511">
        <v>0</v>
      </c>
      <c r="AZ91" s="3511">
        <v>0</v>
      </c>
      <c r="BA91" s="3511">
        <v>0</v>
      </c>
      <c r="BB91" s="3511">
        <v>45445.2</v>
      </c>
      <c r="BC91" s="3511">
        <v>40</v>
      </c>
      <c r="BD91" s="3511">
        <v>20.3385</v>
      </c>
      <c r="BE91" s="3511">
        <v>8</v>
      </c>
      <c r="BF91" s="3511">
        <v>0</v>
      </c>
      <c r="BG91" s="3511">
        <v>5</v>
      </c>
      <c r="BH91" s="3511">
        <v>0</v>
      </c>
      <c r="BI91" s="3511">
        <v>0</v>
      </c>
      <c r="BJ91" s="3511">
        <v>0</v>
      </c>
      <c r="BK91" s="3511">
        <v>0</v>
      </c>
      <c r="BL91" s="3511">
        <v>0</v>
      </c>
      <c r="BM91" s="3511">
        <v>13</v>
      </c>
      <c r="BN91" s="3517">
        <v>145</v>
      </c>
      <c r="BO91" s="3519">
        <v>40677</v>
      </c>
      <c r="BP91" s="3464">
        <v>4768.2</v>
      </c>
      <c r="BQ91" s="3464">
        <v>0</v>
      </c>
      <c r="BR91" s="3464">
        <v>0</v>
      </c>
      <c r="BS91" s="3464">
        <v>0</v>
      </c>
      <c r="BT91" s="3464">
        <v>-3075</v>
      </c>
      <c r="BU91" s="3464">
        <v>0</v>
      </c>
      <c r="BV91" s="3464">
        <v>-200</v>
      </c>
      <c r="BW91" s="3464">
        <v>0</v>
      </c>
      <c r="BX91" s="3464">
        <v>0</v>
      </c>
      <c r="BY91" s="3464">
        <v>0</v>
      </c>
      <c r="BZ91" s="3464">
        <v>-3125</v>
      </c>
      <c r="CA91" s="3524">
        <v>0</v>
      </c>
      <c r="CB91" s="3519">
        <v>39045.199999999997</v>
      </c>
      <c r="CC91" s="3464">
        <v>1493.1999999999998</v>
      </c>
      <c r="CD91" s="3464">
        <v>40</v>
      </c>
      <c r="CE91" s="3464">
        <v>20.3385</v>
      </c>
      <c r="CF91" s="3464">
        <v>8</v>
      </c>
      <c r="CG91" s="3464">
        <v>0</v>
      </c>
      <c r="CH91" s="3464">
        <v>5</v>
      </c>
      <c r="CI91" s="3464">
        <v>0</v>
      </c>
      <c r="CJ91" s="3464">
        <v>0</v>
      </c>
      <c r="CK91" s="3464">
        <v>0</v>
      </c>
      <c r="CL91" s="3464">
        <v>0</v>
      </c>
      <c r="CM91" s="3464">
        <v>0</v>
      </c>
    </row>
    <row r="92" spans="1:91" ht="15.75" thickBot="1">
      <c r="A92" s="3556"/>
      <c r="B92" s="2551" t="str">
        <f t="shared" si="1"/>
        <v>3039560024</v>
      </c>
      <c r="C92" s="2493" t="s">
        <v>710</v>
      </c>
      <c r="D92" s="2018">
        <v>3956</v>
      </c>
      <c r="E92" s="2018">
        <v>24</v>
      </c>
      <c r="F92" s="2019">
        <v>3175</v>
      </c>
      <c r="G92" s="2498" t="s">
        <v>1566</v>
      </c>
      <c r="H92" s="2018" t="s">
        <v>1560</v>
      </c>
      <c r="I92" s="2020">
        <v>2</v>
      </c>
      <c r="J92" s="2501">
        <v>0</v>
      </c>
      <c r="K92" s="2501">
        <v>0</v>
      </c>
      <c r="L92" s="2501">
        <v>200</v>
      </c>
      <c r="M92" s="2501">
        <v>3325</v>
      </c>
      <c r="N92" s="2508">
        <v>0</v>
      </c>
      <c r="O92" s="2453" t="s">
        <v>1654</v>
      </c>
      <c r="P92" s="3359"/>
      <c r="Q92" s="3359"/>
      <c r="R92" s="3359"/>
      <c r="S92" s="3359"/>
      <c r="T92" s="3359"/>
      <c r="U92" s="3359"/>
      <c r="V92" s="3359"/>
      <c r="W92" s="3359"/>
      <c r="X92" s="3359"/>
      <c r="Y92" s="3359"/>
      <c r="Z92" s="3359"/>
      <c r="AA92" s="3359"/>
      <c r="AB92" s="3536"/>
      <c r="AC92" s="3361"/>
      <c r="AD92" s="3361"/>
      <c r="AE92" s="3361"/>
      <c r="AF92" s="3361"/>
      <c r="AG92" s="3361"/>
      <c r="AH92" s="3361"/>
      <c r="AI92" s="3361"/>
      <c r="AJ92" s="3361"/>
      <c r="AK92" s="3361"/>
      <c r="AL92" s="3514"/>
      <c r="AM92" s="3525"/>
      <c r="AN92" s="3469"/>
      <c r="AO92" s="3526"/>
      <c r="AP92" s="3527"/>
      <c r="AQ92" s="3527"/>
      <c r="AR92" s="3527"/>
      <c r="AS92" s="3527"/>
      <c r="AT92" s="3527"/>
      <c r="AU92" s="3527"/>
      <c r="AV92" s="3527"/>
      <c r="AW92" s="3527"/>
      <c r="AX92" s="3527"/>
      <c r="AY92" s="3527"/>
      <c r="AZ92" s="3527"/>
      <c r="BA92" s="3527"/>
      <c r="BB92" s="3527"/>
      <c r="BC92" s="3527"/>
      <c r="BD92" s="3527"/>
      <c r="BE92" s="3527"/>
      <c r="BF92" s="3527"/>
      <c r="BG92" s="3527"/>
      <c r="BH92" s="3527"/>
      <c r="BI92" s="3527"/>
      <c r="BJ92" s="3527"/>
      <c r="BK92" s="3527"/>
      <c r="BL92" s="3527"/>
      <c r="BM92" s="3527"/>
      <c r="BN92" s="3535"/>
      <c r="BO92" s="3520"/>
      <c r="BP92" s="3466"/>
      <c r="BQ92" s="3466"/>
      <c r="BR92" s="3466"/>
      <c r="BS92" s="3466"/>
      <c r="BT92" s="3466"/>
      <c r="BU92" s="3466"/>
      <c r="BV92" s="3466"/>
      <c r="BW92" s="3466"/>
      <c r="BX92" s="3466"/>
      <c r="BY92" s="3466"/>
      <c r="BZ92" s="3466"/>
      <c r="CA92" s="3477"/>
      <c r="CB92" s="3520"/>
      <c r="CC92" s="3466"/>
      <c r="CD92" s="3466"/>
      <c r="CE92" s="3466"/>
      <c r="CF92" s="3466"/>
      <c r="CG92" s="3466"/>
      <c r="CH92" s="3466"/>
      <c r="CI92" s="3466"/>
      <c r="CJ92" s="3466"/>
      <c r="CK92" s="3466"/>
      <c r="CL92" s="3466"/>
      <c r="CM92" s="3466"/>
    </row>
    <row r="93" spans="1:91">
      <c r="A93" s="3567" t="s">
        <v>1731</v>
      </c>
      <c r="B93" s="2551" t="str">
        <f t="shared" si="1"/>
        <v>3039610026</v>
      </c>
      <c r="C93" s="2010" t="s">
        <v>703</v>
      </c>
      <c r="D93" s="2011">
        <v>3961</v>
      </c>
      <c r="E93" s="2011">
        <v>26</v>
      </c>
      <c r="F93" s="2494">
        <v>2500</v>
      </c>
      <c r="G93" s="2496" t="s">
        <v>947</v>
      </c>
      <c r="H93" s="2011" t="s">
        <v>1560</v>
      </c>
      <c r="I93" s="2012">
        <v>1</v>
      </c>
      <c r="J93" s="2491">
        <v>0</v>
      </c>
      <c r="K93" s="2491">
        <v>5000</v>
      </c>
      <c r="L93" s="2491">
        <v>0</v>
      </c>
      <c r="M93" s="2491">
        <v>5000</v>
      </c>
      <c r="N93" s="2489">
        <v>0</v>
      </c>
      <c r="O93" s="2437" t="s">
        <v>1695</v>
      </c>
      <c r="P93" s="3272">
        <v>0</v>
      </c>
      <c r="Q93" s="3272">
        <v>0</v>
      </c>
      <c r="R93" s="3272">
        <v>0</v>
      </c>
      <c r="S93" s="3272">
        <v>0</v>
      </c>
      <c r="T93" s="3272">
        <v>5000</v>
      </c>
      <c r="U93" s="3272">
        <v>0</v>
      </c>
      <c r="V93" s="3272">
        <v>0</v>
      </c>
      <c r="W93" s="3272">
        <v>0</v>
      </c>
      <c r="X93" s="3272">
        <v>0</v>
      </c>
      <c r="Y93" s="3272">
        <v>5000</v>
      </c>
      <c r="Z93" s="3272">
        <v>0</v>
      </c>
      <c r="AA93" s="3272">
        <v>0</v>
      </c>
      <c r="AB93" s="3507">
        <v>10000</v>
      </c>
      <c r="AC93" s="3265">
        <v>0</v>
      </c>
      <c r="AD93" s="3265">
        <v>0</v>
      </c>
      <c r="AE93" s="3265">
        <v>0</v>
      </c>
      <c r="AF93" s="3265">
        <v>0</v>
      </c>
      <c r="AG93" s="3265">
        <v>0</v>
      </c>
      <c r="AH93" s="3265">
        <v>0</v>
      </c>
      <c r="AI93" s="3265">
        <v>0</v>
      </c>
      <c r="AJ93" s="3265">
        <v>0</v>
      </c>
      <c r="AK93" s="3265">
        <v>0</v>
      </c>
      <c r="AL93" s="3513">
        <v>25</v>
      </c>
      <c r="AM93" s="3515" t="s">
        <v>1615</v>
      </c>
      <c r="AN93" s="3512" t="s">
        <v>1560</v>
      </c>
      <c r="AO93" s="3407" t="s">
        <v>1619</v>
      </c>
      <c r="AP93" s="3511">
        <v>21149.999999999996</v>
      </c>
      <c r="AQ93" s="3511">
        <v>0</v>
      </c>
      <c r="AR93" s="3511">
        <v>0</v>
      </c>
      <c r="AS93" s="3511">
        <v>0</v>
      </c>
      <c r="AT93" s="3511">
        <v>0</v>
      </c>
      <c r="AU93" s="3511">
        <v>0</v>
      </c>
      <c r="AV93" s="3511">
        <v>0</v>
      </c>
      <c r="AW93" s="3511">
        <v>0</v>
      </c>
      <c r="AX93" s="3511">
        <v>0</v>
      </c>
      <c r="AY93" s="3511">
        <v>0</v>
      </c>
      <c r="AZ93" s="3511">
        <v>5850</v>
      </c>
      <c r="BA93" s="3511">
        <v>0</v>
      </c>
      <c r="BB93" s="3511">
        <v>26999.999999999996</v>
      </c>
      <c r="BC93" s="3511">
        <v>21</v>
      </c>
      <c r="BD93" s="3511">
        <v>10.574999999999998</v>
      </c>
      <c r="BE93" s="3511">
        <v>0</v>
      </c>
      <c r="BF93" s="3511">
        <v>0</v>
      </c>
      <c r="BG93" s="3511">
        <v>0</v>
      </c>
      <c r="BH93" s="3511">
        <v>0</v>
      </c>
      <c r="BI93" s="3511">
        <v>0</v>
      </c>
      <c r="BJ93" s="3511">
        <v>0</v>
      </c>
      <c r="BK93" s="3511">
        <v>0</v>
      </c>
      <c r="BL93" s="3511">
        <v>0</v>
      </c>
      <c r="BM93" s="3511">
        <v>0</v>
      </c>
      <c r="BN93" s="3517">
        <v>145</v>
      </c>
      <c r="BO93" s="3519">
        <v>21149.999999999996</v>
      </c>
      <c r="BP93" s="3464">
        <v>0</v>
      </c>
      <c r="BQ93" s="3464">
        <v>0</v>
      </c>
      <c r="BR93" s="3464">
        <v>0</v>
      </c>
      <c r="BS93" s="3464">
        <v>0</v>
      </c>
      <c r="BT93" s="3464">
        <v>-5000</v>
      </c>
      <c r="BU93" s="3464">
        <v>0</v>
      </c>
      <c r="BV93" s="3464">
        <v>0</v>
      </c>
      <c r="BW93" s="3464">
        <v>0</v>
      </c>
      <c r="BX93" s="3464">
        <v>0</v>
      </c>
      <c r="BY93" s="3464">
        <v>-5000</v>
      </c>
      <c r="BZ93" s="3464">
        <v>5850</v>
      </c>
      <c r="CA93" s="3524">
        <v>0</v>
      </c>
      <c r="CB93" s="3519">
        <v>16999.999999999996</v>
      </c>
      <c r="CC93" s="3464">
        <v>-10000</v>
      </c>
      <c r="CD93" s="3464">
        <v>21</v>
      </c>
      <c r="CE93" s="3464">
        <v>10.574999999999998</v>
      </c>
      <c r="CF93" s="3464">
        <v>0</v>
      </c>
      <c r="CG93" s="3464">
        <v>0</v>
      </c>
      <c r="CH93" s="3464">
        <v>0</v>
      </c>
      <c r="CI93" s="3464">
        <v>0</v>
      </c>
      <c r="CJ93" s="3464">
        <v>0</v>
      </c>
      <c r="CK93" s="3464">
        <v>0</v>
      </c>
      <c r="CL93" s="3464">
        <v>0</v>
      </c>
      <c r="CM93" s="3464">
        <v>0</v>
      </c>
    </row>
    <row r="94" spans="1:91" ht="15.75" thickBot="1">
      <c r="A94" s="3568"/>
      <c r="B94" s="2551" t="str">
        <f t="shared" si="1"/>
        <v>3039610027</v>
      </c>
      <c r="C94" s="2492" t="s">
        <v>710</v>
      </c>
      <c r="D94" s="2026">
        <v>3961</v>
      </c>
      <c r="E94" s="2026">
        <v>27</v>
      </c>
      <c r="F94" s="2027">
        <v>5000</v>
      </c>
      <c r="G94" s="2497" t="s">
        <v>947</v>
      </c>
      <c r="H94" s="2026" t="s">
        <v>1560</v>
      </c>
      <c r="I94" s="2028">
        <v>1</v>
      </c>
      <c r="J94" s="2500">
        <v>0</v>
      </c>
      <c r="K94" s="2500">
        <v>5000</v>
      </c>
      <c r="L94" s="2500">
        <v>0</v>
      </c>
      <c r="M94" s="2500">
        <v>5000</v>
      </c>
      <c r="N94" s="2029">
        <v>0</v>
      </c>
      <c r="O94" s="2503" t="s">
        <v>1572</v>
      </c>
      <c r="P94" s="3359"/>
      <c r="Q94" s="3359"/>
      <c r="R94" s="3359"/>
      <c r="S94" s="3359"/>
      <c r="T94" s="3359"/>
      <c r="U94" s="3359"/>
      <c r="V94" s="3359"/>
      <c r="W94" s="3359"/>
      <c r="X94" s="3359"/>
      <c r="Y94" s="3359"/>
      <c r="Z94" s="3359"/>
      <c r="AA94" s="3359"/>
      <c r="AB94" s="3536"/>
      <c r="AC94" s="3361"/>
      <c r="AD94" s="3361"/>
      <c r="AE94" s="3361"/>
      <c r="AF94" s="3361"/>
      <c r="AG94" s="3361"/>
      <c r="AH94" s="3361"/>
      <c r="AI94" s="3361"/>
      <c r="AJ94" s="3361"/>
      <c r="AK94" s="3361"/>
      <c r="AL94" s="3514"/>
      <c r="AM94" s="3516"/>
      <c r="AN94" s="3470"/>
      <c r="AO94" s="3718"/>
      <c r="AP94" s="3719"/>
      <c r="AQ94" s="3719"/>
      <c r="AR94" s="3719"/>
      <c r="AS94" s="3719"/>
      <c r="AT94" s="3719"/>
      <c r="AU94" s="3719"/>
      <c r="AV94" s="3719"/>
      <c r="AW94" s="3719"/>
      <c r="AX94" s="3719"/>
      <c r="AY94" s="3719"/>
      <c r="AZ94" s="3719"/>
      <c r="BA94" s="3719"/>
      <c r="BB94" s="3719"/>
      <c r="BC94" s="3719"/>
      <c r="BD94" s="3719"/>
      <c r="BE94" s="3719"/>
      <c r="BF94" s="3719"/>
      <c r="BG94" s="3719"/>
      <c r="BH94" s="3719"/>
      <c r="BI94" s="3719"/>
      <c r="BJ94" s="3719"/>
      <c r="BK94" s="3719"/>
      <c r="BL94" s="3719"/>
      <c r="BM94" s="3719"/>
      <c r="BN94" s="3518"/>
      <c r="BO94" s="3520"/>
      <c r="BP94" s="3466"/>
      <c r="BQ94" s="3466"/>
      <c r="BR94" s="3466"/>
      <c r="BS94" s="3466"/>
      <c r="BT94" s="3466"/>
      <c r="BU94" s="3466"/>
      <c r="BV94" s="3466"/>
      <c r="BW94" s="3466"/>
      <c r="BX94" s="3466"/>
      <c r="BY94" s="3466"/>
      <c r="BZ94" s="3466"/>
      <c r="CA94" s="3477"/>
      <c r="CB94" s="3520"/>
      <c r="CC94" s="3466"/>
      <c r="CD94" s="3466"/>
      <c r="CE94" s="3466"/>
      <c r="CF94" s="3466"/>
      <c r="CG94" s="3466"/>
      <c r="CH94" s="3466"/>
      <c r="CI94" s="3466"/>
      <c r="CJ94" s="3466"/>
      <c r="CK94" s="3466"/>
      <c r="CL94" s="3466"/>
      <c r="CM94" s="3466"/>
    </row>
    <row r="95" spans="1:91">
      <c r="A95" s="3567" t="s">
        <v>1732</v>
      </c>
      <c r="B95" s="2551" t="str">
        <f t="shared" si="1"/>
        <v>3039610029</v>
      </c>
      <c r="C95" s="2010" t="s">
        <v>703</v>
      </c>
      <c r="D95" s="2011">
        <v>3961</v>
      </c>
      <c r="E95" s="2011">
        <v>29</v>
      </c>
      <c r="F95" s="2494">
        <v>2500</v>
      </c>
      <c r="G95" s="2496" t="s">
        <v>947</v>
      </c>
      <c r="H95" s="2011" t="s">
        <v>1560</v>
      </c>
      <c r="I95" s="2012">
        <v>1</v>
      </c>
      <c r="J95" s="2491">
        <v>0</v>
      </c>
      <c r="K95" s="2491">
        <v>0</v>
      </c>
      <c r="L95" s="2491">
        <v>0</v>
      </c>
      <c r="M95" s="2491">
        <v>1716</v>
      </c>
      <c r="N95" s="2489">
        <v>2</v>
      </c>
      <c r="O95" s="2437" t="s">
        <v>1578</v>
      </c>
      <c r="P95" s="3272">
        <v>3900</v>
      </c>
      <c r="Q95" s="3272">
        <v>0</v>
      </c>
      <c r="R95" s="3272">
        <v>0</v>
      </c>
      <c r="S95" s="3272">
        <v>0</v>
      </c>
      <c r="T95" s="3272">
        <v>0</v>
      </c>
      <c r="U95" s="3272">
        <v>0</v>
      </c>
      <c r="V95" s="3272">
        <v>0</v>
      </c>
      <c r="W95" s="3272">
        <v>0</v>
      </c>
      <c r="X95" s="3272">
        <v>0</v>
      </c>
      <c r="Y95" s="3272">
        <v>0</v>
      </c>
      <c r="Z95" s="3272">
        <v>0</v>
      </c>
      <c r="AA95" s="3272">
        <v>0</v>
      </c>
      <c r="AB95" s="3507">
        <v>3900</v>
      </c>
      <c r="AC95" s="3265">
        <v>3</v>
      </c>
      <c r="AD95" s="3265">
        <v>0</v>
      </c>
      <c r="AE95" s="3265">
        <v>0</v>
      </c>
      <c r="AF95" s="3265">
        <v>0</v>
      </c>
      <c r="AG95" s="3265">
        <v>0</v>
      </c>
      <c r="AH95" s="3265">
        <v>0</v>
      </c>
      <c r="AI95" s="3265">
        <v>0</v>
      </c>
      <c r="AJ95" s="3265">
        <v>0</v>
      </c>
      <c r="AK95" s="3265">
        <v>0</v>
      </c>
      <c r="AL95" s="3513">
        <v>25</v>
      </c>
      <c r="AM95" s="3515" t="s">
        <v>1615</v>
      </c>
      <c r="AN95" s="3512" t="s">
        <v>1560</v>
      </c>
      <c r="AO95" s="3407" t="s">
        <v>1599</v>
      </c>
      <c r="AP95" s="3511">
        <v>14400</v>
      </c>
      <c r="AQ95" s="3511">
        <v>3600</v>
      </c>
      <c r="AR95" s="3511">
        <v>0</v>
      </c>
      <c r="AS95" s="3511">
        <v>0</v>
      </c>
      <c r="AT95" s="3511">
        <v>0</v>
      </c>
      <c r="AU95" s="3511">
        <v>0</v>
      </c>
      <c r="AV95" s="3511">
        <v>0</v>
      </c>
      <c r="AW95" s="3511">
        <v>0</v>
      </c>
      <c r="AX95" s="3511">
        <v>0</v>
      </c>
      <c r="AY95" s="3511">
        <v>0</v>
      </c>
      <c r="AZ95" s="3511">
        <v>0</v>
      </c>
      <c r="BA95" s="3511">
        <v>0</v>
      </c>
      <c r="BB95" s="3511">
        <v>18000</v>
      </c>
      <c r="BC95" s="3511">
        <v>14</v>
      </c>
      <c r="BD95" s="3511">
        <v>7.2</v>
      </c>
      <c r="BE95" s="3511">
        <v>0</v>
      </c>
      <c r="BF95" s="3511">
        <v>0</v>
      </c>
      <c r="BG95" s="3511">
        <v>0</v>
      </c>
      <c r="BH95" s="3511">
        <v>0</v>
      </c>
      <c r="BI95" s="3511">
        <v>0</v>
      </c>
      <c r="BJ95" s="3511">
        <v>0</v>
      </c>
      <c r="BK95" s="3511">
        <v>0</v>
      </c>
      <c r="BL95" s="3511">
        <v>0</v>
      </c>
      <c r="BM95" s="3511">
        <v>0</v>
      </c>
      <c r="BN95" s="3517">
        <v>85</v>
      </c>
      <c r="BO95" s="3519">
        <v>10500</v>
      </c>
      <c r="BP95" s="3464">
        <v>3600</v>
      </c>
      <c r="BQ95" s="3464">
        <v>0</v>
      </c>
      <c r="BR95" s="3464">
        <v>0</v>
      </c>
      <c r="BS95" s="3464">
        <v>0</v>
      </c>
      <c r="BT95" s="3464">
        <v>0</v>
      </c>
      <c r="BU95" s="3464">
        <v>0</v>
      </c>
      <c r="BV95" s="3464">
        <v>0</v>
      </c>
      <c r="BW95" s="3464">
        <v>0</v>
      </c>
      <c r="BX95" s="3464">
        <v>0</v>
      </c>
      <c r="BY95" s="3464">
        <v>0</v>
      </c>
      <c r="BZ95" s="3464">
        <v>0</v>
      </c>
      <c r="CA95" s="3524">
        <v>0</v>
      </c>
      <c r="CB95" s="3519">
        <v>14100</v>
      </c>
      <c r="CC95" s="3464">
        <v>3600</v>
      </c>
      <c r="CD95" s="3464">
        <v>11</v>
      </c>
      <c r="CE95" s="3464">
        <v>7.2</v>
      </c>
      <c r="CF95" s="3464">
        <v>0</v>
      </c>
      <c r="CG95" s="3464">
        <v>0</v>
      </c>
      <c r="CH95" s="3464">
        <v>0</v>
      </c>
      <c r="CI95" s="3464">
        <v>0</v>
      </c>
      <c r="CJ95" s="3464">
        <v>0</v>
      </c>
      <c r="CK95" s="3464">
        <v>0</v>
      </c>
      <c r="CL95" s="3464">
        <v>0</v>
      </c>
      <c r="CM95" s="3464">
        <v>0</v>
      </c>
    </row>
    <row r="96" spans="1:91" ht="15.75" thickBot="1">
      <c r="A96" s="3556"/>
      <c r="B96" s="2551" t="str">
        <f t="shared" si="1"/>
        <v>3039610030</v>
      </c>
      <c r="C96" s="2493" t="s">
        <v>710</v>
      </c>
      <c r="D96" s="2018">
        <v>3961</v>
      </c>
      <c r="E96" s="2018">
        <v>30</v>
      </c>
      <c r="F96" s="2019">
        <v>2500</v>
      </c>
      <c r="G96" s="2498" t="s">
        <v>947</v>
      </c>
      <c r="H96" s="2018" t="s">
        <v>1560</v>
      </c>
      <c r="I96" s="2020">
        <v>1</v>
      </c>
      <c r="J96" s="2501">
        <v>0</v>
      </c>
      <c r="K96" s="2501">
        <v>0</v>
      </c>
      <c r="L96" s="2501">
        <v>0</v>
      </c>
      <c r="M96" s="2501">
        <v>2184</v>
      </c>
      <c r="N96" s="2508">
        <v>2</v>
      </c>
      <c r="O96" s="2502" t="s">
        <v>1578</v>
      </c>
      <c r="P96" s="3612"/>
      <c r="Q96" s="3612"/>
      <c r="R96" s="3612"/>
      <c r="S96" s="3612"/>
      <c r="T96" s="3612"/>
      <c r="U96" s="3612"/>
      <c r="V96" s="3612"/>
      <c r="W96" s="3612"/>
      <c r="X96" s="3612"/>
      <c r="Y96" s="3612"/>
      <c r="Z96" s="3612"/>
      <c r="AA96" s="3612"/>
      <c r="AB96" s="3615"/>
      <c r="AC96" s="3613"/>
      <c r="AD96" s="3613"/>
      <c r="AE96" s="3613"/>
      <c r="AF96" s="3613"/>
      <c r="AG96" s="3613"/>
      <c r="AH96" s="3613"/>
      <c r="AI96" s="3613"/>
      <c r="AJ96" s="3613"/>
      <c r="AK96" s="3613"/>
      <c r="AL96" s="3614"/>
      <c r="AM96" s="3516"/>
      <c r="AN96" s="3470"/>
      <c r="AO96" s="3718"/>
      <c r="AP96" s="3719"/>
      <c r="AQ96" s="3719"/>
      <c r="AR96" s="3719"/>
      <c r="AS96" s="3719"/>
      <c r="AT96" s="3719"/>
      <c r="AU96" s="3719"/>
      <c r="AV96" s="3719"/>
      <c r="AW96" s="3719"/>
      <c r="AX96" s="3719"/>
      <c r="AY96" s="3719"/>
      <c r="AZ96" s="3719"/>
      <c r="BA96" s="3719"/>
      <c r="BB96" s="3719"/>
      <c r="BC96" s="3719"/>
      <c r="BD96" s="3719"/>
      <c r="BE96" s="3719"/>
      <c r="BF96" s="3719"/>
      <c r="BG96" s="3719"/>
      <c r="BH96" s="3719"/>
      <c r="BI96" s="3719"/>
      <c r="BJ96" s="3719"/>
      <c r="BK96" s="3719"/>
      <c r="BL96" s="3719"/>
      <c r="BM96" s="3719"/>
      <c r="BN96" s="3518"/>
      <c r="BO96" s="3520"/>
      <c r="BP96" s="3466"/>
      <c r="BQ96" s="3466"/>
      <c r="BR96" s="3466"/>
      <c r="BS96" s="3466"/>
      <c r="BT96" s="3466"/>
      <c r="BU96" s="3466"/>
      <c r="BV96" s="3466"/>
      <c r="BW96" s="3466"/>
      <c r="BX96" s="3466"/>
      <c r="BY96" s="3466"/>
      <c r="BZ96" s="3466"/>
      <c r="CA96" s="3477"/>
      <c r="CB96" s="3520"/>
      <c r="CC96" s="3466"/>
      <c r="CD96" s="3466"/>
      <c r="CE96" s="3466"/>
      <c r="CF96" s="3466"/>
      <c r="CG96" s="3466"/>
      <c r="CH96" s="3466"/>
      <c r="CI96" s="3466"/>
      <c r="CJ96" s="3466"/>
      <c r="CK96" s="3466"/>
      <c r="CL96" s="3466"/>
      <c r="CM96" s="3466"/>
    </row>
    <row r="97" spans="1:91" ht="15.75" thickBot="1">
      <c r="A97" s="2534" t="s">
        <v>1733</v>
      </c>
      <c r="B97" s="2551" t="str">
        <f t="shared" si="1"/>
        <v>3039630003</v>
      </c>
      <c r="C97" s="2022" t="s">
        <v>703</v>
      </c>
      <c r="D97" s="2023">
        <v>3963</v>
      </c>
      <c r="E97" s="2023">
        <v>3</v>
      </c>
      <c r="F97" s="2506">
        <v>5000</v>
      </c>
      <c r="G97" s="2507" t="s">
        <v>1566</v>
      </c>
      <c r="H97" s="2023" t="s">
        <v>1560</v>
      </c>
      <c r="I97" s="2024">
        <v>2</v>
      </c>
      <c r="J97" s="2505">
        <v>0</v>
      </c>
      <c r="K97" s="2505">
        <v>3037</v>
      </c>
      <c r="L97" s="2505">
        <v>0</v>
      </c>
      <c r="M97" s="2505">
        <v>4287</v>
      </c>
      <c r="N97" s="2025">
        <v>1</v>
      </c>
      <c r="O97" s="2141" t="s">
        <v>1600</v>
      </c>
      <c r="P97" s="2504">
        <v>1250</v>
      </c>
      <c r="Q97" s="2504">
        <v>0</v>
      </c>
      <c r="R97" s="2504">
        <v>0</v>
      </c>
      <c r="S97" s="2504">
        <v>0</v>
      </c>
      <c r="T97" s="2504">
        <v>0</v>
      </c>
      <c r="U97" s="2504">
        <v>0</v>
      </c>
      <c r="V97" s="2504">
        <v>0</v>
      </c>
      <c r="W97" s="2504">
        <v>0</v>
      </c>
      <c r="X97" s="2504">
        <v>3037</v>
      </c>
      <c r="Y97" s="2504">
        <v>0</v>
      </c>
      <c r="Z97" s="2504">
        <v>0</v>
      </c>
      <c r="AA97" s="2504">
        <v>0</v>
      </c>
      <c r="AB97" s="2142">
        <v>4287</v>
      </c>
      <c r="AC97" s="2505">
        <v>1</v>
      </c>
      <c r="AD97" s="2505">
        <v>0</v>
      </c>
      <c r="AE97" s="2505">
        <v>0</v>
      </c>
      <c r="AF97" s="2505">
        <v>0</v>
      </c>
      <c r="AG97" s="2505">
        <v>0</v>
      </c>
      <c r="AH97" s="2505">
        <v>10</v>
      </c>
      <c r="AI97" s="2505">
        <v>0</v>
      </c>
      <c r="AJ97" s="2505">
        <v>0</v>
      </c>
      <c r="AK97" s="2505">
        <v>10</v>
      </c>
      <c r="AL97" s="2532">
        <v>25</v>
      </c>
      <c r="AM97" s="2118" t="s">
        <v>1612</v>
      </c>
      <c r="AN97" s="2119" t="s">
        <v>1560</v>
      </c>
      <c r="AO97" s="2092" t="s">
        <v>1613</v>
      </c>
      <c r="AP97" s="2120">
        <v>11000</v>
      </c>
      <c r="AQ97" s="2120">
        <v>0</v>
      </c>
      <c r="AR97" s="2120">
        <v>0</v>
      </c>
      <c r="AS97" s="2120">
        <v>0</v>
      </c>
      <c r="AT97" s="2120">
        <v>0</v>
      </c>
      <c r="AU97" s="2120">
        <v>0</v>
      </c>
      <c r="AV97" s="2120">
        <v>0</v>
      </c>
      <c r="AW97" s="2120">
        <v>0</v>
      </c>
      <c r="AX97" s="2120">
        <v>0</v>
      </c>
      <c r="AY97" s="2120">
        <v>0</v>
      </c>
      <c r="AZ97" s="2120">
        <v>0</v>
      </c>
      <c r="BA97" s="2120">
        <v>0</v>
      </c>
      <c r="BB97" s="2120">
        <v>11000</v>
      </c>
      <c r="BC97" s="2120">
        <v>11</v>
      </c>
      <c r="BD97" s="2120">
        <v>5.5</v>
      </c>
      <c r="BE97" s="2120">
        <v>3</v>
      </c>
      <c r="BF97" s="2120">
        <v>0</v>
      </c>
      <c r="BG97" s="2120">
        <v>0</v>
      </c>
      <c r="BH97" s="2120">
        <v>0</v>
      </c>
      <c r="BI97" s="2120">
        <v>0</v>
      </c>
      <c r="BJ97" s="2120">
        <v>0</v>
      </c>
      <c r="BK97" s="2120">
        <v>0</v>
      </c>
      <c r="BL97" s="2120">
        <v>0</v>
      </c>
      <c r="BM97" s="2120">
        <v>3</v>
      </c>
      <c r="BN97" s="2121">
        <v>55</v>
      </c>
      <c r="BO97" s="2048">
        <v>9750</v>
      </c>
      <c r="BP97" s="2090">
        <v>0</v>
      </c>
      <c r="BQ97" s="2090">
        <v>0</v>
      </c>
      <c r="BR97" s="2090">
        <v>0</v>
      </c>
      <c r="BS97" s="2090">
        <v>0</v>
      </c>
      <c r="BT97" s="2090">
        <v>0</v>
      </c>
      <c r="BU97" s="2090">
        <v>0</v>
      </c>
      <c r="BV97" s="2090">
        <v>0</v>
      </c>
      <c r="BW97" s="2090">
        <v>0</v>
      </c>
      <c r="BX97" s="2090">
        <v>-3037</v>
      </c>
      <c r="BY97" s="2090">
        <v>0</v>
      </c>
      <c r="BZ97" s="2090">
        <v>0</v>
      </c>
      <c r="CA97" s="2122">
        <v>0</v>
      </c>
      <c r="CB97" s="2048">
        <v>6713</v>
      </c>
      <c r="CC97" s="2090">
        <v>-3037</v>
      </c>
      <c r="CD97" s="2090">
        <v>10</v>
      </c>
      <c r="CE97" s="2090">
        <v>5.5</v>
      </c>
      <c r="CF97" s="2090">
        <v>3</v>
      </c>
      <c r="CG97" s="2090">
        <v>0</v>
      </c>
      <c r="CH97" s="2090">
        <v>0</v>
      </c>
      <c r="CI97" s="2090">
        <v>0</v>
      </c>
      <c r="CJ97" s="2090">
        <v>0</v>
      </c>
      <c r="CK97" s="2090">
        <v>-10</v>
      </c>
      <c r="CL97" s="2090">
        <v>0</v>
      </c>
      <c r="CM97" s="2090">
        <v>0</v>
      </c>
    </row>
    <row r="98" spans="1:91">
      <c r="A98" s="3567" t="s">
        <v>1734</v>
      </c>
      <c r="B98" s="2551" t="str">
        <f t="shared" si="1"/>
        <v>3039650003</v>
      </c>
      <c r="C98" s="2010" t="s">
        <v>703</v>
      </c>
      <c r="D98" s="2011">
        <v>3965</v>
      </c>
      <c r="E98" s="2011">
        <v>3</v>
      </c>
      <c r="F98" s="2494">
        <v>2500</v>
      </c>
      <c r="G98" s="2496" t="s">
        <v>1079</v>
      </c>
      <c r="H98" s="2011" t="s">
        <v>1560</v>
      </c>
      <c r="I98" s="2012">
        <v>1.25</v>
      </c>
      <c r="J98" s="2491">
        <v>0</v>
      </c>
      <c r="K98" s="2491">
        <v>0</v>
      </c>
      <c r="L98" s="2491">
        <v>0</v>
      </c>
      <c r="M98" s="2491">
        <v>864</v>
      </c>
      <c r="N98" s="2489">
        <v>2</v>
      </c>
      <c r="O98" s="2437" t="s">
        <v>1578</v>
      </c>
      <c r="P98" s="3272">
        <v>2282</v>
      </c>
      <c r="Q98" s="3272">
        <v>0</v>
      </c>
      <c r="R98" s="3272">
        <v>0</v>
      </c>
      <c r="S98" s="3272">
        <v>0</v>
      </c>
      <c r="T98" s="3272">
        <v>0</v>
      </c>
      <c r="U98" s="3272">
        <v>0</v>
      </c>
      <c r="V98" s="3272">
        <v>0</v>
      </c>
      <c r="W98" s="3272">
        <v>0</v>
      </c>
      <c r="X98" s="3272">
        <v>0</v>
      </c>
      <c r="Y98" s="3272">
        <v>0</v>
      </c>
      <c r="Z98" s="3272">
        <v>0</v>
      </c>
      <c r="AA98" s="3272">
        <v>0</v>
      </c>
      <c r="AB98" s="3507">
        <v>2282</v>
      </c>
      <c r="AC98" s="3265">
        <v>1</v>
      </c>
      <c r="AD98" s="3265">
        <v>1</v>
      </c>
      <c r="AE98" s="3265">
        <v>0</v>
      </c>
      <c r="AF98" s="3265">
        <v>0</v>
      </c>
      <c r="AG98" s="3265">
        <v>0</v>
      </c>
      <c r="AH98" s="3265">
        <v>0</v>
      </c>
      <c r="AI98" s="3265">
        <v>0</v>
      </c>
      <c r="AJ98" s="3265">
        <v>0</v>
      </c>
      <c r="AK98" s="3265">
        <v>1</v>
      </c>
      <c r="AL98" s="3513">
        <v>25</v>
      </c>
      <c r="AM98" s="3515" t="s">
        <v>1612</v>
      </c>
      <c r="AN98" s="3512" t="s">
        <v>1560</v>
      </c>
      <c r="AO98" s="3407" t="s">
        <v>1613</v>
      </c>
      <c r="AP98" s="3511">
        <v>11000</v>
      </c>
      <c r="AQ98" s="3511">
        <v>0</v>
      </c>
      <c r="AR98" s="3511">
        <v>0</v>
      </c>
      <c r="AS98" s="3511">
        <v>0</v>
      </c>
      <c r="AT98" s="3511">
        <v>0</v>
      </c>
      <c r="AU98" s="3511">
        <v>0</v>
      </c>
      <c r="AV98" s="3511">
        <v>0</v>
      </c>
      <c r="AW98" s="3511">
        <v>0</v>
      </c>
      <c r="AX98" s="3511">
        <v>0</v>
      </c>
      <c r="AY98" s="3511">
        <v>0</v>
      </c>
      <c r="AZ98" s="3511">
        <v>0</v>
      </c>
      <c r="BA98" s="3511">
        <v>0</v>
      </c>
      <c r="BB98" s="3511">
        <v>11000</v>
      </c>
      <c r="BC98" s="3511">
        <v>11</v>
      </c>
      <c r="BD98" s="3511">
        <v>5.5</v>
      </c>
      <c r="BE98" s="3511">
        <v>3</v>
      </c>
      <c r="BF98" s="3511">
        <v>0</v>
      </c>
      <c r="BG98" s="3511">
        <v>0</v>
      </c>
      <c r="BH98" s="3511">
        <v>0</v>
      </c>
      <c r="BI98" s="3511">
        <v>0</v>
      </c>
      <c r="BJ98" s="3511">
        <v>0</v>
      </c>
      <c r="BK98" s="3511">
        <v>0</v>
      </c>
      <c r="BL98" s="3511">
        <v>0</v>
      </c>
      <c r="BM98" s="3511">
        <v>3</v>
      </c>
      <c r="BN98" s="3517">
        <v>55</v>
      </c>
      <c r="BO98" s="3519">
        <v>8718</v>
      </c>
      <c r="BP98" s="3464">
        <v>0</v>
      </c>
      <c r="BQ98" s="3464">
        <v>0</v>
      </c>
      <c r="BR98" s="3464">
        <v>0</v>
      </c>
      <c r="BS98" s="3464">
        <v>0</v>
      </c>
      <c r="BT98" s="3464">
        <v>0</v>
      </c>
      <c r="BU98" s="3464">
        <v>0</v>
      </c>
      <c r="BV98" s="3464">
        <v>0</v>
      </c>
      <c r="BW98" s="3464">
        <v>0</v>
      </c>
      <c r="BX98" s="3464">
        <v>0</v>
      </c>
      <c r="BY98" s="3464">
        <v>0</v>
      </c>
      <c r="BZ98" s="3464">
        <v>0</v>
      </c>
      <c r="CA98" s="3524">
        <v>0</v>
      </c>
      <c r="CB98" s="3519">
        <v>8718</v>
      </c>
      <c r="CC98" s="3464">
        <v>0</v>
      </c>
      <c r="CD98" s="3464">
        <v>10</v>
      </c>
      <c r="CE98" s="3464">
        <v>5.5</v>
      </c>
      <c r="CF98" s="3464">
        <v>2</v>
      </c>
      <c r="CG98" s="3464">
        <v>0</v>
      </c>
      <c r="CH98" s="3464">
        <v>0</v>
      </c>
      <c r="CI98" s="3464">
        <v>0</v>
      </c>
      <c r="CJ98" s="3464">
        <v>0</v>
      </c>
      <c r="CK98" s="3464">
        <v>0</v>
      </c>
      <c r="CL98" s="3464">
        <v>0</v>
      </c>
      <c r="CM98" s="3464">
        <v>0</v>
      </c>
    </row>
    <row r="99" spans="1:91" ht="15.75" thickBot="1">
      <c r="A99" s="3568"/>
      <c r="B99" s="2551" t="str">
        <f t="shared" si="1"/>
        <v>3039650004</v>
      </c>
      <c r="C99" s="2492" t="s">
        <v>710</v>
      </c>
      <c r="D99" s="2026">
        <v>3965</v>
      </c>
      <c r="E99" s="2026">
        <v>4</v>
      </c>
      <c r="F99" s="2027">
        <v>2500</v>
      </c>
      <c r="G99" s="2497" t="s">
        <v>1079</v>
      </c>
      <c r="H99" s="2026" t="s">
        <v>1560</v>
      </c>
      <c r="I99" s="2028">
        <v>1.25</v>
      </c>
      <c r="J99" s="2500">
        <v>0</v>
      </c>
      <c r="K99" s="2500">
        <v>0</v>
      </c>
      <c r="L99" s="2500">
        <v>0</v>
      </c>
      <c r="M99" s="2500">
        <v>1418</v>
      </c>
      <c r="N99" s="2029">
        <v>1</v>
      </c>
      <c r="O99" s="2503" t="s">
        <v>1578</v>
      </c>
      <c r="P99" s="3359"/>
      <c r="Q99" s="3359"/>
      <c r="R99" s="3359"/>
      <c r="S99" s="3359"/>
      <c r="T99" s="3359"/>
      <c r="U99" s="3359"/>
      <c r="V99" s="3359"/>
      <c r="W99" s="3359"/>
      <c r="X99" s="3359"/>
      <c r="Y99" s="3359"/>
      <c r="Z99" s="3359"/>
      <c r="AA99" s="3359"/>
      <c r="AB99" s="3536"/>
      <c r="AC99" s="3361"/>
      <c r="AD99" s="3361"/>
      <c r="AE99" s="3361"/>
      <c r="AF99" s="3361"/>
      <c r="AG99" s="3361"/>
      <c r="AH99" s="3361"/>
      <c r="AI99" s="3361"/>
      <c r="AJ99" s="3361"/>
      <c r="AK99" s="3361"/>
      <c r="AL99" s="3514"/>
      <c r="AM99" s="3516"/>
      <c r="AN99" s="3470"/>
      <c r="AO99" s="3718"/>
      <c r="AP99" s="3719"/>
      <c r="AQ99" s="3719"/>
      <c r="AR99" s="3719"/>
      <c r="AS99" s="3719"/>
      <c r="AT99" s="3719"/>
      <c r="AU99" s="3719"/>
      <c r="AV99" s="3719"/>
      <c r="AW99" s="3719"/>
      <c r="AX99" s="3719"/>
      <c r="AY99" s="3719"/>
      <c r="AZ99" s="3719"/>
      <c r="BA99" s="3719"/>
      <c r="BB99" s="3719"/>
      <c r="BC99" s="3719"/>
      <c r="BD99" s="3719"/>
      <c r="BE99" s="3719"/>
      <c r="BF99" s="3719"/>
      <c r="BG99" s="3719"/>
      <c r="BH99" s="3719"/>
      <c r="BI99" s="3719"/>
      <c r="BJ99" s="3719"/>
      <c r="BK99" s="3719"/>
      <c r="BL99" s="3719"/>
      <c r="BM99" s="3719"/>
      <c r="BN99" s="3518"/>
      <c r="BO99" s="3520"/>
      <c r="BP99" s="3466"/>
      <c r="BQ99" s="3466"/>
      <c r="BR99" s="3466"/>
      <c r="BS99" s="3466"/>
      <c r="BT99" s="3466"/>
      <c r="BU99" s="3466"/>
      <c r="BV99" s="3466"/>
      <c r="BW99" s="3466"/>
      <c r="BX99" s="3466"/>
      <c r="BY99" s="3466"/>
      <c r="BZ99" s="3466"/>
      <c r="CA99" s="3477"/>
      <c r="CB99" s="3520"/>
      <c r="CC99" s="3466"/>
      <c r="CD99" s="3466"/>
      <c r="CE99" s="3466"/>
      <c r="CF99" s="3466"/>
      <c r="CG99" s="3466"/>
      <c r="CH99" s="3466"/>
      <c r="CI99" s="3466"/>
      <c r="CJ99" s="3466"/>
      <c r="CK99" s="3466"/>
      <c r="CL99" s="3466"/>
      <c r="CM99" s="3466"/>
    </row>
    <row r="100" spans="1:91">
      <c r="A100" s="3567" t="s">
        <v>1735</v>
      </c>
      <c r="B100" s="2551" t="str">
        <f t="shared" si="1"/>
        <v>3039650006</v>
      </c>
      <c r="C100" s="2010" t="s">
        <v>703</v>
      </c>
      <c r="D100" s="2011">
        <v>3965</v>
      </c>
      <c r="E100" s="2011">
        <v>6</v>
      </c>
      <c r="F100" s="2494">
        <v>2500</v>
      </c>
      <c r="G100" s="2496" t="s">
        <v>1079</v>
      </c>
      <c r="H100" s="2011" t="s">
        <v>1560</v>
      </c>
      <c r="I100" s="2012">
        <v>1.25</v>
      </c>
      <c r="J100" s="2491">
        <v>0</v>
      </c>
      <c r="K100" s="2491">
        <v>0</v>
      </c>
      <c r="L100" s="2491">
        <v>0</v>
      </c>
      <c r="M100" s="2491">
        <v>2908</v>
      </c>
      <c r="N100" s="2489">
        <v>2</v>
      </c>
      <c r="O100" s="2437" t="s">
        <v>1578</v>
      </c>
      <c r="P100" s="3272">
        <v>4136</v>
      </c>
      <c r="Q100" s="3272">
        <v>0</v>
      </c>
      <c r="R100" s="3272">
        <v>0</v>
      </c>
      <c r="S100" s="3272">
        <v>0</v>
      </c>
      <c r="T100" s="3272">
        <v>0</v>
      </c>
      <c r="U100" s="3272">
        <v>0</v>
      </c>
      <c r="V100" s="3272">
        <v>0</v>
      </c>
      <c r="W100" s="3272">
        <v>0</v>
      </c>
      <c r="X100" s="3272">
        <v>0</v>
      </c>
      <c r="Y100" s="3272">
        <v>0</v>
      </c>
      <c r="Z100" s="3272">
        <v>0</v>
      </c>
      <c r="AA100" s="3272">
        <v>0</v>
      </c>
      <c r="AB100" s="3507">
        <v>4136</v>
      </c>
      <c r="AC100" s="3265">
        <v>3</v>
      </c>
      <c r="AD100" s="3265">
        <v>3</v>
      </c>
      <c r="AE100" s="3265">
        <v>0</v>
      </c>
      <c r="AF100" s="3265">
        <v>0</v>
      </c>
      <c r="AG100" s="3265">
        <v>0</v>
      </c>
      <c r="AH100" s="3265">
        <v>0</v>
      </c>
      <c r="AI100" s="3265">
        <v>0</v>
      </c>
      <c r="AJ100" s="3265">
        <v>0</v>
      </c>
      <c r="AK100" s="3265">
        <v>3</v>
      </c>
      <c r="AL100" s="3513">
        <v>25</v>
      </c>
      <c r="AM100" s="3515" t="s">
        <v>1612</v>
      </c>
      <c r="AN100" s="3512" t="s">
        <v>1560</v>
      </c>
      <c r="AO100" s="3407" t="s">
        <v>1613</v>
      </c>
      <c r="AP100" s="3511">
        <v>13750</v>
      </c>
      <c r="AQ100" s="3511">
        <v>0</v>
      </c>
      <c r="AR100" s="3511">
        <v>0</v>
      </c>
      <c r="AS100" s="3511">
        <v>0</v>
      </c>
      <c r="AT100" s="3511">
        <v>0</v>
      </c>
      <c r="AU100" s="3511">
        <v>0</v>
      </c>
      <c r="AV100" s="3511">
        <v>0</v>
      </c>
      <c r="AW100" s="3511">
        <v>0</v>
      </c>
      <c r="AX100" s="3511">
        <v>0</v>
      </c>
      <c r="AY100" s="3511">
        <v>0</v>
      </c>
      <c r="AZ100" s="3511">
        <v>0</v>
      </c>
      <c r="BA100" s="3511">
        <v>0</v>
      </c>
      <c r="BB100" s="3511">
        <v>13750</v>
      </c>
      <c r="BC100" s="3511">
        <v>13</v>
      </c>
      <c r="BD100" s="3511">
        <v>6.875</v>
      </c>
      <c r="BE100" s="3511">
        <v>3</v>
      </c>
      <c r="BF100" s="3511">
        <v>0</v>
      </c>
      <c r="BG100" s="3511">
        <v>0</v>
      </c>
      <c r="BH100" s="3511">
        <v>0</v>
      </c>
      <c r="BI100" s="3511">
        <v>0</v>
      </c>
      <c r="BJ100" s="3511">
        <v>0</v>
      </c>
      <c r="BK100" s="3511">
        <v>0</v>
      </c>
      <c r="BL100" s="3511">
        <v>0</v>
      </c>
      <c r="BM100" s="3511">
        <v>3</v>
      </c>
      <c r="BN100" s="3517">
        <v>55</v>
      </c>
      <c r="BO100" s="3519">
        <v>9614</v>
      </c>
      <c r="BP100" s="3464">
        <v>0</v>
      </c>
      <c r="BQ100" s="3464">
        <v>0</v>
      </c>
      <c r="BR100" s="3464">
        <v>0</v>
      </c>
      <c r="BS100" s="3464">
        <v>0</v>
      </c>
      <c r="BT100" s="3464">
        <v>0</v>
      </c>
      <c r="BU100" s="3464">
        <v>0</v>
      </c>
      <c r="BV100" s="3464">
        <v>0</v>
      </c>
      <c r="BW100" s="3464">
        <v>0</v>
      </c>
      <c r="BX100" s="3464">
        <v>0</v>
      </c>
      <c r="BY100" s="3464">
        <v>0</v>
      </c>
      <c r="BZ100" s="3464">
        <v>0</v>
      </c>
      <c r="CA100" s="3524">
        <v>0</v>
      </c>
      <c r="CB100" s="3519">
        <v>9614</v>
      </c>
      <c r="CC100" s="3464">
        <v>0</v>
      </c>
      <c r="CD100" s="3464">
        <v>10</v>
      </c>
      <c r="CE100" s="3464">
        <v>6.875</v>
      </c>
      <c r="CF100" s="3464">
        <v>0</v>
      </c>
      <c r="CG100" s="3464">
        <v>0</v>
      </c>
      <c r="CH100" s="3464">
        <v>0</v>
      </c>
      <c r="CI100" s="3464">
        <v>0</v>
      </c>
      <c r="CJ100" s="3464">
        <v>0</v>
      </c>
      <c r="CK100" s="3464">
        <v>0</v>
      </c>
      <c r="CL100" s="3464">
        <v>0</v>
      </c>
      <c r="CM100" s="3464">
        <v>0</v>
      </c>
    </row>
    <row r="101" spans="1:91" ht="15.75" thickBot="1">
      <c r="A101" s="3556"/>
      <c r="B101" s="2551" t="str">
        <f t="shared" si="1"/>
        <v>3039650007</v>
      </c>
      <c r="C101" s="2493" t="s">
        <v>710</v>
      </c>
      <c r="D101" s="2018">
        <v>3965</v>
      </c>
      <c r="E101" s="2018">
        <v>7</v>
      </c>
      <c r="F101" s="2019">
        <v>3750</v>
      </c>
      <c r="G101" s="2498" t="s">
        <v>1079</v>
      </c>
      <c r="H101" s="2018" t="s">
        <v>1560</v>
      </c>
      <c r="I101" s="2020">
        <v>1.25</v>
      </c>
      <c r="J101" s="2501">
        <v>0</v>
      </c>
      <c r="K101" s="2501">
        <v>0</v>
      </c>
      <c r="L101" s="2501">
        <v>0</v>
      </c>
      <c r="M101" s="2501">
        <v>1228</v>
      </c>
      <c r="N101" s="2508">
        <v>2</v>
      </c>
      <c r="O101" s="2503" t="s">
        <v>1578</v>
      </c>
      <c r="P101" s="3359"/>
      <c r="Q101" s="3359"/>
      <c r="R101" s="3359"/>
      <c r="S101" s="3359"/>
      <c r="T101" s="3359"/>
      <c r="U101" s="3359"/>
      <c r="V101" s="3359"/>
      <c r="W101" s="3359"/>
      <c r="X101" s="3359"/>
      <c r="Y101" s="3359"/>
      <c r="Z101" s="3359"/>
      <c r="AA101" s="3359"/>
      <c r="AB101" s="3536"/>
      <c r="AC101" s="3361"/>
      <c r="AD101" s="3361"/>
      <c r="AE101" s="3361"/>
      <c r="AF101" s="3361"/>
      <c r="AG101" s="3361"/>
      <c r="AH101" s="3361"/>
      <c r="AI101" s="3361"/>
      <c r="AJ101" s="3361"/>
      <c r="AK101" s="3361"/>
      <c r="AL101" s="3514"/>
      <c r="AM101" s="3516"/>
      <c r="AN101" s="3470"/>
      <c r="AO101" s="3718"/>
      <c r="AP101" s="3719"/>
      <c r="AQ101" s="3719"/>
      <c r="AR101" s="3719"/>
      <c r="AS101" s="3719"/>
      <c r="AT101" s="3719"/>
      <c r="AU101" s="3719"/>
      <c r="AV101" s="3719"/>
      <c r="AW101" s="3719"/>
      <c r="AX101" s="3719"/>
      <c r="AY101" s="3719"/>
      <c r="AZ101" s="3719"/>
      <c r="BA101" s="3719"/>
      <c r="BB101" s="3719"/>
      <c r="BC101" s="3719"/>
      <c r="BD101" s="3719"/>
      <c r="BE101" s="3719"/>
      <c r="BF101" s="3719"/>
      <c r="BG101" s="3719"/>
      <c r="BH101" s="3719"/>
      <c r="BI101" s="3719"/>
      <c r="BJ101" s="3719"/>
      <c r="BK101" s="3719"/>
      <c r="BL101" s="3719"/>
      <c r="BM101" s="3719"/>
      <c r="BN101" s="3518"/>
      <c r="BO101" s="3520"/>
      <c r="BP101" s="3466"/>
      <c r="BQ101" s="3466"/>
      <c r="BR101" s="3466"/>
      <c r="BS101" s="3466"/>
      <c r="BT101" s="3466"/>
      <c r="BU101" s="3466"/>
      <c r="BV101" s="3466"/>
      <c r="BW101" s="3466"/>
      <c r="BX101" s="3466"/>
      <c r="BY101" s="3466"/>
      <c r="BZ101" s="3466"/>
      <c r="CA101" s="3477"/>
      <c r="CB101" s="3520"/>
      <c r="CC101" s="3466"/>
      <c r="CD101" s="3466"/>
      <c r="CE101" s="3466"/>
      <c r="CF101" s="3466"/>
      <c r="CG101" s="3466"/>
      <c r="CH101" s="3466"/>
      <c r="CI101" s="3466"/>
      <c r="CJ101" s="3466"/>
      <c r="CK101" s="3466"/>
      <c r="CL101" s="3466"/>
      <c r="CM101" s="3466"/>
    </row>
    <row r="102" spans="1:91">
      <c r="A102" s="3555" t="s">
        <v>1736</v>
      </c>
      <c r="B102" s="2551" t="str">
        <f t="shared" si="1"/>
        <v>3039650032</v>
      </c>
      <c r="C102" s="2022" t="s">
        <v>703</v>
      </c>
      <c r="D102" s="2023">
        <v>3965</v>
      </c>
      <c r="E102" s="2023">
        <v>32</v>
      </c>
      <c r="F102" s="2506">
        <v>2192</v>
      </c>
      <c r="G102" s="2507" t="s">
        <v>1079</v>
      </c>
      <c r="H102" s="2023" t="s">
        <v>1560</v>
      </c>
      <c r="I102" s="2024">
        <v>1.25</v>
      </c>
      <c r="J102" s="2505">
        <v>0</v>
      </c>
      <c r="K102" s="2505">
        <v>0</v>
      </c>
      <c r="L102" s="2505">
        <v>0</v>
      </c>
      <c r="M102" s="2505">
        <v>2403</v>
      </c>
      <c r="N102" s="2025">
        <v>2</v>
      </c>
      <c r="O102" s="2452" t="s">
        <v>1631</v>
      </c>
      <c r="P102" s="3288">
        <v>2403</v>
      </c>
      <c r="Q102" s="3288">
        <v>0</v>
      </c>
      <c r="R102" s="3288">
        <v>0</v>
      </c>
      <c r="S102" s="3288">
        <v>0</v>
      </c>
      <c r="T102" s="3288">
        <v>0</v>
      </c>
      <c r="U102" s="3288">
        <v>0</v>
      </c>
      <c r="V102" s="3288">
        <v>0</v>
      </c>
      <c r="W102" s="3288">
        <v>0</v>
      </c>
      <c r="X102" s="3288">
        <v>0</v>
      </c>
      <c r="Y102" s="3288">
        <v>0</v>
      </c>
      <c r="Z102" s="3288">
        <v>3100</v>
      </c>
      <c r="AA102" s="3288">
        <v>0</v>
      </c>
      <c r="AB102" s="3531">
        <v>5503</v>
      </c>
      <c r="AC102" s="3281">
        <v>2</v>
      </c>
      <c r="AD102" s="3281">
        <v>2</v>
      </c>
      <c r="AE102" s="3281">
        <v>0</v>
      </c>
      <c r="AF102" s="3281">
        <v>0</v>
      </c>
      <c r="AG102" s="3281">
        <v>0</v>
      </c>
      <c r="AH102" s="3281">
        <v>0</v>
      </c>
      <c r="AI102" s="3281">
        <v>0</v>
      </c>
      <c r="AJ102" s="3281">
        <v>0</v>
      </c>
      <c r="AK102" s="3281">
        <v>2</v>
      </c>
      <c r="AL102" s="3513">
        <v>35</v>
      </c>
      <c r="AM102" s="3515" t="s">
        <v>1585</v>
      </c>
      <c r="AN102" s="3512" t="s">
        <v>706</v>
      </c>
      <c r="AO102" s="3407" t="s">
        <v>1599</v>
      </c>
      <c r="AP102" s="3511">
        <v>15264</v>
      </c>
      <c r="AQ102" s="3511">
        <v>3816</v>
      </c>
      <c r="AR102" s="3511">
        <v>0</v>
      </c>
      <c r="AS102" s="3511">
        <v>0</v>
      </c>
      <c r="AT102" s="3511">
        <v>0</v>
      </c>
      <c r="AU102" s="3511">
        <v>0</v>
      </c>
      <c r="AV102" s="3511">
        <v>0</v>
      </c>
      <c r="AW102" s="3511">
        <v>0</v>
      </c>
      <c r="AX102" s="3511">
        <v>0</v>
      </c>
      <c r="AY102" s="3511">
        <v>0</v>
      </c>
      <c r="AZ102" s="3511">
        <v>0</v>
      </c>
      <c r="BA102" s="3511">
        <v>0</v>
      </c>
      <c r="BB102" s="3511">
        <v>19080</v>
      </c>
      <c r="BC102" s="3511">
        <v>15</v>
      </c>
      <c r="BD102" s="3511">
        <v>7.6319999999999997</v>
      </c>
      <c r="BE102" s="3511">
        <v>4</v>
      </c>
      <c r="BF102" s="3511">
        <v>0</v>
      </c>
      <c r="BG102" s="3511">
        <v>4</v>
      </c>
      <c r="BH102" s="3511">
        <v>0</v>
      </c>
      <c r="BI102" s="3511">
        <v>0</v>
      </c>
      <c r="BJ102" s="3511">
        <v>0</v>
      </c>
      <c r="BK102" s="3511">
        <v>0</v>
      </c>
      <c r="BL102" s="3511">
        <v>0</v>
      </c>
      <c r="BM102" s="3511">
        <v>8</v>
      </c>
      <c r="BN102" s="3517">
        <v>85</v>
      </c>
      <c r="BO102" s="3519">
        <v>12861</v>
      </c>
      <c r="BP102" s="3464">
        <v>3816</v>
      </c>
      <c r="BQ102" s="3464">
        <v>0</v>
      </c>
      <c r="BR102" s="3464">
        <v>0</v>
      </c>
      <c r="BS102" s="3464">
        <v>0</v>
      </c>
      <c r="BT102" s="3464">
        <v>0</v>
      </c>
      <c r="BU102" s="3464">
        <v>0</v>
      </c>
      <c r="BV102" s="3464">
        <v>0</v>
      </c>
      <c r="BW102" s="3464">
        <v>0</v>
      </c>
      <c r="BX102" s="3464">
        <v>0</v>
      </c>
      <c r="BY102" s="3464">
        <v>0</v>
      </c>
      <c r="BZ102" s="3464">
        <v>-3100</v>
      </c>
      <c r="CA102" s="3524">
        <v>0</v>
      </c>
      <c r="CB102" s="3519">
        <v>13577</v>
      </c>
      <c r="CC102" s="3464">
        <v>3816</v>
      </c>
      <c r="CD102" s="3464">
        <v>13</v>
      </c>
      <c r="CE102" s="3464">
        <v>7.6319999999999997</v>
      </c>
      <c r="CF102" s="3464">
        <v>2</v>
      </c>
      <c r="CG102" s="3464">
        <v>0</v>
      </c>
      <c r="CH102" s="3464">
        <v>4</v>
      </c>
      <c r="CI102" s="3464">
        <v>0</v>
      </c>
      <c r="CJ102" s="3464">
        <v>0</v>
      </c>
      <c r="CK102" s="3464">
        <v>0</v>
      </c>
      <c r="CL102" s="3464">
        <v>0</v>
      </c>
      <c r="CM102" s="3464">
        <v>0</v>
      </c>
    </row>
    <row r="103" spans="1:91" ht="15.75" thickBot="1">
      <c r="A103" s="3556"/>
      <c r="B103" s="2551" t="str">
        <f t="shared" si="1"/>
        <v>3039650033</v>
      </c>
      <c r="C103" s="2493" t="s">
        <v>710</v>
      </c>
      <c r="D103" s="2018">
        <v>3965</v>
      </c>
      <c r="E103" s="2018">
        <v>33</v>
      </c>
      <c r="F103" s="2019">
        <v>3108</v>
      </c>
      <c r="G103" s="2498" t="s">
        <v>1079</v>
      </c>
      <c r="H103" s="2018" t="s">
        <v>1560</v>
      </c>
      <c r="I103" s="2020">
        <v>1.25</v>
      </c>
      <c r="J103" s="2501">
        <v>0</v>
      </c>
      <c r="K103" s="2501">
        <v>0</v>
      </c>
      <c r="L103" s="2501">
        <v>0</v>
      </c>
      <c r="M103" s="2501">
        <v>3100</v>
      </c>
      <c r="N103" s="2508">
        <v>0</v>
      </c>
      <c r="O103" s="2503" t="s">
        <v>1654</v>
      </c>
      <c r="P103" s="3359"/>
      <c r="Q103" s="3359"/>
      <c r="R103" s="3359"/>
      <c r="S103" s="3359"/>
      <c r="T103" s="3359"/>
      <c r="U103" s="3359"/>
      <c r="V103" s="3359"/>
      <c r="W103" s="3359"/>
      <c r="X103" s="3359"/>
      <c r="Y103" s="3359"/>
      <c r="Z103" s="3359"/>
      <c r="AA103" s="3359"/>
      <c r="AB103" s="3536"/>
      <c r="AC103" s="3361"/>
      <c r="AD103" s="3361"/>
      <c r="AE103" s="3361"/>
      <c r="AF103" s="3361"/>
      <c r="AG103" s="3361"/>
      <c r="AH103" s="3361"/>
      <c r="AI103" s="3361"/>
      <c r="AJ103" s="3361"/>
      <c r="AK103" s="3361"/>
      <c r="AL103" s="3514"/>
      <c r="AM103" s="3516"/>
      <c r="AN103" s="3470"/>
      <c r="AO103" s="3718"/>
      <c r="AP103" s="3719"/>
      <c r="AQ103" s="3719"/>
      <c r="AR103" s="3719"/>
      <c r="AS103" s="3719"/>
      <c r="AT103" s="3719"/>
      <c r="AU103" s="3719"/>
      <c r="AV103" s="3719"/>
      <c r="AW103" s="3719"/>
      <c r="AX103" s="3719"/>
      <c r="AY103" s="3719"/>
      <c r="AZ103" s="3719"/>
      <c r="BA103" s="3719"/>
      <c r="BB103" s="3719"/>
      <c r="BC103" s="3719"/>
      <c r="BD103" s="3719"/>
      <c r="BE103" s="3719"/>
      <c r="BF103" s="3719"/>
      <c r="BG103" s="3719"/>
      <c r="BH103" s="3719"/>
      <c r="BI103" s="3719"/>
      <c r="BJ103" s="3719"/>
      <c r="BK103" s="3719"/>
      <c r="BL103" s="3719"/>
      <c r="BM103" s="3719"/>
      <c r="BN103" s="3518"/>
      <c r="BO103" s="3520"/>
      <c r="BP103" s="3466"/>
      <c r="BQ103" s="3466"/>
      <c r="BR103" s="3466"/>
      <c r="BS103" s="3466"/>
      <c r="BT103" s="3466"/>
      <c r="BU103" s="3466"/>
      <c r="BV103" s="3466"/>
      <c r="BW103" s="3466"/>
      <c r="BX103" s="3466"/>
      <c r="BY103" s="3466"/>
      <c r="BZ103" s="3466"/>
      <c r="CA103" s="3477"/>
      <c r="CB103" s="3520"/>
      <c r="CC103" s="3466"/>
      <c r="CD103" s="3466"/>
      <c r="CE103" s="3466"/>
      <c r="CF103" s="3466"/>
      <c r="CG103" s="3466"/>
      <c r="CH103" s="3466"/>
      <c r="CI103" s="3466"/>
      <c r="CJ103" s="3466"/>
      <c r="CK103" s="3466"/>
      <c r="CL103" s="3466"/>
      <c r="CM103" s="3466"/>
    </row>
    <row r="104" spans="1:91">
      <c r="A104" s="3567" t="s">
        <v>1737</v>
      </c>
      <c r="B104" s="2551" t="str">
        <f t="shared" si="1"/>
        <v>3039670019</v>
      </c>
      <c r="C104" s="2466" t="s">
        <v>703</v>
      </c>
      <c r="D104" s="2462">
        <v>3967</v>
      </c>
      <c r="E104" s="2462">
        <v>19</v>
      </c>
      <c r="F104" s="2461">
        <v>1467</v>
      </c>
      <c r="G104" s="2445" t="s">
        <v>1566</v>
      </c>
      <c r="H104" s="2462" t="s">
        <v>1560</v>
      </c>
      <c r="I104" s="2463">
        <v>2</v>
      </c>
      <c r="J104" s="2448">
        <v>0</v>
      </c>
      <c r="K104" s="2448">
        <v>0</v>
      </c>
      <c r="L104" s="2448">
        <v>0</v>
      </c>
      <c r="M104" s="2448">
        <v>1905</v>
      </c>
      <c r="N104" s="2438">
        <v>2</v>
      </c>
      <c r="O104" s="2437" t="s">
        <v>1578</v>
      </c>
      <c r="P104" s="3272">
        <v>3171</v>
      </c>
      <c r="Q104" s="3272">
        <v>1266</v>
      </c>
      <c r="R104" s="3272">
        <v>0</v>
      </c>
      <c r="S104" s="3272">
        <v>0</v>
      </c>
      <c r="T104" s="3272">
        <v>0</v>
      </c>
      <c r="U104" s="3272">
        <v>0</v>
      </c>
      <c r="V104" s="3272">
        <v>500</v>
      </c>
      <c r="W104" s="3272">
        <v>8560</v>
      </c>
      <c r="X104" s="3272">
        <v>500</v>
      </c>
      <c r="Y104" s="3272">
        <v>0</v>
      </c>
      <c r="Z104" s="3272">
        <v>0</v>
      </c>
      <c r="AA104" s="3272">
        <v>6460</v>
      </c>
      <c r="AB104" s="3507">
        <v>20457</v>
      </c>
      <c r="AC104" s="3265">
        <v>1</v>
      </c>
      <c r="AD104" s="3265">
        <v>0</v>
      </c>
      <c r="AE104" s="3265">
        <v>0</v>
      </c>
      <c r="AF104" s="3265">
        <v>0</v>
      </c>
      <c r="AG104" s="3265">
        <v>0</v>
      </c>
      <c r="AH104" s="3265">
        <v>2</v>
      </c>
      <c r="AI104" s="3265">
        <v>0</v>
      </c>
      <c r="AJ104" s="3265">
        <v>0</v>
      </c>
      <c r="AK104" s="3265">
        <v>2</v>
      </c>
      <c r="AL104" s="3513">
        <v>35</v>
      </c>
      <c r="AM104" s="3515" t="s">
        <v>741</v>
      </c>
      <c r="AN104" s="3512" t="s">
        <v>706</v>
      </c>
      <c r="AO104" s="3407" t="s">
        <v>1738</v>
      </c>
      <c r="AP104" s="3511">
        <v>57604</v>
      </c>
      <c r="AQ104" s="3511">
        <v>4892.8</v>
      </c>
      <c r="AR104" s="3511">
        <v>0</v>
      </c>
      <c r="AS104" s="3511">
        <v>0</v>
      </c>
      <c r="AT104" s="3511">
        <v>0</v>
      </c>
      <c r="AU104" s="3511">
        <v>0</v>
      </c>
      <c r="AV104" s="3511">
        <v>0</v>
      </c>
      <c r="AW104" s="3511">
        <v>0</v>
      </c>
      <c r="AX104" s="3511">
        <v>0</v>
      </c>
      <c r="AY104" s="3511">
        <v>0</v>
      </c>
      <c r="AZ104" s="3511">
        <v>0</v>
      </c>
      <c r="BA104" s="3511">
        <v>12232</v>
      </c>
      <c r="BB104" s="3511">
        <v>74728.800000000003</v>
      </c>
      <c r="BC104" s="3511">
        <v>57</v>
      </c>
      <c r="BD104" s="3511">
        <v>28.802</v>
      </c>
      <c r="BE104" s="3511">
        <v>12</v>
      </c>
      <c r="BF104" s="3511">
        <v>0</v>
      </c>
      <c r="BG104" s="3511">
        <v>5</v>
      </c>
      <c r="BH104" s="3511">
        <v>0</v>
      </c>
      <c r="BI104" s="3511">
        <v>0</v>
      </c>
      <c r="BJ104" s="3511">
        <v>0</v>
      </c>
      <c r="BK104" s="3511">
        <v>0</v>
      </c>
      <c r="BL104" s="3511">
        <v>0</v>
      </c>
      <c r="BM104" s="3511">
        <v>17</v>
      </c>
      <c r="BN104" s="3517">
        <v>145</v>
      </c>
      <c r="BO104" s="3519">
        <v>54433</v>
      </c>
      <c r="BP104" s="3464">
        <v>3626.8</v>
      </c>
      <c r="BQ104" s="3464">
        <v>0</v>
      </c>
      <c r="BR104" s="3464">
        <v>0</v>
      </c>
      <c r="BS104" s="3464">
        <v>0</v>
      </c>
      <c r="BT104" s="3464">
        <v>0</v>
      </c>
      <c r="BU104" s="3464">
        <v>0</v>
      </c>
      <c r="BV104" s="3464">
        <v>-500</v>
      </c>
      <c r="BW104" s="3464">
        <v>-8560</v>
      </c>
      <c r="BX104" s="3464">
        <v>-500</v>
      </c>
      <c r="BY104" s="3464">
        <v>0</v>
      </c>
      <c r="BZ104" s="3464">
        <v>0</v>
      </c>
      <c r="CA104" s="3524">
        <v>5772</v>
      </c>
      <c r="CB104" s="3519">
        <v>54271.8</v>
      </c>
      <c r="CC104" s="3464">
        <v>-5933.2</v>
      </c>
      <c r="CD104" s="3464">
        <v>56</v>
      </c>
      <c r="CE104" s="3464">
        <v>28.802</v>
      </c>
      <c r="CF104" s="3464">
        <v>12</v>
      </c>
      <c r="CG104" s="3464">
        <v>0</v>
      </c>
      <c r="CH104" s="3464">
        <v>5</v>
      </c>
      <c r="CI104" s="3464">
        <v>0</v>
      </c>
      <c r="CJ104" s="3464">
        <v>0</v>
      </c>
      <c r="CK104" s="3464">
        <v>-2</v>
      </c>
      <c r="CL104" s="3464">
        <v>0</v>
      </c>
      <c r="CM104" s="3464">
        <v>0</v>
      </c>
    </row>
    <row r="105" spans="1:91">
      <c r="A105" s="3616"/>
      <c r="B105" s="2551" t="str">
        <f t="shared" si="1"/>
        <v>3039670020</v>
      </c>
      <c r="C105" s="2492" t="s">
        <v>710</v>
      </c>
      <c r="D105" s="2026">
        <v>3967</v>
      </c>
      <c r="E105" s="2026">
        <v>20</v>
      </c>
      <c r="F105" s="2027">
        <v>1512</v>
      </c>
      <c r="G105" s="2497" t="s">
        <v>1566</v>
      </c>
      <c r="H105" s="2026" t="s">
        <v>1560</v>
      </c>
      <c r="I105" s="2028">
        <v>2</v>
      </c>
      <c r="J105" s="2500">
        <v>636</v>
      </c>
      <c r="K105" s="2500">
        <v>0</v>
      </c>
      <c r="L105" s="2500">
        <v>0</v>
      </c>
      <c r="M105" s="2500">
        <v>1272</v>
      </c>
      <c r="N105" s="2029">
        <v>1</v>
      </c>
      <c r="O105" s="2502" t="s">
        <v>1670</v>
      </c>
      <c r="P105" s="3273"/>
      <c r="Q105" s="3273"/>
      <c r="R105" s="3273"/>
      <c r="S105" s="3273"/>
      <c r="T105" s="3273"/>
      <c r="U105" s="3273"/>
      <c r="V105" s="3273"/>
      <c r="W105" s="3273"/>
      <c r="X105" s="3273"/>
      <c r="Y105" s="3273"/>
      <c r="Z105" s="3273"/>
      <c r="AA105" s="3273"/>
      <c r="AB105" s="3508"/>
      <c r="AC105" s="3274"/>
      <c r="AD105" s="3274"/>
      <c r="AE105" s="3274"/>
      <c r="AF105" s="3274"/>
      <c r="AG105" s="3274"/>
      <c r="AH105" s="3274"/>
      <c r="AI105" s="3274"/>
      <c r="AJ105" s="3274"/>
      <c r="AK105" s="3274"/>
      <c r="AL105" s="3529"/>
      <c r="AM105" s="3525"/>
      <c r="AN105" s="3469"/>
      <c r="AO105" s="3526"/>
      <c r="AP105" s="3527"/>
      <c r="AQ105" s="3527"/>
      <c r="AR105" s="3527"/>
      <c r="AS105" s="3527"/>
      <c r="AT105" s="3527"/>
      <c r="AU105" s="3527"/>
      <c r="AV105" s="3527"/>
      <c r="AW105" s="3527"/>
      <c r="AX105" s="3527"/>
      <c r="AY105" s="3527"/>
      <c r="AZ105" s="3527"/>
      <c r="BA105" s="3527"/>
      <c r="BB105" s="3527"/>
      <c r="BC105" s="3527"/>
      <c r="BD105" s="3527"/>
      <c r="BE105" s="3527"/>
      <c r="BF105" s="3527"/>
      <c r="BG105" s="3527"/>
      <c r="BH105" s="3527"/>
      <c r="BI105" s="3527"/>
      <c r="BJ105" s="3527"/>
      <c r="BK105" s="3527"/>
      <c r="BL105" s="3527"/>
      <c r="BM105" s="3527"/>
      <c r="BN105" s="3535"/>
      <c r="BO105" s="3534"/>
      <c r="BP105" s="3465"/>
      <c r="BQ105" s="3465"/>
      <c r="BR105" s="3465"/>
      <c r="BS105" s="3465"/>
      <c r="BT105" s="3465"/>
      <c r="BU105" s="3465"/>
      <c r="BV105" s="3465"/>
      <c r="BW105" s="3465"/>
      <c r="BX105" s="3465"/>
      <c r="BY105" s="3465"/>
      <c r="BZ105" s="3465"/>
      <c r="CA105" s="3533"/>
      <c r="CB105" s="3534"/>
      <c r="CC105" s="3465"/>
      <c r="CD105" s="3465"/>
      <c r="CE105" s="3465"/>
      <c r="CF105" s="3465"/>
      <c r="CG105" s="3465"/>
      <c r="CH105" s="3465"/>
      <c r="CI105" s="3465"/>
      <c r="CJ105" s="3465"/>
      <c r="CK105" s="3465"/>
      <c r="CL105" s="3465"/>
      <c r="CM105" s="3465"/>
    </row>
    <row r="106" spans="1:91">
      <c r="A106" s="3616"/>
      <c r="B106" s="2551" t="str">
        <f t="shared" si="1"/>
        <v>3039670021</v>
      </c>
      <c r="C106" s="2492" t="s">
        <v>721</v>
      </c>
      <c r="D106" s="2026">
        <v>3967</v>
      </c>
      <c r="E106" s="2026">
        <v>21</v>
      </c>
      <c r="F106" s="2027">
        <v>1520</v>
      </c>
      <c r="G106" s="2497" t="s">
        <v>1566</v>
      </c>
      <c r="H106" s="2026" t="s">
        <v>1560</v>
      </c>
      <c r="I106" s="2028">
        <v>2</v>
      </c>
      <c r="J106" s="2500">
        <v>630</v>
      </c>
      <c r="K106" s="2500">
        <v>0</v>
      </c>
      <c r="L106" s="2500">
        <v>0</v>
      </c>
      <c r="M106" s="2500">
        <v>1260</v>
      </c>
      <c r="N106" s="2029">
        <v>1</v>
      </c>
      <c r="O106" s="2502" t="s">
        <v>1670</v>
      </c>
      <c r="P106" s="3273"/>
      <c r="Q106" s="3273"/>
      <c r="R106" s="3273"/>
      <c r="S106" s="3273"/>
      <c r="T106" s="3273"/>
      <c r="U106" s="3273"/>
      <c r="V106" s="3273"/>
      <c r="W106" s="3273"/>
      <c r="X106" s="3273"/>
      <c r="Y106" s="3273"/>
      <c r="Z106" s="3273"/>
      <c r="AA106" s="3273"/>
      <c r="AB106" s="3508"/>
      <c r="AC106" s="3274"/>
      <c r="AD106" s="3274"/>
      <c r="AE106" s="3274"/>
      <c r="AF106" s="3274"/>
      <c r="AG106" s="3274"/>
      <c r="AH106" s="3274"/>
      <c r="AI106" s="3274"/>
      <c r="AJ106" s="3274"/>
      <c r="AK106" s="3274"/>
      <c r="AL106" s="3529"/>
      <c r="AM106" s="3525"/>
      <c r="AN106" s="3469"/>
      <c r="AO106" s="3526"/>
      <c r="AP106" s="3527"/>
      <c r="AQ106" s="3527"/>
      <c r="AR106" s="3527"/>
      <c r="AS106" s="3527"/>
      <c r="AT106" s="3527"/>
      <c r="AU106" s="3527"/>
      <c r="AV106" s="3527"/>
      <c r="AW106" s="3527"/>
      <c r="AX106" s="3527"/>
      <c r="AY106" s="3527"/>
      <c r="AZ106" s="3527"/>
      <c r="BA106" s="3527"/>
      <c r="BB106" s="3527"/>
      <c r="BC106" s="3527"/>
      <c r="BD106" s="3527"/>
      <c r="BE106" s="3527"/>
      <c r="BF106" s="3527"/>
      <c r="BG106" s="3527"/>
      <c r="BH106" s="3527"/>
      <c r="BI106" s="3527"/>
      <c r="BJ106" s="3527"/>
      <c r="BK106" s="3527"/>
      <c r="BL106" s="3527"/>
      <c r="BM106" s="3527"/>
      <c r="BN106" s="3535"/>
      <c r="BO106" s="3534"/>
      <c r="BP106" s="3465"/>
      <c r="BQ106" s="3465"/>
      <c r="BR106" s="3465"/>
      <c r="BS106" s="3465"/>
      <c r="BT106" s="3465"/>
      <c r="BU106" s="3465"/>
      <c r="BV106" s="3465"/>
      <c r="BW106" s="3465"/>
      <c r="BX106" s="3465"/>
      <c r="BY106" s="3465"/>
      <c r="BZ106" s="3465"/>
      <c r="CA106" s="3533"/>
      <c r="CB106" s="3534"/>
      <c r="CC106" s="3465"/>
      <c r="CD106" s="3465"/>
      <c r="CE106" s="3465"/>
      <c r="CF106" s="3465"/>
      <c r="CG106" s="3465"/>
      <c r="CH106" s="3465"/>
      <c r="CI106" s="3465"/>
      <c r="CJ106" s="3465"/>
      <c r="CK106" s="3465"/>
      <c r="CL106" s="3465"/>
      <c r="CM106" s="3465"/>
    </row>
    <row r="107" spans="1:91">
      <c r="A107" s="3616"/>
      <c r="B107" s="2551" t="str">
        <f t="shared" si="1"/>
        <v>3039670022</v>
      </c>
      <c r="C107" s="2492" t="s">
        <v>724</v>
      </c>
      <c r="D107" s="2026">
        <v>3967</v>
      </c>
      <c r="E107" s="2026">
        <v>22</v>
      </c>
      <c r="F107" s="2027">
        <v>1670</v>
      </c>
      <c r="G107" s="2497" t="s">
        <v>1566</v>
      </c>
      <c r="H107" s="2026" t="s">
        <v>1560</v>
      </c>
      <c r="I107" s="2028">
        <v>2</v>
      </c>
      <c r="J107" s="2500">
        <v>0</v>
      </c>
      <c r="K107" s="2500">
        <v>2400</v>
      </c>
      <c r="L107" s="2500">
        <v>0</v>
      </c>
      <c r="M107" s="2500">
        <v>2400</v>
      </c>
      <c r="N107" s="2029">
        <v>0</v>
      </c>
      <c r="O107" s="2502" t="s">
        <v>1739</v>
      </c>
      <c r="P107" s="3273"/>
      <c r="Q107" s="3273"/>
      <c r="R107" s="3273"/>
      <c r="S107" s="3273"/>
      <c r="T107" s="3273"/>
      <c r="U107" s="3273"/>
      <c r="V107" s="3273"/>
      <c r="W107" s="3273"/>
      <c r="X107" s="3273"/>
      <c r="Y107" s="3273"/>
      <c r="Z107" s="3273"/>
      <c r="AA107" s="3273"/>
      <c r="AB107" s="3508"/>
      <c r="AC107" s="3274"/>
      <c r="AD107" s="3274"/>
      <c r="AE107" s="3274"/>
      <c r="AF107" s="3274"/>
      <c r="AG107" s="3274"/>
      <c r="AH107" s="3274"/>
      <c r="AI107" s="3274"/>
      <c r="AJ107" s="3274"/>
      <c r="AK107" s="3274"/>
      <c r="AL107" s="3529"/>
      <c r="AM107" s="3525"/>
      <c r="AN107" s="3469"/>
      <c r="AO107" s="3526"/>
      <c r="AP107" s="3527"/>
      <c r="AQ107" s="3527"/>
      <c r="AR107" s="3527"/>
      <c r="AS107" s="3527"/>
      <c r="AT107" s="3527"/>
      <c r="AU107" s="3527"/>
      <c r="AV107" s="3527"/>
      <c r="AW107" s="3527"/>
      <c r="AX107" s="3527"/>
      <c r="AY107" s="3527"/>
      <c r="AZ107" s="3527"/>
      <c r="BA107" s="3527"/>
      <c r="BB107" s="3527"/>
      <c r="BC107" s="3527"/>
      <c r="BD107" s="3527"/>
      <c r="BE107" s="3527"/>
      <c r="BF107" s="3527"/>
      <c r="BG107" s="3527"/>
      <c r="BH107" s="3527"/>
      <c r="BI107" s="3527"/>
      <c r="BJ107" s="3527"/>
      <c r="BK107" s="3527"/>
      <c r="BL107" s="3527"/>
      <c r="BM107" s="3527"/>
      <c r="BN107" s="3535"/>
      <c r="BO107" s="3534"/>
      <c r="BP107" s="3465"/>
      <c r="BQ107" s="3465"/>
      <c r="BR107" s="3465"/>
      <c r="BS107" s="3465"/>
      <c r="BT107" s="3465"/>
      <c r="BU107" s="3465"/>
      <c r="BV107" s="3465"/>
      <c r="BW107" s="3465"/>
      <c r="BX107" s="3465"/>
      <c r="BY107" s="3465"/>
      <c r="BZ107" s="3465"/>
      <c r="CA107" s="3533"/>
      <c r="CB107" s="3534"/>
      <c r="CC107" s="3465"/>
      <c r="CD107" s="3465"/>
      <c r="CE107" s="3465"/>
      <c r="CF107" s="3465"/>
      <c r="CG107" s="3465"/>
      <c r="CH107" s="3465"/>
      <c r="CI107" s="3465"/>
      <c r="CJ107" s="3465"/>
      <c r="CK107" s="3465"/>
      <c r="CL107" s="3465"/>
      <c r="CM107" s="3465"/>
    </row>
    <row r="108" spans="1:91">
      <c r="A108" s="3616"/>
      <c r="B108" s="2551" t="str">
        <f t="shared" si="1"/>
        <v>3039670024</v>
      </c>
      <c r="C108" s="2492" t="s">
        <v>746</v>
      </c>
      <c r="D108" s="2026">
        <v>3967</v>
      </c>
      <c r="E108" s="2026">
        <v>24</v>
      </c>
      <c r="F108" s="2027">
        <v>1460</v>
      </c>
      <c r="G108" s="2497" t="s">
        <v>1566</v>
      </c>
      <c r="H108" s="2026" t="s">
        <v>1560</v>
      </c>
      <c r="I108" s="2028">
        <v>2</v>
      </c>
      <c r="J108" s="2500">
        <v>0</v>
      </c>
      <c r="K108" s="2500">
        <v>1160</v>
      </c>
      <c r="L108" s="2500">
        <v>0</v>
      </c>
      <c r="M108" s="2500">
        <v>1160</v>
      </c>
      <c r="N108" s="2029">
        <v>0</v>
      </c>
      <c r="O108" s="2502" t="s">
        <v>1690</v>
      </c>
      <c r="P108" s="3273"/>
      <c r="Q108" s="3273"/>
      <c r="R108" s="3273"/>
      <c r="S108" s="3273"/>
      <c r="T108" s="3273"/>
      <c r="U108" s="3273"/>
      <c r="V108" s="3273"/>
      <c r="W108" s="3273"/>
      <c r="X108" s="3273"/>
      <c r="Y108" s="3273"/>
      <c r="Z108" s="3273"/>
      <c r="AA108" s="3273"/>
      <c r="AB108" s="3508"/>
      <c r="AC108" s="3274"/>
      <c r="AD108" s="3274"/>
      <c r="AE108" s="3274"/>
      <c r="AF108" s="3274"/>
      <c r="AG108" s="3274"/>
      <c r="AH108" s="3274"/>
      <c r="AI108" s="3274"/>
      <c r="AJ108" s="3274"/>
      <c r="AK108" s="3274"/>
      <c r="AL108" s="3529"/>
      <c r="AM108" s="3525"/>
      <c r="AN108" s="3469"/>
      <c r="AO108" s="3526"/>
      <c r="AP108" s="3527"/>
      <c r="AQ108" s="3527"/>
      <c r="AR108" s="3527"/>
      <c r="AS108" s="3527"/>
      <c r="AT108" s="3527"/>
      <c r="AU108" s="3527"/>
      <c r="AV108" s="3527"/>
      <c r="AW108" s="3527"/>
      <c r="AX108" s="3527"/>
      <c r="AY108" s="3527"/>
      <c r="AZ108" s="3527"/>
      <c r="BA108" s="3527"/>
      <c r="BB108" s="3527"/>
      <c r="BC108" s="3527"/>
      <c r="BD108" s="3527"/>
      <c r="BE108" s="3527"/>
      <c r="BF108" s="3527"/>
      <c r="BG108" s="3527"/>
      <c r="BH108" s="3527"/>
      <c r="BI108" s="3527"/>
      <c r="BJ108" s="3527"/>
      <c r="BK108" s="3527"/>
      <c r="BL108" s="3527"/>
      <c r="BM108" s="3527"/>
      <c r="BN108" s="3535"/>
      <c r="BO108" s="3534"/>
      <c r="BP108" s="3465"/>
      <c r="BQ108" s="3465"/>
      <c r="BR108" s="3465"/>
      <c r="BS108" s="3465"/>
      <c r="BT108" s="3465"/>
      <c r="BU108" s="3465"/>
      <c r="BV108" s="3465"/>
      <c r="BW108" s="3465"/>
      <c r="BX108" s="3465"/>
      <c r="BY108" s="3465"/>
      <c r="BZ108" s="3465"/>
      <c r="CA108" s="3533"/>
      <c r="CB108" s="3534"/>
      <c r="CC108" s="3465"/>
      <c r="CD108" s="3465"/>
      <c r="CE108" s="3465"/>
      <c r="CF108" s="3465"/>
      <c r="CG108" s="3465"/>
      <c r="CH108" s="3465"/>
      <c r="CI108" s="3465"/>
      <c r="CJ108" s="3465"/>
      <c r="CK108" s="3465"/>
      <c r="CL108" s="3465"/>
      <c r="CM108" s="3465"/>
    </row>
    <row r="109" spans="1:91" ht="15.75" thickBot="1">
      <c r="A109" s="3569"/>
      <c r="B109" s="2551" t="str">
        <f t="shared" si="1"/>
        <v>3039670025</v>
      </c>
      <c r="C109" s="2488" t="s">
        <v>879</v>
      </c>
      <c r="D109" s="2023">
        <v>3967</v>
      </c>
      <c r="E109" s="2023">
        <v>25</v>
      </c>
      <c r="F109" s="2506">
        <v>9000</v>
      </c>
      <c r="G109" s="2507" t="s">
        <v>1079</v>
      </c>
      <c r="H109" s="2023" t="s">
        <v>1560</v>
      </c>
      <c r="I109" s="2024">
        <v>1.25</v>
      </c>
      <c r="J109" s="2505">
        <v>0</v>
      </c>
      <c r="K109" s="2505">
        <v>5500</v>
      </c>
      <c r="L109" s="2505">
        <v>500</v>
      </c>
      <c r="M109" s="2505">
        <v>12460</v>
      </c>
      <c r="N109" s="2025">
        <v>0</v>
      </c>
      <c r="O109" s="2452" t="s">
        <v>1740</v>
      </c>
      <c r="P109" s="3359"/>
      <c r="Q109" s="3359"/>
      <c r="R109" s="3359"/>
      <c r="S109" s="3359"/>
      <c r="T109" s="3359"/>
      <c r="U109" s="3359"/>
      <c r="V109" s="3359"/>
      <c r="W109" s="3359"/>
      <c r="X109" s="3359"/>
      <c r="Y109" s="3359"/>
      <c r="Z109" s="3359"/>
      <c r="AA109" s="3359"/>
      <c r="AB109" s="3536"/>
      <c r="AC109" s="3361"/>
      <c r="AD109" s="3361"/>
      <c r="AE109" s="3361"/>
      <c r="AF109" s="3361"/>
      <c r="AG109" s="3361"/>
      <c r="AH109" s="3361"/>
      <c r="AI109" s="3361"/>
      <c r="AJ109" s="3361"/>
      <c r="AK109" s="3361"/>
      <c r="AL109" s="3514"/>
      <c r="AM109" s="3516"/>
      <c r="AN109" s="3470"/>
      <c r="AO109" s="3718"/>
      <c r="AP109" s="3719"/>
      <c r="AQ109" s="3719"/>
      <c r="AR109" s="3719"/>
      <c r="AS109" s="3719"/>
      <c r="AT109" s="3719"/>
      <c r="AU109" s="3719"/>
      <c r="AV109" s="3719"/>
      <c r="AW109" s="3719"/>
      <c r="AX109" s="3719"/>
      <c r="AY109" s="3719"/>
      <c r="AZ109" s="3719"/>
      <c r="BA109" s="3719"/>
      <c r="BB109" s="3719"/>
      <c r="BC109" s="3719"/>
      <c r="BD109" s="3719"/>
      <c r="BE109" s="3719"/>
      <c r="BF109" s="3719"/>
      <c r="BG109" s="3719"/>
      <c r="BH109" s="3719"/>
      <c r="BI109" s="3719"/>
      <c r="BJ109" s="3719"/>
      <c r="BK109" s="3719"/>
      <c r="BL109" s="3719"/>
      <c r="BM109" s="3719"/>
      <c r="BN109" s="3518"/>
      <c r="BO109" s="3520"/>
      <c r="BP109" s="3466"/>
      <c r="BQ109" s="3466"/>
      <c r="BR109" s="3466"/>
      <c r="BS109" s="3466"/>
      <c r="BT109" s="3466"/>
      <c r="BU109" s="3466"/>
      <c r="BV109" s="3466"/>
      <c r="BW109" s="3466"/>
      <c r="BX109" s="3466"/>
      <c r="BY109" s="3466"/>
      <c r="BZ109" s="3466"/>
      <c r="CA109" s="3477"/>
      <c r="CB109" s="3520"/>
      <c r="CC109" s="3466"/>
      <c r="CD109" s="3466"/>
      <c r="CE109" s="3466"/>
      <c r="CF109" s="3466"/>
      <c r="CG109" s="3466"/>
      <c r="CH109" s="3466"/>
      <c r="CI109" s="3466"/>
      <c r="CJ109" s="3466"/>
      <c r="CK109" s="3466"/>
      <c r="CL109" s="3466"/>
      <c r="CM109" s="3466"/>
    </row>
    <row r="110" spans="1:91">
      <c r="A110" s="3567" t="s">
        <v>1741</v>
      </c>
      <c r="B110" s="2551" t="str">
        <f t="shared" si="1"/>
        <v>3039710039</v>
      </c>
      <c r="C110" s="2010" t="s">
        <v>703</v>
      </c>
      <c r="D110" s="2462">
        <v>3971</v>
      </c>
      <c r="E110" s="2462">
        <v>39</v>
      </c>
      <c r="F110" s="2461">
        <v>2617</v>
      </c>
      <c r="G110" s="2445" t="s">
        <v>1079</v>
      </c>
      <c r="H110" s="2462" t="s">
        <v>1560</v>
      </c>
      <c r="I110" s="2463">
        <v>1.25</v>
      </c>
      <c r="J110" s="2448">
        <v>0</v>
      </c>
      <c r="K110" s="2448">
        <v>0</v>
      </c>
      <c r="L110" s="2448">
        <v>0</v>
      </c>
      <c r="M110" s="2448">
        <v>1085</v>
      </c>
      <c r="N110" s="2438">
        <v>2</v>
      </c>
      <c r="O110" s="2437" t="s">
        <v>1578</v>
      </c>
      <c r="P110" s="3272">
        <v>7598</v>
      </c>
      <c r="Q110" s="3272">
        <v>0</v>
      </c>
      <c r="R110" s="3272">
        <v>0</v>
      </c>
      <c r="S110" s="3272">
        <v>0</v>
      </c>
      <c r="T110" s="3272">
        <v>0</v>
      </c>
      <c r="U110" s="3272">
        <v>0</v>
      </c>
      <c r="V110" s="3272">
        <v>0</v>
      </c>
      <c r="W110" s="3272">
        <v>0</v>
      </c>
      <c r="X110" s="3272">
        <v>0</v>
      </c>
      <c r="Y110" s="3272">
        <v>0</v>
      </c>
      <c r="Z110" s="3272">
        <v>0</v>
      </c>
      <c r="AA110" s="3272">
        <v>0</v>
      </c>
      <c r="AB110" s="3507">
        <v>7598</v>
      </c>
      <c r="AC110" s="3265">
        <v>7</v>
      </c>
      <c r="AD110" s="3265">
        <v>7</v>
      </c>
      <c r="AE110" s="3265">
        <v>0</v>
      </c>
      <c r="AF110" s="3265">
        <v>0</v>
      </c>
      <c r="AG110" s="3265">
        <v>0</v>
      </c>
      <c r="AH110" s="3265">
        <v>0</v>
      </c>
      <c r="AI110" s="3265">
        <v>0</v>
      </c>
      <c r="AJ110" s="3265">
        <v>0</v>
      </c>
      <c r="AK110" s="3265">
        <v>7</v>
      </c>
      <c r="AL110" s="3513">
        <v>25</v>
      </c>
      <c r="AM110" s="3515" t="s">
        <v>1612</v>
      </c>
      <c r="AN110" s="3512" t="s">
        <v>1560</v>
      </c>
      <c r="AO110" s="3407" t="s">
        <v>1613</v>
      </c>
      <c r="AP110" s="3511">
        <v>17219</v>
      </c>
      <c r="AQ110" s="3511">
        <v>0</v>
      </c>
      <c r="AR110" s="3511">
        <v>0</v>
      </c>
      <c r="AS110" s="3511">
        <v>0</v>
      </c>
      <c r="AT110" s="3511">
        <v>0</v>
      </c>
      <c r="AU110" s="3511">
        <v>0</v>
      </c>
      <c r="AV110" s="3511">
        <v>0</v>
      </c>
      <c r="AW110" s="3511">
        <v>0</v>
      </c>
      <c r="AX110" s="3511">
        <v>0</v>
      </c>
      <c r="AY110" s="3511">
        <v>0</v>
      </c>
      <c r="AZ110" s="3511">
        <v>0</v>
      </c>
      <c r="BA110" s="3511">
        <v>0</v>
      </c>
      <c r="BB110" s="3511">
        <v>17219</v>
      </c>
      <c r="BC110" s="3511">
        <v>17</v>
      </c>
      <c r="BD110" s="3511">
        <v>8.6095000000000006</v>
      </c>
      <c r="BE110" s="3511">
        <v>4</v>
      </c>
      <c r="BF110" s="3511">
        <v>0</v>
      </c>
      <c r="BG110" s="3511">
        <v>0</v>
      </c>
      <c r="BH110" s="3511">
        <v>0</v>
      </c>
      <c r="BI110" s="3511">
        <v>0</v>
      </c>
      <c r="BJ110" s="3511">
        <v>0</v>
      </c>
      <c r="BK110" s="3511">
        <v>0</v>
      </c>
      <c r="BL110" s="3511">
        <v>0</v>
      </c>
      <c r="BM110" s="3511">
        <v>4</v>
      </c>
      <c r="BN110" s="3517">
        <v>55</v>
      </c>
      <c r="BO110" s="3519">
        <v>9621</v>
      </c>
      <c r="BP110" s="3464">
        <v>0</v>
      </c>
      <c r="BQ110" s="3464">
        <v>0</v>
      </c>
      <c r="BR110" s="3464">
        <v>0</v>
      </c>
      <c r="BS110" s="3464">
        <v>0</v>
      </c>
      <c r="BT110" s="3464">
        <v>0</v>
      </c>
      <c r="BU110" s="3464">
        <v>0</v>
      </c>
      <c r="BV110" s="3464">
        <v>0</v>
      </c>
      <c r="BW110" s="3464">
        <v>0</v>
      </c>
      <c r="BX110" s="3464">
        <v>0</v>
      </c>
      <c r="BY110" s="3464">
        <v>0</v>
      </c>
      <c r="BZ110" s="3464">
        <v>0</v>
      </c>
      <c r="CA110" s="3524">
        <v>0</v>
      </c>
      <c r="CB110" s="3519">
        <v>9621</v>
      </c>
      <c r="CC110" s="3464">
        <v>0</v>
      </c>
      <c r="CD110" s="3464">
        <v>10</v>
      </c>
      <c r="CE110" s="3464">
        <v>8.6095000000000006</v>
      </c>
      <c r="CF110" s="3464">
        <v>-3</v>
      </c>
      <c r="CG110" s="3464">
        <v>0</v>
      </c>
      <c r="CH110" s="3464">
        <v>0</v>
      </c>
      <c r="CI110" s="3464">
        <v>0</v>
      </c>
      <c r="CJ110" s="3464">
        <v>0</v>
      </c>
      <c r="CK110" s="3464">
        <v>0</v>
      </c>
      <c r="CL110" s="3464">
        <v>0</v>
      </c>
      <c r="CM110" s="3464">
        <v>0</v>
      </c>
    </row>
    <row r="111" spans="1:91">
      <c r="A111" s="3396"/>
      <c r="B111" s="2551" t="str">
        <f t="shared" si="1"/>
        <v>3039710040</v>
      </c>
      <c r="C111" s="2488" t="s">
        <v>710</v>
      </c>
      <c r="D111" s="2026">
        <v>3971</v>
      </c>
      <c r="E111" s="2026">
        <v>40</v>
      </c>
      <c r="F111" s="2027">
        <v>2610</v>
      </c>
      <c r="G111" s="2497" t="s">
        <v>1079</v>
      </c>
      <c r="H111" s="2026" t="s">
        <v>1560</v>
      </c>
      <c r="I111" s="2028">
        <v>2</v>
      </c>
      <c r="J111" s="2500">
        <v>0</v>
      </c>
      <c r="K111" s="2500">
        <v>0</v>
      </c>
      <c r="L111" s="2500">
        <v>0</v>
      </c>
      <c r="M111" s="2500">
        <v>0</v>
      </c>
      <c r="N111" s="2029">
        <v>0</v>
      </c>
      <c r="O111" s="2502" t="s">
        <v>1578</v>
      </c>
      <c r="P111" s="3273"/>
      <c r="Q111" s="3273"/>
      <c r="R111" s="3273"/>
      <c r="S111" s="3273"/>
      <c r="T111" s="3273"/>
      <c r="U111" s="3273"/>
      <c r="V111" s="3273"/>
      <c r="W111" s="3273"/>
      <c r="X111" s="3273"/>
      <c r="Y111" s="3273"/>
      <c r="Z111" s="3273"/>
      <c r="AA111" s="3273"/>
      <c r="AB111" s="3508"/>
      <c r="AC111" s="3274"/>
      <c r="AD111" s="3274"/>
      <c r="AE111" s="3274"/>
      <c r="AF111" s="3274"/>
      <c r="AG111" s="3274"/>
      <c r="AH111" s="3274"/>
      <c r="AI111" s="3274"/>
      <c r="AJ111" s="3274"/>
      <c r="AK111" s="3274"/>
      <c r="AL111" s="3529"/>
      <c r="AM111" s="3525"/>
      <c r="AN111" s="3469"/>
      <c r="AO111" s="3526"/>
      <c r="AP111" s="3527"/>
      <c r="AQ111" s="3527"/>
      <c r="AR111" s="3527"/>
      <c r="AS111" s="3527"/>
      <c r="AT111" s="3527"/>
      <c r="AU111" s="3527"/>
      <c r="AV111" s="3527"/>
      <c r="AW111" s="3527"/>
      <c r="AX111" s="3527"/>
      <c r="AY111" s="3527"/>
      <c r="AZ111" s="3527"/>
      <c r="BA111" s="3527"/>
      <c r="BB111" s="3527"/>
      <c r="BC111" s="3527"/>
      <c r="BD111" s="3527"/>
      <c r="BE111" s="3527"/>
      <c r="BF111" s="3527"/>
      <c r="BG111" s="3527"/>
      <c r="BH111" s="3527"/>
      <c r="BI111" s="3527"/>
      <c r="BJ111" s="3527"/>
      <c r="BK111" s="3527"/>
      <c r="BL111" s="3527"/>
      <c r="BM111" s="3527"/>
      <c r="BN111" s="3535"/>
      <c r="BO111" s="3534"/>
      <c r="BP111" s="3465"/>
      <c r="BQ111" s="3465"/>
      <c r="BR111" s="3465"/>
      <c r="BS111" s="3465"/>
      <c r="BT111" s="3465"/>
      <c r="BU111" s="3465"/>
      <c r="BV111" s="3465"/>
      <c r="BW111" s="3465"/>
      <c r="BX111" s="3465"/>
      <c r="BY111" s="3465"/>
      <c r="BZ111" s="3465"/>
      <c r="CA111" s="3533"/>
      <c r="CB111" s="3534"/>
      <c r="CC111" s="3465"/>
      <c r="CD111" s="3465"/>
      <c r="CE111" s="3465"/>
      <c r="CF111" s="3465"/>
      <c r="CG111" s="3465"/>
      <c r="CH111" s="3465"/>
      <c r="CI111" s="3465"/>
      <c r="CJ111" s="3465"/>
      <c r="CK111" s="3465"/>
      <c r="CL111" s="3465"/>
      <c r="CM111" s="3465"/>
    </row>
    <row r="112" spans="1:91" ht="15.75" thickBot="1">
      <c r="A112" s="3556"/>
      <c r="B112" s="2551" t="str">
        <f t="shared" si="1"/>
        <v>3039710041</v>
      </c>
      <c r="C112" s="2493" t="s">
        <v>721</v>
      </c>
      <c r="D112" s="2018">
        <v>3971</v>
      </c>
      <c r="E112" s="2018">
        <v>41</v>
      </c>
      <c r="F112" s="2019">
        <v>2600</v>
      </c>
      <c r="G112" s="2498" t="s">
        <v>1079</v>
      </c>
      <c r="H112" s="2018" t="s">
        <v>1560</v>
      </c>
      <c r="I112" s="2020">
        <v>1.25</v>
      </c>
      <c r="J112" s="2501">
        <v>0</v>
      </c>
      <c r="K112" s="2501">
        <v>463</v>
      </c>
      <c r="L112" s="2501">
        <v>0</v>
      </c>
      <c r="M112" s="2501">
        <v>463</v>
      </c>
      <c r="N112" s="2508">
        <v>0</v>
      </c>
      <c r="O112" s="2453" t="s">
        <v>1578</v>
      </c>
      <c r="P112" s="3359"/>
      <c r="Q112" s="3359"/>
      <c r="R112" s="3359"/>
      <c r="S112" s="3359"/>
      <c r="T112" s="3359"/>
      <c r="U112" s="3359"/>
      <c r="V112" s="3359"/>
      <c r="W112" s="3359"/>
      <c r="X112" s="3359"/>
      <c r="Y112" s="3359"/>
      <c r="Z112" s="3359"/>
      <c r="AA112" s="3359"/>
      <c r="AB112" s="3536"/>
      <c r="AC112" s="3361"/>
      <c r="AD112" s="3361"/>
      <c r="AE112" s="3361"/>
      <c r="AF112" s="3361"/>
      <c r="AG112" s="3361"/>
      <c r="AH112" s="3361"/>
      <c r="AI112" s="3361"/>
      <c r="AJ112" s="3361"/>
      <c r="AK112" s="3361"/>
      <c r="AL112" s="3514"/>
      <c r="AM112" s="3516"/>
      <c r="AN112" s="3470"/>
      <c r="AO112" s="3718"/>
      <c r="AP112" s="3719"/>
      <c r="AQ112" s="3719"/>
      <c r="AR112" s="3719"/>
      <c r="AS112" s="3719"/>
      <c r="AT112" s="3719"/>
      <c r="AU112" s="3719"/>
      <c r="AV112" s="3719"/>
      <c r="AW112" s="3719"/>
      <c r="AX112" s="3719"/>
      <c r="AY112" s="3719"/>
      <c r="AZ112" s="3719"/>
      <c r="BA112" s="3719"/>
      <c r="BB112" s="3719"/>
      <c r="BC112" s="3719"/>
      <c r="BD112" s="3719"/>
      <c r="BE112" s="3719"/>
      <c r="BF112" s="3719"/>
      <c r="BG112" s="3719"/>
      <c r="BH112" s="3719"/>
      <c r="BI112" s="3719"/>
      <c r="BJ112" s="3719"/>
      <c r="BK112" s="3719"/>
      <c r="BL112" s="3719"/>
      <c r="BM112" s="3719"/>
      <c r="BN112" s="3518"/>
      <c r="BO112" s="3520"/>
      <c r="BP112" s="3466"/>
      <c r="BQ112" s="3466"/>
      <c r="BR112" s="3466"/>
      <c r="BS112" s="3466"/>
      <c r="BT112" s="3466"/>
      <c r="BU112" s="3466"/>
      <c r="BV112" s="3466"/>
      <c r="BW112" s="3466"/>
      <c r="BX112" s="3466"/>
      <c r="BY112" s="3466"/>
      <c r="BZ112" s="3466"/>
      <c r="CA112" s="3477"/>
      <c r="CB112" s="3520"/>
      <c r="CC112" s="3466"/>
      <c r="CD112" s="3466"/>
      <c r="CE112" s="3466"/>
      <c r="CF112" s="3466"/>
      <c r="CG112" s="3466"/>
      <c r="CH112" s="3466"/>
      <c r="CI112" s="3466"/>
      <c r="CJ112" s="3466"/>
      <c r="CK112" s="3466"/>
      <c r="CL112" s="3466"/>
      <c r="CM112" s="3466"/>
    </row>
    <row r="113" spans="1:91">
      <c r="A113" s="3555" t="s">
        <v>1742</v>
      </c>
      <c r="B113" s="2551" t="str">
        <f t="shared" si="1"/>
        <v>3039710044</v>
      </c>
      <c r="C113" s="2022" t="s">
        <v>703</v>
      </c>
      <c r="D113" s="2023">
        <v>3971</v>
      </c>
      <c r="E113" s="2023">
        <v>44</v>
      </c>
      <c r="F113" s="2506">
        <v>2600</v>
      </c>
      <c r="G113" s="2507" t="s">
        <v>1079</v>
      </c>
      <c r="H113" s="2023" t="s">
        <v>1584</v>
      </c>
      <c r="I113" s="2024">
        <v>1.25</v>
      </c>
      <c r="J113" s="2505">
        <v>0</v>
      </c>
      <c r="K113" s="2505">
        <v>0</v>
      </c>
      <c r="L113" s="2505">
        <v>0</v>
      </c>
      <c r="M113" s="2505">
        <v>1400</v>
      </c>
      <c r="N113" s="2025">
        <v>2</v>
      </c>
      <c r="O113" s="2452" t="s">
        <v>1578</v>
      </c>
      <c r="P113" s="3272">
        <v>3200</v>
      </c>
      <c r="Q113" s="3272">
        <v>0</v>
      </c>
      <c r="R113" s="3272">
        <v>0</v>
      </c>
      <c r="S113" s="3272">
        <v>0</v>
      </c>
      <c r="T113" s="3272">
        <v>0</v>
      </c>
      <c r="U113" s="3272">
        <v>0</v>
      </c>
      <c r="V113" s="3272">
        <v>0</v>
      </c>
      <c r="W113" s="3272">
        <v>0</v>
      </c>
      <c r="X113" s="3272">
        <v>0</v>
      </c>
      <c r="Y113" s="3272">
        <v>0</v>
      </c>
      <c r="Z113" s="3272">
        <v>0</v>
      </c>
      <c r="AA113" s="3272">
        <v>0</v>
      </c>
      <c r="AB113" s="3507">
        <v>3200</v>
      </c>
      <c r="AC113" s="3265">
        <v>2</v>
      </c>
      <c r="AD113" s="3265">
        <v>2</v>
      </c>
      <c r="AE113" s="3265">
        <v>0</v>
      </c>
      <c r="AF113" s="3265">
        <v>0</v>
      </c>
      <c r="AG113" s="3265">
        <v>0</v>
      </c>
      <c r="AH113" s="3265">
        <v>0</v>
      </c>
      <c r="AI113" s="3265">
        <v>0</v>
      </c>
      <c r="AJ113" s="3265">
        <v>0</v>
      </c>
      <c r="AK113" s="3265">
        <v>2</v>
      </c>
      <c r="AL113" s="3513">
        <v>25</v>
      </c>
      <c r="AM113" s="3515" t="s">
        <v>1612</v>
      </c>
      <c r="AN113" s="3512" t="s">
        <v>1560</v>
      </c>
      <c r="AO113" s="3407" t="s">
        <v>1613</v>
      </c>
      <c r="AP113" s="3511">
        <v>11385</v>
      </c>
      <c r="AQ113" s="3511">
        <v>0</v>
      </c>
      <c r="AR113" s="3511">
        <v>0</v>
      </c>
      <c r="AS113" s="3511">
        <v>0</v>
      </c>
      <c r="AT113" s="3511">
        <v>0</v>
      </c>
      <c r="AU113" s="3511">
        <v>0</v>
      </c>
      <c r="AV113" s="3511">
        <v>0</v>
      </c>
      <c r="AW113" s="3511">
        <v>0</v>
      </c>
      <c r="AX113" s="3511">
        <v>0</v>
      </c>
      <c r="AY113" s="3511">
        <v>0</v>
      </c>
      <c r="AZ113" s="3511">
        <v>0</v>
      </c>
      <c r="BA113" s="3511">
        <v>0</v>
      </c>
      <c r="BB113" s="3511">
        <v>11385</v>
      </c>
      <c r="BC113" s="3511">
        <v>11</v>
      </c>
      <c r="BD113" s="3511">
        <v>5.6924999999999999</v>
      </c>
      <c r="BE113" s="3511">
        <v>3</v>
      </c>
      <c r="BF113" s="3511">
        <v>0</v>
      </c>
      <c r="BG113" s="3511">
        <v>0</v>
      </c>
      <c r="BH113" s="3511">
        <v>0</v>
      </c>
      <c r="BI113" s="3511">
        <v>0</v>
      </c>
      <c r="BJ113" s="3511">
        <v>0</v>
      </c>
      <c r="BK113" s="3511">
        <v>0</v>
      </c>
      <c r="BL113" s="3511">
        <v>0</v>
      </c>
      <c r="BM113" s="3511">
        <v>3</v>
      </c>
      <c r="BN113" s="3517">
        <v>55</v>
      </c>
      <c r="BO113" s="3519">
        <v>8185</v>
      </c>
      <c r="BP113" s="3464">
        <v>0</v>
      </c>
      <c r="BQ113" s="3464">
        <v>0</v>
      </c>
      <c r="BR113" s="3464">
        <v>0</v>
      </c>
      <c r="BS113" s="3464">
        <v>0</v>
      </c>
      <c r="BT113" s="3464">
        <v>0</v>
      </c>
      <c r="BU113" s="3464">
        <v>0</v>
      </c>
      <c r="BV113" s="3464">
        <v>0</v>
      </c>
      <c r="BW113" s="3464">
        <v>0</v>
      </c>
      <c r="BX113" s="3464">
        <v>0</v>
      </c>
      <c r="BY113" s="3464">
        <v>0</v>
      </c>
      <c r="BZ113" s="3464">
        <v>0</v>
      </c>
      <c r="CA113" s="3524">
        <v>0</v>
      </c>
      <c r="CB113" s="3519">
        <v>8185</v>
      </c>
      <c r="CC113" s="3464">
        <v>0</v>
      </c>
      <c r="CD113" s="3464">
        <v>9</v>
      </c>
      <c r="CE113" s="3464">
        <v>5.6924999999999999</v>
      </c>
      <c r="CF113" s="3464">
        <v>1</v>
      </c>
      <c r="CG113" s="3464">
        <v>0</v>
      </c>
      <c r="CH113" s="3464">
        <v>0</v>
      </c>
      <c r="CI113" s="3464">
        <v>0</v>
      </c>
      <c r="CJ113" s="3464">
        <v>0</v>
      </c>
      <c r="CK113" s="3464">
        <v>0</v>
      </c>
      <c r="CL113" s="3464">
        <v>0</v>
      </c>
      <c r="CM113" s="3464">
        <v>0</v>
      </c>
    </row>
    <row r="114" spans="1:91" ht="15.75" thickBot="1">
      <c r="A114" s="3556"/>
      <c r="B114" s="2551" t="str">
        <f t="shared" si="1"/>
        <v>3039710045</v>
      </c>
      <c r="C114" s="2493" t="s">
        <v>710</v>
      </c>
      <c r="D114" s="2018">
        <v>3971</v>
      </c>
      <c r="E114" s="2018">
        <v>45</v>
      </c>
      <c r="F114" s="2019">
        <v>2575</v>
      </c>
      <c r="G114" s="2498" t="s">
        <v>1079</v>
      </c>
      <c r="H114" s="2018" t="s">
        <v>1584</v>
      </c>
      <c r="I114" s="2020">
        <v>1.25</v>
      </c>
      <c r="J114" s="2501">
        <v>0</v>
      </c>
      <c r="K114" s="2501">
        <v>0</v>
      </c>
      <c r="L114" s="2501">
        <v>0</v>
      </c>
      <c r="M114" s="2501">
        <v>1800</v>
      </c>
      <c r="N114" s="2508">
        <v>3</v>
      </c>
      <c r="O114" s="2503" t="s">
        <v>1578</v>
      </c>
      <c r="P114" s="3359"/>
      <c r="Q114" s="3359"/>
      <c r="R114" s="3359"/>
      <c r="S114" s="3359"/>
      <c r="T114" s="3359"/>
      <c r="U114" s="3359"/>
      <c r="V114" s="3359"/>
      <c r="W114" s="3359"/>
      <c r="X114" s="3359"/>
      <c r="Y114" s="3359"/>
      <c r="Z114" s="3359"/>
      <c r="AA114" s="3359"/>
      <c r="AB114" s="3536"/>
      <c r="AC114" s="3361"/>
      <c r="AD114" s="3361"/>
      <c r="AE114" s="3361"/>
      <c r="AF114" s="3361"/>
      <c r="AG114" s="3361"/>
      <c r="AH114" s="3361"/>
      <c r="AI114" s="3361"/>
      <c r="AJ114" s="3361"/>
      <c r="AK114" s="3361"/>
      <c r="AL114" s="3514"/>
      <c r="AM114" s="3516"/>
      <c r="AN114" s="3470"/>
      <c r="AO114" s="3718"/>
      <c r="AP114" s="3719"/>
      <c r="AQ114" s="3719"/>
      <c r="AR114" s="3719"/>
      <c r="AS114" s="3719"/>
      <c r="AT114" s="3719"/>
      <c r="AU114" s="3719"/>
      <c r="AV114" s="3719"/>
      <c r="AW114" s="3719"/>
      <c r="AX114" s="3719"/>
      <c r="AY114" s="3719"/>
      <c r="AZ114" s="3719"/>
      <c r="BA114" s="3719"/>
      <c r="BB114" s="3719"/>
      <c r="BC114" s="3719"/>
      <c r="BD114" s="3719"/>
      <c r="BE114" s="3719"/>
      <c r="BF114" s="3719"/>
      <c r="BG114" s="3719"/>
      <c r="BH114" s="3719"/>
      <c r="BI114" s="3719"/>
      <c r="BJ114" s="3719"/>
      <c r="BK114" s="3719"/>
      <c r="BL114" s="3719"/>
      <c r="BM114" s="3719"/>
      <c r="BN114" s="3518"/>
      <c r="BO114" s="3520"/>
      <c r="BP114" s="3466"/>
      <c r="BQ114" s="3466"/>
      <c r="BR114" s="3466"/>
      <c r="BS114" s="3466"/>
      <c r="BT114" s="3466"/>
      <c r="BU114" s="3466"/>
      <c r="BV114" s="3466"/>
      <c r="BW114" s="3466"/>
      <c r="BX114" s="3466"/>
      <c r="BY114" s="3466"/>
      <c r="BZ114" s="3466"/>
      <c r="CA114" s="3477"/>
      <c r="CB114" s="3520"/>
      <c r="CC114" s="3466"/>
      <c r="CD114" s="3466"/>
      <c r="CE114" s="3466"/>
      <c r="CF114" s="3466"/>
      <c r="CG114" s="3466"/>
      <c r="CH114" s="3466"/>
      <c r="CI114" s="3466"/>
      <c r="CJ114" s="3466"/>
      <c r="CK114" s="3466"/>
      <c r="CL114" s="3466"/>
      <c r="CM114" s="3466"/>
    </row>
    <row r="115" spans="1:91">
      <c r="A115" s="3567" t="s">
        <v>1743</v>
      </c>
      <c r="B115" s="2551" t="str">
        <f t="shared" si="1"/>
        <v>3039710053</v>
      </c>
      <c r="C115" s="2010" t="s">
        <v>703</v>
      </c>
      <c r="D115" s="2011">
        <v>3971</v>
      </c>
      <c r="E115" s="2011">
        <v>53</v>
      </c>
      <c r="F115" s="2494">
        <v>2500</v>
      </c>
      <c r="G115" s="2496" t="s">
        <v>1079</v>
      </c>
      <c r="H115" s="2011" t="s">
        <v>1584</v>
      </c>
      <c r="I115" s="2012">
        <v>1.25</v>
      </c>
      <c r="J115" s="2491">
        <v>0</v>
      </c>
      <c r="K115" s="2491">
        <v>0</v>
      </c>
      <c r="L115" s="2491">
        <v>0</v>
      </c>
      <c r="M115" s="2491">
        <v>1000</v>
      </c>
      <c r="N115" s="2489">
        <v>1</v>
      </c>
      <c r="O115" s="2437" t="s">
        <v>1578</v>
      </c>
      <c r="P115" s="3272">
        <v>1000</v>
      </c>
      <c r="Q115" s="3272">
        <v>0</v>
      </c>
      <c r="R115" s="3272">
        <v>0</v>
      </c>
      <c r="S115" s="3272">
        <v>0</v>
      </c>
      <c r="T115" s="3272">
        <v>0</v>
      </c>
      <c r="U115" s="3272">
        <v>0</v>
      </c>
      <c r="V115" s="3272">
        <v>0</v>
      </c>
      <c r="W115" s="3272">
        <v>0</v>
      </c>
      <c r="X115" s="3272">
        <v>0</v>
      </c>
      <c r="Y115" s="3272">
        <v>0</v>
      </c>
      <c r="Z115" s="3272">
        <v>0</v>
      </c>
      <c r="AA115" s="3272">
        <v>0</v>
      </c>
      <c r="AB115" s="3507">
        <v>1000</v>
      </c>
      <c r="AC115" s="3265">
        <v>1</v>
      </c>
      <c r="AD115" s="3265">
        <v>1</v>
      </c>
      <c r="AE115" s="3265">
        <v>0</v>
      </c>
      <c r="AF115" s="3265">
        <v>0</v>
      </c>
      <c r="AG115" s="3265">
        <v>0</v>
      </c>
      <c r="AH115" s="3265">
        <v>0</v>
      </c>
      <c r="AI115" s="3265">
        <v>0</v>
      </c>
      <c r="AJ115" s="3265">
        <v>0</v>
      </c>
      <c r="AK115" s="3265">
        <v>1</v>
      </c>
      <c r="AL115" s="3513">
        <v>25</v>
      </c>
      <c r="AM115" s="3515" t="s">
        <v>1585</v>
      </c>
      <c r="AN115" s="3512" t="s">
        <v>706</v>
      </c>
      <c r="AO115" s="3407" t="s">
        <v>1599</v>
      </c>
      <c r="AP115" s="3511">
        <v>13950</v>
      </c>
      <c r="AQ115" s="3511">
        <v>4050</v>
      </c>
      <c r="AR115" s="3511">
        <v>0</v>
      </c>
      <c r="AS115" s="3511">
        <v>0</v>
      </c>
      <c r="AT115" s="3511">
        <v>0</v>
      </c>
      <c r="AU115" s="3511">
        <v>0</v>
      </c>
      <c r="AV115" s="3511">
        <v>0</v>
      </c>
      <c r="AW115" s="3511">
        <v>0</v>
      </c>
      <c r="AX115" s="3511">
        <v>0</v>
      </c>
      <c r="AY115" s="3511">
        <v>0</v>
      </c>
      <c r="AZ115" s="3511">
        <v>0</v>
      </c>
      <c r="BA115" s="3511">
        <v>0</v>
      </c>
      <c r="BB115" s="3511">
        <v>18000</v>
      </c>
      <c r="BC115" s="3511">
        <v>13</v>
      </c>
      <c r="BD115" s="3511">
        <v>6.9749999999999996</v>
      </c>
      <c r="BE115" s="3511">
        <v>3</v>
      </c>
      <c r="BF115" s="3511">
        <v>0</v>
      </c>
      <c r="BG115" s="3511">
        <v>0</v>
      </c>
      <c r="BH115" s="3511">
        <v>0</v>
      </c>
      <c r="BI115" s="3511">
        <v>0</v>
      </c>
      <c r="BJ115" s="3511">
        <v>0</v>
      </c>
      <c r="BK115" s="3511">
        <v>0</v>
      </c>
      <c r="BL115" s="3511">
        <v>0</v>
      </c>
      <c r="BM115" s="3511">
        <v>3</v>
      </c>
      <c r="BN115" s="3517">
        <v>85</v>
      </c>
      <c r="BO115" s="3519">
        <v>12950</v>
      </c>
      <c r="BP115" s="3464">
        <v>4050</v>
      </c>
      <c r="BQ115" s="3464">
        <v>0</v>
      </c>
      <c r="BR115" s="3464">
        <v>0</v>
      </c>
      <c r="BS115" s="3464">
        <v>0</v>
      </c>
      <c r="BT115" s="3464">
        <v>0</v>
      </c>
      <c r="BU115" s="3464">
        <v>0</v>
      </c>
      <c r="BV115" s="3464">
        <v>0</v>
      </c>
      <c r="BW115" s="3464">
        <v>0</v>
      </c>
      <c r="BX115" s="3464">
        <v>0</v>
      </c>
      <c r="BY115" s="3464">
        <v>0</v>
      </c>
      <c r="BZ115" s="3464">
        <v>0</v>
      </c>
      <c r="CA115" s="3524">
        <v>0</v>
      </c>
      <c r="CB115" s="3519">
        <v>17000</v>
      </c>
      <c r="CC115" s="3464">
        <v>0</v>
      </c>
      <c r="CD115" s="3464">
        <v>12</v>
      </c>
      <c r="CE115" s="3464">
        <v>6.9749999999999996</v>
      </c>
      <c r="CF115" s="3464">
        <v>2</v>
      </c>
      <c r="CG115" s="3464">
        <v>0</v>
      </c>
      <c r="CH115" s="3464">
        <v>0</v>
      </c>
      <c r="CI115" s="3464">
        <v>0</v>
      </c>
      <c r="CJ115" s="3464">
        <v>0</v>
      </c>
      <c r="CK115" s="3464">
        <v>0</v>
      </c>
      <c r="CL115" s="3464">
        <v>0</v>
      </c>
      <c r="CM115" s="3464">
        <v>0</v>
      </c>
    </row>
    <row r="116" spans="1:91" ht="15.75" thickBot="1">
      <c r="A116" s="3569"/>
      <c r="B116" s="2551" t="str">
        <f t="shared" si="1"/>
        <v>3039710054</v>
      </c>
      <c r="C116" s="2468" t="s">
        <v>710</v>
      </c>
      <c r="D116" s="2014">
        <v>3971</v>
      </c>
      <c r="E116" s="2014">
        <v>54</v>
      </c>
      <c r="F116" s="2038">
        <v>2500</v>
      </c>
      <c r="G116" s="2133" t="s">
        <v>1079</v>
      </c>
      <c r="H116" s="2014" t="s">
        <v>1584</v>
      </c>
      <c r="I116" s="2016">
        <v>1.25</v>
      </c>
      <c r="J116" s="2538">
        <v>0</v>
      </c>
      <c r="K116" s="2538">
        <v>0</v>
      </c>
      <c r="L116" s="2538">
        <v>0</v>
      </c>
      <c r="M116" s="2538">
        <v>0</v>
      </c>
      <c r="N116" s="2509">
        <v>0</v>
      </c>
      <c r="O116" s="2503" t="s">
        <v>1603</v>
      </c>
      <c r="P116" s="3359"/>
      <c r="Q116" s="3359"/>
      <c r="R116" s="3359"/>
      <c r="S116" s="3359"/>
      <c r="T116" s="3359"/>
      <c r="U116" s="3359"/>
      <c r="V116" s="3359"/>
      <c r="W116" s="3359"/>
      <c r="X116" s="3359"/>
      <c r="Y116" s="3359"/>
      <c r="Z116" s="3359"/>
      <c r="AA116" s="3359"/>
      <c r="AB116" s="3536"/>
      <c r="AC116" s="3361"/>
      <c r="AD116" s="3361"/>
      <c r="AE116" s="3361"/>
      <c r="AF116" s="3361"/>
      <c r="AG116" s="3361"/>
      <c r="AH116" s="3361"/>
      <c r="AI116" s="3361"/>
      <c r="AJ116" s="3361"/>
      <c r="AK116" s="3361"/>
      <c r="AL116" s="3514"/>
      <c r="AM116" s="3516"/>
      <c r="AN116" s="3470"/>
      <c r="AO116" s="3718"/>
      <c r="AP116" s="3719"/>
      <c r="AQ116" s="3719"/>
      <c r="AR116" s="3719"/>
      <c r="AS116" s="3719"/>
      <c r="AT116" s="3719"/>
      <c r="AU116" s="3719"/>
      <c r="AV116" s="3719"/>
      <c r="AW116" s="3719"/>
      <c r="AX116" s="3719"/>
      <c r="AY116" s="3719"/>
      <c r="AZ116" s="3719"/>
      <c r="BA116" s="3719"/>
      <c r="BB116" s="3719"/>
      <c r="BC116" s="3719"/>
      <c r="BD116" s="3719"/>
      <c r="BE116" s="3719"/>
      <c r="BF116" s="3719"/>
      <c r="BG116" s="3719"/>
      <c r="BH116" s="3719"/>
      <c r="BI116" s="3719"/>
      <c r="BJ116" s="3719"/>
      <c r="BK116" s="3719"/>
      <c r="BL116" s="3719"/>
      <c r="BM116" s="3719"/>
      <c r="BN116" s="3518"/>
      <c r="BO116" s="3520"/>
      <c r="BP116" s="3466"/>
      <c r="BQ116" s="3466"/>
      <c r="BR116" s="3466"/>
      <c r="BS116" s="3466"/>
      <c r="BT116" s="3466"/>
      <c r="BU116" s="3466"/>
      <c r="BV116" s="3466"/>
      <c r="BW116" s="3466"/>
      <c r="BX116" s="3466"/>
      <c r="BY116" s="3466"/>
      <c r="BZ116" s="3466"/>
      <c r="CA116" s="3477"/>
      <c r="CB116" s="3520"/>
      <c r="CC116" s="3466"/>
      <c r="CD116" s="3466"/>
      <c r="CE116" s="3466"/>
      <c r="CF116" s="3466"/>
      <c r="CG116" s="3466"/>
      <c r="CH116" s="3466"/>
      <c r="CI116" s="3466"/>
      <c r="CJ116" s="3466"/>
      <c r="CK116" s="3466"/>
      <c r="CL116" s="3466"/>
      <c r="CM116" s="3466"/>
    </row>
    <row r="117" spans="1:91">
      <c r="A117" s="3567" t="s">
        <v>1744</v>
      </c>
      <c r="B117" s="2551" t="str">
        <f t="shared" si="1"/>
        <v>3039720020</v>
      </c>
      <c r="C117" s="2010" t="s">
        <v>703</v>
      </c>
      <c r="D117" s="2011">
        <v>3972</v>
      </c>
      <c r="E117" s="2011">
        <v>20</v>
      </c>
      <c r="F117" s="2494">
        <v>5366</v>
      </c>
      <c r="G117" s="2496" t="s">
        <v>947</v>
      </c>
      <c r="H117" s="2011" t="s">
        <v>1560</v>
      </c>
      <c r="I117" s="2012">
        <v>1</v>
      </c>
      <c r="J117" s="2491">
        <v>2806</v>
      </c>
      <c r="K117" s="2491">
        <v>0</v>
      </c>
      <c r="L117" s="2491">
        <v>0</v>
      </c>
      <c r="M117" s="2491">
        <v>6849</v>
      </c>
      <c r="N117" s="2489">
        <v>4</v>
      </c>
      <c r="O117" s="2490" t="s">
        <v>1745</v>
      </c>
      <c r="P117" s="3272">
        <v>4043</v>
      </c>
      <c r="Q117" s="3272">
        <v>3806</v>
      </c>
      <c r="R117" s="3272">
        <v>0</v>
      </c>
      <c r="S117" s="3272">
        <v>0</v>
      </c>
      <c r="T117" s="3272">
        <v>0</v>
      </c>
      <c r="U117" s="3272">
        <v>0</v>
      </c>
      <c r="V117" s="3272">
        <v>7833.333333333333</v>
      </c>
      <c r="W117" s="3272">
        <v>0</v>
      </c>
      <c r="X117" s="3272">
        <v>0</v>
      </c>
      <c r="Y117" s="3272">
        <v>7833.333333333333</v>
      </c>
      <c r="Z117" s="3272">
        <v>7833.333333333333</v>
      </c>
      <c r="AA117" s="3272">
        <v>0</v>
      </c>
      <c r="AB117" s="3507">
        <v>31348.999999999996</v>
      </c>
      <c r="AC117" s="3265">
        <v>4</v>
      </c>
      <c r="AD117" s="3265">
        <v>0</v>
      </c>
      <c r="AE117" s="3265">
        <v>56</v>
      </c>
      <c r="AF117" s="3265">
        <v>0</v>
      </c>
      <c r="AG117" s="3265">
        <v>0</v>
      </c>
      <c r="AH117" s="3265">
        <v>0</v>
      </c>
      <c r="AI117" s="3265">
        <v>0</v>
      </c>
      <c r="AJ117" s="3265">
        <v>0</v>
      </c>
      <c r="AK117" s="3265">
        <v>56</v>
      </c>
      <c r="AL117" s="3513">
        <v>35</v>
      </c>
      <c r="AM117" s="3515" t="s">
        <v>741</v>
      </c>
      <c r="AN117" s="3512" t="s">
        <v>706</v>
      </c>
      <c r="AO117" s="3407" t="s">
        <v>1595</v>
      </c>
      <c r="AP117" s="3511">
        <v>87327</v>
      </c>
      <c r="AQ117" s="3511">
        <v>10729.800000000001</v>
      </c>
      <c r="AR117" s="3511">
        <v>0</v>
      </c>
      <c r="AS117" s="3511">
        <v>0</v>
      </c>
      <c r="AT117" s="3511">
        <v>0</v>
      </c>
      <c r="AU117" s="3511">
        <v>0</v>
      </c>
      <c r="AV117" s="3511">
        <v>0</v>
      </c>
      <c r="AW117" s="3511">
        <v>0</v>
      </c>
      <c r="AX117" s="3511">
        <v>0</v>
      </c>
      <c r="AY117" s="3511">
        <v>0</v>
      </c>
      <c r="AZ117" s="3511">
        <v>0</v>
      </c>
      <c r="BA117" s="3511">
        <v>0</v>
      </c>
      <c r="BB117" s="3511">
        <v>98056.8</v>
      </c>
      <c r="BC117" s="3511">
        <v>87</v>
      </c>
      <c r="BD117" s="3511">
        <v>43.663499999999999</v>
      </c>
      <c r="BE117" s="3511">
        <v>17</v>
      </c>
      <c r="BF117" s="3511">
        <v>0</v>
      </c>
      <c r="BG117" s="3511">
        <v>11</v>
      </c>
      <c r="BH117" s="3511">
        <v>0</v>
      </c>
      <c r="BI117" s="3511">
        <v>0</v>
      </c>
      <c r="BJ117" s="3511">
        <v>0</v>
      </c>
      <c r="BK117" s="3511">
        <v>0</v>
      </c>
      <c r="BL117" s="3511">
        <v>0</v>
      </c>
      <c r="BM117" s="3511">
        <v>28</v>
      </c>
      <c r="BN117" s="3517">
        <v>145</v>
      </c>
      <c r="BO117" s="3519">
        <v>83284</v>
      </c>
      <c r="BP117" s="3464">
        <v>6923.8000000000011</v>
      </c>
      <c r="BQ117" s="3464">
        <v>0</v>
      </c>
      <c r="BR117" s="3464">
        <v>0</v>
      </c>
      <c r="BS117" s="3464">
        <v>0</v>
      </c>
      <c r="BT117" s="3464">
        <v>0</v>
      </c>
      <c r="BU117" s="3464">
        <v>0</v>
      </c>
      <c r="BV117" s="3464">
        <v>-7833.333333333333</v>
      </c>
      <c r="BW117" s="3464">
        <v>0</v>
      </c>
      <c r="BX117" s="3464">
        <v>0</v>
      </c>
      <c r="BY117" s="3464">
        <v>-7833.333333333333</v>
      </c>
      <c r="BZ117" s="3464">
        <v>-7833.333333333333</v>
      </c>
      <c r="CA117" s="3524">
        <v>0</v>
      </c>
      <c r="CB117" s="3519">
        <v>66707.8</v>
      </c>
      <c r="CC117" s="3464">
        <v>-8742.8666666666631</v>
      </c>
      <c r="CD117" s="3464">
        <v>83</v>
      </c>
      <c r="CE117" s="3464">
        <v>43.663499999999999</v>
      </c>
      <c r="CF117" s="3464">
        <v>17</v>
      </c>
      <c r="CG117" s="3464">
        <v>0</v>
      </c>
      <c r="CH117" s="3464">
        <v>-45</v>
      </c>
      <c r="CI117" s="3464">
        <v>0</v>
      </c>
      <c r="CJ117" s="3464">
        <v>0</v>
      </c>
      <c r="CK117" s="3464">
        <v>0</v>
      </c>
      <c r="CL117" s="3464">
        <v>0</v>
      </c>
      <c r="CM117" s="3464">
        <v>0</v>
      </c>
    </row>
    <row r="118" spans="1:91" ht="15.75" thickBot="1">
      <c r="A118" s="3556"/>
      <c r="B118" s="2551" t="str">
        <f t="shared" si="1"/>
        <v>3039720022</v>
      </c>
      <c r="C118" s="2493" t="s">
        <v>710</v>
      </c>
      <c r="D118" s="2018">
        <v>3972</v>
      </c>
      <c r="E118" s="2018">
        <v>22</v>
      </c>
      <c r="F118" s="2019">
        <v>8253</v>
      </c>
      <c r="G118" s="2498" t="s">
        <v>947</v>
      </c>
      <c r="H118" s="2018" t="s">
        <v>1560</v>
      </c>
      <c r="I118" s="2020">
        <v>1</v>
      </c>
      <c r="J118" s="2501">
        <v>1000</v>
      </c>
      <c r="K118" s="2501">
        <v>7833.333333333333</v>
      </c>
      <c r="L118" s="2501">
        <v>7833.333333333333</v>
      </c>
      <c r="M118" s="2501">
        <v>24499.999999999996</v>
      </c>
      <c r="N118" s="2508">
        <v>0</v>
      </c>
      <c r="O118" s="2453" t="s">
        <v>1746</v>
      </c>
      <c r="P118" s="3359"/>
      <c r="Q118" s="3359"/>
      <c r="R118" s="3359"/>
      <c r="S118" s="3359"/>
      <c r="T118" s="3359"/>
      <c r="U118" s="3359"/>
      <c r="V118" s="3359"/>
      <c r="W118" s="3359"/>
      <c r="X118" s="3359"/>
      <c r="Y118" s="3359"/>
      <c r="Z118" s="3359"/>
      <c r="AA118" s="3359"/>
      <c r="AB118" s="3536"/>
      <c r="AC118" s="3361"/>
      <c r="AD118" s="3361"/>
      <c r="AE118" s="3361"/>
      <c r="AF118" s="3361"/>
      <c r="AG118" s="3361"/>
      <c r="AH118" s="3361"/>
      <c r="AI118" s="3361"/>
      <c r="AJ118" s="3361"/>
      <c r="AK118" s="3361"/>
      <c r="AL118" s="3514"/>
      <c r="AM118" s="3516"/>
      <c r="AN118" s="3470"/>
      <c r="AO118" s="3718"/>
      <c r="AP118" s="3719"/>
      <c r="AQ118" s="3719"/>
      <c r="AR118" s="3719"/>
      <c r="AS118" s="3719"/>
      <c r="AT118" s="3719"/>
      <c r="AU118" s="3719"/>
      <c r="AV118" s="3719"/>
      <c r="AW118" s="3719"/>
      <c r="AX118" s="3719"/>
      <c r="AY118" s="3719"/>
      <c r="AZ118" s="3719"/>
      <c r="BA118" s="3719"/>
      <c r="BB118" s="3719"/>
      <c r="BC118" s="3719"/>
      <c r="BD118" s="3719"/>
      <c r="BE118" s="3719"/>
      <c r="BF118" s="3719"/>
      <c r="BG118" s="3719"/>
      <c r="BH118" s="3719"/>
      <c r="BI118" s="3719"/>
      <c r="BJ118" s="3719"/>
      <c r="BK118" s="3719"/>
      <c r="BL118" s="3719"/>
      <c r="BM118" s="3719"/>
      <c r="BN118" s="3518"/>
      <c r="BO118" s="3520"/>
      <c r="BP118" s="3466"/>
      <c r="BQ118" s="3466"/>
      <c r="BR118" s="3466"/>
      <c r="BS118" s="3466"/>
      <c r="BT118" s="3466"/>
      <c r="BU118" s="3466"/>
      <c r="BV118" s="3466"/>
      <c r="BW118" s="3466"/>
      <c r="BX118" s="3466"/>
      <c r="BY118" s="3466"/>
      <c r="BZ118" s="3466"/>
      <c r="CA118" s="3477"/>
      <c r="CB118" s="3520"/>
      <c r="CC118" s="3466"/>
      <c r="CD118" s="3466"/>
      <c r="CE118" s="3466"/>
      <c r="CF118" s="3466"/>
      <c r="CG118" s="3466"/>
      <c r="CH118" s="3466"/>
      <c r="CI118" s="3466"/>
      <c r="CJ118" s="3466"/>
      <c r="CK118" s="3466"/>
      <c r="CL118" s="3466"/>
      <c r="CM118" s="3466"/>
    </row>
    <row r="119" spans="1:91">
      <c r="A119" s="3312" t="s">
        <v>1747</v>
      </c>
      <c r="B119" s="2551" t="str">
        <f t="shared" si="1"/>
        <v>3039760031</v>
      </c>
      <c r="C119" s="2022" t="s">
        <v>703</v>
      </c>
      <c r="D119" s="2023">
        <v>3976</v>
      </c>
      <c r="E119" s="2023">
        <v>31</v>
      </c>
      <c r="F119" s="2506">
        <v>10500</v>
      </c>
      <c r="G119" s="2507" t="s">
        <v>947</v>
      </c>
      <c r="H119" s="2023" t="s">
        <v>1560</v>
      </c>
      <c r="I119" s="2024">
        <v>1</v>
      </c>
      <c r="J119" s="2505">
        <v>0</v>
      </c>
      <c r="K119" s="2505">
        <v>32700</v>
      </c>
      <c r="L119" s="2505">
        <v>0</v>
      </c>
      <c r="M119" s="2505">
        <v>32700</v>
      </c>
      <c r="N119" s="2025">
        <v>0</v>
      </c>
      <c r="O119" s="2452" t="s">
        <v>1748</v>
      </c>
      <c r="P119" s="3272">
        <v>0</v>
      </c>
      <c r="Q119" s="3272">
        <v>15227</v>
      </c>
      <c r="R119" s="3272">
        <v>0</v>
      </c>
      <c r="S119" s="3272">
        <v>0</v>
      </c>
      <c r="T119" s="3272">
        <v>0</v>
      </c>
      <c r="U119" s="3272">
        <v>0</v>
      </c>
      <c r="V119" s="3272">
        <v>1000</v>
      </c>
      <c r="W119" s="3272">
        <v>61910</v>
      </c>
      <c r="X119" s="3272">
        <v>0</v>
      </c>
      <c r="Y119" s="3272">
        <v>0</v>
      </c>
      <c r="Z119" s="3272">
        <v>0</v>
      </c>
      <c r="AA119" s="3272">
        <v>0</v>
      </c>
      <c r="AB119" s="3507">
        <v>78137</v>
      </c>
      <c r="AC119" s="3265">
        <v>0</v>
      </c>
      <c r="AD119" s="3265">
        <v>0</v>
      </c>
      <c r="AE119" s="3265">
        <v>0</v>
      </c>
      <c r="AF119" s="3265">
        <v>0</v>
      </c>
      <c r="AG119" s="3265">
        <v>0</v>
      </c>
      <c r="AH119" s="3265">
        <v>0</v>
      </c>
      <c r="AI119" s="3265">
        <v>0</v>
      </c>
      <c r="AJ119" s="3265">
        <v>0</v>
      </c>
      <c r="AK119" s="3265">
        <v>0</v>
      </c>
      <c r="AL119" s="3513">
        <v>35</v>
      </c>
      <c r="AM119" s="3515" t="s">
        <v>1331</v>
      </c>
      <c r="AN119" s="3512" t="s">
        <v>1560</v>
      </c>
      <c r="AO119" s="3407" t="s">
        <v>1749</v>
      </c>
      <c r="AP119" s="3511">
        <v>112807</v>
      </c>
      <c r="AQ119" s="3511">
        <v>13010.400000000001</v>
      </c>
      <c r="AR119" s="3511">
        <v>0</v>
      </c>
      <c r="AS119" s="3511">
        <v>7500</v>
      </c>
      <c r="AT119" s="3511">
        <v>0</v>
      </c>
      <c r="AU119" s="3511">
        <v>0</v>
      </c>
      <c r="AV119" s="3511">
        <v>51275.999999999993</v>
      </c>
      <c r="AW119" s="3511">
        <v>0</v>
      </c>
      <c r="AX119" s="3511">
        <v>0</v>
      </c>
      <c r="AY119" s="3511">
        <v>0</v>
      </c>
      <c r="AZ119" s="3511">
        <v>0</v>
      </c>
      <c r="BA119" s="3511">
        <v>0</v>
      </c>
      <c r="BB119" s="3511">
        <v>184593.4</v>
      </c>
      <c r="BC119" s="3511">
        <v>112</v>
      </c>
      <c r="BD119" s="3511">
        <v>56.403500000000001</v>
      </c>
      <c r="BE119" s="3511">
        <v>23</v>
      </c>
      <c r="BF119" s="3511">
        <v>0</v>
      </c>
      <c r="BG119" s="3511">
        <v>72</v>
      </c>
      <c r="BH119" s="3511">
        <v>0</v>
      </c>
      <c r="BI119" s="3511">
        <v>0</v>
      </c>
      <c r="BJ119" s="3511">
        <v>0</v>
      </c>
      <c r="BK119" s="3511">
        <v>0</v>
      </c>
      <c r="BL119" s="3511">
        <v>0</v>
      </c>
      <c r="BM119" s="3511">
        <v>95</v>
      </c>
      <c r="BN119" s="3517">
        <v>145</v>
      </c>
      <c r="BO119" s="3519">
        <v>112807</v>
      </c>
      <c r="BP119" s="3464">
        <v>-2216.5999999999985</v>
      </c>
      <c r="BQ119" s="3464">
        <v>0</v>
      </c>
      <c r="BR119" s="3464">
        <v>0</v>
      </c>
      <c r="BS119" s="3464">
        <v>7500</v>
      </c>
      <c r="BT119" s="3464">
        <v>0</v>
      </c>
      <c r="BU119" s="3464">
        <v>0</v>
      </c>
      <c r="BV119" s="3464">
        <v>50275.999999999993</v>
      </c>
      <c r="BW119" s="3464">
        <v>-61910</v>
      </c>
      <c r="BX119" s="3464">
        <v>0</v>
      </c>
      <c r="BY119" s="3464">
        <v>0</v>
      </c>
      <c r="BZ119" s="3464">
        <v>0</v>
      </c>
      <c r="CA119" s="3524">
        <v>0</v>
      </c>
      <c r="CB119" s="3519">
        <v>106456.4</v>
      </c>
      <c r="CC119" s="3464">
        <v>-6350.6000000000058</v>
      </c>
      <c r="CD119" s="3464">
        <v>112</v>
      </c>
      <c r="CE119" s="3464">
        <v>56.403500000000001</v>
      </c>
      <c r="CF119" s="3464">
        <v>23</v>
      </c>
      <c r="CG119" s="3464">
        <v>0</v>
      </c>
      <c r="CH119" s="3464">
        <v>72</v>
      </c>
      <c r="CI119" s="3464">
        <v>0</v>
      </c>
      <c r="CJ119" s="3464">
        <v>0</v>
      </c>
      <c r="CK119" s="3464">
        <v>0</v>
      </c>
      <c r="CL119" s="3464">
        <v>0</v>
      </c>
      <c r="CM119" s="3464">
        <v>0</v>
      </c>
    </row>
    <row r="120" spans="1:91" ht="15.75" thickBot="1">
      <c r="A120" s="3283"/>
      <c r="B120" s="2551" t="str">
        <f t="shared" si="1"/>
        <v>3039760035</v>
      </c>
      <c r="C120" s="2493" t="s">
        <v>710</v>
      </c>
      <c r="D120" s="2018">
        <v>3976</v>
      </c>
      <c r="E120" s="2018">
        <v>35</v>
      </c>
      <c r="F120" s="2019">
        <v>15138</v>
      </c>
      <c r="G120" s="2498" t="s">
        <v>947</v>
      </c>
      <c r="H120" s="2018" t="s">
        <v>1560</v>
      </c>
      <c r="I120" s="2020">
        <v>1</v>
      </c>
      <c r="J120" s="2501">
        <v>15227</v>
      </c>
      <c r="K120" s="2501">
        <v>29210</v>
      </c>
      <c r="L120" s="2501">
        <v>1000</v>
      </c>
      <c r="M120" s="2501">
        <v>45437</v>
      </c>
      <c r="N120" s="2508">
        <v>0</v>
      </c>
      <c r="O120" s="2503" t="s">
        <v>1748</v>
      </c>
      <c r="P120" s="3359"/>
      <c r="Q120" s="3359"/>
      <c r="R120" s="3359"/>
      <c r="S120" s="3359"/>
      <c r="T120" s="3359"/>
      <c r="U120" s="3359"/>
      <c r="V120" s="3359"/>
      <c r="W120" s="3359"/>
      <c r="X120" s="3359"/>
      <c r="Y120" s="3359"/>
      <c r="Z120" s="3359"/>
      <c r="AA120" s="3359"/>
      <c r="AB120" s="3536"/>
      <c r="AC120" s="3361"/>
      <c r="AD120" s="3361"/>
      <c r="AE120" s="3361"/>
      <c r="AF120" s="3361"/>
      <c r="AG120" s="3361"/>
      <c r="AH120" s="3361"/>
      <c r="AI120" s="3361"/>
      <c r="AJ120" s="3361"/>
      <c r="AK120" s="3361"/>
      <c r="AL120" s="3514"/>
      <c r="AM120" s="3516"/>
      <c r="AN120" s="3470"/>
      <c r="AO120" s="3718"/>
      <c r="AP120" s="3719"/>
      <c r="AQ120" s="3719"/>
      <c r="AR120" s="3719"/>
      <c r="AS120" s="3719"/>
      <c r="AT120" s="3719"/>
      <c r="AU120" s="3719"/>
      <c r="AV120" s="3719"/>
      <c r="AW120" s="3719"/>
      <c r="AX120" s="3719"/>
      <c r="AY120" s="3719"/>
      <c r="AZ120" s="3719"/>
      <c r="BA120" s="3719"/>
      <c r="BB120" s="3719"/>
      <c r="BC120" s="3719"/>
      <c r="BD120" s="3719"/>
      <c r="BE120" s="3719"/>
      <c r="BF120" s="3719"/>
      <c r="BG120" s="3719"/>
      <c r="BH120" s="3719"/>
      <c r="BI120" s="3719"/>
      <c r="BJ120" s="3719"/>
      <c r="BK120" s="3719"/>
      <c r="BL120" s="3719"/>
      <c r="BM120" s="3719"/>
      <c r="BN120" s="3518"/>
      <c r="BO120" s="3520"/>
      <c r="BP120" s="3466"/>
      <c r="BQ120" s="3466"/>
      <c r="BR120" s="3466"/>
      <c r="BS120" s="3466"/>
      <c r="BT120" s="3466"/>
      <c r="BU120" s="3466"/>
      <c r="BV120" s="3466"/>
      <c r="BW120" s="3466"/>
      <c r="BX120" s="3466"/>
      <c r="BY120" s="3466"/>
      <c r="BZ120" s="3466"/>
      <c r="CA120" s="3477"/>
      <c r="CB120" s="3520"/>
      <c r="CC120" s="3466"/>
      <c r="CD120" s="3466"/>
      <c r="CE120" s="3466"/>
      <c r="CF120" s="3466"/>
      <c r="CG120" s="3466"/>
      <c r="CH120" s="3466"/>
      <c r="CI120" s="3466"/>
      <c r="CJ120" s="3466"/>
      <c r="CK120" s="3466"/>
      <c r="CL120" s="3466"/>
      <c r="CM120" s="3466"/>
    </row>
    <row r="121" spans="1:91">
      <c r="A121" s="3282" t="s">
        <v>1750</v>
      </c>
      <c r="B121" s="2551" t="str">
        <f t="shared" si="1"/>
        <v>3039800014</v>
      </c>
      <c r="C121" s="2010" t="s">
        <v>703</v>
      </c>
      <c r="D121" s="2462">
        <v>3980</v>
      </c>
      <c r="E121" s="2462">
        <v>14</v>
      </c>
      <c r="F121" s="2461">
        <v>2575</v>
      </c>
      <c r="G121" s="2445" t="s">
        <v>947</v>
      </c>
      <c r="H121" s="2462" t="s">
        <v>1560</v>
      </c>
      <c r="I121" s="2463">
        <v>1</v>
      </c>
      <c r="J121" s="2448">
        <v>0</v>
      </c>
      <c r="K121" s="2448">
        <v>0</v>
      </c>
      <c r="L121" s="2448">
        <v>0</v>
      </c>
      <c r="M121" s="2448">
        <v>2350</v>
      </c>
      <c r="N121" s="2438">
        <v>0</v>
      </c>
      <c r="O121" s="2437" t="s">
        <v>1654</v>
      </c>
      <c r="P121" s="3272">
        <v>625</v>
      </c>
      <c r="Q121" s="3272">
        <v>2500</v>
      </c>
      <c r="R121" s="3272">
        <v>0</v>
      </c>
      <c r="S121" s="3272">
        <v>0</v>
      </c>
      <c r="T121" s="3272">
        <v>0</v>
      </c>
      <c r="U121" s="3272">
        <v>0</v>
      </c>
      <c r="V121" s="3272">
        <v>280</v>
      </c>
      <c r="W121" s="3272">
        <v>4125</v>
      </c>
      <c r="X121" s="3272">
        <v>0</v>
      </c>
      <c r="Y121" s="3272">
        <v>0</v>
      </c>
      <c r="Z121" s="3272">
        <v>4750</v>
      </c>
      <c r="AA121" s="3272">
        <v>0</v>
      </c>
      <c r="AB121" s="3507">
        <v>12280</v>
      </c>
      <c r="AC121" s="3265">
        <v>0</v>
      </c>
      <c r="AD121" s="3265">
        <v>0</v>
      </c>
      <c r="AE121" s="3265">
        <v>15</v>
      </c>
      <c r="AF121" s="3265">
        <v>0</v>
      </c>
      <c r="AG121" s="3265">
        <v>0</v>
      </c>
      <c r="AH121" s="3265">
        <v>0</v>
      </c>
      <c r="AI121" s="3265">
        <v>0</v>
      </c>
      <c r="AJ121" s="3265">
        <v>0</v>
      </c>
      <c r="AK121" s="3265">
        <v>15</v>
      </c>
      <c r="AL121" s="3513">
        <v>25</v>
      </c>
      <c r="AM121" s="3515" t="s">
        <v>1615</v>
      </c>
      <c r="AN121" s="3512" t="s">
        <v>1560</v>
      </c>
      <c r="AO121" s="3407" t="s">
        <v>1599</v>
      </c>
      <c r="AP121" s="3511">
        <v>36216</v>
      </c>
      <c r="AQ121" s="3511">
        <v>9054</v>
      </c>
      <c r="AR121" s="3511">
        <v>0</v>
      </c>
      <c r="AS121" s="3511">
        <v>0</v>
      </c>
      <c r="AT121" s="3511">
        <v>0</v>
      </c>
      <c r="AU121" s="3511">
        <v>0</v>
      </c>
      <c r="AV121" s="3511">
        <v>0</v>
      </c>
      <c r="AW121" s="3511">
        <v>0</v>
      </c>
      <c r="AX121" s="3511">
        <v>0</v>
      </c>
      <c r="AY121" s="3511">
        <v>0</v>
      </c>
      <c r="AZ121" s="3511">
        <v>0</v>
      </c>
      <c r="BA121" s="3511">
        <v>0</v>
      </c>
      <c r="BB121" s="3511">
        <v>45270</v>
      </c>
      <c r="BC121" s="3511">
        <v>36</v>
      </c>
      <c r="BD121" s="3511">
        <v>18.108000000000001</v>
      </c>
      <c r="BE121" s="3511">
        <v>0</v>
      </c>
      <c r="BF121" s="3511">
        <v>0</v>
      </c>
      <c r="BG121" s="3511">
        <v>0</v>
      </c>
      <c r="BH121" s="3511">
        <v>0</v>
      </c>
      <c r="BI121" s="3511">
        <v>0</v>
      </c>
      <c r="BJ121" s="3511">
        <v>0</v>
      </c>
      <c r="BK121" s="3511">
        <v>0</v>
      </c>
      <c r="BL121" s="3511">
        <v>0</v>
      </c>
      <c r="BM121" s="3511">
        <v>0</v>
      </c>
      <c r="BN121" s="3517">
        <v>85</v>
      </c>
      <c r="BO121" s="3519">
        <v>35591</v>
      </c>
      <c r="BP121" s="3464">
        <v>6554</v>
      </c>
      <c r="BQ121" s="3464">
        <v>0</v>
      </c>
      <c r="BR121" s="3464">
        <v>0</v>
      </c>
      <c r="BS121" s="3464">
        <v>0</v>
      </c>
      <c r="BT121" s="3464">
        <v>0</v>
      </c>
      <c r="BU121" s="3464">
        <v>0</v>
      </c>
      <c r="BV121" s="3464">
        <v>-280</v>
      </c>
      <c r="BW121" s="3464">
        <v>-4125</v>
      </c>
      <c r="BX121" s="3464">
        <v>0</v>
      </c>
      <c r="BY121" s="3464">
        <v>0</v>
      </c>
      <c r="BZ121" s="3464">
        <v>-4750</v>
      </c>
      <c r="CA121" s="3524">
        <v>0</v>
      </c>
      <c r="CB121" s="3519">
        <v>32990</v>
      </c>
      <c r="CC121" s="3464">
        <v>2149</v>
      </c>
      <c r="CD121" s="3464">
        <v>36</v>
      </c>
      <c r="CE121" s="3464">
        <v>18.108000000000001</v>
      </c>
      <c r="CF121" s="3464">
        <v>0</v>
      </c>
      <c r="CG121" s="3464">
        <v>0</v>
      </c>
      <c r="CH121" s="3464">
        <v>-15</v>
      </c>
      <c r="CI121" s="3464">
        <v>0</v>
      </c>
      <c r="CJ121" s="3464">
        <v>0</v>
      </c>
      <c r="CK121" s="3464">
        <v>0</v>
      </c>
      <c r="CL121" s="3464">
        <v>0</v>
      </c>
      <c r="CM121" s="3464">
        <v>0</v>
      </c>
    </row>
    <row r="122" spans="1:91">
      <c r="A122" s="3271"/>
      <c r="B122" s="2551" t="str">
        <f t="shared" si="1"/>
        <v>3039800015</v>
      </c>
      <c r="C122" s="2492" t="s">
        <v>710</v>
      </c>
      <c r="D122" s="2026">
        <v>3980</v>
      </c>
      <c r="E122" s="2026">
        <v>15</v>
      </c>
      <c r="F122" s="2027">
        <v>5000</v>
      </c>
      <c r="G122" s="2497" t="s">
        <v>947</v>
      </c>
      <c r="H122" s="2026" t="s">
        <v>1560</v>
      </c>
      <c r="I122" s="2028">
        <v>1</v>
      </c>
      <c r="J122" s="2500">
        <v>0</v>
      </c>
      <c r="K122" s="2500">
        <v>4125</v>
      </c>
      <c r="L122" s="2500">
        <v>280</v>
      </c>
      <c r="M122" s="2500">
        <v>4405</v>
      </c>
      <c r="N122" s="2029">
        <v>0</v>
      </c>
      <c r="O122" s="2502" t="s">
        <v>1656</v>
      </c>
      <c r="P122" s="3273"/>
      <c r="Q122" s="3273"/>
      <c r="R122" s="3273"/>
      <c r="S122" s="3273"/>
      <c r="T122" s="3273"/>
      <c r="U122" s="3273"/>
      <c r="V122" s="3273"/>
      <c r="W122" s="3273"/>
      <c r="X122" s="3273"/>
      <c r="Y122" s="3273"/>
      <c r="Z122" s="3273"/>
      <c r="AA122" s="3273"/>
      <c r="AB122" s="3508"/>
      <c r="AC122" s="3274"/>
      <c r="AD122" s="3274"/>
      <c r="AE122" s="3274"/>
      <c r="AF122" s="3274"/>
      <c r="AG122" s="3274"/>
      <c r="AH122" s="3274"/>
      <c r="AI122" s="3274"/>
      <c r="AJ122" s="3274"/>
      <c r="AK122" s="3274"/>
      <c r="AL122" s="3529"/>
      <c r="AM122" s="3525"/>
      <c r="AN122" s="3469"/>
      <c r="AO122" s="3526"/>
      <c r="AP122" s="3527"/>
      <c r="AQ122" s="3527"/>
      <c r="AR122" s="3527"/>
      <c r="AS122" s="3527"/>
      <c r="AT122" s="3527"/>
      <c r="AU122" s="3527"/>
      <c r="AV122" s="3527"/>
      <c r="AW122" s="3527"/>
      <c r="AX122" s="3527"/>
      <c r="AY122" s="3527"/>
      <c r="AZ122" s="3527"/>
      <c r="BA122" s="3527"/>
      <c r="BB122" s="3527"/>
      <c r="BC122" s="3527"/>
      <c r="BD122" s="3527"/>
      <c r="BE122" s="3527"/>
      <c r="BF122" s="3527"/>
      <c r="BG122" s="3527"/>
      <c r="BH122" s="3527"/>
      <c r="BI122" s="3527"/>
      <c r="BJ122" s="3527"/>
      <c r="BK122" s="3527"/>
      <c r="BL122" s="3527"/>
      <c r="BM122" s="3527"/>
      <c r="BN122" s="3535"/>
      <c r="BO122" s="3534"/>
      <c r="BP122" s="3465"/>
      <c r="BQ122" s="3465"/>
      <c r="BR122" s="3465"/>
      <c r="BS122" s="3465"/>
      <c r="BT122" s="3465"/>
      <c r="BU122" s="3465"/>
      <c r="BV122" s="3465"/>
      <c r="BW122" s="3465"/>
      <c r="BX122" s="3465"/>
      <c r="BY122" s="3465"/>
      <c r="BZ122" s="3465"/>
      <c r="CA122" s="3533"/>
      <c r="CB122" s="3534"/>
      <c r="CC122" s="3465"/>
      <c r="CD122" s="3465"/>
      <c r="CE122" s="3465"/>
      <c r="CF122" s="3465"/>
      <c r="CG122" s="3465"/>
      <c r="CH122" s="3465"/>
      <c r="CI122" s="3465"/>
      <c r="CJ122" s="3465"/>
      <c r="CK122" s="3465"/>
      <c r="CL122" s="3465"/>
      <c r="CM122" s="3465"/>
    </row>
    <row r="123" spans="1:91">
      <c r="A123" s="3271"/>
      <c r="B123" s="2551" t="str">
        <f t="shared" si="1"/>
        <v>3039800017</v>
      </c>
      <c r="C123" s="2123" t="s">
        <v>721</v>
      </c>
      <c r="D123" s="2026">
        <v>3980</v>
      </c>
      <c r="E123" s="2026">
        <v>17</v>
      </c>
      <c r="F123" s="2027">
        <v>2500</v>
      </c>
      <c r="G123" s="2497" t="s">
        <v>947</v>
      </c>
      <c r="H123" s="2026" t="s">
        <v>1560</v>
      </c>
      <c r="I123" s="2028">
        <v>1</v>
      </c>
      <c r="J123" s="2500">
        <v>0</v>
      </c>
      <c r="K123" s="2500">
        <v>0</v>
      </c>
      <c r="L123" s="2500">
        <v>0</v>
      </c>
      <c r="M123" s="2500">
        <v>2400</v>
      </c>
      <c r="N123" s="2029">
        <v>0</v>
      </c>
      <c r="O123" s="2502" t="s">
        <v>1654</v>
      </c>
      <c r="P123" s="3273"/>
      <c r="Q123" s="3273"/>
      <c r="R123" s="3273"/>
      <c r="S123" s="3273"/>
      <c r="T123" s="3273"/>
      <c r="U123" s="3273"/>
      <c r="V123" s="3273"/>
      <c r="W123" s="3273"/>
      <c r="X123" s="3273"/>
      <c r="Y123" s="3273"/>
      <c r="Z123" s="3273"/>
      <c r="AA123" s="3273"/>
      <c r="AB123" s="3508"/>
      <c r="AC123" s="3274"/>
      <c r="AD123" s="3274"/>
      <c r="AE123" s="3274"/>
      <c r="AF123" s="3274"/>
      <c r="AG123" s="3274"/>
      <c r="AH123" s="3274"/>
      <c r="AI123" s="3274"/>
      <c r="AJ123" s="3274"/>
      <c r="AK123" s="3274"/>
      <c r="AL123" s="3529"/>
      <c r="AM123" s="3525"/>
      <c r="AN123" s="3469"/>
      <c r="AO123" s="3526"/>
      <c r="AP123" s="3527"/>
      <c r="AQ123" s="3527"/>
      <c r="AR123" s="3527"/>
      <c r="AS123" s="3527"/>
      <c r="AT123" s="3527"/>
      <c r="AU123" s="3527"/>
      <c r="AV123" s="3527"/>
      <c r="AW123" s="3527"/>
      <c r="AX123" s="3527"/>
      <c r="AY123" s="3527"/>
      <c r="AZ123" s="3527"/>
      <c r="BA123" s="3527"/>
      <c r="BB123" s="3527"/>
      <c r="BC123" s="3527"/>
      <c r="BD123" s="3527"/>
      <c r="BE123" s="3527"/>
      <c r="BF123" s="3527"/>
      <c r="BG123" s="3527"/>
      <c r="BH123" s="3527"/>
      <c r="BI123" s="3527"/>
      <c r="BJ123" s="3527"/>
      <c r="BK123" s="3527"/>
      <c r="BL123" s="3527"/>
      <c r="BM123" s="3527"/>
      <c r="BN123" s="3535"/>
      <c r="BO123" s="3534"/>
      <c r="BP123" s="3465"/>
      <c r="BQ123" s="3465"/>
      <c r="BR123" s="3465"/>
      <c r="BS123" s="3465"/>
      <c r="BT123" s="3465"/>
      <c r="BU123" s="3465"/>
      <c r="BV123" s="3465"/>
      <c r="BW123" s="3465"/>
      <c r="BX123" s="3465"/>
      <c r="BY123" s="3465"/>
      <c r="BZ123" s="3465"/>
      <c r="CA123" s="3533"/>
      <c r="CB123" s="3534"/>
      <c r="CC123" s="3465"/>
      <c r="CD123" s="3465"/>
      <c r="CE123" s="3465"/>
      <c r="CF123" s="3465"/>
      <c r="CG123" s="3465"/>
      <c r="CH123" s="3465"/>
      <c r="CI123" s="3465"/>
      <c r="CJ123" s="3465"/>
      <c r="CK123" s="3465"/>
      <c r="CL123" s="3465"/>
      <c r="CM123" s="3465"/>
    </row>
    <row r="124" spans="1:91" ht="15.75" thickBot="1">
      <c r="A124" s="3380"/>
      <c r="B124" s="2551" t="str">
        <f t="shared" si="1"/>
        <v>3039800019</v>
      </c>
      <c r="C124" s="2468" t="s">
        <v>724</v>
      </c>
      <c r="D124" s="2023">
        <v>3980</v>
      </c>
      <c r="E124" s="2023">
        <v>19</v>
      </c>
      <c r="F124" s="2506">
        <v>2500</v>
      </c>
      <c r="G124" s="2507" t="s">
        <v>947</v>
      </c>
      <c r="H124" s="2023" t="s">
        <v>1560</v>
      </c>
      <c r="I124" s="2024">
        <v>1</v>
      </c>
      <c r="J124" s="2505">
        <v>2500</v>
      </c>
      <c r="K124" s="2505">
        <v>0</v>
      </c>
      <c r="L124" s="2505">
        <v>0</v>
      </c>
      <c r="M124" s="2505">
        <v>3125</v>
      </c>
      <c r="N124" s="2025">
        <v>1</v>
      </c>
      <c r="O124" s="2452" t="s">
        <v>1578</v>
      </c>
      <c r="P124" s="3359"/>
      <c r="Q124" s="3359"/>
      <c r="R124" s="3359"/>
      <c r="S124" s="3359"/>
      <c r="T124" s="3359"/>
      <c r="U124" s="3359"/>
      <c r="V124" s="3359"/>
      <c r="W124" s="3359"/>
      <c r="X124" s="3359"/>
      <c r="Y124" s="3359"/>
      <c r="Z124" s="3359"/>
      <c r="AA124" s="3359"/>
      <c r="AB124" s="3536"/>
      <c r="AC124" s="3361"/>
      <c r="AD124" s="3361"/>
      <c r="AE124" s="3361"/>
      <c r="AF124" s="3361"/>
      <c r="AG124" s="3361"/>
      <c r="AH124" s="3361"/>
      <c r="AI124" s="3361"/>
      <c r="AJ124" s="3361"/>
      <c r="AK124" s="3361"/>
      <c r="AL124" s="3514"/>
      <c r="AM124" s="3516"/>
      <c r="AN124" s="3470"/>
      <c r="AO124" s="3718"/>
      <c r="AP124" s="3719"/>
      <c r="AQ124" s="3719"/>
      <c r="AR124" s="3719"/>
      <c r="AS124" s="3719"/>
      <c r="AT124" s="3719"/>
      <c r="AU124" s="3719"/>
      <c r="AV124" s="3719"/>
      <c r="AW124" s="3719"/>
      <c r="AX124" s="3719"/>
      <c r="AY124" s="3719"/>
      <c r="AZ124" s="3719"/>
      <c r="BA124" s="3719"/>
      <c r="BB124" s="3719"/>
      <c r="BC124" s="3719"/>
      <c r="BD124" s="3719"/>
      <c r="BE124" s="3719"/>
      <c r="BF124" s="3719"/>
      <c r="BG124" s="3719"/>
      <c r="BH124" s="3719"/>
      <c r="BI124" s="3719"/>
      <c r="BJ124" s="3719"/>
      <c r="BK124" s="3719"/>
      <c r="BL124" s="3719"/>
      <c r="BM124" s="3719"/>
      <c r="BN124" s="3518"/>
      <c r="BO124" s="3520"/>
      <c r="BP124" s="3466"/>
      <c r="BQ124" s="3466"/>
      <c r="BR124" s="3466"/>
      <c r="BS124" s="3466"/>
      <c r="BT124" s="3466"/>
      <c r="BU124" s="3466"/>
      <c r="BV124" s="3466"/>
      <c r="BW124" s="3466"/>
      <c r="BX124" s="3466"/>
      <c r="BY124" s="3466"/>
      <c r="BZ124" s="3466"/>
      <c r="CA124" s="3477"/>
      <c r="CB124" s="3520"/>
      <c r="CC124" s="3466"/>
      <c r="CD124" s="3466"/>
      <c r="CE124" s="3466"/>
      <c r="CF124" s="3466"/>
      <c r="CG124" s="3466"/>
      <c r="CH124" s="3466"/>
      <c r="CI124" s="3466"/>
      <c r="CJ124" s="3466"/>
      <c r="CK124" s="3466"/>
      <c r="CL124" s="3466"/>
      <c r="CM124" s="3466"/>
    </row>
    <row r="125" spans="1:91">
      <c r="A125" s="3282" t="s">
        <v>1751</v>
      </c>
      <c r="B125" s="2551" t="str">
        <f t="shared" si="1"/>
        <v>3039820017</v>
      </c>
      <c r="C125" s="2010" t="s">
        <v>703</v>
      </c>
      <c r="D125" s="2011">
        <v>3982</v>
      </c>
      <c r="E125" s="2011">
        <v>17</v>
      </c>
      <c r="F125" s="2494">
        <v>2500</v>
      </c>
      <c r="G125" s="2496" t="s">
        <v>1079</v>
      </c>
      <c r="H125" s="2011" t="s">
        <v>1560</v>
      </c>
      <c r="I125" s="2012">
        <v>1.25</v>
      </c>
      <c r="J125" s="2491">
        <v>0</v>
      </c>
      <c r="K125" s="2491">
        <v>0</v>
      </c>
      <c r="L125" s="2491">
        <v>0</v>
      </c>
      <c r="M125" s="2491">
        <v>1540</v>
      </c>
      <c r="N125" s="2489">
        <v>2</v>
      </c>
      <c r="O125" s="2490" t="s">
        <v>1578</v>
      </c>
      <c r="P125" s="3272">
        <v>4490</v>
      </c>
      <c r="Q125" s="3272">
        <v>1300</v>
      </c>
      <c r="R125" s="3272">
        <v>0</v>
      </c>
      <c r="S125" s="3272">
        <v>0</v>
      </c>
      <c r="T125" s="3272">
        <v>0</v>
      </c>
      <c r="U125" s="3272">
        <v>0</v>
      </c>
      <c r="V125" s="3272">
        <v>0</v>
      </c>
      <c r="W125" s="3272">
        <v>0</v>
      </c>
      <c r="X125" s="3272">
        <v>575</v>
      </c>
      <c r="Y125" s="3272">
        <v>0</v>
      </c>
      <c r="Z125" s="3272">
        <v>0</v>
      </c>
      <c r="AA125" s="3272">
        <v>0</v>
      </c>
      <c r="AB125" s="3507">
        <v>6365</v>
      </c>
      <c r="AC125" s="3265">
        <v>3</v>
      </c>
      <c r="AD125" s="3265">
        <v>0</v>
      </c>
      <c r="AE125" s="3265">
        <v>0</v>
      </c>
      <c r="AF125" s="3265">
        <v>0</v>
      </c>
      <c r="AG125" s="3265">
        <v>0</v>
      </c>
      <c r="AH125" s="3265">
        <v>2</v>
      </c>
      <c r="AI125" s="3265">
        <v>0</v>
      </c>
      <c r="AJ125" s="3265">
        <v>0</v>
      </c>
      <c r="AK125" s="3265">
        <v>2</v>
      </c>
      <c r="AL125" s="3513">
        <v>35</v>
      </c>
      <c r="AM125" s="3515" t="s">
        <v>1585</v>
      </c>
      <c r="AN125" s="3512" t="s">
        <v>706</v>
      </c>
      <c r="AO125" s="3407" t="s">
        <v>1599</v>
      </c>
      <c r="AP125" s="3511">
        <v>20700</v>
      </c>
      <c r="AQ125" s="3511">
        <v>6300</v>
      </c>
      <c r="AR125" s="3511">
        <v>0</v>
      </c>
      <c r="AS125" s="3511">
        <v>0</v>
      </c>
      <c r="AT125" s="3511">
        <v>0</v>
      </c>
      <c r="AU125" s="3511">
        <v>0</v>
      </c>
      <c r="AV125" s="3511">
        <v>0</v>
      </c>
      <c r="AW125" s="3511">
        <v>0</v>
      </c>
      <c r="AX125" s="3511">
        <v>0</v>
      </c>
      <c r="AY125" s="3511">
        <v>0</v>
      </c>
      <c r="AZ125" s="3511">
        <v>0</v>
      </c>
      <c r="BA125" s="3511">
        <v>0</v>
      </c>
      <c r="BB125" s="3511">
        <v>27000</v>
      </c>
      <c r="BC125" s="3511">
        <v>20</v>
      </c>
      <c r="BD125" s="3511">
        <v>10.35</v>
      </c>
      <c r="BE125" s="3511">
        <v>5</v>
      </c>
      <c r="BF125" s="3511">
        <v>0</v>
      </c>
      <c r="BG125" s="3511">
        <v>6</v>
      </c>
      <c r="BH125" s="3511">
        <v>0</v>
      </c>
      <c r="BI125" s="3511">
        <v>0</v>
      </c>
      <c r="BJ125" s="3511">
        <v>0</v>
      </c>
      <c r="BK125" s="3511">
        <v>0</v>
      </c>
      <c r="BL125" s="3511">
        <v>0</v>
      </c>
      <c r="BM125" s="3511">
        <v>11</v>
      </c>
      <c r="BN125" s="3517">
        <v>85</v>
      </c>
      <c r="BO125" s="3519">
        <v>16210</v>
      </c>
      <c r="BP125" s="3464">
        <v>5000</v>
      </c>
      <c r="BQ125" s="3464">
        <v>0</v>
      </c>
      <c r="BR125" s="3464">
        <v>0</v>
      </c>
      <c r="BS125" s="3464">
        <v>0</v>
      </c>
      <c r="BT125" s="3464">
        <v>0</v>
      </c>
      <c r="BU125" s="3464">
        <v>0</v>
      </c>
      <c r="BV125" s="3464">
        <v>0</v>
      </c>
      <c r="BW125" s="3464">
        <v>0</v>
      </c>
      <c r="BX125" s="3464">
        <v>-575</v>
      </c>
      <c r="BY125" s="3464">
        <v>0</v>
      </c>
      <c r="BZ125" s="3464">
        <v>0</v>
      </c>
      <c r="CA125" s="3524">
        <v>0</v>
      </c>
      <c r="CB125" s="3519">
        <v>20635</v>
      </c>
      <c r="CC125" s="3464">
        <v>4425</v>
      </c>
      <c r="CD125" s="3464">
        <v>17</v>
      </c>
      <c r="CE125" s="3464">
        <v>10.35</v>
      </c>
      <c r="CF125" s="3464">
        <v>5</v>
      </c>
      <c r="CG125" s="3464">
        <v>0</v>
      </c>
      <c r="CH125" s="3464">
        <v>6</v>
      </c>
      <c r="CI125" s="3464">
        <v>0</v>
      </c>
      <c r="CJ125" s="3464">
        <v>0</v>
      </c>
      <c r="CK125" s="3464">
        <v>-2</v>
      </c>
      <c r="CL125" s="3464">
        <v>0</v>
      </c>
      <c r="CM125" s="3464">
        <v>0</v>
      </c>
    </row>
    <row r="126" spans="1:91" ht="15.75" thickBot="1">
      <c r="A126" s="3283"/>
      <c r="B126" s="2551" t="str">
        <f t="shared" si="1"/>
        <v>3039820018</v>
      </c>
      <c r="C126" s="2493" t="s">
        <v>710</v>
      </c>
      <c r="D126" s="2018">
        <v>3982</v>
      </c>
      <c r="E126" s="2018">
        <v>18</v>
      </c>
      <c r="F126" s="2019">
        <v>5000</v>
      </c>
      <c r="G126" s="2498" t="s">
        <v>1079</v>
      </c>
      <c r="H126" s="2018" t="s">
        <v>1560</v>
      </c>
      <c r="I126" s="2020">
        <v>1.25</v>
      </c>
      <c r="J126" s="2501">
        <v>1300</v>
      </c>
      <c r="K126" s="2501">
        <v>575</v>
      </c>
      <c r="L126" s="2501">
        <v>0</v>
      </c>
      <c r="M126" s="2501">
        <v>4825</v>
      </c>
      <c r="N126" s="2508">
        <v>3</v>
      </c>
      <c r="O126" s="2453" t="s">
        <v>1670</v>
      </c>
      <c r="P126" s="3359"/>
      <c r="Q126" s="3359"/>
      <c r="R126" s="3359"/>
      <c r="S126" s="3359"/>
      <c r="T126" s="3359"/>
      <c r="U126" s="3359"/>
      <c r="V126" s="3359"/>
      <c r="W126" s="3359"/>
      <c r="X126" s="3359"/>
      <c r="Y126" s="3359"/>
      <c r="Z126" s="3359"/>
      <c r="AA126" s="3359"/>
      <c r="AB126" s="3536"/>
      <c r="AC126" s="3361"/>
      <c r="AD126" s="3361"/>
      <c r="AE126" s="3361"/>
      <c r="AF126" s="3361"/>
      <c r="AG126" s="3361"/>
      <c r="AH126" s="3361"/>
      <c r="AI126" s="3361"/>
      <c r="AJ126" s="3361"/>
      <c r="AK126" s="3361"/>
      <c r="AL126" s="3514"/>
      <c r="AM126" s="3516"/>
      <c r="AN126" s="3470"/>
      <c r="AO126" s="3718"/>
      <c r="AP126" s="3719"/>
      <c r="AQ126" s="3719"/>
      <c r="AR126" s="3719"/>
      <c r="AS126" s="3719"/>
      <c r="AT126" s="3719"/>
      <c r="AU126" s="3719"/>
      <c r="AV126" s="3719"/>
      <c r="AW126" s="3719"/>
      <c r="AX126" s="3719"/>
      <c r="AY126" s="3719"/>
      <c r="AZ126" s="3719"/>
      <c r="BA126" s="3719"/>
      <c r="BB126" s="3719"/>
      <c r="BC126" s="3719"/>
      <c r="BD126" s="3719"/>
      <c r="BE126" s="3719"/>
      <c r="BF126" s="3719"/>
      <c r="BG126" s="3719"/>
      <c r="BH126" s="3719"/>
      <c r="BI126" s="3719"/>
      <c r="BJ126" s="3719"/>
      <c r="BK126" s="3719"/>
      <c r="BL126" s="3719"/>
      <c r="BM126" s="3719"/>
      <c r="BN126" s="3518"/>
      <c r="BO126" s="3520"/>
      <c r="BP126" s="3466"/>
      <c r="BQ126" s="3466"/>
      <c r="BR126" s="3466"/>
      <c r="BS126" s="3466"/>
      <c r="BT126" s="3466"/>
      <c r="BU126" s="3466"/>
      <c r="BV126" s="3466"/>
      <c r="BW126" s="3466"/>
      <c r="BX126" s="3466"/>
      <c r="BY126" s="3466"/>
      <c r="BZ126" s="3466"/>
      <c r="CA126" s="3477"/>
      <c r="CB126" s="3520"/>
      <c r="CC126" s="3466"/>
      <c r="CD126" s="3466"/>
      <c r="CE126" s="3466"/>
      <c r="CF126" s="3466"/>
      <c r="CG126" s="3466"/>
      <c r="CH126" s="3466"/>
      <c r="CI126" s="3466"/>
      <c r="CJ126" s="3466"/>
      <c r="CK126" s="3466"/>
      <c r="CL126" s="3466"/>
      <c r="CM126" s="3466"/>
    </row>
    <row r="127" spans="1:91">
      <c r="A127" s="3270" t="s">
        <v>1752</v>
      </c>
      <c r="B127" s="2551" t="str">
        <f t="shared" si="1"/>
        <v>3039890020</v>
      </c>
      <c r="C127" s="2488" t="s">
        <v>703</v>
      </c>
      <c r="D127" s="2114">
        <v>3989</v>
      </c>
      <c r="E127" s="2114">
        <v>20</v>
      </c>
      <c r="F127" s="2481">
        <v>10500</v>
      </c>
      <c r="G127" s="2446" t="s">
        <v>947</v>
      </c>
      <c r="H127" s="2114" t="s">
        <v>1560</v>
      </c>
      <c r="I127" s="2464">
        <v>1</v>
      </c>
      <c r="J127" s="2483">
        <v>0</v>
      </c>
      <c r="K127" s="2483">
        <v>0</v>
      </c>
      <c r="L127" s="2483">
        <v>0</v>
      </c>
      <c r="M127" s="2483">
        <v>10500</v>
      </c>
      <c r="N127" s="2442">
        <v>0</v>
      </c>
      <c r="O127" s="2452" t="s">
        <v>1654</v>
      </c>
      <c r="P127" s="3272">
        <v>0</v>
      </c>
      <c r="Q127" s="3272">
        <v>0</v>
      </c>
      <c r="R127" s="3272">
        <v>0</v>
      </c>
      <c r="S127" s="3272">
        <v>0</v>
      </c>
      <c r="T127" s="3272">
        <v>0</v>
      </c>
      <c r="U127" s="3272">
        <v>0</v>
      </c>
      <c r="V127" s="3272">
        <v>0</v>
      </c>
      <c r="W127" s="3272">
        <v>0</v>
      </c>
      <c r="X127" s="3272">
        <v>0</v>
      </c>
      <c r="Y127" s="3272">
        <v>0</v>
      </c>
      <c r="Z127" s="3272">
        <v>10500</v>
      </c>
      <c r="AA127" s="3272">
        <v>0</v>
      </c>
      <c r="AB127" s="3507">
        <v>10500</v>
      </c>
      <c r="AC127" s="3265">
        <v>0</v>
      </c>
      <c r="AD127" s="3265">
        <v>0</v>
      </c>
      <c r="AE127" s="3265">
        <v>0</v>
      </c>
      <c r="AF127" s="3265">
        <v>0</v>
      </c>
      <c r="AG127" s="3265">
        <v>0</v>
      </c>
      <c r="AH127" s="3265">
        <v>0</v>
      </c>
      <c r="AI127" s="3265">
        <v>0</v>
      </c>
      <c r="AJ127" s="3265">
        <v>0</v>
      </c>
      <c r="AK127" s="3265">
        <v>0</v>
      </c>
      <c r="AL127" s="3513">
        <v>15</v>
      </c>
      <c r="AM127" s="3515" t="s">
        <v>1585</v>
      </c>
      <c r="AN127" s="3512" t="s">
        <v>1560</v>
      </c>
      <c r="AO127" s="3407" t="s">
        <v>1616</v>
      </c>
      <c r="AP127" s="3511">
        <v>63000</v>
      </c>
      <c r="AQ127" s="3511">
        <v>0</v>
      </c>
      <c r="AR127" s="3511">
        <v>0</v>
      </c>
      <c r="AS127" s="3511">
        <v>0</v>
      </c>
      <c r="AT127" s="3511">
        <v>0</v>
      </c>
      <c r="AU127" s="3511">
        <v>0</v>
      </c>
      <c r="AV127" s="3511">
        <v>0</v>
      </c>
      <c r="AW127" s="3511">
        <v>0</v>
      </c>
      <c r="AX127" s="3511">
        <v>0</v>
      </c>
      <c r="AY127" s="3511">
        <v>0</v>
      </c>
      <c r="AZ127" s="3511">
        <v>0</v>
      </c>
      <c r="BA127" s="3511">
        <v>0</v>
      </c>
      <c r="BB127" s="3511">
        <v>63000</v>
      </c>
      <c r="BC127" s="3511">
        <v>63</v>
      </c>
      <c r="BD127" s="3511">
        <v>31.5</v>
      </c>
      <c r="BE127" s="3511">
        <v>16</v>
      </c>
      <c r="BF127" s="3511">
        <v>0</v>
      </c>
      <c r="BG127" s="3511">
        <v>0</v>
      </c>
      <c r="BH127" s="3511">
        <v>0</v>
      </c>
      <c r="BI127" s="3511">
        <v>0</v>
      </c>
      <c r="BJ127" s="3511">
        <v>0</v>
      </c>
      <c r="BK127" s="3511">
        <v>0</v>
      </c>
      <c r="BL127" s="3511">
        <v>0</v>
      </c>
      <c r="BM127" s="3511">
        <v>16</v>
      </c>
      <c r="BN127" s="3517">
        <v>85</v>
      </c>
      <c r="BO127" s="3519">
        <v>63000</v>
      </c>
      <c r="BP127" s="3464">
        <v>0</v>
      </c>
      <c r="BQ127" s="3464">
        <v>0</v>
      </c>
      <c r="BR127" s="3464">
        <v>0</v>
      </c>
      <c r="BS127" s="3464">
        <v>0</v>
      </c>
      <c r="BT127" s="3464">
        <v>0</v>
      </c>
      <c r="BU127" s="3464">
        <v>0</v>
      </c>
      <c r="BV127" s="3464">
        <v>0</v>
      </c>
      <c r="BW127" s="3464">
        <v>0</v>
      </c>
      <c r="BX127" s="3464">
        <v>0</v>
      </c>
      <c r="BY127" s="3464">
        <v>0</v>
      </c>
      <c r="BZ127" s="3464">
        <v>-10500</v>
      </c>
      <c r="CA127" s="3524">
        <v>0</v>
      </c>
      <c r="CB127" s="3519">
        <v>52500</v>
      </c>
      <c r="CC127" s="3464">
        <v>0</v>
      </c>
      <c r="CD127" s="3464">
        <v>63</v>
      </c>
      <c r="CE127" s="3464">
        <v>31.5</v>
      </c>
      <c r="CF127" s="3464">
        <v>16</v>
      </c>
      <c r="CG127" s="3464">
        <v>0</v>
      </c>
      <c r="CH127" s="3464">
        <v>0</v>
      </c>
      <c r="CI127" s="3464">
        <v>0</v>
      </c>
      <c r="CJ127" s="3464">
        <v>0</v>
      </c>
      <c r="CK127" s="3464">
        <v>0</v>
      </c>
      <c r="CL127" s="3464">
        <v>0</v>
      </c>
      <c r="CM127" s="3464">
        <v>0</v>
      </c>
    </row>
    <row r="128" spans="1:91">
      <c r="A128" s="3387"/>
      <c r="B128" s="2551" t="str">
        <f t="shared" si="1"/>
        <v>3039890024</v>
      </c>
      <c r="C128" s="2492" t="s">
        <v>710</v>
      </c>
      <c r="D128" s="2026">
        <v>3989</v>
      </c>
      <c r="E128" s="2026">
        <v>24</v>
      </c>
      <c r="F128" s="2027">
        <v>2000</v>
      </c>
      <c r="G128" s="2497" t="s">
        <v>947</v>
      </c>
      <c r="H128" s="2026" t="s">
        <v>1560</v>
      </c>
      <c r="I128" s="2028">
        <v>1</v>
      </c>
      <c r="J128" s="2500">
        <v>0</v>
      </c>
      <c r="K128" s="2500">
        <v>0</v>
      </c>
      <c r="L128" s="2500">
        <v>0</v>
      </c>
      <c r="M128" s="2500">
        <v>0</v>
      </c>
      <c r="N128" s="2029">
        <v>0</v>
      </c>
      <c r="O128" s="2502" t="s">
        <v>1753</v>
      </c>
      <c r="P128" s="3273"/>
      <c r="Q128" s="3273"/>
      <c r="R128" s="3273"/>
      <c r="S128" s="3273"/>
      <c r="T128" s="3273"/>
      <c r="U128" s="3273"/>
      <c r="V128" s="3273"/>
      <c r="W128" s="3273"/>
      <c r="X128" s="3273"/>
      <c r="Y128" s="3273"/>
      <c r="Z128" s="3273"/>
      <c r="AA128" s="3273"/>
      <c r="AB128" s="3508"/>
      <c r="AC128" s="3274"/>
      <c r="AD128" s="3274"/>
      <c r="AE128" s="3274"/>
      <c r="AF128" s="3274"/>
      <c r="AG128" s="3274"/>
      <c r="AH128" s="3274"/>
      <c r="AI128" s="3274"/>
      <c r="AJ128" s="3274"/>
      <c r="AK128" s="3274"/>
      <c r="AL128" s="3529"/>
      <c r="AM128" s="3525"/>
      <c r="AN128" s="3469"/>
      <c r="AO128" s="3526"/>
      <c r="AP128" s="3527"/>
      <c r="AQ128" s="3527"/>
      <c r="AR128" s="3527"/>
      <c r="AS128" s="3527"/>
      <c r="AT128" s="3527"/>
      <c r="AU128" s="3527"/>
      <c r="AV128" s="3527"/>
      <c r="AW128" s="3527"/>
      <c r="AX128" s="3527"/>
      <c r="AY128" s="3527"/>
      <c r="AZ128" s="3527"/>
      <c r="BA128" s="3527"/>
      <c r="BB128" s="3527"/>
      <c r="BC128" s="3527"/>
      <c r="BD128" s="3527"/>
      <c r="BE128" s="3527"/>
      <c r="BF128" s="3527"/>
      <c r="BG128" s="3527"/>
      <c r="BH128" s="3527"/>
      <c r="BI128" s="3527"/>
      <c r="BJ128" s="3527"/>
      <c r="BK128" s="3527"/>
      <c r="BL128" s="3527"/>
      <c r="BM128" s="3527"/>
      <c r="BN128" s="3535"/>
      <c r="BO128" s="3534"/>
      <c r="BP128" s="3465"/>
      <c r="BQ128" s="3465"/>
      <c r="BR128" s="3465"/>
      <c r="BS128" s="3465"/>
      <c r="BT128" s="3465"/>
      <c r="BU128" s="3465"/>
      <c r="BV128" s="3465"/>
      <c r="BW128" s="3465"/>
      <c r="BX128" s="3465"/>
      <c r="BY128" s="3465"/>
      <c r="BZ128" s="3465"/>
      <c r="CA128" s="3533"/>
      <c r="CB128" s="3534"/>
      <c r="CC128" s="3465"/>
      <c r="CD128" s="3465"/>
      <c r="CE128" s="3465"/>
      <c r="CF128" s="3465"/>
      <c r="CG128" s="3465"/>
      <c r="CH128" s="3465"/>
      <c r="CI128" s="3465"/>
      <c r="CJ128" s="3465"/>
      <c r="CK128" s="3465"/>
      <c r="CL128" s="3465"/>
      <c r="CM128" s="3465"/>
    </row>
    <row r="129" spans="1:91" ht="15.75" thickBot="1">
      <c r="A129" s="3357"/>
      <c r="B129" s="2551" t="str">
        <f t="shared" si="1"/>
        <v>3039890025</v>
      </c>
      <c r="C129" s="2488" t="s">
        <v>721</v>
      </c>
      <c r="D129" s="2479">
        <v>3989</v>
      </c>
      <c r="E129" s="2479">
        <v>25</v>
      </c>
      <c r="F129" s="2482">
        <v>5000</v>
      </c>
      <c r="G129" s="2447" t="s">
        <v>947</v>
      </c>
      <c r="H129" s="2479" t="s">
        <v>1560</v>
      </c>
      <c r="I129" s="2465">
        <v>1</v>
      </c>
      <c r="J129" s="2480">
        <v>0</v>
      </c>
      <c r="K129" s="2480">
        <v>0</v>
      </c>
      <c r="L129" s="2480">
        <v>0</v>
      </c>
      <c r="M129" s="2480">
        <v>0</v>
      </c>
      <c r="N129" s="2443">
        <v>0</v>
      </c>
      <c r="O129" s="2453" t="s">
        <v>1753</v>
      </c>
      <c r="P129" s="3359"/>
      <c r="Q129" s="3359"/>
      <c r="R129" s="3359"/>
      <c r="S129" s="3359"/>
      <c r="T129" s="3359"/>
      <c r="U129" s="3359"/>
      <c r="V129" s="3359"/>
      <c r="W129" s="3359"/>
      <c r="X129" s="3359"/>
      <c r="Y129" s="3359"/>
      <c r="Z129" s="3359"/>
      <c r="AA129" s="3359"/>
      <c r="AB129" s="3536"/>
      <c r="AC129" s="3361"/>
      <c r="AD129" s="3361"/>
      <c r="AE129" s="3361"/>
      <c r="AF129" s="3361"/>
      <c r="AG129" s="3361"/>
      <c r="AH129" s="3361"/>
      <c r="AI129" s="3361"/>
      <c r="AJ129" s="3361"/>
      <c r="AK129" s="3361"/>
      <c r="AL129" s="3514"/>
      <c r="AM129" s="3516"/>
      <c r="AN129" s="3470"/>
      <c r="AO129" s="3718"/>
      <c r="AP129" s="3719"/>
      <c r="AQ129" s="3719"/>
      <c r="AR129" s="3719"/>
      <c r="AS129" s="3719"/>
      <c r="AT129" s="3719"/>
      <c r="AU129" s="3719"/>
      <c r="AV129" s="3719"/>
      <c r="AW129" s="3719"/>
      <c r="AX129" s="3719"/>
      <c r="AY129" s="3719"/>
      <c r="AZ129" s="3719"/>
      <c r="BA129" s="3719"/>
      <c r="BB129" s="3719"/>
      <c r="BC129" s="3719"/>
      <c r="BD129" s="3719"/>
      <c r="BE129" s="3719"/>
      <c r="BF129" s="3719"/>
      <c r="BG129" s="3719"/>
      <c r="BH129" s="3719"/>
      <c r="BI129" s="3719"/>
      <c r="BJ129" s="3719"/>
      <c r="BK129" s="3719"/>
      <c r="BL129" s="3719"/>
      <c r="BM129" s="3719"/>
      <c r="BN129" s="3518"/>
      <c r="BO129" s="3520"/>
      <c r="BP129" s="3466"/>
      <c r="BQ129" s="3466"/>
      <c r="BR129" s="3466"/>
      <c r="BS129" s="3466"/>
      <c r="BT129" s="3466"/>
      <c r="BU129" s="3466"/>
      <c r="BV129" s="3466"/>
      <c r="BW129" s="3466"/>
      <c r="BX129" s="3466"/>
      <c r="BY129" s="3466"/>
      <c r="BZ129" s="3466"/>
      <c r="CA129" s="3477"/>
      <c r="CB129" s="3520"/>
      <c r="CC129" s="3466"/>
      <c r="CD129" s="3466"/>
      <c r="CE129" s="3466"/>
      <c r="CF129" s="3466"/>
      <c r="CG129" s="3466"/>
      <c r="CH129" s="3466"/>
      <c r="CI129" s="3466"/>
      <c r="CJ129" s="3466"/>
      <c r="CK129" s="3466"/>
      <c r="CL129" s="3466"/>
      <c r="CM129" s="3466"/>
    </row>
    <row r="130" spans="1:91">
      <c r="A130" s="3282" t="s">
        <v>1754</v>
      </c>
      <c r="B130" s="2551" t="str">
        <f t="shared" si="1"/>
        <v>3039950029</v>
      </c>
      <c r="C130" s="2010" t="s">
        <v>703</v>
      </c>
      <c r="D130" s="2011">
        <v>3995</v>
      </c>
      <c r="E130" s="2011">
        <v>29</v>
      </c>
      <c r="F130" s="2494">
        <v>5000</v>
      </c>
      <c r="G130" s="2496" t="s">
        <v>1079</v>
      </c>
      <c r="H130" s="2011" t="s">
        <v>1560</v>
      </c>
      <c r="I130" s="2012">
        <v>1.25</v>
      </c>
      <c r="J130" s="2491">
        <v>0</v>
      </c>
      <c r="K130" s="2491">
        <v>0</v>
      </c>
      <c r="L130" s="2491">
        <v>0</v>
      </c>
      <c r="M130" s="2491">
        <v>4960</v>
      </c>
      <c r="N130" s="2489">
        <v>3</v>
      </c>
      <c r="O130" s="2437" t="s">
        <v>1631</v>
      </c>
      <c r="P130" s="3272">
        <v>16010</v>
      </c>
      <c r="Q130" s="3272">
        <v>0</v>
      </c>
      <c r="R130" s="3272">
        <v>0</v>
      </c>
      <c r="S130" s="3272">
        <v>0</v>
      </c>
      <c r="T130" s="3272">
        <v>0</v>
      </c>
      <c r="U130" s="3272">
        <v>0</v>
      </c>
      <c r="V130" s="3272">
        <v>0</v>
      </c>
      <c r="W130" s="3272">
        <v>0</v>
      </c>
      <c r="X130" s="3272">
        <v>0</v>
      </c>
      <c r="Y130" s="3272">
        <v>0</v>
      </c>
      <c r="Z130" s="3272">
        <v>0</v>
      </c>
      <c r="AA130" s="3272">
        <v>0</v>
      </c>
      <c r="AB130" s="3507">
        <v>16010</v>
      </c>
      <c r="AC130" s="3265">
        <v>13</v>
      </c>
      <c r="AD130" s="3265">
        <v>12</v>
      </c>
      <c r="AE130" s="3265">
        <v>0</v>
      </c>
      <c r="AF130" s="3265">
        <v>0</v>
      </c>
      <c r="AG130" s="3265">
        <v>0</v>
      </c>
      <c r="AH130" s="3265">
        <v>0</v>
      </c>
      <c r="AI130" s="3265">
        <v>0</v>
      </c>
      <c r="AJ130" s="3265">
        <v>0</v>
      </c>
      <c r="AK130" s="3265">
        <v>12</v>
      </c>
      <c r="AL130" s="3513">
        <v>35</v>
      </c>
      <c r="AM130" s="3515" t="s">
        <v>705</v>
      </c>
      <c r="AN130" s="3512" t="s">
        <v>706</v>
      </c>
      <c r="AO130" s="3407" t="s">
        <v>1637</v>
      </c>
      <c r="AP130" s="3511">
        <v>45660</v>
      </c>
      <c r="AQ130" s="3511">
        <v>9540</v>
      </c>
      <c r="AR130" s="3511">
        <v>0</v>
      </c>
      <c r="AS130" s="3511">
        <v>0</v>
      </c>
      <c r="AT130" s="3511">
        <v>0</v>
      </c>
      <c r="AU130" s="3511">
        <v>0</v>
      </c>
      <c r="AV130" s="3511">
        <v>0</v>
      </c>
      <c r="AW130" s="3511">
        <v>0</v>
      </c>
      <c r="AX130" s="3511">
        <v>0</v>
      </c>
      <c r="AY130" s="3511">
        <v>0</v>
      </c>
      <c r="AZ130" s="3511">
        <v>0</v>
      </c>
      <c r="BA130" s="3511">
        <v>0</v>
      </c>
      <c r="BB130" s="3511">
        <v>55200</v>
      </c>
      <c r="BC130" s="3511">
        <v>45</v>
      </c>
      <c r="BD130" s="3511">
        <v>22.83</v>
      </c>
      <c r="BE130" s="3511">
        <v>11</v>
      </c>
      <c r="BF130" s="3511">
        <v>0</v>
      </c>
      <c r="BG130" s="3511">
        <v>10</v>
      </c>
      <c r="BH130" s="3511">
        <v>0</v>
      </c>
      <c r="BI130" s="3511">
        <v>0</v>
      </c>
      <c r="BJ130" s="3511">
        <v>0</v>
      </c>
      <c r="BK130" s="3511">
        <v>0</v>
      </c>
      <c r="BL130" s="3511">
        <v>0</v>
      </c>
      <c r="BM130" s="3511">
        <v>21</v>
      </c>
      <c r="BN130" s="3517">
        <v>105</v>
      </c>
      <c r="BO130" s="3519">
        <v>29650</v>
      </c>
      <c r="BP130" s="3464">
        <v>9540</v>
      </c>
      <c r="BQ130" s="3464">
        <v>0</v>
      </c>
      <c r="BR130" s="3464">
        <v>0</v>
      </c>
      <c r="BS130" s="3464">
        <v>0</v>
      </c>
      <c r="BT130" s="3464">
        <v>0</v>
      </c>
      <c r="BU130" s="3464">
        <v>0</v>
      </c>
      <c r="BV130" s="3464">
        <v>0</v>
      </c>
      <c r="BW130" s="3464">
        <v>0</v>
      </c>
      <c r="BX130" s="3464">
        <v>0</v>
      </c>
      <c r="BY130" s="3464">
        <v>0</v>
      </c>
      <c r="BZ130" s="3464">
        <v>0</v>
      </c>
      <c r="CA130" s="3524">
        <v>0</v>
      </c>
      <c r="CB130" s="3519">
        <v>39190</v>
      </c>
      <c r="CC130" s="3464">
        <v>9540</v>
      </c>
      <c r="CD130" s="3464">
        <v>32</v>
      </c>
      <c r="CE130" s="3464">
        <v>22.83</v>
      </c>
      <c r="CF130" s="3464">
        <v>-1</v>
      </c>
      <c r="CG130" s="3464">
        <v>0</v>
      </c>
      <c r="CH130" s="3464">
        <v>10</v>
      </c>
      <c r="CI130" s="3464">
        <v>0</v>
      </c>
      <c r="CJ130" s="3464">
        <v>0</v>
      </c>
      <c r="CK130" s="3464">
        <v>0</v>
      </c>
      <c r="CL130" s="3464">
        <v>0</v>
      </c>
      <c r="CM130" s="3464">
        <v>0</v>
      </c>
    </row>
    <row r="131" spans="1:91">
      <c r="A131" s="3313"/>
      <c r="B131" s="2551" t="str">
        <f t="shared" si="1"/>
        <v>3039950031</v>
      </c>
      <c r="C131" s="2492" t="s">
        <v>710</v>
      </c>
      <c r="D131" s="2026">
        <v>3995</v>
      </c>
      <c r="E131" s="2026">
        <v>31</v>
      </c>
      <c r="F131" s="2027">
        <v>2500</v>
      </c>
      <c r="G131" s="2497" t="s">
        <v>1079</v>
      </c>
      <c r="H131" s="2026" t="s">
        <v>1560</v>
      </c>
      <c r="I131" s="2028">
        <v>1.25</v>
      </c>
      <c r="J131" s="2500">
        <v>0</v>
      </c>
      <c r="K131" s="2500">
        <v>0</v>
      </c>
      <c r="L131" s="2500">
        <v>0</v>
      </c>
      <c r="M131" s="2500">
        <v>3750</v>
      </c>
      <c r="N131" s="2029">
        <v>3</v>
      </c>
      <c r="O131" s="2502" t="s">
        <v>1631</v>
      </c>
      <c r="P131" s="3273"/>
      <c r="Q131" s="3273"/>
      <c r="R131" s="3273"/>
      <c r="S131" s="3273"/>
      <c r="T131" s="3273"/>
      <c r="U131" s="3273"/>
      <c r="V131" s="3273"/>
      <c r="W131" s="3273"/>
      <c r="X131" s="3273"/>
      <c r="Y131" s="3273"/>
      <c r="Z131" s="3273"/>
      <c r="AA131" s="3273"/>
      <c r="AB131" s="3508"/>
      <c r="AC131" s="3274"/>
      <c r="AD131" s="3274"/>
      <c r="AE131" s="3274"/>
      <c r="AF131" s="3274"/>
      <c r="AG131" s="3274"/>
      <c r="AH131" s="3274"/>
      <c r="AI131" s="3274"/>
      <c r="AJ131" s="3274"/>
      <c r="AK131" s="3274"/>
      <c r="AL131" s="3529"/>
      <c r="AM131" s="3525"/>
      <c r="AN131" s="3469"/>
      <c r="AO131" s="3526"/>
      <c r="AP131" s="3527"/>
      <c r="AQ131" s="3527"/>
      <c r="AR131" s="3527"/>
      <c r="AS131" s="3527"/>
      <c r="AT131" s="3527"/>
      <c r="AU131" s="3527"/>
      <c r="AV131" s="3527"/>
      <c r="AW131" s="3527"/>
      <c r="AX131" s="3527"/>
      <c r="AY131" s="3527"/>
      <c r="AZ131" s="3527"/>
      <c r="BA131" s="3527"/>
      <c r="BB131" s="3527"/>
      <c r="BC131" s="3527"/>
      <c r="BD131" s="3527"/>
      <c r="BE131" s="3527"/>
      <c r="BF131" s="3527"/>
      <c r="BG131" s="3527"/>
      <c r="BH131" s="3527"/>
      <c r="BI131" s="3527"/>
      <c r="BJ131" s="3527"/>
      <c r="BK131" s="3527"/>
      <c r="BL131" s="3527"/>
      <c r="BM131" s="3527"/>
      <c r="BN131" s="3535"/>
      <c r="BO131" s="3534"/>
      <c r="BP131" s="3465"/>
      <c r="BQ131" s="3465"/>
      <c r="BR131" s="3465"/>
      <c r="BS131" s="3465"/>
      <c r="BT131" s="3465"/>
      <c r="BU131" s="3465"/>
      <c r="BV131" s="3465"/>
      <c r="BW131" s="3465"/>
      <c r="BX131" s="3465"/>
      <c r="BY131" s="3465"/>
      <c r="BZ131" s="3465"/>
      <c r="CA131" s="3533"/>
      <c r="CB131" s="3534"/>
      <c r="CC131" s="3465"/>
      <c r="CD131" s="3465"/>
      <c r="CE131" s="3465"/>
      <c r="CF131" s="3465"/>
      <c r="CG131" s="3465"/>
      <c r="CH131" s="3465"/>
      <c r="CI131" s="3465"/>
      <c r="CJ131" s="3465"/>
      <c r="CK131" s="3465"/>
      <c r="CL131" s="3465"/>
      <c r="CM131" s="3465"/>
    </row>
    <row r="132" spans="1:91">
      <c r="A132" s="3313"/>
      <c r="B132" s="2551" t="str">
        <f t="shared" si="1"/>
        <v>3039950032</v>
      </c>
      <c r="C132" s="2492" t="s">
        <v>721</v>
      </c>
      <c r="D132" s="2026">
        <v>3995</v>
      </c>
      <c r="E132" s="2026">
        <v>32</v>
      </c>
      <c r="F132" s="2027">
        <v>2500</v>
      </c>
      <c r="G132" s="2497" t="s">
        <v>1079</v>
      </c>
      <c r="H132" s="2026" t="s">
        <v>1560</v>
      </c>
      <c r="I132" s="2028">
        <v>1.25</v>
      </c>
      <c r="J132" s="2500">
        <v>0</v>
      </c>
      <c r="K132" s="2500">
        <v>0</v>
      </c>
      <c r="L132" s="2500">
        <v>0</v>
      </c>
      <c r="M132" s="2500">
        <v>3940</v>
      </c>
      <c r="N132" s="2029">
        <v>3</v>
      </c>
      <c r="O132" s="2502" t="s">
        <v>1631</v>
      </c>
      <c r="P132" s="3273"/>
      <c r="Q132" s="3273"/>
      <c r="R132" s="3273"/>
      <c r="S132" s="3273"/>
      <c r="T132" s="3273"/>
      <c r="U132" s="3273"/>
      <c r="V132" s="3273"/>
      <c r="W132" s="3273"/>
      <c r="X132" s="3273"/>
      <c r="Y132" s="3273"/>
      <c r="Z132" s="3273"/>
      <c r="AA132" s="3273"/>
      <c r="AB132" s="3508"/>
      <c r="AC132" s="3274"/>
      <c r="AD132" s="3274"/>
      <c r="AE132" s="3274"/>
      <c r="AF132" s="3274"/>
      <c r="AG132" s="3274"/>
      <c r="AH132" s="3274"/>
      <c r="AI132" s="3274"/>
      <c r="AJ132" s="3274"/>
      <c r="AK132" s="3274"/>
      <c r="AL132" s="3529"/>
      <c r="AM132" s="3525"/>
      <c r="AN132" s="3469"/>
      <c r="AO132" s="3526"/>
      <c r="AP132" s="3527"/>
      <c r="AQ132" s="3527"/>
      <c r="AR132" s="3527"/>
      <c r="AS132" s="3527"/>
      <c r="AT132" s="3527"/>
      <c r="AU132" s="3527"/>
      <c r="AV132" s="3527"/>
      <c r="AW132" s="3527"/>
      <c r="AX132" s="3527"/>
      <c r="AY132" s="3527"/>
      <c r="AZ132" s="3527"/>
      <c r="BA132" s="3527"/>
      <c r="BB132" s="3527"/>
      <c r="BC132" s="3527"/>
      <c r="BD132" s="3527"/>
      <c r="BE132" s="3527"/>
      <c r="BF132" s="3527"/>
      <c r="BG132" s="3527"/>
      <c r="BH132" s="3527"/>
      <c r="BI132" s="3527"/>
      <c r="BJ132" s="3527"/>
      <c r="BK132" s="3527"/>
      <c r="BL132" s="3527"/>
      <c r="BM132" s="3527"/>
      <c r="BN132" s="3535"/>
      <c r="BO132" s="3534"/>
      <c r="BP132" s="3465"/>
      <c r="BQ132" s="3465"/>
      <c r="BR132" s="3465"/>
      <c r="BS132" s="3465"/>
      <c r="BT132" s="3465"/>
      <c r="BU132" s="3465"/>
      <c r="BV132" s="3465"/>
      <c r="BW132" s="3465"/>
      <c r="BX132" s="3465"/>
      <c r="BY132" s="3465"/>
      <c r="BZ132" s="3465"/>
      <c r="CA132" s="3533"/>
      <c r="CB132" s="3534"/>
      <c r="CC132" s="3465"/>
      <c r="CD132" s="3465"/>
      <c r="CE132" s="3465"/>
      <c r="CF132" s="3465"/>
      <c r="CG132" s="3465"/>
      <c r="CH132" s="3465"/>
      <c r="CI132" s="3465"/>
      <c r="CJ132" s="3465"/>
      <c r="CK132" s="3465"/>
      <c r="CL132" s="3465"/>
      <c r="CM132" s="3465"/>
    </row>
    <row r="133" spans="1:91" ht="15.75" thickBot="1">
      <c r="A133" s="3380"/>
      <c r="B133" s="2551" t="str">
        <f t="shared" si="1"/>
        <v>3039950129</v>
      </c>
      <c r="C133" s="2468" t="s">
        <v>724</v>
      </c>
      <c r="D133" s="2014">
        <v>3995</v>
      </c>
      <c r="E133" s="2014">
        <v>129</v>
      </c>
      <c r="F133" s="2038">
        <v>2000</v>
      </c>
      <c r="G133" s="2133" t="s">
        <v>1079</v>
      </c>
      <c r="H133" s="2014" t="s">
        <v>1560</v>
      </c>
      <c r="I133" s="2016">
        <v>1.25</v>
      </c>
      <c r="J133" s="2538">
        <v>0</v>
      </c>
      <c r="K133" s="2538">
        <v>0</v>
      </c>
      <c r="L133" s="2538">
        <v>0</v>
      </c>
      <c r="M133" s="2538">
        <v>3360</v>
      </c>
      <c r="N133" s="2509">
        <v>2</v>
      </c>
      <c r="O133" s="2452" t="s">
        <v>1578</v>
      </c>
      <c r="P133" s="3359"/>
      <c r="Q133" s="3359"/>
      <c r="R133" s="3359"/>
      <c r="S133" s="3359"/>
      <c r="T133" s="3359"/>
      <c r="U133" s="3359"/>
      <c r="V133" s="3359"/>
      <c r="W133" s="3359"/>
      <c r="X133" s="3359"/>
      <c r="Y133" s="3359"/>
      <c r="Z133" s="3359"/>
      <c r="AA133" s="3359"/>
      <c r="AB133" s="3536"/>
      <c r="AC133" s="3361"/>
      <c r="AD133" s="3361"/>
      <c r="AE133" s="3361"/>
      <c r="AF133" s="3361"/>
      <c r="AG133" s="3361"/>
      <c r="AH133" s="3361"/>
      <c r="AI133" s="3361"/>
      <c r="AJ133" s="3361"/>
      <c r="AK133" s="3361"/>
      <c r="AL133" s="3514"/>
      <c r="AM133" s="3516"/>
      <c r="AN133" s="3470"/>
      <c r="AO133" s="3718"/>
      <c r="AP133" s="3719"/>
      <c r="AQ133" s="3719"/>
      <c r="AR133" s="3719"/>
      <c r="AS133" s="3719"/>
      <c r="AT133" s="3719"/>
      <c r="AU133" s="3719"/>
      <c r="AV133" s="3719"/>
      <c r="AW133" s="3719"/>
      <c r="AX133" s="3719"/>
      <c r="AY133" s="3719"/>
      <c r="AZ133" s="3719"/>
      <c r="BA133" s="3719"/>
      <c r="BB133" s="3719"/>
      <c r="BC133" s="3719"/>
      <c r="BD133" s="3719"/>
      <c r="BE133" s="3719"/>
      <c r="BF133" s="3719"/>
      <c r="BG133" s="3719"/>
      <c r="BH133" s="3719"/>
      <c r="BI133" s="3719"/>
      <c r="BJ133" s="3719"/>
      <c r="BK133" s="3719"/>
      <c r="BL133" s="3719"/>
      <c r="BM133" s="3719"/>
      <c r="BN133" s="3518"/>
      <c r="BO133" s="3520"/>
      <c r="BP133" s="3466"/>
      <c r="BQ133" s="3466"/>
      <c r="BR133" s="3466"/>
      <c r="BS133" s="3466"/>
      <c r="BT133" s="3466"/>
      <c r="BU133" s="3466"/>
      <c r="BV133" s="3466"/>
      <c r="BW133" s="3466"/>
      <c r="BX133" s="3466"/>
      <c r="BY133" s="3466"/>
      <c r="BZ133" s="3466"/>
      <c r="CA133" s="3477"/>
      <c r="CB133" s="3520"/>
      <c r="CC133" s="3466"/>
      <c r="CD133" s="3466"/>
      <c r="CE133" s="3466"/>
      <c r="CF133" s="3466"/>
      <c r="CG133" s="3466"/>
      <c r="CH133" s="3466"/>
      <c r="CI133" s="3466"/>
      <c r="CJ133" s="3466"/>
      <c r="CK133" s="3466"/>
      <c r="CL133" s="3466"/>
      <c r="CM133" s="3466"/>
    </row>
    <row r="134" spans="1:91">
      <c r="A134" s="3282" t="s">
        <v>1755</v>
      </c>
      <c r="B134" s="2551" t="str">
        <f t="shared" ref="B134:B197" si="2">IF(E134="",,3&amp;IF(LEN($D134)=1,"0000"&amp;$D134,IF(LEN($D134)=2,"000"&amp;$D134,IF(LEN($D134)=3,"00"&amp;$D134,IF(LEN($D134)=4,"0"&amp;$D134,IF(LEN($D134)=5,$D134,0)))))&amp;IF(LEN(E134)=1,"000"&amp;E134,IF(LEN(E134)=2,"00"&amp;E134,IF(LEN(E134)=3,"0"&amp;E134,IF(LEN(E134)=4,E134,0)))))</f>
        <v>3040040019</v>
      </c>
      <c r="C134" s="2010" t="s">
        <v>703</v>
      </c>
      <c r="D134" s="2011">
        <v>4004</v>
      </c>
      <c r="E134" s="2011">
        <v>19</v>
      </c>
      <c r="F134" s="2494">
        <v>2500</v>
      </c>
      <c r="G134" s="2496" t="s">
        <v>1079</v>
      </c>
      <c r="H134" s="2011" t="s">
        <v>1560</v>
      </c>
      <c r="I134" s="2012">
        <v>1.25</v>
      </c>
      <c r="J134" s="2491">
        <v>0</v>
      </c>
      <c r="K134" s="2491">
        <v>0</v>
      </c>
      <c r="L134" s="2491">
        <v>0</v>
      </c>
      <c r="M134" s="2491">
        <v>0</v>
      </c>
      <c r="N134" s="2489">
        <v>0</v>
      </c>
      <c r="O134" s="2437" t="s">
        <v>1578</v>
      </c>
      <c r="P134" s="3272">
        <v>6250</v>
      </c>
      <c r="Q134" s="3272">
        <v>0</v>
      </c>
      <c r="R134" s="3272">
        <v>0</v>
      </c>
      <c r="S134" s="3272">
        <v>0</v>
      </c>
      <c r="T134" s="3272">
        <v>0</v>
      </c>
      <c r="U134" s="3272">
        <v>0</v>
      </c>
      <c r="V134" s="3272">
        <v>0</v>
      </c>
      <c r="W134" s="3272">
        <v>0</v>
      </c>
      <c r="X134" s="3272">
        <v>0</v>
      </c>
      <c r="Y134" s="3272">
        <v>0</v>
      </c>
      <c r="Z134" s="3272">
        <v>0</v>
      </c>
      <c r="AA134" s="3272">
        <v>0</v>
      </c>
      <c r="AB134" s="3507">
        <v>6250</v>
      </c>
      <c r="AC134" s="3265">
        <v>6</v>
      </c>
      <c r="AD134" s="3265">
        <v>6</v>
      </c>
      <c r="AE134" s="3265">
        <v>0</v>
      </c>
      <c r="AF134" s="3265">
        <v>0</v>
      </c>
      <c r="AG134" s="3265">
        <v>0</v>
      </c>
      <c r="AH134" s="3265">
        <v>0</v>
      </c>
      <c r="AI134" s="3265">
        <v>0</v>
      </c>
      <c r="AJ134" s="3265">
        <v>0</v>
      </c>
      <c r="AK134" s="3265">
        <v>6</v>
      </c>
      <c r="AL134" s="3513">
        <v>25</v>
      </c>
      <c r="AM134" s="3515" t="s">
        <v>1585</v>
      </c>
      <c r="AN134" s="3512" t="s">
        <v>1560</v>
      </c>
      <c r="AO134" s="3407" t="s">
        <v>1616</v>
      </c>
      <c r="AP134" s="3511">
        <v>18000</v>
      </c>
      <c r="AQ134" s="3511">
        <v>0</v>
      </c>
      <c r="AR134" s="3511">
        <v>0</v>
      </c>
      <c r="AS134" s="3511">
        <v>0</v>
      </c>
      <c r="AT134" s="3511">
        <v>0</v>
      </c>
      <c r="AU134" s="3511">
        <v>0</v>
      </c>
      <c r="AV134" s="3511">
        <v>0</v>
      </c>
      <c r="AW134" s="3511">
        <v>0</v>
      </c>
      <c r="AX134" s="3511">
        <v>0</v>
      </c>
      <c r="AY134" s="3511">
        <v>0</v>
      </c>
      <c r="AZ134" s="3511">
        <v>0</v>
      </c>
      <c r="BA134" s="3511">
        <v>0</v>
      </c>
      <c r="BB134" s="3511">
        <v>18000</v>
      </c>
      <c r="BC134" s="3511">
        <v>18</v>
      </c>
      <c r="BD134" s="3511">
        <v>9</v>
      </c>
      <c r="BE134" s="3511">
        <v>5</v>
      </c>
      <c r="BF134" s="3511">
        <v>0</v>
      </c>
      <c r="BG134" s="3511">
        <v>0</v>
      </c>
      <c r="BH134" s="3511">
        <v>0</v>
      </c>
      <c r="BI134" s="3511">
        <v>0</v>
      </c>
      <c r="BJ134" s="3511">
        <v>0</v>
      </c>
      <c r="BK134" s="3511">
        <v>0</v>
      </c>
      <c r="BL134" s="3511">
        <v>0</v>
      </c>
      <c r="BM134" s="3511">
        <v>5</v>
      </c>
      <c r="BN134" s="3517">
        <v>85</v>
      </c>
      <c r="BO134" s="3519">
        <v>11750</v>
      </c>
      <c r="BP134" s="3464">
        <v>0</v>
      </c>
      <c r="BQ134" s="3464">
        <v>0</v>
      </c>
      <c r="BR134" s="3464">
        <v>0</v>
      </c>
      <c r="BS134" s="3464">
        <v>0</v>
      </c>
      <c r="BT134" s="3464">
        <v>0</v>
      </c>
      <c r="BU134" s="3464">
        <v>0</v>
      </c>
      <c r="BV134" s="3464">
        <v>0</v>
      </c>
      <c r="BW134" s="3464">
        <v>0</v>
      </c>
      <c r="BX134" s="3464">
        <v>0</v>
      </c>
      <c r="BY134" s="3464">
        <v>0</v>
      </c>
      <c r="BZ134" s="3464">
        <v>0</v>
      </c>
      <c r="CA134" s="3524">
        <v>0</v>
      </c>
      <c r="CB134" s="3519">
        <v>11750</v>
      </c>
      <c r="CC134" s="3464">
        <v>0</v>
      </c>
      <c r="CD134" s="3464">
        <v>12</v>
      </c>
      <c r="CE134" s="3464">
        <v>9</v>
      </c>
      <c r="CF134" s="3464">
        <v>-1</v>
      </c>
      <c r="CG134" s="3464">
        <v>0</v>
      </c>
      <c r="CH134" s="3464">
        <v>0</v>
      </c>
      <c r="CI134" s="3464">
        <v>0</v>
      </c>
      <c r="CJ134" s="3464">
        <v>0</v>
      </c>
      <c r="CK134" s="3464">
        <v>0</v>
      </c>
      <c r="CL134" s="3464">
        <v>0</v>
      </c>
      <c r="CM134" s="3464">
        <v>0</v>
      </c>
    </row>
    <row r="135" spans="1:91" ht="15.75" thickBot="1">
      <c r="A135" s="3283"/>
      <c r="B135" s="2551" t="str">
        <f t="shared" si="2"/>
        <v>3040040020</v>
      </c>
      <c r="C135" s="2493" t="s">
        <v>710</v>
      </c>
      <c r="D135" s="2018">
        <v>4004</v>
      </c>
      <c r="E135" s="2018">
        <v>20</v>
      </c>
      <c r="F135" s="2019">
        <v>2500</v>
      </c>
      <c r="G135" s="2498" t="s">
        <v>1079</v>
      </c>
      <c r="H135" s="2018" t="s">
        <v>1560</v>
      </c>
      <c r="I135" s="2020">
        <v>1.25</v>
      </c>
      <c r="J135" s="2501">
        <v>0</v>
      </c>
      <c r="K135" s="2501">
        <v>0</v>
      </c>
      <c r="L135" s="2501">
        <v>0</v>
      </c>
      <c r="M135" s="2501">
        <v>0</v>
      </c>
      <c r="N135" s="2508">
        <v>0</v>
      </c>
      <c r="O135" s="2503" t="s">
        <v>1578</v>
      </c>
      <c r="P135" s="3359"/>
      <c r="Q135" s="3359"/>
      <c r="R135" s="3359"/>
      <c r="S135" s="3359"/>
      <c r="T135" s="3359"/>
      <c r="U135" s="3359"/>
      <c r="V135" s="3359"/>
      <c r="W135" s="3359"/>
      <c r="X135" s="3359"/>
      <c r="Y135" s="3359"/>
      <c r="Z135" s="3359"/>
      <c r="AA135" s="3359"/>
      <c r="AB135" s="3536"/>
      <c r="AC135" s="3361"/>
      <c r="AD135" s="3361"/>
      <c r="AE135" s="3361"/>
      <c r="AF135" s="3361"/>
      <c r="AG135" s="3361"/>
      <c r="AH135" s="3361"/>
      <c r="AI135" s="3361"/>
      <c r="AJ135" s="3361"/>
      <c r="AK135" s="3361"/>
      <c r="AL135" s="3514"/>
      <c r="AM135" s="3516"/>
      <c r="AN135" s="3470"/>
      <c r="AO135" s="3718"/>
      <c r="AP135" s="3719"/>
      <c r="AQ135" s="3719"/>
      <c r="AR135" s="3719"/>
      <c r="AS135" s="3719"/>
      <c r="AT135" s="3719"/>
      <c r="AU135" s="3719"/>
      <c r="AV135" s="3719"/>
      <c r="AW135" s="3719"/>
      <c r="AX135" s="3719"/>
      <c r="AY135" s="3719"/>
      <c r="AZ135" s="3719"/>
      <c r="BA135" s="3719"/>
      <c r="BB135" s="3719"/>
      <c r="BC135" s="3719"/>
      <c r="BD135" s="3719"/>
      <c r="BE135" s="3719"/>
      <c r="BF135" s="3719"/>
      <c r="BG135" s="3719"/>
      <c r="BH135" s="3719"/>
      <c r="BI135" s="3719"/>
      <c r="BJ135" s="3719"/>
      <c r="BK135" s="3719"/>
      <c r="BL135" s="3719"/>
      <c r="BM135" s="3719"/>
      <c r="BN135" s="3518"/>
      <c r="BO135" s="3520"/>
      <c r="BP135" s="3466"/>
      <c r="BQ135" s="3466"/>
      <c r="BR135" s="3466"/>
      <c r="BS135" s="3466"/>
      <c r="BT135" s="3466"/>
      <c r="BU135" s="3466"/>
      <c r="BV135" s="3466"/>
      <c r="BW135" s="3466"/>
      <c r="BX135" s="3466"/>
      <c r="BY135" s="3466"/>
      <c r="BZ135" s="3466"/>
      <c r="CA135" s="3477"/>
      <c r="CB135" s="3520"/>
      <c r="CC135" s="3466"/>
      <c r="CD135" s="3466"/>
      <c r="CE135" s="3466"/>
      <c r="CF135" s="3466"/>
      <c r="CG135" s="3466"/>
      <c r="CH135" s="3466"/>
      <c r="CI135" s="3466"/>
      <c r="CJ135" s="3466"/>
      <c r="CK135" s="3466"/>
      <c r="CL135" s="3466"/>
      <c r="CM135" s="3466"/>
    </row>
    <row r="136" spans="1:91">
      <c r="A136" s="3312" t="s">
        <v>1756</v>
      </c>
      <c r="B136" s="2551" t="str">
        <f t="shared" si="2"/>
        <v>3040180015</v>
      </c>
      <c r="C136" s="2022" t="s">
        <v>703</v>
      </c>
      <c r="D136" s="2023">
        <v>4018</v>
      </c>
      <c r="E136" s="2023">
        <v>15</v>
      </c>
      <c r="F136" s="2506">
        <v>1240</v>
      </c>
      <c r="G136" s="2507" t="s">
        <v>1079</v>
      </c>
      <c r="H136" s="2023" t="s">
        <v>1584</v>
      </c>
      <c r="I136" s="2024">
        <v>1.25</v>
      </c>
      <c r="J136" s="2505">
        <v>930</v>
      </c>
      <c r="K136" s="2505">
        <v>0</v>
      </c>
      <c r="L136" s="2505">
        <v>0</v>
      </c>
      <c r="M136" s="2505">
        <v>1860</v>
      </c>
      <c r="N136" s="2025">
        <v>1</v>
      </c>
      <c r="O136" s="2452" t="s">
        <v>1670</v>
      </c>
      <c r="P136" s="3288">
        <v>4770</v>
      </c>
      <c r="Q136" s="3288">
        <v>4770</v>
      </c>
      <c r="R136" s="3288">
        <v>0</v>
      </c>
      <c r="S136" s="3288">
        <v>0</v>
      </c>
      <c r="T136" s="3288">
        <v>0</v>
      </c>
      <c r="U136" s="3288">
        <v>0</v>
      </c>
      <c r="V136" s="3288">
        <v>0</v>
      </c>
      <c r="W136" s="3288">
        <v>0</v>
      </c>
      <c r="X136" s="3288">
        <v>0</v>
      </c>
      <c r="Y136" s="3288">
        <v>0</v>
      </c>
      <c r="Z136" s="3288">
        <v>0</v>
      </c>
      <c r="AA136" s="3288">
        <v>0</v>
      </c>
      <c r="AB136" s="3531">
        <v>9540</v>
      </c>
      <c r="AC136" s="3281">
        <v>1</v>
      </c>
      <c r="AD136" s="3281">
        <v>1</v>
      </c>
      <c r="AE136" s="3281">
        <v>0</v>
      </c>
      <c r="AF136" s="3281">
        <v>0</v>
      </c>
      <c r="AG136" s="3281">
        <v>0</v>
      </c>
      <c r="AH136" s="3281">
        <v>0</v>
      </c>
      <c r="AI136" s="3281">
        <v>0</v>
      </c>
      <c r="AJ136" s="3281">
        <v>0</v>
      </c>
      <c r="AK136" s="3281">
        <v>1</v>
      </c>
      <c r="AL136" s="3513">
        <v>25</v>
      </c>
      <c r="AM136" s="3515" t="s">
        <v>705</v>
      </c>
      <c r="AN136" s="3512" t="s">
        <v>706</v>
      </c>
      <c r="AO136" s="3407" t="s">
        <v>1637</v>
      </c>
      <c r="AP136" s="3511">
        <v>31953</v>
      </c>
      <c r="AQ136" s="3511">
        <v>5881.5</v>
      </c>
      <c r="AR136" s="3511">
        <v>0</v>
      </c>
      <c r="AS136" s="3511">
        <v>0</v>
      </c>
      <c r="AT136" s="3511">
        <v>0</v>
      </c>
      <c r="AU136" s="3511">
        <v>0</v>
      </c>
      <c r="AV136" s="3511">
        <v>0</v>
      </c>
      <c r="AW136" s="3511">
        <v>0</v>
      </c>
      <c r="AX136" s="3511">
        <v>0</v>
      </c>
      <c r="AY136" s="3511">
        <v>0</v>
      </c>
      <c r="AZ136" s="3511">
        <v>0</v>
      </c>
      <c r="BA136" s="3511">
        <v>0</v>
      </c>
      <c r="BB136" s="3511">
        <v>37834.5</v>
      </c>
      <c r="BC136" s="3511">
        <v>31</v>
      </c>
      <c r="BD136" s="3511">
        <v>15.9765</v>
      </c>
      <c r="BE136" s="3511">
        <v>8</v>
      </c>
      <c r="BF136" s="3511">
        <v>0</v>
      </c>
      <c r="BG136" s="3511">
        <v>6</v>
      </c>
      <c r="BH136" s="3511">
        <v>0</v>
      </c>
      <c r="BI136" s="3511">
        <v>0</v>
      </c>
      <c r="BJ136" s="3511">
        <v>0</v>
      </c>
      <c r="BK136" s="3511">
        <v>0</v>
      </c>
      <c r="BL136" s="3511">
        <v>0</v>
      </c>
      <c r="BM136" s="3511">
        <v>14</v>
      </c>
      <c r="BN136" s="3517">
        <v>105</v>
      </c>
      <c r="BO136" s="3519">
        <v>27183</v>
      </c>
      <c r="BP136" s="3464">
        <v>1111.5</v>
      </c>
      <c r="BQ136" s="3464">
        <v>0</v>
      </c>
      <c r="BR136" s="3464">
        <v>0</v>
      </c>
      <c r="BS136" s="3464">
        <v>0</v>
      </c>
      <c r="BT136" s="3464">
        <v>0</v>
      </c>
      <c r="BU136" s="3464">
        <v>0</v>
      </c>
      <c r="BV136" s="3464">
        <v>0</v>
      </c>
      <c r="BW136" s="3464">
        <v>0</v>
      </c>
      <c r="BX136" s="3464">
        <v>0</v>
      </c>
      <c r="BY136" s="3464">
        <v>0</v>
      </c>
      <c r="BZ136" s="3464">
        <v>0</v>
      </c>
      <c r="CA136" s="3524">
        <v>0</v>
      </c>
      <c r="CB136" s="3519">
        <v>28294.5</v>
      </c>
      <c r="CC136" s="3464">
        <v>1111.5</v>
      </c>
      <c r="CD136" s="3464">
        <v>30</v>
      </c>
      <c r="CE136" s="3464">
        <v>15.9765</v>
      </c>
      <c r="CF136" s="3464">
        <v>7</v>
      </c>
      <c r="CG136" s="3464">
        <v>0</v>
      </c>
      <c r="CH136" s="3464">
        <v>6</v>
      </c>
      <c r="CI136" s="3464">
        <v>0</v>
      </c>
      <c r="CJ136" s="3464">
        <v>0</v>
      </c>
      <c r="CK136" s="3464">
        <v>0</v>
      </c>
      <c r="CL136" s="3464">
        <v>0</v>
      </c>
      <c r="CM136" s="3464">
        <v>0</v>
      </c>
    </row>
    <row r="137" spans="1:91">
      <c r="A137" s="3313"/>
      <c r="B137" s="2551" t="str">
        <f t="shared" si="2"/>
        <v>3040180016</v>
      </c>
      <c r="C137" s="2492" t="s">
        <v>710</v>
      </c>
      <c r="D137" s="2026">
        <v>4018</v>
      </c>
      <c r="E137" s="2026">
        <v>16</v>
      </c>
      <c r="F137" s="2027">
        <v>1240</v>
      </c>
      <c r="G137" s="2497" t="s">
        <v>1079</v>
      </c>
      <c r="H137" s="2026" t="s">
        <v>1584</v>
      </c>
      <c r="I137" s="2028">
        <v>1.25</v>
      </c>
      <c r="J137" s="2500">
        <v>930</v>
      </c>
      <c r="K137" s="2500">
        <v>0</v>
      </c>
      <c r="L137" s="2500">
        <v>0</v>
      </c>
      <c r="M137" s="2500">
        <v>1860</v>
      </c>
      <c r="N137" s="2029">
        <v>1</v>
      </c>
      <c r="O137" s="2502" t="s">
        <v>1670</v>
      </c>
      <c r="P137" s="3273"/>
      <c r="Q137" s="3273"/>
      <c r="R137" s="3273"/>
      <c r="S137" s="3273"/>
      <c r="T137" s="3273"/>
      <c r="U137" s="3273"/>
      <c r="V137" s="3273"/>
      <c r="W137" s="3273"/>
      <c r="X137" s="3273"/>
      <c r="Y137" s="3273"/>
      <c r="Z137" s="3273"/>
      <c r="AA137" s="3273"/>
      <c r="AB137" s="3508"/>
      <c r="AC137" s="3274"/>
      <c r="AD137" s="3274"/>
      <c r="AE137" s="3274"/>
      <c r="AF137" s="3274"/>
      <c r="AG137" s="3274"/>
      <c r="AH137" s="3274"/>
      <c r="AI137" s="3274"/>
      <c r="AJ137" s="3274"/>
      <c r="AK137" s="3274"/>
      <c r="AL137" s="3529"/>
      <c r="AM137" s="3525"/>
      <c r="AN137" s="3469"/>
      <c r="AO137" s="3526"/>
      <c r="AP137" s="3527"/>
      <c r="AQ137" s="3527"/>
      <c r="AR137" s="3527"/>
      <c r="AS137" s="3527"/>
      <c r="AT137" s="3527"/>
      <c r="AU137" s="3527"/>
      <c r="AV137" s="3527"/>
      <c r="AW137" s="3527"/>
      <c r="AX137" s="3527"/>
      <c r="AY137" s="3527"/>
      <c r="AZ137" s="3527"/>
      <c r="BA137" s="3527"/>
      <c r="BB137" s="3527"/>
      <c r="BC137" s="3527"/>
      <c r="BD137" s="3527"/>
      <c r="BE137" s="3527"/>
      <c r="BF137" s="3527"/>
      <c r="BG137" s="3527"/>
      <c r="BH137" s="3527"/>
      <c r="BI137" s="3527"/>
      <c r="BJ137" s="3527"/>
      <c r="BK137" s="3527"/>
      <c r="BL137" s="3527"/>
      <c r="BM137" s="3527"/>
      <c r="BN137" s="3535"/>
      <c r="BO137" s="3534"/>
      <c r="BP137" s="3465"/>
      <c r="BQ137" s="3465"/>
      <c r="BR137" s="3465"/>
      <c r="BS137" s="3465"/>
      <c r="BT137" s="3465"/>
      <c r="BU137" s="3465"/>
      <c r="BV137" s="3465"/>
      <c r="BW137" s="3465"/>
      <c r="BX137" s="3465"/>
      <c r="BY137" s="3465"/>
      <c r="BZ137" s="3465"/>
      <c r="CA137" s="3533"/>
      <c r="CB137" s="3534"/>
      <c r="CC137" s="3465"/>
      <c r="CD137" s="3465"/>
      <c r="CE137" s="3465"/>
      <c r="CF137" s="3465"/>
      <c r="CG137" s="3465"/>
      <c r="CH137" s="3465"/>
      <c r="CI137" s="3465"/>
      <c r="CJ137" s="3465"/>
      <c r="CK137" s="3465"/>
      <c r="CL137" s="3465"/>
      <c r="CM137" s="3465"/>
    </row>
    <row r="138" spans="1:91">
      <c r="A138" s="3313"/>
      <c r="B138" s="2551" t="str">
        <f t="shared" si="2"/>
        <v>3040180017</v>
      </c>
      <c r="C138" s="2492" t="s">
        <v>721</v>
      </c>
      <c r="D138" s="2026">
        <v>4018</v>
      </c>
      <c r="E138" s="2026">
        <v>17</v>
      </c>
      <c r="F138" s="2027">
        <v>1240</v>
      </c>
      <c r="G138" s="2497" t="s">
        <v>1079</v>
      </c>
      <c r="H138" s="2026" t="s">
        <v>1584</v>
      </c>
      <c r="I138" s="2028">
        <v>1.25</v>
      </c>
      <c r="J138" s="2500">
        <v>930</v>
      </c>
      <c r="K138" s="2500">
        <v>0</v>
      </c>
      <c r="L138" s="2500">
        <v>0</v>
      </c>
      <c r="M138" s="2500">
        <v>1860</v>
      </c>
      <c r="N138" s="2029">
        <v>1</v>
      </c>
      <c r="O138" s="2502" t="s">
        <v>1670</v>
      </c>
      <c r="P138" s="3273"/>
      <c r="Q138" s="3273"/>
      <c r="R138" s="3273"/>
      <c r="S138" s="3273"/>
      <c r="T138" s="3273"/>
      <c r="U138" s="3273"/>
      <c r="V138" s="3273"/>
      <c r="W138" s="3273"/>
      <c r="X138" s="3273"/>
      <c r="Y138" s="3273"/>
      <c r="Z138" s="3273"/>
      <c r="AA138" s="3273"/>
      <c r="AB138" s="3508"/>
      <c r="AC138" s="3274"/>
      <c r="AD138" s="3274"/>
      <c r="AE138" s="3274"/>
      <c r="AF138" s="3274"/>
      <c r="AG138" s="3274"/>
      <c r="AH138" s="3274"/>
      <c r="AI138" s="3274"/>
      <c r="AJ138" s="3274"/>
      <c r="AK138" s="3274"/>
      <c r="AL138" s="3529"/>
      <c r="AM138" s="3525"/>
      <c r="AN138" s="3469"/>
      <c r="AO138" s="3526"/>
      <c r="AP138" s="3527"/>
      <c r="AQ138" s="3527"/>
      <c r="AR138" s="3527"/>
      <c r="AS138" s="3527"/>
      <c r="AT138" s="3527"/>
      <c r="AU138" s="3527"/>
      <c r="AV138" s="3527"/>
      <c r="AW138" s="3527"/>
      <c r="AX138" s="3527"/>
      <c r="AY138" s="3527"/>
      <c r="AZ138" s="3527"/>
      <c r="BA138" s="3527"/>
      <c r="BB138" s="3527"/>
      <c r="BC138" s="3527"/>
      <c r="BD138" s="3527"/>
      <c r="BE138" s="3527"/>
      <c r="BF138" s="3527"/>
      <c r="BG138" s="3527"/>
      <c r="BH138" s="3527"/>
      <c r="BI138" s="3527"/>
      <c r="BJ138" s="3527"/>
      <c r="BK138" s="3527"/>
      <c r="BL138" s="3527"/>
      <c r="BM138" s="3527"/>
      <c r="BN138" s="3535"/>
      <c r="BO138" s="3534"/>
      <c r="BP138" s="3465"/>
      <c r="BQ138" s="3465"/>
      <c r="BR138" s="3465"/>
      <c r="BS138" s="3465"/>
      <c r="BT138" s="3465"/>
      <c r="BU138" s="3465"/>
      <c r="BV138" s="3465"/>
      <c r="BW138" s="3465"/>
      <c r="BX138" s="3465"/>
      <c r="BY138" s="3465"/>
      <c r="BZ138" s="3465"/>
      <c r="CA138" s="3533"/>
      <c r="CB138" s="3534"/>
      <c r="CC138" s="3465"/>
      <c r="CD138" s="3465"/>
      <c r="CE138" s="3465"/>
      <c r="CF138" s="3465"/>
      <c r="CG138" s="3465"/>
      <c r="CH138" s="3465"/>
      <c r="CI138" s="3465"/>
      <c r="CJ138" s="3465"/>
      <c r="CK138" s="3465"/>
      <c r="CL138" s="3465"/>
      <c r="CM138" s="3465"/>
    </row>
    <row r="139" spans="1:91">
      <c r="A139" s="3313"/>
      <c r="B139" s="2551" t="str">
        <f t="shared" si="2"/>
        <v>3040180018</v>
      </c>
      <c r="C139" s="2492" t="s">
        <v>724</v>
      </c>
      <c r="D139" s="2026">
        <v>4018</v>
      </c>
      <c r="E139" s="2026">
        <v>18</v>
      </c>
      <c r="F139" s="2027">
        <v>1240</v>
      </c>
      <c r="G139" s="2497" t="s">
        <v>1079</v>
      </c>
      <c r="H139" s="2026" t="s">
        <v>1584</v>
      </c>
      <c r="I139" s="2028">
        <v>1.25</v>
      </c>
      <c r="J139" s="2500">
        <v>930</v>
      </c>
      <c r="K139" s="2500">
        <v>0</v>
      </c>
      <c r="L139" s="2500">
        <v>0</v>
      </c>
      <c r="M139" s="2500">
        <v>1860</v>
      </c>
      <c r="N139" s="2029">
        <v>1</v>
      </c>
      <c r="O139" s="2502" t="s">
        <v>1670</v>
      </c>
      <c r="P139" s="3273"/>
      <c r="Q139" s="3273"/>
      <c r="R139" s="3273"/>
      <c r="S139" s="3273"/>
      <c r="T139" s="3273"/>
      <c r="U139" s="3273"/>
      <c r="V139" s="3273"/>
      <c r="W139" s="3273"/>
      <c r="X139" s="3273"/>
      <c r="Y139" s="3273"/>
      <c r="Z139" s="3273"/>
      <c r="AA139" s="3273"/>
      <c r="AB139" s="3508"/>
      <c r="AC139" s="3274"/>
      <c r="AD139" s="3274"/>
      <c r="AE139" s="3274"/>
      <c r="AF139" s="3274"/>
      <c r="AG139" s="3274"/>
      <c r="AH139" s="3274"/>
      <c r="AI139" s="3274"/>
      <c r="AJ139" s="3274"/>
      <c r="AK139" s="3274"/>
      <c r="AL139" s="3529"/>
      <c r="AM139" s="3525"/>
      <c r="AN139" s="3469"/>
      <c r="AO139" s="3526"/>
      <c r="AP139" s="3527"/>
      <c r="AQ139" s="3527"/>
      <c r="AR139" s="3527"/>
      <c r="AS139" s="3527"/>
      <c r="AT139" s="3527"/>
      <c r="AU139" s="3527"/>
      <c r="AV139" s="3527"/>
      <c r="AW139" s="3527"/>
      <c r="AX139" s="3527"/>
      <c r="AY139" s="3527"/>
      <c r="AZ139" s="3527"/>
      <c r="BA139" s="3527"/>
      <c r="BB139" s="3527"/>
      <c r="BC139" s="3527"/>
      <c r="BD139" s="3527"/>
      <c r="BE139" s="3527"/>
      <c r="BF139" s="3527"/>
      <c r="BG139" s="3527"/>
      <c r="BH139" s="3527"/>
      <c r="BI139" s="3527"/>
      <c r="BJ139" s="3527"/>
      <c r="BK139" s="3527"/>
      <c r="BL139" s="3527"/>
      <c r="BM139" s="3527"/>
      <c r="BN139" s="3535"/>
      <c r="BO139" s="3534"/>
      <c r="BP139" s="3465"/>
      <c r="BQ139" s="3465"/>
      <c r="BR139" s="3465"/>
      <c r="BS139" s="3465"/>
      <c r="BT139" s="3465"/>
      <c r="BU139" s="3465"/>
      <c r="BV139" s="3465"/>
      <c r="BW139" s="3465"/>
      <c r="BX139" s="3465"/>
      <c r="BY139" s="3465"/>
      <c r="BZ139" s="3465"/>
      <c r="CA139" s="3533"/>
      <c r="CB139" s="3534"/>
      <c r="CC139" s="3465"/>
      <c r="CD139" s="3465"/>
      <c r="CE139" s="3465"/>
      <c r="CF139" s="3465"/>
      <c r="CG139" s="3465"/>
      <c r="CH139" s="3465"/>
      <c r="CI139" s="3465"/>
      <c r="CJ139" s="3465"/>
      <c r="CK139" s="3465"/>
      <c r="CL139" s="3465"/>
      <c r="CM139" s="3465"/>
    </row>
    <row r="140" spans="1:91">
      <c r="A140" s="3380"/>
      <c r="B140" s="2551" t="str">
        <f t="shared" si="2"/>
        <v>3040180019</v>
      </c>
      <c r="C140" s="2468" t="s">
        <v>746</v>
      </c>
      <c r="D140" s="2026">
        <v>4018</v>
      </c>
      <c r="E140" s="2026">
        <v>19</v>
      </c>
      <c r="F140" s="2027">
        <v>2025</v>
      </c>
      <c r="G140" s="2497" t="s">
        <v>1079</v>
      </c>
      <c r="H140" s="2026" t="s">
        <v>1584</v>
      </c>
      <c r="I140" s="2028">
        <v>1.25</v>
      </c>
      <c r="J140" s="2500">
        <v>0</v>
      </c>
      <c r="K140" s="2500">
        <v>0</v>
      </c>
      <c r="L140" s="2500">
        <v>0</v>
      </c>
      <c r="M140" s="2500">
        <v>0</v>
      </c>
      <c r="N140" s="2029">
        <v>0</v>
      </c>
      <c r="O140" s="2502" t="s">
        <v>720</v>
      </c>
      <c r="P140" s="3273"/>
      <c r="Q140" s="3273"/>
      <c r="R140" s="3273"/>
      <c r="S140" s="3273"/>
      <c r="T140" s="3273"/>
      <c r="U140" s="3273"/>
      <c r="V140" s="3273"/>
      <c r="W140" s="3273"/>
      <c r="X140" s="3273"/>
      <c r="Y140" s="3273"/>
      <c r="Z140" s="3273"/>
      <c r="AA140" s="3273"/>
      <c r="AB140" s="3508"/>
      <c r="AC140" s="3274"/>
      <c r="AD140" s="3274"/>
      <c r="AE140" s="3274"/>
      <c r="AF140" s="3274"/>
      <c r="AG140" s="3274"/>
      <c r="AH140" s="3274"/>
      <c r="AI140" s="3274"/>
      <c r="AJ140" s="3274"/>
      <c r="AK140" s="3274"/>
      <c r="AL140" s="3529"/>
      <c r="AM140" s="3525"/>
      <c r="AN140" s="3469"/>
      <c r="AO140" s="3526"/>
      <c r="AP140" s="3527"/>
      <c r="AQ140" s="3527"/>
      <c r="AR140" s="3527"/>
      <c r="AS140" s="3527"/>
      <c r="AT140" s="3527"/>
      <c r="AU140" s="3527"/>
      <c r="AV140" s="3527"/>
      <c r="AW140" s="3527"/>
      <c r="AX140" s="3527"/>
      <c r="AY140" s="3527"/>
      <c r="AZ140" s="3527"/>
      <c r="BA140" s="3527"/>
      <c r="BB140" s="3527"/>
      <c r="BC140" s="3527"/>
      <c r="BD140" s="3527"/>
      <c r="BE140" s="3527"/>
      <c r="BF140" s="3527"/>
      <c r="BG140" s="3527"/>
      <c r="BH140" s="3527"/>
      <c r="BI140" s="3527"/>
      <c r="BJ140" s="3527"/>
      <c r="BK140" s="3527"/>
      <c r="BL140" s="3527"/>
      <c r="BM140" s="3527"/>
      <c r="BN140" s="3535"/>
      <c r="BO140" s="3534"/>
      <c r="BP140" s="3465"/>
      <c r="BQ140" s="3465"/>
      <c r="BR140" s="3465"/>
      <c r="BS140" s="3465"/>
      <c r="BT140" s="3465"/>
      <c r="BU140" s="3465"/>
      <c r="BV140" s="3465"/>
      <c r="BW140" s="3465"/>
      <c r="BX140" s="3465"/>
      <c r="BY140" s="3465"/>
      <c r="BZ140" s="3465"/>
      <c r="CA140" s="3533"/>
      <c r="CB140" s="3534"/>
      <c r="CC140" s="3465"/>
      <c r="CD140" s="3465"/>
      <c r="CE140" s="3465"/>
      <c r="CF140" s="3465"/>
      <c r="CG140" s="3465"/>
      <c r="CH140" s="3465"/>
      <c r="CI140" s="3465"/>
      <c r="CJ140" s="3465"/>
      <c r="CK140" s="3465"/>
      <c r="CL140" s="3465"/>
      <c r="CM140" s="3465"/>
    </row>
    <row r="141" spans="1:91" ht="15.75" thickBot="1">
      <c r="A141" s="3283"/>
      <c r="B141" s="2551" t="str">
        <f t="shared" si="2"/>
        <v>3040180118</v>
      </c>
      <c r="C141" s="2493" t="s">
        <v>879</v>
      </c>
      <c r="D141" s="2026">
        <v>4018</v>
      </c>
      <c r="E141" s="2026">
        <v>118</v>
      </c>
      <c r="F141" s="2027">
        <v>1240</v>
      </c>
      <c r="G141" s="2497" t="s">
        <v>1079</v>
      </c>
      <c r="H141" s="2026" t="s">
        <v>1584</v>
      </c>
      <c r="I141" s="2028">
        <v>1.25</v>
      </c>
      <c r="J141" s="2500">
        <v>1050</v>
      </c>
      <c r="K141" s="2500">
        <v>0</v>
      </c>
      <c r="L141" s="2500">
        <v>0</v>
      </c>
      <c r="M141" s="2500">
        <v>2100</v>
      </c>
      <c r="N141" s="2029">
        <v>1</v>
      </c>
      <c r="O141" s="2452" t="s">
        <v>1757</v>
      </c>
      <c r="P141" s="3359"/>
      <c r="Q141" s="3359"/>
      <c r="R141" s="3359"/>
      <c r="S141" s="3359"/>
      <c r="T141" s="3359"/>
      <c r="U141" s="3359"/>
      <c r="V141" s="3359"/>
      <c r="W141" s="3359"/>
      <c r="X141" s="3359"/>
      <c r="Y141" s="3359"/>
      <c r="Z141" s="3359"/>
      <c r="AA141" s="3359"/>
      <c r="AB141" s="3536"/>
      <c r="AC141" s="3361"/>
      <c r="AD141" s="3361"/>
      <c r="AE141" s="3361"/>
      <c r="AF141" s="3361"/>
      <c r="AG141" s="3361"/>
      <c r="AH141" s="3361"/>
      <c r="AI141" s="3361"/>
      <c r="AJ141" s="3361"/>
      <c r="AK141" s="3361"/>
      <c r="AL141" s="3514"/>
      <c r="AM141" s="3516"/>
      <c r="AN141" s="3470"/>
      <c r="AO141" s="3718"/>
      <c r="AP141" s="3719"/>
      <c r="AQ141" s="3719"/>
      <c r="AR141" s="3719"/>
      <c r="AS141" s="3719"/>
      <c r="AT141" s="3719"/>
      <c r="AU141" s="3719"/>
      <c r="AV141" s="3719"/>
      <c r="AW141" s="3719"/>
      <c r="AX141" s="3719"/>
      <c r="AY141" s="3719"/>
      <c r="AZ141" s="3719"/>
      <c r="BA141" s="3719"/>
      <c r="BB141" s="3719"/>
      <c r="BC141" s="3719"/>
      <c r="BD141" s="3719"/>
      <c r="BE141" s="3719"/>
      <c r="BF141" s="3719"/>
      <c r="BG141" s="3719"/>
      <c r="BH141" s="3719"/>
      <c r="BI141" s="3719"/>
      <c r="BJ141" s="3719"/>
      <c r="BK141" s="3719"/>
      <c r="BL141" s="3719"/>
      <c r="BM141" s="3719"/>
      <c r="BN141" s="3518"/>
      <c r="BO141" s="3520"/>
      <c r="BP141" s="3466"/>
      <c r="BQ141" s="3466"/>
      <c r="BR141" s="3466"/>
      <c r="BS141" s="3466"/>
      <c r="BT141" s="3466"/>
      <c r="BU141" s="3466"/>
      <c r="BV141" s="3466"/>
      <c r="BW141" s="3466"/>
      <c r="BX141" s="3466"/>
      <c r="BY141" s="3466"/>
      <c r="BZ141" s="3466"/>
      <c r="CA141" s="3477"/>
      <c r="CB141" s="3520"/>
      <c r="CC141" s="3466"/>
      <c r="CD141" s="3466"/>
      <c r="CE141" s="3466"/>
      <c r="CF141" s="3466"/>
      <c r="CG141" s="3466"/>
      <c r="CH141" s="3466"/>
      <c r="CI141" s="3466"/>
      <c r="CJ141" s="3466"/>
      <c r="CK141" s="3466"/>
      <c r="CL141" s="3466"/>
      <c r="CM141" s="3466"/>
    </row>
    <row r="142" spans="1:91" ht="15.75" thickBot="1">
      <c r="A142" s="2451" t="s">
        <v>1758</v>
      </c>
      <c r="B142" s="2551" t="str">
        <f t="shared" si="2"/>
        <v>3040240018</v>
      </c>
      <c r="C142" s="2466" t="s">
        <v>703</v>
      </c>
      <c r="D142" s="2462">
        <v>4024</v>
      </c>
      <c r="E142" s="2462">
        <v>18</v>
      </c>
      <c r="F142" s="2461">
        <v>9000</v>
      </c>
      <c r="G142" s="2445" t="s">
        <v>1079</v>
      </c>
      <c r="H142" s="2462" t="s">
        <v>1345</v>
      </c>
      <c r="I142" s="2463">
        <v>1.25</v>
      </c>
      <c r="J142" s="2448">
        <v>3000</v>
      </c>
      <c r="K142" s="2448">
        <v>0</v>
      </c>
      <c r="L142" s="2448">
        <v>0</v>
      </c>
      <c r="M142" s="2448">
        <v>9000</v>
      </c>
      <c r="N142" s="2438">
        <v>0</v>
      </c>
      <c r="O142" s="2437" t="s">
        <v>1759</v>
      </c>
      <c r="P142" s="2450">
        <v>0</v>
      </c>
      <c r="Q142" s="2450">
        <v>3000</v>
      </c>
      <c r="R142" s="2450">
        <v>0</v>
      </c>
      <c r="S142" s="2450">
        <v>0</v>
      </c>
      <c r="T142" s="2450">
        <v>0</v>
      </c>
      <c r="U142" s="2450">
        <v>0</v>
      </c>
      <c r="V142" s="2450">
        <v>0</v>
      </c>
      <c r="W142" s="2450">
        <v>0</v>
      </c>
      <c r="X142" s="2450">
        <v>0</v>
      </c>
      <c r="Y142" s="2450">
        <v>0</v>
      </c>
      <c r="Z142" s="2450">
        <v>0</v>
      </c>
      <c r="AA142" s="2450">
        <v>6000</v>
      </c>
      <c r="AB142" s="2519">
        <v>9000</v>
      </c>
      <c r="AC142" s="2448">
        <v>0</v>
      </c>
      <c r="AD142" s="2448">
        <v>0</v>
      </c>
      <c r="AE142" s="2448">
        <v>0</v>
      </c>
      <c r="AF142" s="2448">
        <v>0</v>
      </c>
      <c r="AG142" s="2448">
        <v>0</v>
      </c>
      <c r="AH142" s="2448">
        <v>0</v>
      </c>
      <c r="AI142" s="2448">
        <v>0</v>
      </c>
      <c r="AJ142" s="2448">
        <v>0</v>
      </c>
      <c r="AK142" s="2448">
        <v>0</v>
      </c>
      <c r="AL142" s="2528">
        <v>25</v>
      </c>
      <c r="AM142" s="2118" t="s">
        <v>705</v>
      </c>
      <c r="AN142" s="2119" t="s">
        <v>706</v>
      </c>
      <c r="AO142" s="2092" t="s">
        <v>1637</v>
      </c>
      <c r="AP142" s="2120">
        <v>33300</v>
      </c>
      <c r="AQ142" s="2120">
        <v>8100</v>
      </c>
      <c r="AR142" s="2120">
        <v>0</v>
      </c>
      <c r="AS142" s="2120">
        <v>0</v>
      </c>
      <c r="AT142" s="2120">
        <v>0</v>
      </c>
      <c r="AU142" s="2120">
        <v>0</v>
      </c>
      <c r="AV142" s="2120">
        <v>0</v>
      </c>
      <c r="AW142" s="2120">
        <v>0</v>
      </c>
      <c r="AX142" s="2120">
        <v>0</v>
      </c>
      <c r="AY142" s="2120">
        <v>0</v>
      </c>
      <c r="AZ142" s="2120">
        <v>0</v>
      </c>
      <c r="BA142" s="2120">
        <v>0</v>
      </c>
      <c r="BB142" s="2120">
        <v>41400</v>
      </c>
      <c r="BC142" s="2120">
        <v>33</v>
      </c>
      <c r="BD142" s="2120">
        <v>16.649999999999999</v>
      </c>
      <c r="BE142" s="2120">
        <v>8</v>
      </c>
      <c r="BF142" s="2120">
        <v>0</v>
      </c>
      <c r="BG142" s="2120">
        <v>8</v>
      </c>
      <c r="BH142" s="2120">
        <v>0</v>
      </c>
      <c r="BI142" s="2120">
        <v>0</v>
      </c>
      <c r="BJ142" s="2120">
        <v>0</v>
      </c>
      <c r="BK142" s="2120">
        <v>0</v>
      </c>
      <c r="BL142" s="2120">
        <v>0</v>
      </c>
      <c r="BM142" s="2120">
        <v>16</v>
      </c>
      <c r="BN142" s="2121">
        <v>105</v>
      </c>
      <c r="BO142" s="2048">
        <v>33300</v>
      </c>
      <c r="BP142" s="2090">
        <v>5100</v>
      </c>
      <c r="BQ142" s="2090">
        <v>0</v>
      </c>
      <c r="BR142" s="2090">
        <v>0</v>
      </c>
      <c r="BS142" s="2090">
        <v>0</v>
      </c>
      <c r="BT142" s="2090">
        <v>0</v>
      </c>
      <c r="BU142" s="2090">
        <v>0</v>
      </c>
      <c r="BV142" s="2090">
        <v>0</v>
      </c>
      <c r="BW142" s="2090">
        <v>0</v>
      </c>
      <c r="BX142" s="2090">
        <v>0</v>
      </c>
      <c r="BY142" s="2090">
        <v>0</v>
      </c>
      <c r="BZ142" s="2090">
        <v>0</v>
      </c>
      <c r="CA142" s="2122">
        <v>-6000</v>
      </c>
      <c r="CB142" s="2048">
        <v>32400</v>
      </c>
      <c r="CC142" s="2090">
        <v>5100</v>
      </c>
      <c r="CD142" s="2090">
        <v>33</v>
      </c>
      <c r="CE142" s="2090">
        <v>16.649999999999999</v>
      </c>
      <c r="CF142" s="2090">
        <v>8</v>
      </c>
      <c r="CG142" s="2090">
        <v>0</v>
      </c>
      <c r="CH142" s="2090">
        <v>8</v>
      </c>
      <c r="CI142" s="2090">
        <v>0</v>
      </c>
      <c r="CJ142" s="2090">
        <v>0</v>
      </c>
      <c r="CK142" s="2090">
        <v>0</v>
      </c>
      <c r="CL142" s="2090">
        <v>0</v>
      </c>
      <c r="CM142" s="2090">
        <v>0</v>
      </c>
    </row>
    <row r="143" spans="1:91" ht="15.75" thickBot="1">
      <c r="A143" s="2476" t="s">
        <v>1760</v>
      </c>
      <c r="B143" s="2551" t="str">
        <f t="shared" si="2"/>
        <v>3041260001</v>
      </c>
      <c r="C143" s="2143" t="s">
        <v>703</v>
      </c>
      <c r="D143" s="2144">
        <v>4126</v>
      </c>
      <c r="E143" s="2144">
        <v>1</v>
      </c>
      <c r="F143" s="2145">
        <v>11350</v>
      </c>
      <c r="G143" s="2146" t="s">
        <v>1079</v>
      </c>
      <c r="H143" s="2144" t="s">
        <v>1584</v>
      </c>
      <c r="I143" s="2147">
        <v>1.25</v>
      </c>
      <c r="J143" s="2148">
        <v>14500</v>
      </c>
      <c r="K143" s="2148">
        <v>0</v>
      </c>
      <c r="L143" s="2148">
        <v>0</v>
      </c>
      <c r="M143" s="2148">
        <v>14500</v>
      </c>
      <c r="N143" s="2149">
        <v>0</v>
      </c>
      <c r="O143" s="2150" t="s">
        <v>1761</v>
      </c>
      <c r="P143" s="2151">
        <v>0</v>
      </c>
      <c r="Q143" s="2151">
        <v>7250</v>
      </c>
      <c r="R143" s="2151">
        <v>0</v>
      </c>
      <c r="S143" s="2151">
        <v>7250</v>
      </c>
      <c r="T143" s="2151">
        <v>0</v>
      </c>
      <c r="U143" s="2151">
        <v>0</v>
      </c>
      <c r="V143" s="2151">
        <v>0</v>
      </c>
      <c r="W143" s="2151">
        <v>0</v>
      </c>
      <c r="X143" s="2151">
        <v>0</v>
      </c>
      <c r="Y143" s="2151">
        <v>0</v>
      </c>
      <c r="Z143" s="2151">
        <v>0</v>
      </c>
      <c r="AA143" s="2151">
        <v>0</v>
      </c>
      <c r="AB143" s="2152">
        <v>14500</v>
      </c>
      <c r="AC143" s="2148">
        <v>0</v>
      </c>
      <c r="AD143" s="2148">
        <v>0</v>
      </c>
      <c r="AE143" s="2148">
        <v>0</v>
      </c>
      <c r="AF143" s="2148">
        <v>0</v>
      </c>
      <c r="AG143" s="2148">
        <v>0</v>
      </c>
      <c r="AH143" s="2148">
        <v>0</v>
      </c>
      <c r="AI143" s="2148">
        <v>0</v>
      </c>
      <c r="AJ143" s="2148">
        <v>0</v>
      </c>
      <c r="AK143" s="2148">
        <v>0</v>
      </c>
      <c r="AL143" s="2153">
        <v>25</v>
      </c>
      <c r="AM143" s="2118" t="s">
        <v>1585</v>
      </c>
      <c r="AN143" s="2119" t="s">
        <v>706</v>
      </c>
      <c r="AO143" s="2092" t="s">
        <v>1599</v>
      </c>
      <c r="AP143" s="2120">
        <v>30645</v>
      </c>
      <c r="AQ143" s="2120">
        <v>10215</v>
      </c>
      <c r="AR143" s="2120">
        <v>0</v>
      </c>
      <c r="AS143" s="2120">
        <v>0</v>
      </c>
      <c r="AT143" s="2120">
        <v>0</v>
      </c>
      <c r="AU143" s="2120">
        <v>0</v>
      </c>
      <c r="AV143" s="2120">
        <v>0</v>
      </c>
      <c r="AW143" s="2120">
        <v>0</v>
      </c>
      <c r="AX143" s="2120">
        <v>0</v>
      </c>
      <c r="AY143" s="2120">
        <v>0</v>
      </c>
      <c r="AZ143" s="2120">
        <v>0</v>
      </c>
      <c r="BA143" s="2120">
        <v>0</v>
      </c>
      <c r="BB143" s="2120">
        <v>40860</v>
      </c>
      <c r="BC143" s="2120">
        <v>30</v>
      </c>
      <c r="BD143" s="2120">
        <v>15.3225</v>
      </c>
      <c r="BE143" s="2120">
        <v>8</v>
      </c>
      <c r="BF143" s="2120">
        <v>0</v>
      </c>
      <c r="BG143" s="2120">
        <v>10</v>
      </c>
      <c r="BH143" s="2120">
        <v>0</v>
      </c>
      <c r="BI143" s="2120">
        <v>0</v>
      </c>
      <c r="BJ143" s="2120">
        <v>0</v>
      </c>
      <c r="BK143" s="2120">
        <v>0</v>
      </c>
      <c r="BL143" s="2120">
        <v>0</v>
      </c>
      <c r="BM143" s="2120">
        <v>18</v>
      </c>
      <c r="BN143" s="2121">
        <v>85</v>
      </c>
      <c r="BO143" s="2048">
        <v>30645</v>
      </c>
      <c r="BP143" s="2090">
        <v>2965</v>
      </c>
      <c r="BQ143" s="2090">
        <v>0</v>
      </c>
      <c r="BR143" s="2090">
        <v>0</v>
      </c>
      <c r="BS143" s="2090">
        <v>-7250</v>
      </c>
      <c r="BT143" s="2090">
        <v>0</v>
      </c>
      <c r="BU143" s="2090">
        <v>0</v>
      </c>
      <c r="BV143" s="2090">
        <v>0</v>
      </c>
      <c r="BW143" s="2090">
        <v>0</v>
      </c>
      <c r="BX143" s="2090">
        <v>0</v>
      </c>
      <c r="BY143" s="2090">
        <v>0</v>
      </c>
      <c r="BZ143" s="2090">
        <v>0</v>
      </c>
      <c r="CA143" s="2122">
        <v>0</v>
      </c>
      <c r="CB143" s="2048">
        <v>26360</v>
      </c>
      <c r="CC143" s="2090">
        <v>-4285</v>
      </c>
      <c r="CD143" s="2090">
        <v>30</v>
      </c>
      <c r="CE143" s="2090">
        <v>15.3225</v>
      </c>
      <c r="CF143" s="2090">
        <v>8</v>
      </c>
      <c r="CG143" s="2090">
        <v>0</v>
      </c>
      <c r="CH143" s="2090">
        <v>10</v>
      </c>
      <c r="CI143" s="2090">
        <v>0</v>
      </c>
      <c r="CJ143" s="2090">
        <v>0</v>
      </c>
      <c r="CK143" s="2090">
        <v>0</v>
      </c>
      <c r="CL143" s="2090">
        <v>0</v>
      </c>
      <c r="CM143" s="2090">
        <v>0</v>
      </c>
    </row>
    <row r="144" spans="1:91">
      <c r="A144" s="3620" t="s">
        <v>1762</v>
      </c>
      <c r="B144" s="2551">
        <f t="shared" si="2"/>
        <v>0</v>
      </c>
      <c r="C144" s="2154" t="s">
        <v>703</v>
      </c>
      <c r="D144" s="2155"/>
      <c r="E144" s="2155"/>
      <c r="F144" s="2156"/>
      <c r="G144" s="2157"/>
      <c r="H144" s="2155"/>
      <c r="I144" s="2158"/>
      <c r="J144" s="2536"/>
      <c r="K144" s="2536"/>
      <c r="L144" s="2536"/>
      <c r="M144" s="2536"/>
      <c r="N144" s="2159"/>
      <c r="O144" s="2160"/>
      <c r="P144" s="3617"/>
      <c r="Q144" s="3617"/>
      <c r="R144" s="3617"/>
      <c r="S144" s="3617"/>
      <c r="T144" s="3617"/>
      <c r="U144" s="3617"/>
      <c r="V144" s="3617"/>
      <c r="W144" s="3617"/>
      <c r="X144" s="3617"/>
      <c r="Y144" s="3617"/>
      <c r="Z144" s="3617"/>
      <c r="AA144" s="3617"/>
      <c r="AB144" s="3637"/>
      <c r="AC144" s="3632"/>
      <c r="AD144" s="3632"/>
      <c r="AE144" s="3632"/>
      <c r="AF144" s="3632"/>
      <c r="AG144" s="3632"/>
      <c r="AH144" s="3632"/>
      <c r="AI144" s="3632"/>
      <c r="AJ144" s="3632"/>
      <c r="AK144" s="3632"/>
      <c r="AL144" s="3634"/>
      <c r="AM144" s="3623"/>
      <c r="AN144" s="3626"/>
      <c r="AO144" s="3628"/>
      <c r="AP144" s="3630"/>
      <c r="AQ144" s="3630"/>
      <c r="AR144" s="3630"/>
      <c r="AS144" s="3630"/>
      <c r="AT144" s="3630"/>
      <c r="AU144" s="3630"/>
      <c r="AV144" s="3630"/>
      <c r="AW144" s="3630"/>
      <c r="AX144" s="3630"/>
      <c r="AY144" s="3630"/>
      <c r="AZ144" s="3630"/>
      <c r="BA144" s="3630"/>
      <c r="BB144" s="3630"/>
      <c r="BC144" s="3630"/>
      <c r="BD144" s="3630"/>
      <c r="BE144" s="3630"/>
      <c r="BF144" s="3630"/>
      <c r="BG144" s="3630"/>
      <c r="BH144" s="3630"/>
      <c r="BI144" s="3630"/>
      <c r="BJ144" s="3630"/>
      <c r="BK144" s="3630"/>
      <c r="BL144" s="3630"/>
      <c r="BM144" s="3630"/>
      <c r="BN144" s="3648"/>
      <c r="BO144" s="3645"/>
      <c r="BP144" s="3640"/>
      <c r="BQ144" s="3640"/>
      <c r="BR144" s="3640"/>
      <c r="BS144" s="3640"/>
      <c r="BT144" s="3640"/>
      <c r="BU144" s="3640"/>
      <c r="BV144" s="3640"/>
      <c r="BW144" s="3640"/>
      <c r="BX144" s="3640"/>
      <c r="BY144" s="3640"/>
      <c r="BZ144" s="3640"/>
      <c r="CA144" s="3642"/>
      <c r="CB144" s="3645"/>
      <c r="CC144" s="3640"/>
      <c r="CD144" s="3640"/>
      <c r="CE144" s="3640"/>
      <c r="CF144" s="3640"/>
      <c r="CG144" s="3640"/>
      <c r="CH144" s="3640"/>
      <c r="CI144" s="3640"/>
      <c r="CJ144" s="3640"/>
      <c r="CK144" s="3640"/>
      <c r="CL144" s="3640"/>
      <c r="CM144" s="3640"/>
    </row>
    <row r="145" spans="1:91">
      <c r="A145" s="3621"/>
      <c r="B145" s="2551">
        <f t="shared" si="2"/>
        <v>0</v>
      </c>
      <c r="C145" s="2161" t="s">
        <v>710</v>
      </c>
      <c r="D145" s="2162"/>
      <c r="E145" s="2162"/>
      <c r="F145" s="2163"/>
      <c r="G145" s="2164"/>
      <c r="H145" s="2162"/>
      <c r="I145" s="2165"/>
      <c r="J145" s="2166"/>
      <c r="K145" s="2166"/>
      <c r="L145" s="2166"/>
      <c r="M145" s="2166"/>
      <c r="N145" s="2167"/>
      <c r="O145" s="2168"/>
      <c r="P145" s="3618"/>
      <c r="Q145" s="3618"/>
      <c r="R145" s="3618"/>
      <c r="S145" s="3618"/>
      <c r="T145" s="3618"/>
      <c r="U145" s="3618"/>
      <c r="V145" s="3618"/>
      <c r="W145" s="3618"/>
      <c r="X145" s="3618"/>
      <c r="Y145" s="3618"/>
      <c r="Z145" s="3618"/>
      <c r="AA145" s="3618"/>
      <c r="AB145" s="3638"/>
      <c r="AC145" s="3633"/>
      <c r="AD145" s="3633"/>
      <c r="AE145" s="3633"/>
      <c r="AF145" s="3633"/>
      <c r="AG145" s="3633"/>
      <c r="AH145" s="3633"/>
      <c r="AI145" s="3633"/>
      <c r="AJ145" s="3633"/>
      <c r="AK145" s="3633"/>
      <c r="AL145" s="3635"/>
      <c r="AM145" s="3624"/>
      <c r="AN145" s="3627"/>
      <c r="AO145" s="3629"/>
      <c r="AP145" s="3631"/>
      <c r="AQ145" s="3631"/>
      <c r="AR145" s="3631"/>
      <c r="AS145" s="3631"/>
      <c r="AT145" s="3631"/>
      <c r="AU145" s="3631"/>
      <c r="AV145" s="3631"/>
      <c r="AW145" s="3631"/>
      <c r="AX145" s="3631"/>
      <c r="AY145" s="3631"/>
      <c r="AZ145" s="3631"/>
      <c r="BA145" s="3631"/>
      <c r="BB145" s="3631"/>
      <c r="BC145" s="3631"/>
      <c r="BD145" s="3631"/>
      <c r="BE145" s="3631"/>
      <c r="BF145" s="3631"/>
      <c r="BG145" s="3631"/>
      <c r="BH145" s="3631"/>
      <c r="BI145" s="3631"/>
      <c r="BJ145" s="3631"/>
      <c r="BK145" s="3631"/>
      <c r="BL145" s="3631"/>
      <c r="BM145" s="3631"/>
      <c r="BN145" s="3649"/>
      <c r="BO145" s="3646"/>
      <c r="BP145" s="3641"/>
      <c r="BQ145" s="3641"/>
      <c r="BR145" s="3641"/>
      <c r="BS145" s="3641"/>
      <c r="BT145" s="3641"/>
      <c r="BU145" s="3641"/>
      <c r="BV145" s="3641"/>
      <c r="BW145" s="3641"/>
      <c r="BX145" s="3641"/>
      <c r="BY145" s="3641"/>
      <c r="BZ145" s="3641"/>
      <c r="CA145" s="3643"/>
      <c r="CB145" s="3646"/>
      <c r="CC145" s="3641"/>
      <c r="CD145" s="3641"/>
      <c r="CE145" s="3641"/>
      <c r="CF145" s="3641"/>
      <c r="CG145" s="3641"/>
      <c r="CH145" s="3641"/>
      <c r="CI145" s="3641"/>
      <c r="CJ145" s="3641"/>
      <c r="CK145" s="3641"/>
      <c r="CL145" s="3641"/>
      <c r="CM145" s="3641"/>
    </row>
    <row r="146" spans="1:91">
      <c r="A146" s="3621"/>
      <c r="B146" s="2551">
        <f t="shared" si="2"/>
        <v>0</v>
      </c>
      <c r="C146" s="2161" t="s">
        <v>721</v>
      </c>
      <c r="D146" s="2162"/>
      <c r="E146" s="2162"/>
      <c r="F146" s="2163"/>
      <c r="G146" s="2164"/>
      <c r="H146" s="2162"/>
      <c r="I146" s="2165"/>
      <c r="J146" s="2166"/>
      <c r="K146" s="2166"/>
      <c r="L146" s="2166"/>
      <c r="M146" s="2166"/>
      <c r="N146" s="2167"/>
      <c r="O146" s="2168"/>
      <c r="P146" s="3618"/>
      <c r="Q146" s="3618"/>
      <c r="R146" s="3618"/>
      <c r="S146" s="3618"/>
      <c r="T146" s="3618"/>
      <c r="U146" s="3618"/>
      <c r="V146" s="3618"/>
      <c r="W146" s="3618"/>
      <c r="X146" s="3618"/>
      <c r="Y146" s="3618"/>
      <c r="Z146" s="3618"/>
      <c r="AA146" s="3618"/>
      <c r="AB146" s="3638"/>
      <c r="AC146" s="3633"/>
      <c r="AD146" s="3633"/>
      <c r="AE146" s="3633"/>
      <c r="AF146" s="3633"/>
      <c r="AG146" s="3633"/>
      <c r="AH146" s="3633"/>
      <c r="AI146" s="3633"/>
      <c r="AJ146" s="3633"/>
      <c r="AK146" s="3633"/>
      <c r="AL146" s="3635"/>
      <c r="AM146" s="3624"/>
      <c r="AN146" s="3627"/>
      <c r="AO146" s="3629"/>
      <c r="AP146" s="3631"/>
      <c r="AQ146" s="3631"/>
      <c r="AR146" s="3631"/>
      <c r="AS146" s="3631"/>
      <c r="AT146" s="3631"/>
      <c r="AU146" s="3631"/>
      <c r="AV146" s="3631"/>
      <c r="AW146" s="3631"/>
      <c r="AX146" s="3631"/>
      <c r="AY146" s="3631"/>
      <c r="AZ146" s="3631"/>
      <c r="BA146" s="3631"/>
      <c r="BB146" s="3631"/>
      <c r="BC146" s="3631"/>
      <c r="BD146" s="3631"/>
      <c r="BE146" s="3631"/>
      <c r="BF146" s="3631"/>
      <c r="BG146" s="3631"/>
      <c r="BH146" s="3631"/>
      <c r="BI146" s="3631"/>
      <c r="BJ146" s="3631"/>
      <c r="BK146" s="3631"/>
      <c r="BL146" s="3631"/>
      <c r="BM146" s="3631"/>
      <c r="BN146" s="3649"/>
      <c r="BO146" s="3646"/>
      <c r="BP146" s="3641"/>
      <c r="BQ146" s="3641"/>
      <c r="BR146" s="3641"/>
      <c r="BS146" s="3641"/>
      <c r="BT146" s="3641"/>
      <c r="BU146" s="3641"/>
      <c r="BV146" s="3641"/>
      <c r="BW146" s="3641"/>
      <c r="BX146" s="3641"/>
      <c r="BY146" s="3641"/>
      <c r="BZ146" s="3641"/>
      <c r="CA146" s="3643"/>
      <c r="CB146" s="3646"/>
      <c r="CC146" s="3641"/>
      <c r="CD146" s="3641"/>
      <c r="CE146" s="3641"/>
      <c r="CF146" s="3641"/>
      <c r="CG146" s="3641"/>
      <c r="CH146" s="3641"/>
      <c r="CI146" s="3641"/>
      <c r="CJ146" s="3641"/>
      <c r="CK146" s="3641"/>
      <c r="CL146" s="3641"/>
      <c r="CM146" s="3641"/>
    </row>
    <row r="147" spans="1:91" ht="15.75" thickBot="1">
      <c r="A147" s="3622"/>
      <c r="B147" s="2551">
        <f t="shared" si="2"/>
        <v>0</v>
      </c>
      <c r="C147" s="3730" t="s">
        <v>724</v>
      </c>
      <c r="D147" s="3731"/>
      <c r="E147" s="3731"/>
      <c r="F147" s="2169"/>
      <c r="G147" s="2170"/>
      <c r="H147" s="3731"/>
      <c r="I147" s="3732"/>
      <c r="J147" s="3733"/>
      <c r="K147" s="3733"/>
      <c r="L147" s="3733"/>
      <c r="M147" s="3733"/>
      <c r="N147" s="2171"/>
      <c r="O147" s="2172"/>
      <c r="P147" s="3619"/>
      <c r="Q147" s="3619"/>
      <c r="R147" s="3619"/>
      <c r="S147" s="3619"/>
      <c r="T147" s="3619"/>
      <c r="U147" s="3619"/>
      <c r="V147" s="3619"/>
      <c r="W147" s="3619"/>
      <c r="X147" s="3619"/>
      <c r="Y147" s="3619"/>
      <c r="Z147" s="3619"/>
      <c r="AA147" s="3619"/>
      <c r="AB147" s="3639"/>
      <c r="AC147" s="3734"/>
      <c r="AD147" s="3734"/>
      <c r="AE147" s="3734"/>
      <c r="AF147" s="3734"/>
      <c r="AG147" s="3734"/>
      <c r="AH147" s="3734"/>
      <c r="AI147" s="3734"/>
      <c r="AJ147" s="3734"/>
      <c r="AK147" s="3734"/>
      <c r="AL147" s="3636"/>
      <c r="AM147" s="3625"/>
      <c r="AN147" s="3735"/>
      <c r="AO147" s="3736"/>
      <c r="AP147" s="3737"/>
      <c r="AQ147" s="3737"/>
      <c r="AR147" s="3737"/>
      <c r="AS147" s="3737"/>
      <c r="AT147" s="3737"/>
      <c r="AU147" s="3737"/>
      <c r="AV147" s="3737"/>
      <c r="AW147" s="3737"/>
      <c r="AX147" s="3737"/>
      <c r="AY147" s="3737"/>
      <c r="AZ147" s="3737"/>
      <c r="BA147" s="3737"/>
      <c r="BB147" s="3737"/>
      <c r="BC147" s="3737"/>
      <c r="BD147" s="3737"/>
      <c r="BE147" s="3737"/>
      <c r="BF147" s="3737"/>
      <c r="BG147" s="3737"/>
      <c r="BH147" s="3737"/>
      <c r="BI147" s="3737"/>
      <c r="BJ147" s="3737"/>
      <c r="BK147" s="3737"/>
      <c r="BL147" s="3737"/>
      <c r="BM147" s="3737"/>
      <c r="BN147" s="3650"/>
      <c r="BO147" s="3647"/>
      <c r="BP147" s="3738"/>
      <c r="BQ147" s="3738"/>
      <c r="BR147" s="3738"/>
      <c r="BS147" s="3738"/>
      <c r="BT147" s="3738"/>
      <c r="BU147" s="3738"/>
      <c r="BV147" s="3738"/>
      <c r="BW147" s="3738"/>
      <c r="BX147" s="3738"/>
      <c r="BY147" s="3738"/>
      <c r="BZ147" s="3738"/>
      <c r="CA147" s="3644"/>
      <c r="CB147" s="3647"/>
      <c r="CC147" s="3738"/>
      <c r="CD147" s="3738"/>
      <c r="CE147" s="3738"/>
      <c r="CF147" s="3738"/>
      <c r="CG147" s="3738"/>
      <c r="CH147" s="3738"/>
      <c r="CI147" s="3738"/>
      <c r="CJ147" s="3738"/>
      <c r="CK147" s="3738"/>
      <c r="CL147" s="3738"/>
      <c r="CM147" s="3738"/>
    </row>
    <row r="148" spans="1:91">
      <c r="A148" s="3567" t="s">
        <v>1763</v>
      </c>
      <c r="B148" s="2551" t="str">
        <f t="shared" si="2"/>
        <v>3041540092</v>
      </c>
      <c r="C148" s="2010" t="s">
        <v>703</v>
      </c>
      <c r="D148" s="2011">
        <v>4154</v>
      </c>
      <c r="E148" s="2011">
        <v>92</v>
      </c>
      <c r="F148" s="2494">
        <v>1083</v>
      </c>
      <c r="G148" s="2496" t="s">
        <v>1079</v>
      </c>
      <c r="H148" s="2011" t="s">
        <v>1584</v>
      </c>
      <c r="I148" s="2012">
        <v>1.25</v>
      </c>
      <c r="J148" s="2491">
        <v>0</v>
      </c>
      <c r="K148" s="2491">
        <v>0</v>
      </c>
      <c r="L148" s="2491">
        <v>0</v>
      </c>
      <c r="M148" s="2491">
        <v>1282</v>
      </c>
      <c r="N148" s="2489">
        <v>1</v>
      </c>
      <c r="O148" s="2437" t="s">
        <v>1580</v>
      </c>
      <c r="P148" s="3272">
        <v>2982</v>
      </c>
      <c r="Q148" s="3272">
        <v>1700</v>
      </c>
      <c r="R148" s="3272">
        <v>0</v>
      </c>
      <c r="S148" s="3272">
        <v>0</v>
      </c>
      <c r="T148" s="3272">
        <v>0</v>
      </c>
      <c r="U148" s="3272">
        <v>0</v>
      </c>
      <c r="V148" s="3272">
        <v>0</v>
      </c>
      <c r="W148" s="3272">
        <v>6000</v>
      </c>
      <c r="X148" s="3272">
        <v>0</v>
      </c>
      <c r="Y148" s="3272">
        <v>0</v>
      </c>
      <c r="Z148" s="3272">
        <v>0</v>
      </c>
      <c r="AA148" s="3272">
        <v>0</v>
      </c>
      <c r="AB148" s="3507">
        <v>10682</v>
      </c>
      <c r="AC148" s="3265">
        <v>2</v>
      </c>
      <c r="AD148" s="3265">
        <v>2</v>
      </c>
      <c r="AE148" s="3265">
        <v>0</v>
      </c>
      <c r="AF148" s="3265">
        <v>0</v>
      </c>
      <c r="AG148" s="3265">
        <v>0</v>
      </c>
      <c r="AH148" s="3265">
        <v>0</v>
      </c>
      <c r="AI148" s="3265">
        <v>0</v>
      </c>
      <c r="AJ148" s="3265">
        <v>0</v>
      </c>
      <c r="AK148" s="3265">
        <v>2</v>
      </c>
      <c r="AL148" s="3513">
        <v>25</v>
      </c>
      <c r="AM148" s="3515" t="s">
        <v>1585</v>
      </c>
      <c r="AN148" s="3512" t="s">
        <v>706</v>
      </c>
      <c r="AO148" s="3407" t="s">
        <v>1599</v>
      </c>
      <c r="AP148" s="3511">
        <v>38759</v>
      </c>
      <c r="AQ148" s="3511">
        <v>10139.4</v>
      </c>
      <c r="AR148" s="3511">
        <v>0</v>
      </c>
      <c r="AS148" s="3511">
        <v>0</v>
      </c>
      <c r="AT148" s="3511">
        <v>0</v>
      </c>
      <c r="AU148" s="3511">
        <v>0</v>
      </c>
      <c r="AV148" s="3511">
        <v>0</v>
      </c>
      <c r="AW148" s="3511">
        <v>0</v>
      </c>
      <c r="AX148" s="3511">
        <v>0</v>
      </c>
      <c r="AY148" s="3511">
        <v>0</v>
      </c>
      <c r="AZ148" s="3511">
        <v>0</v>
      </c>
      <c r="BA148" s="3511">
        <v>0</v>
      </c>
      <c r="BB148" s="3511">
        <v>48898.400000000001</v>
      </c>
      <c r="BC148" s="3511">
        <v>38</v>
      </c>
      <c r="BD148" s="3511">
        <v>19.3795</v>
      </c>
      <c r="BE148" s="3511">
        <v>10</v>
      </c>
      <c r="BF148" s="3511">
        <v>0</v>
      </c>
      <c r="BG148" s="3511">
        <v>10</v>
      </c>
      <c r="BH148" s="3511">
        <v>0</v>
      </c>
      <c r="BI148" s="3511">
        <v>0</v>
      </c>
      <c r="BJ148" s="3511">
        <v>0</v>
      </c>
      <c r="BK148" s="3511">
        <v>0</v>
      </c>
      <c r="BL148" s="3511">
        <v>0</v>
      </c>
      <c r="BM148" s="3511">
        <v>20</v>
      </c>
      <c r="BN148" s="3517">
        <v>85</v>
      </c>
      <c r="BO148" s="3519">
        <v>35777</v>
      </c>
      <c r="BP148" s="3464">
        <v>8439.4</v>
      </c>
      <c r="BQ148" s="3464">
        <v>0</v>
      </c>
      <c r="BR148" s="3464">
        <v>0</v>
      </c>
      <c r="BS148" s="3464">
        <v>0</v>
      </c>
      <c r="BT148" s="3464">
        <v>0</v>
      </c>
      <c r="BU148" s="3464">
        <v>0</v>
      </c>
      <c r="BV148" s="3464">
        <v>0</v>
      </c>
      <c r="BW148" s="3464">
        <v>-6000</v>
      </c>
      <c r="BX148" s="3464">
        <v>0</v>
      </c>
      <c r="BY148" s="3464">
        <v>0</v>
      </c>
      <c r="BZ148" s="3464">
        <v>0</v>
      </c>
      <c r="CA148" s="3524">
        <v>0</v>
      </c>
      <c r="CB148" s="3519">
        <v>38216.400000000001</v>
      </c>
      <c r="CC148" s="3464">
        <v>2439.3999999999996</v>
      </c>
      <c r="CD148" s="3464">
        <v>36</v>
      </c>
      <c r="CE148" s="3464">
        <v>19.3795</v>
      </c>
      <c r="CF148" s="3464">
        <v>8</v>
      </c>
      <c r="CG148" s="3464">
        <v>0</v>
      </c>
      <c r="CH148" s="3464">
        <v>10</v>
      </c>
      <c r="CI148" s="3464">
        <v>0</v>
      </c>
      <c r="CJ148" s="3464">
        <v>0</v>
      </c>
      <c r="CK148" s="3464">
        <v>0</v>
      </c>
      <c r="CL148" s="3464">
        <v>0</v>
      </c>
      <c r="CM148" s="3464">
        <v>0</v>
      </c>
    </row>
    <row r="149" spans="1:91">
      <c r="A149" s="3568"/>
      <c r="B149" s="2551" t="str">
        <f t="shared" si="2"/>
        <v>3041540093</v>
      </c>
      <c r="C149" s="2492" t="s">
        <v>710</v>
      </c>
      <c r="D149" s="2026">
        <v>4154</v>
      </c>
      <c r="E149" s="2026">
        <v>93</v>
      </c>
      <c r="F149" s="2027">
        <v>2500</v>
      </c>
      <c r="G149" s="2497" t="s">
        <v>1079</v>
      </c>
      <c r="H149" s="2026" t="s">
        <v>1584</v>
      </c>
      <c r="I149" s="2028">
        <v>1.25</v>
      </c>
      <c r="J149" s="2500">
        <v>0</v>
      </c>
      <c r="K149" s="2500">
        <v>0</v>
      </c>
      <c r="L149" s="2500">
        <v>0</v>
      </c>
      <c r="M149" s="2500">
        <v>0</v>
      </c>
      <c r="N149" s="2029">
        <v>0</v>
      </c>
      <c r="O149" s="2502" t="s">
        <v>1580</v>
      </c>
      <c r="P149" s="3273"/>
      <c r="Q149" s="3273"/>
      <c r="R149" s="3273"/>
      <c r="S149" s="3273"/>
      <c r="T149" s="3273"/>
      <c r="U149" s="3273"/>
      <c r="V149" s="3273"/>
      <c r="W149" s="3273"/>
      <c r="X149" s="3273"/>
      <c r="Y149" s="3273"/>
      <c r="Z149" s="3273"/>
      <c r="AA149" s="3273"/>
      <c r="AB149" s="3508"/>
      <c r="AC149" s="3274"/>
      <c r="AD149" s="3274"/>
      <c r="AE149" s="3274"/>
      <c r="AF149" s="3274"/>
      <c r="AG149" s="3274"/>
      <c r="AH149" s="3274"/>
      <c r="AI149" s="3274"/>
      <c r="AJ149" s="3274"/>
      <c r="AK149" s="3274"/>
      <c r="AL149" s="3529"/>
      <c r="AM149" s="3525"/>
      <c r="AN149" s="3469"/>
      <c r="AO149" s="3526"/>
      <c r="AP149" s="3527"/>
      <c r="AQ149" s="3527"/>
      <c r="AR149" s="3527"/>
      <c r="AS149" s="3527"/>
      <c r="AT149" s="3527"/>
      <c r="AU149" s="3527"/>
      <c r="AV149" s="3527"/>
      <c r="AW149" s="3527"/>
      <c r="AX149" s="3527"/>
      <c r="AY149" s="3527"/>
      <c r="AZ149" s="3527"/>
      <c r="BA149" s="3527"/>
      <c r="BB149" s="3527"/>
      <c r="BC149" s="3527"/>
      <c r="BD149" s="3527"/>
      <c r="BE149" s="3527"/>
      <c r="BF149" s="3527"/>
      <c r="BG149" s="3527"/>
      <c r="BH149" s="3527"/>
      <c r="BI149" s="3527"/>
      <c r="BJ149" s="3527"/>
      <c r="BK149" s="3527"/>
      <c r="BL149" s="3527"/>
      <c r="BM149" s="3527"/>
      <c r="BN149" s="3535"/>
      <c r="BO149" s="3534"/>
      <c r="BP149" s="3465"/>
      <c r="BQ149" s="3465"/>
      <c r="BR149" s="3465"/>
      <c r="BS149" s="3465"/>
      <c r="BT149" s="3465"/>
      <c r="BU149" s="3465"/>
      <c r="BV149" s="3465"/>
      <c r="BW149" s="3465"/>
      <c r="BX149" s="3465"/>
      <c r="BY149" s="3465"/>
      <c r="BZ149" s="3465"/>
      <c r="CA149" s="3533"/>
      <c r="CB149" s="3534"/>
      <c r="CC149" s="3465"/>
      <c r="CD149" s="3465"/>
      <c r="CE149" s="3465"/>
      <c r="CF149" s="3465"/>
      <c r="CG149" s="3465"/>
      <c r="CH149" s="3465"/>
      <c r="CI149" s="3465"/>
      <c r="CJ149" s="3465"/>
      <c r="CK149" s="3465"/>
      <c r="CL149" s="3465"/>
      <c r="CM149" s="3465"/>
    </row>
    <row r="150" spans="1:91">
      <c r="A150" s="3568"/>
      <c r="B150" s="2551" t="str">
        <f t="shared" si="2"/>
        <v>3041540094</v>
      </c>
      <c r="C150" s="2492" t="s">
        <v>721</v>
      </c>
      <c r="D150" s="2026">
        <v>4154</v>
      </c>
      <c r="E150" s="2026">
        <v>94</v>
      </c>
      <c r="F150" s="2027">
        <v>4000</v>
      </c>
      <c r="G150" s="2497" t="s">
        <v>1079</v>
      </c>
      <c r="H150" s="2026" t="s">
        <v>1584</v>
      </c>
      <c r="I150" s="2028">
        <v>1.25</v>
      </c>
      <c r="J150" s="2500">
        <v>1700</v>
      </c>
      <c r="K150" s="2500">
        <v>0</v>
      </c>
      <c r="L150" s="2500">
        <v>0</v>
      </c>
      <c r="M150" s="2500">
        <v>3400</v>
      </c>
      <c r="N150" s="2029">
        <v>2</v>
      </c>
      <c r="O150" s="2502" t="s">
        <v>1670</v>
      </c>
      <c r="P150" s="3273"/>
      <c r="Q150" s="3273"/>
      <c r="R150" s="3273"/>
      <c r="S150" s="3273"/>
      <c r="T150" s="3273"/>
      <c r="U150" s="3273"/>
      <c r="V150" s="3273"/>
      <c r="W150" s="3273"/>
      <c r="X150" s="3273"/>
      <c r="Y150" s="3273"/>
      <c r="Z150" s="3273"/>
      <c r="AA150" s="3273"/>
      <c r="AB150" s="3508"/>
      <c r="AC150" s="3274"/>
      <c r="AD150" s="3274"/>
      <c r="AE150" s="3274"/>
      <c r="AF150" s="3274"/>
      <c r="AG150" s="3274"/>
      <c r="AH150" s="3274"/>
      <c r="AI150" s="3274"/>
      <c r="AJ150" s="3274"/>
      <c r="AK150" s="3274"/>
      <c r="AL150" s="3529"/>
      <c r="AM150" s="3525"/>
      <c r="AN150" s="3469"/>
      <c r="AO150" s="3526"/>
      <c r="AP150" s="3527"/>
      <c r="AQ150" s="3527"/>
      <c r="AR150" s="3527"/>
      <c r="AS150" s="3527"/>
      <c r="AT150" s="3527"/>
      <c r="AU150" s="3527"/>
      <c r="AV150" s="3527"/>
      <c r="AW150" s="3527"/>
      <c r="AX150" s="3527"/>
      <c r="AY150" s="3527"/>
      <c r="AZ150" s="3527"/>
      <c r="BA150" s="3527"/>
      <c r="BB150" s="3527"/>
      <c r="BC150" s="3527"/>
      <c r="BD150" s="3527"/>
      <c r="BE150" s="3527"/>
      <c r="BF150" s="3527"/>
      <c r="BG150" s="3527"/>
      <c r="BH150" s="3527"/>
      <c r="BI150" s="3527"/>
      <c r="BJ150" s="3527"/>
      <c r="BK150" s="3527"/>
      <c r="BL150" s="3527"/>
      <c r="BM150" s="3527"/>
      <c r="BN150" s="3535"/>
      <c r="BO150" s="3534"/>
      <c r="BP150" s="3465"/>
      <c r="BQ150" s="3465"/>
      <c r="BR150" s="3465"/>
      <c r="BS150" s="3465"/>
      <c r="BT150" s="3465"/>
      <c r="BU150" s="3465"/>
      <c r="BV150" s="3465"/>
      <c r="BW150" s="3465"/>
      <c r="BX150" s="3465"/>
      <c r="BY150" s="3465"/>
      <c r="BZ150" s="3465"/>
      <c r="CA150" s="3533"/>
      <c r="CB150" s="3534"/>
      <c r="CC150" s="3465"/>
      <c r="CD150" s="3465"/>
      <c r="CE150" s="3465"/>
      <c r="CF150" s="3465"/>
      <c r="CG150" s="3465"/>
      <c r="CH150" s="3465"/>
      <c r="CI150" s="3465"/>
      <c r="CJ150" s="3465"/>
      <c r="CK150" s="3465"/>
      <c r="CL150" s="3465"/>
      <c r="CM150" s="3465"/>
    </row>
    <row r="151" spans="1:91" ht="15.75" thickBot="1">
      <c r="A151" s="3568"/>
      <c r="B151" s="2551" t="str">
        <f t="shared" si="2"/>
        <v>3041540095</v>
      </c>
      <c r="C151" s="2492" t="s">
        <v>724</v>
      </c>
      <c r="D151" s="2026">
        <v>4154</v>
      </c>
      <c r="E151" s="2026">
        <v>95</v>
      </c>
      <c r="F151" s="2027">
        <v>6000</v>
      </c>
      <c r="G151" s="2497" t="s">
        <v>1079</v>
      </c>
      <c r="H151" s="2026" t="s">
        <v>1584</v>
      </c>
      <c r="I151" s="2028">
        <v>1.25</v>
      </c>
      <c r="J151" s="2500">
        <v>0</v>
      </c>
      <c r="K151" s="2500">
        <v>6000</v>
      </c>
      <c r="L151" s="2500">
        <v>0</v>
      </c>
      <c r="M151" s="2500">
        <v>6000</v>
      </c>
      <c r="N151" s="2029">
        <v>0</v>
      </c>
      <c r="O151" s="2452" t="s">
        <v>1690</v>
      </c>
      <c r="P151" s="3359"/>
      <c r="Q151" s="3359"/>
      <c r="R151" s="3359"/>
      <c r="S151" s="3359"/>
      <c r="T151" s="3359"/>
      <c r="U151" s="3359"/>
      <c r="V151" s="3359"/>
      <c r="W151" s="3359"/>
      <c r="X151" s="3359"/>
      <c r="Y151" s="3359"/>
      <c r="Z151" s="3359"/>
      <c r="AA151" s="3359"/>
      <c r="AB151" s="3536"/>
      <c r="AC151" s="3361"/>
      <c r="AD151" s="3361"/>
      <c r="AE151" s="3361"/>
      <c r="AF151" s="3361"/>
      <c r="AG151" s="3361"/>
      <c r="AH151" s="3361"/>
      <c r="AI151" s="3361"/>
      <c r="AJ151" s="3361"/>
      <c r="AK151" s="3361"/>
      <c r="AL151" s="3514"/>
      <c r="AM151" s="3516"/>
      <c r="AN151" s="3470"/>
      <c r="AO151" s="3718"/>
      <c r="AP151" s="3719"/>
      <c r="AQ151" s="3719"/>
      <c r="AR151" s="3719"/>
      <c r="AS151" s="3719"/>
      <c r="AT151" s="3719"/>
      <c r="AU151" s="3719"/>
      <c r="AV151" s="3719"/>
      <c r="AW151" s="3719"/>
      <c r="AX151" s="3719"/>
      <c r="AY151" s="3719"/>
      <c r="AZ151" s="3719"/>
      <c r="BA151" s="3719"/>
      <c r="BB151" s="3719"/>
      <c r="BC151" s="3719"/>
      <c r="BD151" s="3719"/>
      <c r="BE151" s="3719"/>
      <c r="BF151" s="3719"/>
      <c r="BG151" s="3719"/>
      <c r="BH151" s="3719"/>
      <c r="BI151" s="3719"/>
      <c r="BJ151" s="3719"/>
      <c r="BK151" s="3719"/>
      <c r="BL151" s="3719"/>
      <c r="BM151" s="3719"/>
      <c r="BN151" s="3518"/>
      <c r="BO151" s="3520"/>
      <c r="BP151" s="3466"/>
      <c r="BQ151" s="3466"/>
      <c r="BR151" s="3466"/>
      <c r="BS151" s="3466"/>
      <c r="BT151" s="3466"/>
      <c r="BU151" s="3466"/>
      <c r="BV151" s="3466"/>
      <c r="BW151" s="3466"/>
      <c r="BX151" s="3466"/>
      <c r="BY151" s="3466"/>
      <c r="BZ151" s="3466"/>
      <c r="CA151" s="3477"/>
      <c r="CB151" s="3520"/>
      <c r="CC151" s="3466"/>
      <c r="CD151" s="3466"/>
      <c r="CE151" s="3466"/>
      <c r="CF151" s="3466"/>
      <c r="CG151" s="3466"/>
      <c r="CH151" s="3466"/>
      <c r="CI151" s="3466"/>
      <c r="CJ151" s="3466"/>
      <c r="CK151" s="3466"/>
      <c r="CL151" s="3466"/>
      <c r="CM151" s="3466"/>
    </row>
    <row r="152" spans="1:91" ht="15.75" thickBot="1">
      <c r="A152" s="2471" t="s">
        <v>1764</v>
      </c>
      <c r="B152" s="2551">
        <f t="shared" si="2"/>
        <v>0</v>
      </c>
      <c r="C152" s="2466" t="s">
        <v>703</v>
      </c>
      <c r="D152" s="2462"/>
      <c r="E152" s="2462"/>
      <c r="F152" s="2461"/>
      <c r="G152" s="2445"/>
      <c r="H152" s="2462"/>
      <c r="I152" s="2463"/>
      <c r="J152" s="2448"/>
      <c r="K152" s="2448"/>
      <c r="L152" s="2448"/>
      <c r="M152" s="2448"/>
      <c r="N152" s="2438"/>
      <c r="O152" s="2437"/>
      <c r="P152" s="2450"/>
      <c r="Q152" s="2450"/>
      <c r="R152" s="2450"/>
      <c r="S152" s="2450"/>
      <c r="T152" s="2450"/>
      <c r="U152" s="2450"/>
      <c r="V152" s="2450"/>
      <c r="W152" s="2450"/>
      <c r="X152" s="2450"/>
      <c r="Y152" s="2450"/>
      <c r="Z152" s="2450"/>
      <c r="AA152" s="2450"/>
      <c r="AB152" s="2519"/>
      <c r="AC152" s="2448"/>
      <c r="AD152" s="2448"/>
      <c r="AE152" s="2448"/>
      <c r="AF152" s="2448"/>
      <c r="AG152" s="2448"/>
      <c r="AH152" s="2448"/>
      <c r="AI152" s="2448"/>
      <c r="AJ152" s="2448"/>
      <c r="AK152" s="2448"/>
      <c r="AL152" s="2528"/>
      <c r="AM152" s="2118"/>
      <c r="AN152" s="2119"/>
      <c r="AO152" s="2092"/>
      <c r="AP152" s="2120"/>
      <c r="AQ152" s="2120"/>
      <c r="AR152" s="2120"/>
      <c r="AS152" s="2120"/>
      <c r="AT152" s="2120"/>
      <c r="AU152" s="2120"/>
      <c r="AV152" s="2120"/>
      <c r="AW152" s="2120"/>
      <c r="AX152" s="2120"/>
      <c r="AY152" s="2120"/>
      <c r="AZ152" s="2120"/>
      <c r="BA152" s="2120"/>
      <c r="BB152" s="2120"/>
      <c r="BC152" s="2120"/>
      <c r="BD152" s="2120"/>
      <c r="BE152" s="2120"/>
      <c r="BF152" s="2120"/>
      <c r="BG152" s="2120"/>
      <c r="BH152" s="2120"/>
      <c r="BI152" s="2120"/>
      <c r="BJ152" s="2120"/>
      <c r="BK152" s="2120"/>
      <c r="BL152" s="2120"/>
      <c r="BM152" s="2120"/>
      <c r="BN152" s="2121"/>
      <c r="BO152" s="2048"/>
      <c r="BP152" s="2090"/>
      <c r="BQ152" s="2090"/>
      <c r="BR152" s="2090"/>
      <c r="BS152" s="2090"/>
      <c r="BT152" s="2090"/>
      <c r="BU152" s="2090"/>
      <c r="BV152" s="2090"/>
      <c r="BW152" s="2090"/>
      <c r="BX152" s="2090"/>
      <c r="BY152" s="2090"/>
      <c r="BZ152" s="2090"/>
      <c r="CA152" s="2122"/>
      <c r="CB152" s="2048"/>
      <c r="CC152" s="2090"/>
      <c r="CD152" s="2090"/>
      <c r="CE152" s="2090"/>
      <c r="CF152" s="2090"/>
      <c r="CG152" s="2090"/>
      <c r="CH152" s="2090"/>
      <c r="CI152" s="2090"/>
      <c r="CJ152" s="2090"/>
      <c r="CK152" s="2090"/>
      <c r="CL152" s="2090"/>
      <c r="CM152" s="2090"/>
    </row>
    <row r="153" spans="1:91">
      <c r="A153" s="3395" t="s">
        <v>1765</v>
      </c>
      <c r="B153" s="2551" t="str">
        <f t="shared" si="2"/>
        <v>3041620002</v>
      </c>
      <c r="C153" s="2010" t="s">
        <v>703</v>
      </c>
      <c r="D153" s="2011">
        <v>4162</v>
      </c>
      <c r="E153" s="2011">
        <v>2</v>
      </c>
      <c r="F153" s="2494">
        <v>4745</v>
      </c>
      <c r="G153" s="2496" t="s">
        <v>1084</v>
      </c>
      <c r="H153" s="2011" t="s">
        <v>1560</v>
      </c>
      <c r="I153" s="2012">
        <v>1</v>
      </c>
      <c r="J153" s="2491">
        <v>0</v>
      </c>
      <c r="K153" s="2491">
        <v>1560</v>
      </c>
      <c r="L153" s="2491">
        <v>0</v>
      </c>
      <c r="M153" s="2491">
        <v>1560</v>
      </c>
      <c r="N153" s="2489">
        <v>0</v>
      </c>
      <c r="O153" s="2437" t="s">
        <v>1572</v>
      </c>
      <c r="P153" s="3272">
        <v>1944</v>
      </c>
      <c r="Q153" s="3272">
        <v>0</v>
      </c>
      <c r="R153" s="3272">
        <v>0</v>
      </c>
      <c r="S153" s="3272">
        <v>0</v>
      </c>
      <c r="T153" s="3272">
        <v>1560</v>
      </c>
      <c r="U153" s="3272">
        <v>0</v>
      </c>
      <c r="V153" s="3272">
        <v>0</v>
      </c>
      <c r="W153" s="3272">
        <v>0</v>
      </c>
      <c r="X153" s="3272">
        <v>0</v>
      </c>
      <c r="Y153" s="3272">
        <v>0</v>
      </c>
      <c r="Z153" s="3272">
        <v>0</v>
      </c>
      <c r="AA153" s="3272">
        <v>0</v>
      </c>
      <c r="AB153" s="3507">
        <v>3504</v>
      </c>
      <c r="AC153" s="3265">
        <v>1</v>
      </c>
      <c r="AD153" s="3265">
        <v>0</v>
      </c>
      <c r="AE153" s="3265">
        <v>0</v>
      </c>
      <c r="AF153" s="3265">
        <v>0</v>
      </c>
      <c r="AG153" s="3265">
        <v>0</v>
      </c>
      <c r="AH153" s="3265">
        <v>0</v>
      </c>
      <c r="AI153" s="3265">
        <v>0</v>
      </c>
      <c r="AJ153" s="3265">
        <v>0</v>
      </c>
      <c r="AK153" s="3265">
        <v>0</v>
      </c>
      <c r="AL153" s="3513">
        <v>25</v>
      </c>
      <c r="AM153" s="3515" t="s">
        <v>705</v>
      </c>
      <c r="AN153" s="3512" t="s">
        <v>706</v>
      </c>
      <c r="AO153" s="3407" t="s">
        <v>1637</v>
      </c>
      <c r="AP153" s="3511">
        <v>21867</v>
      </c>
      <c r="AQ153" s="3511">
        <v>5094</v>
      </c>
      <c r="AR153" s="3511">
        <v>0</v>
      </c>
      <c r="AS153" s="3511">
        <v>0</v>
      </c>
      <c r="AT153" s="3511">
        <v>0</v>
      </c>
      <c r="AU153" s="3511">
        <v>0</v>
      </c>
      <c r="AV153" s="3511">
        <v>0</v>
      </c>
      <c r="AW153" s="3511">
        <v>0</v>
      </c>
      <c r="AX153" s="3511">
        <v>0</v>
      </c>
      <c r="AY153" s="3511">
        <v>0</v>
      </c>
      <c r="AZ153" s="3511">
        <v>0</v>
      </c>
      <c r="BA153" s="3511">
        <v>0</v>
      </c>
      <c r="BB153" s="3511">
        <v>26961</v>
      </c>
      <c r="BC153" s="3511">
        <v>21</v>
      </c>
      <c r="BD153" s="3511">
        <v>10.9335</v>
      </c>
      <c r="BE153" s="3511">
        <v>5</v>
      </c>
      <c r="BF153" s="3511">
        <v>0</v>
      </c>
      <c r="BG153" s="3511">
        <v>5</v>
      </c>
      <c r="BH153" s="3511">
        <v>0</v>
      </c>
      <c r="BI153" s="3511">
        <v>0</v>
      </c>
      <c r="BJ153" s="3511">
        <v>0</v>
      </c>
      <c r="BK153" s="3511">
        <v>0</v>
      </c>
      <c r="BL153" s="3511">
        <v>0</v>
      </c>
      <c r="BM153" s="3511">
        <v>10</v>
      </c>
      <c r="BN153" s="3517">
        <v>105</v>
      </c>
      <c r="BO153" s="3519">
        <v>19923</v>
      </c>
      <c r="BP153" s="3464">
        <v>5094</v>
      </c>
      <c r="BQ153" s="3464">
        <v>0</v>
      </c>
      <c r="BR153" s="3464">
        <v>0</v>
      </c>
      <c r="BS153" s="3464">
        <v>0</v>
      </c>
      <c r="BT153" s="3464">
        <v>-1560</v>
      </c>
      <c r="BU153" s="3464">
        <v>0</v>
      </c>
      <c r="BV153" s="3464">
        <v>0</v>
      </c>
      <c r="BW153" s="3464">
        <v>0</v>
      </c>
      <c r="BX153" s="3464">
        <v>0</v>
      </c>
      <c r="BY153" s="3464">
        <v>0</v>
      </c>
      <c r="BZ153" s="3464">
        <v>0</v>
      </c>
      <c r="CA153" s="3524">
        <v>0</v>
      </c>
      <c r="CB153" s="3519">
        <v>23457</v>
      </c>
      <c r="CC153" s="3464">
        <v>3534</v>
      </c>
      <c r="CD153" s="3464">
        <v>20</v>
      </c>
      <c r="CE153" s="3464">
        <v>10.9335</v>
      </c>
      <c r="CF153" s="3464">
        <v>5</v>
      </c>
      <c r="CG153" s="3464">
        <v>0</v>
      </c>
      <c r="CH153" s="3464">
        <v>5</v>
      </c>
      <c r="CI153" s="3464">
        <v>0</v>
      </c>
      <c r="CJ153" s="3464">
        <v>0</v>
      </c>
      <c r="CK153" s="3464">
        <v>0</v>
      </c>
      <c r="CL153" s="3464">
        <v>0</v>
      </c>
      <c r="CM153" s="3464">
        <v>0</v>
      </c>
    </row>
    <row r="154" spans="1:91" ht="15.75" thickBot="1">
      <c r="A154" s="3651"/>
      <c r="B154" s="2551" t="str">
        <f t="shared" si="2"/>
        <v>3041620010</v>
      </c>
      <c r="C154" s="2041" t="s">
        <v>710</v>
      </c>
      <c r="D154" s="2479">
        <v>4162</v>
      </c>
      <c r="E154" s="2479">
        <v>10</v>
      </c>
      <c r="F154" s="2482">
        <v>1116</v>
      </c>
      <c r="G154" s="2447" t="s">
        <v>1084</v>
      </c>
      <c r="H154" s="2479" t="s">
        <v>1560</v>
      </c>
      <c r="I154" s="2465">
        <v>1</v>
      </c>
      <c r="J154" s="2480">
        <v>0</v>
      </c>
      <c r="K154" s="2480">
        <v>0</v>
      </c>
      <c r="L154" s="2480">
        <v>0</v>
      </c>
      <c r="M154" s="2480">
        <v>1944</v>
      </c>
      <c r="N154" s="2443">
        <v>3</v>
      </c>
      <c r="O154" s="2503" t="s">
        <v>1578</v>
      </c>
      <c r="P154" s="3359"/>
      <c r="Q154" s="3359"/>
      <c r="R154" s="3359"/>
      <c r="S154" s="3359"/>
      <c r="T154" s="3359"/>
      <c r="U154" s="3359"/>
      <c r="V154" s="3359"/>
      <c r="W154" s="3359"/>
      <c r="X154" s="3359"/>
      <c r="Y154" s="3359"/>
      <c r="Z154" s="3359"/>
      <c r="AA154" s="3359"/>
      <c r="AB154" s="3536"/>
      <c r="AC154" s="3361"/>
      <c r="AD154" s="3361"/>
      <c r="AE154" s="3361"/>
      <c r="AF154" s="3361"/>
      <c r="AG154" s="3361"/>
      <c r="AH154" s="3361"/>
      <c r="AI154" s="3361"/>
      <c r="AJ154" s="3361"/>
      <c r="AK154" s="3361"/>
      <c r="AL154" s="3514"/>
      <c r="AM154" s="3516"/>
      <c r="AN154" s="3470"/>
      <c r="AO154" s="3718"/>
      <c r="AP154" s="3719"/>
      <c r="AQ154" s="3719"/>
      <c r="AR154" s="3719"/>
      <c r="AS154" s="3719"/>
      <c r="AT154" s="3719"/>
      <c r="AU154" s="3719"/>
      <c r="AV154" s="3719"/>
      <c r="AW154" s="3719"/>
      <c r="AX154" s="3719"/>
      <c r="AY154" s="3719"/>
      <c r="AZ154" s="3719"/>
      <c r="BA154" s="3719"/>
      <c r="BB154" s="3719"/>
      <c r="BC154" s="3719"/>
      <c r="BD154" s="3719"/>
      <c r="BE154" s="3719"/>
      <c r="BF154" s="3719"/>
      <c r="BG154" s="3719"/>
      <c r="BH154" s="3719"/>
      <c r="BI154" s="3719"/>
      <c r="BJ154" s="3719"/>
      <c r="BK154" s="3719"/>
      <c r="BL154" s="3719"/>
      <c r="BM154" s="3719"/>
      <c r="BN154" s="3518"/>
      <c r="BO154" s="3520"/>
      <c r="BP154" s="3466"/>
      <c r="BQ154" s="3466"/>
      <c r="BR154" s="3466"/>
      <c r="BS154" s="3466"/>
      <c r="BT154" s="3466"/>
      <c r="BU154" s="3466"/>
      <c r="BV154" s="3466"/>
      <c r="BW154" s="3466"/>
      <c r="BX154" s="3466"/>
      <c r="BY154" s="3466"/>
      <c r="BZ154" s="3466"/>
      <c r="CA154" s="3477"/>
      <c r="CB154" s="3520"/>
      <c r="CC154" s="3466"/>
      <c r="CD154" s="3466"/>
      <c r="CE154" s="3466"/>
      <c r="CF154" s="3466"/>
      <c r="CG154" s="3466"/>
      <c r="CH154" s="3466"/>
      <c r="CI154" s="3466"/>
      <c r="CJ154" s="3466"/>
      <c r="CK154" s="3466"/>
      <c r="CL154" s="3466"/>
      <c r="CM154" s="3466"/>
    </row>
    <row r="155" spans="1:91">
      <c r="A155" s="3555" t="s">
        <v>1766</v>
      </c>
      <c r="B155" s="2551" t="str">
        <f t="shared" si="2"/>
        <v>3042110043</v>
      </c>
      <c r="C155" s="2022" t="s">
        <v>703</v>
      </c>
      <c r="D155" s="2023">
        <v>4211</v>
      </c>
      <c r="E155" s="2023">
        <v>43</v>
      </c>
      <c r="F155" s="2506">
        <v>4000</v>
      </c>
      <c r="G155" s="2507" t="s">
        <v>1079</v>
      </c>
      <c r="H155" s="2023" t="s">
        <v>1345</v>
      </c>
      <c r="I155" s="2024">
        <v>1.25</v>
      </c>
      <c r="J155" s="2505">
        <v>0</v>
      </c>
      <c r="K155" s="2505">
        <v>0</v>
      </c>
      <c r="L155" s="2505">
        <v>0</v>
      </c>
      <c r="M155" s="2505">
        <v>0</v>
      </c>
      <c r="N155" s="2025">
        <v>0</v>
      </c>
      <c r="O155" s="2452" t="s">
        <v>720</v>
      </c>
      <c r="P155" s="3288">
        <v>0</v>
      </c>
      <c r="Q155" s="3288">
        <v>0</v>
      </c>
      <c r="R155" s="3288">
        <v>0</v>
      </c>
      <c r="S155" s="3288">
        <v>0</v>
      </c>
      <c r="T155" s="3288">
        <v>0</v>
      </c>
      <c r="U155" s="3288">
        <v>0</v>
      </c>
      <c r="V155" s="3288">
        <v>0</v>
      </c>
      <c r="W155" s="3288">
        <v>0</v>
      </c>
      <c r="X155" s="3288">
        <v>0</v>
      </c>
      <c r="Y155" s="3288">
        <v>0</v>
      </c>
      <c r="Z155" s="3288">
        <v>0</v>
      </c>
      <c r="AA155" s="3288">
        <v>0</v>
      </c>
      <c r="AB155" s="3531">
        <v>0</v>
      </c>
      <c r="AC155" s="3281">
        <v>0</v>
      </c>
      <c r="AD155" s="3281">
        <v>0</v>
      </c>
      <c r="AE155" s="3281">
        <v>0</v>
      </c>
      <c r="AF155" s="3281">
        <v>0</v>
      </c>
      <c r="AG155" s="3281">
        <v>0</v>
      </c>
      <c r="AH155" s="3281">
        <v>0</v>
      </c>
      <c r="AI155" s="3281">
        <v>0</v>
      </c>
      <c r="AJ155" s="3281">
        <v>0</v>
      </c>
      <c r="AK155" s="3281">
        <v>0</v>
      </c>
      <c r="AL155" s="3513">
        <v>0</v>
      </c>
      <c r="AM155" s="3515" t="s">
        <v>705</v>
      </c>
      <c r="AN155" s="3512" t="s">
        <v>706</v>
      </c>
      <c r="AO155" s="3407" t="s">
        <v>1767</v>
      </c>
      <c r="AP155" s="3511">
        <v>18240</v>
      </c>
      <c r="AQ155" s="3511">
        <v>4160</v>
      </c>
      <c r="AR155" s="3511">
        <v>0</v>
      </c>
      <c r="AS155" s="3511">
        <v>0</v>
      </c>
      <c r="AT155" s="3511">
        <v>0</v>
      </c>
      <c r="AU155" s="3511">
        <v>0</v>
      </c>
      <c r="AV155" s="3511">
        <v>0</v>
      </c>
      <c r="AW155" s="3511">
        <v>0</v>
      </c>
      <c r="AX155" s="3511">
        <v>0</v>
      </c>
      <c r="AY155" s="3511">
        <v>0</v>
      </c>
      <c r="AZ155" s="3511">
        <v>0</v>
      </c>
      <c r="BA155" s="3511">
        <v>5200</v>
      </c>
      <c r="BB155" s="3511">
        <v>27600</v>
      </c>
      <c r="BC155" s="3511">
        <v>18</v>
      </c>
      <c r="BD155" s="3511">
        <v>9.1199999999999992</v>
      </c>
      <c r="BE155" s="3511">
        <v>5</v>
      </c>
      <c r="BF155" s="3511">
        <v>0</v>
      </c>
      <c r="BG155" s="3511">
        <v>4</v>
      </c>
      <c r="BH155" s="3511">
        <v>0</v>
      </c>
      <c r="BI155" s="3511">
        <v>0</v>
      </c>
      <c r="BJ155" s="3511">
        <v>0</v>
      </c>
      <c r="BK155" s="3511">
        <v>0</v>
      </c>
      <c r="BL155" s="3511">
        <v>0</v>
      </c>
      <c r="BM155" s="3511">
        <v>9</v>
      </c>
      <c r="BN155" s="3517">
        <v>105</v>
      </c>
      <c r="BO155" s="3519">
        <v>18240</v>
      </c>
      <c r="BP155" s="3464">
        <v>4160</v>
      </c>
      <c r="BQ155" s="3464">
        <v>0</v>
      </c>
      <c r="BR155" s="3464">
        <v>0</v>
      </c>
      <c r="BS155" s="3464">
        <v>0</v>
      </c>
      <c r="BT155" s="3464">
        <v>0</v>
      </c>
      <c r="BU155" s="3464">
        <v>0</v>
      </c>
      <c r="BV155" s="3464">
        <v>0</v>
      </c>
      <c r="BW155" s="3464">
        <v>0</v>
      </c>
      <c r="BX155" s="3464">
        <v>0</v>
      </c>
      <c r="BY155" s="3464">
        <v>0</v>
      </c>
      <c r="BZ155" s="3464">
        <v>0</v>
      </c>
      <c r="CA155" s="3524">
        <v>5200</v>
      </c>
      <c r="CB155" s="3519">
        <v>27600</v>
      </c>
      <c r="CC155" s="3464">
        <v>4160</v>
      </c>
      <c r="CD155" s="3464">
        <v>18</v>
      </c>
      <c r="CE155" s="3464">
        <v>9.1199999999999992</v>
      </c>
      <c r="CF155" s="3464">
        <v>5</v>
      </c>
      <c r="CG155" s="3464">
        <v>0</v>
      </c>
      <c r="CH155" s="3464">
        <v>4</v>
      </c>
      <c r="CI155" s="3464">
        <v>0</v>
      </c>
      <c r="CJ155" s="3464">
        <v>0</v>
      </c>
      <c r="CK155" s="3464">
        <v>0</v>
      </c>
      <c r="CL155" s="3464">
        <v>0</v>
      </c>
      <c r="CM155" s="3464">
        <v>0</v>
      </c>
    </row>
    <row r="156" spans="1:91" ht="15.75" thickBot="1">
      <c r="A156" s="3569"/>
      <c r="B156" s="2551" t="str">
        <f t="shared" si="2"/>
        <v>3042110045</v>
      </c>
      <c r="C156" s="2468" t="s">
        <v>710</v>
      </c>
      <c r="D156" s="2014">
        <v>4211</v>
      </c>
      <c r="E156" s="2014">
        <v>45</v>
      </c>
      <c r="F156" s="2038">
        <v>2000</v>
      </c>
      <c r="G156" s="2133" t="s">
        <v>1079</v>
      </c>
      <c r="H156" s="2014" t="s">
        <v>1345</v>
      </c>
      <c r="I156" s="2016">
        <v>1.25</v>
      </c>
      <c r="J156" s="2538">
        <v>0</v>
      </c>
      <c r="K156" s="2538">
        <v>0</v>
      </c>
      <c r="L156" s="2538">
        <v>0</v>
      </c>
      <c r="M156" s="2538">
        <v>0</v>
      </c>
      <c r="N156" s="2508">
        <v>0</v>
      </c>
      <c r="O156" s="2503" t="s">
        <v>720</v>
      </c>
      <c r="P156" s="3359"/>
      <c r="Q156" s="3359"/>
      <c r="R156" s="3359"/>
      <c r="S156" s="3359"/>
      <c r="T156" s="3359"/>
      <c r="U156" s="3359"/>
      <c r="V156" s="3359"/>
      <c r="W156" s="3359"/>
      <c r="X156" s="3359"/>
      <c r="Y156" s="3359"/>
      <c r="Z156" s="3359"/>
      <c r="AA156" s="3359"/>
      <c r="AB156" s="3536"/>
      <c r="AC156" s="3361"/>
      <c r="AD156" s="3361"/>
      <c r="AE156" s="3361"/>
      <c r="AF156" s="3361"/>
      <c r="AG156" s="3361"/>
      <c r="AH156" s="3361"/>
      <c r="AI156" s="3361"/>
      <c r="AJ156" s="3361"/>
      <c r="AK156" s="3361"/>
      <c r="AL156" s="3514"/>
      <c r="AM156" s="3516"/>
      <c r="AN156" s="3470"/>
      <c r="AO156" s="3718"/>
      <c r="AP156" s="3719"/>
      <c r="AQ156" s="3719"/>
      <c r="AR156" s="3719"/>
      <c r="AS156" s="3719"/>
      <c r="AT156" s="3719"/>
      <c r="AU156" s="3719"/>
      <c r="AV156" s="3719"/>
      <c r="AW156" s="3719"/>
      <c r="AX156" s="3719"/>
      <c r="AY156" s="3719"/>
      <c r="AZ156" s="3719"/>
      <c r="BA156" s="3719"/>
      <c r="BB156" s="3719"/>
      <c r="BC156" s="3719"/>
      <c r="BD156" s="3719"/>
      <c r="BE156" s="3719"/>
      <c r="BF156" s="3719"/>
      <c r="BG156" s="3719"/>
      <c r="BH156" s="3719"/>
      <c r="BI156" s="3719"/>
      <c r="BJ156" s="3719"/>
      <c r="BK156" s="3719"/>
      <c r="BL156" s="3719"/>
      <c r="BM156" s="3719"/>
      <c r="BN156" s="3518"/>
      <c r="BO156" s="3520"/>
      <c r="BP156" s="3466"/>
      <c r="BQ156" s="3466"/>
      <c r="BR156" s="3466"/>
      <c r="BS156" s="3466"/>
      <c r="BT156" s="3466"/>
      <c r="BU156" s="3466"/>
      <c r="BV156" s="3466"/>
      <c r="BW156" s="3466"/>
      <c r="BX156" s="3466"/>
      <c r="BY156" s="3466"/>
      <c r="BZ156" s="3466"/>
      <c r="CA156" s="3477"/>
      <c r="CB156" s="3520"/>
      <c r="CC156" s="3466"/>
      <c r="CD156" s="3466"/>
      <c r="CE156" s="3466"/>
      <c r="CF156" s="3466"/>
      <c r="CG156" s="3466"/>
      <c r="CH156" s="3466"/>
      <c r="CI156" s="3466"/>
      <c r="CJ156" s="3466"/>
      <c r="CK156" s="3466"/>
      <c r="CL156" s="3466"/>
      <c r="CM156" s="3466"/>
    </row>
    <row r="157" spans="1:91">
      <c r="A157" s="3395" t="s">
        <v>1768</v>
      </c>
      <c r="B157" s="2551" t="str">
        <f t="shared" si="2"/>
        <v>3039620009</v>
      </c>
      <c r="C157" s="3481" t="s">
        <v>703</v>
      </c>
      <c r="D157" s="3389">
        <v>3962</v>
      </c>
      <c r="E157" s="3389">
        <v>9</v>
      </c>
      <c r="F157" s="3275">
        <v>20114</v>
      </c>
      <c r="G157" s="3277" t="s">
        <v>1566</v>
      </c>
      <c r="H157" s="3389" t="s">
        <v>1560</v>
      </c>
      <c r="I157" s="3478">
        <v>2</v>
      </c>
      <c r="J157" s="3265">
        <v>3018</v>
      </c>
      <c r="K157" s="3265">
        <v>0</v>
      </c>
      <c r="L157" s="3265">
        <v>0</v>
      </c>
      <c r="M157" s="3265">
        <v>3018</v>
      </c>
      <c r="N157" s="3345">
        <v>0</v>
      </c>
      <c r="O157" s="3346" t="s">
        <v>1769</v>
      </c>
      <c r="P157" s="3272">
        <v>0</v>
      </c>
      <c r="Q157" s="3265">
        <v>0</v>
      </c>
      <c r="R157" s="3265">
        <v>0</v>
      </c>
      <c r="S157" s="3265">
        <v>3018</v>
      </c>
      <c r="T157" s="3265">
        <v>0</v>
      </c>
      <c r="U157" s="3265">
        <v>0</v>
      </c>
      <c r="V157" s="3265">
        <v>0</v>
      </c>
      <c r="W157" s="3265">
        <v>0</v>
      </c>
      <c r="X157" s="3265">
        <v>0</v>
      </c>
      <c r="Y157" s="3265">
        <v>0</v>
      </c>
      <c r="Z157" s="3265">
        <v>0</v>
      </c>
      <c r="AA157" s="3265">
        <v>0</v>
      </c>
      <c r="AB157" s="3265">
        <v>3018</v>
      </c>
      <c r="AC157" s="3265">
        <v>0</v>
      </c>
      <c r="AD157" s="3265">
        <v>0</v>
      </c>
      <c r="AE157" s="3265">
        <v>35</v>
      </c>
      <c r="AF157" s="3265">
        <v>0</v>
      </c>
      <c r="AG157" s="3265">
        <v>0</v>
      </c>
      <c r="AH157" s="3265">
        <v>0</v>
      </c>
      <c r="AI157" s="3265">
        <v>0</v>
      </c>
      <c r="AJ157" s="3265">
        <v>0</v>
      </c>
      <c r="AK157" s="3265">
        <v>35</v>
      </c>
      <c r="AL157" s="3275">
        <v>15</v>
      </c>
      <c r="AM157" s="2173" t="s">
        <v>741</v>
      </c>
      <c r="AN157" s="2174" t="s">
        <v>706</v>
      </c>
      <c r="AO157" s="2175" t="s">
        <v>1770</v>
      </c>
      <c r="AP157" s="3511">
        <v>141725</v>
      </c>
      <c r="AQ157" s="3511">
        <v>28705.200000000004</v>
      </c>
      <c r="AR157" s="3511">
        <v>0</v>
      </c>
      <c r="AS157" s="3511">
        <v>7500</v>
      </c>
      <c r="AT157" s="3511">
        <v>0</v>
      </c>
      <c r="AU157" s="3511">
        <v>0</v>
      </c>
      <c r="AV157" s="3511">
        <v>0</v>
      </c>
      <c r="AW157" s="3511">
        <v>0</v>
      </c>
      <c r="AX157" s="3511">
        <v>0</v>
      </c>
      <c r="AY157" s="3511">
        <v>0</v>
      </c>
      <c r="AZ157" s="3511">
        <v>0</v>
      </c>
      <c r="BA157" s="3511">
        <v>0</v>
      </c>
      <c r="BB157" s="3511">
        <v>177930.2</v>
      </c>
      <c r="BC157" s="3511">
        <v>141</v>
      </c>
      <c r="BD157" s="3511">
        <v>70.862499999999997</v>
      </c>
      <c r="BE157" s="3511">
        <v>30</v>
      </c>
      <c r="BF157" s="3511">
        <v>0</v>
      </c>
      <c r="BG157" s="3511">
        <v>36</v>
      </c>
      <c r="BH157" s="3511">
        <v>0</v>
      </c>
      <c r="BI157" s="3511">
        <v>0</v>
      </c>
      <c r="BJ157" s="3511">
        <v>0</v>
      </c>
      <c r="BK157" s="3511">
        <v>0</v>
      </c>
      <c r="BL157" s="3511">
        <v>0</v>
      </c>
      <c r="BM157" s="3511">
        <v>66</v>
      </c>
      <c r="BN157" s="3517">
        <v>145</v>
      </c>
      <c r="BO157" s="3605">
        <v>141725</v>
      </c>
      <c r="BP157" s="3464">
        <v>28705.200000000004</v>
      </c>
      <c r="BQ157" s="3464">
        <v>0</v>
      </c>
      <c r="BR157" s="3464">
        <v>0</v>
      </c>
      <c r="BS157" s="3464">
        <v>4482</v>
      </c>
      <c r="BT157" s="3464">
        <v>0</v>
      </c>
      <c r="BU157" s="3464">
        <v>0</v>
      </c>
      <c r="BV157" s="3464">
        <v>0</v>
      </c>
      <c r="BW157" s="3464">
        <v>0</v>
      </c>
      <c r="BX157" s="3464">
        <v>0</v>
      </c>
      <c r="BY157" s="3464">
        <v>0</v>
      </c>
      <c r="BZ157" s="3464">
        <v>0</v>
      </c>
      <c r="CA157" s="3524">
        <v>0</v>
      </c>
      <c r="CB157" s="3605">
        <v>174912.2</v>
      </c>
      <c r="CC157" s="3464">
        <v>33187.200000000004</v>
      </c>
      <c r="CD157" s="3464">
        <v>141</v>
      </c>
      <c r="CE157" s="3464">
        <v>70.862499999999997</v>
      </c>
      <c r="CF157" s="3464">
        <v>30</v>
      </c>
      <c r="CG157" s="3464">
        <v>0</v>
      </c>
      <c r="CH157" s="3524">
        <v>1</v>
      </c>
      <c r="CI157" s="3524">
        <v>0</v>
      </c>
      <c r="CJ157" s="3524">
        <v>0</v>
      </c>
      <c r="CK157" s="3524">
        <v>0</v>
      </c>
      <c r="CL157" s="3524">
        <v>0</v>
      </c>
      <c r="CM157" s="3524">
        <v>0</v>
      </c>
    </row>
    <row r="158" spans="1:91" ht="15.75" thickBot="1">
      <c r="A158" s="3652"/>
      <c r="B158" s="2551">
        <f t="shared" si="2"/>
        <v>0</v>
      </c>
      <c r="C158" s="3361"/>
      <c r="D158" s="3361"/>
      <c r="E158" s="3361"/>
      <c r="F158" s="3365"/>
      <c r="G158" s="3378"/>
      <c r="H158" s="3361"/>
      <c r="I158" s="3361"/>
      <c r="J158" s="3361"/>
      <c r="K158" s="3361"/>
      <c r="L158" s="3361"/>
      <c r="M158" s="3361"/>
      <c r="N158" s="3365"/>
      <c r="O158" s="3359"/>
      <c r="P158" s="3359"/>
      <c r="Q158" s="3361"/>
      <c r="R158" s="3361"/>
      <c r="S158" s="3361"/>
      <c r="T158" s="3361"/>
      <c r="U158" s="3361"/>
      <c r="V158" s="3361"/>
      <c r="W158" s="3361"/>
      <c r="X158" s="3361"/>
      <c r="Y158" s="3361"/>
      <c r="Z158" s="3361"/>
      <c r="AA158" s="3361"/>
      <c r="AB158" s="3361"/>
      <c r="AC158" s="3361"/>
      <c r="AD158" s="3361"/>
      <c r="AE158" s="3361"/>
      <c r="AF158" s="3361"/>
      <c r="AG158" s="3361"/>
      <c r="AH158" s="3361"/>
      <c r="AI158" s="3361"/>
      <c r="AJ158" s="3361"/>
      <c r="AK158" s="3361"/>
      <c r="AL158" s="3365"/>
      <c r="AM158" s="2176" t="s">
        <v>1612</v>
      </c>
      <c r="AN158" s="3739" t="s">
        <v>1560</v>
      </c>
      <c r="AO158" s="2458" t="s">
        <v>1613</v>
      </c>
      <c r="AP158" s="3729"/>
      <c r="AQ158" s="3729"/>
      <c r="AR158" s="3729"/>
      <c r="AS158" s="3729"/>
      <c r="AT158" s="3729"/>
      <c r="AU158" s="3729"/>
      <c r="AV158" s="3729"/>
      <c r="AW158" s="3729"/>
      <c r="AX158" s="3729"/>
      <c r="AY158" s="3729"/>
      <c r="AZ158" s="3729"/>
      <c r="BA158" s="3729"/>
      <c r="BB158" s="3729"/>
      <c r="BC158" s="3740"/>
      <c r="BD158" s="3729"/>
      <c r="BE158" s="3729"/>
      <c r="BF158" s="3729"/>
      <c r="BG158" s="3729"/>
      <c r="BH158" s="3729"/>
      <c r="BI158" s="3729"/>
      <c r="BJ158" s="3729"/>
      <c r="BK158" s="3729"/>
      <c r="BL158" s="3729"/>
      <c r="BM158" s="3729"/>
      <c r="BN158" s="3611"/>
      <c r="BO158" s="3607"/>
      <c r="BP158" s="3488"/>
      <c r="BQ158" s="3488"/>
      <c r="BR158" s="3488"/>
      <c r="BS158" s="3488"/>
      <c r="BT158" s="3488"/>
      <c r="BU158" s="3488"/>
      <c r="BV158" s="3488"/>
      <c r="BW158" s="3488"/>
      <c r="BX158" s="3488"/>
      <c r="BY158" s="3488"/>
      <c r="BZ158" s="3488"/>
      <c r="CA158" s="3609"/>
      <c r="CB158" s="3607"/>
      <c r="CC158" s="3488"/>
      <c r="CD158" s="3488"/>
      <c r="CE158" s="3488"/>
      <c r="CF158" s="3488"/>
      <c r="CG158" s="3488"/>
      <c r="CH158" s="3609"/>
      <c r="CI158" s="3609"/>
      <c r="CJ158" s="3609"/>
      <c r="CK158" s="3609"/>
      <c r="CL158" s="3609"/>
      <c r="CM158" s="3609"/>
    </row>
    <row r="159" spans="1:91" ht="15.75" thickBot="1">
      <c r="A159" s="2534" t="s">
        <v>1771</v>
      </c>
      <c r="B159" s="2551" t="str">
        <f t="shared" si="2"/>
        <v>3039580049</v>
      </c>
      <c r="C159" s="2022" t="s">
        <v>703</v>
      </c>
      <c r="D159" s="2023">
        <v>3958</v>
      </c>
      <c r="E159" s="2023">
        <v>49</v>
      </c>
      <c r="F159" s="2506">
        <v>20653</v>
      </c>
      <c r="G159" s="2507" t="s">
        <v>1566</v>
      </c>
      <c r="H159" s="2023" t="s">
        <v>1560</v>
      </c>
      <c r="I159" s="2024">
        <v>2</v>
      </c>
      <c r="J159" s="2505">
        <v>4332</v>
      </c>
      <c r="K159" s="2505">
        <v>0</v>
      </c>
      <c r="L159" s="2505">
        <v>0</v>
      </c>
      <c r="M159" s="2505">
        <v>4332</v>
      </c>
      <c r="N159" s="2489">
        <v>0</v>
      </c>
      <c r="O159" s="2490" t="s">
        <v>1769</v>
      </c>
      <c r="P159" s="2504">
        <v>0</v>
      </c>
      <c r="Q159" s="2504">
        <v>0</v>
      </c>
      <c r="R159" s="2504">
        <v>0</v>
      </c>
      <c r="S159" s="2504">
        <v>4332</v>
      </c>
      <c r="T159" s="2504">
        <v>0</v>
      </c>
      <c r="U159" s="2504">
        <v>0</v>
      </c>
      <c r="V159" s="2504">
        <v>0</v>
      </c>
      <c r="W159" s="2504">
        <v>0</v>
      </c>
      <c r="X159" s="2504">
        <v>0</v>
      </c>
      <c r="Y159" s="2504">
        <v>0</v>
      </c>
      <c r="Z159" s="2504">
        <v>0</v>
      </c>
      <c r="AA159" s="2504">
        <v>0</v>
      </c>
      <c r="AB159" s="2142">
        <v>4332</v>
      </c>
      <c r="AC159" s="2505">
        <v>0</v>
      </c>
      <c r="AD159" s="2505">
        <v>0</v>
      </c>
      <c r="AE159" s="2505">
        <v>21</v>
      </c>
      <c r="AF159" s="2505">
        <v>0</v>
      </c>
      <c r="AG159" s="2505">
        <v>0</v>
      </c>
      <c r="AH159" s="2505">
        <v>0</v>
      </c>
      <c r="AI159" s="2505">
        <v>0</v>
      </c>
      <c r="AJ159" s="2505">
        <v>0</v>
      </c>
      <c r="AK159" s="2505">
        <v>21</v>
      </c>
      <c r="AL159" s="2532">
        <v>15</v>
      </c>
      <c r="AM159" s="2176" t="s">
        <v>741</v>
      </c>
      <c r="AN159" s="3739" t="s">
        <v>706</v>
      </c>
      <c r="AO159" s="2458" t="s">
        <v>1595</v>
      </c>
      <c r="AP159" s="3741">
        <v>133856</v>
      </c>
      <c r="AQ159" s="3741">
        <v>14845.5</v>
      </c>
      <c r="AR159" s="3741">
        <v>0</v>
      </c>
      <c r="AS159" s="3741">
        <v>0</v>
      </c>
      <c r="AT159" s="3741">
        <v>0</v>
      </c>
      <c r="AU159" s="3741">
        <v>0</v>
      </c>
      <c r="AV159" s="3741">
        <v>0</v>
      </c>
      <c r="AW159" s="3741">
        <v>0</v>
      </c>
      <c r="AX159" s="3741">
        <v>0</v>
      </c>
      <c r="AY159" s="3741">
        <v>0</v>
      </c>
      <c r="AZ159" s="3741">
        <v>0</v>
      </c>
      <c r="BA159" s="3741">
        <v>0</v>
      </c>
      <c r="BB159" s="3741">
        <v>148701.5</v>
      </c>
      <c r="BC159" s="3741">
        <v>133</v>
      </c>
      <c r="BD159" s="3741">
        <v>66.927999999999997</v>
      </c>
      <c r="BE159" s="3741">
        <v>27</v>
      </c>
      <c r="BF159" s="3741">
        <v>0</v>
      </c>
      <c r="BG159" s="3741">
        <v>15</v>
      </c>
      <c r="BH159" s="3741">
        <v>0</v>
      </c>
      <c r="BI159" s="3741">
        <v>0</v>
      </c>
      <c r="BJ159" s="3741">
        <v>0</v>
      </c>
      <c r="BK159" s="3741">
        <v>0</v>
      </c>
      <c r="BL159" s="3741">
        <v>0</v>
      </c>
      <c r="BM159" s="3741">
        <v>42</v>
      </c>
      <c r="BN159" s="2177">
        <v>145</v>
      </c>
      <c r="BO159" s="2031">
        <v>133856</v>
      </c>
      <c r="BP159" s="2460">
        <v>14845.5</v>
      </c>
      <c r="BQ159" s="2460">
        <v>0</v>
      </c>
      <c r="BR159" s="2460">
        <v>0</v>
      </c>
      <c r="BS159" s="2460">
        <v>-4332</v>
      </c>
      <c r="BT159" s="2460">
        <v>0</v>
      </c>
      <c r="BU159" s="2460">
        <v>0</v>
      </c>
      <c r="BV159" s="2460">
        <v>0</v>
      </c>
      <c r="BW159" s="2460">
        <v>0</v>
      </c>
      <c r="BX159" s="2460">
        <v>0</v>
      </c>
      <c r="BY159" s="2460">
        <v>0</v>
      </c>
      <c r="BZ159" s="2460">
        <v>0</v>
      </c>
      <c r="CA159" s="2535">
        <v>0</v>
      </c>
      <c r="CB159" s="2031">
        <v>144369.5</v>
      </c>
      <c r="CC159" s="2460">
        <v>10513.5</v>
      </c>
      <c r="CD159" s="2460">
        <v>133</v>
      </c>
      <c r="CE159" s="2460">
        <v>66.927999999999997</v>
      </c>
      <c r="CF159" s="2460">
        <v>27</v>
      </c>
      <c r="CG159" s="2460">
        <v>0</v>
      </c>
      <c r="CH159" s="2460">
        <v>-6</v>
      </c>
      <c r="CI159" s="2460">
        <v>0</v>
      </c>
      <c r="CJ159" s="2460">
        <v>0</v>
      </c>
      <c r="CK159" s="2460">
        <v>0</v>
      </c>
      <c r="CL159" s="2460">
        <v>0</v>
      </c>
      <c r="CM159" s="2460">
        <v>0</v>
      </c>
    </row>
    <row r="160" spans="1:91" ht="15.75" thickBot="1">
      <c r="A160" s="2529" t="s">
        <v>1772</v>
      </c>
      <c r="B160" s="2551" t="str">
        <f t="shared" si="2"/>
        <v>3041370044</v>
      </c>
      <c r="C160" s="2010" t="s">
        <v>703</v>
      </c>
      <c r="D160" s="2011">
        <v>4137</v>
      </c>
      <c r="E160" s="2011">
        <v>44</v>
      </c>
      <c r="F160" s="2494">
        <v>27519</v>
      </c>
      <c r="G160" s="2496" t="s">
        <v>947</v>
      </c>
      <c r="H160" s="2011" t="s">
        <v>1560</v>
      </c>
      <c r="I160" s="2012">
        <v>1</v>
      </c>
      <c r="J160" s="2491">
        <v>3300</v>
      </c>
      <c r="K160" s="2491">
        <v>0</v>
      </c>
      <c r="L160" s="2491">
        <v>0</v>
      </c>
      <c r="M160" s="2491">
        <v>3300</v>
      </c>
      <c r="N160" s="2489">
        <v>0</v>
      </c>
      <c r="O160" s="2437" t="s">
        <v>1769</v>
      </c>
      <c r="P160" s="2450">
        <v>0</v>
      </c>
      <c r="Q160" s="2450">
        <v>0</v>
      </c>
      <c r="R160" s="2450">
        <v>0</v>
      </c>
      <c r="S160" s="2450">
        <v>3300</v>
      </c>
      <c r="T160" s="2450">
        <v>0</v>
      </c>
      <c r="U160" s="2450">
        <v>0</v>
      </c>
      <c r="V160" s="2450">
        <v>0</v>
      </c>
      <c r="W160" s="2450">
        <v>0</v>
      </c>
      <c r="X160" s="2450">
        <v>0</v>
      </c>
      <c r="Y160" s="2450">
        <v>0</v>
      </c>
      <c r="Z160" s="2450">
        <v>0</v>
      </c>
      <c r="AA160" s="2450">
        <v>0</v>
      </c>
      <c r="AB160" s="2519">
        <v>3300</v>
      </c>
      <c r="AC160" s="2448">
        <v>0</v>
      </c>
      <c r="AD160" s="2448">
        <v>0</v>
      </c>
      <c r="AE160" s="2448">
        <v>35</v>
      </c>
      <c r="AF160" s="2448">
        <v>0</v>
      </c>
      <c r="AG160" s="2448">
        <v>0</v>
      </c>
      <c r="AH160" s="2448">
        <v>0</v>
      </c>
      <c r="AI160" s="2448">
        <v>0</v>
      </c>
      <c r="AJ160" s="2448">
        <v>0</v>
      </c>
      <c r="AK160" s="2448">
        <v>35</v>
      </c>
      <c r="AL160" s="2528">
        <v>15</v>
      </c>
      <c r="AM160" s="2118" t="s">
        <v>1331</v>
      </c>
      <c r="AN160" s="2119" t="s">
        <v>1560</v>
      </c>
      <c r="AO160" s="2092" t="s">
        <v>1595</v>
      </c>
      <c r="AP160" s="2120">
        <v>173369</v>
      </c>
      <c r="AQ160" s="2120">
        <v>24767.100000000002</v>
      </c>
      <c r="AR160" s="2120">
        <v>0</v>
      </c>
      <c r="AS160" s="2120">
        <v>0</v>
      </c>
      <c r="AT160" s="2120">
        <v>0</v>
      </c>
      <c r="AU160" s="2120">
        <v>0</v>
      </c>
      <c r="AV160" s="2120">
        <v>0</v>
      </c>
      <c r="AW160" s="2120">
        <v>0</v>
      </c>
      <c r="AX160" s="2120">
        <v>0</v>
      </c>
      <c r="AY160" s="2120">
        <v>0</v>
      </c>
      <c r="AZ160" s="2120">
        <v>0</v>
      </c>
      <c r="BA160" s="2120">
        <v>0</v>
      </c>
      <c r="BB160" s="2120">
        <v>198136.1</v>
      </c>
      <c r="BC160" s="2120">
        <v>173</v>
      </c>
      <c r="BD160" s="2120">
        <v>86.6845</v>
      </c>
      <c r="BE160" s="2120">
        <v>35</v>
      </c>
      <c r="BF160" s="2120">
        <v>0</v>
      </c>
      <c r="BG160" s="2120">
        <v>25</v>
      </c>
      <c r="BH160" s="2120">
        <v>0</v>
      </c>
      <c r="BI160" s="2120">
        <v>0</v>
      </c>
      <c r="BJ160" s="2120">
        <v>0</v>
      </c>
      <c r="BK160" s="2120">
        <v>0</v>
      </c>
      <c r="BL160" s="2120">
        <v>0</v>
      </c>
      <c r="BM160" s="2120">
        <v>60</v>
      </c>
      <c r="BN160" s="2121">
        <v>145</v>
      </c>
      <c r="BO160" s="2048">
        <v>173369</v>
      </c>
      <c r="BP160" s="2090">
        <v>24767.100000000002</v>
      </c>
      <c r="BQ160" s="2090">
        <v>0</v>
      </c>
      <c r="BR160" s="2090">
        <v>0</v>
      </c>
      <c r="BS160" s="2090">
        <v>-3300</v>
      </c>
      <c r="BT160" s="2090">
        <v>0</v>
      </c>
      <c r="BU160" s="2090">
        <v>0</v>
      </c>
      <c r="BV160" s="2090">
        <v>0</v>
      </c>
      <c r="BW160" s="2090">
        <v>0</v>
      </c>
      <c r="BX160" s="2090">
        <v>0</v>
      </c>
      <c r="BY160" s="2090">
        <v>0</v>
      </c>
      <c r="BZ160" s="2090">
        <v>0</v>
      </c>
      <c r="CA160" s="2122">
        <v>0</v>
      </c>
      <c r="CB160" s="2048">
        <v>194836.1</v>
      </c>
      <c r="CC160" s="2090">
        <v>21467.100000000002</v>
      </c>
      <c r="CD160" s="2090">
        <v>173</v>
      </c>
      <c r="CE160" s="2090">
        <v>86.6845</v>
      </c>
      <c r="CF160" s="2090">
        <v>35</v>
      </c>
      <c r="CG160" s="2090">
        <v>0</v>
      </c>
      <c r="CH160" s="2090">
        <v>-10</v>
      </c>
      <c r="CI160" s="2090">
        <v>0</v>
      </c>
      <c r="CJ160" s="2090">
        <v>0</v>
      </c>
      <c r="CK160" s="2090">
        <v>0</v>
      </c>
      <c r="CL160" s="2090">
        <v>0</v>
      </c>
      <c r="CM160" s="2090">
        <v>0</v>
      </c>
    </row>
    <row r="161" spans="1:91" ht="15.75" thickBot="1">
      <c r="A161" s="2135" t="s">
        <v>1773</v>
      </c>
      <c r="B161" s="2551" t="str">
        <f t="shared" si="2"/>
        <v>3037050016</v>
      </c>
      <c r="C161" s="2044" t="s">
        <v>703</v>
      </c>
      <c r="D161" s="2045">
        <v>3705</v>
      </c>
      <c r="E161" s="2045">
        <v>16</v>
      </c>
      <c r="F161" s="2032">
        <v>17648</v>
      </c>
      <c r="G161" s="2046" t="s">
        <v>947</v>
      </c>
      <c r="H161" s="2045" t="s">
        <v>1560</v>
      </c>
      <c r="I161" s="2047">
        <v>1</v>
      </c>
      <c r="J161" s="2533">
        <v>0</v>
      </c>
      <c r="K161" s="2533">
        <v>17648</v>
      </c>
      <c r="L161" s="2533">
        <v>15648</v>
      </c>
      <c r="M161" s="2533">
        <v>33296</v>
      </c>
      <c r="N161" s="2035">
        <v>0</v>
      </c>
      <c r="O161" s="2042" t="s">
        <v>1774</v>
      </c>
      <c r="P161" s="2049">
        <v>0</v>
      </c>
      <c r="Q161" s="2049">
        <v>0</v>
      </c>
      <c r="R161" s="2049">
        <v>0</v>
      </c>
      <c r="S161" s="2049">
        <v>0</v>
      </c>
      <c r="T161" s="2049">
        <v>0</v>
      </c>
      <c r="U161" s="2049">
        <v>0</v>
      </c>
      <c r="V161" s="2049">
        <v>15648</v>
      </c>
      <c r="W161" s="2049">
        <v>0</v>
      </c>
      <c r="X161" s="2049">
        <v>0</v>
      </c>
      <c r="Y161" s="2049">
        <v>17648</v>
      </c>
      <c r="Z161" s="2049">
        <v>0</v>
      </c>
      <c r="AA161" s="2049">
        <v>0</v>
      </c>
      <c r="AB161" s="2116">
        <v>33296</v>
      </c>
      <c r="AC161" s="2533">
        <v>0</v>
      </c>
      <c r="AD161" s="2533">
        <v>0</v>
      </c>
      <c r="AE161" s="2533">
        <v>0</v>
      </c>
      <c r="AF161" s="2533">
        <v>0</v>
      </c>
      <c r="AG161" s="2533">
        <v>0</v>
      </c>
      <c r="AH161" s="2533">
        <v>0</v>
      </c>
      <c r="AI161" s="2533">
        <v>0</v>
      </c>
      <c r="AJ161" s="2533">
        <v>0</v>
      </c>
      <c r="AK161" s="2533">
        <v>0</v>
      </c>
      <c r="AL161" s="2117">
        <v>25</v>
      </c>
      <c r="AM161" s="2118" t="s">
        <v>1615</v>
      </c>
      <c r="AN161" s="2119" t="s">
        <v>1560</v>
      </c>
      <c r="AO161" s="2092" t="s">
        <v>1586</v>
      </c>
      <c r="AP161" s="2120">
        <v>51249</v>
      </c>
      <c r="AQ161" s="2120">
        <v>12283.2</v>
      </c>
      <c r="AR161" s="2120">
        <v>0</v>
      </c>
      <c r="AS161" s="2120">
        <v>0</v>
      </c>
      <c r="AT161" s="2120">
        <v>0</v>
      </c>
      <c r="AU161" s="2120">
        <v>0</v>
      </c>
      <c r="AV161" s="2120">
        <v>0</v>
      </c>
      <c r="AW161" s="2120">
        <v>0</v>
      </c>
      <c r="AX161" s="2120">
        <v>0</v>
      </c>
      <c r="AY161" s="2120">
        <v>0</v>
      </c>
      <c r="AZ161" s="2120">
        <v>0</v>
      </c>
      <c r="BA161" s="2120">
        <v>0</v>
      </c>
      <c r="BB161" s="2120">
        <v>63532.2</v>
      </c>
      <c r="BC161" s="2120">
        <v>51</v>
      </c>
      <c r="BD161" s="2120">
        <v>25.624500000000001</v>
      </c>
      <c r="BE161" s="2120">
        <v>0</v>
      </c>
      <c r="BF161" s="2120">
        <v>0</v>
      </c>
      <c r="BG161" s="2120">
        <v>0</v>
      </c>
      <c r="BH161" s="2120">
        <v>0</v>
      </c>
      <c r="BI161" s="2120">
        <v>0</v>
      </c>
      <c r="BJ161" s="2120">
        <v>0</v>
      </c>
      <c r="BK161" s="2120">
        <v>0</v>
      </c>
      <c r="BL161" s="2120">
        <v>0</v>
      </c>
      <c r="BM161" s="2120">
        <v>0</v>
      </c>
      <c r="BN161" s="2121">
        <v>85</v>
      </c>
      <c r="BO161" s="2048">
        <v>51249</v>
      </c>
      <c r="BP161" s="2090">
        <v>12283.2</v>
      </c>
      <c r="BQ161" s="2090">
        <v>0</v>
      </c>
      <c r="BR161" s="2090">
        <v>0</v>
      </c>
      <c r="BS161" s="2090">
        <v>0</v>
      </c>
      <c r="BT161" s="2090">
        <v>0</v>
      </c>
      <c r="BU161" s="2090">
        <v>0</v>
      </c>
      <c r="BV161" s="2090">
        <v>-15648</v>
      </c>
      <c r="BW161" s="2090">
        <v>0</v>
      </c>
      <c r="BX161" s="2090">
        <v>0</v>
      </c>
      <c r="BY161" s="2090">
        <v>-17648</v>
      </c>
      <c r="BZ161" s="2090">
        <v>0</v>
      </c>
      <c r="CA161" s="2122">
        <v>0</v>
      </c>
      <c r="CB161" s="2048">
        <v>30236.199999999997</v>
      </c>
      <c r="CC161" s="2090">
        <v>-21012.799999999999</v>
      </c>
      <c r="CD161" s="2090">
        <v>51</v>
      </c>
      <c r="CE161" s="2090">
        <v>25.624500000000001</v>
      </c>
      <c r="CF161" s="2090">
        <v>0</v>
      </c>
      <c r="CG161" s="2090">
        <v>0</v>
      </c>
      <c r="CH161" s="2090">
        <v>0</v>
      </c>
      <c r="CI161" s="2090">
        <v>0</v>
      </c>
      <c r="CJ161" s="2090">
        <v>0</v>
      </c>
      <c r="CK161" s="2090">
        <v>0</v>
      </c>
      <c r="CL161" s="2090">
        <v>0</v>
      </c>
      <c r="CM161" s="2090">
        <v>0</v>
      </c>
    </row>
    <row r="162" spans="1:91">
      <c r="A162" s="3555" t="s">
        <v>1775</v>
      </c>
      <c r="B162" s="2551" t="str">
        <f t="shared" si="2"/>
        <v>3036700025</v>
      </c>
      <c r="C162" s="2022" t="s">
        <v>703</v>
      </c>
      <c r="D162" s="2023">
        <v>3670</v>
      </c>
      <c r="E162" s="2023">
        <v>25</v>
      </c>
      <c r="F162" s="2506">
        <v>5000</v>
      </c>
      <c r="G162" s="2507" t="s">
        <v>1566</v>
      </c>
      <c r="H162" s="2023" t="s">
        <v>1560</v>
      </c>
      <c r="I162" s="2024">
        <v>2</v>
      </c>
      <c r="J162" s="2505">
        <v>0</v>
      </c>
      <c r="K162" s="2505">
        <v>0</v>
      </c>
      <c r="L162" s="2505">
        <v>0</v>
      </c>
      <c r="M162" s="2505">
        <v>2043</v>
      </c>
      <c r="N162" s="2025">
        <v>3</v>
      </c>
      <c r="O162" s="2490" t="s">
        <v>1578</v>
      </c>
      <c r="P162" s="3272">
        <v>2043</v>
      </c>
      <c r="Q162" s="3272">
        <v>0</v>
      </c>
      <c r="R162" s="3272">
        <v>0</v>
      </c>
      <c r="S162" s="3272">
        <v>0</v>
      </c>
      <c r="T162" s="3272">
        <v>0</v>
      </c>
      <c r="U162" s="3272">
        <v>0</v>
      </c>
      <c r="V162" s="3272">
        <v>0</v>
      </c>
      <c r="W162" s="3272">
        <v>2625</v>
      </c>
      <c r="X162" s="3272">
        <v>0</v>
      </c>
      <c r="Y162" s="3272">
        <v>0</v>
      </c>
      <c r="Z162" s="3272">
        <v>0</v>
      </c>
      <c r="AA162" s="3272">
        <v>0</v>
      </c>
      <c r="AB162" s="3507">
        <v>4668</v>
      </c>
      <c r="AC162" s="3265">
        <v>2</v>
      </c>
      <c r="AD162" s="3265">
        <v>0</v>
      </c>
      <c r="AE162" s="3265">
        <v>0</v>
      </c>
      <c r="AF162" s="3265">
        <v>0</v>
      </c>
      <c r="AG162" s="3265">
        <v>0</v>
      </c>
      <c r="AH162" s="3265">
        <v>0</v>
      </c>
      <c r="AI162" s="3265">
        <v>0</v>
      </c>
      <c r="AJ162" s="3265">
        <v>0</v>
      </c>
      <c r="AK162" s="3265">
        <v>0</v>
      </c>
      <c r="AL162" s="3513">
        <v>30</v>
      </c>
      <c r="AM162" s="3515" t="s">
        <v>1564</v>
      </c>
      <c r="AN162" s="3512" t="s">
        <v>1560</v>
      </c>
      <c r="AO162" s="3407" t="s">
        <v>1677</v>
      </c>
      <c r="AP162" s="3511">
        <v>29775</v>
      </c>
      <c r="AQ162" s="3511">
        <v>4725</v>
      </c>
      <c r="AR162" s="3511">
        <v>0</v>
      </c>
      <c r="AS162" s="3511">
        <v>0</v>
      </c>
      <c r="AT162" s="3511">
        <v>0</v>
      </c>
      <c r="AU162" s="3511">
        <v>0</v>
      </c>
      <c r="AV162" s="3511">
        <v>0</v>
      </c>
      <c r="AW162" s="3511">
        <v>0</v>
      </c>
      <c r="AX162" s="3511">
        <v>0</v>
      </c>
      <c r="AY162" s="3511">
        <v>0</v>
      </c>
      <c r="AZ162" s="3511">
        <v>0</v>
      </c>
      <c r="BA162" s="3511">
        <v>0</v>
      </c>
      <c r="BB162" s="3511">
        <v>34500</v>
      </c>
      <c r="BC162" s="3511">
        <v>29</v>
      </c>
      <c r="BD162" s="3511">
        <v>14.887499999999999</v>
      </c>
      <c r="BE162" s="3511">
        <v>7</v>
      </c>
      <c r="BF162" s="3511">
        <v>0</v>
      </c>
      <c r="BG162" s="3511">
        <v>0</v>
      </c>
      <c r="BH162" s="3511">
        <v>0</v>
      </c>
      <c r="BI162" s="3511">
        <v>0</v>
      </c>
      <c r="BJ162" s="3511">
        <v>0</v>
      </c>
      <c r="BK162" s="3511">
        <v>0</v>
      </c>
      <c r="BL162" s="3511">
        <v>0</v>
      </c>
      <c r="BM162" s="3511">
        <v>7</v>
      </c>
      <c r="BN162" s="3517">
        <v>95</v>
      </c>
      <c r="BO162" s="3519">
        <v>27732</v>
      </c>
      <c r="BP162" s="3464">
        <v>4725</v>
      </c>
      <c r="BQ162" s="3464">
        <v>0</v>
      </c>
      <c r="BR162" s="3464">
        <v>0</v>
      </c>
      <c r="BS162" s="3464">
        <v>0</v>
      </c>
      <c r="BT162" s="3464">
        <v>0</v>
      </c>
      <c r="BU162" s="3464">
        <v>0</v>
      </c>
      <c r="BV162" s="3464">
        <v>0</v>
      </c>
      <c r="BW162" s="3464">
        <v>-2625</v>
      </c>
      <c r="BX162" s="3464">
        <v>0</v>
      </c>
      <c r="BY162" s="3464">
        <v>0</v>
      </c>
      <c r="BZ162" s="3464">
        <v>0</v>
      </c>
      <c r="CA162" s="3524">
        <v>0</v>
      </c>
      <c r="CB162" s="3519">
        <v>29832</v>
      </c>
      <c r="CC162" s="3464">
        <v>2100</v>
      </c>
      <c r="CD162" s="3464">
        <v>27</v>
      </c>
      <c r="CE162" s="3464">
        <v>14.887499999999999</v>
      </c>
      <c r="CF162" s="3464">
        <v>7</v>
      </c>
      <c r="CG162" s="3464">
        <v>0</v>
      </c>
      <c r="CH162" s="3464">
        <v>0</v>
      </c>
      <c r="CI162" s="3464">
        <v>0</v>
      </c>
      <c r="CJ162" s="3464">
        <v>0</v>
      </c>
      <c r="CK162" s="3464">
        <v>0</v>
      </c>
      <c r="CL162" s="3464">
        <v>0</v>
      </c>
      <c r="CM162" s="3464">
        <v>0</v>
      </c>
    </row>
    <row r="163" spans="1:91" ht="15.75" thickBot="1">
      <c r="A163" s="3556"/>
      <c r="B163" s="2551" t="str">
        <f t="shared" si="2"/>
        <v>3036700027</v>
      </c>
      <c r="C163" s="2493" t="s">
        <v>710</v>
      </c>
      <c r="D163" s="2018">
        <v>3670</v>
      </c>
      <c r="E163" s="2018">
        <v>27</v>
      </c>
      <c r="F163" s="2019">
        <v>2500</v>
      </c>
      <c r="G163" s="2498" t="s">
        <v>1566</v>
      </c>
      <c r="H163" s="2018" t="s">
        <v>1560</v>
      </c>
      <c r="I163" s="2020">
        <v>2</v>
      </c>
      <c r="J163" s="2501">
        <v>0</v>
      </c>
      <c r="K163" s="2501">
        <v>2625</v>
      </c>
      <c r="L163" s="2501">
        <v>0</v>
      </c>
      <c r="M163" s="2501">
        <v>2625</v>
      </c>
      <c r="N163" s="2508">
        <v>0</v>
      </c>
      <c r="O163" s="2453" t="s">
        <v>1617</v>
      </c>
      <c r="P163" s="3359"/>
      <c r="Q163" s="3359"/>
      <c r="R163" s="3359"/>
      <c r="S163" s="3359"/>
      <c r="T163" s="3359"/>
      <c r="U163" s="3359"/>
      <c r="V163" s="3359"/>
      <c r="W163" s="3359"/>
      <c r="X163" s="3359"/>
      <c r="Y163" s="3359"/>
      <c r="Z163" s="3359"/>
      <c r="AA163" s="3359"/>
      <c r="AB163" s="3536"/>
      <c r="AC163" s="3361"/>
      <c r="AD163" s="3361"/>
      <c r="AE163" s="3361"/>
      <c r="AF163" s="3361"/>
      <c r="AG163" s="3361"/>
      <c r="AH163" s="3361"/>
      <c r="AI163" s="3361"/>
      <c r="AJ163" s="3361"/>
      <c r="AK163" s="3361"/>
      <c r="AL163" s="3514"/>
      <c r="AM163" s="3516"/>
      <c r="AN163" s="3470"/>
      <c r="AO163" s="3718"/>
      <c r="AP163" s="3719"/>
      <c r="AQ163" s="3719"/>
      <c r="AR163" s="3719"/>
      <c r="AS163" s="3719"/>
      <c r="AT163" s="3719"/>
      <c r="AU163" s="3719"/>
      <c r="AV163" s="3719"/>
      <c r="AW163" s="3719"/>
      <c r="AX163" s="3719"/>
      <c r="AY163" s="3719"/>
      <c r="AZ163" s="3719"/>
      <c r="BA163" s="3719"/>
      <c r="BB163" s="3719"/>
      <c r="BC163" s="3719"/>
      <c r="BD163" s="3719"/>
      <c r="BE163" s="3719"/>
      <c r="BF163" s="3719"/>
      <c r="BG163" s="3719"/>
      <c r="BH163" s="3719"/>
      <c r="BI163" s="3719"/>
      <c r="BJ163" s="3719"/>
      <c r="BK163" s="3719"/>
      <c r="BL163" s="3719"/>
      <c r="BM163" s="3719"/>
      <c r="BN163" s="3518"/>
      <c r="BO163" s="3520"/>
      <c r="BP163" s="3466"/>
      <c r="BQ163" s="3466"/>
      <c r="BR163" s="3466"/>
      <c r="BS163" s="3466"/>
      <c r="BT163" s="3466"/>
      <c r="BU163" s="3466"/>
      <c r="BV163" s="3466"/>
      <c r="BW163" s="3466"/>
      <c r="BX163" s="3466"/>
      <c r="BY163" s="3466"/>
      <c r="BZ163" s="3466"/>
      <c r="CA163" s="3477"/>
      <c r="CB163" s="3520"/>
      <c r="CC163" s="3466"/>
      <c r="CD163" s="3466"/>
      <c r="CE163" s="3466"/>
      <c r="CF163" s="3466"/>
      <c r="CG163" s="3466"/>
      <c r="CH163" s="3466"/>
      <c r="CI163" s="3466"/>
      <c r="CJ163" s="3466"/>
      <c r="CK163" s="3466"/>
      <c r="CL163" s="3466"/>
      <c r="CM163" s="3466"/>
    </row>
    <row r="164" spans="1:91">
      <c r="A164" s="3567" t="s">
        <v>1776</v>
      </c>
      <c r="B164" s="2551" t="str">
        <f t="shared" si="2"/>
        <v>3036720048</v>
      </c>
      <c r="C164" s="2010" t="s">
        <v>703</v>
      </c>
      <c r="D164" s="2011">
        <v>3672</v>
      </c>
      <c r="E164" s="2011">
        <v>48</v>
      </c>
      <c r="F164" s="2494">
        <v>1966</v>
      </c>
      <c r="G164" s="2496" t="s">
        <v>1566</v>
      </c>
      <c r="H164" s="2011" t="s">
        <v>1560</v>
      </c>
      <c r="I164" s="2012">
        <v>2</v>
      </c>
      <c r="J164" s="2491">
        <v>0</v>
      </c>
      <c r="K164" s="2491">
        <v>0</v>
      </c>
      <c r="L164" s="2491">
        <v>1960</v>
      </c>
      <c r="M164" s="2491">
        <v>2960</v>
      </c>
      <c r="N164" s="2489">
        <v>1</v>
      </c>
      <c r="O164" s="2437" t="s">
        <v>1777</v>
      </c>
      <c r="P164" s="3272">
        <v>4326</v>
      </c>
      <c r="Q164" s="3272">
        <v>1890</v>
      </c>
      <c r="R164" s="3272">
        <v>0</v>
      </c>
      <c r="S164" s="3272">
        <v>0</v>
      </c>
      <c r="T164" s="3272">
        <v>0</v>
      </c>
      <c r="U164" s="3272">
        <v>0</v>
      </c>
      <c r="V164" s="3272">
        <v>5750</v>
      </c>
      <c r="W164" s="3272">
        <v>0</v>
      </c>
      <c r="X164" s="3272">
        <v>0</v>
      </c>
      <c r="Y164" s="3272">
        <v>0</v>
      </c>
      <c r="Z164" s="3272">
        <v>0</v>
      </c>
      <c r="AA164" s="3272">
        <v>0</v>
      </c>
      <c r="AB164" s="3507">
        <v>11966</v>
      </c>
      <c r="AC164" s="3265">
        <v>5</v>
      </c>
      <c r="AD164" s="3265">
        <v>0</v>
      </c>
      <c r="AE164" s="3265">
        <v>0</v>
      </c>
      <c r="AF164" s="3265">
        <v>0</v>
      </c>
      <c r="AG164" s="3265">
        <v>0</v>
      </c>
      <c r="AH164" s="3265">
        <v>0</v>
      </c>
      <c r="AI164" s="3265">
        <v>0</v>
      </c>
      <c r="AJ164" s="3265">
        <v>0</v>
      </c>
      <c r="AK164" s="3265">
        <v>0</v>
      </c>
      <c r="AL164" s="3513">
        <v>35</v>
      </c>
      <c r="AM164" s="3515" t="s">
        <v>1331</v>
      </c>
      <c r="AN164" s="3512" t="s">
        <v>1560</v>
      </c>
      <c r="AO164" s="3407" t="s">
        <v>1595</v>
      </c>
      <c r="AP164" s="3511">
        <v>49318</v>
      </c>
      <c r="AQ164" s="3511">
        <v>5811.3</v>
      </c>
      <c r="AR164" s="3511">
        <v>0</v>
      </c>
      <c r="AS164" s="3511">
        <v>0</v>
      </c>
      <c r="AT164" s="3511">
        <v>0</v>
      </c>
      <c r="AU164" s="3511">
        <v>0</v>
      </c>
      <c r="AV164" s="3511">
        <v>0</v>
      </c>
      <c r="AW164" s="3511">
        <v>0</v>
      </c>
      <c r="AX164" s="3511">
        <v>0</v>
      </c>
      <c r="AY164" s="3511">
        <v>0</v>
      </c>
      <c r="AZ164" s="3511">
        <v>0</v>
      </c>
      <c r="BA164" s="3511">
        <v>0</v>
      </c>
      <c r="BB164" s="3511">
        <v>55129.3</v>
      </c>
      <c r="BC164" s="3511">
        <v>49</v>
      </c>
      <c r="BD164" s="3511">
        <v>24.658999999999999</v>
      </c>
      <c r="BE164" s="3511">
        <v>10</v>
      </c>
      <c r="BF164" s="3511">
        <v>0</v>
      </c>
      <c r="BG164" s="3511">
        <v>6</v>
      </c>
      <c r="BH164" s="3511">
        <v>0</v>
      </c>
      <c r="BI164" s="3511">
        <v>0</v>
      </c>
      <c r="BJ164" s="3511">
        <v>0</v>
      </c>
      <c r="BK164" s="3511">
        <v>0</v>
      </c>
      <c r="BL164" s="3511">
        <v>0</v>
      </c>
      <c r="BM164" s="3511">
        <v>16</v>
      </c>
      <c r="BN164" s="3517">
        <v>145</v>
      </c>
      <c r="BO164" s="3519">
        <v>44992</v>
      </c>
      <c r="BP164" s="3464">
        <v>3921.3</v>
      </c>
      <c r="BQ164" s="3464">
        <v>0</v>
      </c>
      <c r="BR164" s="3464">
        <v>0</v>
      </c>
      <c r="BS164" s="3464">
        <v>0</v>
      </c>
      <c r="BT164" s="3464">
        <v>0</v>
      </c>
      <c r="BU164" s="3464">
        <v>0</v>
      </c>
      <c r="BV164" s="3464">
        <v>-5750</v>
      </c>
      <c r="BW164" s="3464">
        <v>0</v>
      </c>
      <c r="BX164" s="3464">
        <v>0</v>
      </c>
      <c r="BY164" s="3464">
        <v>0</v>
      </c>
      <c r="BZ164" s="3464">
        <v>0</v>
      </c>
      <c r="CA164" s="3524">
        <v>0</v>
      </c>
      <c r="CB164" s="3519">
        <v>43163.3</v>
      </c>
      <c r="CC164" s="3464">
        <v>-1828.6999999999998</v>
      </c>
      <c r="CD164" s="3464">
        <v>44</v>
      </c>
      <c r="CE164" s="3464">
        <v>24.658999999999999</v>
      </c>
      <c r="CF164" s="3464">
        <v>10</v>
      </c>
      <c r="CG164" s="3464">
        <v>0</v>
      </c>
      <c r="CH164" s="3464">
        <v>6</v>
      </c>
      <c r="CI164" s="3464">
        <v>0</v>
      </c>
      <c r="CJ164" s="3464">
        <v>0</v>
      </c>
      <c r="CK164" s="3464">
        <v>0</v>
      </c>
      <c r="CL164" s="3464">
        <v>0</v>
      </c>
      <c r="CM164" s="3464">
        <v>0</v>
      </c>
    </row>
    <row r="165" spans="1:91">
      <c r="A165" s="3568"/>
      <c r="B165" s="2551" t="str">
        <f t="shared" si="2"/>
        <v>3036720049</v>
      </c>
      <c r="C165" s="2492" t="s">
        <v>710</v>
      </c>
      <c r="D165" s="2026">
        <v>3672</v>
      </c>
      <c r="E165" s="2026">
        <v>49</v>
      </c>
      <c r="F165" s="2027">
        <v>1943</v>
      </c>
      <c r="G165" s="2497" t="s">
        <v>1566</v>
      </c>
      <c r="H165" s="2026" t="s">
        <v>1560</v>
      </c>
      <c r="I165" s="2028">
        <v>2</v>
      </c>
      <c r="J165" s="2500">
        <v>0</v>
      </c>
      <c r="K165" s="2500">
        <v>0</v>
      </c>
      <c r="L165" s="2500">
        <v>1940</v>
      </c>
      <c r="M165" s="2500">
        <v>2920</v>
      </c>
      <c r="N165" s="2029">
        <v>1</v>
      </c>
      <c r="O165" s="2502" t="s">
        <v>1777</v>
      </c>
      <c r="P165" s="3273"/>
      <c r="Q165" s="3273"/>
      <c r="R165" s="3273"/>
      <c r="S165" s="3273"/>
      <c r="T165" s="3273"/>
      <c r="U165" s="3273"/>
      <c r="V165" s="3273"/>
      <c r="W165" s="3273"/>
      <c r="X165" s="3273"/>
      <c r="Y165" s="3273"/>
      <c r="Z165" s="3273"/>
      <c r="AA165" s="3273"/>
      <c r="AB165" s="3508"/>
      <c r="AC165" s="3274"/>
      <c r="AD165" s="3274"/>
      <c r="AE165" s="3274"/>
      <c r="AF165" s="3274"/>
      <c r="AG165" s="3274"/>
      <c r="AH165" s="3274"/>
      <c r="AI165" s="3274"/>
      <c r="AJ165" s="3274"/>
      <c r="AK165" s="3274"/>
      <c r="AL165" s="3529"/>
      <c r="AM165" s="3525"/>
      <c r="AN165" s="3469"/>
      <c r="AO165" s="3526"/>
      <c r="AP165" s="3527"/>
      <c r="AQ165" s="3527"/>
      <c r="AR165" s="3527"/>
      <c r="AS165" s="3527"/>
      <c r="AT165" s="3527"/>
      <c r="AU165" s="3527"/>
      <c r="AV165" s="3527"/>
      <c r="AW165" s="3527"/>
      <c r="AX165" s="3527"/>
      <c r="AY165" s="3527"/>
      <c r="AZ165" s="3527"/>
      <c r="BA165" s="3527"/>
      <c r="BB165" s="3527"/>
      <c r="BC165" s="3527"/>
      <c r="BD165" s="3527"/>
      <c r="BE165" s="3527"/>
      <c r="BF165" s="3527"/>
      <c r="BG165" s="3527"/>
      <c r="BH165" s="3527"/>
      <c r="BI165" s="3527"/>
      <c r="BJ165" s="3527"/>
      <c r="BK165" s="3527"/>
      <c r="BL165" s="3527"/>
      <c r="BM165" s="3527"/>
      <c r="BN165" s="3535"/>
      <c r="BO165" s="3534"/>
      <c r="BP165" s="3465"/>
      <c r="BQ165" s="3465"/>
      <c r="BR165" s="3465"/>
      <c r="BS165" s="3465"/>
      <c r="BT165" s="3465"/>
      <c r="BU165" s="3465"/>
      <c r="BV165" s="3465"/>
      <c r="BW165" s="3465"/>
      <c r="BX165" s="3465"/>
      <c r="BY165" s="3465"/>
      <c r="BZ165" s="3465"/>
      <c r="CA165" s="3533"/>
      <c r="CB165" s="3534"/>
      <c r="CC165" s="3465"/>
      <c r="CD165" s="3465"/>
      <c r="CE165" s="3465"/>
      <c r="CF165" s="3465"/>
      <c r="CG165" s="3465"/>
      <c r="CH165" s="3465"/>
      <c r="CI165" s="3465"/>
      <c r="CJ165" s="3465"/>
      <c r="CK165" s="3465"/>
      <c r="CL165" s="3465"/>
      <c r="CM165" s="3465"/>
    </row>
    <row r="166" spans="1:91">
      <c r="A166" s="3569"/>
      <c r="B166" s="2551" t="str">
        <f t="shared" si="2"/>
        <v>3036720050</v>
      </c>
      <c r="C166" s="2468" t="s">
        <v>721</v>
      </c>
      <c r="D166" s="2026">
        <v>3672</v>
      </c>
      <c r="E166" s="2026">
        <v>50</v>
      </c>
      <c r="F166" s="2027">
        <v>1853</v>
      </c>
      <c r="G166" s="2497" t="s">
        <v>1566</v>
      </c>
      <c r="H166" s="2026" t="s">
        <v>1560</v>
      </c>
      <c r="I166" s="2028">
        <v>2</v>
      </c>
      <c r="J166" s="2500">
        <v>0</v>
      </c>
      <c r="K166" s="2500">
        <v>0</v>
      </c>
      <c r="L166" s="2500">
        <v>1850</v>
      </c>
      <c r="M166" s="2500">
        <v>2810</v>
      </c>
      <c r="N166" s="2029">
        <v>1</v>
      </c>
      <c r="O166" s="2502" t="s">
        <v>1777</v>
      </c>
      <c r="P166" s="3273"/>
      <c r="Q166" s="3273"/>
      <c r="R166" s="3273"/>
      <c r="S166" s="3273"/>
      <c r="T166" s="3273"/>
      <c r="U166" s="3273"/>
      <c r="V166" s="3273"/>
      <c r="W166" s="3273"/>
      <c r="X166" s="3273"/>
      <c r="Y166" s="3273"/>
      <c r="Z166" s="3273"/>
      <c r="AA166" s="3273"/>
      <c r="AB166" s="3508"/>
      <c r="AC166" s="3274"/>
      <c r="AD166" s="3274"/>
      <c r="AE166" s="3274"/>
      <c r="AF166" s="3274"/>
      <c r="AG166" s="3274"/>
      <c r="AH166" s="3274"/>
      <c r="AI166" s="3274"/>
      <c r="AJ166" s="3274"/>
      <c r="AK166" s="3274"/>
      <c r="AL166" s="3529"/>
      <c r="AM166" s="3525"/>
      <c r="AN166" s="3469"/>
      <c r="AO166" s="3526"/>
      <c r="AP166" s="3527"/>
      <c r="AQ166" s="3527"/>
      <c r="AR166" s="3527"/>
      <c r="AS166" s="3527"/>
      <c r="AT166" s="3527"/>
      <c r="AU166" s="3527"/>
      <c r="AV166" s="3527"/>
      <c r="AW166" s="3527"/>
      <c r="AX166" s="3527"/>
      <c r="AY166" s="3527"/>
      <c r="AZ166" s="3527"/>
      <c r="BA166" s="3527"/>
      <c r="BB166" s="3527"/>
      <c r="BC166" s="3527"/>
      <c r="BD166" s="3527"/>
      <c r="BE166" s="3527"/>
      <c r="BF166" s="3527"/>
      <c r="BG166" s="3527"/>
      <c r="BH166" s="3527"/>
      <c r="BI166" s="3527"/>
      <c r="BJ166" s="3527"/>
      <c r="BK166" s="3527"/>
      <c r="BL166" s="3527"/>
      <c r="BM166" s="3527"/>
      <c r="BN166" s="3535"/>
      <c r="BO166" s="3534"/>
      <c r="BP166" s="3465"/>
      <c r="BQ166" s="3465"/>
      <c r="BR166" s="3465"/>
      <c r="BS166" s="3465"/>
      <c r="BT166" s="3465"/>
      <c r="BU166" s="3465"/>
      <c r="BV166" s="3465"/>
      <c r="BW166" s="3465"/>
      <c r="BX166" s="3465"/>
      <c r="BY166" s="3465"/>
      <c r="BZ166" s="3465"/>
      <c r="CA166" s="3533"/>
      <c r="CB166" s="3534"/>
      <c r="CC166" s="3465"/>
      <c r="CD166" s="3465"/>
      <c r="CE166" s="3465"/>
      <c r="CF166" s="3465"/>
      <c r="CG166" s="3465"/>
      <c r="CH166" s="3465"/>
      <c r="CI166" s="3465"/>
      <c r="CJ166" s="3465"/>
      <c r="CK166" s="3465"/>
      <c r="CL166" s="3465"/>
      <c r="CM166" s="3465"/>
    </row>
    <row r="167" spans="1:91" ht="15.75" thickBot="1">
      <c r="A167" s="3569"/>
      <c r="B167" s="2551" t="str">
        <f t="shared" si="2"/>
        <v>3036720051</v>
      </c>
      <c r="C167" s="2468" t="s">
        <v>724</v>
      </c>
      <c r="D167" s="2014">
        <v>3672</v>
      </c>
      <c r="E167" s="2014">
        <v>51</v>
      </c>
      <c r="F167" s="2038">
        <v>1895</v>
      </c>
      <c r="G167" s="2133" t="s">
        <v>1566</v>
      </c>
      <c r="H167" s="2014" t="s">
        <v>1560</v>
      </c>
      <c r="I167" s="2016">
        <v>2</v>
      </c>
      <c r="J167" s="2538">
        <v>1890</v>
      </c>
      <c r="K167" s="2538">
        <v>0</v>
      </c>
      <c r="L167" s="2538">
        <v>0</v>
      </c>
      <c r="M167" s="2538">
        <v>3276</v>
      </c>
      <c r="N167" s="2509">
        <v>2</v>
      </c>
      <c r="O167" s="2452" t="s">
        <v>1670</v>
      </c>
      <c r="P167" s="3273"/>
      <c r="Q167" s="3273"/>
      <c r="R167" s="3273"/>
      <c r="S167" s="3273"/>
      <c r="T167" s="3273"/>
      <c r="U167" s="3273"/>
      <c r="V167" s="3273"/>
      <c r="W167" s="3273"/>
      <c r="X167" s="3273"/>
      <c r="Y167" s="3273"/>
      <c r="Z167" s="3273"/>
      <c r="AA167" s="3273"/>
      <c r="AB167" s="3508"/>
      <c r="AC167" s="3274"/>
      <c r="AD167" s="3274"/>
      <c r="AE167" s="3274"/>
      <c r="AF167" s="3274"/>
      <c r="AG167" s="3274"/>
      <c r="AH167" s="3274"/>
      <c r="AI167" s="3274"/>
      <c r="AJ167" s="3274"/>
      <c r="AK167" s="3274"/>
      <c r="AL167" s="3514"/>
      <c r="AM167" s="3516"/>
      <c r="AN167" s="3470"/>
      <c r="AO167" s="3718"/>
      <c r="AP167" s="3719"/>
      <c r="AQ167" s="3719"/>
      <c r="AR167" s="3719"/>
      <c r="AS167" s="3719"/>
      <c r="AT167" s="3719"/>
      <c r="AU167" s="3719"/>
      <c r="AV167" s="3719"/>
      <c r="AW167" s="3719"/>
      <c r="AX167" s="3719"/>
      <c r="AY167" s="3719"/>
      <c r="AZ167" s="3719"/>
      <c r="BA167" s="3719"/>
      <c r="BB167" s="3719"/>
      <c r="BC167" s="3719"/>
      <c r="BD167" s="3719"/>
      <c r="BE167" s="3719"/>
      <c r="BF167" s="3719"/>
      <c r="BG167" s="3719"/>
      <c r="BH167" s="3719"/>
      <c r="BI167" s="3719"/>
      <c r="BJ167" s="3719"/>
      <c r="BK167" s="3719"/>
      <c r="BL167" s="3719"/>
      <c r="BM167" s="3719"/>
      <c r="BN167" s="3518"/>
      <c r="BO167" s="3520"/>
      <c r="BP167" s="3466"/>
      <c r="BQ167" s="3466"/>
      <c r="BR167" s="3466"/>
      <c r="BS167" s="3466"/>
      <c r="BT167" s="3466"/>
      <c r="BU167" s="3466"/>
      <c r="BV167" s="3466"/>
      <c r="BW167" s="3466"/>
      <c r="BX167" s="3466"/>
      <c r="BY167" s="3466"/>
      <c r="BZ167" s="3466"/>
      <c r="CA167" s="3477"/>
      <c r="CB167" s="3520"/>
      <c r="CC167" s="3466"/>
      <c r="CD167" s="3466"/>
      <c r="CE167" s="3466"/>
      <c r="CF167" s="3466"/>
      <c r="CG167" s="3466"/>
      <c r="CH167" s="3466"/>
      <c r="CI167" s="3466"/>
      <c r="CJ167" s="3466"/>
      <c r="CK167" s="3466"/>
      <c r="CL167" s="3466"/>
      <c r="CM167" s="3466"/>
    </row>
    <row r="168" spans="1:91">
      <c r="A168" s="3395" t="s">
        <v>1778</v>
      </c>
      <c r="B168" s="2551" t="str">
        <f t="shared" si="2"/>
        <v>3036860015</v>
      </c>
      <c r="C168" s="2466" t="s">
        <v>703</v>
      </c>
      <c r="D168" s="2462">
        <v>3686</v>
      </c>
      <c r="E168" s="2462">
        <v>15</v>
      </c>
      <c r="F168" s="2461">
        <v>2517</v>
      </c>
      <c r="G168" s="2445" t="s">
        <v>947</v>
      </c>
      <c r="H168" s="2462" t="s">
        <v>1560</v>
      </c>
      <c r="I168" s="2463">
        <v>1</v>
      </c>
      <c r="J168" s="2448">
        <v>0</v>
      </c>
      <c r="K168" s="2448">
        <v>3625</v>
      </c>
      <c r="L168" s="2448">
        <v>0</v>
      </c>
      <c r="M168" s="2448">
        <v>5875</v>
      </c>
      <c r="N168" s="2438">
        <v>2</v>
      </c>
      <c r="O168" s="2437" t="s">
        <v>1699</v>
      </c>
      <c r="P168" s="3272">
        <v>6570</v>
      </c>
      <c r="Q168" s="3272">
        <v>2760</v>
      </c>
      <c r="R168" s="3272">
        <v>0</v>
      </c>
      <c r="S168" s="3272">
        <v>0</v>
      </c>
      <c r="T168" s="3272">
        <v>2290</v>
      </c>
      <c r="U168" s="3272">
        <v>0</v>
      </c>
      <c r="V168" s="3272">
        <v>0</v>
      </c>
      <c r="W168" s="3272">
        <v>0</v>
      </c>
      <c r="X168" s="3272">
        <v>0</v>
      </c>
      <c r="Y168" s="3272">
        <v>3625</v>
      </c>
      <c r="Z168" s="3272">
        <v>0</v>
      </c>
      <c r="AA168" s="3272">
        <v>0</v>
      </c>
      <c r="AB168" s="3507">
        <v>15245</v>
      </c>
      <c r="AC168" s="3265">
        <v>6</v>
      </c>
      <c r="AD168" s="3265">
        <v>0</v>
      </c>
      <c r="AE168" s="3265">
        <v>0</v>
      </c>
      <c r="AF168" s="3265">
        <v>0</v>
      </c>
      <c r="AG168" s="3265">
        <v>0</v>
      </c>
      <c r="AH168" s="3265">
        <v>0</v>
      </c>
      <c r="AI168" s="3265">
        <v>0</v>
      </c>
      <c r="AJ168" s="3265">
        <v>0</v>
      </c>
      <c r="AK168" s="3265">
        <v>0</v>
      </c>
      <c r="AL168" s="3513">
        <v>35</v>
      </c>
      <c r="AM168" s="3515" t="s">
        <v>1331</v>
      </c>
      <c r="AN168" s="3512" t="s">
        <v>1560</v>
      </c>
      <c r="AO168" s="3407" t="s">
        <v>1595</v>
      </c>
      <c r="AP168" s="3511">
        <v>71818</v>
      </c>
      <c r="AQ168" s="3511">
        <v>8706.6</v>
      </c>
      <c r="AR168" s="3511">
        <v>0</v>
      </c>
      <c r="AS168" s="3511">
        <v>0</v>
      </c>
      <c r="AT168" s="3511">
        <v>0</v>
      </c>
      <c r="AU168" s="3511">
        <v>0</v>
      </c>
      <c r="AV168" s="3511">
        <v>0</v>
      </c>
      <c r="AW168" s="3511">
        <v>0</v>
      </c>
      <c r="AX168" s="3511">
        <v>0</v>
      </c>
      <c r="AY168" s="3511">
        <v>0</v>
      </c>
      <c r="AZ168" s="3511">
        <v>0</v>
      </c>
      <c r="BA168" s="3511">
        <v>0</v>
      </c>
      <c r="BB168" s="3511">
        <v>80524.600000000006</v>
      </c>
      <c r="BC168" s="3511">
        <v>71</v>
      </c>
      <c r="BD168" s="3511">
        <v>35.908999999999999</v>
      </c>
      <c r="BE168" s="3511">
        <v>14</v>
      </c>
      <c r="BF168" s="3511">
        <v>0</v>
      </c>
      <c r="BG168" s="3511">
        <v>9</v>
      </c>
      <c r="BH168" s="3511">
        <v>0</v>
      </c>
      <c r="BI168" s="3511">
        <v>0</v>
      </c>
      <c r="BJ168" s="3511">
        <v>0</v>
      </c>
      <c r="BK168" s="3511">
        <v>0</v>
      </c>
      <c r="BL168" s="3511">
        <v>0</v>
      </c>
      <c r="BM168" s="3511">
        <v>23</v>
      </c>
      <c r="BN168" s="3517">
        <v>145</v>
      </c>
      <c r="BO168" s="3519">
        <v>65248</v>
      </c>
      <c r="BP168" s="3464">
        <v>5946.6</v>
      </c>
      <c r="BQ168" s="3464">
        <v>0</v>
      </c>
      <c r="BR168" s="3464">
        <v>0</v>
      </c>
      <c r="BS168" s="3464">
        <v>0</v>
      </c>
      <c r="BT168" s="3464">
        <v>-2290</v>
      </c>
      <c r="BU168" s="3464">
        <v>0</v>
      </c>
      <c r="BV168" s="3464">
        <v>0</v>
      </c>
      <c r="BW168" s="3464">
        <v>0</v>
      </c>
      <c r="BX168" s="3464">
        <v>0</v>
      </c>
      <c r="BY168" s="3464">
        <v>-3625</v>
      </c>
      <c r="BZ168" s="3464">
        <v>0</v>
      </c>
      <c r="CA168" s="3524">
        <v>0</v>
      </c>
      <c r="CB168" s="3519">
        <v>65279.600000000006</v>
      </c>
      <c r="CC168" s="3464">
        <v>31.600000000000364</v>
      </c>
      <c r="CD168" s="3464">
        <v>65</v>
      </c>
      <c r="CE168" s="3464">
        <v>35.908999999999999</v>
      </c>
      <c r="CF168" s="3464">
        <v>14</v>
      </c>
      <c r="CG168" s="3464">
        <v>0</v>
      </c>
      <c r="CH168" s="3464">
        <v>9</v>
      </c>
      <c r="CI168" s="3464">
        <v>0</v>
      </c>
      <c r="CJ168" s="3464">
        <v>0</v>
      </c>
      <c r="CK168" s="3464">
        <v>0</v>
      </c>
      <c r="CL168" s="3464">
        <v>0</v>
      </c>
      <c r="CM168" s="3464">
        <v>0</v>
      </c>
    </row>
    <row r="169" spans="1:91">
      <c r="A169" s="3653"/>
      <c r="B169" s="2551" t="str">
        <f t="shared" si="2"/>
        <v>3036860016</v>
      </c>
      <c r="C169" s="2492" t="s">
        <v>710</v>
      </c>
      <c r="D169" s="2026">
        <v>3686</v>
      </c>
      <c r="E169" s="2026">
        <v>16</v>
      </c>
      <c r="F169" s="2027">
        <v>2517</v>
      </c>
      <c r="G169" s="2497" t="s">
        <v>947</v>
      </c>
      <c r="H169" s="2026" t="s">
        <v>1560</v>
      </c>
      <c r="I169" s="2028">
        <v>1</v>
      </c>
      <c r="J169" s="2500">
        <v>0</v>
      </c>
      <c r="K169" s="2500">
        <v>2290</v>
      </c>
      <c r="L169" s="2500">
        <v>0</v>
      </c>
      <c r="M169" s="2500">
        <v>2290</v>
      </c>
      <c r="N169" s="2029">
        <v>0</v>
      </c>
      <c r="O169" s="2502" t="s">
        <v>1572</v>
      </c>
      <c r="P169" s="3273"/>
      <c r="Q169" s="3273"/>
      <c r="R169" s="3273"/>
      <c r="S169" s="3273"/>
      <c r="T169" s="3273"/>
      <c r="U169" s="3273"/>
      <c r="V169" s="3273"/>
      <c r="W169" s="3273"/>
      <c r="X169" s="3273"/>
      <c r="Y169" s="3273"/>
      <c r="Z169" s="3273"/>
      <c r="AA169" s="3273"/>
      <c r="AB169" s="3508"/>
      <c r="AC169" s="3274"/>
      <c r="AD169" s="3274"/>
      <c r="AE169" s="3274"/>
      <c r="AF169" s="3274"/>
      <c r="AG169" s="3274"/>
      <c r="AH169" s="3274"/>
      <c r="AI169" s="3274"/>
      <c r="AJ169" s="3274"/>
      <c r="AK169" s="3274"/>
      <c r="AL169" s="3529"/>
      <c r="AM169" s="3525"/>
      <c r="AN169" s="3469"/>
      <c r="AO169" s="3526"/>
      <c r="AP169" s="3527"/>
      <c r="AQ169" s="3527"/>
      <c r="AR169" s="3527"/>
      <c r="AS169" s="3527"/>
      <c r="AT169" s="3527"/>
      <c r="AU169" s="3527"/>
      <c r="AV169" s="3527"/>
      <c r="AW169" s="3527"/>
      <c r="AX169" s="3527"/>
      <c r="AY169" s="3527"/>
      <c r="AZ169" s="3527"/>
      <c r="BA169" s="3527"/>
      <c r="BB169" s="3527"/>
      <c r="BC169" s="3527"/>
      <c r="BD169" s="3527"/>
      <c r="BE169" s="3527"/>
      <c r="BF169" s="3527"/>
      <c r="BG169" s="3527"/>
      <c r="BH169" s="3527"/>
      <c r="BI169" s="3527"/>
      <c r="BJ169" s="3527"/>
      <c r="BK169" s="3527"/>
      <c r="BL169" s="3527"/>
      <c r="BM169" s="3527"/>
      <c r="BN169" s="3535"/>
      <c r="BO169" s="3534"/>
      <c r="BP169" s="3465"/>
      <c r="BQ169" s="3465"/>
      <c r="BR169" s="3465"/>
      <c r="BS169" s="3465"/>
      <c r="BT169" s="3465"/>
      <c r="BU169" s="3465"/>
      <c r="BV169" s="3465"/>
      <c r="BW169" s="3465"/>
      <c r="BX169" s="3465"/>
      <c r="BY169" s="3465"/>
      <c r="BZ169" s="3465"/>
      <c r="CA169" s="3533"/>
      <c r="CB169" s="3534"/>
      <c r="CC169" s="3465"/>
      <c r="CD169" s="3465"/>
      <c r="CE169" s="3465"/>
      <c r="CF169" s="3465"/>
      <c r="CG169" s="3465"/>
      <c r="CH169" s="3465"/>
      <c r="CI169" s="3465"/>
      <c r="CJ169" s="3465"/>
      <c r="CK169" s="3465"/>
      <c r="CL169" s="3465"/>
      <c r="CM169" s="3465"/>
    </row>
    <row r="170" spans="1:91" ht="15.75" thickBot="1">
      <c r="A170" s="3651"/>
      <c r="B170" s="2551" t="str">
        <f t="shared" si="2"/>
        <v>3036860017</v>
      </c>
      <c r="C170" s="2041" t="s">
        <v>721</v>
      </c>
      <c r="D170" s="2479">
        <v>3686</v>
      </c>
      <c r="E170" s="2479">
        <v>17</v>
      </c>
      <c r="F170" s="2482">
        <v>6150</v>
      </c>
      <c r="G170" s="2447" t="s">
        <v>947</v>
      </c>
      <c r="H170" s="2479" t="s">
        <v>1560</v>
      </c>
      <c r="I170" s="2465">
        <v>1</v>
      </c>
      <c r="J170" s="2480">
        <v>2760</v>
      </c>
      <c r="K170" s="2480">
        <v>0</v>
      </c>
      <c r="L170" s="2480">
        <v>0</v>
      </c>
      <c r="M170" s="2480">
        <v>7080</v>
      </c>
      <c r="N170" s="2443">
        <v>4</v>
      </c>
      <c r="O170" s="2453" t="s">
        <v>1699</v>
      </c>
      <c r="P170" s="3359"/>
      <c r="Q170" s="3359"/>
      <c r="R170" s="3359"/>
      <c r="S170" s="3359"/>
      <c r="T170" s="3359"/>
      <c r="U170" s="3359"/>
      <c r="V170" s="3359"/>
      <c r="W170" s="3359"/>
      <c r="X170" s="3359"/>
      <c r="Y170" s="3359"/>
      <c r="Z170" s="3359"/>
      <c r="AA170" s="3359"/>
      <c r="AB170" s="3536"/>
      <c r="AC170" s="3361"/>
      <c r="AD170" s="3361"/>
      <c r="AE170" s="3361"/>
      <c r="AF170" s="3361"/>
      <c r="AG170" s="3361"/>
      <c r="AH170" s="3361"/>
      <c r="AI170" s="3361"/>
      <c r="AJ170" s="3361"/>
      <c r="AK170" s="3361"/>
      <c r="AL170" s="3514"/>
      <c r="AM170" s="3516"/>
      <c r="AN170" s="3470"/>
      <c r="AO170" s="3718"/>
      <c r="AP170" s="3719"/>
      <c r="AQ170" s="3719"/>
      <c r="AR170" s="3719"/>
      <c r="AS170" s="3719"/>
      <c r="AT170" s="3719"/>
      <c r="AU170" s="3719"/>
      <c r="AV170" s="3719"/>
      <c r="AW170" s="3719"/>
      <c r="AX170" s="3719"/>
      <c r="AY170" s="3719"/>
      <c r="AZ170" s="3719"/>
      <c r="BA170" s="3719"/>
      <c r="BB170" s="3719"/>
      <c r="BC170" s="3719"/>
      <c r="BD170" s="3719"/>
      <c r="BE170" s="3719"/>
      <c r="BF170" s="3719"/>
      <c r="BG170" s="3719"/>
      <c r="BH170" s="3719"/>
      <c r="BI170" s="3719"/>
      <c r="BJ170" s="3719"/>
      <c r="BK170" s="3719"/>
      <c r="BL170" s="3719"/>
      <c r="BM170" s="3719"/>
      <c r="BN170" s="3518"/>
      <c r="BO170" s="3520"/>
      <c r="BP170" s="3466"/>
      <c r="BQ170" s="3466"/>
      <c r="BR170" s="3466"/>
      <c r="BS170" s="3466"/>
      <c r="BT170" s="3466"/>
      <c r="BU170" s="3466"/>
      <c r="BV170" s="3466"/>
      <c r="BW170" s="3466"/>
      <c r="BX170" s="3466"/>
      <c r="BY170" s="3466"/>
      <c r="BZ170" s="3466"/>
      <c r="CA170" s="3477"/>
      <c r="CB170" s="3520"/>
      <c r="CC170" s="3466"/>
      <c r="CD170" s="3466"/>
      <c r="CE170" s="3466"/>
      <c r="CF170" s="3466"/>
      <c r="CG170" s="3466"/>
      <c r="CH170" s="3466"/>
      <c r="CI170" s="3466"/>
      <c r="CJ170" s="3466"/>
      <c r="CK170" s="3466"/>
      <c r="CL170" s="3466"/>
      <c r="CM170" s="3466"/>
    </row>
    <row r="171" spans="1:91">
      <c r="A171" s="3555" t="s">
        <v>1779</v>
      </c>
      <c r="B171" s="2551" t="str">
        <f t="shared" si="2"/>
        <v>3036860019</v>
      </c>
      <c r="C171" s="2022" t="s">
        <v>703</v>
      </c>
      <c r="D171" s="2023">
        <v>3686</v>
      </c>
      <c r="E171" s="2023">
        <v>19</v>
      </c>
      <c r="F171" s="2506">
        <v>4136</v>
      </c>
      <c r="G171" s="2507" t="s">
        <v>1566</v>
      </c>
      <c r="H171" s="2023" t="s">
        <v>1560</v>
      </c>
      <c r="I171" s="2024">
        <v>2</v>
      </c>
      <c r="J171" s="2505">
        <v>3200</v>
      </c>
      <c r="K171" s="2505">
        <v>0</v>
      </c>
      <c r="L171" s="2505">
        <v>0</v>
      </c>
      <c r="M171" s="2505">
        <v>9600</v>
      </c>
      <c r="N171" s="2025">
        <v>4</v>
      </c>
      <c r="O171" s="2452" t="s">
        <v>1699</v>
      </c>
      <c r="P171" s="3272">
        <v>6400</v>
      </c>
      <c r="Q171" s="3272">
        <v>3200</v>
      </c>
      <c r="R171" s="3272">
        <v>0</v>
      </c>
      <c r="S171" s="3272">
        <v>0</v>
      </c>
      <c r="T171" s="3272">
        <v>0</v>
      </c>
      <c r="U171" s="3272">
        <v>0</v>
      </c>
      <c r="V171" s="3272">
        <v>12168</v>
      </c>
      <c r="W171" s="3272">
        <v>0</v>
      </c>
      <c r="X171" s="3272">
        <v>0</v>
      </c>
      <c r="Y171" s="3272">
        <v>0</v>
      </c>
      <c r="Z171" s="3272">
        <v>0</v>
      </c>
      <c r="AA171" s="3272">
        <v>0</v>
      </c>
      <c r="AB171" s="3507">
        <v>21768</v>
      </c>
      <c r="AC171" s="3265">
        <v>6</v>
      </c>
      <c r="AD171" s="3265">
        <v>0</v>
      </c>
      <c r="AE171" s="3265">
        <v>0</v>
      </c>
      <c r="AF171" s="3265">
        <v>0</v>
      </c>
      <c r="AG171" s="3265">
        <v>0</v>
      </c>
      <c r="AH171" s="3265">
        <v>0</v>
      </c>
      <c r="AI171" s="3265">
        <v>0</v>
      </c>
      <c r="AJ171" s="3265">
        <v>0</v>
      </c>
      <c r="AK171" s="3265">
        <v>0</v>
      </c>
      <c r="AL171" s="3513">
        <v>35</v>
      </c>
      <c r="AM171" s="3515" t="s">
        <v>1331</v>
      </c>
      <c r="AN171" s="3512" t="s">
        <v>1560</v>
      </c>
      <c r="AO171" s="3407" t="s">
        <v>1595</v>
      </c>
      <c r="AP171" s="3511">
        <v>52522</v>
      </c>
      <c r="AQ171" s="3511">
        <v>6459.3</v>
      </c>
      <c r="AR171" s="3511">
        <v>0</v>
      </c>
      <c r="AS171" s="3511">
        <v>0</v>
      </c>
      <c r="AT171" s="3511">
        <v>0</v>
      </c>
      <c r="AU171" s="3511">
        <v>0</v>
      </c>
      <c r="AV171" s="3511">
        <v>0</v>
      </c>
      <c r="AW171" s="3511">
        <v>0</v>
      </c>
      <c r="AX171" s="3511">
        <v>0</v>
      </c>
      <c r="AY171" s="3511">
        <v>0</v>
      </c>
      <c r="AZ171" s="3511">
        <v>0</v>
      </c>
      <c r="BA171" s="3511">
        <v>0</v>
      </c>
      <c r="BB171" s="3511">
        <v>58981.3</v>
      </c>
      <c r="BC171" s="3511">
        <v>52</v>
      </c>
      <c r="BD171" s="3511">
        <v>26.260999999999999</v>
      </c>
      <c r="BE171" s="3511">
        <v>11</v>
      </c>
      <c r="BF171" s="3511">
        <v>0</v>
      </c>
      <c r="BG171" s="3511">
        <v>6</v>
      </c>
      <c r="BH171" s="3511">
        <v>0</v>
      </c>
      <c r="BI171" s="3511">
        <v>0</v>
      </c>
      <c r="BJ171" s="3511">
        <v>0</v>
      </c>
      <c r="BK171" s="3511">
        <v>0</v>
      </c>
      <c r="BL171" s="3511">
        <v>0</v>
      </c>
      <c r="BM171" s="3511">
        <v>17</v>
      </c>
      <c r="BN171" s="3517">
        <v>145</v>
      </c>
      <c r="BO171" s="3519">
        <v>46122</v>
      </c>
      <c r="BP171" s="3464">
        <v>3259.3</v>
      </c>
      <c r="BQ171" s="3464">
        <v>0</v>
      </c>
      <c r="BR171" s="3464">
        <v>0</v>
      </c>
      <c r="BS171" s="3464">
        <v>0</v>
      </c>
      <c r="BT171" s="3464">
        <v>0</v>
      </c>
      <c r="BU171" s="3464">
        <v>0</v>
      </c>
      <c r="BV171" s="3464">
        <v>-12168</v>
      </c>
      <c r="BW171" s="3464">
        <v>0</v>
      </c>
      <c r="BX171" s="3464">
        <v>0</v>
      </c>
      <c r="BY171" s="3464">
        <v>0</v>
      </c>
      <c r="BZ171" s="3464">
        <v>0</v>
      </c>
      <c r="CA171" s="3524">
        <v>0</v>
      </c>
      <c r="CB171" s="3519">
        <v>37213.300000000003</v>
      </c>
      <c r="CC171" s="3464">
        <v>-8908.7000000000007</v>
      </c>
      <c r="CD171" s="3464">
        <v>46</v>
      </c>
      <c r="CE171" s="3464">
        <v>26.260999999999999</v>
      </c>
      <c r="CF171" s="3464">
        <v>11</v>
      </c>
      <c r="CG171" s="3464">
        <v>0</v>
      </c>
      <c r="CH171" s="3464">
        <v>6</v>
      </c>
      <c r="CI171" s="3464">
        <v>0</v>
      </c>
      <c r="CJ171" s="3464">
        <v>0</v>
      </c>
      <c r="CK171" s="3464">
        <v>0</v>
      </c>
      <c r="CL171" s="3464">
        <v>0</v>
      </c>
      <c r="CM171" s="3464">
        <v>0</v>
      </c>
    </row>
    <row r="172" spans="1:91" ht="15.75" thickBot="1">
      <c r="A172" s="3568"/>
      <c r="B172" s="2551" t="str">
        <f t="shared" si="2"/>
        <v>3036860021</v>
      </c>
      <c r="C172" s="2492" t="s">
        <v>710</v>
      </c>
      <c r="D172" s="2026">
        <v>3686</v>
      </c>
      <c r="E172" s="2026">
        <v>21</v>
      </c>
      <c r="F172" s="2027">
        <v>4056</v>
      </c>
      <c r="G172" s="2497" t="s">
        <v>1566</v>
      </c>
      <c r="H172" s="2026" t="s">
        <v>1560</v>
      </c>
      <c r="I172" s="2028">
        <v>2</v>
      </c>
      <c r="J172" s="2500">
        <v>0</v>
      </c>
      <c r="K172" s="2500">
        <v>0</v>
      </c>
      <c r="L172" s="2500">
        <v>12168</v>
      </c>
      <c r="M172" s="2500">
        <v>12168</v>
      </c>
      <c r="N172" s="2029">
        <v>0</v>
      </c>
      <c r="O172" s="2503" t="s">
        <v>1780</v>
      </c>
      <c r="P172" s="3359"/>
      <c r="Q172" s="3359"/>
      <c r="R172" s="3359"/>
      <c r="S172" s="3359"/>
      <c r="T172" s="3359"/>
      <c r="U172" s="3359"/>
      <c r="V172" s="3359"/>
      <c r="W172" s="3359"/>
      <c r="X172" s="3359"/>
      <c r="Y172" s="3359"/>
      <c r="Z172" s="3359"/>
      <c r="AA172" s="3359"/>
      <c r="AB172" s="3536"/>
      <c r="AC172" s="3361"/>
      <c r="AD172" s="3361"/>
      <c r="AE172" s="3361"/>
      <c r="AF172" s="3361"/>
      <c r="AG172" s="3361"/>
      <c r="AH172" s="3361"/>
      <c r="AI172" s="3361"/>
      <c r="AJ172" s="3361"/>
      <c r="AK172" s="3361"/>
      <c r="AL172" s="3514"/>
      <c r="AM172" s="3516"/>
      <c r="AN172" s="3470"/>
      <c r="AO172" s="3718"/>
      <c r="AP172" s="3719"/>
      <c r="AQ172" s="3719"/>
      <c r="AR172" s="3719"/>
      <c r="AS172" s="3719"/>
      <c r="AT172" s="3719"/>
      <c r="AU172" s="3719"/>
      <c r="AV172" s="3719"/>
      <c r="AW172" s="3719"/>
      <c r="AX172" s="3719"/>
      <c r="AY172" s="3719"/>
      <c r="AZ172" s="3719"/>
      <c r="BA172" s="3719"/>
      <c r="BB172" s="3719"/>
      <c r="BC172" s="3719"/>
      <c r="BD172" s="3719"/>
      <c r="BE172" s="3719"/>
      <c r="BF172" s="3719"/>
      <c r="BG172" s="3719"/>
      <c r="BH172" s="3719"/>
      <c r="BI172" s="3719"/>
      <c r="BJ172" s="3719"/>
      <c r="BK172" s="3719"/>
      <c r="BL172" s="3719"/>
      <c r="BM172" s="3719"/>
      <c r="BN172" s="3518"/>
      <c r="BO172" s="3520"/>
      <c r="BP172" s="3466"/>
      <c r="BQ172" s="3466"/>
      <c r="BR172" s="3466"/>
      <c r="BS172" s="3466"/>
      <c r="BT172" s="3466"/>
      <c r="BU172" s="3466"/>
      <c r="BV172" s="3466"/>
      <c r="BW172" s="3466"/>
      <c r="BX172" s="3466"/>
      <c r="BY172" s="3466"/>
      <c r="BZ172" s="3466"/>
      <c r="CA172" s="3477"/>
      <c r="CB172" s="3520"/>
      <c r="CC172" s="3466"/>
      <c r="CD172" s="3466"/>
      <c r="CE172" s="3466"/>
      <c r="CF172" s="3466"/>
      <c r="CG172" s="3466"/>
      <c r="CH172" s="3466"/>
      <c r="CI172" s="3466"/>
      <c r="CJ172" s="3466"/>
      <c r="CK172" s="3466"/>
      <c r="CL172" s="3466"/>
      <c r="CM172" s="3466"/>
    </row>
    <row r="173" spans="1:91" ht="15.75" thickBot="1">
      <c r="A173" s="2524" t="s">
        <v>1781</v>
      </c>
      <c r="B173" s="2551" t="str">
        <f t="shared" si="2"/>
        <v>3036870112</v>
      </c>
      <c r="C173" s="2010" t="s">
        <v>703</v>
      </c>
      <c r="D173" s="2011">
        <v>3687</v>
      </c>
      <c r="E173" s="2011">
        <v>112</v>
      </c>
      <c r="F173" s="2494">
        <v>19931</v>
      </c>
      <c r="G173" s="2496" t="s">
        <v>1566</v>
      </c>
      <c r="H173" s="2011" t="s">
        <v>1560</v>
      </c>
      <c r="I173" s="2012">
        <v>2</v>
      </c>
      <c r="J173" s="2491">
        <v>0</v>
      </c>
      <c r="K173" s="2491">
        <v>0</v>
      </c>
      <c r="L173" s="2491">
        <v>4505</v>
      </c>
      <c r="M173" s="2491">
        <v>4505</v>
      </c>
      <c r="N173" s="2489">
        <v>0</v>
      </c>
      <c r="O173" s="2490" t="s">
        <v>1656</v>
      </c>
      <c r="P173" s="2499">
        <v>0</v>
      </c>
      <c r="Q173" s="2499">
        <v>0</v>
      </c>
      <c r="R173" s="2499">
        <v>0</v>
      </c>
      <c r="S173" s="2499">
        <v>0</v>
      </c>
      <c r="T173" s="2499">
        <v>0</v>
      </c>
      <c r="U173" s="2499">
        <v>0</v>
      </c>
      <c r="V173" s="2499">
        <v>4505</v>
      </c>
      <c r="W173" s="2499">
        <v>0</v>
      </c>
      <c r="X173" s="2499">
        <v>0</v>
      </c>
      <c r="Y173" s="2499">
        <v>0</v>
      </c>
      <c r="Z173" s="2499">
        <v>0</v>
      </c>
      <c r="AA173" s="2499">
        <v>0</v>
      </c>
      <c r="AB173" s="2530">
        <v>4505</v>
      </c>
      <c r="AC173" s="2491">
        <v>0</v>
      </c>
      <c r="AD173" s="2491">
        <v>0</v>
      </c>
      <c r="AE173" s="2491">
        <v>26</v>
      </c>
      <c r="AF173" s="2491">
        <v>0</v>
      </c>
      <c r="AG173" s="2491">
        <v>0</v>
      </c>
      <c r="AH173" s="2491">
        <v>0</v>
      </c>
      <c r="AI173" s="2491">
        <v>0</v>
      </c>
      <c r="AJ173" s="2491">
        <v>0</v>
      </c>
      <c r="AK173" s="2491">
        <v>26</v>
      </c>
      <c r="AL173" s="2522">
        <v>15</v>
      </c>
      <c r="AM173" s="2178" t="str">
        <f>[5]With_Action!L1031</f>
        <v>C4-4</v>
      </c>
      <c r="AN173" s="2179">
        <f>[5]With_Action!O1031</f>
        <v>0</v>
      </c>
      <c r="AO173" s="2180" t="str">
        <f>[5]With_Action!BU1031</f>
        <v>Retail (1)/Residential (10)</v>
      </c>
      <c r="AP173" s="2181">
        <f>[5]With_Action!BV1031</f>
        <v>73745</v>
      </c>
      <c r="AQ173" s="2181">
        <f>[5]With_Action!BW1031</f>
        <v>17937.900000000001</v>
      </c>
      <c r="AR173" s="2181">
        <f>[5]With_Action!BY1031</f>
        <v>0</v>
      </c>
      <c r="AS173" s="2181">
        <f>[5]With_Action!BZ1031</f>
        <v>0</v>
      </c>
      <c r="AT173" s="2181">
        <f>[5]With_Action!CA1031</f>
        <v>0</v>
      </c>
      <c r="AU173" s="2181">
        <f>[5]With_Action!CB1031</f>
        <v>0</v>
      </c>
      <c r="AV173" s="2181">
        <f>[5]With_Action!CC1031</f>
        <v>0</v>
      </c>
      <c r="AW173" s="2181">
        <f>[5]With_Action!CD1031</f>
        <v>0</v>
      </c>
      <c r="AX173" s="2181">
        <f>[5]With_Action!CE1031</f>
        <v>0</v>
      </c>
      <c r="AY173" s="2181">
        <f>[5]With_Action!CF1031</f>
        <v>0</v>
      </c>
      <c r="AZ173" s="2181">
        <f>[5]With_Action!CG1031</f>
        <v>0</v>
      </c>
      <c r="BA173" s="2181">
        <f>[5]With_Action!CH1031</f>
        <v>0</v>
      </c>
      <c r="BB173" s="2181">
        <f>[5]With_Action!CI1031</f>
        <v>91682.9</v>
      </c>
      <c r="BC173" s="2181">
        <f>[5]With_Action!CS1031</f>
        <v>73</v>
      </c>
      <c r="BD173" s="2181">
        <f>[5]With_Action!CV1031</f>
        <v>36.872500000000002</v>
      </c>
      <c r="BE173" s="2181">
        <f>[5]With_Action!CW1031</f>
        <v>18</v>
      </c>
      <c r="BF173" s="2181">
        <f>[5]With_Action!CX1031</f>
        <v>0</v>
      </c>
      <c r="BG173" s="2181">
        <f>[5]With_Action!CY1031</f>
        <v>18</v>
      </c>
      <c r="BH173" s="2181">
        <f>[5]With_Action!CZ1031</f>
        <v>0</v>
      </c>
      <c r="BI173" s="2181">
        <f>[5]With_Action!DA1031</f>
        <v>0</v>
      </c>
      <c r="BJ173" s="2181">
        <f>[5]With_Action!DB1031</f>
        <v>0</v>
      </c>
      <c r="BK173" s="2181">
        <f>[5]With_Action!DC1031</f>
        <v>0</v>
      </c>
      <c r="BL173" s="2181">
        <f>[5]With_Action!DD1031</f>
        <v>0</v>
      </c>
      <c r="BM173" s="2181">
        <f>[5]With_Action!DE1031</f>
        <v>36</v>
      </c>
      <c r="BN173" s="2182">
        <f>[5]With_Action!CR1031</f>
        <v>105</v>
      </c>
      <c r="BO173" s="2183">
        <f>[5]Increment!C76</f>
        <v>73745</v>
      </c>
      <c r="BP173" s="2184">
        <f>[5]Increment!D76</f>
        <v>17937.900000000001</v>
      </c>
      <c r="BQ173" s="2184">
        <f>[5]Increment!E76</f>
        <v>0</v>
      </c>
      <c r="BR173" s="2184">
        <f>[5]Increment!F76</f>
        <v>0</v>
      </c>
      <c r="BS173" s="2184">
        <f>[5]Increment!G76</f>
        <v>0</v>
      </c>
      <c r="BT173" s="2184">
        <f>[5]Increment!H76</f>
        <v>0</v>
      </c>
      <c r="BU173" s="2184">
        <f>[5]Increment!I76</f>
        <v>0</v>
      </c>
      <c r="BV173" s="2184">
        <f>[5]Increment!J76</f>
        <v>-4505</v>
      </c>
      <c r="BW173" s="2184">
        <f>[5]Increment!K76</f>
        <v>0</v>
      </c>
      <c r="BX173" s="2184">
        <f>[5]Increment!L76</f>
        <v>0</v>
      </c>
      <c r="BY173" s="2184">
        <f>[5]Increment!M76</f>
        <v>0</v>
      </c>
      <c r="BZ173" s="2184">
        <f>[5]Increment!N76</f>
        <v>0</v>
      </c>
      <c r="CA173" s="2185">
        <f>[5]Increment!O76</f>
        <v>0</v>
      </c>
      <c r="CB173" s="2183">
        <f>[5]Increment!P76</f>
        <v>87177.9</v>
      </c>
      <c r="CC173" s="2184">
        <f>[5]Increment!Q76</f>
        <v>13432.900000000001</v>
      </c>
      <c r="CD173" s="2184">
        <f>[5]Increment!S76</f>
        <v>73</v>
      </c>
      <c r="CE173" s="2184">
        <f>[5]Increment!U76</f>
        <v>36.872500000000002</v>
      </c>
      <c r="CF173" s="2184">
        <f>[5]Increment!V76</f>
        <v>18</v>
      </c>
      <c r="CG173" s="2184">
        <f>[5]Increment!W76</f>
        <v>0</v>
      </c>
      <c r="CH173" s="2184">
        <f>[5]Increment!X76</f>
        <v>-8</v>
      </c>
      <c r="CI173" s="2184">
        <f>[5]Increment!Y76</f>
        <v>0</v>
      </c>
      <c r="CJ173" s="2184">
        <f>[5]Increment!Z76</f>
        <v>0</v>
      </c>
      <c r="CK173" s="2184">
        <f>[5]Increment!AA76</f>
        <v>0</v>
      </c>
      <c r="CL173" s="2184">
        <f>[5]Increment!AB76</f>
        <v>0</v>
      </c>
      <c r="CM173" s="2184">
        <f>[5]Increment!AC76</f>
        <v>0</v>
      </c>
    </row>
    <row r="174" spans="1:91" ht="15.75" thickBot="1">
      <c r="A174" s="2476" t="s">
        <v>1782</v>
      </c>
      <c r="B174" s="2551" t="str">
        <f t="shared" si="2"/>
        <v>3036890011</v>
      </c>
      <c r="C174" s="2466" t="s">
        <v>703</v>
      </c>
      <c r="D174" s="2462">
        <v>3689</v>
      </c>
      <c r="E174" s="2462">
        <v>11</v>
      </c>
      <c r="F174" s="2461">
        <v>9361</v>
      </c>
      <c r="G174" s="2445" t="s">
        <v>1566</v>
      </c>
      <c r="H174" s="2462" t="s">
        <v>1560</v>
      </c>
      <c r="I174" s="2463">
        <v>2</v>
      </c>
      <c r="J174" s="2448">
        <v>0</v>
      </c>
      <c r="K174" s="2448">
        <v>9361</v>
      </c>
      <c r="L174" s="2448">
        <v>0</v>
      </c>
      <c r="M174" s="2448">
        <v>9361</v>
      </c>
      <c r="N174" s="2438">
        <v>0</v>
      </c>
      <c r="O174" s="2437" t="s">
        <v>1617</v>
      </c>
      <c r="P174" s="2450">
        <v>0</v>
      </c>
      <c r="Q174" s="2450">
        <v>0</v>
      </c>
      <c r="R174" s="2450">
        <v>0</v>
      </c>
      <c r="S174" s="2450">
        <v>0</v>
      </c>
      <c r="T174" s="2450">
        <v>0</v>
      </c>
      <c r="U174" s="2450">
        <v>0</v>
      </c>
      <c r="V174" s="2450">
        <v>0</v>
      </c>
      <c r="W174" s="2450">
        <v>9361</v>
      </c>
      <c r="X174" s="2450">
        <v>0</v>
      </c>
      <c r="Y174" s="2450">
        <v>0</v>
      </c>
      <c r="Z174" s="2450">
        <v>0</v>
      </c>
      <c r="AA174" s="2450">
        <v>0</v>
      </c>
      <c r="AB174" s="2519">
        <v>9361</v>
      </c>
      <c r="AC174" s="2448">
        <v>0</v>
      </c>
      <c r="AD174" s="2448">
        <v>0</v>
      </c>
      <c r="AE174" s="2448">
        <v>0</v>
      </c>
      <c r="AF174" s="2448">
        <v>0</v>
      </c>
      <c r="AG174" s="2448">
        <v>0</v>
      </c>
      <c r="AH174" s="2448">
        <v>0</v>
      </c>
      <c r="AI174" s="2448">
        <v>0</v>
      </c>
      <c r="AJ174" s="2448">
        <v>0</v>
      </c>
      <c r="AK174" s="2448">
        <v>0</v>
      </c>
      <c r="AL174" s="2528">
        <v>15</v>
      </c>
      <c r="AM174" s="2118" t="s">
        <v>1615</v>
      </c>
      <c r="AN174" s="2119" t="s">
        <v>1560</v>
      </c>
      <c r="AO174" s="2092" t="s">
        <v>1616</v>
      </c>
      <c r="AP174" s="2120">
        <v>33700</v>
      </c>
      <c r="AQ174" s="2120">
        <v>0</v>
      </c>
      <c r="AR174" s="2120">
        <v>0</v>
      </c>
      <c r="AS174" s="2120">
        <v>0</v>
      </c>
      <c r="AT174" s="2120">
        <v>0</v>
      </c>
      <c r="AU174" s="2120">
        <v>0</v>
      </c>
      <c r="AV174" s="2120">
        <v>0</v>
      </c>
      <c r="AW174" s="2120">
        <v>0</v>
      </c>
      <c r="AX174" s="2120">
        <v>0</v>
      </c>
      <c r="AY174" s="2120">
        <v>0</v>
      </c>
      <c r="AZ174" s="2120">
        <v>0</v>
      </c>
      <c r="BA174" s="2120">
        <v>0</v>
      </c>
      <c r="BB174" s="2120">
        <v>33700</v>
      </c>
      <c r="BC174" s="2120">
        <v>33</v>
      </c>
      <c r="BD174" s="2120">
        <v>16.850000000000001</v>
      </c>
      <c r="BE174" s="2120">
        <v>0</v>
      </c>
      <c r="BF174" s="2120">
        <v>0</v>
      </c>
      <c r="BG174" s="2120">
        <v>0</v>
      </c>
      <c r="BH174" s="2120">
        <v>0</v>
      </c>
      <c r="BI174" s="2120">
        <v>0</v>
      </c>
      <c r="BJ174" s="2120">
        <v>0</v>
      </c>
      <c r="BK174" s="2120">
        <v>0</v>
      </c>
      <c r="BL174" s="2120">
        <v>0</v>
      </c>
      <c r="BM174" s="2120">
        <v>0</v>
      </c>
      <c r="BN174" s="2121">
        <v>85</v>
      </c>
      <c r="BO174" s="2048">
        <v>33700</v>
      </c>
      <c r="BP174" s="2090">
        <v>0</v>
      </c>
      <c r="BQ174" s="2090">
        <v>0</v>
      </c>
      <c r="BR174" s="2090">
        <v>0</v>
      </c>
      <c r="BS174" s="2090">
        <v>0</v>
      </c>
      <c r="BT174" s="2090">
        <v>0</v>
      </c>
      <c r="BU174" s="2090">
        <v>0</v>
      </c>
      <c r="BV174" s="2090">
        <v>0</v>
      </c>
      <c r="BW174" s="2090">
        <v>-9361</v>
      </c>
      <c r="BX174" s="2090">
        <v>0</v>
      </c>
      <c r="BY174" s="2090">
        <v>0</v>
      </c>
      <c r="BZ174" s="2090">
        <v>0</v>
      </c>
      <c r="CA174" s="2122">
        <v>0</v>
      </c>
      <c r="CB174" s="2048">
        <v>24339</v>
      </c>
      <c r="CC174" s="2090">
        <v>-9361</v>
      </c>
      <c r="CD174" s="2090">
        <v>33</v>
      </c>
      <c r="CE174" s="2090">
        <v>16.850000000000001</v>
      </c>
      <c r="CF174" s="2090">
        <v>0</v>
      </c>
      <c r="CG174" s="2090">
        <v>0</v>
      </c>
      <c r="CH174" s="2090">
        <v>0</v>
      </c>
      <c r="CI174" s="2090">
        <v>0</v>
      </c>
      <c r="CJ174" s="2090">
        <v>0</v>
      </c>
      <c r="CK174" s="2090">
        <v>0</v>
      </c>
      <c r="CL174" s="2090">
        <v>0</v>
      </c>
      <c r="CM174" s="2090">
        <v>0</v>
      </c>
    </row>
    <row r="175" spans="1:91" ht="15.75" thickBot="1">
      <c r="A175" s="3395" t="s">
        <v>1783</v>
      </c>
      <c r="B175" s="2551" t="str">
        <f t="shared" si="2"/>
        <v>3036910014</v>
      </c>
      <c r="C175" s="2466" t="s">
        <v>703</v>
      </c>
      <c r="D175" s="2462">
        <v>3691</v>
      </c>
      <c r="E175" s="2462">
        <v>14</v>
      </c>
      <c r="F175" s="2461">
        <v>1902</v>
      </c>
      <c r="G175" s="2445" t="s">
        <v>1566</v>
      </c>
      <c r="H175" s="2462" t="s">
        <v>1560</v>
      </c>
      <c r="I175" s="2463">
        <v>2</v>
      </c>
      <c r="J175" s="2448">
        <v>0</v>
      </c>
      <c r="K175" s="2448">
        <v>1890</v>
      </c>
      <c r="L175" s="2448">
        <v>0</v>
      </c>
      <c r="M175" s="2448">
        <v>3990</v>
      </c>
      <c r="N175" s="2438">
        <v>0</v>
      </c>
      <c r="O175" s="2134" t="s">
        <v>1784</v>
      </c>
      <c r="P175" s="3655">
        <v>5580</v>
      </c>
      <c r="Q175" s="3265">
        <v>2610</v>
      </c>
      <c r="R175" s="3272">
        <v>0</v>
      </c>
      <c r="S175" s="3272">
        <v>0</v>
      </c>
      <c r="T175" s="3272">
        <v>0</v>
      </c>
      <c r="U175" s="3272">
        <v>0</v>
      </c>
      <c r="V175" s="3272">
        <v>0</v>
      </c>
      <c r="W175" s="3272">
        <v>3158</v>
      </c>
      <c r="X175" s="3272">
        <v>0</v>
      </c>
      <c r="Y175" s="3272">
        <v>0</v>
      </c>
      <c r="Z175" s="3272">
        <v>0</v>
      </c>
      <c r="AA175" s="3272">
        <v>0</v>
      </c>
      <c r="AB175" s="3507">
        <v>11348</v>
      </c>
      <c r="AC175" s="3265">
        <v>5</v>
      </c>
      <c r="AD175" s="3265">
        <v>0</v>
      </c>
      <c r="AE175" s="3265">
        <v>3</v>
      </c>
      <c r="AF175" s="3265">
        <v>0</v>
      </c>
      <c r="AG175" s="3265">
        <v>0</v>
      </c>
      <c r="AH175" s="3265">
        <v>0</v>
      </c>
      <c r="AI175" s="3265">
        <v>0</v>
      </c>
      <c r="AJ175" s="3265">
        <v>0</v>
      </c>
      <c r="AK175" s="3265">
        <v>3</v>
      </c>
      <c r="AL175" s="3513">
        <v>35</v>
      </c>
      <c r="AM175" s="2526" t="s">
        <v>741</v>
      </c>
      <c r="AN175" s="2527" t="s">
        <v>706</v>
      </c>
      <c r="AO175" s="2457" t="s">
        <v>1595</v>
      </c>
      <c r="AP175" s="3511">
        <v>42103</v>
      </c>
      <c r="AQ175" s="3511">
        <v>3697.2</v>
      </c>
      <c r="AR175" s="3511">
        <v>0</v>
      </c>
      <c r="AS175" s="3511">
        <v>0</v>
      </c>
      <c r="AT175" s="3511">
        <v>0</v>
      </c>
      <c r="AU175" s="3511">
        <v>0</v>
      </c>
      <c r="AV175" s="3511">
        <v>0</v>
      </c>
      <c r="AW175" s="3511">
        <v>0</v>
      </c>
      <c r="AX175" s="3511">
        <v>0</v>
      </c>
      <c r="AY175" s="3511">
        <v>0</v>
      </c>
      <c r="AZ175" s="3511">
        <v>0</v>
      </c>
      <c r="BA175" s="3511">
        <v>0</v>
      </c>
      <c r="BB175" s="3511">
        <v>45800.2</v>
      </c>
      <c r="BC175" s="3511">
        <v>40</v>
      </c>
      <c r="BD175" s="3511">
        <v>21.051500000000001</v>
      </c>
      <c r="BE175" s="3511">
        <v>8</v>
      </c>
      <c r="BF175" s="3511">
        <v>0</v>
      </c>
      <c r="BG175" s="3511">
        <v>4</v>
      </c>
      <c r="BH175" s="3511">
        <v>0</v>
      </c>
      <c r="BI175" s="3511">
        <v>0</v>
      </c>
      <c r="BJ175" s="3511">
        <v>0</v>
      </c>
      <c r="BK175" s="3511">
        <v>0</v>
      </c>
      <c r="BL175" s="3511">
        <v>0</v>
      </c>
      <c r="BM175" s="3511">
        <v>6</v>
      </c>
      <c r="BN175" s="3517">
        <v>145</v>
      </c>
      <c r="BO175" s="3519">
        <v>36523</v>
      </c>
      <c r="BP175" s="3464">
        <v>1087.1999999999998</v>
      </c>
      <c r="BQ175" s="3464">
        <v>0</v>
      </c>
      <c r="BR175" s="3464">
        <v>0</v>
      </c>
      <c r="BS175" s="3464">
        <v>0</v>
      </c>
      <c r="BT175" s="3464">
        <v>0</v>
      </c>
      <c r="BU175" s="3464">
        <v>0</v>
      </c>
      <c r="BV175" s="3464">
        <v>0</v>
      </c>
      <c r="BW175" s="3464">
        <v>-3158</v>
      </c>
      <c r="BX175" s="3464">
        <v>0</v>
      </c>
      <c r="BY175" s="3464">
        <v>0</v>
      </c>
      <c r="BZ175" s="3464">
        <v>0</v>
      </c>
      <c r="CA175" s="3524">
        <v>0</v>
      </c>
      <c r="CB175" s="3519">
        <v>34452.199999999997</v>
      </c>
      <c r="CC175" s="3464">
        <v>-2070.8000000000002</v>
      </c>
      <c r="CD175" s="3464">
        <v>35</v>
      </c>
      <c r="CE175" s="3464">
        <v>21.051500000000001</v>
      </c>
      <c r="CF175" s="3464">
        <v>8</v>
      </c>
      <c r="CG175" s="3464">
        <v>0</v>
      </c>
      <c r="CH175" s="3464">
        <v>1</v>
      </c>
      <c r="CI175" s="3464">
        <v>0</v>
      </c>
      <c r="CJ175" s="3464">
        <v>0</v>
      </c>
      <c r="CK175" s="3464">
        <v>0</v>
      </c>
      <c r="CL175" s="3464">
        <v>0</v>
      </c>
      <c r="CM175" s="3464">
        <v>0</v>
      </c>
    </row>
    <row r="176" spans="1:91" ht="15.75" thickBot="1">
      <c r="A176" s="3654"/>
      <c r="B176" s="2551" t="str">
        <f t="shared" si="2"/>
        <v>3036910015</v>
      </c>
      <c r="C176" s="2492" t="s">
        <v>710</v>
      </c>
      <c r="D176" s="2026">
        <v>3691</v>
      </c>
      <c r="E176" s="2026">
        <v>15</v>
      </c>
      <c r="F176" s="2027">
        <v>2626</v>
      </c>
      <c r="G176" s="2497" t="s">
        <v>1566</v>
      </c>
      <c r="H176" s="2026" t="s">
        <v>1560</v>
      </c>
      <c r="I176" s="2028">
        <v>2</v>
      </c>
      <c r="J176" s="2500">
        <v>2610</v>
      </c>
      <c r="K176" s="2500">
        <v>0</v>
      </c>
      <c r="L176" s="2500">
        <v>0</v>
      </c>
      <c r="M176" s="2500">
        <v>6090</v>
      </c>
      <c r="N176" s="2029">
        <v>0</v>
      </c>
      <c r="O176" s="2186" t="s">
        <v>1785</v>
      </c>
      <c r="P176" s="3656"/>
      <c r="Q176" s="3274"/>
      <c r="R176" s="3273"/>
      <c r="S176" s="3273"/>
      <c r="T176" s="3273"/>
      <c r="U176" s="3273"/>
      <c r="V176" s="3273"/>
      <c r="W176" s="3273"/>
      <c r="X176" s="3273"/>
      <c r="Y176" s="3273"/>
      <c r="Z176" s="3273"/>
      <c r="AA176" s="3273"/>
      <c r="AB176" s="3508"/>
      <c r="AC176" s="3274"/>
      <c r="AD176" s="3274"/>
      <c r="AE176" s="3274"/>
      <c r="AF176" s="3274"/>
      <c r="AG176" s="3274"/>
      <c r="AH176" s="3274"/>
      <c r="AI176" s="3274"/>
      <c r="AJ176" s="3274"/>
      <c r="AK176" s="3274"/>
      <c r="AL176" s="3531"/>
      <c r="AM176" s="2187" t="s">
        <v>741</v>
      </c>
      <c r="AN176" s="2188" t="s">
        <v>706</v>
      </c>
      <c r="AO176" s="2064" t="s">
        <v>1595</v>
      </c>
      <c r="AP176" s="3527"/>
      <c r="AQ176" s="3527"/>
      <c r="AR176" s="3527"/>
      <c r="AS176" s="3527"/>
      <c r="AT176" s="3527"/>
      <c r="AU176" s="3527"/>
      <c r="AV176" s="3527"/>
      <c r="AW176" s="3527"/>
      <c r="AX176" s="3527"/>
      <c r="AY176" s="3527"/>
      <c r="AZ176" s="3527"/>
      <c r="BA176" s="3527"/>
      <c r="BB176" s="3527"/>
      <c r="BC176" s="3527"/>
      <c r="BD176" s="3527"/>
      <c r="BE176" s="3527"/>
      <c r="BF176" s="3527"/>
      <c r="BG176" s="3527"/>
      <c r="BH176" s="3527"/>
      <c r="BI176" s="3527"/>
      <c r="BJ176" s="3527"/>
      <c r="BK176" s="3527"/>
      <c r="BL176" s="3527"/>
      <c r="BM176" s="3527"/>
      <c r="BN176" s="3535"/>
      <c r="BO176" s="3534"/>
      <c r="BP176" s="3465"/>
      <c r="BQ176" s="3465"/>
      <c r="BR176" s="3465"/>
      <c r="BS176" s="3465"/>
      <c r="BT176" s="3465"/>
      <c r="BU176" s="3465"/>
      <c r="BV176" s="3465"/>
      <c r="BW176" s="3465"/>
      <c r="BX176" s="3465"/>
      <c r="BY176" s="3465"/>
      <c r="BZ176" s="3465"/>
      <c r="CA176" s="3533"/>
      <c r="CB176" s="3534"/>
      <c r="CC176" s="3465"/>
      <c r="CD176" s="3465"/>
      <c r="CE176" s="3465"/>
      <c r="CF176" s="3465"/>
      <c r="CG176" s="3465"/>
      <c r="CH176" s="3465"/>
      <c r="CI176" s="3465"/>
      <c r="CJ176" s="3465"/>
      <c r="CK176" s="3465"/>
      <c r="CL176" s="3465"/>
      <c r="CM176" s="3465"/>
    </row>
    <row r="177" spans="1:91" ht="15.75" thickBot="1">
      <c r="A177" s="3654"/>
      <c r="B177" s="2551" t="str">
        <f t="shared" si="2"/>
        <v>3036910016</v>
      </c>
      <c r="C177" s="2492" t="s">
        <v>721</v>
      </c>
      <c r="D177" s="2026">
        <v>3691</v>
      </c>
      <c r="E177" s="2026">
        <v>16</v>
      </c>
      <c r="F177" s="2027">
        <v>4400</v>
      </c>
      <c r="G177" s="2497" t="s">
        <v>1566</v>
      </c>
      <c r="H177" s="2026" t="s">
        <v>1560</v>
      </c>
      <c r="I177" s="2028">
        <v>2</v>
      </c>
      <c r="J177" s="2500">
        <v>0</v>
      </c>
      <c r="K177" s="2500">
        <v>1268</v>
      </c>
      <c r="L177" s="2500">
        <v>0</v>
      </c>
      <c r="M177" s="2500">
        <v>1268</v>
      </c>
      <c r="N177" s="2029">
        <v>0</v>
      </c>
      <c r="O177" s="2186" t="s">
        <v>1690</v>
      </c>
      <c r="P177" s="3656"/>
      <c r="Q177" s="3274"/>
      <c r="R177" s="3273"/>
      <c r="S177" s="3273"/>
      <c r="T177" s="3273"/>
      <c r="U177" s="3273"/>
      <c r="V177" s="3273"/>
      <c r="W177" s="3273"/>
      <c r="X177" s="3273"/>
      <c r="Y177" s="3273"/>
      <c r="Z177" s="3273"/>
      <c r="AA177" s="3273"/>
      <c r="AB177" s="3508"/>
      <c r="AC177" s="3274"/>
      <c r="AD177" s="3274"/>
      <c r="AE177" s="3274"/>
      <c r="AF177" s="3274"/>
      <c r="AG177" s="3274"/>
      <c r="AH177" s="3274"/>
      <c r="AI177" s="3274"/>
      <c r="AJ177" s="3274"/>
      <c r="AK177" s="3274"/>
      <c r="AL177" s="3531"/>
      <c r="AM177" s="2187" t="s">
        <v>1612</v>
      </c>
      <c r="AN177" s="2188" t="s">
        <v>1560</v>
      </c>
      <c r="AO177" s="2064" t="s">
        <v>1613</v>
      </c>
      <c r="AP177" s="3527"/>
      <c r="AQ177" s="3527"/>
      <c r="AR177" s="3527"/>
      <c r="AS177" s="3527"/>
      <c r="AT177" s="3527"/>
      <c r="AU177" s="3527"/>
      <c r="AV177" s="3527"/>
      <c r="AW177" s="3527"/>
      <c r="AX177" s="3527"/>
      <c r="AY177" s="3527"/>
      <c r="AZ177" s="3527"/>
      <c r="BA177" s="3527"/>
      <c r="BB177" s="3527"/>
      <c r="BC177" s="3527"/>
      <c r="BD177" s="3527"/>
      <c r="BE177" s="3527"/>
      <c r="BF177" s="3527"/>
      <c r="BG177" s="3527"/>
      <c r="BH177" s="3527"/>
      <c r="BI177" s="3527"/>
      <c r="BJ177" s="3527"/>
      <c r="BK177" s="3527"/>
      <c r="BL177" s="3527"/>
      <c r="BM177" s="3527"/>
      <c r="BN177" s="3535"/>
      <c r="BO177" s="3534"/>
      <c r="BP177" s="3465"/>
      <c r="BQ177" s="3465"/>
      <c r="BR177" s="3465"/>
      <c r="BS177" s="3465"/>
      <c r="BT177" s="3465"/>
      <c r="BU177" s="3465"/>
      <c r="BV177" s="3465"/>
      <c r="BW177" s="3465"/>
      <c r="BX177" s="3465"/>
      <c r="BY177" s="3465"/>
      <c r="BZ177" s="3465"/>
      <c r="CA177" s="3533"/>
      <c r="CB177" s="3534"/>
      <c r="CC177" s="3465"/>
      <c r="CD177" s="3465"/>
      <c r="CE177" s="3465"/>
      <c r="CF177" s="3465"/>
      <c r="CG177" s="3465"/>
      <c r="CH177" s="3465"/>
      <c r="CI177" s="3465"/>
      <c r="CJ177" s="3465"/>
      <c r="CK177" s="3465"/>
      <c r="CL177" s="3465"/>
      <c r="CM177" s="3465"/>
    </row>
    <row r="178" spans="1:91" ht="15.75" thickBot="1">
      <c r="A178" s="3651"/>
      <c r="B178" s="2551" t="str">
        <f t="shared" si="2"/>
        <v>3036910018</v>
      </c>
      <c r="C178" s="2041" t="s">
        <v>724</v>
      </c>
      <c r="D178" s="2479">
        <v>3691</v>
      </c>
      <c r="E178" s="2479">
        <v>18</v>
      </c>
      <c r="F178" s="2482">
        <v>1600</v>
      </c>
      <c r="G178" s="2447" t="s">
        <v>1566</v>
      </c>
      <c r="H178" s="2479" t="s">
        <v>1560</v>
      </c>
      <c r="I178" s="2465">
        <v>2</v>
      </c>
      <c r="J178" s="2480">
        <v>0</v>
      </c>
      <c r="K178" s="2480">
        <v>0</v>
      </c>
      <c r="L178" s="2480">
        <v>0</v>
      </c>
      <c r="M178" s="2480">
        <v>0</v>
      </c>
      <c r="N178" s="2443">
        <v>0</v>
      </c>
      <c r="O178" s="2189" t="s">
        <v>720</v>
      </c>
      <c r="P178" s="3656"/>
      <c r="Q178" s="3361"/>
      <c r="R178" s="3359"/>
      <c r="S178" s="3359"/>
      <c r="T178" s="3359"/>
      <c r="U178" s="3359"/>
      <c r="V178" s="3359"/>
      <c r="W178" s="3359"/>
      <c r="X178" s="3359"/>
      <c r="Y178" s="3359"/>
      <c r="Z178" s="3359"/>
      <c r="AA178" s="3359"/>
      <c r="AB178" s="3536"/>
      <c r="AC178" s="3361"/>
      <c r="AD178" s="3361"/>
      <c r="AE178" s="3361"/>
      <c r="AF178" s="3361"/>
      <c r="AG178" s="3361"/>
      <c r="AH178" s="3361"/>
      <c r="AI178" s="3361"/>
      <c r="AJ178" s="3361"/>
      <c r="AK178" s="3361"/>
      <c r="AL178" s="3514"/>
      <c r="AM178" s="2517" t="s">
        <v>1612</v>
      </c>
      <c r="AN178" s="2518" t="s">
        <v>1560</v>
      </c>
      <c r="AO178" s="2456" t="s">
        <v>1613</v>
      </c>
      <c r="AP178" s="3719"/>
      <c r="AQ178" s="3719"/>
      <c r="AR178" s="3719"/>
      <c r="AS178" s="3719"/>
      <c r="AT178" s="3719"/>
      <c r="AU178" s="3719"/>
      <c r="AV178" s="3719"/>
      <c r="AW178" s="3719"/>
      <c r="AX178" s="3719"/>
      <c r="AY178" s="3719"/>
      <c r="AZ178" s="3719"/>
      <c r="BA178" s="3719"/>
      <c r="BB178" s="3719"/>
      <c r="BC178" s="3719"/>
      <c r="BD178" s="3719"/>
      <c r="BE178" s="3719"/>
      <c r="BF178" s="3719"/>
      <c r="BG178" s="3719"/>
      <c r="BH178" s="3719"/>
      <c r="BI178" s="3719"/>
      <c r="BJ178" s="3719"/>
      <c r="BK178" s="3719"/>
      <c r="BL178" s="3719"/>
      <c r="BM178" s="3719"/>
      <c r="BN178" s="3518"/>
      <c r="BO178" s="3520"/>
      <c r="BP178" s="3466"/>
      <c r="BQ178" s="3466"/>
      <c r="BR178" s="3466"/>
      <c r="BS178" s="3466"/>
      <c r="BT178" s="3466"/>
      <c r="BU178" s="3466"/>
      <c r="BV178" s="3466"/>
      <c r="BW178" s="3466"/>
      <c r="BX178" s="3466"/>
      <c r="BY178" s="3466"/>
      <c r="BZ178" s="3466"/>
      <c r="CA178" s="3477"/>
      <c r="CB178" s="3520"/>
      <c r="CC178" s="3466"/>
      <c r="CD178" s="3466"/>
      <c r="CE178" s="3466"/>
      <c r="CF178" s="3466"/>
      <c r="CG178" s="3466"/>
      <c r="CH178" s="3466"/>
      <c r="CI178" s="3466"/>
      <c r="CJ178" s="3466"/>
      <c r="CK178" s="3466"/>
      <c r="CL178" s="3466"/>
      <c r="CM178" s="3466"/>
    </row>
    <row r="179" spans="1:91" ht="15.75" thickBot="1">
      <c r="A179" s="2529" t="s">
        <v>1786</v>
      </c>
      <c r="B179" s="2551" t="str">
        <f t="shared" si="2"/>
        <v>3037210001</v>
      </c>
      <c r="C179" s="2010" t="s">
        <v>703</v>
      </c>
      <c r="D179" s="2011">
        <v>3721</v>
      </c>
      <c r="E179" s="2011">
        <v>1</v>
      </c>
      <c r="F179" s="2494">
        <v>47600</v>
      </c>
      <c r="G179" s="2496" t="s">
        <v>1566</v>
      </c>
      <c r="H179" s="2011" t="s">
        <v>1560</v>
      </c>
      <c r="I179" s="2012">
        <v>2</v>
      </c>
      <c r="J179" s="2491">
        <v>0</v>
      </c>
      <c r="K179" s="2491">
        <v>0</v>
      </c>
      <c r="L179" s="2491">
        <v>0</v>
      </c>
      <c r="M179" s="2491">
        <v>0</v>
      </c>
      <c r="N179" s="2489">
        <v>0</v>
      </c>
      <c r="O179" s="2490" t="s">
        <v>1787</v>
      </c>
      <c r="P179" s="2499">
        <v>0</v>
      </c>
      <c r="Q179" s="2499">
        <v>0</v>
      </c>
      <c r="R179" s="2499">
        <v>0</v>
      </c>
      <c r="S179" s="2499">
        <v>0</v>
      </c>
      <c r="T179" s="2499">
        <v>0</v>
      </c>
      <c r="U179" s="2499">
        <v>0</v>
      </c>
      <c r="V179" s="2499">
        <v>0</v>
      </c>
      <c r="W179" s="2499">
        <v>95200</v>
      </c>
      <c r="X179" s="2499">
        <v>0</v>
      </c>
      <c r="Y179" s="2499">
        <v>0</v>
      </c>
      <c r="Z179" s="2499">
        <v>0</v>
      </c>
      <c r="AA179" s="2499">
        <v>0</v>
      </c>
      <c r="AB179" s="2530">
        <v>95200</v>
      </c>
      <c r="AC179" s="2491">
        <v>0</v>
      </c>
      <c r="AD179" s="2491">
        <v>0</v>
      </c>
      <c r="AE179" s="2491">
        <v>47.6</v>
      </c>
      <c r="AF179" s="2491">
        <v>0</v>
      </c>
      <c r="AG179" s="2491">
        <v>0</v>
      </c>
      <c r="AH179" s="2491">
        <v>0</v>
      </c>
      <c r="AI179" s="2491">
        <v>0</v>
      </c>
      <c r="AJ179" s="2491">
        <v>0</v>
      </c>
      <c r="AK179" s="2491">
        <v>47.6</v>
      </c>
      <c r="AL179" s="2522">
        <v>55</v>
      </c>
      <c r="AM179" s="2118" t="s">
        <v>1331</v>
      </c>
      <c r="AN179" s="2119" t="s">
        <v>706</v>
      </c>
      <c r="AO179" s="2092" t="s">
        <v>1788</v>
      </c>
      <c r="AP179" s="2120">
        <v>157508</v>
      </c>
      <c r="AQ179" s="2120">
        <v>64736</v>
      </c>
      <c r="AR179" s="2120">
        <v>0</v>
      </c>
      <c r="AS179" s="2120">
        <v>0</v>
      </c>
      <c r="AT179" s="2120">
        <v>0</v>
      </c>
      <c r="AU179" s="2120">
        <v>0</v>
      </c>
      <c r="AV179" s="2120">
        <v>64736</v>
      </c>
      <c r="AW179" s="2120">
        <v>0</v>
      </c>
      <c r="AX179" s="2120">
        <v>0</v>
      </c>
      <c r="AY179" s="2120">
        <v>0</v>
      </c>
      <c r="AZ179" s="2120">
        <v>0</v>
      </c>
      <c r="BA179" s="2120">
        <v>55740.444444444445</v>
      </c>
      <c r="BB179" s="2120">
        <v>342720.44444444444</v>
      </c>
      <c r="BC179" s="2120">
        <v>157</v>
      </c>
      <c r="BD179" s="2120">
        <v>78.754000000000005</v>
      </c>
      <c r="BE179" s="2120">
        <v>32</v>
      </c>
      <c r="BF179" s="2120">
        <v>0</v>
      </c>
      <c r="BG179" s="2120">
        <v>129</v>
      </c>
      <c r="BH179" s="2120">
        <v>0</v>
      </c>
      <c r="BI179" s="2120">
        <v>0</v>
      </c>
      <c r="BJ179" s="2120">
        <v>0</v>
      </c>
      <c r="BK179" s="2120">
        <v>0</v>
      </c>
      <c r="BL179" s="2120">
        <v>56</v>
      </c>
      <c r="BM179" s="2120">
        <v>217</v>
      </c>
      <c r="BN179" s="2121">
        <v>145</v>
      </c>
      <c r="BO179" s="2048">
        <v>157508</v>
      </c>
      <c r="BP179" s="2090">
        <v>64736</v>
      </c>
      <c r="BQ179" s="2090">
        <v>0</v>
      </c>
      <c r="BR179" s="2090">
        <v>0</v>
      </c>
      <c r="BS179" s="2090">
        <v>0</v>
      </c>
      <c r="BT179" s="2090">
        <v>0</v>
      </c>
      <c r="BU179" s="2090">
        <v>0</v>
      </c>
      <c r="BV179" s="2090">
        <v>64736</v>
      </c>
      <c r="BW179" s="2090">
        <v>-95200</v>
      </c>
      <c r="BX179" s="2090">
        <v>0</v>
      </c>
      <c r="BY179" s="2090">
        <v>0</v>
      </c>
      <c r="BZ179" s="2090">
        <v>0</v>
      </c>
      <c r="CA179" s="2122">
        <v>55740.444444444445</v>
      </c>
      <c r="CB179" s="2048">
        <v>247520.44444444444</v>
      </c>
      <c r="CC179" s="2090">
        <v>34272</v>
      </c>
      <c r="CD179" s="2090">
        <v>157</v>
      </c>
      <c r="CE179" s="2090">
        <v>78.754000000000005</v>
      </c>
      <c r="CF179" s="2090">
        <v>32</v>
      </c>
      <c r="CG179" s="2090">
        <v>0</v>
      </c>
      <c r="CH179" s="2090">
        <v>81.400000000000006</v>
      </c>
      <c r="CI179" s="2090">
        <v>0</v>
      </c>
      <c r="CJ179" s="2090">
        <v>0</v>
      </c>
      <c r="CK179" s="2090">
        <v>0</v>
      </c>
      <c r="CL179" s="2090">
        <v>0</v>
      </c>
      <c r="CM179" s="2090">
        <v>56</v>
      </c>
    </row>
    <row r="180" spans="1:91" ht="15.75" thickBot="1">
      <c r="A180" s="2476" t="s">
        <v>1789</v>
      </c>
      <c r="B180" s="2551" t="str">
        <f t="shared" si="2"/>
        <v>3039360042</v>
      </c>
      <c r="C180" s="2466" t="s">
        <v>703</v>
      </c>
      <c r="D180" s="2462">
        <v>3936</v>
      </c>
      <c r="E180" s="2462">
        <v>42</v>
      </c>
      <c r="F180" s="2461">
        <v>14732</v>
      </c>
      <c r="G180" s="2445" t="s">
        <v>1079</v>
      </c>
      <c r="H180" s="2462" t="s">
        <v>1584</v>
      </c>
      <c r="I180" s="2463">
        <v>1.25</v>
      </c>
      <c r="J180" s="2448">
        <v>9000</v>
      </c>
      <c r="K180" s="2448">
        <v>0</v>
      </c>
      <c r="L180" s="2448">
        <v>0</v>
      </c>
      <c r="M180" s="2448">
        <v>9000</v>
      </c>
      <c r="N180" s="2438">
        <v>0</v>
      </c>
      <c r="O180" s="2437" t="s">
        <v>1681</v>
      </c>
      <c r="P180" s="2450">
        <v>0</v>
      </c>
      <c r="Q180" s="2450">
        <v>0</v>
      </c>
      <c r="R180" s="2450">
        <v>9000</v>
      </c>
      <c r="S180" s="2450">
        <v>0</v>
      </c>
      <c r="T180" s="2450">
        <v>0</v>
      </c>
      <c r="U180" s="2450">
        <v>0</v>
      </c>
      <c r="V180" s="2450">
        <v>0</v>
      </c>
      <c r="W180" s="2450">
        <v>0</v>
      </c>
      <c r="X180" s="2450">
        <v>0</v>
      </c>
      <c r="Y180" s="2450">
        <v>0</v>
      </c>
      <c r="Z180" s="2450">
        <v>0</v>
      </c>
      <c r="AA180" s="2450">
        <v>0</v>
      </c>
      <c r="AB180" s="2519">
        <v>9000</v>
      </c>
      <c r="AC180" s="2448">
        <v>0</v>
      </c>
      <c r="AD180" s="2448">
        <v>0</v>
      </c>
      <c r="AE180" s="2448">
        <v>0</v>
      </c>
      <c r="AF180" s="2448">
        <v>0</v>
      </c>
      <c r="AG180" s="2448">
        <v>0</v>
      </c>
      <c r="AH180" s="2448">
        <v>0</v>
      </c>
      <c r="AI180" s="2448">
        <v>0</v>
      </c>
      <c r="AJ180" s="2448">
        <v>0</v>
      </c>
      <c r="AK180" s="2448">
        <v>0</v>
      </c>
      <c r="AL180" s="2528">
        <v>15</v>
      </c>
      <c r="AM180" s="2118" t="str">
        <f>[6]With_Action!L1035</f>
        <v>R6A</v>
      </c>
      <c r="AN180" s="2119" t="str">
        <f>[6]With_Action!O1035</f>
        <v>C2-4</v>
      </c>
      <c r="AO180" s="2092" t="str">
        <f>[6]With_Action!BU1035</f>
        <v>Supermarket (1)/Residential (7)</v>
      </c>
      <c r="AP180" s="2120">
        <f>[6]With_Action!BV1035</f>
        <v>53035</v>
      </c>
      <c r="AQ180" s="2120">
        <f>[6]With_Action!BW1035</f>
        <v>0</v>
      </c>
      <c r="AR180" s="2120">
        <f>[6]With_Action!BY1035</f>
        <v>13258.800000000001</v>
      </c>
      <c r="AS180" s="2120">
        <f>[6]With_Action!BZ1035</f>
        <v>0</v>
      </c>
      <c r="AT180" s="2120">
        <f>[6]With_Action!CA1035</f>
        <v>0</v>
      </c>
      <c r="AU180" s="2120">
        <f>[6]With_Action!CB1035</f>
        <v>0</v>
      </c>
      <c r="AV180" s="2120">
        <f>[6]With_Action!CC1035</f>
        <v>0</v>
      </c>
      <c r="AW180" s="2120">
        <f>[6]With_Action!CD1035</f>
        <v>0</v>
      </c>
      <c r="AX180" s="2120">
        <f>[6]With_Action!CE1035</f>
        <v>0</v>
      </c>
      <c r="AY180" s="2120">
        <f>[6]With_Action!CF1035</f>
        <v>0</v>
      </c>
      <c r="AZ180" s="2120">
        <f>[6]With_Action!CG1035</f>
        <v>0</v>
      </c>
      <c r="BA180" s="2120">
        <f>[6]With_Action!CH1035</f>
        <v>0</v>
      </c>
      <c r="BB180" s="2120">
        <f>[6]With_Action!CI1035</f>
        <v>66293.8</v>
      </c>
      <c r="BC180" s="2120">
        <f>[6]With_Action!CS1035</f>
        <v>53</v>
      </c>
      <c r="BD180" s="2120">
        <f>[6]With_Action!CV1035</f>
        <v>26.517499999999998</v>
      </c>
      <c r="BE180" s="2120">
        <f>[6]With_Action!CW1035</f>
        <v>13</v>
      </c>
      <c r="BF180" s="2120">
        <f>[6]With_Action!CX1035</f>
        <v>0</v>
      </c>
      <c r="BG180" s="2120">
        <f>[6]With_Action!CY1035</f>
        <v>0</v>
      </c>
      <c r="BH180" s="2120">
        <f>[6]With_Action!CZ1035</f>
        <v>0</v>
      </c>
      <c r="BI180" s="2120">
        <f>[6]With_Action!DA1035</f>
        <v>0</v>
      </c>
      <c r="BJ180" s="2120">
        <f>[6]With_Action!DB1035</f>
        <v>0</v>
      </c>
      <c r="BK180" s="2120">
        <f>[6]With_Action!DC1035</f>
        <v>0</v>
      </c>
      <c r="BL180" s="2120">
        <f>[6]With_Action!DD1035</f>
        <v>0</v>
      </c>
      <c r="BM180" s="2120">
        <f>[6]With_Action!DE1035</f>
        <v>13</v>
      </c>
      <c r="BN180" s="2121">
        <f>[6]With_Action!CR1035</f>
        <v>85</v>
      </c>
      <c r="BO180" s="2048">
        <f>[6]Increment!C80</f>
        <v>53035</v>
      </c>
      <c r="BP180" s="2090">
        <f>[6]Increment!D80</f>
        <v>0</v>
      </c>
      <c r="BQ180" s="2090">
        <f>[6]Increment!E80</f>
        <v>-9000</v>
      </c>
      <c r="BR180" s="2090">
        <f>[6]Increment!F80</f>
        <v>13258.800000000001</v>
      </c>
      <c r="BS180" s="2090">
        <f>[6]Increment!G80</f>
        <v>0</v>
      </c>
      <c r="BT180" s="2090">
        <f>[6]Increment!H80</f>
        <v>0</v>
      </c>
      <c r="BU180" s="2090">
        <f>[6]Increment!I80</f>
        <v>0</v>
      </c>
      <c r="BV180" s="2090">
        <f>[6]Increment!J80</f>
        <v>0</v>
      </c>
      <c r="BW180" s="2090">
        <f>[6]Increment!K80</f>
        <v>0</v>
      </c>
      <c r="BX180" s="2090">
        <f>[6]Increment!L80</f>
        <v>0</v>
      </c>
      <c r="BY180" s="2090">
        <f>[6]Increment!M80</f>
        <v>0</v>
      </c>
      <c r="BZ180" s="2090">
        <f>[6]Increment!N80</f>
        <v>0</v>
      </c>
      <c r="CA180" s="2122">
        <f>[6]Increment!O80</f>
        <v>0</v>
      </c>
      <c r="CB180" s="2048">
        <f>[6]Increment!P80</f>
        <v>57293.8</v>
      </c>
      <c r="CC180" s="2090">
        <f>[6]Increment!Q80</f>
        <v>4258.8000000000011</v>
      </c>
      <c r="CD180" s="2090">
        <f>[6]Increment!S80</f>
        <v>53</v>
      </c>
      <c r="CE180" s="2090">
        <f>[6]Increment!U80</f>
        <v>26.517499999999998</v>
      </c>
      <c r="CF180" s="2090">
        <f>[6]Increment!V80</f>
        <v>13</v>
      </c>
      <c r="CG180" s="2090">
        <f>[6]Increment!W80</f>
        <v>0</v>
      </c>
      <c r="CH180" s="2090">
        <f>[6]Increment!X80</f>
        <v>0</v>
      </c>
      <c r="CI180" s="2090">
        <f>[6]Increment!Y80</f>
        <v>0</v>
      </c>
      <c r="CJ180" s="2090">
        <f>[6]Increment!Z80</f>
        <v>0</v>
      </c>
      <c r="CK180" s="2090">
        <f>[6]Increment!AA80</f>
        <v>0</v>
      </c>
      <c r="CL180" s="2090">
        <f>[6]Increment!AB80</f>
        <v>0</v>
      </c>
      <c r="CM180" s="2090">
        <f>[6]Increment!AC80</f>
        <v>0</v>
      </c>
    </row>
    <row r="181" spans="1:91" ht="15.75" thickBot="1">
      <c r="A181" s="2135" t="s">
        <v>1790</v>
      </c>
      <c r="B181" s="2551" t="str">
        <f t="shared" si="2"/>
        <v>3039490001</v>
      </c>
      <c r="C181" s="2044" t="s">
        <v>703</v>
      </c>
      <c r="D181" s="2045">
        <v>3949</v>
      </c>
      <c r="E181" s="2045">
        <v>1</v>
      </c>
      <c r="F181" s="2032">
        <v>15000</v>
      </c>
      <c r="G181" s="2046" t="s">
        <v>1566</v>
      </c>
      <c r="H181" s="2045" t="s">
        <v>1560</v>
      </c>
      <c r="I181" s="2047">
        <v>2</v>
      </c>
      <c r="J181" s="2533">
        <v>9800</v>
      </c>
      <c r="K181" s="2533">
        <v>5105</v>
      </c>
      <c r="L181" s="2533">
        <v>0</v>
      </c>
      <c r="M181" s="2533">
        <v>14905</v>
      </c>
      <c r="N181" s="2035">
        <v>0</v>
      </c>
      <c r="O181" s="2042" t="s">
        <v>1791</v>
      </c>
      <c r="P181" s="2533">
        <v>0</v>
      </c>
      <c r="Q181" s="2049">
        <v>9800</v>
      </c>
      <c r="R181" s="2049">
        <v>0</v>
      </c>
      <c r="S181" s="2049">
        <v>0</v>
      </c>
      <c r="T181" s="2049">
        <v>0</v>
      </c>
      <c r="U181" s="2049">
        <v>0</v>
      </c>
      <c r="V181" s="2049">
        <v>0</v>
      </c>
      <c r="W181" s="2049">
        <v>5105</v>
      </c>
      <c r="X181" s="2049">
        <v>0</v>
      </c>
      <c r="Y181" s="2049">
        <v>0</v>
      </c>
      <c r="Z181" s="2049">
        <v>0</v>
      </c>
      <c r="AA181" s="2049">
        <v>0</v>
      </c>
      <c r="AB181" s="2116">
        <v>14905</v>
      </c>
      <c r="AC181" s="2533">
        <v>0</v>
      </c>
      <c r="AD181" s="2533">
        <v>0</v>
      </c>
      <c r="AE181" s="2533">
        <v>0</v>
      </c>
      <c r="AF181" s="2533">
        <v>0</v>
      </c>
      <c r="AG181" s="2533">
        <v>0</v>
      </c>
      <c r="AH181" s="2533">
        <v>0</v>
      </c>
      <c r="AI181" s="2533">
        <v>0</v>
      </c>
      <c r="AJ181" s="2533">
        <v>0</v>
      </c>
      <c r="AK181" s="2533">
        <v>0</v>
      </c>
      <c r="AL181" s="2117">
        <v>25</v>
      </c>
      <c r="AM181" s="2118" t="s">
        <v>741</v>
      </c>
      <c r="AN181" s="2119" t="s">
        <v>706</v>
      </c>
      <c r="AO181" s="2092" t="s">
        <v>1595</v>
      </c>
      <c r="AP181" s="2120">
        <v>94500</v>
      </c>
      <c r="AQ181" s="2120">
        <v>13500</v>
      </c>
      <c r="AR181" s="2120">
        <v>0</v>
      </c>
      <c r="AS181" s="2120">
        <v>0</v>
      </c>
      <c r="AT181" s="2120">
        <v>0</v>
      </c>
      <c r="AU181" s="2120">
        <v>0</v>
      </c>
      <c r="AV181" s="2120">
        <v>0</v>
      </c>
      <c r="AW181" s="2120">
        <v>0</v>
      </c>
      <c r="AX181" s="2120">
        <v>0</v>
      </c>
      <c r="AY181" s="2120">
        <v>0</v>
      </c>
      <c r="AZ181" s="2120">
        <v>0</v>
      </c>
      <c r="BA181" s="2120">
        <v>0</v>
      </c>
      <c r="BB181" s="2120">
        <v>108000</v>
      </c>
      <c r="BC181" s="2120">
        <v>94</v>
      </c>
      <c r="BD181" s="2120">
        <v>47.25</v>
      </c>
      <c r="BE181" s="2120">
        <v>19</v>
      </c>
      <c r="BF181" s="2120">
        <v>0</v>
      </c>
      <c r="BG181" s="2120">
        <v>14</v>
      </c>
      <c r="BH181" s="2120">
        <v>0</v>
      </c>
      <c r="BI181" s="2120">
        <v>0</v>
      </c>
      <c r="BJ181" s="2120">
        <v>0</v>
      </c>
      <c r="BK181" s="2120">
        <v>0</v>
      </c>
      <c r="BL181" s="2120">
        <v>0</v>
      </c>
      <c r="BM181" s="2120">
        <v>33</v>
      </c>
      <c r="BN181" s="2121">
        <v>145</v>
      </c>
      <c r="BO181" s="2048">
        <v>94500</v>
      </c>
      <c r="BP181" s="2090">
        <v>3700</v>
      </c>
      <c r="BQ181" s="2090">
        <v>0</v>
      </c>
      <c r="BR181" s="2090">
        <v>0</v>
      </c>
      <c r="BS181" s="2090">
        <v>0</v>
      </c>
      <c r="BT181" s="2090">
        <v>0</v>
      </c>
      <c r="BU181" s="2090">
        <v>0</v>
      </c>
      <c r="BV181" s="2090">
        <v>0</v>
      </c>
      <c r="BW181" s="2090">
        <v>-5105</v>
      </c>
      <c r="BX181" s="2090">
        <v>0</v>
      </c>
      <c r="BY181" s="2090">
        <v>0</v>
      </c>
      <c r="BZ181" s="2090">
        <v>0</v>
      </c>
      <c r="CA181" s="2122">
        <v>0</v>
      </c>
      <c r="CB181" s="2048">
        <v>93095</v>
      </c>
      <c r="CC181" s="2090">
        <v>-1405</v>
      </c>
      <c r="CD181" s="2090">
        <v>94</v>
      </c>
      <c r="CE181" s="2090">
        <v>47.25</v>
      </c>
      <c r="CF181" s="2090">
        <v>19</v>
      </c>
      <c r="CG181" s="2090">
        <v>0</v>
      </c>
      <c r="CH181" s="2090">
        <v>14</v>
      </c>
      <c r="CI181" s="2090">
        <v>0</v>
      </c>
      <c r="CJ181" s="2090">
        <v>0</v>
      </c>
      <c r="CK181" s="2090">
        <v>0</v>
      </c>
      <c r="CL181" s="2090">
        <v>0</v>
      </c>
      <c r="CM181" s="2090">
        <v>0</v>
      </c>
    </row>
    <row r="182" spans="1:91" ht="15.75" thickBot="1">
      <c r="A182" s="2534" t="s">
        <v>1792</v>
      </c>
      <c r="B182" s="2551" t="str">
        <f t="shared" si="2"/>
        <v>3039590052</v>
      </c>
      <c r="C182" s="2022" t="s">
        <v>703</v>
      </c>
      <c r="D182" s="2023">
        <v>3959</v>
      </c>
      <c r="E182" s="2023">
        <v>52</v>
      </c>
      <c r="F182" s="2506">
        <v>11061</v>
      </c>
      <c r="G182" s="2507" t="s">
        <v>1566</v>
      </c>
      <c r="H182" s="2023" t="s">
        <v>1560</v>
      </c>
      <c r="I182" s="2024">
        <v>2</v>
      </c>
      <c r="J182" s="2505">
        <v>0</v>
      </c>
      <c r="K182" s="2505">
        <v>1845</v>
      </c>
      <c r="L182" s="2505">
        <v>0</v>
      </c>
      <c r="M182" s="2505">
        <v>1845</v>
      </c>
      <c r="N182" s="2025">
        <v>0</v>
      </c>
      <c r="O182" s="2141" t="s">
        <v>1648</v>
      </c>
      <c r="P182" s="2504">
        <v>0</v>
      </c>
      <c r="Q182" s="2504">
        <v>0</v>
      </c>
      <c r="R182" s="2504">
        <v>0</v>
      </c>
      <c r="S182" s="2504">
        <v>0</v>
      </c>
      <c r="T182" s="2504">
        <v>1845</v>
      </c>
      <c r="U182" s="2504">
        <v>0</v>
      </c>
      <c r="V182" s="2504">
        <v>0</v>
      </c>
      <c r="W182" s="2504">
        <v>0</v>
      </c>
      <c r="X182" s="2504">
        <v>0</v>
      </c>
      <c r="Y182" s="2504">
        <v>0</v>
      </c>
      <c r="Z182" s="2504">
        <v>0</v>
      </c>
      <c r="AA182" s="2504">
        <v>0</v>
      </c>
      <c r="AB182" s="2142">
        <v>1845</v>
      </c>
      <c r="AC182" s="2505">
        <v>0</v>
      </c>
      <c r="AD182" s="2505">
        <v>0</v>
      </c>
      <c r="AE182" s="2505">
        <v>0</v>
      </c>
      <c r="AF182" s="2505">
        <v>0</v>
      </c>
      <c r="AG182" s="2505">
        <v>0</v>
      </c>
      <c r="AH182" s="2505">
        <v>0</v>
      </c>
      <c r="AI182" s="2505">
        <v>0</v>
      </c>
      <c r="AJ182" s="2505">
        <v>0</v>
      </c>
      <c r="AK182" s="2505">
        <v>0</v>
      </c>
      <c r="AL182" s="2532">
        <v>15</v>
      </c>
      <c r="AM182" s="2118" t="s">
        <v>741</v>
      </c>
      <c r="AN182" s="2119" t="s">
        <v>706</v>
      </c>
      <c r="AO182" s="2092" t="s">
        <v>1649</v>
      </c>
      <c r="AP182" s="2120">
        <v>71494</v>
      </c>
      <c r="AQ182" s="2120">
        <v>3144.1000000000004</v>
      </c>
      <c r="AR182" s="2120">
        <v>0</v>
      </c>
      <c r="AS182" s="2120">
        <v>5000</v>
      </c>
      <c r="AT182" s="2120">
        <v>0</v>
      </c>
      <c r="AU182" s="2120">
        <v>0</v>
      </c>
      <c r="AV182" s="2120">
        <v>0</v>
      </c>
      <c r="AW182" s="2120">
        <v>0</v>
      </c>
      <c r="AX182" s="2120">
        <v>0</v>
      </c>
      <c r="AY182" s="2120">
        <v>0</v>
      </c>
      <c r="AZ182" s="2120">
        <v>0</v>
      </c>
      <c r="BA182" s="2120">
        <v>0</v>
      </c>
      <c r="BB182" s="2120">
        <v>79638.100000000006</v>
      </c>
      <c r="BC182" s="2120">
        <v>71</v>
      </c>
      <c r="BD182" s="2120">
        <v>35.747</v>
      </c>
      <c r="BE182" s="2120">
        <v>14</v>
      </c>
      <c r="BF182" s="2120">
        <v>0</v>
      </c>
      <c r="BG182" s="2120">
        <v>8</v>
      </c>
      <c r="BH182" s="2120">
        <v>0</v>
      </c>
      <c r="BI182" s="2120">
        <v>0</v>
      </c>
      <c r="BJ182" s="2120">
        <v>0</v>
      </c>
      <c r="BK182" s="2120">
        <v>0</v>
      </c>
      <c r="BL182" s="2120">
        <v>0</v>
      </c>
      <c r="BM182" s="2120">
        <v>22</v>
      </c>
      <c r="BN182" s="2121">
        <v>145</v>
      </c>
      <c r="BO182" s="2048">
        <v>71494</v>
      </c>
      <c r="BP182" s="2090">
        <v>3144.1000000000004</v>
      </c>
      <c r="BQ182" s="2090">
        <v>0</v>
      </c>
      <c r="BR182" s="2090">
        <v>0</v>
      </c>
      <c r="BS182" s="2090">
        <v>5000</v>
      </c>
      <c r="BT182" s="2090">
        <v>-1845</v>
      </c>
      <c r="BU182" s="2090">
        <v>0</v>
      </c>
      <c r="BV182" s="2090">
        <v>0</v>
      </c>
      <c r="BW182" s="2090">
        <v>0</v>
      </c>
      <c r="BX182" s="2090">
        <v>0</v>
      </c>
      <c r="BY182" s="2090">
        <v>0</v>
      </c>
      <c r="BZ182" s="2090">
        <v>0</v>
      </c>
      <c r="CA182" s="2122">
        <v>0</v>
      </c>
      <c r="CB182" s="2048">
        <v>77793.100000000006</v>
      </c>
      <c r="CC182" s="2090">
        <v>6299.1</v>
      </c>
      <c r="CD182" s="2090">
        <v>71</v>
      </c>
      <c r="CE182" s="2090">
        <v>35.747</v>
      </c>
      <c r="CF182" s="2090">
        <v>14</v>
      </c>
      <c r="CG182" s="2090">
        <v>0</v>
      </c>
      <c r="CH182" s="2090">
        <v>8</v>
      </c>
      <c r="CI182" s="2090">
        <v>0</v>
      </c>
      <c r="CJ182" s="2090">
        <v>0</v>
      </c>
      <c r="CK182" s="2090">
        <v>0</v>
      </c>
      <c r="CL182" s="2090">
        <v>0</v>
      </c>
      <c r="CM182" s="2090">
        <v>0</v>
      </c>
    </row>
    <row r="183" spans="1:91" ht="15.75" thickBot="1">
      <c r="A183" s="2476" t="s">
        <v>1793</v>
      </c>
      <c r="B183" s="2551" t="str">
        <f t="shared" si="2"/>
        <v>3039590054</v>
      </c>
      <c r="C183" s="2010" t="s">
        <v>703</v>
      </c>
      <c r="D183" s="2011">
        <v>3959</v>
      </c>
      <c r="E183" s="2011">
        <v>54</v>
      </c>
      <c r="F183" s="2494">
        <v>11164</v>
      </c>
      <c r="G183" s="2496" t="s">
        <v>1566</v>
      </c>
      <c r="H183" s="2011" t="s">
        <v>1560</v>
      </c>
      <c r="I183" s="2012">
        <v>2</v>
      </c>
      <c r="J183" s="2491">
        <v>1500</v>
      </c>
      <c r="K183" s="2491">
        <v>1667</v>
      </c>
      <c r="L183" s="2491">
        <v>0</v>
      </c>
      <c r="M183" s="2491">
        <v>3167</v>
      </c>
      <c r="N183" s="2489">
        <v>0</v>
      </c>
      <c r="O183" s="2490" t="s">
        <v>1769</v>
      </c>
      <c r="P183" s="2499">
        <v>0</v>
      </c>
      <c r="Q183" s="2499">
        <v>1500</v>
      </c>
      <c r="R183" s="2499">
        <v>0</v>
      </c>
      <c r="S183" s="2499">
        <v>0</v>
      </c>
      <c r="T183" s="2499">
        <v>0</v>
      </c>
      <c r="U183" s="2499">
        <v>0</v>
      </c>
      <c r="V183" s="2499">
        <v>0</v>
      </c>
      <c r="W183" s="2499">
        <v>1667</v>
      </c>
      <c r="X183" s="2499">
        <v>0</v>
      </c>
      <c r="Y183" s="2499">
        <v>0</v>
      </c>
      <c r="Z183" s="2499">
        <v>0</v>
      </c>
      <c r="AA183" s="2499">
        <v>0</v>
      </c>
      <c r="AB183" s="2530">
        <v>3167</v>
      </c>
      <c r="AC183" s="2491">
        <v>0</v>
      </c>
      <c r="AD183" s="2491">
        <v>0</v>
      </c>
      <c r="AE183" s="2491">
        <v>0</v>
      </c>
      <c r="AF183" s="2491">
        <v>0</v>
      </c>
      <c r="AG183" s="2491">
        <v>0</v>
      </c>
      <c r="AH183" s="2491">
        <v>0</v>
      </c>
      <c r="AI183" s="2491">
        <v>0</v>
      </c>
      <c r="AJ183" s="2491">
        <v>0</v>
      </c>
      <c r="AK183" s="2491">
        <v>0</v>
      </c>
      <c r="AL183" s="2522">
        <v>15</v>
      </c>
      <c r="AM183" s="2118" t="s">
        <v>741</v>
      </c>
      <c r="AN183" s="2119" t="s">
        <v>706</v>
      </c>
      <c r="AO183" s="2092" t="s">
        <v>1595</v>
      </c>
      <c r="AP183" s="2120">
        <v>72158</v>
      </c>
      <c r="AQ183" s="2120">
        <v>8222.4</v>
      </c>
      <c r="AR183" s="2120">
        <v>0</v>
      </c>
      <c r="AS183" s="2120">
        <v>0</v>
      </c>
      <c r="AT183" s="2120">
        <v>0</v>
      </c>
      <c r="AU183" s="2120">
        <v>0</v>
      </c>
      <c r="AV183" s="2120">
        <v>0</v>
      </c>
      <c r="AW183" s="2120">
        <v>0</v>
      </c>
      <c r="AX183" s="2120">
        <v>0</v>
      </c>
      <c r="AY183" s="2120">
        <v>0</v>
      </c>
      <c r="AZ183" s="2120">
        <v>0</v>
      </c>
      <c r="BA183" s="2120">
        <v>0</v>
      </c>
      <c r="BB183" s="2120">
        <v>80380.399999999994</v>
      </c>
      <c r="BC183" s="2120">
        <v>72</v>
      </c>
      <c r="BD183" s="2120">
        <v>36.079000000000001</v>
      </c>
      <c r="BE183" s="2120">
        <v>14</v>
      </c>
      <c r="BF183" s="2120">
        <v>0</v>
      </c>
      <c r="BG183" s="2120">
        <v>8</v>
      </c>
      <c r="BH183" s="2120">
        <v>0</v>
      </c>
      <c r="BI183" s="2120">
        <v>0</v>
      </c>
      <c r="BJ183" s="2120">
        <v>0</v>
      </c>
      <c r="BK183" s="2120">
        <v>0</v>
      </c>
      <c r="BL183" s="2120">
        <v>0</v>
      </c>
      <c r="BM183" s="2120">
        <v>22</v>
      </c>
      <c r="BN183" s="2121">
        <v>145</v>
      </c>
      <c r="BO183" s="2048">
        <v>72158</v>
      </c>
      <c r="BP183" s="2090">
        <v>6722.4</v>
      </c>
      <c r="BQ183" s="2090">
        <v>0</v>
      </c>
      <c r="BR183" s="2090">
        <v>0</v>
      </c>
      <c r="BS183" s="2090">
        <v>0</v>
      </c>
      <c r="BT183" s="2090">
        <v>0</v>
      </c>
      <c r="BU183" s="2090">
        <v>0</v>
      </c>
      <c r="BV183" s="2090">
        <v>0</v>
      </c>
      <c r="BW183" s="2090">
        <v>-1667</v>
      </c>
      <c r="BX183" s="2090">
        <v>0</v>
      </c>
      <c r="BY183" s="2090">
        <v>0</v>
      </c>
      <c r="BZ183" s="2090">
        <v>0</v>
      </c>
      <c r="CA183" s="2122">
        <v>0</v>
      </c>
      <c r="CB183" s="2048">
        <v>77213.399999999994</v>
      </c>
      <c r="CC183" s="2090">
        <v>5055.3999999999996</v>
      </c>
      <c r="CD183" s="2090">
        <v>72</v>
      </c>
      <c r="CE183" s="2090">
        <v>36.079000000000001</v>
      </c>
      <c r="CF183" s="2090">
        <v>14</v>
      </c>
      <c r="CG183" s="2090">
        <v>0</v>
      </c>
      <c r="CH183" s="2090">
        <v>8</v>
      </c>
      <c r="CI183" s="2090">
        <v>0</v>
      </c>
      <c r="CJ183" s="2090">
        <v>0</v>
      </c>
      <c r="CK183" s="2090">
        <v>0</v>
      </c>
      <c r="CL183" s="2090">
        <v>0</v>
      </c>
      <c r="CM183" s="2090">
        <v>0</v>
      </c>
    </row>
    <row r="184" spans="1:91" ht="15.75" thickBot="1">
      <c r="A184" s="2190" t="s">
        <v>1794</v>
      </c>
      <c r="B184" s="2551" t="str">
        <f t="shared" si="2"/>
        <v>3039600021</v>
      </c>
      <c r="C184" s="2010" t="s">
        <v>703</v>
      </c>
      <c r="D184" s="2011">
        <v>3960</v>
      </c>
      <c r="E184" s="2011">
        <v>21</v>
      </c>
      <c r="F184" s="2494">
        <v>9471</v>
      </c>
      <c r="G184" s="2496" t="s">
        <v>1079</v>
      </c>
      <c r="H184" s="2011" t="s">
        <v>1584</v>
      </c>
      <c r="I184" s="2012">
        <v>1.25</v>
      </c>
      <c r="J184" s="2491">
        <v>9471</v>
      </c>
      <c r="K184" s="2491">
        <v>0</v>
      </c>
      <c r="L184" s="2491">
        <v>0</v>
      </c>
      <c r="M184" s="2491">
        <v>9471</v>
      </c>
      <c r="N184" s="2489">
        <v>0</v>
      </c>
      <c r="O184" s="2490" t="s">
        <v>1573</v>
      </c>
      <c r="P184" s="2499">
        <v>0</v>
      </c>
      <c r="Q184" s="2499">
        <v>9471</v>
      </c>
      <c r="R184" s="2499">
        <v>0</v>
      </c>
      <c r="S184" s="2499">
        <v>0</v>
      </c>
      <c r="T184" s="2499">
        <v>0</v>
      </c>
      <c r="U184" s="2499">
        <v>0</v>
      </c>
      <c r="V184" s="2499">
        <v>0</v>
      </c>
      <c r="W184" s="2499">
        <v>0</v>
      </c>
      <c r="X184" s="2499">
        <v>0</v>
      </c>
      <c r="Y184" s="2499">
        <v>0</v>
      </c>
      <c r="Z184" s="2499">
        <v>0</v>
      </c>
      <c r="AA184" s="2499">
        <v>0</v>
      </c>
      <c r="AB184" s="2530">
        <v>9471</v>
      </c>
      <c r="AC184" s="2491">
        <v>0</v>
      </c>
      <c r="AD184" s="2491">
        <v>0</v>
      </c>
      <c r="AE184" s="2491">
        <v>0</v>
      </c>
      <c r="AF184" s="2491">
        <v>0</v>
      </c>
      <c r="AG184" s="2491">
        <v>0</v>
      </c>
      <c r="AH184" s="2491">
        <v>0</v>
      </c>
      <c r="AI184" s="2491">
        <v>0</v>
      </c>
      <c r="AJ184" s="2491">
        <v>0</v>
      </c>
      <c r="AK184" s="2491">
        <v>0</v>
      </c>
      <c r="AL184" s="2522">
        <v>15</v>
      </c>
      <c r="AM184" s="2125" t="s">
        <v>1612</v>
      </c>
      <c r="AN184" s="2126" t="s">
        <v>706</v>
      </c>
      <c r="AO184" s="2127" t="s">
        <v>1795</v>
      </c>
      <c r="AP184" s="2128">
        <v>12312</v>
      </c>
      <c r="AQ184" s="2128">
        <v>8523.9</v>
      </c>
      <c r="AR184" s="2128">
        <v>0</v>
      </c>
      <c r="AS184" s="2128">
        <v>0</v>
      </c>
      <c r="AT184" s="2128">
        <v>0</v>
      </c>
      <c r="AU184" s="2128">
        <v>0</v>
      </c>
      <c r="AV184" s="2128">
        <v>0</v>
      </c>
      <c r="AW184" s="2128">
        <v>0</v>
      </c>
      <c r="AX184" s="2128">
        <v>0</v>
      </c>
      <c r="AY184" s="2128">
        <v>0</v>
      </c>
      <c r="AZ184" s="2128">
        <v>0</v>
      </c>
      <c r="BA184" s="2128">
        <v>0</v>
      </c>
      <c r="BB184" s="2128">
        <v>20835.900000000001</v>
      </c>
      <c r="BC184" s="2128">
        <v>12</v>
      </c>
      <c r="BD184" s="2128">
        <v>6.1559999999999997</v>
      </c>
      <c r="BE184" s="2128">
        <v>3</v>
      </c>
      <c r="BF184" s="2128">
        <v>0</v>
      </c>
      <c r="BG184" s="2128">
        <v>9</v>
      </c>
      <c r="BH184" s="2128">
        <v>0</v>
      </c>
      <c r="BI184" s="2128">
        <v>0</v>
      </c>
      <c r="BJ184" s="2128">
        <v>0</v>
      </c>
      <c r="BK184" s="2128">
        <v>0</v>
      </c>
      <c r="BL184" s="2128">
        <v>0</v>
      </c>
      <c r="BM184" s="2128">
        <v>12</v>
      </c>
      <c r="BN184" s="2129">
        <v>55</v>
      </c>
      <c r="BO184" s="2130">
        <v>12312</v>
      </c>
      <c r="BP184" s="2131">
        <v>-947.10000000000036</v>
      </c>
      <c r="BQ184" s="2131">
        <v>0</v>
      </c>
      <c r="BR184" s="2131">
        <v>0</v>
      </c>
      <c r="BS184" s="2131">
        <v>0</v>
      </c>
      <c r="BT184" s="2131">
        <v>0</v>
      </c>
      <c r="BU184" s="2131">
        <v>0</v>
      </c>
      <c r="BV184" s="2131">
        <v>0</v>
      </c>
      <c r="BW184" s="2131">
        <v>0</v>
      </c>
      <c r="BX184" s="2131">
        <v>0</v>
      </c>
      <c r="BY184" s="2131">
        <v>0</v>
      </c>
      <c r="BZ184" s="2131">
        <v>0</v>
      </c>
      <c r="CA184" s="2132">
        <v>0</v>
      </c>
      <c r="CB184" s="2130">
        <v>11364.900000000001</v>
      </c>
      <c r="CC184" s="2131">
        <v>-947.10000000000036</v>
      </c>
      <c r="CD184" s="2131">
        <v>12</v>
      </c>
      <c r="CE184" s="2131">
        <v>6.1559999999999997</v>
      </c>
      <c r="CF184" s="2131">
        <v>3</v>
      </c>
      <c r="CG184" s="2131">
        <v>0</v>
      </c>
      <c r="CH184" s="2131">
        <v>9</v>
      </c>
      <c r="CI184" s="2131">
        <v>0</v>
      </c>
      <c r="CJ184" s="2131">
        <v>0</v>
      </c>
      <c r="CK184" s="2131">
        <v>0</v>
      </c>
      <c r="CL184" s="2131">
        <v>0</v>
      </c>
      <c r="CM184" s="2131">
        <v>0</v>
      </c>
    </row>
    <row r="185" spans="1:91" ht="15.75" thickBot="1">
      <c r="A185" s="2529" t="s">
        <v>1796</v>
      </c>
      <c r="B185" s="2551" t="str">
        <f t="shared" si="2"/>
        <v>3039600058</v>
      </c>
      <c r="C185" s="2010" t="s">
        <v>703</v>
      </c>
      <c r="D185" s="2011">
        <v>3960</v>
      </c>
      <c r="E185" s="2011">
        <v>58</v>
      </c>
      <c r="F185" s="2494">
        <v>22049</v>
      </c>
      <c r="G185" s="2496" t="s">
        <v>1566</v>
      </c>
      <c r="H185" s="2011" t="s">
        <v>1560</v>
      </c>
      <c r="I185" s="2012">
        <v>2</v>
      </c>
      <c r="J185" s="2491">
        <v>0</v>
      </c>
      <c r="K185" s="2491">
        <v>0</v>
      </c>
      <c r="L185" s="2491">
        <v>0</v>
      </c>
      <c r="M185" s="2491">
        <v>0</v>
      </c>
      <c r="N185" s="2489">
        <v>0</v>
      </c>
      <c r="O185" s="2490" t="s">
        <v>1769</v>
      </c>
      <c r="P185" s="2499">
        <v>0</v>
      </c>
      <c r="Q185" s="2499">
        <v>0</v>
      </c>
      <c r="R185" s="2499">
        <v>0</v>
      </c>
      <c r="S185" s="2499">
        <v>3911</v>
      </c>
      <c r="T185" s="2499">
        <v>0</v>
      </c>
      <c r="U185" s="2499">
        <v>0</v>
      </c>
      <c r="V185" s="2499">
        <v>0</v>
      </c>
      <c r="W185" s="2499">
        <v>0</v>
      </c>
      <c r="X185" s="2499">
        <v>0</v>
      </c>
      <c r="Y185" s="2499">
        <v>0</v>
      </c>
      <c r="Z185" s="2499">
        <v>0</v>
      </c>
      <c r="AA185" s="2499">
        <v>0</v>
      </c>
      <c r="AB185" s="2530">
        <v>3911</v>
      </c>
      <c r="AC185" s="2491">
        <v>0</v>
      </c>
      <c r="AD185" s="2491">
        <v>0</v>
      </c>
      <c r="AE185" s="2491">
        <v>25</v>
      </c>
      <c r="AF185" s="2491">
        <v>0</v>
      </c>
      <c r="AG185" s="2491">
        <v>0</v>
      </c>
      <c r="AH185" s="2491">
        <v>0</v>
      </c>
      <c r="AI185" s="2491">
        <v>0</v>
      </c>
      <c r="AJ185" s="2491">
        <v>0</v>
      </c>
      <c r="AK185" s="2491">
        <v>25</v>
      </c>
      <c r="AL185" s="2522">
        <v>15</v>
      </c>
      <c r="AM185" s="2118" t="s">
        <v>1331</v>
      </c>
      <c r="AN185" s="2119" t="s">
        <v>1560</v>
      </c>
      <c r="AO185" s="2092" t="s">
        <v>1595</v>
      </c>
      <c r="AP185" s="2120">
        <v>141730</v>
      </c>
      <c r="AQ185" s="2120">
        <v>17022.600000000002</v>
      </c>
      <c r="AR185" s="2120">
        <v>0</v>
      </c>
      <c r="AS185" s="2120">
        <v>0</v>
      </c>
      <c r="AT185" s="2120">
        <v>0</v>
      </c>
      <c r="AU185" s="2120">
        <v>0</v>
      </c>
      <c r="AV185" s="2120">
        <v>0</v>
      </c>
      <c r="AW185" s="2120">
        <v>0</v>
      </c>
      <c r="AX185" s="2120">
        <v>0</v>
      </c>
      <c r="AY185" s="2120">
        <v>0</v>
      </c>
      <c r="AZ185" s="2120">
        <v>0</v>
      </c>
      <c r="BA185" s="2120">
        <v>0</v>
      </c>
      <c r="BB185" s="2120">
        <v>158752.6</v>
      </c>
      <c r="BC185" s="2120">
        <v>141</v>
      </c>
      <c r="BD185" s="2120">
        <v>70.864999999999995</v>
      </c>
      <c r="BE185" s="2120">
        <v>28</v>
      </c>
      <c r="BF185" s="2120">
        <v>0</v>
      </c>
      <c r="BG185" s="2120">
        <v>17</v>
      </c>
      <c r="BH185" s="2120">
        <v>0</v>
      </c>
      <c r="BI185" s="2120">
        <v>0</v>
      </c>
      <c r="BJ185" s="2120">
        <v>0</v>
      </c>
      <c r="BK185" s="2120">
        <v>0</v>
      </c>
      <c r="BL185" s="2120">
        <v>0</v>
      </c>
      <c r="BM185" s="2120">
        <v>45</v>
      </c>
      <c r="BN185" s="2121">
        <v>145</v>
      </c>
      <c r="BO185" s="2048">
        <v>141730</v>
      </c>
      <c r="BP185" s="2090">
        <v>17022.600000000002</v>
      </c>
      <c r="BQ185" s="2090">
        <v>0</v>
      </c>
      <c r="BR185" s="2090">
        <v>0</v>
      </c>
      <c r="BS185" s="2090">
        <v>-3911</v>
      </c>
      <c r="BT185" s="2090">
        <v>0</v>
      </c>
      <c r="BU185" s="2090">
        <v>0</v>
      </c>
      <c r="BV185" s="2090">
        <v>0</v>
      </c>
      <c r="BW185" s="2090">
        <v>0</v>
      </c>
      <c r="BX185" s="2090">
        <v>0</v>
      </c>
      <c r="BY185" s="2090">
        <v>0</v>
      </c>
      <c r="BZ185" s="2090">
        <v>0</v>
      </c>
      <c r="CA185" s="2122">
        <v>0</v>
      </c>
      <c r="CB185" s="2048">
        <v>154841.60000000001</v>
      </c>
      <c r="CC185" s="2090">
        <v>13111.600000000002</v>
      </c>
      <c r="CD185" s="2090">
        <v>141</v>
      </c>
      <c r="CE185" s="2090">
        <v>70.864999999999995</v>
      </c>
      <c r="CF185" s="2090">
        <v>28</v>
      </c>
      <c r="CG185" s="2090">
        <v>0</v>
      </c>
      <c r="CH185" s="2090">
        <v>-8</v>
      </c>
      <c r="CI185" s="2090">
        <v>0</v>
      </c>
      <c r="CJ185" s="2090">
        <v>0</v>
      </c>
      <c r="CK185" s="2090">
        <v>0</v>
      </c>
      <c r="CL185" s="2090">
        <v>0</v>
      </c>
      <c r="CM185" s="2090">
        <v>0</v>
      </c>
    </row>
    <row r="186" spans="1:91">
      <c r="A186" s="3567" t="s">
        <v>1797</v>
      </c>
      <c r="B186" s="2551" t="str">
        <f t="shared" si="2"/>
        <v>3039620001</v>
      </c>
      <c r="C186" s="2010" t="s">
        <v>703</v>
      </c>
      <c r="D186" s="2462">
        <v>3962</v>
      </c>
      <c r="E186" s="2462">
        <v>1</v>
      </c>
      <c r="F186" s="2461">
        <v>2500</v>
      </c>
      <c r="G186" s="2445" t="s">
        <v>1566</v>
      </c>
      <c r="H186" s="2462" t="s">
        <v>1560</v>
      </c>
      <c r="I186" s="2463">
        <v>2</v>
      </c>
      <c r="J186" s="2448">
        <v>0</v>
      </c>
      <c r="K186" s="2448">
        <v>0</v>
      </c>
      <c r="L186" s="2448">
        <v>0</v>
      </c>
      <c r="M186" s="2448">
        <v>0</v>
      </c>
      <c r="N186" s="2438">
        <v>0</v>
      </c>
      <c r="O186" s="2490" t="s">
        <v>720</v>
      </c>
      <c r="P186" s="3272">
        <v>0</v>
      </c>
      <c r="Q186" s="3272">
        <v>0</v>
      </c>
      <c r="R186" s="3272">
        <v>0</v>
      </c>
      <c r="S186" s="3272">
        <v>0</v>
      </c>
      <c r="T186" s="3272">
        <v>0</v>
      </c>
      <c r="U186" s="3272">
        <v>0</v>
      </c>
      <c r="V186" s="3272">
        <v>0</v>
      </c>
      <c r="W186" s="3272">
        <v>0</v>
      </c>
      <c r="X186" s="3272">
        <v>0</v>
      </c>
      <c r="Y186" s="3272">
        <v>0</v>
      </c>
      <c r="Z186" s="3272">
        <v>4000</v>
      </c>
      <c r="AA186" s="3272">
        <v>0</v>
      </c>
      <c r="AB186" s="3507">
        <v>4000</v>
      </c>
      <c r="AC186" s="3265">
        <v>0</v>
      </c>
      <c r="AD186" s="3265">
        <v>0</v>
      </c>
      <c r="AE186" s="3265">
        <v>0</v>
      </c>
      <c r="AF186" s="3265">
        <v>0</v>
      </c>
      <c r="AG186" s="3265">
        <v>0</v>
      </c>
      <c r="AH186" s="3265">
        <v>0</v>
      </c>
      <c r="AI186" s="3265">
        <v>0</v>
      </c>
      <c r="AJ186" s="3265">
        <v>0</v>
      </c>
      <c r="AK186" s="3265">
        <v>0</v>
      </c>
      <c r="AL186" s="3513">
        <v>15</v>
      </c>
      <c r="AM186" s="3515" t="s">
        <v>1612</v>
      </c>
      <c r="AN186" s="3512" t="s">
        <v>1560</v>
      </c>
      <c r="AO186" s="3407" t="s">
        <v>1613</v>
      </c>
      <c r="AP186" s="3511">
        <v>16500</v>
      </c>
      <c r="AQ186" s="3511">
        <v>0</v>
      </c>
      <c r="AR186" s="3511">
        <v>0</v>
      </c>
      <c r="AS186" s="3511">
        <v>0</v>
      </c>
      <c r="AT186" s="3511">
        <v>0</v>
      </c>
      <c r="AU186" s="3511">
        <v>0</v>
      </c>
      <c r="AV186" s="3511">
        <v>0</v>
      </c>
      <c r="AW186" s="3511">
        <v>0</v>
      </c>
      <c r="AX186" s="3511">
        <v>0</v>
      </c>
      <c r="AY186" s="3511">
        <v>0</v>
      </c>
      <c r="AZ186" s="3511">
        <v>0</v>
      </c>
      <c r="BA186" s="3511">
        <v>0</v>
      </c>
      <c r="BB186" s="3511">
        <v>16500</v>
      </c>
      <c r="BC186" s="3511">
        <v>16</v>
      </c>
      <c r="BD186" s="3511">
        <v>8.25</v>
      </c>
      <c r="BE186" s="3511">
        <v>4</v>
      </c>
      <c r="BF186" s="3511">
        <v>0</v>
      </c>
      <c r="BG186" s="3511">
        <v>0</v>
      </c>
      <c r="BH186" s="3511">
        <v>0</v>
      </c>
      <c r="BI186" s="3511">
        <v>0</v>
      </c>
      <c r="BJ186" s="3511">
        <v>0</v>
      </c>
      <c r="BK186" s="3511">
        <v>0</v>
      </c>
      <c r="BL186" s="3511">
        <v>0</v>
      </c>
      <c r="BM186" s="3511">
        <v>4</v>
      </c>
      <c r="BN186" s="3517">
        <v>55</v>
      </c>
      <c r="BO186" s="3519">
        <v>16500</v>
      </c>
      <c r="BP186" s="3464">
        <v>0</v>
      </c>
      <c r="BQ186" s="3464">
        <v>0</v>
      </c>
      <c r="BR186" s="3464">
        <v>0</v>
      </c>
      <c r="BS186" s="3464">
        <v>0</v>
      </c>
      <c r="BT186" s="3464">
        <v>0</v>
      </c>
      <c r="BU186" s="3464">
        <v>0</v>
      </c>
      <c r="BV186" s="3464">
        <v>0</v>
      </c>
      <c r="BW186" s="3464">
        <v>0</v>
      </c>
      <c r="BX186" s="3464">
        <v>0</v>
      </c>
      <c r="BY186" s="3464">
        <v>0</v>
      </c>
      <c r="BZ186" s="3464">
        <v>-4000</v>
      </c>
      <c r="CA186" s="3524">
        <v>0</v>
      </c>
      <c r="CB186" s="3519">
        <v>12500</v>
      </c>
      <c r="CC186" s="3464">
        <v>0</v>
      </c>
      <c r="CD186" s="3464">
        <v>16</v>
      </c>
      <c r="CE186" s="3464">
        <v>8.25</v>
      </c>
      <c r="CF186" s="3464">
        <v>4</v>
      </c>
      <c r="CG186" s="3464">
        <v>0</v>
      </c>
      <c r="CH186" s="3464">
        <v>0</v>
      </c>
      <c r="CI186" s="3464">
        <v>0</v>
      </c>
      <c r="CJ186" s="3464">
        <v>0</v>
      </c>
      <c r="CK186" s="3464">
        <v>0</v>
      </c>
      <c r="CL186" s="3464">
        <v>0</v>
      </c>
      <c r="CM186" s="3464">
        <v>0</v>
      </c>
    </row>
    <row r="187" spans="1:91" ht="15.75" thickBot="1">
      <c r="A187" s="3568"/>
      <c r="B187" s="2551" t="str">
        <f t="shared" si="2"/>
        <v>3039620002</v>
      </c>
      <c r="C187" s="2492" t="s">
        <v>710</v>
      </c>
      <c r="D187" s="2026">
        <v>3962</v>
      </c>
      <c r="E187" s="2026">
        <v>2</v>
      </c>
      <c r="F187" s="2027">
        <v>5000</v>
      </c>
      <c r="G187" s="2497" t="s">
        <v>1566</v>
      </c>
      <c r="H187" s="2026" t="s">
        <v>1560</v>
      </c>
      <c r="I187" s="2028">
        <v>2</v>
      </c>
      <c r="J187" s="2500">
        <v>0</v>
      </c>
      <c r="K187" s="2500">
        <v>0</v>
      </c>
      <c r="L187" s="2500">
        <v>0</v>
      </c>
      <c r="M187" s="2500">
        <v>4000</v>
      </c>
      <c r="N187" s="2029">
        <v>0</v>
      </c>
      <c r="O187" s="2141" t="s">
        <v>1654</v>
      </c>
      <c r="P187" s="3612"/>
      <c r="Q187" s="3612"/>
      <c r="R187" s="3612"/>
      <c r="S187" s="3612"/>
      <c r="T187" s="3612"/>
      <c r="U187" s="3612"/>
      <c r="V187" s="3612"/>
      <c r="W187" s="3612"/>
      <c r="X187" s="3612"/>
      <c r="Y187" s="3612"/>
      <c r="Z187" s="3612"/>
      <c r="AA187" s="3612"/>
      <c r="AB187" s="3615"/>
      <c r="AC187" s="3613"/>
      <c r="AD187" s="3613"/>
      <c r="AE187" s="3613"/>
      <c r="AF187" s="3613"/>
      <c r="AG187" s="3613"/>
      <c r="AH187" s="3613"/>
      <c r="AI187" s="3613"/>
      <c r="AJ187" s="3613"/>
      <c r="AK187" s="3613"/>
      <c r="AL187" s="3614"/>
      <c r="AM187" s="3516"/>
      <c r="AN187" s="3470"/>
      <c r="AO187" s="3718"/>
      <c r="AP187" s="3719"/>
      <c r="AQ187" s="3719"/>
      <c r="AR187" s="3719"/>
      <c r="AS187" s="3719"/>
      <c r="AT187" s="3719"/>
      <c r="AU187" s="3719"/>
      <c r="AV187" s="3719"/>
      <c r="AW187" s="3719"/>
      <c r="AX187" s="3719"/>
      <c r="AY187" s="3719"/>
      <c r="AZ187" s="3719"/>
      <c r="BA187" s="3719"/>
      <c r="BB187" s="3719"/>
      <c r="BC187" s="3719"/>
      <c r="BD187" s="3719"/>
      <c r="BE187" s="3719"/>
      <c r="BF187" s="3719"/>
      <c r="BG187" s="3719"/>
      <c r="BH187" s="3719"/>
      <c r="BI187" s="3719"/>
      <c r="BJ187" s="3719"/>
      <c r="BK187" s="3719"/>
      <c r="BL187" s="3719"/>
      <c r="BM187" s="3719"/>
      <c r="BN187" s="3518"/>
      <c r="BO187" s="3520"/>
      <c r="BP187" s="3466"/>
      <c r="BQ187" s="3466"/>
      <c r="BR187" s="3466"/>
      <c r="BS187" s="3466"/>
      <c r="BT187" s="3466"/>
      <c r="BU187" s="3466"/>
      <c r="BV187" s="3466"/>
      <c r="BW187" s="3466"/>
      <c r="BX187" s="3466"/>
      <c r="BY187" s="3466"/>
      <c r="BZ187" s="3466"/>
      <c r="CA187" s="3477"/>
      <c r="CB187" s="3520"/>
      <c r="CC187" s="3466"/>
      <c r="CD187" s="3466"/>
      <c r="CE187" s="3466"/>
      <c r="CF187" s="3466"/>
      <c r="CG187" s="3466"/>
      <c r="CH187" s="3466"/>
      <c r="CI187" s="3466"/>
      <c r="CJ187" s="3466"/>
      <c r="CK187" s="3466"/>
      <c r="CL187" s="3466"/>
      <c r="CM187" s="3466"/>
    </row>
    <row r="188" spans="1:91" ht="15.75" thickBot="1">
      <c r="A188" s="2529" t="s">
        <v>1798</v>
      </c>
      <c r="B188" s="2551" t="str">
        <f t="shared" si="2"/>
        <v>3039630008</v>
      </c>
      <c r="C188" s="2010" t="s">
        <v>703</v>
      </c>
      <c r="D188" s="2462">
        <v>3963</v>
      </c>
      <c r="E188" s="2462">
        <v>8</v>
      </c>
      <c r="F188" s="2461">
        <v>15100</v>
      </c>
      <c r="G188" s="2445" t="s">
        <v>1566</v>
      </c>
      <c r="H188" s="2462" t="s">
        <v>1560</v>
      </c>
      <c r="I188" s="2463">
        <v>2</v>
      </c>
      <c r="J188" s="2448">
        <v>0</v>
      </c>
      <c r="K188" s="2448">
        <v>3120</v>
      </c>
      <c r="L188" s="2448">
        <v>0</v>
      </c>
      <c r="M188" s="2448">
        <v>3120</v>
      </c>
      <c r="N188" s="2438">
        <v>0</v>
      </c>
      <c r="O188" s="2437" t="s">
        <v>1572</v>
      </c>
      <c r="P188" s="2499">
        <v>0</v>
      </c>
      <c r="Q188" s="2499">
        <v>0</v>
      </c>
      <c r="R188" s="2499">
        <v>0</v>
      </c>
      <c r="S188" s="2499">
        <v>0</v>
      </c>
      <c r="T188" s="2499">
        <v>3120</v>
      </c>
      <c r="U188" s="2499">
        <v>0</v>
      </c>
      <c r="V188" s="2499">
        <v>0</v>
      </c>
      <c r="W188" s="2499">
        <v>0</v>
      </c>
      <c r="X188" s="2499">
        <v>0</v>
      </c>
      <c r="Y188" s="2499">
        <v>0</v>
      </c>
      <c r="Z188" s="2499">
        <v>0</v>
      </c>
      <c r="AA188" s="2499">
        <v>0</v>
      </c>
      <c r="AB188" s="2530">
        <v>3120</v>
      </c>
      <c r="AC188" s="2491">
        <v>0</v>
      </c>
      <c r="AD188" s="2491">
        <v>0</v>
      </c>
      <c r="AE188" s="2491">
        <v>0</v>
      </c>
      <c r="AF188" s="2491">
        <v>0</v>
      </c>
      <c r="AG188" s="2491">
        <v>0</v>
      </c>
      <c r="AH188" s="2491">
        <v>0</v>
      </c>
      <c r="AI188" s="2491">
        <v>0</v>
      </c>
      <c r="AJ188" s="2491">
        <v>0</v>
      </c>
      <c r="AK188" s="2491">
        <v>0</v>
      </c>
      <c r="AL188" s="2522">
        <v>15</v>
      </c>
      <c r="AM188" s="2118" t="s">
        <v>741</v>
      </c>
      <c r="AN188" s="2119" t="s">
        <v>706</v>
      </c>
      <c r="AO188" s="2092" t="s">
        <v>1595</v>
      </c>
      <c r="AP188" s="2120">
        <v>95130</v>
      </c>
      <c r="AQ188" s="2120">
        <v>13590</v>
      </c>
      <c r="AR188" s="2120">
        <v>0</v>
      </c>
      <c r="AS188" s="2120">
        <v>0</v>
      </c>
      <c r="AT188" s="2120">
        <v>0</v>
      </c>
      <c r="AU188" s="2120">
        <v>0</v>
      </c>
      <c r="AV188" s="2120">
        <v>0</v>
      </c>
      <c r="AW188" s="2120">
        <v>0</v>
      </c>
      <c r="AX188" s="2120">
        <v>0</v>
      </c>
      <c r="AY188" s="2120">
        <v>0</v>
      </c>
      <c r="AZ188" s="2120">
        <v>0</v>
      </c>
      <c r="BA188" s="2120">
        <v>0</v>
      </c>
      <c r="BB188" s="2120">
        <v>108720</v>
      </c>
      <c r="BC188" s="2120">
        <v>95</v>
      </c>
      <c r="BD188" s="2120">
        <v>47.564999999999998</v>
      </c>
      <c r="BE188" s="2120">
        <v>19</v>
      </c>
      <c r="BF188" s="2120">
        <v>0</v>
      </c>
      <c r="BG188" s="2120">
        <v>14</v>
      </c>
      <c r="BH188" s="2120">
        <v>0</v>
      </c>
      <c r="BI188" s="2120">
        <v>0</v>
      </c>
      <c r="BJ188" s="2120">
        <v>0</v>
      </c>
      <c r="BK188" s="2120">
        <v>0</v>
      </c>
      <c r="BL188" s="2120">
        <v>0</v>
      </c>
      <c r="BM188" s="2120">
        <v>33</v>
      </c>
      <c r="BN188" s="2121">
        <v>145</v>
      </c>
      <c r="BO188" s="2048">
        <v>95130</v>
      </c>
      <c r="BP188" s="2090">
        <v>13590</v>
      </c>
      <c r="BQ188" s="2090">
        <v>0</v>
      </c>
      <c r="BR188" s="2090">
        <v>0</v>
      </c>
      <c r="BS188" s="2090">
        <v>0</v>
      </c>
      <c r="BT188" s="2090">
        <v>-3120</v>
      </c>
      <c r="BU188" s="2090">
        <v>0</v>
      </c>
      <c r="BV188" s="2090">
        <v>0</v>
      </c>
      <c r="BW188" s="2090">
        <v>0</v>
      </c>
      <c r="BX188" s="2090">
        <v>0</v>
      </c>
      <c r="BY188" s="2090">
        <v>0</v>
      </c>
      <c r="BZ188" s="2090">
        <v>0</v>
      </c>
      <c r="CA188" s="2122">
        <v>0</v>
      </c>
      <c r="CB188" s="2048">
        <v>105600</v>
      </c>
      <c r="CC188" s="2090">
        <v>10470</v>
      </c>
      <c r="CD188" s="2090">
        <v>95</v>
      </c>
      <c r="CE188" s="2090">
        <v>47.564999999999998</v>
      </c>
      <c r="CF188" s="2090">
        <v>19</v>
      </c>
      <c r="CG188" s="2090">
        <v>0</v>
      </c>
      <c r="CH188" s="2090">
        <v>14</v>
      </c>
      <c r="CI188" s="2090">
        <v>0</v>
      </c>
      <c r="CJ188" s="2090">
        <v>0</v>
      </c>
      <c r="CK188" s="2090">
        <v>0</v>
      </c>
      <c r="CL188" s="2090">
        <v>0</v>
      </c>
      <c r="CM188" s="2090">
        <v>0</v>
      </c>
    </row>
    <row r="189" spans="1:91" ht="15.75" thickBot="1">
      <c r="A189" s="2529" t="s">
        <v>1799</v>
      </c>
      <c r="B189" s="2551" t="str">
        <f t="shared" si="2"/>
        <v>3039630018</v>
      </c>
      <c r="C189" s="2010" t="s">
        <v>703</v>
      </c>
      <c r="D189" s="2462">
        <v>3963</v>
      </c>
      <c r="E189" s="2462">
        <v>18</v>
      </c>
      <c r="F189" s="2461">
        <v>5000</v>
      </c>
      <c r="G189" s="2445" t="s">
        <v>1566</v>
      </c>
      <c r="H189" s="2462" t="s">
        <v>1560</v>
      </c>
      <c r="I189" s="2463">
        <v>2</v>
      </c>
      <c r="J189" s="2448">
        <v>0</v>
      </c>
      <c r="K189" s="2448">
        <v>5000</v>
      </c>
      <c r="L189" s="2448">
        <v>0</v>
      </c>
      <c r="M189" s="2448">
        <v>5000</v>
      </c>
      <c r="N189" s="2438">
        <v>0</v>
      </c>
      <c r="O189" s="2437" t="s">
        <v>1617</v>
      </c>
      <c r="P189" s="2499">
        <v>0</v>
      </c>
      <c r="Q189" s="2499">
        <v>0</v>
      </c>
      <c r="R189" s="2499">
        <v>0</v>
      </c>
      <c r="S189" s="2499">
        <v>0</v>
      </c>
      <c r="T189" s="2499">
        <v>0</v>
      </c>
      <c r="U189" s="2499">
        <v>0</v>
      </c>
      <c r="V189" s="2499">
        <v>0</v>
      </c>
      <c r="W189" s="2499">
        <v>5000</v>
      </c>
      <c r="X189" s="2499">
        <v>0</v>
      </c>
      <c r="Y189" s="2499">
        <v>0</v>
      </c>
      <c r="Z189" s="2499">
        <v>0</v>
      </c>
      <c r="AA189" s="2499">
        <v>0</v>
      </c>
      <c r="AB189" s="2530">
        <v>5000</v>
      </c>
      <c r="AC189" s="2491">
        <v>0</v>
      </c>
      <c r="AD189" s="2491">
        <v>0</v>
      </c>
      <c r="AE189" s="2491">
        <v>0</v>
      </c>
      <c r="AF189" s="2491">
        <v>0</v>
      </c>
      <c r="AG189" s="2491">
        <v>0</v>
      </c>
      <c r="AH189" s="2491">
        <v>0</v>
      </c>
      <c r="AI189" s="2491">
        <v>0</v>
      </c>
      <c r="AJ189" s="2491">
        <v>0</v>
      </c>
      <c r="AK189" s="2491">
        <v>0</v>
      </c>
      <c r="AL189" s="2522">
        <v>15</v>
      </c>
      <c r="AM189" s="2118" t="s">
        <v>1612</v>
      </c>
      <c r="AN189" s="2119" t="s">
        <v>1560</v>
      </c>
      <c r="AO189" s="2092" t="s">
        <v>1613</v>
      </c>
      <c r="AP189" s="2120">
        <v>11000</v>
      </c>
      <c r="AQ189" s="2120">
        <v>0</v>
      </c>
      <c r="AR189" s="2120">
        <v>0</v>
      </c>
      <c r="AS189" s="2120">
        <v>0</v>
      </c>
      <c r="AT189" s="2120">
        <v>0</v>
      </c>
      <c r="AU189" s="2120">
        <v>0</v>
      </c>
      <c r="AV189" s="2120">
        <v>0</v>
      </c>
      <c r="AW189" s="2120">
        <v>0</v>
      </c>
      <c r="AX189" s="2120">
        <v>0</v>
      </c>
      <c r="AY189" s="2120">
        <v>0</v>
      </c>
      <c r="AZ189" s="2120">
        <v>0</v>
      </c>
      <c r="BA189" s="2120">
        <v>0</v>
      </c>
      <c r="BB189" s="2120">
        <v>11000</v>
      </c>
      <c r="BC189" s="2120">
        <v>11</v>
      </c>
      <c r="BD189" s="2120">
        <v>5.5</v>
      </c>
      <c r="BE189" s="2120">
        <v>3</v>
      </c>
      <c r="BF189" s="2120">
        <v>0</v>
      </c>
      <c r="BG189" s="2120">
        <v>0</v>
      </c>
      <c r="BH189" s="2120">
        <v>0</v>
      </c>
      <c r="BI189" s="2120">
        <v>0</v>
      </c>
      <c r="BJ189" s="2120">
        <v>0</v>
      </c>
      <c r="BK189" s="2120">
        <v>0</v>
      </c>
      <c r="BL189" s="2120">
        <v>0</v>
      </c>
      <c r="BM189" s="2120">
        <v>3</v>
      </c>
      <c r="BN189" s="2121">
        <v>55</v>
      </c>
      <c r="BO189" s="2048">
        <v>11000</v>
      </c>
      <c r="BP189" s="2090">
        <v>0</v>
      </c>
      <c r="BQ189" s="2090">
        <v>0</v>
      </c>
      <c r="BR189" s="2090">
        <v>0</v>
      </c>
      <c r="BS189" s="2090">
        <v>0</v>
      </c>
      <c r="BT189" s="2090">
        <v>0</v>
      </c>
      <c r="BU189" s="2090">
        <v>0</v>
      </c>
      <c r="BV189" s="2090">
        <v>0</v>
      </c>
      <c r="BW189" s="2090">
        <v>-5000</v>
      </c>
      <c r="BX189" s="2090">
        <v>0</v>
      </c>
      <c r="BY189" s="2090">
        <v>0</v>
      </c>
      <c r="BZ189" s="2090">
        <v>0</v>
      </c>
      <c r="CA189" s="2122">
        <v>0</v>
      </c>
      <c r="CB189" s="2048">
        <v>6000</v>
      </c>
      <c r="CC189" s="2090">
        <v>-5000</v>
      </c>
      <c r="CD189" s="2090">
        <v>11</v>
      </c>
      <c r="CE189" s="2090">
        <v>5.5</v>
      </c>
      <c r="CF189" s="2090">
        <v>3</v>
      </c>
      <c r="CG189" s="2090">
        <v>0</v>
      </c>
      <c r="CH189" s="2090">
        <v>0</v>
      </c>
      <c r="CI189" s="2090">
        <v>0</v>
      </c>
      <c r="CJ189" s="2090">
        <v>0</v>
      </c>
      <c r="CK189" s="2090">
        <v>0</v>
      </c>
      <c r="CL189" s="2090">
        <v>0</v>
      </c>
      <c r="CM189" s="2090">
        <v>0</v>
      </c>
    </row>
    <row r="190" spans="1:91" ht="15.75" thickBot="1">
      <c r="A190" s="2529" t="s">
        <v>1800</v>
      </c>
      <c r="B190" s="2551" t="str">
        <f t="shared" si="2"/>
        <v>3039630026</v>
      </c>
      <c r="C190" s="2010" t="s">
        <v>703</v>
      </c>
      <c r="D190" s="2462">
        <v>3963</v>
      </c>
      <c r="E190" s="2462">
        <v>26</v>
      </c>
      <c r="F190" s="2461">
        <v>7458</v>
      </c>
      <c r="G190" s="2445" t="s">
        <v>947</v>
      </c>
      <c r="H190" s="2462" t="s">
        <v>1560</v>
      </c>
      <c r="I190" s="2463">
        <v>1</v>
      </c>
      <c r="J190" s="2448">
        <v>0</v>
      </c>
      <c r="K190" s="2448">
        <v>0</v>
      </c>
      <c r="L190" s="2448">
        <v>0</v>
      </c>
      <c r="M190" s="2448">
        <v>11176</v>
      </c>
      <c r="N190" s="2438">
        <v>0</v>
      </c>
      <c r="O190" s="2437" t="s">
        <v>1655</v>
      </c>
      <c r="P190" s="2499">
        <v>0</v>
      </c>
      <c r="Q190" s="2499">
        <v>0</v>
      </c>
      <c r="R190" s="2499">
        <v>0</v>
      </c>
      <c r="S190" s="2499">
        <v>0</v>
      </c>
      <c r="T190" s="2499">
        <v>0</v>
      </c>
      <c r="U190" s="2499">
        <v>0</v>
      </c>
      <c r="V190" s="2499">
        <v>0</v>
      </c>
      <c r="W190" s="2499">
        <v>0</v>
      </c>
      <c r="X190" s="2499">
        <v>0</v>
      </c>
      <c r="Y190" s="2499">
        <v>0</v>
      </c>
      <c r="Z190" s="2499">
        <v>0</v>
      </c>
      <c r="AA190" s="2499">
        <v>11176</v>
      </c>
      <c r="AB190" s="2530">
        <v>11176</v>
      </c>
      <c r="AC190" s="2491">
        <v>0</v>
      </c>
      <c r="AD190" s="2491">
        <v>0</v>
      </c>
      <c r="AE190" s="2491">
        <v>0</v>
      </c>
      <c r="AF190" s="2491">
        <v>0</v>
      </c>
      <c r="AG190" s="2491">
        <v>0</v>
      </c>
      <c r="AH190" s="2491">
        <v>0</v>
      </c>
      <c r="AI190" s="2491">
        <v>0</v>
      </c>
      <c r="AJ190" s="2491">
        <v>37</v>
      </c>
      <c r="AK190" s="2491">
        <v>37</v>
      </c>
      <c r="AL190" s="2522">
        <v>25</v>
      </c>
      <c r="AM190" s="2118" t="s">
        <v>1615</v>
      </c>
      <c r="AN190" s="2119" t="s">
        <v>1560</v>
      </c>
      <c r="AO190" s="2092" t="s">
        <v>1616</v>
      </c>
      <c r="AP190" s="2120">
        <v>26849</v>
      </c>
      <c r="AQ190" s="2120">
        <v>0</v>
      </c>
      <c r="AR190" s="2120">
        <v>0</v>
      </c>
      <c r="AS190" s="2120">
        <v>0</v>
      </c>
      <c r="AT190" s="2120">
        <v>0</v>
      </c>
      <c r="AU190" s="2120">
        <v>0</v>
      </c>
      <c r="AV190" s="2120">
        <v>0</v>
      </c>
      <c r="AW190" s="2120">
        <v>0</v>
      </c>
      <c r="AX190" s="2120">
        <v>0</v>
      </c>
      <c r="AY190" s="2120">
        <v>0</v>
      </c>
      <c r="AZ190" s="2120">
        <v>0</v>
      </c>
      <c r="BA190" s="2120">
        <v>0</v>
      </c>
      <c r="BB190" s="2120">
        <v>26849</v>
      </c>
      <c r="BC190" s="2120">
        <v>26</v>
      </c>
      <c r="BD190" s="2120">
        <v>13.4245</v>
      </c>
      <c r="BE190" s="2120">
        <v>0</v>
      </c>
      <c r="BF190" s="2120">
        <v>0</v>
      </c>
      <c r="BG190" s="2120">
        <v>0</v>
      </c>
      <c r="BH190" s="2120">
        <v>0</v>
      </c>
      <c r="BI190" s="2120">
        <v>0</v>
      </c>
      <c r="BJ190" s="2120">
        <v>0</v>
      </c>
      <c r="BK190" s="2120">
        <v>0</v>
      </c>
      <c r="BL190" s="2120">
        <v>0</v>
      </c>
      <c r="BM190" s="2120">
        <v>0</v>
      </c>
      <c r="BN190" s="2121">
        <v>85</v>
      </c>
      <c r="BO190" s="2048">
        <v>26849</v>
      </c>
      <c r="BP190" s="2090">
        <v>0</v>
      </c>
      <c r="BQ190" s="2090">
        <v>0</v>
      </c>
      <c r="BR190" s="2090">
        <v>0</v>
      </c>
      <c r="BS190" s="2090">
        <v>0</v>
      </c>
      <c r="BT190" s="2090">
        <v>0</v>
      </c>
      <c r="BU190" s="2090">
        <v>0</v>
      </c>
      <c r="BV190" s="2090">
        <v>0</v>
      </c>
      <c r="BW190" s="2090">
        <v>0</v>
      </c>
      <c r="BX190" s="2090">
        <v>0</v>
      </c>
      <c r="BY190" s="2090">
        <v>0</v>
      </c>
      <c r="BZ190" s="2090">
        <v>0</v>
      </c>
      <c r="CA190" s="2122">
        <v>-11176</v>
      </c>
      <c r="CB190" s="2048">
        <v>15673</v>
      </c>
      <c r="CC190" s="2090">
        <v>0</v>
      </c>
      <c r="CD190" s="2090">
        <v>26</v>
      </c>
      <c r="CE190" s="2090">
        <v>13.4245</v>
      </c>
      <c r="CF190" s="2090">
        <v>0</v>
      </c>
      <c r="CG190" s="2090">
        <v>0</v>
      </c>
      <c r="CH190" s="2090">
        <v>0</v>
      </c>
      <c r="CI190" s="2090">
        <v>0</v>
      </c>
      <c r="CJ190" s="2090">
        <v>0</v>
      </c>
      <c r="CK190" s="2090">
        <v>0</v>
      </c>
      <c r="CL190" s="2090">
        <v>0</v>
      </c>
      <c r="CM190" s="2090">
        <v>-37</v>
      </c>
    </row>
    <row r="191" spans="1:91">
      <c r="A191" s="3567" t="s">
        <v>1801</v>
      </c>
      <c r="B191" s="2551" t="str">
        <f t="shared" si="2"/>
        <v>3039640001</v>
      </c>
      <c r="C191" s="2010" t="s">
        <v>703</v>
      </c>
      <c r="D191" s="2462">
        <v>3964</v>
      </c>
      <c r="E191" s="2462">
        <v>1</v>
      </c>
      <c r="F191" s="2461">
        <v>1250</v>
      </c>
      <c r="G191" s="2445" t="s">
        <v>947</v>
      </c>
      <c r="H191" s="2462" t="s">
        <v>1560</v>
      </c>
      <c r="I191" s="2463">
        <v>2.4</v>
      </c>
      <c r="J191" s="2448">
        <v>0</v>
      </c>
      <c r="K191" s="2448">
        <v>0</v>
      </c>
      <c r="L191" s="2448">
        <v>0</v>
      </c>
      <c r="M191" s="2448">
        <v>0</v>
      </c>
      <c r="N191" s="2438">
        <v>0</v>
      </c>
      <c r="O191" s="2437" t="s">
        <v>720</v>
      </c>
      <c r="P191" s="3272">
        <v>1160</v>
      </c>
      <c r="Q191" s="3272">
        <v>298</v>
      </c>
      <c r="R191" s="3272">
        <v>0</v>
      </c>
      <c r="S191" s="3272">
        <v>0</v>
      </c>
      <c r="T191" s="3272">
        <v>0</v>
      </c>
      <c r="U191" s="3272">
        <v>0</v>
      </c>
      <c r="V191" s="3272">
        <v>1052</v>
      </c>
      <c r="W191" s="3272">
        <v>0</v>
      </c>
      <c r="X191" s="3272">
        <v>0</v>
      </c>
      <c r="Y191" s="3272">
        <v>0</v>
      </c>
      <c r="Z191" s="3272">
        <v>5519</v>
      </c>
      <c r="AA191" s="3272">
        <v>0</v>
      </c>
      <c r="AB191" s="3507">
        <v>8029</v>
      </c>
      <c r="AC191" s="3265">
        <v>1</v>
      </c>
      <c r="AD191" s="3265">
        <v>0</v>
      </c>
      <c r="AE191" s="3265">
        <v>0</v>
      </c>
      <c r="AF191" s="3265">
        <v>0</v>
      </c>
      <c r="AG191" s="3265">
        <v>0</v>
      </c>
      <c r="AH191" s="3265">
        <v>0</v>
      </c>
      <c r="AI191" s="3265">
        <v>5</v>
      </c>
      <c r="AJ191" s="3265">
        <v>0</v>
      </c>
      <c r="AK191" s="3265">
        <v>5</v>
      </c>
      <c r="AL191" s="3513">
        <v>25</v>
      </c>
      <c r="AM191" s="3515" t="s">
        <v>1615</v>
      </c>
      <c r="AN191" s="3512" t="s">
        <v>1560</v>
      </c>
      <c r="AO191" s="3407" t="s">
        <v>1616</v>
      </c>
      <c r="AP191" s="3511">
        <v>36000</v>
      </c>
      <c r="AQ191" s="3511">
        <v>0</v>
      </c>
      <c r="AR191" s="3511">
        <v>0</v>
      </c>
      <c r="AS191" s="3511">
        <v>0</v>
      </c>
      <c r="AT191" s="3511">
        <v>0</v>
      </c>
      <c r="AU191" s="3511">
        <v>0</v>
      </c>
      <c r="AV191" s="3511">
        <v>0</v>
      </c>
      <c r="AW191" s="3511">
        <v>0</v>
      </c>
      <c r="AX191" s="3511">
        <v>0</v>
      </c>
      <c r="AY191" s="3511">
        <v>0</v>
      </c>
      <c r="AZ191" s="3511">
        <v>0</v>
      </c>
      <c r="BA191" s="3511">
        <v>0</v>
      </c>
      <c r="BB191" s="3511">
        <v>36000</v>
      </c>
      <c r="BC191" s="3511">
        <v>36</v>
      </c>
      <c r="BD191" s="3511">
        <v>18</v>
      </c>
      <c r="BE191" s="3511">
        <v>0</v>
      </c>
      <c r="BF191" s="3511">
        <v>0</v>
      </c>
      <c r="BG191" s="3511">
        <v>0</v>
      </c>
      <c r="BH191" s="3511">
        <v>0</v>
      </c>
      <c r="BI191" s="3511">
        <v>0</v>
      </c>
      <c r="BJ191" s="3511">
        <v>0</v>
      </c>
      <c r="BK191" s="3511">
        <v>0</v>
      </c>
      <c r="BL191" s="3511">
        <v>0</v>
      </c>
      <c r="BM191" s="3511">
        <v>0</v>
      </c>
      <c r="BN191" s="3517">
        <v>85</v>
      </c>
      <c r="BO191" s="3519">
        <v>34840</v>
      </c>
      <c r="BP191" s="3464">
        <v>-298</v>
      </c>
      <c r="BQ191" s="3464">
        <v>0</v>
      </c>
      <c r="BR191" s="3464">
        <v>0</v>
      </c>
      <c r="BS191" s="3464">
        <v>0</v>
      </c>
      <c r="BT191" s="3464">
        <v>0</v>
      </c>
      <c r="BU191" s="3464">
        <v>0</v>
      </c>
      <c r="BV191" s="3464">
        <v>-1052</v>
      </c>
      <c r="BW191" s="3464">
        <v>0</v>
      </c>
      <c r="BX191" s="3464">
        <v>0</v>
      </c>
      <c r="BY191" s="3464">
        <v>0</v>
      </c>
      <c r="BZ191" s="3464">
        <v>-5519</v>
      </c>
      <c r="CA191" s="3524">
        <v>0</v>
      </c>
      <c r="CB191" s="3519">
        <v>27971</v>
      </c>
      <c r="CC191" s="3464">
        <v>-1350</v>
      </c>
      <c r="CD191" s="3464">
        <v>35</v>
      </c>
      <c r="CE191" s="3464">
        <v>18</v>
      </c>
      <c r="CF191" s="3464">
        <v>0</v>
      </c>
      <c r="CG191" s="3464">
        <v>0</v>
      </c>
      <c r="CH191" s="3464">
        <v>0</v>
      </c>
      <c r="CI191" s="3464">
        <v>0</v>
      </c>
      <c r="CJ191" s="3464">
        <v>0</v>
      </c>
      <c r="CK191" s="3464">
        <v>0</v>
      </c>
      <c r="CL191" s="3464">
        <v>-5</v>
      </c>
      <c r="CM191" s="3464">
        <v>0</v>
      </c>
    </row>
    <row r="192" spans="1:91">
      <c r="A192" s="3568"/>
      <c r="B192" s="2551" t="str">
        <f t="shared" si="2"/>
        <v>3039640033</v>
      </c>
      <c r="C192" s="2492" t="s">
        <v>710</v>
      </c>
      <c r="D192" s="2026">
        <v>3964</v>
      </c>
      <c r="E192" s="2026">
        <v>33</v>
      </c>
      <c r="F192" s="2027">
        <v>2500</v>
      </c>
      <c r="G192" s="2497" t="s">
        <v>947</v>
      </c>
      <c r="H192" s="2026" t="s">
        <v>1560</v>
      </c>
      <c r="I192" s="2028">
        <v>1</v>
      </c>
      <c r="J192" s="2500">
        <v>0</v>
      </c>
      <c r="K192" s="2500">
        <v>0</v>
      </c>
      <c r="L192" s="2500">
        <v>0</v>
      </c>
      <c r="M192" s="2500">
        <v>1160</v>
      </c>
      <c r="N192" s="2029">
        <v>0</v>
      </c>
      <c r="O192" s="2502" t="s">
        <v>1578</v>
      </c>
      <c r="P192" s="3273"/>
      <c r="Q192" s="3273"/>
      <c r="R192" s="3273"/>
      <c r="S192" s="3273"/>
      <c r="T192" s="3273"/>
      <c r="U192" s="3273"/>
      <c r="V192" s="3273"/>
      <c r="W192" s="3273"/>
      <c r="X192" s="3273"/>
      <c r="Y192" s="3273"/>
      <c r="Z192" s="3273"/>
      <c r="AA192" s="3273"/>
      <c r="AB192" s="3508"/>
      <c r="AC192" s="3274"/>
      <c r="AD192" s="3274"/>
      <c r="AE192" s="3274"/>
      <c r="AF192" s="3274"/>
      <c r="AG192" s="3274"/>
      <c r="AH192" s="3274"/>
      <c r="AI192" s="3274"/>
      <c r="AJ192" s="3274"/>
      <c r="AK192" s="3274"/>
      <c r="AL192" s="3529"/>
      <c r="AM192" s="3525"/>
      <c r="AN192" s="3469"/>
      <c r="AO192" s="3526"/>
      <c r="AP192" s="3527"/>
      <c r="AQ192" s="3527"/>
      <c r="AR192" s="3527"/>
      <c r="AS192" s="3527"/>
      <c r="AT192" s="3527"/>
      <c r="AU192" s="3527"/>
      <c r="AV192" s="3527"/>
      <c r="AW192" s="3527"/>
      <c r="AX192" s="3527"/>
      <c r="AY192" s="3527"/>
      <c r="AZ192" s="3527"/>
      <c r="BA192" s="3527"/>
      <c r="BB192" s="3527"/>
      <c r="BC192" s="3527"/>
      <c r="BD192" s="3527"/>
      <c r="BE192" s="3527"/>
      <c r="BF192" s="3527"/>
      <c r="BG192" s="3527"/>
      <c r="BH192" s="3527"/>
      <c r="BI192" s="3527"/>
      <c r="BJ192" s="3527"/>
      <c r="BK192" s="3527"/>
      <c r="BL192" s="3527"/>
      <c r="BM192" s="3527"/>
      <c r="BN192" s="3535"/>
      <c r="BO192" s="3534"/>
      <c r="BP192" s="3465"/>
      <c r="BQ192" s="3465"/>
      <c r="BR192" s="3465"/>
      <c r="BS192" s="3465"/>
      <c r="BT192" s="3465"/>
      <c r="BU192" s="3465"/>
      <c r="BV192" s="3465"/>
      <c r="BW192" s="3465"/>
      <c r="BX192" s="3465"/>
      <c r="BY192" s="3465"/>
      <c r="BZ192" s="3465"/>
      <c r="CA192" s="3533"/>
      <c r="CB192" s="3534"/>
      <c r="CC192" s="3465"/>
      <c r="CD192" s="3465"/>
      <c r="CE192" s="3465"/>
      <c r="CF192" s="3465"/>
      <c r="CG192" s="3465"/>
      <c r="CH192" s="3465"/>
      <c r="CI192" s="3465"/>
      <c r="CJ192" s="3465"/>
      <c r="CK192" s="3465"/>
      <c r="CL192" s="3465"/>
      <c r="CM192" s="3465"/>
    </row>
    <row r="193" spans="1:91">
      <c r="A193" s="3568"/>
      <c r="B193" s="2551" t="str">
        <f t="shared" si="2"/>
        <v>3039640034</v>
      </c>
      <c r="C193" s="2492" t="s">
        <v>721</v>
      </c>
      <c r="D193" s="2026">
        <v>3964</v>
      </c>
      <c r="E193" s="2026">
        <v>34</v>
      </c>
      <c r="F193" s="2027">
        <v>2500</v>
      </c>
      <c r="G193" s="2497" t="s">
        <v>947</v>
      </c>
      <c r="H193" s="2026" t="s">
        <v>1560</v>
      </c>
      <c r="I193" s="2028">
        <v>1</v>
      </c>
      <c r="J193" s="2500">
        <v>0</v>
      </c>
      <c r="K193" s="2500">
        <v>0</v>
      </c>
      <c r="L193" s="2500">
        <v>500</v>
      </c>
      <c r="M193" s="2500">
        <v>2619</v>
      </c>
      <c r="N193" s="2029" t="s">
        <v>1560</v>
      </c>
      <c r="O193" s="2502" t="s">
        <v>1802</v>
      </c>
      <c r="P193" s="3273"/>
      <c r="Q193" s="3273"/>
      <c r="R193" s="3273"/>
      <c r="S193" s="3273"/>
      <c r="T193" s="3273"/>
      <c r="U193" s="3273"/>
      <c r="V193" s="3273"/>
      <c r="W193" s="3273"/>
      <c r="X193" s="3273"/>
      <c r="Y193" s="3273"/>
      <c r="Z193" s="3273"/>
      <c r="AA193" s="3273"/>
      <c r="AB193" s="3508"/>
      <c r="AC193" s="3274"/>
      <c r="AD193" s="3274"/>
      <c r="AE193" s="3274"/>
      <c r="AF193" s="3274"/>
      <c r="AG193" s="3274"/>
      <c r="AH193" s="3274"/>
      <c r="AI193" s="3274"/>
      <c r="AJ193" s="3274"/>
      <c r="AK193" s="3274"/>
      <c r="AL193" s="3529"/>
      <c r="AM193" s="3525"/>
      <c r="AN193" s="3469"/>
      <c r="AO193" s="3526"/>
      <c r="AP193" s="3527"/>
      <c r="AQ193" s="3527"/>
      <c r="AR193" s="3527"/>
      <c r="AS193" s="3527"/>
      <c r="AT193" s="3527"/>
      <c r="AU193" s="3527"/>
      <c r="AV193" s="3527"/>
      <c r="AW193" s="3527"/>
      <c r="AX193" s="3527"/>
      <c r="AY193" s="3527"/>
      <c r="AZ193" s="3527"/>
      <c r="BA193" s="3527"/>
      <c r="BB193" s="3527"/>
      <c r="BC193" s="3527"/>
      <c r="BD193" s="3527"/>
      <c r="BE193" s="3527"/>
      <c r="BF193" s="3527"/>
      <c r="BG193" s="3527"/>
      <c r="BH193" s="3527"/>
      <c r="BI193" s="3527"/>
      <c r="BJ193" s="3527"/>
      <c r="BK193" s="3527"/>
      <c r="BL193" s="3527"/>
      <c r="BM193" s="3527"/>
      <c r="BN193" s="3535"/>
      <c r="BO193" s="3534"/>
      <c r="BP193" s="3465"/>
      <c r="BQ193" s="3465"/>
      <c r="BR193" s="3465"/>
      <c r="BS193" s="3465"/>
      <c r="BT193" s="3465"/>
      <c r="BU193" s="3465"/>
      <c r="BV193" s="3465"/>
      <c r="BW193" s="3465"/>
      <c r="BX193" s="3465"/>
      <c r="BY193" s="3465"/>
      <c r="BZ193" s="3465"/>
      <c r="CA193" s="3533"/>
      <c r="CB193" s="3534"/>
      <c r="CC193" s="3465"/>
      <c r="CD193" s="3465"/>
      <c r="CE193" s="3465"/>
      <c r="CF193" s="3465"/>
      <c r="CG193" s="3465"/>
      <c r="CH193" s="3465"/>
      <c r="CI193" s="3465"/>
      <c r="CJ193" s="3465"/>
      <c r="CK193" s="3465"/>
      <c r="CL193" s="3465"/>
      <c r="CM193" s="3465"/>
    </row>
    <row r="194" spans="1:91" ht="15.75" thickBot="1">
      <c r="A194" s="3556"/>
      <c r="B194" s="2551" t="str">
        <f t="shared" si="2"/>
        <v>3039640035</v>
      </c>
      <c r="C194" s="2493" t="s">
        <v>724</v>
      </c>
      <c r="D194" s="2479">
        <v>3964</v>
      </c>
      <c r="E194" s="2479">
        <v>35</v>
      </c>
      <c r="F194" s="2482">
        <v>3750</v>
      </c>
      <c r="G194" s="2447" t="s">
        <v>947</v>
      </c>
      <c r="H194" s="2479" t="s">
        <v>1560</v>
      </c>
      <c r="I194" s="2465">
        <v>1</v>
      </c>
      <c r="J194" s="2480">
        <v>298</v>
      </c>
      <c r="K194" s="2480">
        <v>0</v>
      </c>
      <c r="L194" s="2480">
        <v>552</v>
      </c>
      <c r="M194" s="2480">
        <v>4250</v>
      </c>
      <c r="N194" s="2443" t="s">
        <v>1560</v>
      </c>
      <c r="O194" s="2452" t="s">
        <v>1802</v>
      </c>
      <c r="P194" s="3612"/>
      <c r="Q194" s="3612"/>
      <c r="R194" s="3612"/>
      <c r="S194" s="3612"/>
      <c r="T194" s="3612"/>
      <c r="U194" s="3612"/>
      <c r="V194" s="3612"/>
      <c r="W194" s="3612"/>
      <c r="X194" s="3612"/>
      <c r="Y194" s="3612"/>
      <c r="Z194" s="3612"/>
      <c r="AA194" s="3612"/>
      <c r="AB194" s="3615"/>
      <c r="AC194" s="3613"/>
      <c r="AD194" s="3613"/>
      <c r="AE194" s="3613"/>
      <c r="AF194" s="3613"/>
      <c r="AG194" s="3613"/>
      <c r="AH194" s="3613"/>
      <c r="AI194" s="3613"/>
      <c r="AJ194" s="3613"/>
      <c r="AK194" s="3613"/>
      <c r="AL194" s="3614"/>
      <c r="AM194" s="3516"/>
      <c r="AN194" s="3470"/>
      <c r="AO194" s="3718"/>
      <c r="AP194" s="3719"/>
      <c r="AQ194" s="3719"/>
      <c r="AR194" s="3719"/>
      <c r="AS194" s="3719"/>
      <c r="AT194" s="3719"/>
      <c r="AU194" s="3719"/>
      <c r="AV194" s="3719"/>
      <c r="AW194" s="3719"/>
      <c r="AX194" s="3719"/>
      <c r="AY194" s="3719"/>
      <c r="AZ194" s="3719"/>
      <c r="BA194" s="3719"/>
      <c r="BB194" s="3719"/>
      <c r="BC194" s="3719"/>
      <c r="BD194" s="3719"/>
      <c r="BE194" s="3719"/>
      <c r="BF194" s="3719"/>
      <c r="BG194" s="3719"/>
      <c r="BH194" s="3719"/>
      <c r="BI194" s="3719"/>
      <c r="BJ194" s="3719"/>
      <c r="BK194" s="3719"/>
      <c r="BL194" s="3719"/>
      <c r="BM194" s="3719"/>
      <c r="BN194" s="3518"/>
      <c r="BO194" s="3520"/>
      <c r="BP194" s="3466"/>
      <c r="BQ194" s="3466"/>
      <c r="BR194" s="3466"/>
      <c r="BS194" s="3466"/>
      <c r="BT194" s="3466"/>
      <c r="BU194" s="3466"/>
      <c r="BV194" s="3466"/>
      <c r="BW194" s="3466"/>
      <c r="BX194" s="3466"/>
      <c r="BY194" s="3466"/>
      <c r="BZ194" s="3466"/>
      <c r="CA194" s="3477"/>
      <c r="CB194" s="3520"/>
      <c r="CC194" s="3466"/>
      <c r="CD194" s="3466"/>
      <c r="CE194" s="3466"/>
      <c r="CF194" s="3466"/>
      <c r="CG194" s="3466"/>
      <c r="CH194" s="3466"/>
      <c r="CI194" s="3466"/>
      <c r="CJ194" s="3466"/>
      <c r="CK194" s="3466"/>
      <c r="CL194" s="3466"/>
      <c r="CM194" s="3466"/>
    </row>
    <row r="195" spans="1:91" ht="15.75" thickBot="1">
      <c r="A195" s="2529" t="s">
        <v>1803</v>
      </c>
      <c r="B195" s="2551" t="str">
        <f t="shared" si="2"/>
        <v>3039650001</v>
      </c>
      <c r="C195" s="2010" t="s">
        <v>703</v>
      </c>
      <c r="D195" s="2462">
        <v>3965</v>
      </c>
      <c r="E195" s="2462">
        <v>1</v>
      </c>
      <c r="F195" s="2461">
        <v>15000</v>
      </c>
      <c r="G195" s="2445" t="s">
        <v>1079</v>
      </c>
      <c r="H195" s="2462" t="s">
        <v>1560</v>
      </c>
      <c r="I195" s="2463">
        <v>1.25</v>
      </c>
      <c r="J195" s="2448">
        <v>0</v>
      </c>
      <c r="K195" s="2448">
        <v>10000</v>
      </c>
      <c r="L195" s="2448">
        <v>0</v>
      </c>
      <c r="M195" s="2448">
        <v>10000</v>
      </c>
      <c r="N195" s="2438">
        <v>0</v>
      </c>
      <c r="O195" s="2437" t="s">
        <v>1791</v>
      </c>
      <c r="P195" s="2499">
        <v>0</v>
      </c>
      <c r="Q195" s="2499">
        <v>0</v>
      </c>
      <c r="R195" s="2499">
        <v>0</v>
      </c>
      <c r="S195" s="2499">
        <v>0</v>
      </c>
      <c r="T195" s="2499">
        <v>0</v>
      </c>
      <c r="U195" s="2499">
        <v>0</v>
      </c>
      <c r="V195" s="2499">
        <v>0</v>
      </c>
      <c r="W195" s="2499">
        <v>10000</v>
      </c>
      <c r="X195" s="2499">
        <v>0</v>
      </c>
      <c r="Y195" s="2499">
        <v>0</v>
      </c>
      <c r="Z195" s="2499">
        <v>0</v>
      </c>
      <c r="AA195" s="2499">
        <v>0</v>
      </c>
      <c r="AB195" s="2530">
        <v>10000</v>
      </c>
      <c r="AC195" s="2491">
        <v>0</v>
      </c>
      <c r="AD195" s="2491">
        <v>0</v>
      </c>
      <c r="AE195" s="2491">
        <v>0</v>
      </c>
      <c r="AF195" s="2491">
        <v>0</v>
      </c>
      <c r="AG195" s="2491">
        <v>0</v>
      </c>
      <c r="AH195" s="2491">
        <v>0</v>
      </c>
      <c r="AI195" s="2491">
        <v>0</v>
      </c>
      <c r="AJ195" s="2491">
        <v>0</v>
      </c>
      <c r="AK195" s="2491">
        <v>0</v>
      </c>
      <c r="AL195" s="2522">
        <v>15</v>
      </c>
      <c r="AM195" s="2118" t="s">
        <v>1585</v>
      </c>
      <c r="AN195" s="2119" t="s">
        <v>706</v>
      </c>
      <c r="AO195" s="2092" t="s">
        <v>1599</v>
      </c>
      <c r="AP195" s="2120">
        <v>32000</v>
      </c>
      <c r="AQ195" s="2120">
        <v>9000</v>
      </c>
      <c r="AR195" s="2120">
        <v>0</v>
      </c>
      <c r="AS195" s="2120">
        <v>0</v>
      </c>
      <c r="AT195" s="2120">
        <v>0</v>
      </c>
      <c r="AU195" s="2120">
        <v>0</v>
      </c>
      <c r="AV195" s="2120">
        <v>0</v>
      </c>
      <c r="AW195" s="2120">
        <v>0</v>
      </c>
      <c r="AX195" s="2120">
        <v>0</v>
      </c>
      <c r="AY195" s="2120">
        <v>0</v>
      </c>
      <c r="AZ195" s="2120">
        <v>0</v>
      </c>
      <c r="BA195" s="2120">
        <v>0</v>
      </c>
      <c r="BB195" s="2120">
        <v>41000</v>
      </c>
      <c r="BC195" s="2120">
        <v>32</v>
      </c>
      <c r="BD195" s="2120">
        <v>16</v>
      </c>
      <c r="BE195" s="2120">
        <v>8</v>
      </c>
      <c r="BF195" s="2120">
        <v>0</v>
      </c>
      <c r="BG195" s="2120">
        <v>9</v>
      </c>
      <c r="BH195" s="2120">
        <v>0</v>
      </c>
      <c r="BI195" s="2120">
        <v>0</v>
      </c>
      <c r="BJ195" s="2120">
        <v>0</v>
      </c>
      <c r="BK195" s="2120">
        <v>0</v>
      </c>
      <c r="BL195" s="2120">
        <v>0</v>
      </c>
      <c r="BM195" s="2120">
        <v>17</v>
      </c>
      <c r="BN195" s="2121">
        <v>85</v>
      </c>
      <c r="BO195" s="2048">
        <v>32000</v>
      </c>
      <c r="BP195" s="2090">
        <v>9000</v>
      </c>
      <c r="BQ195" s="2090">
        <v>0</v>
      </c>
      <c r="BR195" s="2090">
        <v>0</v>
      </c>
      <c r="BS195" s="2090">
        <v>0</v>
      </c>
      <c r="BT195" s="2090">
        <v>0</v>
      </c>
      <c r="BU195" s="2090">
        <v>0</v>
      </c>
      <c r="BV195" s="2090">
        <v>0</v>
      </c>
      <c r="BW195" s="2090">
        <v>-10000</v>
      </c>
      <c r="BX195" s="2090">
        <v>0</v>
      </c>
      <c r="BY195" s="2090">
        <v>0</v>
      </c>
      <c r="BZ195" s="2090">
        <v>0</v>
      </c>
      <c r="CA195" s="2122">
        <v>0</v>
      </c>
      <c r="CB195" s="2048">
        <v>31000</v>
      </c>
      <c r="CC195" s="2090">
        <v>-1000</v>
      </c>
      <c r="CD195" s="2090">
        <v>32</v>
      </c>
      <c r="CE195" s="2090">
        <v>16</v>
      </c>
      <c r="CF195" s="2090">
        <v>8</v>
      </c>
      <c r="CG195" s="2090">
        <v>0</v>
      </c>
      <c r="CH195" s="2090">
        <v>9</v>
      </c>
      <c r="CI195" s="2090">
        <v>0</v>
      </c>
      <c r="CJ195" s="2090">
        <v>0</v>
      </c>
      <c r="CK195" s="2090">
        <v>0</v>
      </c>
      <c r="CL195" s="2090">
        <v>0</v>
      </c>
      <c r="CM195" s="2090">
        <v>0</v>
      </c>
    </row>
    <row r="196" spans="1:91" ht="15.75" thickBot="1">
      <c r="A196" s="2476" t="s">
        <v>1804</v>
      </c>
      <c r="B196" s="2551" t="str">
        <f t="shared" si="2"/>
        <v>3039650011</v>
      </c>
      <c r="C196" s="2466" t="s">
        <v>703</v>
      </c>
      <c r="D196" s="2462">
        <v>3965</v>
      </c>
      <c r="E196" s="2462">
        <v>11</v>
      </c>
      <c r="F196" s="2461">
        <v>18111</v>
      </c>
      <c r="G196" s="2445" t="s">
        <v>1566</v>
      </c>
      <c r="H196" s="2462" t="s">
        <v>1560</v>
      </c>
      <c r="I196" s="2463">
        <v>2</v>
      </c>
      <c r="J196" s="2448">
        <v>0</v>
      </c>
      <c r="K196" s="2448">
        <v>1597</v>
      </c>
      <c r="L196" s="2448">
        <v>0</v>
      </c>
      <c r="M196" s="2448">
        <v>1597</v>
      </c>
      <c r="N196" s="2438">
        <v>0</v>
      </c>
      <c r="O196" s="2437" t="s">
        <v>1648</v>
      </c>
      <c r="P196" s="2450">
        <v>0</v>
      </c>
      <c r="Q196" s="2450">
        <v>0</v>
      </c>
      <c r="R196" s="2450">
        <v>0</v>
      </c>
      <c r="S196" s="2450">
        <v>0</v>
      </c>
      <c r="T196" s="2450">
        <v>1597</v>
      </c>
      <c r="U196" s="2450">
        <v>0</v>
      </c>
      <c r="V196" s="2450">
        <v>0</v>
      </c>
      <c r="W196" s="2450">
        <v>0</v>
      </c>
      <c r="X196" s="2450">
        <v>0</v>
      </c>
      <c r="Y196" s="2450">
        <v>0</v>
      </c>
      <c r="Z196" s="2450">
        <v>0</v>
      </c>
      <c r="AA196" s="2450">
        <v>0</v>
      </c>
      <c r="AB196" s="2519">
        <v>1597</v>
      </c>
      <c r="AC196" s="2448">
        <v>0</v>
      </c>
      <c r="AD196" s="2448">
        <v>0</v>
      </c>
      <c r="AE196" s="2448">
        <v>0</v>
      </c>
      <c r="AF196" s="2448">
        <v>0</v>
      </c>
      <c r="AG196" s="2448">
        <v>0</v>
      </c>
      <c r="AH196" s="2448">
        <v>0</v>
      </c>
      <c r="AI196" s="2448">
        <v>0</v>
      </c>
      <c r="AJ196" s="2448">
        <v>0</v>
      </c>
      <c r="AK196" s="2448">
        <v>0</v>
      </c>
      <c r="AL196" s="2528">
        <v>15</v>
      </c>
      <c r="AM196" s="2526" t="s">
        <v>741</v>
      </c>
      <c r="AN196" s="2527" t="s">
        <v>706</v>
      </c>
      <c r="AO196" s="2457" t="s">
        <v>1595</v>
      </c>
      <c r="AP196" s="2191">
        <v>114099</v>
      </c>
      <c r="AQ196" s="2191">
        <v>16299.9</v>
      </c>
      <c r="AR196" s="2191">
        <v>0</v>
      </c>
      <c r="AS196" s="2191">
        <v>0</v>
      </c>
      <c r="AT196" s="2191">
        <v>0</v>
      </c>
      <c r="AU196" s="2191">
        <v>0</v>
      </c>
      <c r="AV196" s="2191">
        <v>0</v>
      </c>
      <c r="AW196" s="2191">
        <v>0</v>
      </c>
      <c r="AX196" s="2191">
        <v>0</v>
      </c>
      <c r="AY196" s="2191">
        <v>0</v>
      </c>
      <c r="AZ196" s="2191">
        <v>0</v>
      </c>
      <c r="BA196" s="2191">
        <v>0</v>
      </c>
      <c r="BB196" s="2191">
        <v>130398.9</v>
      </c>
      <c r="BC196" s="2191">
        <v>114</v>
      </c>
      <c r="BD196" s="2191">
        <v>57.049500000000002</v>
      </c>
      <c r="BE196" s="2191">
        <v>23</v>
      </c>
      <c r="BF196" s="2191">
        <v>0</v>
      </c>
      <c r="BG196" s="2191">
        <v>16</v>
      </c>
      <c r="BH196" s="2191">
        <v>0</v>
      </c>
      <c r="BI196" s="2191">
        <v>0</v>
      </c>
      <c r="BJ196" s="2191">
        <v>0</v>
      </c>
      <c r="BK196" s="2191">
        <v>0</v>
      </c>
      <c r="BL196" s="2191">
        <v>0</v>
      </c>
      <c r="BM196" s="2191">
        <v>39</v>
      </c>
      <c r="BN196" s="2192">
        <v>145</v>
      </c>
      <c r="BO196" s="2525">
        <v>114099</v>
      </c>
      <c r="BP196" s="2459">
        <v>16299.9</v>
      </c>
      <c r="BQ196" s="2459">
        <v>0</v>
      </c>
      <c r="BR196" s="2459">
        <v>0</v>
      </c>
      <c r="BS196" s="2459">
        <v>0</v>
      </c>
      <c r="BT196" s="2459">
        <v>-1597</v>
      </c>
      <c r="BU196" s="2459">
        <v>0</v>
      </c>
      <c r="BV196" s="2459">
        <v>0</v>
      </c>
      <c r="BW196" s="2459">
        <v>0</v>
      </c>
      <c r="BX196" s="2459">
        <v>0</v>
      </c>
      <c r="BY196" s="2459">
        <v>0</v>
      </c>
      <c r="BZ196" s="2459">
        <v>0</v>
      </c>
      <c r="CA196" s="2523">
        <v>0</v>
      </c>
      <c r="CB196" s="2525">
        <v>128801.9</v>
      </c>
      <c r="CC196" s="2459">
        <v>14702.9</v>
      </c>
      <c r="CD196" s="2459">
        <v>114</v>
      </c>
      <c r="CE196" s="2459">
        <v>57.049500000000002</v>
      </c>
      <c r="CF196" s="2459">
        <v>23</v>
      </c>
      <c r="CG196" s="2459">
        <v>0</v>
      </c>
      <c r="CH196" s="2459">
        <v>16</v>
      </c>
      <c r="CI196" s="2459">
        <v>0</v>
      </c>
      <c r="CJ196" s="2459">
        <v>0</v>
      </c>
      <c r="CK196" s="2459">
        <v>0</v>
      </c>
      <c r="CL196" s="2459">
        <v>0</v>
      </c>
      <c r="CM196" s="2459">
        <v>0</v>
      </c>
    </row>
    <row r="197" spans="1:91">
      <c r="A197" s="3567" t="s">
        <v>1805</v>
      </c>
      <c r="B197" s="2551" t="str">
        <f t="shared" si="2"/>
        <v>3039670013</v>
      </c>
      <c r="C197" s="2010" t="s">
        <v>703</v>
      </c>
      <c r="D197" s="2011">
        <v>3967</v>
      </c>
      <c r="E197" s="2011">
        <v>13</v>
      </c>
      <c r="F197" s="2494">
        <v>3848</v>
      </c>
      <c r="G197" s="2496" t="s">
        <v>1566</v>
      </c>
      <c r="H197" s="2011" t="s">
        <v>1560</v>
      </c>
      <c r="I197" s="2012">
        <v>2</v>
      </c>
      <c r="J197" s="2491">
        <v>0</v>
      </c>
      <c r="K197" s="2491">
        <v>0</v>
      </c>
      <c r="L197" s="2491">
        <v>12126</v>
      </c>
      <c r="M197" s="2491">
        <v>12126</v>
      </c>
      <c r="N197" s="2489">
        <v>0</v>
      </c>
      <c r="O197" s="2490" t="s">
        <v>1806</v>
      </c>
      <c r="P197" s="3284">
        <v>0</v>
      </c>
      <c r="Q197" s="3286">
        <v>0</v>
      </c>
      <c r="R197" s="3286">
        <v>0</v>
      </c>
      <c r="S197" s="3286">
        <v>0</v>
      </c>
      <c r="T197" s="3286">
        <v>0</v>
      </c>
      <c r="U197" s="3286">
        <v>0</v>
      </c>
      <c r="V197" s="3286">
        <v>14501</v>
      </c>
      <c r="W197" s="3286">
        <v>0</v>
      </c>
      <c r="X197" s="3286">
        <v>0</v>
      </c>
      <c r="Y197" s="3286">
        <v>4157</v>
      </c>
      <c r="Z197" s="3286">
        <v>0</v>
      </c>
      <c r="AA197" s="3286">
        <v>0</v>
      </c>
      <c r="AB197" s="3659">
        <v>18658</v>
      </c>
      <c r="AC197" s="3286">
        <v>0</v>
      </c>
      <c r="AD197" s="3286">
        <v>0</v>
      </c>
      <c r="AE197" s="3286">
        <v>0</v>
      </c>
      <c r="AF197" s="3286">
        <v>0</v>
      </c>
      <c r="AG197" s="3286">
        <v>0</v>
      </c>
      <c r="AH197" s="3286">
        <v>0</v>
      </c>
      <c r="AI197" s="3286">
        <v>0</v>
      </c>
      <c r="AJ197" s="3286">
        <v>0</v>
      </c>
      <c r="AK197" s="3286">
        <v>0</v>
      </c>
      <c r="AL197" s="3284">
        <v>45</v>
      </c>
      <c r="AM197" s="3515" t="s">
        <v>741</v>
      </c>
      <c r="AN197" s="3512" t="s">
        <v>706</v>
      </c>
      <c r="AO197" s="3407" t="s">
        <v>1595</v>
      </c>
      <c r="AP197" s="3511">
        <v>66217</v>
      </c>
      <c r="AQ197" s="3511">
        <v>7965</v>
      </c>
      <c r="AR197" s="3511">
        <v>0</v>
      </c>
      <c r="AS197" s="3511">
        <v>0</v>
      </c>
      <c r="AT197" s="3511">
        <v>0</v>
      </c>
      <c r="AU197" s="3511">
        <v>0</v>
      </c>
      <c r="AV197" s="3511">
        <v>0</v>
      </c>
      <c r="AW197" s="3511">
        <v>0</v>
      </c>
      <c r="AX197" s="3511">
        <v>0</v>
      </c>
      <c r="AY197" s="3511">
        <v>0</v>
      </c>
      <c r="AZ197" s="3511">
        <v>0</v>
      </c>
      <c r="BA197" s="3511">
        <v>0</v>
      </c>
      <c r="BB197" s="3511">
        <v>74182</v>
      </c>
      <c r="BC197" s="3511">
        <v>66</v>
      </c>
      <c r="BD197" s="3511">
        <v>33.108499999999999</v>
      </c>
      <c r="BE197" s="3511">
        <v>13</v>
      </c>
      <c r="BF197" s="3511">
        <v>0</v>
      </c>
      <c r="BG197" s="3511">
        <v>8</v>
      </c>
      <c r="BH197" s="3511">
        <v>0</v>
      </c>
      <c r="BI197" s="3511">
        <v>0</v>
      </c>
      <c r="BJ197" s="3511">
        <v>0</v>
      </c>
      <c r="BK197" s="3511">
        <v>0</v>
      </c>
      <c r="BL197" s="3511">
        <v>0</v>
      </c>
      <c r="BM197" s="3511">
        <v>21</v>
      </c>
      <c r="BN197" s="3517">
        <v>145</v>
      </c>
      <c r="BO197" s="3519">
        <v>66217</v>
      </c>
      <c r="BP197" s="3464">
        <v>7965</v>
      </c>
      <c r="BQ197" s="3464">
        <v>0</v>
      </c>
      <c r="BR197" s="3464">
        <v>0</v>
      </c>
      <c r="BS197" s="3464">
        <v>0</v>
      </c>
      <c r="BT197" s="3464">
        <v>0</v>
      </c>
      <c r="BU197" s="3464">
        <v>0</v>
      </c>
      <c r="BV197" s="3464">
        <v>-14501</v>
      </c>
      <c r="BW197" s="3464">
        <v>0</v>
      </c>
      <c r="BX197" s="3464">
        <v>0</v>
      </c>
      <c r="BY197" s="3464">
        <v>-4157</v>
      </c>
      <c r="BZ197" s="3464">
        <v>0</v>
      </c>
      <c r="CA197" s="3524">
        <v>0</v>
      </c>
      <c r="CB197" s="3519">
        <v>55524</v>
      </c>
      <c r="CC197" s="3464">
        <v>-10693</v>
      </c>
      <c r="CD197" s="3464">
        <v>66</v>
      </c>
      <c r="CE197" s="3464">
        <v>33.108499999999999</v>
      </c>
      <c r="CF197" s="3464">
        <v>13</v>
      </c>
      <c r="CG197" s="3464">
        <v>0</v>
      </c>
      <c r="CH197" s="3524">
        <v>8</v>
      </c>
      <c r="CI197" s="3524">
        <v>0</v>
      </c>
      <c r="CJ197" s="3524">
        <v>0</v>
      </c>
      <c r="CK197" s="3524">
        <v>0</v>
      </c>
      <c r="CL197" s="3524">
        <v>0</v>
      </c>
      <c r="CM197" s="3524">
        <v>0</v>
      </c>
    </row>
    <row r="198" spans="1:91" ht="15.75" thickBot="1">
      <c r="A198" s="3556"/>
      <c r="B198" s="2551" t="str">
        <f t="shared" ref="B198:B242" si="3">IF(E198="",,3&amp;IF(LEN($D198)=1,"0000"&amp;$D198,IF(LEN($D198)=2,"000"&amp;$D198,IF(LEN($D198)=3,"00"&amp;$D198,IF(LEN($D198)=4,"0"&amp;$D198,IF(LEN($D198)=5,$D198,0)))))&amp;IF(LEN(E198)=1,"000"&amp;E198,IF(LEN(E198)=2,"00"&amp;E198,IF(LEN(E198)=3,"0"&amp;E198,IF(LEN(E198)=4,E198,0)))))</f>
        <v>3039670015</v>
      </c>
      <c r="C198" s="2493" t="s">
        <v>710</v>
      </c>
      <c r="D198" s="2018">
        <v>3967</v>
      </c>
      <c r="E198" s="2018">
        <v>15</v>
      </c>
      <c r="F198" s="2019">
        <v>6455</v>
      </c>
      <c r="G198" s="2498" t="s">
        <v>1566</v>
      </c>
      <c r="H198" s="2018" t="s">
        <v>1560</v>
      </c>
      <c r="I198" s="2020">
        <v>2</v>
      </c>
      <c r="J198" s="2501">
        <v>0</v>
      </c>
      <c r="K198" s="2501">
        <v>4157</v>
      </c>
      <c r="L198" s="2501">
        <v>2375</v>
      </c>
      <c r="M198" s="2501">
        <v>6532</v>
      </c>
      <c r="N198" s="2508">
        <v>0</v>
      </c>
      <c r="O198" s="2503" t="s">
        <v>1656</v>
      </c>
      <c r="P198" s="3657"/>
      <c r="Q198" s="3658"/>
      <c r="R198" s="3658"/>
      <c r="S198" s="3658"/>
      <c r="T198" s="3658"/>
      <c r="U198" s="3658"/>
      <c r="V198" s="3658"/>
      <c r="W198" s="3658"/>
      <c r="X198" s="3658"/>
      <c r="Y198" s="3658"/>
      <c r="Z198" s="3658"/>
      <c r="AA198" s="3658"/>
      <c r="AB198" s="3660"/>
      <c r="AC198" s="3658"/>
      <c r="AD198" s="3658"/>
      <c r="AE198" s="3658"/>
      <c r="AF198" s="3658"/>
      <c r="AG198" s="3658"/>
      <c r="AH198" s="3658"/>
      <c r="AI198" s="3658"/>
      <c r="AJ198" s="3658"/>
      <c r="AK198" s="3658"/>
      <c r="AL198" s="3285"/>
      <c r="AM198" s="3516"/>
      <c r="AN198" s="3470"/>
      <c r="AO198" s="3718"/>
      <c r="AP198" s="3719"/>
      <c r="AQ198" s="3719"/>
      <c r="AR198" s="3719"/>
      <c r="AS198" s="3719"/>
      <c r="AT198" s="3719"/>
      <c r="AU198" s="3719"/>
      <c r="AV198" s="3719"/>
      <c r="AW198" s="3719"/>
      <c r="AX198" s="3719"/>
      <c r="AY198" s="3719"/>
      <c r="AZ198" s="3719"/>
      <c r="BA198" s="3719"/>
      <c r="BB198" s="3719"/>
      <c r="BC198" s="3719"/>
      <c r="BD198" s="3719"/>
      <c r="BE198" s="3719"/>
      <c r="BF198" s="3719"/>
      <c r="BG198" s="3719"/>
      <c r="BH198" s="3719"/>
      <c r="BI198" s="3719"/>
      <c r="BJ198" s="3719"/>
      <c r="BK198" s="3719"/>
      <c r="BL198" s="3719"/>
      <c r="BM198" s="3719"/>
      <c r="BN198" s="3518"/>
      <c r="BO198" s="3520"/>
      <c r="BP198" s="3466"/>
      <c r="BQ198" s="3466"/>
      <c r="BR198" s="3466"/>
      <c r="BS198" s="3466"/>
      <c r="BT198" s="3466"/>
      <c r="BU198" s="3466"/>
      <c r="BV198" s="3466"/>
      <c r="BW198" s="3466"/>
      <c r="BX198" s="3466"/>
      <c r="BY198" s="3466"/>
      <c r="BZ198" s="3466"/>
      <c r="CA198" s="3477"/>
      <c r="CB198" s="3520"/>
      <c r="CC198" s="3466"/>
      <c r="CD198" s="3466"/>
      <c r="CE198" s="3466"/>
      <c r="CF198" s="3466"/>
      <c r="CG198" s="3466"/>
      <c r="CH198" s="3477"/>
      <c r="CI198" s="3477"/>
      <c r="CJ198" s="3477"/>
      <c r="CK198" s="3477"/>
      <c r="CL198" s="3477"/>
      <c r="CM198" s="3477"/>
    </row>
    <row r="199" spans="1:91">
      <c r="A199" s="3567" t="s">
        <v>1807</v>
      </c>
      <c r="B199" s="2551" t="str">
        <f t="shared" si="3"/>
        <v>3039710010</v>
      </c>
      <c r="C199" s="2010" t="s">
        <v>703</v>
      </c>
      <c r="D199" s="2011">
        <v>3971</v>
      </c>
      <c r="E199" s="2011">
        <v>10</v>
      </c>
      <c r="F199" s="2494">
        <v>2500</v>
      </c>
      <c r="G199" s="2496" t="s">
        <v>1079</v>
      </c>
      <c r="H199" s="2011" t="s">
        <v>1560</v>
      </c>
      <c r="I199" s="2012">
        <v>1.25</v>
      </c>
      <c r="J199" s="2491">
        <v>0</v>
      </c>
      <c r="K199" s="2491">
        <v>0</v>
      </c>
      <c r="L199" s="2491">
        <v>0</v>
      </c>
      <c r="M199" s="2491">
        <v>1632</v>
      </c>
      <c r="N199" s="2489">
        <v>0</v>
      </c>
      <c r="O199" s="2490" t="s">
        <v>1578</v>
      </c>
      <c r="P199" s="3284">
        <v>2009</v>
      </c>
      <c r="Q199" s="3286">
        <v>0</v>
      </c>
      <c r="R199" s="3286">
        <v>0</v>
      </c>
      <c r="S199" s="3286">
        <v>0</v>
      </c>
      <c r="T199" s="3286">
        <v>0</v>
      </c>
      <c r="U199" s="3286">
        <v>0</v>
      </c>
      <c r="V199" s="3286">
        <v>0</v>
      </c>
      <c r="W199" s="3286">
        <v>0</v>
      </c>
      <c r="X199" s="3286">
        <v>0</v>
      </c>
      <c r="Y199" s="3286">
        <v>0</v>
      </c>
      <c r="Z199" s="3286">
        <v>0</v>
      </c>
      <c r="AA199" s="3286">
        <v>377</v>
      </c>
      <c r="AB199" s="3659">
        <v>2386</v>
      </c>
      <c r="AC199" s="3286">
        <v>1</v>
      </c>
      <c r="AD199" s="3286">
        <v>1</v>
      </c>
      <c r="AE199" s="3286">
        <v>0</v>
      </c>
      <c r="AF199" s="3286">
        <v>0</v>
      </c>
      <c r="AG199" s="3286">
        <v>0</v>
      </c>
      <c r="AH199" s="3286">
        <v>0</v>
      </c>
      <c r="AI199" s="3286">
        <v>0</v>
      </c>
      <c r="AJ199" s="3286">
        <v>1</v>
      </c>
      <c r="AK199" s="3286">
        <v>2</v>
      </c>
      <c r="AL199" s="3284">
        <v>25</v>
      </c>
      <c r="AM199" s="3515" t="s">
        <v>1612</v>
      </c>
      <c r="AN199" s="3512" t="s">
        <v>1560</v>
      </c>
      <c r="AO199" s="3407" t="s">
        <v>1613</v>
      </c>
      <c r="AP199" s="3511">
        <v>16500</v>
      </c>
      <c r="AQ199" s="3511">
        <v>0</v>
      </c>
      <c r="AR199" s="3511">
        <v>0</v>
      </c>
      <c r="AS199" s="3511">
        <v>0</v>
      </c>
      <c r="AT199" s="3511">
        <v>0</v>
      </c>
      <c r="AU199" s="3511">
        <v>0</v>
      </c>
      <c r="AV199" s="3511">
        <v>0</v>
      </c>
      <c r="AW199" s="3511">
        <v>0</v>
      </c>
      <c r="AX199" s="3511">
        <v>0</v>
      </c>
      <c r="AY199" s="3511">
        <v>0</v>
      </c>
      <c r="AZ199" s="3511">
        <v>0</v>
      </c>
      <c r="BA199" s="3511">
        <v>0</v>
      </c>
      <c r="BB199" s="3511">
        <v>16500</v>
      </c>
      <c r="BC199" s="3511">
        <v>16</v>
      </c>
      <c r="BD199" s="3511">
        <v>8.25</v>
      </c>
      <c r="BE199" s="3511">
        <v>4</v>
      </c>
      <c r="BF199" s="3511">
        <v>0</v>
      </c>
      <c r="BG199" s="3511">
        <v>0</v>
      </c>
      <c r="BH199" s="3511">
        <v>0</v>
      </c>
      <c r="BI199" s="3511">
        <v>0</v>
      </c>
      <c r="BJ199" s="3511">
        <v>0</v>
      </c>
      <c r="BK199" s="3511">
        <v>0</v>
      </c>
      <c r="BL199" s="3511">
        <v>0</v>
      </c>
      <c r="BM199" s="3511">
        <v>4</v>
      </c>
      <c r="BN199" s="3517">
        <v>55</v>
      </c>
      <c r="BO199" s="3519">
        <v>14491</v>
      </c>
      <c r="BP199" s="3464">
        <v>0</v>
      </c>
      <c r="BQ199" s="3464">
        <v>0</v>
      </c>
      <c r="BR199" s="3464">
        <v>0</v>
      </c>
      <c r="BS199" s="3464">
        <v>0</v>
      </c>
      <c r="BT199" s="3464">
        <v>0</v>
      </c>
      <c r="BU199" s="3464">
        <v>0</v>
      </c>
      <c r="BV199" s="3464">
        <v>0</v>
      </c>
      <c r="BW199" s="3464">
        <v>0</v>
      </c>
      <c r="BX199" s="3464">
        <v>0</v>
      </c>
      <c r="BY199" s="3464">
        <v>0</v>
      </c>
      <c r="BZ199" s="3464">
        <v>0</v>
      </c>
      <c r="CA199" s="3524">
        <v>-377</v>
      </c>
      <c r="CB199" s="3519">
        <v>14114</v>
      </c>
      <c r="CC199" s="3464">
        <v>0</v>
      </c>
      <c r="CD199" s="3464">
        <v>15</v>
      </c>
      <c r="CE199" s="3464">
        <v>8.25</v>
      </c>
      <c r="CF199" s="3464">
        <v>3</v>
      </c>
      <c r="CG199" s="3464">
        <v>0</v>
      </c>
      <c r="CH199" s="3524">
        <v>0</v>
      </c>
      <c r="CI199" s="3524">
        <v>0</v>
      </c>
      <c r="CJ199" s="3524">
        <v>0</v>
      </c>
      <c r="CK199" s="3524">
        <v>0</v>
      </c>
      <c r="CL199" s="3524">
        <v>0</v>
      </c>
      <c r="CM199" s="3524">
        <v>-1</v>
      </c>
    </row>
    <row r="200" spans="1:91" ht="15.75" thickBot="1">
      <c r="A200" s="3556"/>
      <c r="B200" s="2551" t="str">
        <f t="shared" si="3"/>
        <v>3039710011</v>
      </c>
      <c r="C200" s="2493" t="s">
        <v>710</v>
      </c>
      <c r="D200" s="2018">
        <v>3971</v>
      </c>
      <c r="E200" s="2018">
        <v>11</v>
      </c>
      <c r="F200" s="2019">
        <v>5000</v>
      </c>
      <c r="G200" s="2498" t="s">
        <v>1079</v>
      </c>
      <c r="H200" s="2018" t="s">
        <v>1560</v>
      </c>
      <c r="I200" s="2020">
        <v>1.25</v>
      </c>
      <c r="J200" s="2501">
        <v>0</v>
      </c>
      <c r="K200" s="2501">
        <v>0</v>
      </c>
      <c r="L200" s="2501">
        <v>0</v>
      </c>
      <c r="M200" s="2501">
        <v>1508</v>
      </c>
      <c r="N200" s="2508">
        <v>0</v>
      </c>
      <c r="O200" s="2503" t="s">
        <v>1808</v>
      </c>
      <c r="P200" s="3657"/>
      <c r="Q200" s="3658"/>
      <c r="R200" s="3658"/>
      <c r="S200" s="3658"/>
      <c r="T200" s="3658"/>
      <c r="U200" s="3658"/>
      <c r="V200" s="3658"/>
      <c r="W200" s="3658"/>
      <c r="X200" s="3658"/>
      <c r="Y200" s="3658"/>
      <c r="Z200" s="3658"/>
      <c r="AA200" s="3658"/>
      <c r="AB200" s="3660"/>
      <c r="AC200" s="3658"/>
      <c r="AD200" s="3658"/>
      <c r="AE200" s="3658"/>
      <c r="AF200" s="3658"/>
      <c r="AG200" s="3658"/>
      <c r="AH200" s="3658"/>
      <c r="AI200" s="3658"/>
      <c r="AJ200" s="3658"/>
      <c r="AK200" s="3658"/>
      <c r="AL200" s="3285"/>
      <c r="AM200" s="3516"/>
      <c r="AN200" s="3470"/>
      <c r="AO200" s="3718"/>
      <c r="AP200" s="3719"/>
      <c r="AQ200" s="3719"/>
      <c r="AR200" s="3719"/>
      <c r="AS200" s="3719"/>
      <c r="AT200" s="3719"/>
      <c r="AU200" s="3719"/>
      <c r="AV200" s="3719"/>
      <c r="AW200" s="3719"/>
      <c r="AX200" s="3719"/>
      <c r="AY200" s="3719"/>
      <c r="AZ200" s="3719"/>
      <c r="BA200" s="3719"/>
      <c r="BB200" s="3719"/>
      <c r="BC200" s="3719"/>
      <c r="BD200" s="3719"/>
      <c r="BE200" s="3719"/>
      <c r="BF200" s="3719"/>
      <c r="BG200" s="3719"/>
      <c r="BH200" s="3719"/>
      <c r="BI200" s="3719"/>
      <c r="BJ200" s="3719"/>
      <c r="BK200" s="3719"/>
      <c r="BL200" s="3719"/>
      <c r="BM200" s="3719"/>
      <c r="BN200" s="3518"/>
      <c r="BO200" s="3520"/>
      <c r="BP200" s="3466"/>
      <c r="BQ200" s="3466"/>
      <c r="BR200" s="3466"/>
      <c r="BS200" s="3466"/>
      <c r="BT200" s="3466"/>
      <c r="BU200" s="3466"/>
      <c r="BV200" s="3466"/>
      <c r="BW200" s="3466"/>
      <c r="BX200" s="3466"/>
      <c r="BY200" s="3466"/>
      <c r="BZ200" s="3466"/>
      <c r="CA200" s="3477"/>
      <c r="CB200" s="3520"/>
      <c r="CC200" s="3466"/>
      <c r="CD200" s="3466"/>
      <c r="CE200" s="3466"/>
      <c r="CF200" s="3466"/>
      <c r="CG200" s="3466"/>
      <c r="CH200" s="3477"/>
      <c r="CI200" s="3477"/>
      <c r="CJ200" s="3477"/>
      <c r="CK200" s="3477"/>
      <c r="CL200" s="3477"/>
      <c r="CM200" s="3477"/>
    </row>
    <row r="201" spans="1:91">
      <c r="A201" s="3567" t="s">
        <v>1809</v>
      </c>
      <c r="B201" s="2551" t="str">
        <f t="shared" si="3"/>
        <v>3039710024</v>
      </c>
      <c r="C201" s="2010" t="s">
        <v>703</v>
      </c>
      <c r="D201" s="2011">
        <v>3971</v>
      </c>
      <c r="E201" s="2011">
        <v>24</v>
      </c>
      <c r="F201" s="2494">
        <v>2588</v>
      </c>
      <c r="G201" s="2496" t="s">
        <v>1566</v>
      </c>
      <c r="H201" s="2011" t="s">
        <v>1560</v>
      </c>
      <c r="I201" s="2012">
        <v>2</v>
      </c>
      <c r="J201" s="2491">
        <v>0</v>
      </c>
      <c r="K201" s="2491">
        <v>500</v>
      </c>
      <c r="L201" s="2491">
        <v>0</v>
      </c>
      <c r="M201" s="2491">
        <v>500</v>
      </c>
      <c r="N201" s="2489">
        <v>0</v>
      </c>
      <c r="O201" s="2490" t="s">
        <v>1572</v>
      </c>
      <c r="P201" s="3284">
        <v>2760</v>
      </c>
      <c r="Q201" s="3286">
        <v>4315</v>
      </c>
      <c r="R201" s="3286">
        <v>0</v>
      </c>
      <c r="S201" s="3286">
        <v>0</v>
      </c>
      <c r="T201" s="3286">
        <v>500</v>
      </c>
      <c r="U201" s="3286">
        <v>0</v>
      </c>
      <c r="V201" s="3286">
        <v>0</v>
      </c>
      <c r="W201" s="3286">
        <v>0</v>
      </c>
      <c r="X201" s="3286">
        <v>0</v>
      </c>
      <c r="Y201" s="3286">
        <v>0</v>
      </c>
      <c r="Z201" s="3286">
        <v>0</v>
      </c>
      <c r="AA201" s="3286">
        <v>0</v>
      </c>
      <c r="AB201" s="3659">
        <v>7575</v>
      </c>
      <c r="AC201" s="3286">
        <v>2</v>
      </c>
      <c r="AD201" s="3286">
        <v>0</v>
      </c>
      <c r="AE201" s="3286">
        <v>0</v>
      </c>
      <c r="AF201" s="3286">
        <v>0</v>
      </c>
      <c r="AG201" s="3286">
        <v>0</v>
      </c>
      <c r="AH201" s="3286">
        <v>0</v>
      </c>
      <c r="AI201" s="3286">
        <v>0</v>
      </c>
      <c r="AJ201" s="3286">
        <v>0</v>
      </c>
      <c r="AK201" s="3286">
        <v>0</v>
      </c>
      <c r="AL201" s="3284">
        <v>25</v>
      </c>
      <c r="AM201" s="3515" t="s">
        <v>741</v>
      </c>
      <c r="AN201" s="3512" t="s">
        <v>706</v>
      </c>
      <c r="AO201" s="3407" t="s">
        <v>1595</v>
      </c>
      <c r="AP201" s="3511">
        <v>57246</v>
      </c>
      <c r="AQ201" s="3511">
        <v>7135.2</v>
      </c>
      <c r="AR201" s="3511">
        <v>0</v>
      </c>
      <c r="AS201" s="3511">
        <v>0</v>
      </c>
      <c r="AT201" s="3511">
        <v>0</v>
      </c>
      <c r="AU201" s="3511">
        <v>0</v>
      </c>
      <c r="AV201" s="3511">
        <v>0</v>
      </c>
      <c r="AW201" s="3511">
        <v>0</v>
      </c>
      <c r="AX201" s="3511">
        <v>0</v>
      </c>
      <c r="AY201" s="3511">
        <v>0</v>
      </c>
      <c r="AZ201" s="3511">
        <v>0</v>
      </c>
      <c r="BA201" s="3511">
        <v>0</v>
      </c>
      <c r="BB201" s="3511">
        <v>64381.2</v>
      </c>
      <c r="BC201" s="3511">
        <v>57</v>
      </c>
      <c r="BD201" s="3511">
        <v>28.623000000000001</v>
      </c>
      <c r="BE201" s="3511">
        <v>11</v>
      </c>
      <c r="BF201" s="3511">
        <v>0</v>
      </c>
      <c r="BG201" s="3511">
        <v>7</v>
      </c>
      <c r="BH201" s="3511">
        <v>0</v>
      </c>
      <c r="BI201" s="3511">
        <v>0</v>
      </c>
      <c r="BJ201" s="3511">
        <v>0</v>
      </c>
      <c r="BK201" s="3511">
        <v>0</v>
      </c>
      <c r="BL201" s="3511">
        <v>0</v>
      </c>
      <c r="BM201" s="3511">
        <v>18</v>
      </c>
      <c r="BN201" s="3517">
        <v>145</v>
      </c>
      <c r="BO201" s="3519">
        <v>54486</v>
      </c>
      <c r="BP201" s="3464">
        <v>2820.2</v>
      </c>
      <c r="BQ201" s="3464">
        <v>0</v>
      </c>
      <c r="BR201" s="3464">
        <v>0</v>
      </c>
      <c r="BS201" s="3464">
        <v>0</v>
      </c>
      <c r="BT201" s="3464">
        <v>-500</v>
      </c>
      <c r="BU201" s="3464">
        <v>0</v>
      </c>
      <c r="BV201" s="3464">
        <v>0</v>
      </c>
      <c r="BW201" s="3464">
        <v>0</v>
      </c>
      <c r="BX201" s="3464">
        <v>0</v>
      </c>
      <c r="BY201" s="3464">
        <v>0</v>
      </c>
      <c r="BZ201" s="3464">
        <v>0</v>
      </c>
      <c r="CA201" s="3524">
        <v>0</v>
      </c>
      <c r="CB201" s="3519">
        <v>56806.2</v>
      </c>
      <c r="CC201" s="3464">
        <v>2320.1999999999998</v>
      </c>
      <c r="CD201" s="3464">
        <v>55</v>
      </c>
      <c r="CE201" s="3464">
        <v>28.623000000000001</v>
      </c>
      <c r="CF201" s="3464">
        <v>11</v>
      </c>
      <c r="CG201" s="3464">
        <v>0</v>
      </c>
      <c r="CH201" s="3524">
        <v>7</v>
      </c>
      <c r="CI201" s="3524">
        <v>0</v>
      </c>
      <c r="CJ201" s="3524">
        <v>0</v>
      </c>
      <c r="CK201" s="3524">
        <v>0</v>
      </c>
      <c r="CL201" s="3524">
        <v>0</v>
      </c>
      <c r="CM201" s="3524">
        <v>0</v>
      </c>
    </row>
    <row r="202" spans="1:91">
      <c r="A202" s="3568"/>
      <c r="B202" s="2551" t="str">
        <f t="shared" si="3"/>
        <v>3039710025</v>
      </c>
      <c r="C202" s="2492" t="s">
        <v>710</v>
      </c>
      <c r="D202" s="2026">
        <v>3971</v>
      </c>
      <c r="E202" s="2026">
        <v>25</v>
      </c>
      <c r="F202" s="2027">
        <v>2698</v>
      </c>
      <c r="G202" s="2497" t="s">
        <v>1566</v>
      </c>
      <c r="H202" s="2026" t="s">
        <v>1560</v>
      </c>
      <c r="I202" s="2028">
        <v>2</v>
      </c>
      <c r="J202" s="2500">
        <v>1655</v>
      </c>
      <c r="K202" s="2500">
        <v>0</v>
      </c>
      <c r="L202" s="2500">
        <v>0</v>
      </c>
      <c r="M202" s="2500">
        <v>2655</v>
      </c>
      <c r="N202" s="2029">
        <v>2</v>
      </c>
      <c r="O202" s="2502" t="s">
        <v>1670</v>
      </c>
      <c r="P202" s="3661"/>
      <c r="Q202" s="3662"/>
      <c r="R202" s="3662"/>
      <c r="S202" s="3662"/>
      <c r="T202" s="3662"/>
      <c r="U202" s="3662"/>
      <c r="V202" s="3662"/>
      <c r="W202" s="3662"/>
      <c r="X202" s="3662"/>
      <c r="Y202" s="3662"/>
      <c r="Z202" s="3662"/>
      <c r="AA202" s="3662"/>
      <c r="AB202" s="3663"/>
      <c r="AC202" s="3662"/>
      <c r="AD202" s="3662"/>
      <c r="AE202" s="3662"/>
      <c r="AF202" s="3662"/>
      <c r="AG202" s="3662"/>
      <c r="AH202" s="3662"/>
      <c r="AI202" s="3662"/>
      <c r="AJ202" s="3662"/>
      <c r="AK202" s="3662"/>
      <c r="AL202" s="3315"/>
      <c r="AM202" s="3525"/>
      <c r="AN202" s="3469"/>
      <c r="AO202" s="3526"/>
      <c r="AP202" s="3527"/>
      <c r="AQ202" s="3527"/>
      <c r="AR202" s="3527"/>
      <c r="AS202" s="3527"/>
      <c r="AT202" s="3527"/>
      <c r="AU202" s="3527"/>
      <c r="AV202" s="3527"/>
      <c r="AW202" s="3527"/>
      <c r="AX202" s="3527"/>
      <c r="AY202" s="3527"/>
      <c r="AZ202" s="3527"/>
      <c r="BA202" s="3527"/>
      <c r="BB202" s="3527"/>
      <c r="BC202" s="3527"/>
      <c r="BD202" s="3527"/>
      <c r="BE202" s="3527"/>
      <c r="BF202" s="3527"/>
      <c r="BG202" s="3527"/>
      <c r="BH202" s="3527"/>
      <c r="BI202" s="3527"/>
      <c r="BJ202" s="3527"/>
      <c r="BK202" s="3527"/>
      <c r="BL202" s="3527"/>
      <c r="BM202" s="3527"/>
      <c r="BN202" s="3535"/>
      <c r="BO202" s="3534"/>
      <c r="BP202" s="3465"/>
      <c r="BQ202" s="3465"/>
      <c r="BR202" s="3465"/>
      <c r="BS202" s="3465"/>
      <c r="BT202" s="3465"/>
      <c r="BU202" s="3465"/>
      <c r="BV202" s="3465"/>
      <c r="BW202" s="3465"/>
      <c r="BX202" s="3465"/>
      <c r="BY202" s="3465"/>
      <c r="BZ202" s="3465"/>
      <c r="CA202" s="3533"/>
      <c r="CB202" s="3534"/>
      <c r="CC202" s="3465"/>
      <c r="CD202" s="3465"/>
      <c r="CE202" s="3465"/>
      <c r="CF202" s="3465"/>
      <c r="CG202" s="3465"/>
      <c r="CH202" s="3533"/>
      <c r="CI202" s="3533"/>
      <c r="CJ202" s="3533"/>
      <c r="CK202" s="3533"/>
      <c r="CL202" s="3533"/>
      <c r="CM202" s="3533"/>
    </row>
    <row r="203" spans="1:91" ht="15.75" thickBot="1">
      <c r="A203" s="3556"/>
      <c r="B203" s="2551" t="str">
        <f t="shared" si="3"/>
        <v>3039710026</v>
      </c>
      <c r="C203" s="2493" t="s">
        <v>721</v>
      </c>
      <c r="D203" s="2018">
        <v>3971</v>
      </c>
      <c r="E203" s="2018">
        <v>26</v>
      </c>
      <c r="F203" s="2019">
        <v>3656</v>
      </c>
      <c r="G203" s="2498" t="s">
        <v>1566</v>
      </c>
      <c r="H203" s="2018" t="s">
        <v>1560</v>
      </c>
      <c r="I203" s="2020">
        <v>2</v>
      </c>
      <c r="J203" s="2501">
        <v>2660</v>
      </c>
      <c r="K203" s="2501">
        <v>0</v>
      </c>
      <c r="L203" s="2501">
        <v>0</v>
      </c>
      <c r="M203" s="2501">
        <v>4420</v>
      </c>
      <c r="N203" s="2508">
        <v>1</v>
      </c>
      <c r="O203" s="2503" t="s">
        <v>1670</v>
      </c>
      <c r="P203" s="3657"/>
      <c r="Q203" s="3658"/>
      <c r="R203" s="3658"/>
      <c r="S203" s="3658"/>
      <c r="T203" s="3658"/>
      <c r="U203" s="3658"/>
      <c r="V203" s="3658"/>
      <c r="W203" s="3658"/>
      <c r="X203" s="3658"/>
      <c r="Y203" s="3658"/>
      <c r="Z203" s="3658"/>
      <c r="AA203" s="3658"/>
      <c r="AB203" s="3660"/>
      <c r="AC203" s="3658"/>
      <c r="AD203" s="3658"/>
      <c r="AE203" s="3658"/>
      <c r="AF203" s="3658"/>
      <c r="AG203" s="3658"/>
      <c r="AH203" s="3658"/>
      <c r="AI203" s="3658"/>
      <c r="AJ203" s="3658"/>
      <c r="AK203" s="3658"/>
      <c r="AL203" s="3285"/>
      <c r="AM203" s="3516"/>
      <c r="AN203" s="3470"/>
      <c r="AO203" s="3718"/>
      <c r="AP203" s="3719"/>
      <c r="AQ203" s="3719"/>
      <c r="AR203" s="3719"/>
      <c r="AS203" s="3719"/>
      <c r="AT203" s="3719"/>
      <c r="AU203" s="3719"/>
      <c r="AV203" s="3719"/>
      <c r="AW203" s="3719"/>
      <c r="AX203" s="3719"/>
      <c r="AY203" s="3719"/>
      <c r="AZ203" s="3719"/>
      <c r="BA203" s="3719"/>
      <c r="BB203" s="3719"/>
      <c r="BC203" s="3719"/>
      <c r="BD203" s="3719"/>
      <c r="BE203" s="3719"/>
      <c r="BF203" s="3719"/>
      <c r="BG203" s="3719"/>
      <c r="BH203" s="3719"/>
      <c r="BI203" s="3719"/>
      <c r="BJ203" s="3719"/>
      <c r="BK203" s="3719"/>
      <c r="BL203" s="3719"/>
      <c r="BM203" s="3719"/>
      <c r="BN203" s="3518"/>
      <c r="BO203" s="3520"/>
      <c r="BP203" s="3466"/>
      <c r="BQ203" s="3466"/>
      <c r="BR203" s="3466"/>
      <c r="BS203" s="3466"/>
      <c r="BT203" s="3466"/>
      <c r="BU203" s="3466"/>
      <c r="BV203" s="3466"/>
      <c r="BW203" s="3466"/>
      <c r="BX203" s="3466"/>
      <c r="BY203" s="3466"/>
      <c r="BZ203" s="3466"/>
      <c r="CA203" s="3477"/>
      <c r="CB203" s="3520"/>
      <c r="CC203" s="3466"/>
      <c r="CD203" s="3466"/>
      <c r="CE203" s="3466"/>
      <c r="CF203" s="3466"/>
      <c r="CG203" s="3466"/>
      <c r="CH203" s="3477"/>
      <c r="CI203" s="3477"/>
      <c r="CJ203" s="3477"/>
      <c r="CK203" s="3477"/>
      <c r="CL203" s="3477"/>
      <c r="CM203" s="3477"/>
    </row>
    <row r="204" spans="1:91">
      <c r="A204" s="3567" t="s">
        <v>1810</v>
      </c>
      <c r="B204" s="2551" t="str">
        <f t="shared" si="3"/>
        <v>3039730057</v>
      </c>
      <c r="C204" s="2010" t="s">
        <v>703</v>
      </c>
      <c r="D204" s="2011">
        <v>3973</v>
      </c>
      <c r="E204" s="2011">
        <v>57</v>
      </c>
      <c r="F204" s="2494">
        <v>2500</v>
      </c>
      <c r="G204" s="2496" t="s">
        <v>1079</v>
      </c>
      <c r="H204" s="2011" t="s">
        <v>1560</v>
      </c>
      <c r="I204" s="2012">
        <v>1.25</v>
      </c>
      <c r="J204" s="2491">
        <v>1020</v>
      </c>
      <c r="K204" s="2491">
        <v>0</v>
      </c>
      <c r="L204" s="2491">
        <v>0</v>
      </c>
      <c r="M204" s="2491">
        <v>3000</v>
      </c>
      <c r="N204" s="2489">
        <v>0</v>
      </c>
      <c r="O204" s="2490" t="s">
        <v>1699</v>
      </c>
      <c r="P204" s="3284">
        <v>1980</v>
      </c>
      <c r="Q204" s="3286">
        <v>1020</v>
      </c>
      <c r="R204" s="3286">
        <v>0</v>
      </c>
      <c r="S204" s="3286">
        <v>0</v>
      </c>
      <c r="T204" s="3286">
        <v>1375</v>
      </c>
      <c r="U204" s="3286">
        <v>0</v>
      </c>
      <c r="V204" s="3286">
        <v>0</v>
      </c>
      <c r="W204" s="3286">
        <v>0</v>
      </c>
      <c r="X204" s="3286">
        <v>0</v>
      </c>
      <c r="Y204" s="3286">
        <v>0</v>
      </c>
      <c r="Z204" s="3286">
        <v>0</v>
      </c>
      <c r="AA204" s="3286">
        <v>0</v>
      </c>
      <c r="AB204" s="3659">
        <v>4375</v>
      </c>
      <c r="AC204" s="3286">
        <v>1</v>
      </c>
      <c r="AD204" s="3286">
        <v>1</v>
      </c>
      <c r="AE204" s="3286">
        <v>0</v>
      </c>
      <c r="AF204" s="3286">
        <v>0</v>
      </c>
      <c r="AG204" s="3286">
        <v>0</v>
      </c>
      <c r="AH204" s="3286">
        <v>0</v>
      </c>
      <c r="AI204" s="3286">
        <v>0</v>
      </c>
      <c r="AJ204" s="3286">
        <v>0</v>
      </c>
      <c r="AK204" s="3286">
        <v>1</v>
      </c>
      <c r="AL204" s="3284">
        <v>35</v>
      </c>
      <c r="AM204" s="3515" t="s">
        <v>1585</v>
      </c>
      <c r="AN204" s="3512" t="s">
        <v>706</v>
      </c>
      <c r="AO204" s="3407" t="s">
        <v>1599</v>
      </c>
      <c r="AP204" s="3511">
        <v>21150</v>
      </c>
      <c r="AQ204" s="3511">
        <v>5850</v>
      </c>
      <c r="AR204" s="3511">
        <v>0</v>
      </c>
      <c r="AS204" s="3511">
        <v>0</v>
      </c>
      <c r="AT204" s="3511">
        <v>0</v>
      </c>
      <c r="AU204" s="3511">
        <v>0</v>
      </c>
      <c r="AV204" s="3511">
        <v>0</v>
      </c>
      <c r="AW204" s="3511">
        <v>0</v>
      </c>
      <c r="AX204" s="3511">
        <v>0</v>
      </c>
      <c r="AY204" s="3511">
        <v>0</v>
      </c>
      <c r="AZ204" s="3511">
        <v>0</v>
      </c>
      <c r="BA204" s="3511">
        <v>0</v>
      </c>
      <c r="BB204" s="3511">
        <v>27000</v>
      </c>
      <c r="BC204" s="3511">
        <v>21</v>
      </c>
      <c r="BD204" s="3511">
        <v>10.574999999999999</v>
      </c>
      <c r="BE204" s="3511">
        <v>5</v>
      </c>
      <c r="BF204" s="3511">
        <v>0</v>
      </c>
      <c r="BG204" s="3511">
        <v>6</v>
      </c>
      <c r="BH204" s="3511">
        <v>0</v>
      </c>
      <c r="BI204" s="3511">
        <v>0</v>
      </c>
      <c r="BJ204" s="3511">
        <v>0</v>
      </c>
      <c r="BK204" s="3511">
        <v>0</v>
      </c>
      <c r="BL204" s="3511">
        <v>0</v>
      </c>
      <c r="BM204" s="3511">
        <v>11</v>
      </c>
      <c r="BN204" s="3517">
        <v>85</v>
      </c>
      <c r="BO204" s="3519">
        <v>19170</v>
      </c>
      <c r="BP204" s="3464">
        <v>4830</v>
      </c>
      <c r="BQ204" s="3464">
        <v>0</v>
      </c>
      <c r="BR204" s="3464">
        <v>0</v>
      </c>
      <c r="BS204" s="3464">
        <v>0</v>
      </c>
      <c r="BT204" s="3464">
        <v>-1375</v>
      </c>
      <c r="BU204" s="3464">
        <v>0</v>
      </c>
      <c r="BV204" s="3464">
        <v>0</v>
      </c>
      <c r="BW204" s="3464">
        <v>0</v>
      </c>
      <c r="BX204" s="3464">
        <v>0</v>
      </c>
      <c r="BY204" s="3464">
        <v>0</v>
      </c>
      <c r="BZ204" s="3464">
        <v>0</v>
      </c>
      <c r="CA204" s="3524">
        <v>0</v>
      </c>
      <c r="CB204" s="3519">
        <v>22625</v>
      </c>
      <c r="CC204" s="3464">
        <v>3455</v>
      </c>
      <c r="CD204" s="3464">
        <v>20</v>
      </c>
      <c r="CE204" s="3464">
        <v>10.574999999999999</v>
      </c>
      <c r="CF204" s="3464">
        <v>4</v>
      </c>
      <c r="CG204" s="3464">
        <v>0</v>
      </c>
      <c r="CH204" s="3524">
        <v>6</v>
      </c>
      <c r="CI204" s="3524">
        <v>0</v>
      </c>
      <c r="CJ204" s="3524">
        <v>0</v>
      </c>
      <c r="CK204" s="3524">
        <v>0</v>
      </c>
      <c r="CL204" s="3524">
        <v>0</v>
      </c>
      <c r="CM204" s="3524">
        <v>0</v>
      </c>
    </row>
    <row r="205" spans="1:91" ht="15.75" thickBot="1">
      <c r="A205" s="3556"/>
      <c r="B205" s="2551" t="str">
        <f t="shared" si="3"/>
        <v>3039730058</v>
      </c>
      <c r="C205" s="2493" t="s">
        <v>710</v>
      </c>
      <c r="D205" s="2018">
        <v>3973</v>
      </c>
      <c r="E205" s="2018">
        <v>58</v>
      </c>
      <c r="F205" s="2019">
        <v>5000</v>
      </c>
      <c r="G205" s="2498" t="s">
        <v>1079</v>
      </c>
      <c r="H205" s="2018" t="s">
        <v>1560</v>
      </c>
      <c r="I205" s="2020">
        <v>1.25</v>
      </c>
      <c r="J205" s="2501">
        <v>0</v>
      </c>
      <c r="K205" s="2501">
        <v>1375</v>
      </c>
      <c r="L205" s="2501">
        <v>0</v>
      </c>
      <c r="M205" s="2501">
        <v>1375</v>
      </c>
      <c r="N205" s="2508">
        <v>0</v>
      </c>
      <c r="O205" s="2503" t="s">
        <v>1572</v>
      </c>
      <c r="P205" s="3657"/>
      <c r="Q205" s="3658"/>
      <c r="R205" s="3658"/>
      <c r="S205" s="3658"/>
      <c r="T205" s="3658"/>
      <c r="U205" s="3658"/>
      <c r="V205" s="3658"/>
      <c r="W205" s="3658"/>
      <c r="X205" s="3658"/>
      <c r="Y205" s="3658"/>
      <c r="Z205" s="3658"/>
      <c r="AA205" s="3658"/>
      <c r="AB205" s="3660"/>
      <c r="AC205" s="3658"/>
      <c r="AD205" s="3658"/>
      <c r="AE205" s="3658"/>
      <c r="AF205" s="3658"/>
      <c r="AG205" s="3658"/>
      <c r="AH205" s="3658"/>
      <c r="AI205" s="3658"/>
      <c r="AJ205" s="3658"/>
      <c r="AK205" s="3658"/>
      <c r="AL205" s="3285"/>
      <c r="AM205" s="3516"/>
      <c r="AN205" s="3470"/>
      <c r="AO205" s="3718"/>
      <c r="AP205" s="3719"/>
      <c r="AQ205" s="3719"/>
      <c r="AR205" s="3719"/>
      <c r="AS205" s="3719"/>
      <c r="AT205" s="3719"/>
      <c r="AU205" s="3719"/>
      <c r="AV205" s="3719"/>
      <c r="AW205" s="3719"/>
      <c r="AX205" s="3719"/>
      <c r="AY205" s="3719"/>
      <c r="AZ205" s="3719"/>
      <c r="BA205" s="3719"/>
      <c r="BB205" s="3719"/>
      <c r="BC205" s="3719"/>
      <c r="BD205" s="3719"/>
      <c r="BE205" s="3719"/>
      <c r="BF205" s="3719"/>
      <c r="BG205" s="3719"/>
      <c r="BH205" s="3719"/>
      <c r="BI205" s="3719"/>
      <c r="BJ205" s="3719"/>
      <c r="BK205" s="3719"/>
      <c r="BL205" s="3719"/>
      <c r="BM205" s="3719"/>
      <c r="BN205" s="3518"/>
      <c r="BO205" s="3520"/>
      <c r="BP205" s="3466"/>
      <c r="BQ205" s="3466"/>
      <c r="BR205" s="3466"/>
      <c r="BS205" s="3466"/>
      <c r="BT205" s="3466"/>
      <c r="BU205" s="3466"/>
      <c r="BV205" s="3466"/>
      <c r="BW205" s="3466"/>
      <c r="BX205" s="3466"/>
      <c r="BY205" s="3466"/>
      <c r="BZ205" s="3466"/>
      <c r="CA205" s="3477"/>
      <c r="CB205" s="3520"/>
      <c r="CC205" s="3466"/>
      <c r="CD205" s="3466"/>
      <c r="CE205" s="3466"/>
      <c r="CF205" s="3466"/>
      <c r="CG205" s="3466"/>
      <c r="CH205" s="3477"/>
      <c r="CI205" s="3477"/>
      <c r="CJ205" s="3477"/>
      <c r="CK205" s="3477"/>
      <c r="CL205" s="3477"/>
      <c r="CM205" s="3477"/>
    </row>
    <row r="206" spans="1:91">
      <c r="A206" s="3567" t="s">
        <v>1811</v>
      </c>
      <c r="B206" s="2551" t="str">
        <f t="shared" si="3"/>
        <v>3039790011</v>
      </c>
      <c r="C206" s="2010" t="s">
        <v>703</v>
      </c>
      <c r="D206" s="2011">
        <v>3979</v>
      </c>
      <c r="E206" s="2011">
        <v>11</v>
      </c>
      <c r="F206" s="2494">
        <v>2500</v>
      </c>
      <c r="G206" s="2496" t="s">
        <v>947</v>
      </c>
      <c r="H206" s="2011" t="s">
        <v>1560</v>
      </c>
      <c r="I206" s="2012">
        <v>1</v>
      </c>
      <c r="J206" s="2491">
        <v>600</v>
      </c>
      <c r="K206" s="2491">
        <v>0</v>
      </c>
      <c r="L206" s="2491">
        <v>0</v>
      </c>
      <c r="M206" s="2491">
        <v>4592</v>
      </c>
      <c r="N206" s="2489">
        <v>0</v>
      </c>
      <c r="O206" s="2490" t="s">
        <v>1699</v>
      </c>
      <c r="P206" s="3284">
        <v>7094</v>
      </c>
      <c r="Q206" s="3286">
        <v>1116</v>
      </c>
      <c r="R206" s="3286">
        <v>0</v>
      </c>
      <c r="S206" s="3286">
        <v>0</v>
      </c>
      <c r="T206" s="3286">
        <v>798</v>
      </c>
      <c r="U206" s="3286">
        <v>0</v>
      </c>
      <c r="V206" s="3286">
        <v>0</v>
      </c>
      <c r="W206" s="3286">
        <v>0</v>
      </c>
      <c r="X206" s="3286">
        <v>0</v>
      </c>
      <c r="Y206" s="3286">
        <v>0</v>
      </c>
      <c r="Z206" s="3286">
        <v>0</v>
      </c>
      <c r="AA206" s="3286">
        <v>0</v>
      </c>
      <c r="AB206" s="3659">
        <v>9008</v>
      </c>
      <c r="AC206" s="3286">
        <v>6</v>
      </c>
      <c r="AD206" s="3286">
        <v>0</v>
      </c>
      <c r="AE206" s="3286">
        <v>0</v>
      </c>
      <c r="AF206" s="3286">
        <v>0</v>
      </c>
      <c r="AG206" s="3286">
        <v>0</v>
      </c>
      <c r="AH206" s="3286">
        <v>0</v>
      </c>
      <c r="AI206" s="3286">
        <v>0</v>
      </c>
      <c r="AJ206" s="3286">
        <v>0</v>
      </c>
      <c r="AK206" s="3286">
        <v>0</v>
      </c>
      <c r="AL206" s="3284">
        <v>35</v>
      </c>
      <c r="AM206" s="3515" t="s">
        <v>1615</v>
      </c>
      <c r="AN206" s="3512" t="s">
        <v>1560</v>
      </c>
      <c r="AO206" s="3407" t="s">
        <v>1616</v>
      </c>
      <c r="AP206" s="3511">
        <v>34200</v>
      </c>
      <c r="AQ206" s="3511">
        <v>0</v>
      </c>
      <c r="AR206" s="3511">
        <v>0</v>
      </c>
      <c r="AS206" s="3511">
        <v>0</v>
      </c>
      <c r="AT206" s="3511">
        <v>0</v>
      </c>
      <c r="AU206" s="3511">
        <v>0</v>
      </c>
      <c r="AV206" s="3511">
        <v>0</v>
      </c>
      <c r="AW206" s="3511">
        <v>0</v>
      </c>
      <c r="AX206" s="3511">
        <v>0</v>
      </c>
      <c r="AY206" s="3511">
        <v>0</v>
      </c>
      <c r="AZ206" s="3511">
        <v>0</v>
      </c>
      <c r="BA206" s="3511">
        <v>0</v>
      </c>
      <c r="BB206" s="3511">
        <v>34200</v>
      </c>
      <c r="BC206" s="3511">
        <v>34</v>
      </c>
      <c r="BD206" s="3511">
        <v>17.100000000000001</v>
      </c>
      <c r="BE206" s="3511">
        <v>0</v>
      </c>
      <c r="BF206" s="3511">
        <v>0</v>
      </c>
      <c r="BG206" s="3511">
        <v>0</v>
      </c>
      <c r="BH206" s="3511">
        <v>0</v>
      </c>
      <c r="BI206" s="3511">
        <v>0</v>
      </c>
      <c r="BJ206" s="3511">
        <v>0</v>
      </c>
      <c r="BK206" s="3511">
        <v>0</v>
      </c>
      <c r="BL206" s="3511">
        <v>0</v>
      </c>
      <c r="BM206" s="3511">
        <v>0</v>
      </c>
      <c r="BN206" s="3517">
        <v>85</v>
      </c>
      <c r="BO206" s="3519">
        <v>27106</v>
      </c>
      <c r="BP206" s="3464">
        <v>-1116</v>
      </c>
      <c r="BQ206" s="3464">
        <v>0</v>
      </c>
      <c r="BR206" s="3464">
        <v>0</v>
      </c>
      <c r="BS206" s="3464">
        <v>0</v>
      </c>
      <c r="BT206" s="3464">
        <v>-798</v>
      </c>
      <c r="BU206" s="3464">
        <v>0</v>
      </c>
      <c r="BV206" s="3464">
        <v>0</v>
      </c>
      <c r="BW206" s="3464">
        <v>0</v>
      </c>
      <c r="BX206" s="3464">
        <v>0</v>
      </c>
      <c r="BY206" s="3464">
        <v>0</v>
      </c>
      <c r="BZ206" s="3464">
        <v>0</v>
      </c>
      <c r="CA206" s="3524">
        <v>0</v>
      </c>
      <c r="CB206" s="3519">
        <v>25192</v>
      </c>
      <c r="CC206" s="3464">
        <v>-1914</v>
      </c>
      <c r="CD206" s="3464">
        <v>28</v>
      </c>
      <c r="CE206" s="3464">
        <v>17.100000000000001</v>
      </c>
      <c r="CF206" s="3464">
        <v>0</v>
      </c>
      <c r="CG206" s="3464">
        <v>0</v>
      </c>
      <c r="CH206" s="3524">
        <v>0</v>
      </c>
      <c r="CI206" s="3524">
        <v>0</v>
      </c>
      <c r="CJ206" s="3524">
        <v>0</v>
      </c>
      <c r="CK206" s="3524">
        <v>0</v>
      </c>
      <c r="CL206" s="3524">
        <v>0</v>
      </c>
      <c r="CM206" s="3524">
        <v>0</v>
      </c>
    </row>
    <row r="207" spans="1:91">
      <c r="A207" s="3568"/>
      <c r="B207" s="2551" t="str">
        <f t="shared" si="3"/>
        <v>3039790012</v>
      </c>
      <c r="C207" s="2492" t="s">
        <v>710</v>
      </c>
      <c r="D207" s="2114">
        <v>3979</v>
      </c>
      <c r="E207" s="2114">
        <v>12</v>
      </c>
      <c r="F207" s="2481">
        <v>2500</v>
      </c>
      <c r="G207" s="2446" t="s">
        <v>947</v>
      </c>
      <c r="H207" s="2114" t="s">
        <v>1560</v>
      </c>
      <c r="I207" s="2464">
        <v>2.4</v>
      </c>
      <c r="J207" s="2483">
        <v>0</v>
      </c>
      <c r="K207" s="2483">
        <v>0</v>
      </c>
      <c r="L207" s="2483">
        <v>0</v>
      </c>
      <c r="M207" s="2483">
        <v>0</v>
      </c>
      <c r="N207" s="2442">
        <v>2</v>
      </c>
      <c r="O207" s="2452" t="s">
        <v>720</v>
      </c>
      <c r="P207" s="3661"/>
      <c r="Q207" s="3662"/>
      <c r="R207" s="3662"/>
      <c r="S207" s="3662"/>
      <c r="T207" s="3662"/>
      <c r="U207" s="3662"/>
      <c r="V207" s="3662"/>
      <c r="W207" s="3662"/>
      <c r="X207" s="3662"/>
      <c r="Y207" s="3662"/>
      <c r="Z207" s="3662"/>
      <c r="AA207" s="3662"/>
      <c r="AB207" s="3663"/>
      <c r="AC207" s="3662"/>
      <c r="AD207" s="3662"/>
      <c r="AE207" s="3662"/>
      <c r="AF207" s="3662"/>
      <c r="AG207" s="3662"/>
      <c r="AH207" s="3662"/>
      <c r="AI207" s="3662"/>
      <c r="AJ207" s="3662"/>
      <c r="AK207" s="3662"/>
      <c r="AL207" s="3315"/>
      <c r="AM207" s="3525"/>
      <c r="AN207" s="3469"/>
      <c r="AO207" s="3526"/>
      <c r="AP207" s="3527"/>
      <c r="AQ207" s="3527"/>
      <c r="AR207" s="3527"/>
      <c r="AS207" s="3527"/>
      <c r="AT207" s="3527"/>
      <c r="AU207" s="3527"/>
      <c r="AV207" s="3527"/>
      <c r="AW207" s="3527"/>
      <c r="AX207" s="3527"/>
      <c r="AY207" s="3527"/>
      <c r="AZ207" s="3527"/>
      <c r="BA207" s="3527"/>
      <c r="BB207" s="3527"/>
      <c r="BC207" s="3527"/>
      <c r="BD207" s="3527"/>
      <c r="BE207" s="3527"/>
      <c r="BF207" s="3527"/>
      <c r="BG207" s="3527"/>
      <c r="BH207" s="3527"/>
      <c r="BI207" s="3527"/>
      <c r="BJ207" s="3527"/>
      <c r="BK207" s="3527"/>
      <c r="BL207" s="3527"/>
      <c r="BM207" s="3527"/>
      <c r="BN207" s="3535"/>
      <c r="BO207" s="3534"/>
      <c r="BP207" s="3465"/>
      <c r="BQ207" s="3465"/>
      <c r="BR207" s="3465"/>
      <c r="BS207" s="3465"/>
      <c r="BT207" s="3465"/>
      <c r="BU207" s="3465"/>
      <c r="BV207" s="3465"/>
      <c r="BW207" s="3465"/>
      <c r="BX207" s="3465"/>
      <c r="BY207" s="3465"/>
      <c r="BZ207" s="3465"/>
      <c r="CA207" s="3533"/>
      <c r="CB207" s="3534"/>
      <c r="CC207" s="3465"/>
      <c r="CD207" s="3465"/>
      <c r="CE207" s="3465"/>
      <c r="CF207" s="3465"/>
      <c r="CG207" s="3465"/>
      <c r="CH207" s="3533"/>
      <c r="CI207" s="3533"/>
      <c r="CJ207" s="3533"/>
      <c r="CK207" s="3533"/>
      <c r="CL207" s="3533"/>
      <c r="CM207" s="3533"/>
    </row>
    <row r="208" spans="1:91" ht="15.75" thickBot="1">
      <c r="A208" s="3556"/>
      <c r="B208" s="2551" t="str">
        <f t="shared" si="3"/>
        <v>3039790013</v>
      </c>
      <c r="C208" s="2493" t="s">
        <v>721</v>
      </c>
      <c r="D208" s="2018">
        <v>3979</v>
      </c>
      <c r="E208" s="2018">
        <v>13</v>
      </c>
      <c r="F208" s="2019">
        <v>4500</v>
      </c>
      <c r="G208" s="2498" t="s">
        <v>947</v>
      </c>
      <c r="H208" s="2018" t="s">
        <v>1560</v>
      </c>
      <c r="I208" s="2020">
        <v>1</v>
      </c>
      <c r="J208" s="2501">
        <v>516</v>
      </c>
      <c r="K208" s="2501">
        <v>798</v>
      </c>
      <c r="L208" s="2501">
        <v>0</v>
      </c>
      <c r="M208" s="2501">
        <v>4416</v>
      </c>
      <c r="N208" s="2508">
        <v>0</v>
      </c>
      <c r="O208" s="2503" t="s">
        <v>1812</v>
      </c>
      <c r="P208" s="3657"/>
      <c r="Q208" s="3658"/>
      <c r="R208" s="3658"/>
      <c r="S208" s="3658"/>
      <c r="T208" s="3658"/>
      <c r="U208" s="3658"/>
      <c r="V208" s="3658"/>
      <c r="W208" s="3658"/>
      <c r="X208" s="3658"/>
      <c r="Y208" s="3658"/>
      <c r="Z208" s="3658"/>
      <c r="AA208" s="3658"/>
      <c r="AB208" s="3660"/>
      <c r="AC208" s="3658"/>
      <c r="AD208" s="3658"/>
      <c r="AE208" s="3658"/>
      <c r="AF208" s="3658"/>
      <c r="AG208" s="3658"/>
      <c r="AH208" s="3658"/>
      <c r="AI208" s="3658"/>
      <c r="AJ208" s="3658"/>
      <c r="AK208" s="3658"/>
      <c r="AL208" s="3285"/>
      <c r="AM208" s="3516"/>
      <c r="AN208" s="3470"/>
      <c r="AO208" s="3718"/>
      <c r="AP208" s="3719"/>
      <c r="AQ208" s="3719"/>
      <c r="AR208" s="3719"/>
      <c r="AS208" s="3719"/>
      <c r="AT208" s="3719"/>
      <c r="AU208" s="3719"/>
      <c r="AV208" s="3719"/>
      <c r="AW208" s="3719"/>
      <c r="AX208" s="3719"/>
      <c r="AY208" s="3719"/>
      <c r="AZ208" s="3719"/>
      <c r="BA208" s="3719"/>
      <c r="BB208" s="3719"/>
      <c r="BC208" s="3719"/>
      <c r="BD208" s="3719"/>
      <c r="BE208" s="3719"/>
      <c r="BF208" s="3719"/>
      <c r="BG208" s="3719"/>
      <c r="BH208" s="3719"/>
      <c r="BI208" s="3719"/>
      <c r="BJ208" s="3719"/>
      <c r="BK208" s="3719"/>
      <c r="BL208" s="3719"/>
      <c r="BM208" s="3719"/>
      <c r="BN208" s="3518"/>
      <c r="BO208" s="3520"/>
      <c r="BP208" s="3466"/>
      <c r="BQ208" s="3466"/>
      <c r="BR208" s="3466"/>
      <c r="BS208" s="3466"/>
      <c r="BT208" s="3466"/>
      <c r="BU208" s="3466"/>
      <c r="BV208" s="3466"/>
      <c r="BW208" s="3466"/>
      <c r="BX208" s="3466"/>
      <c r="BY208" s="3466"/>
      <c r="BZ208" s="3466"/>
      <c r="CA208" s="3477"/>
      <c r="CB208" s="3520"/>
      <c r="CC208" s="3466"/>
      <c r="CD208" s="3466"/>
      <c r="CE208" s="3466"/>
      <c r="CF208" s="3466"/>
      <c r="CG208" s="3466"/>
      <c r="CH208" s="3477"/>
      <c r="CI208" s="3477"/>
      <c r="CJ208" s="3477"/>
      <c r="CK208" s="3477"/>
      <c r="CL208" s="3477"/>
      <c r="CM208" s="3477"/>
    </row>
    <row r="209" spans="1:91" ht="15.75" thickBot="1">
      <c r="A209" s="2477" t="s">
        <v>1813</v>
      </c>
      <c r="B209" s="2551" t="str">
        <f t="shared" si="3"/>
        <v>3039870017</v>
      </c>
      <c r="C209" s="2488" t="s">
        <v>703</v>
      </c>
      <c r="D209" s="2114">
        <v>3987</v>
      </c>
      <c r="E209" s="2114">
        <v>17</v>
      </c>
      <c r="F209" s="2481">
        <v>7504</v>
      </c>
      <c r="G209" s="2446" t="s">
        <v>1079</v>
      </c>
      <c r="H209" s="2114" t="s">
        <v>1584</v>
      </c>
      <c r="I209" s="2464">
        <v>1.25</v>
      </c>
      <c r="J209" s="2483">
        <v>0</v>
      </c>
      <c r="K209" s="2483">
        <v>5010</v>
      </c>
      <c r="L209" s="2483">
        <v>0</v>
      </c>
      <c r="M209" s="2483">
        <v>6900</v>
      </c>
      <c r="N209" s="2442">
        <v>0</v>
      </c>
      <c r="O209" s="2452" t="s">
        <v>1814</v>
      </c>
      <c r="P209" s="2484">
        <v>1890</v>
      </c>
      <c r="Q209" s="2483">
        <v>0</v>
      </c>
      <c r="R209" s="2483">
        <v>0</v>
      </c>
      <c r="S209" s="2483">
        <v>0</v>
      </c>
      <c r="T209" s="2483">
        <v>0</v>
      </c>
      <c r="U209" s="2483">
        <v>0</v>
      </c>
      <c r="V209" s="2483">
        <v>0</v>
      </c>
      <c r="W209" s="2483">
        <v>5010</v>
      </c>
      <c r="X209" s="2483">
        <v>0</v>
      </c>
      <c r="Y209" s="2483">
        <v>0</v>
      </c>
      <c r="Z209" s="2483">
        <v>0</v>
      </c>
      <c r="AA209" s="2483">
        <v>0</v>
      </c>
      <c r="AB209" s="2521">
        <v>6900</v>
      </c>
      <c r="AC209" s="2483">
        <v>1</v>
      </c>
      <c r="AD209" s="2483">
        <v>1</v>
      </c>
      <c r="AE209" s="2483">
        <v>0</v>
      </c>
      <c r="AF209" s="2483">
        <v>0</v>
      </c>
      <c r="AG209" s="2483">
        <v>0</v>
      </c>
      <c r="AH209" s="2483">
        <v>0</v>
      </c>
      <c r="AI209" s="2483">
        <v>0</v>
      </c>
      <c r="AJ209" s="2483">
        <v>0</v>
      </c>
      <c r="AK209" s="2483">
        <v>1</v>
      </c>
      <c r="AL209" s="2484">
        <v>35</v>
      </c>
      <c r="AM209" s="2517" t="s">
        <v>1585</v>
      </c>
      <c r="AN209" s="2518" t="s">
        <v>706</v>
      </c>
      <c r="AO209" s="2456" t="s">
        <v>1599</v>
      </c>
      <c r="AP209" s="2193">
        <v>20260</v>
      </c>
      <c r="AQ209" s="2193">
        <v>6753.6</v>
      </c>
      <c r="AR209" s="2193">
        <v>0</v>
      </c>
      <c r="AS209" s="2193">
        <v>0</v>
      </c>
      <c r="AT209" s="2193">
        <v>0</v>
      </c>
      <c r="AU209" s="2193">
        <v>0</v>
      </c>
      <c r="AV209" s="2193">
        <v>0</v>
      </c>
      <c r="AW209" s="2193">
        <v>0</v>
      </c>
      <c r="AX209" s="2193">
        <v>0</v>
      </c>
      <c r="AY209" s="2193">
        <v>0</v>
      </c>
      <c r="AZ209" s="2193">
        <v>0</v>
      </c>
      <c r="BA209" s="2193">
        <v>0</v>
      </c>
      <c r="BB209" s="2193">
        <v>27013.599999999999</v>
      </c>
      <c r="BC209" s="2193">
        <v>20</v>
      </c>
      <c r="BD209" s="2193">
        <v>10.130000000000001</v>
      </c>
      <c r="BE209" s="2193">
        <v>5</v>
      </c>
      <c r="BF209" s="2193">
        <v>0</v>
      </c>
      <c r="BG209" s="2193">
        <v>7</v>
      </c>
      <c r="BH209" s="2193">
        <v>0</v>
      </c>
      <c r="BI209" s="2193">
        <v>0</v>
      </c>
      <c r="BJ209" s="2193">
        <v>0</v>
      </c>
      <c r="BK209" s="2193">
        <v>0</v>
      </c>
      <c r="BL209" s="2193">
        <v>0</v>
      </c>
      <c r="BM209" s="2193">
        <v>12</v>
      </c>
      <c r="BN209" s="2194">
        <v>85</v>
      </c>
      <c r="BO209" s="2512">
        <v>18370</v>
      </c>
      <c r="BP209" s="2515">
        <v>6753.6</v>
      </c>
      <c r="BQ209" s="2515">
        <v>0</v>
      </c>
      <c r="BR209" s="2515">
        <v>0</v>
      </c>
      <c r="BS209" s="2515">
        <v>0</v>
      </c>
      <c r="BT209" s="2515">
        <v>0</v>
      </c>
      <c r="BU209" s="2515">
        <v>0</v>
      </c>
      <c r="BV209" s="2515">
        <v>0</v>
      </c>
      <c r="BW209" s="2515">
        <v>-5010</v>
      </c>
      <c r="BX209" s="2515">
        <v>0</v>
      </c>
      <c r="BY209" s="2515">
        <v>0</v>
      </c>
      <c r="BZ209" s="2515">
        <v>0</v>
      </c>
      <c r="CA209" s="2511">
        <v>0</v>
      </c>
      <c r="CB209" s="2512">
        <v>20113.599999999999</v>
      </c>
      <c r="CC209" s="2515">
        <v>1743.6000000000004</v>
      </c>
      <c r="CD209" s="2515">
        <v>19</v>
      </c>
      <c r="CE209" s="2515">
        <v>10.130000000000001</v>
      </c>
      <c r="CF209" s="2515">
        <v>4</v>
      </c>
      <c r="CG209" s="2515">
        <v>0</v>
      </c>
      <c r="CH209" s="2515">
        <v>7</v>
      </c>
      <c r="CI209" s="2515">
        <v>0</v>
      </c>
      <c r="CJ209" s="2515">
        <v>0</v>
      </c>
      <c r="CK209" s="2515">
        <v>0</v>
      </c>
      <c r="CL209" s="2515">
        <v>0</v>
      </c>
      <c r="CM209" s="2515">
        <v>0</v>
      </c>
    </row>
    <row r="210" spans="1:91">
      <c r="A210" s="3567" t="s">
        <v>1815</v>
      </c>
      <c r="B210" s="2551" t="str">
        <f t="shared" si="3"/>
        <v>3040050019</v>
      </c>
      <c r="C210" s="2010" t="s">
        <v>703</v>
      </c>
      <c r="D210" s="2011">
        <v>4005</v>
      </c>
      <c r="E210" s="2011">
        <v>19</v>
      </c>
      <c r="F210" s="2494">
        <v>2600</v>
      </c>
      <c r="G210" s="2496" t="s">
        <v>1079</v>
      </c>
      <c r="H210" s="2011" t="s">
        <v>1560</v>
      </c>
      <c r="I210" s="2012">
        <v>1.25</v>
      </c>
      <c r="J210" s="2491">
        <v>0</v>
      </c>
      <c r="K210" s="2491">
        <v>0</v>
      </c>
      <c r="L210" s="2491">
        <v>0</v>
      </c>
      <c r="M210" s="2491">
        <v>0</v>
      </c>
      <c r="N210" s="2489">
        <v>0</v>
      </c>
      <c r="O210" s="2490" t="s">
        <v>1578</v>
      </c>
      <c r="P210" s="3284">
        <v>6250</v>
      </c>
      <c r="Q210" s="3286">
        <v>0</v>
      </c>
      <c r="R210" s="3286">
        <v>0</v>
      </c>
      <c r="S210" s="3286">
        <v>0</v>
      </c>
      <c r="T210" s="3286">
        <v>0</v>
      </c>
      <c r="U210" s="3286">
        <v>0</v>
      </c>
      <c r="V210" s="3286">
        <v>0</v>
      </c>
      <c r="W210" s="3286">
        <v>5000</v>
      </c>
      <c r="X210" s="3286">
        <v>0</v>
      </c>
      <c r="Y210" s="3286">
        <v>0</v>
      </c>
      <c r="Z210" s="3286">
        <v>0</v>
      </c>
      <c r="AA210" s="3286">
        <v>0</v>
      </c>
      <c r="AB210" s="3659">
        <v>11250</v>
      </c>
      <c r="AC210" s="3286">
        <v>6</v>
      </c>
      <c r="AD210" s="3286">
        <v>6</v>
      </c>
      <c r="AE210" s="3286">
        <v>0</v>
      </c>
      <c r="AF210" s="3286">
        <v>0</v>
      </c>
      <c r="AG210" s="3286">
        <v>0</v>
      </c>
      <c r="AH210" s="3286">
        <v>0</v>
      </c>
      <c r="AI210" s="3286">
        <v>0</v>
      </c>
      <c r="AJ210" s="3286">
        <v>0</v>
      </c>
      <c r="AK210" s="3286">
        <v>6</v>
      </c>
      <c r="AL210" s="3284">
        <v>25</v>
      </c>
      <c r="AM210" s="3515" t="s">
        <v>1585</v>
      </c>
      <c r="AN210" s="3512" t="s">
        <v>1560</v>
      </c>
      <c r="AO210" s="3407" t="s">
        <v>1616</v>
      </c>
      <c r="AP210" s="3511">
        <v>36000</v>
      </c>
      <c r="AQ210" s="3511">
        <v>0</v>
      </c>
      <c r="AR210" s="3511">
        <v>0</v>
      </c>
      <c r="AS210" s="3511">
        <v>0</v>
      </c>
      <c r="AT210" s="3511">
        <v>0</v>
      </c>
      <c r="AU210" s="3511">
        <v>0</v>
      </c>
      <c r="AV210" s="3511">
        <v>0</v>
      </c>
      <c r="AW210" s="3511">
        <v>0</v>
      </c>
      <c r="AX210" s="3511">
        <v>0</v>
      </c>
      <c r="AY210" s="3511">
        <v>0</v>
      </c>
      <c r="AZ210" s="3511">
        <v>0</v>
      </c>
      <c r="BA210" s="3511">
        <v>0</v>
      </c>
      <c r="BB210" s="3511">
        <v>36000</v>
      </c>
      <c r="BC210" s="3511">
        <v>36</v>
      </c>
      <c r="BD210" s="3511">
        <v>18</v>
      </c>
      <c r="BE210" s="3511">
        <v>9</v>
      </c>
      <c r="BF210" s="3511">
        <v>0</v>
      </c>
      <c r="BG210" s="3511">
        <v>0</v>
      </c>
      <c r="BH210" s="3511">
        <v>0</v>
      </c>
      <c r="BI210" s="3511">
        <v>0</v>
      </c>
      <c r="BJ210" s="3511">
        <v>0</v>
      </c>
      <c r="BK210" s="3511">
        <v>0</v>
      </c>
      <c r="BL210" s="3511">
        <v>0</v>
      </c>
      <c r="BM210" s="3511">
        <v>9</v>
      </c>
      <c r="BN210" s="3517">
        <v>85</v>
      </c>
      <c r="BO210" s="3519">
        <v>29750</v>
      </c>
      <c r="BP210" s="3464">
        <v>0</v>
      </c>
      <c r="BQ210" s="3464">
        <v>0</v>
      </c>
      <c r="BR210" s="3464">
        <v>0</v>
      </c>
      <c r="BS210" s="3464">
        <v>0</v>
      </c>
      <c r="BT210" s="3464">
        <v>0</v>
      </c>
      <c r="BU210" s="3464">
        <v>0</v>
      </c>
      <c r="BV210" s="3464">
        <v>0</v>
      </c>
      <c r="BW210" s="3464">
        <v>-5000</v>
      </c>
      <c r="BX210" s="3464">
        <v>0</v>
      </c>
      <c r="BY210" s="3464">
        <v>0</v>
      </c>
      <c r="BZ210" s="3464">
        <v>0</v>
      </c>
      <c r="CA210" s="3524">
        <v>0</v>
      </c>
      <c r="CB210" s="3519">
        <v>24750</v>
      </c>
      <c r="CC210" s="3464">
        <v>-5000</v>
      </c>
      <c r="CD210" s="3464">
        <v>30</v>
      </c>
      <c r="CE210" s="3464">
        <v>18</v>
      </c>
      <c r="CF210" s="3464">
        <v>3</v>
      </c>
      <c r="CG210" s="3464">
        <v>0</v>
      </c>
      <c r="CH210" s="3524">
        <v>0</v>
      </c>
      <c r="CI210" s="3524">
        <v>0</v>
      </c>
      <c r="CJ210" s="3524">
        <v>0</v>
      </c>
      <c r="CK210" s="3524">
        <v>0</v>
      </c>
      <c r="CL210" s="3524">
        <v>0</v>
      </c>
      <c r="CM210" s="3524">
        <v>0</v>
      </c>
    </row>
    <row r="211" spans="1:91">
      <c r="A211" s="3568"/>
      <c r="B211" s="2551" t="str">
        <f t="shared" si="3"/>
        <v>3040050020</v>
      </c>
      <c r="C211" s="2492" t="s">
        <v>710</v>
      </c>
      <c r="D211" s="2026">
        <v>4005</v>
      </c>
      <c r="E211" s="2026">
        <v>20</v>
      </c>
      <c r="F211" s="2027">
        <v>2400</v>
      </c>
      <c r="G211" s="2497" t="s">
        <v>1079</v>
      </c>
      <c r="H211" s="2026" t="s">
        <v>1560</v>
      </c>
      <c r="I211" s="2028">
        <v>1.25</v>
      </c>
      <c r="J211" s="2500">
        <v>0</v>
      </c>
      <c r="K211" s="2500">
        <v>0</v>
      </c>
      <c r="L211" s="2500">
        <v>0</v>
      </c>
      <c r="M211" s="2500">
        <v>0</v>
      </c>
      <c r="N211" s="2029">
        <v>2</v>
      </c>
      <c r="O211" s="2502" t="s">
        <v>1578</v>
      </c>
      <c r="P211" s="3661"/>
      <c r="Q211" s="3662"/>
      <c r="R211" s="3662"/>
      <c r="S211" s="3662"/>
      <c r="T211" s="3662"/>
      <c r="U211" s="3662"/>
      <c r="V211" s="3662"/>
      <c r="W211" s="3662"/>
      <c r="X211" s="3662"/>
      <c r="Y211" s="3662"/>
      <c r="Z211" s="3662"/>
      <c r="AA211" s="3662"/>
      <c r="AB211" s="3663"/>
      <c r="AC211" s="3662"/>
      <c r="AD211" s="3662"/>
      <c r="AE211" s="3662"/>
      <c r="AF211" s="3662"/>
      <c r="AG211" s="3662"/>
      <c r="AH211" s="3662"/>
      <c r="AI211" s="3662"/>
      <c r="AJ211" s="3662"/>
      <c r="AK211" s="3662"/>
      <c r="AL211" s="3315"/>
      <c r="AM211" s="3525"/>
      <c r="AN211" s="3469"/>
      <c r="AO211" s="3526"/>
      <c r="AP211" s="3527"/>
      <c r="AQ211" s="3527"/>
      <c r="AR211" s="3527"/>
      <c r="AS211" s="3527"/>
      <c r="AT211" s="3527"/>
      <c r="AU211" s="3527"/>
      <c r="AV211" s="3527"/>
      <c r="AW211" s="3527"/>
      <c r="AX211" s="3527"/>
      <c r="AY211" s="3527"/>
      <c r="AZ211" s="3527"/>
      <c r="BA211" s="3527"/>
      <c r="BB211" s="3527"/>
      <c r="BC211" s="3527"/>
      <c r="BD211" s="3527"/>
      <c r="BE211" s="3527"/>
      <c r="BF211" s="3527"/>
      <c r="BG211" s="3527"/>
      <c r="BH211" s="3527"/>
      <c r="BI211" s="3527"/>
      <c r="BJ211" s="3527"/>
      <c r="BK211" s="3527"/>
      <c r="BL211" s="3527"/>
      <c r="BM211" s="3527"/>
      <c r="BN211" s="3535"/>
      <c r="BO211" s="3534"/>
      <c r="BP211" s="3465"/>
      <c r="BQ211" s="3465"/>
      <c r="BR211" s="3465"/>
      <c r="BS211" s="3465"/>
      <c r="BT211" s="3465"/>
      <c r="BU211" s="3465"/>
      <c r="BV211" s="3465"/>
      <c r="BW211" s="3465"/>
      <c r="BX211" s="3465"/>
      <c r="BY211" s="3465"/>
      <c r="BZ211" s="3465"/>
      <c r="CA211" s="3533"/>
      <c r="CB211" s="3534"/>
      <c r="CC211" s="3465"/>
      <c r="CD211" s="3465"/>
      <c r="CE211" s="3465"/>
      <c r="CF211" s="3465"/>
      <c r="CG211" s="3465"/>
      <c r="CH211" s="3533"/>
      <c r="CI211" s="3533"/>
      <c r="CJ211" s="3533"/>
      <c r="CK211" s="3533"/>
      <c r="CL211" s="3533"/>
      <c r="CM211" s="3533"/>
    </row>
    <row r="212" spans="1:91" ht="15.75" thickBot="1">
      <c r="A212" s="3556"/>
      <c r="B212" s="2551" t="str">
        <f t="shared" si="3"/>
        <v>3040050021</v>
      </c>
      <c r="C212" s="2493" t="s">
        <v>721</v>
      </c>
      <c r="D212" s="2018">
        <v>4005</v>
      </c>
      <c r="E212" s="2018">
        <v>21</v>
      </c>
      <c r="F212" s="2019">
        <v>5000</v>
      </c>
      <c r="G212" s="2498" t="s">
        <v>1079</v>
      </c>
      <c r="H212" s="2018" t="s">
        <v>1560</v>
      </c>
      <c r="I212" s="2020">
        <v>1.25</v>
      </c>
      <c r="J212" s="2501">
        <v>0</v>
      </c>
      <c r="K212" s="2501">
        <v>5000</v>
      </c>
      <c r="L212" s="2501">
        <v>0</v>
      </c>
      <c r="M212" s="2501">
        <v>5000</v>
      </c>
      <c r="N212" s="2508" t="s">
        <v>1560</v>
      </c>
      <c r="O212" s="2503" t="s">
        <v>1617</v>
      </c>
      <c r="P212" s="3657"/>
      <c r="Q212" s="3658"/>
      <c r="R212" s="3658"/>
      <c r="S212" s="3658"/>
      <c r="T212" s="3658"/>
      <c r="U212" s="3658"/>
      <c r="V212" s="3658"/>
      <c r="W212" s="3658"/>
      <c r="X212" s="3658"/>
      <c r="Y212" s="3658"/>
      <c r="Z212" s="3658"/>
      <c r="AA212" s="3658"/>
      <c r="AB212" s="3660"/>
      <c r="AC212" s="3658"/>
      <c r="AD212" s="3658"/>
      <c r="AE212" s="3658"/>
      <c r="AF212" s="3658"/>
      <c r="AG212" s="3658"/>
      <c r="AH212" s="3658"/>
      <c r="AI212" s="3658"/>
      <c r="AJ212" s="3658"/>
      <c r="AK212" s="3658"/>
      <c r="AL212" s="3285"/>
      <c r="AM212" s="3516"/>
      <c r="AN212" s="3470"/>
      <c r="AO212" s="3718"/>
      <c r="AP212" s="3719"/>
      <c r="AQ212" s="3719"/>
      <c r="AR212" s="3719"/>
      <c r="AS212" s="3719"/>
      <c r="AT212" s="3719"/>
      <c r="AU212" s="3719"/>
      <c r="AV212" s="3719"/>
      <c r="AW212" s="3719"/>
      <c r="AX212" s="3719"/>
      <c r="AY212" s="3719"/>
      <c r="AZ212" s="3719"/>
      <c r="BA212" s="3719"/>
      <c r="BB212" s="3719"/>
      <c r="BC212" s="3719"/>
      <c r="BD212" s="3719"/>
      <c r="BE212" s="3719"/>
      <c r="BF212" s="3719"/>
      <c r="BG212" s="3719"/>
      <c r="BH212" s="3719"/>
      <c r="BI212" s="3719"/>
      <c r="BJ212" s="3719"/>
      <c r="BK212" s="3719"/>
      <c r="BL212" s="3719"/>
      <c r="BM212" s="3719"/>
      <c r="BN212" s="3518"/>
      <c r="BO212" s="3520"/>
      <c r="BP212" s="3466"/>
      <c r="BQ212" s="3466"/>
      <c r="BR212" s="3466"/>
      <c r="BS212" s="3466"/>
      <c r="BT212" s="3466"/>
      <c r="BU212" s="3466"/>
      <c r="BV212" s="3466"/>
      <c r="BW212" s="3466"/>
      <c r="BX212" s="3466"/>
      <c r="BY212" s="3466"/>
      <c r="BZ212" s="3466"/>
      <c r="CA212" s="3477"/>
      <c r="CB212" s="3520"/>
      <c r="CC212" s="3466"/>
      <c r="CD212" s="3466"/>
      <c r="CE212" s="3466"/>
      <c r="CF212" s="3466"/>
      <c r="CG212" s="3466"/>
      <c r="CH212" s="3477"/>
      <c r="CI212" s="3477"/>
      <c r="CJ212" s="3477"/>
      <c r="CK212" s="3477"/>
      <c r="CL212" s="3477"/>
      <c r="CM212" s="3477"/>
    </row>
    <row r="213" spans="1:91">
      <c r="A213" s="3567" t="s">
        <v>1816</v>
      </c>
      <c r="B213" s="2551" t="str">
        <f t="shared" si="3"/>
        <v>3040170022</v>
      </c>
      <c r="C213" s="2010" t="s">
        <v>703</v>
      </c>
      <c r="D213" s="2011">
        <v>4017</v>
      </c>
      <c r="E213" s="2011">
        <v>22</v>
      </c>
      <c r="F213" s="2494">
        <v>5700</v>
      </c>
      <c r="G213" s="2496" t="s">
        <v>1079</v>
      </c>
      <c r="H213" s="2011" t="s">
        <v>1584</v>
      </c>
      <c r="I213" s="2012">
        <v>1.25</v>
      </c>
      <c r="J213" s="2491">
        <v>400</v>
      </c>
      <c r="K213" s="2491">
        <v>0</v>
      </c>
      <c r="L213" s="2491">
        <v>0</v>
      </c>
      <c r="M213" s="2491">
        <v>2160</v>
      </c>
      <c r="N213" s="2489">
        <v>0</v>
      </c>
      <c r="O213" s="2490" t="s">
        <v>1670</v>
      </c>
      <c r="P213" s="3284">
        <v>1760</v>
      </c>
      <c r="Q213" s="3286">
        <v>400</v>
      </c>
      <c r="R213" s="3286">
        <v>0</v>
      </c>
      <c r="S213" s="3286">
        <v>0</v>
      </c>
      <c r="T213" s="3286">
        <v>0</v>
      </c>
      <c r="U213" s="3286">
        <v>0</v>
      </c>
      <c r="V213" s="3286">
        <v>0</v>
      </c>
      <c r="W213" s="3286">
        <v>0</v>
      </c>
      <c r="X213" s="3286">
        <v>0</v>
      </c>
      <c r="Y213" s="3286">
        <v>0</v>
      </c>
      <c r="Z213" s="3286">
        <v>0</v>
      </c>
      <c r="AA213" s="3286">
        <v>0</v>
      </c>
      <c r="AB213" s="3659">
        <v>2160</v>
      </c>
      <c r="AC213" s="3286">
        <v>1</v>
      </c>
      <c r="AD213" s="3286">
        <v>1</v>
      </c>
      <c r="AE213" s="3286">
        <v>0</v>
      </c>
      <c r="AF213" s="3286">
        <v>0</v>
      </c>
      <c r="AG213" s="3286">
        <v>0</v>
      </c>
      <c r="AH213" s="3286">
        <v>0</v>
      </c>
      <c r="AI213" s="3286">
        <v>0</v>
      </c>
      <c r="AJ213" s="3286">
        <v>0</v>
      </c>
      <c r="AK213" s="3286">
        <v>1</v>
      </c>
      <c r="AL213" s="3284">
        <v>25</v>
      </c>
      <c r="AM213" s="3515" t="s">
        <v>705</v>
      </c>
      <c r="AN213" s="3512" t="s">
        <v>706</v>
      </c>
      <c r="AO213" s="3407" t="s">
        <v>1637</v>
      </c>
      <c r="AP213" s="3511">
        <v>31326</v>
      </c>
      <c r="AQ213" s="3511">
        <v>6338.7</v>
      </c>
      <c r="AR213" s="3511">
        <v>0</v>
      </c>
      <c r="AS213" s="3511">
        <v>0</v>
      </c>
      <c r="AT213" s="3511">
        <v>0</v>
      </c>
      <c r="AU213" s="3511">
        <v>0</v>
      </c>
      <c r="AV213" s="3511">
        <v>0</v>
      </c>
      <c r="AW213" s="3511">
        <v>0</v>
      </c>
      <c r="AX213" s="3511">
        <v>0</v>
      </c>
      <c r="AY213" s="3511">
        <v>0</v>
      </c>
      <c r="AZ213" s="3511">
        <v>0</v>
      </c>
      <c r="BA213" s="3511">
        <v>0</v>
      </c>
      <c r="BB213" s="3511">
        <v>37664.699999999997</v>
      </c>
      <c r="BC213" s="3511">
        <v>31</v>
      </c>
      <c r="BD213" s="3511">
        <v>15.663</v>
      </c>
      <c r="BE213" s="3511">
        <v>8</v>
      </c>
      <c r="BF213" s="3511">
        <v>0</v>
      </c>
      <c r="BG213" s="3511">
        <v>6</v>
      </c>
      <c r="BH213" s="3511">
        <v>0</v>
      </c>
      <c r="BI213" s="3511">
        <v>0</v>
      </c>
      <c r="BJ213" s="3511">
        <v>0</v>
      </c>
      <c r="BK213" s="3511">
        <v>0</v>
      </c>
      <c r="BL213" s="3511">
        <v>0</v>
      </c>
      <c r="BM213" s="3511">
        <v>14</v>
      </c>
      <c r="BN213" s="3517">
        <v>105</v>
      </c>
      <c r="BO213" s="3519">
        <v>29566</v>
      </c>
      <c r="BP213" s="3464">
        <v>5938.7</v>
      </c>
      <c r="BQ213" s="3464">
        <v>0</v>
      </c>
      <c r="BR213" s="3464">
        <v>0</v>
      </c>
      <c r="BS213" s="3464">
        <v>0</v>
      </c>
      <c r="BT213" s="3464">
        <v>0</v>
      </c>
      <c r="BU213" s="3464">
        <v>0</v>
      </c>
      <c r="BV213" s="3464">
        <v>0</v>
      </c>
      <c r="BW213" s="3464">
        <v>0</v>
      </c>
      <c r="BX213" s="3464">
        <v>0</v>
      </c>
      <c r="BY213" s="3464">
        <v>0</v>
      </c>
      <c r="BZ213" s="3464">
        <v>0</v>
      </c>
      <c r="CA213" s="3524">
        <v>0</v>
      </c>
      <c r="CB213" s="3519">
        <v>35504.699999999997</v>
      </c>
      <c r="CC213" s="3464">
        <v>5938.7</v>
      </c>
      <c r="CD213" s="3464">
        <v>30</v>
      </c>
      <c r="CE213" s="3464">
        <v>15.663</v>
      </c>
      <c r="CF213" s="3464">
        <v>7</v>
      </c>
      <c r="CG213" s="3464">
        <v>0</v>
      </c>
      <c r="CH213" s="3524">
        <v>6</v>
      </c>
      <c r="CI213" s="3524">
        <v>0</v>
      </c>
      <c r="CJ213" s="3524">
        <v>0</v>
      </c>
      <c r="CK213" s="3524">
        <v>0</v>
      </c>
      <c r="CL213" s="3524">
        <v>0</v>
      </c>
      <c r="CM213" s="3524">
        <v>0</v>
      </c>
    </row>
    <row r="214" spans="1:91" ht="15.75" thickBot="1">
      <c r="A214" s="3556"/>
      <c r="B214" s="2551" t="str">
        <f t="shared" si="3"/>
        <v>3040170025</v>
      </c>
      <c r="C214" s="2493" t="s">
        <v>710</v>
      </c>
      <c r="D214" s="2018">
        <v>4017</v>
      </c>
      <c r="E214" s="2018">
        <v>25</v>
      </c>
      <c r="F214" s="2019">
        <v>2488</v>
      </c>
      <c r="G214" s="2498" t="s">
        <v>1079</v>
      </c>
      <c r="H214" s="2018" t="s">
        <v>1584</v>
      </c>
      <c r="I214" s="2020">
        <v>1.25</v>
      </c>
      <c r="J214" s="2501">
        <v>0</v>
      </c>
      <c r="K214" s="2501">
        <v>0</v>
      </c>
      <c r="L214" s="2501">
        <v>0</v>
      </c>
      <c r="M214" s="2501">
        <v>0</v>
      </c>
      <c r="N214" s="2508">
        <v>0</v>
      </c>
      <c r="O214" s="2503" t="s">
        <v>720</v>
      </c>
      <c r="P214" s="3657"/>
      <c r="Q214" s="3658"/>
      <c r="R214" s="3658"/>
      <c r="S214" s="3658"/>
      <c r="T214" s="3658"/>
      <c r="U214" s="3658"/>
      <c r="V214" s="3658"/>
      <c r="W214" s="3658"/>
      <c r="X214" s="3658"/>
      <c r="Y214" s="3658"/>
      <c r="Z214" s="3658"/>
      <c r="AA214" s="3658"/>
      <c r="AB214" s="3660"/>
      <c r="AC214" s="3658"/>
      <c r="AD214" s="3658"/>
      <c r="AE214" s="3658"/>
      <c r="AF214" s="3658"/>
      <c r="AG214" s="3658"/>
      <c r="AH214" s="3658"/>
      <c r="AI214" s="3658"/>
      <c r="AJ214" s="3658"/>
      <c r="AK214" s="3658"/>
      <c r="AL214" s="3285"/>
      <c r="AM214" s="3516"/>
      <c r="AN214" s="3470"/>
      <c r="AO214" s="3718"/>
      <c r="AP214" s="3719"/>
      <c r="AQ214" s="3719"/>
      <c r="AR214" s="3719"/>
      <c r="AS214" s="3719"/>
      <c r="AT214" s="3719"/>
      <c r="AU214" s="3719"/>
      <c r="AV214" s="3719"/>
      <c r="AW214" s="3719"/>
      <c r="AX214" s="3719"/>
      <c r="AY214" s="3719"/>
      <c r="AZ214" s="3719"/>
      <c r="BA214" s="3719"/>
      <c r="BB214" s="3719"/>
      <c r="BC214" s="3719"/>
      <c r="BD214" s="3719"/>
      <c r="BE214" s="3719"/>
      <c r="BF214" s="3719"/>
      <c r="BG214" s="3719"/>
      <c r="BH214" s="3719"/>
      <c r="BI214" s="3719"/>
      <c r="BJ214" s="3719"/>
      <c r="BK214" s="3719"/>
      <c r="BL214" s="3719"/>
      <c r="BM214" s="3719"/>
      <c r="BN214" s="3518"/>
      <c r="BO214" s="3520"/>
      <c r="BP214" s="3466"/>
      <c r="BQ214" s="3466"/>
      <c r="BR214" s="3466"/>
      <c r="BS214" s="3466"/>
      <c r="BT214" s="3466"/>
      <c r="BU214" s="3466"/>
      <c r="BV214" s="3466"/>
      <c r="BW214" s="3466"/>
      <c r="BX214" s="3466"/>
      <c r="BY214" s="3466"/>
      <c r="BZ214" s="3466"/>
      <c r="CA214" s="3477"/>
      <c r="CB214" s="3520"/>
      <c r="CC214" s="3466"/>
      <c r="CD214" s="3466"/>
      <c r="CE214" s="3466"/>
      <c r="CF214" s="3466"/>
      <c r="CG214" s="3466"/>
      <c r="CH214" s="3477"/>
      <c r="CI214" s="3477"/>
      <c r="CJ214" s="3477"/>
      <c r="CK214" s="3477"/>
      <c r="CL214" s="3477"/>
      <c r="CM214" s="3477"/>
    </row>
    <row r="215" spans="1:91" ht="15.75" thickBot="1">
      <c r="A215" s="2124" t="s">
        <v>1817</v>
      </c>
      <c r="B215" s="2551" t="str">
        <f t="shared" si="3"/>
        <v>3041280066</v>
      </c>
      <c r="C215" s="2488" t="s">
        <v>703</v>
      </c>
      <c r="D215" s="2114">
        <v>4128</v>
      </c>
      <c r="E215" s="2114">
        <v>66</v>
      </c>
      <c r="F215" s="2481">
        <v>6070</v>
      </c>
      <c r="G215" s="2446" t="s">
        <v>1079</v>
      </c>
      <c r="H215" s="2114" t="s">
        <v>1584</v>
      </c>
      <c r="I215" s="2464">
        <v>1.25</v>
      </c>
      <c r="J215" s="2483">
        <v>3500</v>
      </c>
      <c r="K215" s="2483">
        <v>0</v>
      </c>
      <c r="L215" s="2483">
        <v>0</v>
      </c>
      <c r="M215" s="2483">
        <v>3500</v>
      </c>
      <c r="N215" s="2442">
        <v>0</v>
      </c>
      <c r="O215" s="2452" t="s">
        <v>1573</v>
      </c>
      <c r="P215" s="2484">
        <v>0</v>
      </c>
      <c r="Q215" s="2484">
        <v>3500</v>
      </c>
      <c r="R215" s="2484">
        <v>0</v>
      </c>
      <c r="S215" s="2484">
        <v>0</v>
      </c>
      <c r="T215" s="2484">
        <v>0</v>
      </c>
      <c r="U215" s="2484">
        <v>0</v>
      </c>
      <c r="V215" s="2484">
        <v>0</v>
      </c>
      <c r="W215" s="2484">
        <v>0</v>
      </c>
      <c r="X215" s="2484">
        <v>0</v>
      </c>
      <c r="Y215" s="2484">
        <v>0</v>
      </c>
      <c r="Z215" s="2484">
        <v>0</v>
      </c>
      <c r="AA215" s="2484">
        <v>0</v>
      </c>
      <c r="AB215" s="2520">
        <v>3500</v>
      </c>
      <c r="AC215" s="2483">
        <v>0</v>
      </c>
      <c r="AD215" s="2483">
        <v>0</v>
      </c>
      <c r="AE215" s="2483">
        <v>9</v>
      </c>
      <c r="AF215" s="2483">
        <v>0</v>
      </c>
      <c r="AG215" s="2483">
        <v>0</v>
      </c>
      <c r="AH215" s="2483">
        <v>0</v>
      </c>
      <c r="AI215" s="2483">
        <v>0</v>
      </c>
      <c r="AJ215" s="2483">
        <v>0</v>
      </c>
      <c r="AK215" s="2483">
        <v>9</v>
      </c>
      <c r="AL215" s="2516">
        <v>15</v>
      </c>
      <c r="AM215" s="2195" t="s">
        <v>1612</v>
      </c>
      <c r="AN215" s="2196" t="s">
        <v>706</v>
      </c>
      <c r="AO215" s="2197" t="s">
        <v>1722</v>
      </c>
      <c r="AP215" s="2198">
        <v>9077</v>
      </c>
      <c r="AQ215" s="2198">
        <v>4276.8</v>
      </c>
      <c r="AR215" s="2198">
        <v>0</v>
      </c>
      <c r="AS215" s="2198">
        <v>0</v>
      </c>
      <c r="AT215" s="2198">
        <v>0</v>
      </c>
      <c r="AU215" s="2198">
        <v>0</v>
      </c>
      <c r="AV215" s="2198">
        <v>0</v>
      </c>
      <c r="AW215" s="2198">
        <v>0</v>
      </c>
      <c r="AX215" s="2198">
        <v>0</v>
      </c>
      <c r="AY215" s="2198">
        <v>0</v>
      </c>
      <c r="AZ215" s="2198">
        <v>0</v>
      </c>
      <c r="BA215" s="2198">
        <v>0</v>
      </c>
      <c r="BB215" s="2198">
        <v>13353.8</v>
      </c>
      <c r="BC215" s="2198">
        <v>9</v>
      </c>
      <c r="BD215" s="2198">
        <v>4.5385</v>
      </c>
      <c r="BE215" s="2198">
        <v>2</v>
      </c>
      <c r="BF215" s="2198">
        <v>0</v>
      </c>
      <c r="BG215" s="2198">
        <v>4</v>
      </c>
      <c r="BH215" s="2198">
        <v>0</v>
      </c>
      <c r="BI215" s="2198">
        <v>0</v>
      </c>
      <c r="BJ215" s="2198">
        <v>0</v>
      </c>
      <c r="BK215" s="2198">
        <v>0</v>
      </c>
      <c r="BL215" s="2198">
        <v>0</v>
      </c>
      <c r="BM215" s="2198">
        <v>6</v>
      </c>
      <c r="BN215" s="2199">
        <v>55</v>
      </c>
      <c r="BO215" s="2200">
        <v>9077</v>
      </c>
      <c r="BP215" s="2201">
        <v>776.80000000000018</v>
      </c>
      <c r="BQ215" s="2201">
        <v>0</v>
      </c>
      <c r="BR215" s="2201">
        <v>0</v>
      </c>
      <c r="BS215" s="2201">
        <v>0</v>
      </c>
      <c r="BT215" s="2201">
        <v>0</v>
      </c>
      <c r="BU215" s="2201">
        <v>0</v>
      </c>
      <c r="BV215" s="2201">
        <v>0</v>
      </c>
      <c r="BW215" s="2201">
        <v>0</v>
      </c>
      <c r="BX215" s="2201">
        <v>0</v>
      </c>
      <c r="BY215" s="2201">
        <v>0</v>
      </c>
      <c r="BZ215" s="2201">
        <v>0</v>
      </c>
      <c r="CA215" s="2202">
        <v>0</v>
      </c>
      <c r="CB215" s="2200">
        <v>9853.7999999999993</v>
      </c>
      <c r="CC215" s="2201">
        <v>776.80000000000018</v>
      </c>
      <c r="CD215" s="2201">
        <v>9</v>
      </c>
      <c r="CE215" s="2201">
        <v>4.5385</v>
      </c>
      <c r="CF215" s="2201">
        <v>2</v>
      </c>
      <c r="CG215" s="2201">
        <v>0</v>
      </c>
      <c r="CH215" s="2201">
        <v>-5</v>
      </c>
      <c r="CI215" s="2201">
        <v>0</v>
      </c>
      <c r="CJ215" s="2201">
        <v>0</v>
      </c>
      <c r="CK215" s="2201">
        <v>0</v>
      </c>
      <c r="CL215" s="2201">
        <v>0</v>
      </c>
      <c r="CM215" s="2201">
        <v>0</v>
      </c>
    </row>
    <row r="216" spans="1:91">
      <c r="A216" s="3567" t="s">
        <v>1818</v>
      </c>
      <c r="B216" s="2551" t="str">
        <f t="shared" si="3"/>
        <v>3041370039</v>
      </c>
      <c r="C216" s="2203" t="s">
        <v>703</v>
      </c>
      <c r="D216" s="2204">
        <v>4137</v>
      </c>
      <c r="E216" s="2204">
        <v>39</v>
      </c>
      <c r="F216" s="2205">
        <v>15000</v>
      </c>
      <c r="G216" s="2206" t="s">
        <v>947</v>
      </c>
      <c r="H216" s="2204" t="s">
        <v>1560</v>
      </c>
      <c r="I216" s="2207">
        <v>1</v>
      </c>
      <c r="J216" s="2531">
        <v>0</v>
      </c>
      <c r="K216" s="2531">
        <v>15000</v>
      </c>
      <c r="L216" s="2531">
        <v>4950</v>
      </c>
      <c r="M216" s="2531">
        <v>19950</v>
      </c>
      <c r="N216" s="2208">
        <v>0</v>
      </c>
      <c r="O216" s="2209" t="s">
        <v>1572</v>
      </c>
      <c r="P216" s="3664">
        <v>0</v>
      </c>
      <c r="Q216" s="3664">
        <v>0</v>
      </c>
      <c r="R216" s="3664">
        <v>0</v>
      </c>
      <c r="S216" s="3664">
        <v>0</v>
      </c>
      <c r="T216" s="3664">
        <v>15000</v>
      </c>
      <c r="U216" s="3664">
        <v>0</v>
      </c>
      <c r="V216" s="3664">
        <v>4950</v>
      </c>
      <c r="W216" s="3664">
        <v>0</v>
      </c>
      <c r="X216" s="3664">
        <v>1250</v>
      </c>
      <c r="Y216" s="3664">
        <v>0</v>
      </c>
      <c r="Z216" s="3664">
        <v>0</v>
      </c>
      <c r="AA216" s="3664">
        <v>0</v>
      </c>
      <c r="AB216" s="3670">
        <v>21200</v>
      </c>
      <c r="AC216" s="3666">
        <v>0</v>
      </c>
      <c r="AD216" s="3666">
        <v>0</v>
      </c>
      <c r="AE216" s="3666">
        <v>20</v>
      </c>
      <c r="AF216" s="3666">
        <v>0</v>
      </c>
      <c r="AG216" s="3666">
        <v>0</v>
      </c>
      <c r="AH216" s="3666">
        <v>4</v>
      </c>
      <c r="AI216" s="3666">
        <v>0</v>
      </c>
      <c r="AJ216" s="3666">
        <v>0</v>
      </c>
      <c r="AK216" s="3666">
        <v>24</v>
      </c>
      <c r="AL216" s="3668">
        <v>20</v>
      </c>
      <c r="AM216" s="3515" t="s">
        <v>1331</v>
      </c>
      <c r="AN216" s="3512" t="s">
        <v>1560</v>
      </c>
      <c r="AO216" s="3407" t="s">
        <v>1595</v>
      </c>
      <c r="AP216" s="3511">
        <v>120375</v>
      </c>
      <c r="AQ216" s="3511">
        <v>14625</v>
      </c>
      <c r="AR216" s="3511">
        <v>0</v>
      </c>
      <c r="AS216" s="3511">
        <v>0</v>
      </c>
      <c r="AT216" s="3511">
        <v>0</v>
      </c>
      <c r="AU216" s="3511">
        <v>0</v>
      </c>
      <c r="AV216" s="3511">
        <v>0</v>
      </c>
      <c r="AW216" s="3511">
        <v>0</v>
      </c>
      <c r="AX216" s="3511">
        <v>0</v>
      </c>
      <c r="AY216" s="3511">
        <v>0</v>
      </c>
      <c r="AZ216" s="3511">
        <v>0</v>
      </c>
      <c r="BA216" s="3511">
        <v>0</v>
      </c>
      <c r="BB216" s="3511">
        <v>135000</v>
      </c>
      <c r="BC216" s="3511">
        <v>120</v>
      </c>
      <c r="BD216" s="3511">
        <v>60.1875</v>
      </c>
      <c r="BE216" s="3511">
        <v>24</v>
      </c>
      <c r="BF216" s="3511">
        <v>0</v>
      </c>
      <c r="BG216" s="3511">
        <v>15</v>
      </c>
      <c r="BH216" s="3511">
        <v>0</v>
      </c>
      <c r="BI216" s="3511">
        <v>0</v>
      </c>
      <c r="BJ216" s="3511">
        <v>0</v>
      </c>
      <c r="BK216" s="3511">
        <v>0</v>
      </c>
      <c r="BL216" s="3511">
        <v>0</v>
      </c>
      <c r="BM216" s="3511">
        <v>39</v>
      </c>
      <c r="BN216" s="3517">
        <v>145</v>
      </c>
      <c r="BO216" s="3519">
        <v>120375</v>
      </c>
      <c r="BP216" s="3464">
        <v>14625</v>
      </c>
      <c r="BQ216" s="3464">
        <v>0</v>
      </c>
      <c r="BR216" s="3464">
        <v>0</v>
      </c>
      <c r="BS216" s="3464">
        <v>0</v>
      </c>
      <c r="BT216" s="3464">
        <v>-15000</v>
      </c>
      <c r="BU216" s="3464">
        <v>0</v>
      </c>
      <c r="BV216" s="3464">
        <v>-4950</v>
      </c>
      <c r="BW216" s="3464">
        <v>0</v>
      </c>
      <c r="BX216" s="3464">
        <v>-1250</v>
      </c>
      <c r="BY216" s="3464">
        <v>0</v>
      </c>
      <c r="BZ216" s="3464">
        <v>0</v>
      </c>
      <c r="CA216" s="3524">
        <v>0</v>
      </c>
      <c r="CB216" s="3519">
        <v>113800</v>
      </c>
      <c r="CC216" s="3464">
        <v>-6575</v>
      </c>
      <c r="CD216" s="3464">
        <v>120</v>
      </c>
      <c r="CE216" s="3464">
        <v>60.1875</v>
      </c>
      <c r="CF216" s="3464">
        <v>24</v>
      </c>
      <c r="CG216" s="3464">
        <v>0</v>
      </c>
      <c r="CH216" s="3524">
        <v>-5</v>
      </c>
      <c r="CI216" s="3524">
        <v>0</v>
      </c>
      <c r="CJ216" s="3524">
        <v>0</v>
      </c>
      <c r="CK216" s="3524">
        <v>-4</v>
      </c>
      <c r="CL216" s="3524">
        <v>0</v>
      </c>
      <c r="CM216" s="3524">
        <v>0</v>
      </c>
    </row>
    <row r="217" spans="1:91" ht="15.75" thickBot="1">
      <c r="A217" s="3556"/>
      <c r="B217" s="2551" t="str">
        <f t="shared" si="3"/>
        <v>3041370043</v>
      </c>
      <c r="C217" s="2210" t="s">
        <v>710</v>
      </c>
      <c r="D217" s="2211">
        <v>4137</v>
      </c>
      <c r="E217" s="2211">
        <v>43</v>
      </c>
      <c r="F217" s="2212">
        <v>3750</v>
      </c>
      <c r="G217" s="2213" t="s">
        <v>947</v>
      </c>
      <c r="H217" s="2211" t="s">
        <v>1560</v>
      </c>
      <c r="I217" s="2214">
        <v>1</v>
      </c>
      <c r="J217" s="2215">
        <v>0</v>
      </c>
      <c r="K217" s="2215">
        <v>1250</v>
      </c>
      <c r="L217" s="2215">
        <v>0</v>
      </c>
      <c r="M217" s="2215">
        <v>1250</v>
      </c>
      <c r="N217" s="2216">
        <v>0</v>
      </c>
      <c r="O217" s="2217" t="s">
        <v>1572</v>
      </c>
      <c r="P217" s="3665"/>
      <c r="Q217" s="3665"/>
      <c r="R217" s="3665"/>
      <c r="S217" s="3665"/>
      <c r="T217" s="3665"/>
      <c r="U217" s="3665"/>
      <c r="V217" s="3665"/>
      <c r="W217" s="3665"/>
      <c r="X217" s="3665"/>
      <c r="Y217" s="3665"/>
      <c r="Z217" s="3665"/>
      <c r="AA217" s="3665"/>
      <c r="AB217" s="3671"/>
      <c r="AC217" s="3667"/>
      <c r="AD217" s="3667"/>
      <c r="AE217" s="3667"/>
      <c r="AF217" s="3667"/>
      <c r="AG217" s="3667"/>
      <c r="AH217" s="3667"/>
      <c r="AI217" s="3667"/>
      <c r="AJ217" s="3667"/>
      <c r="AK217" s="3667"/>
      <c r="AL217" s="3669"/>
      <c r="AM217" s="3516"/>
      <c r="AN217" s="3470"/>
      <c r="AO217" s="3718"/>
      <c r="AP217" s="3719"/>
      <c r="AQ217" s="3719"/>
      <c r="AR217" s="3719"/>
      <c r="AS217" s="3719"/>
      <c r="AT217" s="3719"/>
      <c r="AU217" s="3719"/>
      <c r="AV217" s="3719"/>
      <c r="AW217" s="3719"/>
      <c r="AX217" s="3719"/>
      <c r="AY217" s="3719"/>
      <c r="AZ217" s="3719"/>
      <c r="BA217" s="3719"/>
      <c r="BB217" s="3719"/>
      <c r="BC217" s="3719"/>
      <c r="BD217" s="3719"/>
      <c r="BE217" s="3719"/>
      <c r="BF217" s="3719"/>
      <c r="BG217" s="3719"/>
      <c r="BH217" s="3719"/>
      <c r="BI217" s="3719"/>
      <c r="BJ217" s="3719"/>
      <c r="BK217" s="3719"/>
      <c r="BL217" s="3719"/>
      <c r="BM217" s="3719"/>
      <c r="BN217" s="3518"/>
      <c r="BO217" s="3520"/>
      <c r="BP217" s="3466"/>
      <c r="BQ217" s="3466"/>
      <c r="BR217" s="3466"/>
      <c r="BS217" s="3466"/>
      <c r="BT217" s="3466"/>
      <c r="BU217" s="3466"/>
      <c r="BV217" s="3466"/>
      <c r="BW217" s="3466"/>
      <c r="BX217" s="3466"/>
      <c r="BY217" s="3466"/>
      <c r="BZ217" s="3466"/>
      <c r="CA217" s="3477"/>
      <c r="CB217" s="3520"/>
      <c r="CC217" s="3466"/>
      <c r="CD217" s="3466"/>
      <c r="CE217" s="3466"/>
      <c r="CF217" s="3466"/>
      <c r="CG217" s="3466"/>
      <c r="CH217" s="3477"/>
      <c r="CI217" s="3477"/>
      <c r="CJ217" s="3477"/>
      <c r="CK217" s="3477"/>
      <c r="CL217" s="3477"/>
      <c r="CM217" s="3477"/>
    </row>
    <row r="218" spans="1:91">
      <c r="A218" s="3567" t="s">
        <v>1819</v>
      </c>
      <c r="B218" s="2551" t="str">
        <f t="shared" si="3"/>
        <v>3041370056</v>
      </c>
      <c r="C218" s="2010" t="s">
        <v>703</v>
      </c>
      <c r="D218" s="2011">
        <v>4137</v>
      </c>
      <c r="E218" s="2011">
        <v>56</v>
      </c>
      <c r="F218" s="2494">
        <v>10385</v>
      </c>
      <c r="G218" s="2496" t="s">
        <v>947</v>
      </c>
      <c r="H218" s="2011" t="s">
        <v>1560</v>
      </c>
      <c r="I218" s="2012">
        <v>1</v>
      </c>
      <c r="J218" s="2491">
        <v>0</v>
      </c>
      <c r="K218" s="2491">
        <v>10385</v>
      </c>
      <c r="L218" s="2491">
        <v>0</v>
      </c>
      <c r="M218" s="2491">
        <v>10385</v>
      </c>
      <c r="N218" s="2489">
        <v>0</v>
      </c>
      <c r="O218" s="2490" t="s">
        <v>1572</v>
      </c>
      <c r="P218" s="3284">
        <v>0</v>
      </c>
      <c r="Q218" s="3284">
        <v>0</v>
      </c>
      <c r="R218" s="3284">
        <v>0</v>
      </c>
      <c r="S218" s="3284">
        <v>0</v>
      </c>
      <c r="T218" s="3284">
        <v>20885</v>
      </c>
      <c r="U218" s="3284">
        <v>0</v>
      </c>
      <c r="V218" s="3284">
        <v>0</v>
      </c>
      <c r="W218" s="3284">
        <v>0</v>
      </c>
      <c r="X218" s="3284">
        <v>0</v>
      </c>
      <c r="Y218" s="3284">
        <v>0</v>
      </c>
      <c r="Z218" s="3284">
        <v>0</v>
      </c>
      <c r="AA218" s="3284">
        <v>0</v>
      </c>
      <c r="AB218" s="3530">
        <v>20885</v>
      </c>
      <c r="AC218" s="3286">
        <v>0</v>
      </c>
      <c r="AD218" s="3286">
        <v>0</v>
      </c>
      <c r="AE218" s="3286">
        <v>40</v>
      </c>
      <c r="AF218" s="3286">
        <v>0</v>
      </c>
      <c r="AG218" s="3286">
        <v>0</v>
      </c>
      <c r="AH218" s="3286">
        <v>0</v>
      </c>
      <c r="AI218" s="3286">
        <v>0</v>
      </c>
      <c r="AJ218" s="3286">
        <v>0</v>
      </c>
      <c r="AK218" s="3286">
        <v>40</v>
      </c>
      <c r="AL218" s="3673">
        <v>15</v>
      </c>
      <c r="AM218" s="3515" t="s">
        <v>1331</v>
      </c>
      <c r="AN218" s="3512" t="s">
        <v>1560</v>
      </c>
      <c r="AO218" s="3407" t="s">
        <v>1595</v>
      </c>
      <c r="AP218" s="3511">
        <v>145975</v>
      </c>
      <c r="AQ218" s="3511">
        <v>18796.5</v>
      </c>
      <c r="AR218" s="3511">
        <v>0</v>
      </c>
      <c r="AS218" s="3511">
        <v>0</v>
      </c>
      <c r="AT218" s="3511">
        <v>0</v>
      </c>
      <c r="AU218" s="3511">
        <v>0</v>
      </c>
      <c r="AV218" s="3511">
        <v>0</v>
      </c>
      <c r="AW218" s="3511">
        <v>0</v>
      </c>
      <c r="AX218" s="3511">
        <v>0</v>
      </c>
      <c r="AY218" s="3511">
        <v>0</v>
      </c>
      <c r="AZ218" s="3511">
        <v>0</v>
      </c>
      <c r="BA218" s="3511">
        <v>0</v>
      </c>
      <c r="BB218" s="3511">
        <v>164771.5</v>
      </c>
      <c r="BC218" s="3511">
        <v>145</v>
      </c>
      <c r="BD218" s="3511">
        <v>72.987499999999997</v>
      </c>
      <c r="BE218" s="3511">
        <v>29</v>
      </c>
      <c r="BF218" s="3511">
        <v>0</v>
      </c>
      <c r="BG218" s="3511">
        <v>19</v>
      </c>
      <c r="BH218" s="3511">
        <v>0</v>
      </c>
      <c r="BI218" s="3511">
        <v>0</v>
      </c>
      <c r="BJ218" s="3511">
        <v>0</v>
      </c>
      <c r="BK218" s="3511">
        <v>0</v>
      </c>
      <c r="BL218" s="3511">
        <v>0</v>
      </c>
      <c r="BM218" s="3511">
        <v>48</v>
      </c>
      <c r="BN218" s="3517">
        <v>145</v>
      </c>
      <c r="BO218" s="3519">
        <v>145975</v>
      </c>
      <c r="BP218" s="3464">
        <v>18796.5</v>
      </c>
      <c r="BQ218" s="3464">
        <v>0</v>
      </c>
      <c r="BR218" s="3464">
        <v>0</v>
      </c>
      <c r="BS218" s="3464">
        <v>0</v>
      </c>
      <c r="BT218" s="3464">
        <v>-20885</v>
      </c>
      <c r="BU218" s="3464">
        <v>0</v>
      </c>
      <c r="BV218" s="3464">
        <v>0</v>
      </c>
      <c r="BW218" s="3464">
        <v>0</v>
      </c>
      <c r="BX218" s="3464">
        <v>0</v>
      </c>
      <c r="BY218" s="3464">
        <v>0</v>
      </c>
      <c r="BZ218" s="3464">
        <v>0</v>
      </c>
      <c r="CA218" s="3524">
        <v>0</v>
      </c>
      <c r="CB218" s="3519">
        <v>143886.5</v>
      </c>
      <c r="CC218" s="3464">
        <v>-2088.5</v>
      </c>
      <c r="CD218" s="3464">
        <v>145</v>
      </c>
      <c r="CE218" s="3464">
        <v>72.987499999999997</v>
      </c>
      <c r="CF218" s="3464">
        <v>29</v>
      </c>
      <c r="CG218" s="3464">
        <v>0</v>
      </c>
      <c r="CH218" s="3524">
        <v>-21</v>
      </c>
      <c r="CI218" s="3524">
        <v>0</v>
      </c>
      <c r="CJ218" s="3524">
        <v>0</v>
      </c>
      <c r="CK218" s="3524">
        <v>0</v>
      </c>
      <c r="CL218" s="3524">
        <v>0</v>
      </c>
      <c r="CM218" s="3524">
        <v>0</v>
      </c>
    </row>
    <row r="219" spans="1:91" ht="15.75" thickBot="1">
      <c r="A219" s="3556"/>
      <c r="B219" s="2551" t="str">
        <f t="shared" si="3"/>
        <v>3041370063</v>
      </c>
      <c r="C219" s="2493" t="s">
        <v>710</v>
      </c>
      <c r="D219" s="2018">
        <v>4137</v>
      </c>
      <c r="E219" s="2018">
        <v>63</v>
      </c>
      <c r="F219" s="2019">
        <v>12500</v>
      </c>
      <c r="G219" s="2498" t="s">
        <v>947</v>
      </c>
      <c r="H219" s="2018" t="s">
        <v>1560</v>
      </c>
      <c r="I219" s="2020">
        <v>1</v>
      </c>
      <c r="J219" s="2501">
        <v>0</v>
      </c>
      <c r="K219" s="2501">
        <v>10500</v>
      </c>
      <c r="L219" s="2501">
        <v>0</v>
      </c>
      <c r="M219" s="2501">
        <v>10500</v>
      </c>
      <c r="N219" s="2508">
        <v>0</v>
      </c>
      <c r="O219" s="2503" t="s">
        <v>1572</v>
      </c>
      <c r="P219" s="3657"/>
      <c r="Q219" s="3657"/>
      <c r="R219" s="3657"/>
      <c r="S219" s="3657"/>
      <c r="T219" s="3657"/>
      <c r="U219" s="3657"/>
      <c r="V219" s="3657"/>
      <c r="W219" s="3657"/>
      <c r="X219" s="3657"/>
      <c r="Y219" s="3657"/>
      <c r="Z219" s="3657"/>
      <c r="AA219" s="3657"/>
      <c r="AB219" s="3672"/>
      <c r="AC219" s="3658"/>
      <c r="AD219" s="3658"/>
      <c r="AE219" s="3658"/>
      <c r="AF219" s="3658"/>
      <c r="AG219" s="3658"/>
      <c r="AH219" s="3658"/>
      <c r="AI219" s="3658"/>
      <c r="AJ219" s="3658"/>
      <c r="AK219" s="3658"/>
      <c r="AL219" s="3674"/>
      <c r="AM219" s="3516"/>
      <c r="AN219" s="3470"/>
      <c r="AO219" s="3718"/>
      <c r="AP219" s="3719"/>
      <c r="AQ219" s="3719"/>
      <c r="AR219" s="3719"/>
      <c r="AS219" s="3719"/>
      <c r="AT219" s="3719"/>
      <c r="AU219" s="3719"/>
      <c r="AV219" s="3719"/>
      <c r="AW219" s="3719"/>
      <c r="AX219" s="3719"/>
      <c r="AY219" s="3719"/>
      <c r="AZ219" s="3719"/>
      <c r="BA219" s="3719"/>
      <c r="BB219" s="3719"/>
      <c r="BC219" s="3719"/>
      <c r="BD219" s="3719"/>
      <c r="BE219" s="3719"/>
      <c r="BF219" s="3719"/>
      <c r="BG219" s="3719"/>
      <c r="BH219" s="3719"/>
      <c r="BI219" s="3719"/>
      <c r="BJ219" s="3719"/>
      <c r="BK219" s="3719"/>
      <c r="BL219" s="3719"/>
      <c r="BM219" s="3719"/>
      <c r="BN219" s="3518"/>
      <c r="BO219" s="3520"/>
      <c r="BP219" s="3466"/>
      <c r="BQ219" s="3466"/>
      <c r="BR219" s="3466"/>
      <c r="BS219" s="3466"/>
      <c r="BT219" s="3466"/>
      <c r="BU219" s="3466"/>
      <c r="BV219" s="3466"/>
      <c r="BW219" s="3466"/>
      <c r="BX219" s="3466"/>
      <c r="BY219" s="3466"/>
      <c r="BZ219" s="3466"/>
      <c r="CA219" s="3477"/>
      <c r="CB219" s="3520"/>
      <c r="CC219" s="3466"/>
      <c r="CD219" s="3466"/>
      <c r="CE219" s="3466"/>
      <c r="CF219" s="3466"/>
      <c r="CG219" s="3466"/>
      <c r="CH219" s="3477"/>
      <c r="CI219" s="3477"/>
      <c r="CJ219" s="3477"/>
      <c r="CK219" s="3477"/>
      <c r="CL219" s="3477"/>
      <c r="CM219" s="3477"/>
    </row>
    <row r="220" spans="1:91">
      <c r="A220" s="3567" t="s">
        <v>1820</v>
      </c>
      <c r="B220" s="2551" t="str">
        <f t="shared" si="3"/>
        <v>3041400027</v>
      </c>
      <c r="C220" s="2010" t="s">
        <v>703</v>
      </c>
      <c r="D220" s="2011">
        <v>4140</v>
      </c>
      <c r="E220" s="2011">
        <v>27</v>
      </c>
      <c r="F220" s="2494">
        <v>1552</v>
      </c>
      <c r="G220" s="2496" t="s">
        <v>947</v>
      </c>
      <c r="H220" s="2011" t="s">
        <v>1560</v>
      </c>
      <c r="I220" s="2012">
        <v>1</v>
      </c>
      <c r="J220" s="2491">
        <v>0</v>
      </c>
      <c r="K220" s="2491">
        <v>0</v>
      </c>
      <c r="L220" s="2491">
        <v>0</v>
      </c>
      <c r="M220" s="2491">
        <v>1224</v>
      </c>
      <c r="N220" s="2489">
        <v>0</v>
      </c>
      <c r="O220" s="2490" t="s">
        <v>1578</v>
      </c>
      <c r="P220" s="3284">
        <v>1224</v>
      </c>
      <c r="Q220" s="3284">
        <v>0</v>
      </c>
      <c r="R220" s="3284">
        <v>0</v>
      </c>
      <c r="S220" s="3284">
        <v>0</v>
      </c>
      <c r="T220" s="3284">
        <v>4360</v>
      </c>
      <c r="U220" s="3284">
        <v>0</v>
      </c>
      <c r="V220" s="3284">
        <v>0</v>
      </c>
      <c r="W220" s="3284">
        <v>0</v>
      </c>
      <c r="X220" s="3284">
        <v>0</v>
      </c>
      <c r="Y220" s="3284">
        <v>0</v>
      </c>
      <c r="Z220" s="3284">
        <v>0</v>
      </c>
      <c r="AA220" s="3284">
        <v>0</v>
      </c>
      <c r="AB220" s="3530">
        <v>5584</v>
      </c>
      <c r="AC220" s="3286">
        <v>1</v>
      </c>
      <c r="AD220" s="3286">
        <v>0</v>
      </c>
      <c r="AE220" s="3286">
        <v>0</v>
      </c>
      <c r="AF220" s="3286">
        <v>0</v>
      </c>
      <c r="AG220" s="3286">
        <v>0</v>
      </c>
      <c r="AH220" s="3286">
        <v>0</v>
      </c>
      <c r="AI220" s="3286">
        <v>0</v>
      </c>
      <c r="AJ220" s="3286">
        <v>0</v>
      </c>
      <c r="AK220" s="3286">
        <v>0</v>
      </c>
      <c r="AL220" s="3673">
        <v>25</v>
      </c>
      <c r="AM220" s="3515" t="s">
        <v>1585</v>
      </c>
      <c r="AN220" s="3512" t="s">
        <v>1560</v>
      </c>
      <c r="AO220" s="3407" t="s">
        <v>1616</v>
      </c>
      <c r="AP220" s="3511">
        <v>21283</v>
      </c>
      <c r="AQ220" s="3511">
        <v>0</v>
      </c>
      <c r="AR220" s="3511">
        <v>0</v>
      </c>
      <c r="AS220" s="3511">
        <v>0</v>
      </c>
      <c r="AT220" s="3511">
        <v>0</v>
      </c>
      <c r="AU220" s="3511">
        <v>0</v>
      </c>
      <c r="AV220" s="3511">
        <v>0</v>
      </c>
      <c r="AW220" s="3511">
        <v>0</v>
      </c>
      <c r="AX220" s="3511">
        <v>0</v>
      </c>
      <c r="AY220" s="3511">
        <v>0</v>
      </c>
      <c r="AZ220" s="3511">
        <v>0</v>
      </c>
      <c r="BA220" s="3511">
        <v>0</v>
      </c>
      <c r="BB220" s="3511">
        <v>21283</v>
      </c>
      <c r="BC220" s="3511">
        <v>21</v>
      </c>
      <c r="BD220" s="3511">
        <v>10.641500000000001</v>
      </c>
      <c r="BE220" s="3511">
        <v>5</v>
      </c>
      <c r="BF220" s="3511">
        <v>0</v>
      </c>
      <c r="BG220" s="3511">
        <v>0</v>
      </c>
      <c r="BH220" s="3511">
        <v>0</v>
      </c>
      <c r="BI220" s="3511">
        <v>0</v>
      </c>
      <c r="BJ220" s="3511">
        <v>0</v>
      </c>
      <c r="BK220" s="3511">
        <v>0</v>
      </c>
      <c r="BL220" s="3511">
        <v>0</v>
      </c>
      <c r="BM220" s="3511">
        <v>5</v>
      </c>
      <c r="BN220" s="3517">
        <v>85</v>
      </c>
      <c r="BO220" s="3519">
        <v>20059</v>
      </c>
      <c r="BP220" s="3464">
        <v>0</v>
      </c>
      <c r="BQ220" s="3464">
        <v>0</v>
      </c>
      <c r="BR220" s="3464">
        <v>0</v>
      </c>
      <c r="BS220" s="3464">
        <v>0</v>
      </c>
      <c r="BT220" s="3464">
        <v>-4360</v>
      </c>
      <c r="BU220" s="3464">
        <v>0</v>
      </c>
      <c r="BV220" s="3464">
        <v>0</v>
      </c>
      <c r="BW220" s="3464">
        <v>0</v>
      </c>
      <c r="BX220" s="3464">
        <v>0</v>
      </c>
      <c r="BY220" s="3464">
        <v>0</v>
      </c>
      <c r="BZ220" s="3464">
        <v>0</v>
      </c>
      <c r="CA220" s="3524">
        <v>0</v>
      </c>
      <c r="CB220" s="3519">
        <v>15699</v>
      </c>
      <c r="CC220" s="3464">
        <v>-4360</v>
      </c>
      <c r="CD220" s="3464">
        <v>20</v>
      </c>
      <c r="CE220" s="3464">
        <v>10.641500000000001</v>
      </c>
      <c r="CF220" s="3464">
        <v>5</v>
      </c>
      <c r="CG220" s="3464">
        <v>0</v>
      </c>
      <c r="CH220" s="3524">
        <v>0</v>
      </c>
      <c r="CI220" s="3524">
        <v>0</v>
      </c>
      <c r="CJ220" s="3524">
        <v>0</v>
      </c>
      <c r="CK220" s="3524">
        <v>0</v>
      </c>
      <c r="CL220" s="3524">
        <v>0</v>
      </c>
      <c r="CM220" s="3524">
        <v>0</v>
      </c>
    </row>
    <row r="221" spans="1:91" ht="15.75" thickBot="1">
      <c r="A221" s="3556"/>
      <c r="B221" s="2551" t="str">
        <f t="shared" si="3"/>
        <v>3041400028</v>
      </c>
      <c r="C221" s="2493" t="s">
        <v>710</v>
      </c>
      <c r="D221" s="2018">
        <v>4140</v>
      </c>
      <c r="E221" s="2018">
        <v>28</v>
      </c>
      <c r="F221" s="2019">
        <v>4360</v>
      </c>
      <c r="G221" s="2498" t="s">
        <v>947</v>
      </c>
      <c r="H221" s="2018" t="s">
        <v>1560</v>
      </c>
      <c r="I221" s="2020">
        <v>1</v>
      </c>
      <c r="J221" s="2501">
        <v>0</v>
      </c>
      <c r="K221" s="2501">
        <v>4360</v>
      </c>
      <c r="L221" s="2501">
        <v>0</v>
      </c>
      <c r="M221" s="2501">
        <v>4360</v>
      </c>
      <c r="N221" s="2508">
        <v>0</v>
      </c>
      <c r="O221" s="2503" t="s">
        <v>1572</v>
      </c>
      <c r="P221" s="3657"/>
      <c r="Q221" s="3657"/>
      <c r="R221" s="3657"/>
      <c r="S221" s="3657"/>
      <c r="T221" s="3657"/>
      <c r="U221" s="3657"/>
      <c r="V221" s="3657"/>
      <c r="W221" s="3657"/>
      <c r="X221" s="3657"/>
      <c r="Y221" s="3657"/>
      <c r="Z221" s="3657"/>
      <c r="AA221" s="3657"/>
      <c r="AB221" s="3672"/>
      <c r="AC221" s="3658"/>
      <c r="AD221" s="3658"/>
      <c r="AE221" s="3658"/>
      <c r="AF221" s="3658"/>
      <c r="AG221" s="3658"/>
      <c r="AH221" s="3658"/>
      <c r="AI221" s="3658"/>
      <c r="AJ221" s="3658"/>
      <c r="AK221" s="3658"/>
      <c r="AL221" s="3674"/>
      <c r="AM221" s="3516"/>
      <c r="AN221" s="3470"/>
      <c r="AO221" s="3718"/>
      <c r="AP221" s="3719"/>
      <c r="AQ221" s="3719"/>
      <c r="AR221" s="3719"/>
      <c r="AS221" s="3719"/>
      <c r="AT221" s="3719"/>
      <c r="AU221" s="3719"/>
      <c r="AV221" s="3719"/>
      <c r="AW221" s="3719"/>
      <c r="AX221" s="3719"/>
      <c r="AY221" s="3719"/>
      <c r="AZ221" s="3719"/>
      <c r="BA221" s="3719"/>
      <c r="BB221" s="3719"/>
      <c r="BC221" s="3719"/>
      <c r="BD221" s="3719"/>
      <c r="BE221" s="3719"/>
      <c r="BF221" s="3719"/>
      <c r="BG221" s="3719"/>
      <c r="BH221" s="3719"/>
      <c r="BI221" s="3719"/>
      <c r="BJ221" s="3719"/>
      <c r="BK221" s="3719"/>
      <c r="BL221" s="3719"/>
      <c r="BM221" s="3719"/>
      <c r="BN221" s="3518"/>
      <c r="BO221" s="3520"/>
      <c r="BP221" s="3466"/>
      <c r="BQ221" s="3466"/>
      <c r="BR221" s="3466"/>
      <c r="BS221" s="3466"/>
      <c r="BT221" s="3466"/>
      <c r="BU221" s="3466"/>
      <c r="BV221" s="3466"/>
      <c r="BW221" s="3466"/>
      <c r="BX221" s="3466"/>
      <c r="BY221" s="3466"/>
      <c r="BZ221" s="3466"/>
      <c r="CA221" s="3477"/>
      <c r="CB221" s="3520"/>
      <c r="CC221" s="3466"/>
      <c r="CD221" s="3466"/>
      <c r="CE221" s="3466"/>
      <c r="CF221" s="3466"/>
      <c r="CG221" s="3466"/>
      <c r="CH221" s="3477"/>
      <c r="CI221" s="3477"/>
      <c r="CJ221" s="3477"/>
      <c r="CK221" s="3477"/>
      <c r="CL221" s="3477"/>
      <c r="CM221" s="3477"/>
    </row>
    <row r="222" spans="1:91">
      <c r="A222" s="3567" t="s">
        <v>1821</v>
      </c>
      <c r="B222" s="2551" t="str">
        <f t="shared" si="3"/>
        <v>3041410001</v>
      </c>
      <c r="C222" s="2010" t="s">
        <v>703</v>
      </c>
      <c r="D222" s="2011">
        <v>4141</v>
      </c>
      <c r="E222" s="2011">
        <v>1</v>
      </c>
      <c r="F222" s="2494">
        <v>5850</v>
      </c>
      <c r="G222" s="2496" t="s">
        <v>947</v>
      </c>
      <c r="H222" s="2011" t="s">
        <v>1560</v>
      </c>
      <c r="I222" s="2012">
        <v>1</v>
      </c>
      <c r="J222" s="2491">
        <v>0</v>
      </c>
      <c r="K222" s="2491">
        <v>5341</v>
      </c>
      <c r="L222" s="2491">
        <v>0</v>
      </c>
      <c r="M222" s="2491">
        <v>5341</v>
      </c>
      <c r="N222" s="2489">
        <v>0</v>
      </c>
      <c r="O222" s="2490" t="s">
        <v>720</v>
      </c>
      <c r="P222" s="3284">
        <v>0</v>
      </c>
      <c r="Q222" s="3284">
        <v>0</v>
      </c>
      <c r="R222" s="3284">
        <v>0</v>
      </c>
      <c r="S222" s="3284">
        <v>0</v>
      </c>
      <c r="T222" s="3284">
        <v>0</v>
      </c>
      <c r="U222" s="3284">
        <v>0</v>
      </c>
      <c r="V222" s="3284">
        <v>0</v>
      </c>
      <c r="W222" s="3284">
        <v>26197</v>
      </c>
      <c r="X222" s="3284">
        <v>0</v>
      </c>
      <c r="Y222" s="3284">
        <v>0</v>
      </c>
      <c r="Z222" s="3284">
        <v>0</v>
      </c>
      <c r="AA222" s="3284">
        <v>0</v>
      </c>
      <c r="AB222" s="3530">
        <v>26197</v>
      </c>
      <c r="AC222" s="3286">
        <v>0</v>
      </c>
      <c r="AD222" s="3286">
        <v>0</v>
      </c>
      <c r="AE222" s="3286">
        <v>38</v>
      </c>
      <c r="AF222" s="3286">
        <v>0</v>
      </c>
      <c r="AG222" s="3286">
        <v>0</v>
      </c>
      <c r="AH222" s="3286">
        <v>0</v>
      </c>
      <c r="AI222" s="3286">
        <v>0</v>
      </c>
      <c r="AJ222" s="3286">
        <v>0</v>
      </c>
      <c r="AK222" s="3286">
        <v>38</v>
      </c>
      <c r="AL222" s="3673">
        <v>25</v>
      </c>
      <c r="AM222" s="3515" t="s">
        <v>1395</v>
      </c>
      <c r="AN222" s="3512" t="s">
        <v>1560</v>
      </c>
      <c r="AO222" s="3407" t="s">
        <v>1822</v>
      </c>
      <c r="AP222" s="3511">
        <v>72500</v>
      </c>
      <c r="AQ222" s="3511">
        <v>42867.8</v>
      </c>
      <c r="AR222" s="3511">
        <v>0</v>
      </c>
      <c r="AS222" s="3511">
        <v>0</v>
      </c>
      <c r="AT222" s="3511">
        <v>0</v>
      </c>
      <c r="AU222" s="3511">
        <v>0</v>
      </c>
      <c r="AV222" s="3511">
        <v>0</v>
      </c>
      <c r="AW222" s="3511">
        <v>0</v>
      </c>
      <c r="AX222" s="3511">
        <v>0</v>
      </c>
      <c r="AY222" s="3511">
        <v>0</v>
      </c>
      <c r="AZ222" s="3511">
        <v>0</v>
      </c>
      <c r="BA222" s="3511">
        <v>0</v>
      </c>
      <c r="BB222" s="3511">
        <v>115367.8</v>
      </c>
      <c r="BC222" s="3511">
        <v>72</v>
      </c>
      <c r="BD222" s="3511">
        <v>36.25</v>
      </c>
      <c r="BE222" s="3511">
        <v>11</v>
      </c>
      <c r="BF222" s="3511">
        <v>0</v>
      </c>
      <c r="BG222" s="3511">
        <v>43</v>
      </c>
      <c r="BH222" s="3511">
        <v>0</v>
      </c>
      <c r="BI222" s="3511">
        <v>0</v>
      </c>
      <c r="BJ222" s="3511">
        <v>0</v>
      </c>
      <c r="BK222" s="3511">
        <v>0</v>
      </c>
      <c r="BL222" s="3511">
        <v>0</v>
      </c>
      <c r="BM222" s="3511">
        <v>54</v>
      </c>
      <c r="BN222" s="3517">
        <v>105</v>
      </c>
      <c r="BO222" s="3519">
        <v>72500</v>
      </c>
      <c r="BP222" s="3464">
        <v>42867.8</v>
      </c>
      <c r="BQ222" s="3464">
        <v>0</v>
      </c>
      <c r="BR222" s="3464">
        <v>0</v>
      </c>
      <c r="BS222" s="3464">
        <v>0</v>
      </c>
      <c r="BT222" s="3464">
        <v>0</v>
      </c>
      <c r="BU222" s="3464">
        <v>0</v>
      </c>
      <c r="BV222" s="3464">
        <v>0</v>
      </c>
      <c r="BW222" s="3464">
        <v>-26197</v>
      </c>
      <c r="BX222" s="3464">
        <v>0</v>
      </c>
      <c r="BY222" s="3464">
        <v>0</v>
      </c>
      <c r="BZ222" s="3464">
        <v>0</v>
      </c>
      <c r="CA222" s="3524">
        <v>0</v>
      </c>
      <c r="CB222" s="3519">
        <v>89170.8</v>
      </c>
      <c r="CC222" s="3464">
        <v>16670.800000000003</v>
      </c>
      <c r="CD222" s="3464">
        <v>72</v>
      </c>
      <c r="CE222" s="3464">
        <v>36.25</v>
      </c>
      <c r="CF222" s="3464">
        <v>11</v>
      </c>
      <c r="CG222" s="3464">
        <v>0</v>
      </c>
      <c r="CH222" s="3524">
        <v>5</v>
      </c>
      <c r="CI222" s="3524">
        <v>0</v>
      </c>
      <c r="CJ222" s="3524">
        <v>0</v>
      </c>
      <c r="CK222" s="3524">
        <v>0</v>
      </c>
      <c r="CL222" s="3524">
        <v>0</v>
      </c>
      <c r="CM222" s="3524">
        <v>0</v>
      </c>
    </row>
    <row r="223" spans="1:91" ht="15.75" thickBot="1">
      <c r="A223" s="3556"/>
      <c r="B223" s="2551" t="str">
        <f t="shared" si="3"/>
        <v>3041410004</v>
      </c>
      <c r="C223" s="2493" t="s">
        <v>710</v>
      </c>
      <c r="D223" s="2018">
        <v>4141</v>
      </c>
      <c r="E223" s="2018">
        <v>4</v>
      </c>
      <c r="F223" s="2019">
        <v>19230</v>
      </c>
      <c r="G223" s="2498" t="s">
        <v>947</v>
      </c>
      <c r="H223" s="2018" t="s">
        <v>1560</v>
      </c>
      <c r="I223" s="2020">
        <v>1</v>
      </c>
      <c r="J223" s="2501">
        <v>0</v>
      </c>
      <c r="K223" s="2501">
        <v>20856</v>
      </c>
      <c r="L223" s="2501">
        <v>0</v>
      </c>
      <c r="M223" s="2501">
        <v>20856</v>
      </c>
      <c r="N223" s="2508">
        <v>1</v>
      </c>
      <c r="O223" s="2503" t="s">
        <v>720</v>
      </c>
      <c r="P223" s="3657"/>
      <c r="Q223" s="3657"/>
      <c r="R223" s="3657"/>
      <c r="S223" s="3657"/>
      <c r="T223" s="3657"/>
      <c r="U223" s="3657"/>
      <c r="V223" s="3657"/>
      <c r="W223" s="3657"/>
      <c r="X223" s="3657"/>
      <c r="Y223" s="3657"/>
      <c r="Z223" s="3657"/>
      <c r="AA223" s="3657"/>
      <c r="AB223" s="3672"/>
      <c r="AC223" s="3658"/>
      <c r="AD223" s="3658"/>
      <c r="AE223" s="3658"/>
      <c r="AF223" s="3658"/>
      <c r="AG223" s="3658"/>
      <c r="AH223" s="3658"/>
      <c r="AI223" s="3658"/>
      <c r="AJ223" s="3658"/>
      <c r="AK223" s="3658"/>
      <c r="AL223" s="3674"/>
      <c r="AM223" s="3516"/>
      <c r="AN223" s="3470"/>
      <c r="AO223" s="3718"/>
      <c r="AP223" s="3719"/>
      <c r="AQ223" s="3719"/>
      <c r="AR223" s="3719"/>
      <c r="AS223" s="3719"/>
      <c r="AT223" s="3719"/>
      <c r="AU223" s="3719"/>
      <c r="AV223" s="3719"/>
      <c r="AW223" s="3719"/>
      <c r="AX223" s="3719"/>
      <c r="AY223" s="3719"/>
      <c r="AZ223" s="3719"/>
      <c r="BA223" s="3719"/>
      <c r="BB223" s="3719"/>
      <c r="BC223" s="3719"/>
      <c r="BD223" s="3719"/>
      <c r="BE223" s="3719"/>
      <c r="BF223" s="3719"/>
      <c r="BG223" s="3719"/>
      <c r="BH223" s="3719"/>
      <c r="BI223" s="3719"/>
      <c r="BJ223" s="3719"/>
      <c r="BK223" s="3719"/>
      <c r="BL223" s="3719"/>
      <c r="BM223" s="3719"/>
      <c r="BN223" s="3518"/>
      <c r="BO223" s="3520"/>
      <c r="BP223" s="3466"/>
      <c r="BQ223" s="3466"/>
      <c r="BR223" s="3466"/>
      <c r="BS223" s="3466"/>
      <c r="BT223" s="3466"/>
      <c r="BU223" s="3466"/>
      <c r="BV223" s="3466"/>
      <c r="BW223" s="3466"/>
      <c r="BX223" s="3466"/>
      <c r="BY223" s="3466"/>
      <c r="BZ223" s="3466"/>
      <c r="CA223" s="3477"/>
      <c r="CB223" s="3520"/>
      <c r="CC223" s="3466"/>
      <c r="CD223" s="3466"/>
      <c r="CE223" s="3466"/>
      <c r="CF223" s="3466"/>
      <c r="CG223" s="3466"/>
      <c r="CH223" s="3477"/>
      <c r="CI223" s="3477"/>
      <c r="CJ223" s="3477"/>
      <c r="CK223" s="3477"/>
      <c r="CL223" s="3477"/>
      <c r="CM223" s="3477"/>
    </row>
    <row r="224" spans="1:91">
      <c r="A224" s="3567" t="s">
        <v>1823</v>
      </c>
      <c r="B224" s="2551" t="str">
        <f t="shared" si="3"/>
        <v>3041410027</v>
      </c>
      <c r="C224" s="2010" t="s">
        <v>703</v>
      </c>
      <c r="D224" s="2011">
        <v>4141</v>
      </c>
      <c r="E224" s="2011">
        <v>27</v>
      </c>
      <c r="F224" s="2494">
        <v>11250</v>
      </c>
      <c r="G224" s="2496" t="s">
        <v>947</v>
      </c>
      <c r="H224" s="2011" t="s">
        <v>1560</v>
      </c>
      <c r="I224" s="2012">
        <v>1</v>
      </c>
      <c r="J224" s="2491">
        <v>0</v>
      </c>
      <c r="K224" s="2491">
        <v>0</v>
      </c>
      <c r="L224" s="2491">
        <v>11250</v>
      </c>
      <c r="M224" s="2491">
        <v>14250</v>
      </c>
      <c r="N224" s="2489">
        <v>0</v>
      </c>
      <c r="O224" s="2490" t="s">
        <v>1824</v>
      </c>
      <c r="P224" s="3284">
        <v>0</v>
      </c>
      <c r="Q224" s="3284">
        <v>0</v>
      </c>
      <c r="R224" s="3284">
        <v>0</v>
      </c>
      <c r="S224" s="3284">
        <v>0</v>
      </c>
      <c r="T224" s="3284">
        <v>0</v>
      </c>
      <c r="U224" s="3284">
        <v>0</v>
      </c>
      <c r="V224" s="3284">
        <v>11250</v>
      </c>
      <c r="W224" s="3284">
        <v>0</v>
      </c>
      <c r="X224" s="3284">
        <v>0</v>
      </c>
      <c r="Y224" s="3284">
        <v>0</v>
      </c>
      <c r="Z224" s="3284">
        <v>3000</v>
      </c>
      <c r="AA224" s="3284">
        <v>0</v>
      </c>
      <c r="AB224" s="3530">
        <v>14250</v>
      </c>
      <c r="AC224" s="3286">
        <v>0</v>
      </c>
      <c r="AD224" s="3286">
        <v>0</v>
      </c>
      <c r="AE224" s="3286">
        <v>60</v>
      </c>
      <c r="AF224" s="3286">
        <v>0</v>
      </c>
      <c r="AG224" s="3286">
        <v>0</v>
      </c>
      <c r="AH224" s="3286">
        <v>0</v>
      </c>
      <c r="AI224" s="3286">
        <v>3</v>
      </c>
      <c r="AJ224" s="3286">
        <v>0</v>
      </c>
      <c r="AK224" s="3286">
        <v>63</v>
      </c>
      <c r="AL224" s="3673">
        <v>25</v>
      </c>
      <c r="AM224" s="3515" t="s">
        <v>1395</v>
      </c>
      <c r="AN224" s="3512" t="s">
        <v>1560</v>
      </c>
      <c r="AO224" s="3407" t="s">
        <v>1822</v>
      </c>
      <c r="AP224" s="3511">
        <v>66450</v>
      </c>
      <c r="AQ224" s="3511">
        <v>37050</v>
      </c>
      <c r="AR224" s="3511">
        <v>0</v>
      </c>
      <c r="AS224" s="3511">
        <v>0</v>
      </c>
      <c r="AT224" s="3511">
        <v>0</v>
      </c>
      <c r="AU224" s="3511">
        <v>0</v>
      </c>
      <c r="AV224" s="3511">
        <v>0</v>
      </c>
      <c r="AW224" s="3511">
        <v>0</v>
      </c>
      <c r="AX224" s="3511">
        <v>0</v>
      </c>
      <c r="AY224" s="3511">
        <v>0</v>
      </c>
      <c r="AZ224" s="3511">
        <v>0</v>
      </c>
      <c r="BA224" s="3511">
        <v>0</v>
      </c>
      <c r="BB224" s="3511">
        <v>103500</v>
      </c>
      <c r="BC224" s="3511">
        <v>66</v>
      </c>
      <c r="BD224" s="3511">
        <v>33.225000000000001</v>
      </c>
      <c r="BE224" s="3511">
        <v>10</v>
      </c>
      <c r="BF224" s="3511">
        <v>0</v>
      </c>
      <c r="BG224" s="3511">
        <v>37</v>
      </c>
      <c r="BH224" s="3511">
        <v>0</v>
      </c>
      <c r="BI224" s="3511">
        <v>0</v>
      </c>
      <c r="BJ224" s="3511">
        <v>0</v>
      </c>
      <c r="BK224" s="3511">
        <v>0</v>
      </c>
      <c r="BL224" s="3511">
        <v>0</v>
      </c>
      <c r="BM224" s="3511">
        <v>47</v>
      </c>
      <c r="BN224" s="3517">
        <v>105</v>
      </c>
      <c r="BO224" s="3519">
        <v>66450</v>
      </c>
      <c r="BP224" s="3464">
        <v>37050</v>
      </c>
      <c r="BQ224" s="3464">
        <v>0</v>
      </c>
      <c r="BR224" s="3464">
        <v>0</v>
      </c>
      <c r="BS224" s="3464">
        <v>0</v>
      </c>
      <c r="BT224" s="3464">
        <v>0</v>
      </c>
      <c r="BU224" s="3464">
        <v>0</v>
      </c>
      <c r="BV224" s="3464">
        <v>-11250</v>
      </c>
      <c r="BW224" s="3464">
        <v>0</v>
      </c>
      <c r="BX224" s="3464">
        <v>0</v>
      </c>
      <c r="BY224" s="3464">
        <v>0</v>
      </c>
      <c r="BZ224" s="3464">
        <v>-3000</v>
      </c>
      <c r="CA224" s="3524">
        <v>0</v>
      </c>
      <c r="CB224" s="3519">
        <v>89250</v>
      </c>
      <c r="CC224" s="3464">
        <v>25800</v>
      </c>
      <c r="CD224" s="3464">
        <v>66</v>
      </c>
      <c r="CE224" s="3464">
        <v>33.225000000000001</v>
      </c>
      <c r="CF224" s="3464">
        <v>10</v>
      </c>
      <c r="CG224" s="3464">
        <v>0</v>
      </c>
      <c r="CH224" s="3524">
        <v>-23</v>
      </c>
      <c r="CI224" s="3524">
        <v>0</v>
      </c>
      <c r="CJ224" s="3524">
        <v>0</v>
      </c>
      <c r="CK224" s="3524">
        <v>0</v>
      </c>
      <c r="CL224" s="3524">
        <v>-3</v>
      </c>
      <c r="CM224" s="3524">
        <v>0</v>
      </c>
    </row>
    <row r="225" spans="1:91" ht="15.75" thickBot="1">
      <c r="A225" s="3556"/>
      <c r="B225" s="2551" t="str">
        <f t="shared" si="3"/>
        <v>3041410030</v>
      </c>
      <c r="C225" s="2493" t="s">
        <v>710</v>
      </c>
      <c r="D225" s="2018">
        <v>4141</v>
      </c>
      <c r="E225" s="2018">
        <v>30</v>
      </c>
      <c r="F225" s="2019">
        <v>11250</v>
      </c>
      <c r="G225" s="2498" t="s">
        <v>947</v>
      </c>
      <c r="H225" s="2018" t="s">
        <v>1560</v>
      </c>
      <c r="I225" s="2020">
        <v>1</v>
      </c>
      <c r="J225" s="2501">
        <v>0</v>
      </c>
      <c r="K225" s="2501">
        <v>0</v>
      </c>
      <c r="L225" s="2501">
        <v>0</v>
      </c>
      <c r="M225" s="2501">
        <v>0</v>
      </c>
      <c r="N225" s="2508">
        <v>0</v>
      </c>
      <c r="O225" s="2503" t="s">
        <v>720</v>
      </c>
      <c r="P225" s="3657"/>
      <c r="Q225" s="3657"/>
      <c r="R225" s="3657"/>
      <c r="S225" s="3657"/>
      <c r="T225" s="3657"/>
      <c r="U225" s="3657"/>
      <c r="V225" s="3657"/>
      <c r="W225" s="3657"/>
      <c r="X225" s="3657"/>
      <c r="Y225" s="3657"/>
      <c r="Z225" s="3657"/>
      <c r="AA225" s="3657"/>
      <c r="AB225" s="3672"/>
      <c r="AC225" s="3658"/>
      <c r="AD225" s="3658"/>
      <c r="AE225" s="3658"/>
      <c r="AF225" s="3658"/>
      <c r="AG225" s="3658"/>
      <c r="AH225" s="3658"/>
      <c r="AI225" s="3658"/>
      <c r="AJ225" s="3658"/>
      <c r="AK225" s="3658"/>
      <c r="AL225" s="3674"/>
      <c r="AM225" s="3516"/>
      <c r="AN225" s="3470"/>
      <c r="AO225" s="3718"/>
      <c r="AP225" s="3719"/>
      <c r="AQ225" s="3719"/>
      <c r="AR225" s="3719"/>
      <c r="AS225" s="3719"/>
      <c r="AT225" s="3719"/>
      <c r="AU225" s="3719"/>
      <c r="AV225" s="3719"/>
      <c r="AW225" s="3719"/>
      <c r="AX225" s="3719"/>
      <c r="AY225" s="3719"/>
      <c r="AZ225" s="3719"/>
      <c r="BA225" s="3719"/>
      <c r="BB225" s="3719"/>
      <c r="BC225" s="3719"/>
      <c r="BD225" s="3719"/>
      <c r="BE225" s="3719"/>
      <c r="BF225" s="3719"/>
      <c r="BG225" s="3719"/>
      <c r="BH225" s="3719"/>
      <c r="BI225" s="3719"/>
      <c r="BJ225" s="3719"/>
      <c r="BK225" s="3719"/>
      <c r="BL225" s="3719"/>
      <c r="BM225" s="3719"/>
      <c r="BN225" s="3518"/>
      <c r="BO225" s="3520"/>
      <c r="BP225" s="3466"/>
      <c r="BQ225" s="3466"/>
      <c r="BR225" s="3466"/>
      <c r="BS225" s="3466"/>
      <c r="BT225" s="3466"/>
      <c r="BU225" s="3466"/>
      <c r="BV225" s="3466"/>
      <c r="BW225" s="3466"/>
      <c r="BX225" s="3466"/>
      <c r="BY225" s="3466"/>
      <c r="BZ225" s="3466"/>
      <c r="CA225" s="3477"/>
      <c r="CB225" s="3520"/>
      <c r="CC225" s="3466"/>
      <c r="CD225" s="3466"/>
      <c r="CE225" s="3466"/>
      <c r="CF225" s="3466"/>
      <c r="CG225" s="3466"/>
      <c r="CH225" s="3477"/>
      <c r="CI225" s="3477"/>
      <c r="CJ225" s="3477"/>
      <c r="CK225" s="3477"/>
      <c r="CL225" s="3477"/>
      <c r="CM225" s="3477"/>
    </row>
    <row r="226" spans="1:91">
      <c r="A226" s="3567" t="s">
        <v>1825</v>
      </c>
      <c r="B226" s="2551" t="str">
        <f t="shared" si="3"/>
        <v>3041410033</v>
      </c>
      <c r="C226" s="2010" t="s">
        <v>703</v>
      </c>
      <c r="D226" s="2011">
        <v>4141</v>
      </c>
      <c r="E226" s="2011">
        <v>33</v>
      </c>
      <c r="F226" s="2494">
        <v>4083</v>
      </c>
      <c r="G226" s="2496" t="s">
        <v>947</v>
      </c>
      <c r="H226" s="2011" t="s">
        <v>1560</v>
      </c>
      <c r="I226" s="2012">
        <v>1</v>
      </c>
      <c r="J226" s="2491">
        <v>0</v>
      </c>
      <c r="K226" s="2491">
        <v>0</v>
      </c>
      <c r="L226" s="2491">
        <v>0</v>
      </c>
      <c r="M226" s="2491">
        <v>0</v>
      </c>
      <c r="N226" s="2489">
        <v>0</v>
      </c>
      <c r="O226" s="2437" t="s">
        <v>720</v>
      </c>
      <c r="P226" s="3272">
        <v>0</v>
      </c>
      <c r="Q226" s="3272">
        <v>0</v>
      </c>
      <c r="R226" s="3272">
        <v>0</v>
      </c>
      <c r="S226" s="3272">
        <v>0</v>
      </c>
      <c r="T226" s="3272">
        <v>0</v>
      </c>
      <c r="U226" s="3272">
        <v>0</v>
      </c>
      <c r="V226" s="3272">
        <v>0</v>
      </c>
      <c r="W226" s="3272">
        <v>12790</v>
      </c>
      <c r="X226" s="3272">
        <v>0</v>
      </c>
      <c r="Y226" s="3272">
        <v>0</v>
      </c>
      <c r="Z226" s="3272">
        <v>0</v>
      </c>
      <c r="AA226" s="3272">
        <v>0</v>
      </c>
      <c r="AB226" s="3507">
        <v>12790</v>
      </c>
      <c r="AC226" s="3265">
        <v>0</v>
      </c>
      <c r="AD226" s="3265">
        <v>0</v>
      </c>
      <c r="AE226" s="3265">
        <v>0</v>
      </c>
      <c r="AF226" s="3265">
        <v>0</v>
      </c>
      <c r="AG226" s="3265">
        <v>0</v>
      </c>
      <c r="AH226" s="3265">
        <v>0</v>
      </c>
      <c r="AI226" s="3265">
        <v>0</v>
      </c>
      <c r="AJ226" s="3265">
        <v>0</v>
      </c>
      <c r="AK226" s="3265">
        <v>0</v>
      </c>
      <c r="AL226" s="3513">
        <v>15</v>
      </c>
      <c r="AM226" s="3515" t="s">
        <v>1395</v>
      </c>
      <c r="AN226" s="3512" t="s">
        <v>1560</v>
      </c>
      <c r="AO226" s="3407" t="s">
        <v>1822</v>
      </c>
      <c r="AP226" s="3511">
        <v>57939</v>
      </c>
      <c r="AQ226" s="3511">
        <v>28416.400000000001</v>
      </c>
      <c r="AR226" s="3511">
        <v>0</v>
      </c>
      <c r="AS226" s="3511">
        <v>0</v>
      </c>
      <c r="AT226" s="3511">
        <v>0</v>
      </c>
      <c r="AU226" s="3511">
        <v>0</v>
      </c>
      <c r="AV226" s="3511">
        <v>0</v>
      </c>
      <c r="AW226" s="3511">
        <v>0</v>
      </c>
      <c r="AX226" s="3511">
        <v>0</v>
      </c>
      <c r="AY226" s="3511">
        <v>0</v>
      </c>
      <c r="AZ226" s="3511">
        <v>0</v>
      </c>
      <c r="BA226" s="3511">
        <v>0</v>
      </c>
      <c r="BB226" s="3511">
        <v>86355.4</v>
      </c>
      <c r="BC226" s="3511">
        <v>57</v>
      </c>
      <c r="BD226" s="3511">
        <v>28.9695</v>
      </c>
      <c r="BE226" s="3511">
        <v>9</v>
      </c>
      <c r="BF226" s="3511">
        <v>0</v>
      </c>
      <c r="BG226" s="3511">
        <v>28</v>
      </c>
      <c r="BH226" s="3511">
        <v>0</v>
      </c>
      <c r="BI226" s="3511">
        <v>0</v>
      </c>
      <c r="BJ226" s="3511">
        <v>0</v>
      </c>
      <c r="BK226" s="3511">
        <v>0</v>
      </c>
      <c r="BL226" s="3511">
        <v>0</v>
      </c>
      <c r="BM226" s="3511">
        <v>37</v>
      </c>
      <c r="BN226" s="3517">
        <v>105</v>
      </c>
      <c r="BO226" s="3519">
        <v>57939</v>
      </c>
      <c r="BP226" s="3464">
        <v>28416.400000000001</v>
      </c>
      <c r="BQ226" s="3464">
        <v>0</v>
      </c>
      <c r="BR226" s="3464">
        <v>0</v>
      </c>
      <c r="BS226" s="3464">
        <v>0</v>
      </c>
      <c r="BT226" s="3464">
        <v>0</v>
      </c>
      <c r="BU226" s="3464">
        <v>0</v>
      </c>
      <c r="BV226" s="3464">
        <v>0</v>
      </c>
      <c r="BW226" s="3464">
        <v>-12790</v>
      </c>
      <c r="BX226" s="3464">
        <v>0</v>
      </c>
      <c r="BY226" s="3464">
        <v>0</v>
      </c>
      <c r="BZ226" s="3464">
        <v>0</v>
      </c>
      <c r="CA226" s="3524">
        <v>0</v>
      </c>
      <c r="CB226" s="3519">
        <v>73565.399999999994</v>
      </c>
      <c r="CC226" s="3464">
        <v>15626.400000000001</v>
      </c>
      <c r="CD226" s="3464">
        <v>57</v>
      </c>
      <c r="CE226" s="3464">
        <v>28.9695</v>
      </c>
      <c r="CF226" s="3464">
        <v>9</v>
      </c>
      <c r="CG226" s="3464">
        <v>0</v>
      </c>
      <c r="CH226" s="3524">
        <v>28</v>
      </c>
      <c r="CI226" s="3524">
        <v>0</v>
      </c>
      <c r="CJ226" s="3524">
        <v>0</v>
      </c>
      <c r="CK226" s="3524">
        <v>0</v>
      </c>
      <c r="CL226" s="3524">
        <v>0</v>
      </c>
      <c r="CM226" s="3524">
        <v>0</v>
      </c>
    </row>
    <row r="227" spans="1:91">
      <c r="A227" s="3568"/>
      <c r="B227" s="2551" t="str">
        <f t="shared" si="3"/>
        <v>3041410035</v>
      </c>
      <c r="C227" s="2492" t="s">
        <v>710</v>
      </c>
      <c r="D227" s="2026">
        <v>4141</v>
      </c>
      <c r="E227" s="2026">
        <v>35</v>
      </c>
      <c r="F227" s="2027">
        <v>7990</v>
      </c>
      <c r="G227" s="2497" t="s">
        <v>947</v>
      </c>
      <c r="H227" s="2026" t="s">
        <v>1560</v>
      </c>
      <c r="I227" s="2028">
        <v>1</v>
      </c>
      <c r="J227" s="2500">
        <v>0</v>
      </c>
      <c r="K227" s="2500">
        <v>7050</v>
      </c>
      <c r="L227" s="2500">
        <v>0</v>
      </c>
      <c r="M227" s="2500">
        <v>7050</v>
      </c>
      <c r="N227" s="2029">
        <v>0</v>
      </c>
      <c r="O227" s="2502" t="s">
        <v>1826</v>
      </c>
      <c r="P227" s="3273"/>
      <c r="Q227" s="3273"/>
      <c r="R227" s="3273"/>
      <c r="S227" s="3273"/>
      <c r="T227" s="3273"/>
      <c r="U227" s="3273"/>
      <c r="V227" s="3273"/>
      <c r="W227" s="3273"/>
      <c r="X227" s="3273"/>
      <c r="Y227" s="3273"/>
      <c r="Z227" s="3273"/>
      <c r="AA227" s="3273"/>
      <c r="AB227" s="3508"/>
      <c r="AC227" s="3274"/>
      <c r="AD227" s="3274"/>
      <c r="AE227" s="3274"/>
      <c r="AF227" s="3274"/>
      <c r="AG227" s="3274"/>
      <c r="AH227" s="3274"/>
      <c r="AI227" s="3274"/>
      <c r="AJ227" s="3274"/>
      <c r="AK227" s="3274"/>
      <c r="AL227" s="3529"/>
      <c r="AM227" s="3525"/>
      <c r="AN227" s="3469"/>
      <c r="AO227" s="3526"/>
      <c r="AP227" s="3527"/>
      <c r="AQ227" s="3527"/>
      <c r="AR227" s="3527"/>
      <c r="AS227" s="3527"/>
      <c r="AT227" s="3527"/>
      <c r="AU227" s="3527"/>
      <c r="AV227" s="3527"/>
      <c r="AW227" s="3527"/>
      <c r="AX227" s="3527"/>
      <c r="AY227" s="3527"/>
      <c r="AZ227" s="3527"/>
      <c r="BA227" s="3527"/>
      <c r="BB227" s="3527"/>
      <c r="BC227" s="3527"/>
      <c r="BD227" s="3527"/>
      <c r="BE227" s="3527"/>
      <c r="BF227" s="3527"/>
      <c r="BG227" s="3527"/>
      <c r="BH227" s="3527"/>
      <c r="BI227" s="3527"/>
      <c r="BJ227" s="3527"/>
      <c r="BK227" s="3527"/>
      <c r="BL227" s="3527"/>
      <c r="BM227" s="3527"/>
      <c r="BN227" s="3535"/>
      <c r="BO227" s="3534"/>
      <c r="BP227" s="3465"/>
      <c r="BQ227" s="3465"/>
      <c r="BR227" s="3465"/>
      <c r="BS227" s="3465"/>
      <c r="BT227" s="3465"/>
      <c r="BU227" s="3465"/>
      <c r="BV227" s="3465"/>
      <c r="BW227" s="3465"/>
      <c r="BX227" s="3465"/>
      <c r="BY227" s="3465"/>
      <c r="BZ227" s="3465"/>
      <c r="CA227" s="3533"/>
      <c r="CB227" s="3534"/>
      <c r="CC227" s="3465"/>
      <c r="CD227" s="3465"/>
      <c r="CE227" s="3465"/>
      <c r="CF227" s="3465"/>
      <c r="CG227" s="3465"/>
      <c r="CH227" s="3533"/>
      <c r="CI227" s="3533"/>
      <c r="CJ227" s="3533"/>
      <c r="CK227" s="3533"/>
      <c r="CL227" s="3533"/>
      <c r="CM227" s="3533"/>
    </row>
    <row r="228" spans="1:91" ht="15.75" thickBot="1">
      <c r="A228" s="3556"/>
      <c r="B228" s="2551" t="str">
        <f t="shared" si="3"/>
        <v>3041410039</v>
      </c>
      <c r="C228" s="2493" t="s">
        <v>721</v>
      </c>
      <c r="D228" s="2018">
        <v>4141</v>
      </c>
      <c r="E228" s="2018">
        <v>39</v>
      </c>
      <c r="F228" s="2019">
        <v>6700</v>
      </c>
      <c r="G228" s="2498" t="s">
        <v>947</v>
      </c>
      <c r="H228" s="2018" t="s">
        <v>1560</v>
      </c>
      <c r="I228" s="2020">
        <v>1</v>
      </c>
      <c r="J228" s="2501">
        <v>0</v>
      </c>
      <c r="K228" s="2501">
        <v>5740</v>
      </c>
      <c r="L228" s="2501">
        <v>0</v>
      </c>
      <c r="M228" s="2501">
        <v>5740</v>
      </c>
      <c r="N228" s="2508">
        <v>0</v>
      </c>
      <c r="O228" s="2453" t="s">
        <v>1826</v>
      </c>
      <c r="P228" s="3359"/>
      <c r="Q228" s="3359"/>
      <c r="R228" s="3359"/>
      <c r="S228" s="3359"/>
      <c r="T228" s="3359"/>
      <c r="U228" s="3359"/>
      <c r="V228" s="3359"/>
      <c r="W228" s="3359"/>
      <c r="X228" s="3359"/>
      <c r="Y228" s="3359"/>
      <c r="Z228" s="3359"/>
      <c r="AA228" s="3359"/>
      <c r="AB228" s="3536"/>
      <c r="AC228" s="3361"/>
      <c r="AD228" s="3361"/>
      <c r="AE228" s="3361"/>
      <c r="AF228" s="3361"/>
      <c r="AG228" s="3361"/>
      <c r="AH228" s="3361"/>
      <c r="AI228" s="3361"/>
      <c r="AJ228" s="3361"/>
      <c r="AK228" s="3361"/>
      <c r="AL228" s="3514"/>
      <c r="AM228" s="3516"/>
      <c r="AN228" s="3470"/>
      <c r="AO228" s="3718"/>
      <c r="AP228" s="3719"/>
      <c r="AQ228" s="3719"/>
      <c r="AR228" s="3719"/>
      <c r="AS228" s="3719"/>
      <c r="AT228" s="3719"/>
      <c r="AU228" s="3719"/>
      <c r="AV228" s="3719"/>
      <c r="AW228" s="3719"/>
      <c r="AX228" s="3719"/>
      <c r="AY228" s="3719"/>
      <c r="AZ228" s="3719"/>
      <c r="BA228" s="3719"/>
      <c r="BB228" s="3719"/>
      <c r="BC228" s="3719"/>
      <c r="BD228" s="3719"/>
      <c r="BE228" s="3719"/>
      <c r="BF228" s="3719"/>
      <c r="BG228" s="3719"/>
      <c r="BH228" s="3719"/>
      <c r="BI228" s="3719"/>
      <c r="BJ228" s="3719"/>
      <c r="BK228" s="3719"/>
      <c r="BL228" s="3719"/>
      <c r="BM228" s="3719"/>
      <c r="BN228" s="3518"/>
      <c r="BO228" s="3520"/>
      <c r="BP228" s="3466"/>
      <c r="BQ228" s="3466"/>
      <c r="BR228" s="3466"/>
      <c r="BS228" s="3466"/>
      <c r="BT228" s="3466"/>
      <c r="BU228" s="3466"/>
      <c r="BV228" s="3466"/>
      <c r="BW228" s="3466"/>
      <c r="BX228" s="3466"/>
      <c r="BY228" s="3466"/>
      <c r="BZ228" s="3466"/>
      <c r="CA228" s="3477"/>
      <c r="CB228" s="3520"/>
      <c r="CC228" s="3466"/>
      <c r="CD228" s="3466"/>
      <c r="CE228" s="3466"/>
      <c r="CF228" s="3466"/>
      <c r="CG228" s="3466"/>
      <c r="CH228" s="3477"/>
      <c r="CI228" s="3477"/>
      <c r="CJ228" s="3477"/>
      <c r="CK228" s="3477"/>
      <c r="CL228" s="3477"/>
      <c r="CM228" s="3477"/>
    </row>
    <row r="229" spans="1:91">
      <c r="A229" s="3567" t="s">
        <v>1827</v>
      </c>
      <c r="B229" s="2551" t="str">
        <f t="shared" si="3"/>
        <v>3041560001</v>
      </c>
      <c r="C229" s="2010" t="s">
        <v>703</v>
      </c>
      <c r="D229" s="2011">
        <v>4156</v>
      </c>
      <c r="E229" s="2011">
        <v>1</v>
      </c>
      <c r="F229" s="2494">
        <v>10000</v>
      </c>
      <c r="G229" s="2496" t="s">
        <v>1079</v>
      </c>
      <c r="H229" s="2011" t="s">
        <v>1584</v>
      </c>
      <c r="I229" s="2012">
        <v>1.25</v>
      </c>
      <c r="J229" s="2491">
        <v>0</v>
      </c>
      <c r="K229" s="2491">
        <v>4500</v>
      </c>
      <c r="L229" s="2491">
        <v>0</v>
      </c>
      <c r="M229" s="2491">
        <v>4500</v>
      </c>
      <c r="N229" s="2489">
        <v>0</v>
      </c>
      <c r="O229" s="2437" t="s">
        <v>1572</v>
      </c>
      <c r="P229" s="3272">
        <v>0</v>
      </c>
      <c r="Q229" s="3272">
        <v>0</v>
      </c>
      <c r="R229" s="3272">
        <v>0</v>
      </c>
      <c r="S229" s="3272">
        <v>0</v>
      </c>
      <c r="T229" s="3272">
        <v>11410</v>
      </c>
      <c r="U229" s="3272">
        <v>0</v>
      </c>
      <c r="V229" s="3272">
        <v>0</v>
      </c>
      <c r="W229" s="3272">
        <v>0</v>
      </c>
      <c r="X229" s="3272">
        <v>0</v>
      </c>
      <c r="Y229" s="3272">
        <v>0</v>
      </c>
      <c r="Z229" s="3272">
        <v>0</v>
      </c>
      <c r="AA229" s="3272">
        <v>0</v>
      </c>
      <c r="AB229" s="3507">
        <v>11410</v>
      </c>
      <c r="AC229" s="3265">
        <v>0</v>
      </c>
      <c r="AD229" s="3265">
        <v>0</v>
      </c>
      <c r="AE229" s="3265">
        <v>15</v>
      </c>
      <c r="AF229" s="3265">
        <v>0</v>
      </c>
      <c r="AG229" s="3265">
        <v>0</v>
      </c>
      <c r="AH229" s="3265">
        <v>0</v>
      </c>
      <c r="AI229" s="3265">
        <v>0</v>
      </c>
      <c r="AJ229" s="3265">
        <v>0</v>
      </c>
      <c r="AK229" s="3265">
        <v>15</v>
      </c>
      <c r="AL229" s="3513">
        <v>15</v>
      </c>
      <c r="AM229" s="3515" t="s">
        <v>1585</v>
      </c>
      <c r="AN229" s="3512" t="s">
        <v>706</v>
      </c>
      <c r="AO229" s="3407" t="s">
        <v>1599</v>
      </c>
      <c r="AP229" s="3511">
        <v>54171</v>
      </c>
      <c r="AQ229" s="3511">
        <v>17829</v>
      </c>
      <c r="AR229" s="3511">
        <v>0</v>
      </c>
      <c r="AS229" s="3511">
        <v>0</v>
      </c>
      <c r="AT229" s="3511">
        <v>0</v>
      </c>
      <c r="AU229" s="3511">
        <v>0</v>
      </c>
      <c r="AV229" s="3511">
        <v>0</v>
      </c>
      <c r="AW229" s="3511">
        <v>0</v>
      </c>
      <c r="AX229" s="3511">
        <v>0</v>
      </c>
      <c r="AY229" s="3511">
        <v>0</v>
      </c>
      <c r="AZ229" s="3511">
        <v>0</v>
      </c>
      <c r="BA229" s="3511">
        <v>0</v>
      </c>
      <c r="BB229" s="3511">
        <v>72000</v>
      </c>
      <c r="BC229" s="3511">
        <v>54</v>
      </c>
      <c r="BD229" s="3511">
        <v>27.0855</v>
      </c>
      <c r="BE229" s="3511">
        <v>14</v>
      </c>
      <c r="BF229" s="3511">
        <v>0</v>
      </c>
      <c r="BG229" s="3511">
        <v>18</v>
      </c>
      <c r="BH229" s="3511">
        <v>0</v>
      </c>
      <c r="BI229" s="3511">
        <v>0</v>
      </c>
      <c r="BJ229" s="3511">
        <v>0</v>
      </c>
      <c r="BK229" s="3511">
        <v>0</v>
      </c>
      <c r="BL229" s="3511">
        <v>0</v>
      </c>
      <c r="BM229" s="3511">
        <v>32</v>
      </c>
      <c r="BN229" s="3517">
        <v>85</v>
      </c>
      <c r="BO229" s="3519">
        <v>54171</v>
      </c>
      <c r="BP229" s="3464">
        <v>17829</v>
      </c>
      <c r="BQ229" s="3464">
        <v>0</v>
      </c>
      <c r="BR229" s="3464">
        <v>0</v>
      </c>
      <c r="BS229" s="3464">
        <v>0</v>
      </c>
      <c r="BT229" s="3464">
        <v>-11410</v>
      </c>
      <c r="BU229" s="3464">
        <v>0</v>
      </c>
      <c r="BV229" s="3464">
        <v>0</v>
      </c>
      <c r="BW229" s="3464">
        <v>0</v>
      </c>
      <c r="BX229" s="3464">
        <v>0</v>
      </c>
      <c r="BY229" s="3464">
        <v>0</v>
      </c>
      <c r="BZ229" s="3464">
        <v>0</v>
      </c>
      <c r="CA229" s="3524">
        <v>0</v>
      </c>
      <c r="CB229" s="3519">
        <v>60590</v>
      </c>
      <c r="CC229" s="3464">
        <v>6419</v>
      </c>
      <c r="CD229" s="3464">
        <v>54</v>
      </c>
      <c r="CE229" s="3464">
        <v>27.0855</v>
      </c>
      <c r="CF229" s="3464">
        <v>14</v>
      </c>
      <c r="CG229" s="3464">
        <v>0</v>
      </c>
      <c r="CH229" s="3524">
        <v>3</v>
      </c>
      <c r="CI229" s="3524">
        <v>0</v>
      </c>
      <c r="CJ229" s="3524">
        <v>0</v>
      </c>
      <c r="CK229" s="3524">
        <v>0</v>
      </c>
      <c r="CL229" s="3524">
        <v>0</v>
      </c>
      <c r="CM229" s="3524">
        <v>0</v>
      </c>
    </row>
    <row r="230" spans="1:91">
      <c r="A230" s="3568"/>
      <c r="B230" s="2551" t="str">
        <f t="shared" si="3"/>
        <v>3041560045</v>
      </c>
      <c r="C230" s="2492" t="s">
        <v>710</v>
      </c>
      <c r="D230" s="2026">
        <v>4156</v>
      </c>
      <c r="E230" s="2026">
        <v>45</v>
      </c>
      <c r="F230" s="2027">
        <v>9050</v>
      </c>
      <c r="G230" s="2497" t="s">
        <v>1079</v>
      </c>
      <c r="H230" s="2026" t="s">
        <v>1584</v>
      </c>
      <c r="I230" s="2028">
        <v>1.25</v>
      </c>
      <c r="J230" s="2500">
        <v>0</v>
      </c>
      <c r="K230" s="2500">
        <v>6480</v>
      </c>
      <c r="L230" s="2500">
        <v>0</v>
      </c>
      <c r="M230" s="2500">
        <v>6480</v>
      </c>
      <c r="N230" s="2029">
        <v>0</v>
      </c>
      <c r="O230" s="2502" t="s">
        <v>1572</v>
      </c>
      <c r="P230" s="3273"/>
      <c r="Q230" s="3273"/>
      <c r="R230" s="3273"/>
      <c r="S230" s="3273"/>
      <c r="T230" s="3273"/>
      <c r="U230" s="3273"/>
      <c r="V230" s="3273"/>
      <c r="W230" s="3273"/>
      <c r="X230" s="3273"/>
      <c r="Y230" s="3273"/>
      <c r="Z230" s="3273"/>
      <c r="AA230" s="3273"/>
      <c r="AB230" s="3508"/>
      <c r="AC230" s="3274"/>
      <c r="AD230" s="3274"/>
      <c r="AE230" s="3274"/>
      <c r="AF230" s="3274"/>
      <c r="AG230" s="3274"/>
      <c r="AH230" s="3274"/>
      <c r="AI230" s="3274"/>
      <c r="AJ230" s="3274"/>
      <c r="AK230" s="3274"/>
      <c r="AL230" s="3529"/>
      <c r="AM230" s="3525"/>
      <c r="AN230" s="3469"/>
      <c r="AO230" s="3526"/>
      <c r="AP230" s="3527"/>
      <c r="AQ230" s="3527"/>
      <c r="AR230" s="3527"/>
      <c r="AS230" s="3527"/>
      <c r="AT230" s="3527"/>
      <c r="AU230" s="3527"/>
      <c r="AV230" s="3527"/>
      <c r="AW230" s="3527"/>
      <c r="AX230" s="3527"/>
      <c r="AY230" s="3527"/>
      <c r="AZ230" s="3527"/>
      <c r="BA230" s="3527"/>
      <c r="BB230" s="3527"/>
      <c r="BC230" s="3527"/>
      <c r="BD230" s="3527"/>
      <c r="BE230" s="3527"/>
      <c r="BF230" s="3527"/>
      <c r="BG230" s="3527"/>
      <c r="BH230" s="3527"/>
      <c r="BI230" s="3527"/>
      <c r="BJ230" s="3527"/>
      <c r="BK230" s="3527"/>
      <c r="BL230" s="3527"/>
      <c r="BM230" s="3527"/>
      <c r="BN230" s="3535"/>
      <c r="BO230" s="3534"/>
      <c r="BP230" s="3465"/>
      <c r="BQ230" s="3465"/>
      <c r="BR230" s="3465"/>
      <c r="BS230" s="3465"/>
      <c r="BT230" s="3465"/>
      <c r="BU230" s="3465"/>
      <c r="BV230" s="3465"/>
      <c r="BW230" s="3465"/>
      <c r="BX230" s="3465"/>
      <c r="BY230" s="3465"/>
      <c r="BZ230" s="3465"/>
      <c r="CA230" s="3533"/>
      <c r="CB230" s="3534"/>
      <c r="CC230" s="3465"/>
      <c r="CD230" s="3465"/>
      <c r="CE230" s="3465"/>
      <c r="CF230" s="3465"/>
      <c r="CG230" s="3465"/>
      <c r="CH230" s="3533"/>
      <c r="CI230" s="3533"/>
      <c r="CJ230" s="3533"/>
      <c r="CK230" s="3533"/>
      <c r="CL230" s="3533"/>
      <c r="CM230" s="3533"/>
    </row>
    <row r="231" spans="1:91" ht="15.75" thickBot="1">
      <c r="A231" s="3556"/>
      <c r="B231" s="2551" t="str">
        <f t="shared" si="3"/>
        <v>3041560050</v>
      </c>
      <c r="C231" s="2493" t="s">
        <v>721</v>
      </c>
      <c r="D231" s="2018">
        <v>4156</v>
      </c>
      <c r="E231" s="2018">
        <v>50</v>
      </c>
      <c r="F231" s="2019">
        <v>950</v>
      </c>
      <c r="G231" s="2498" t="s">
        <v>1079</v>
      </c>
      <c r="H231" s="2018" t="s">
        <v>1584</v>
      </c>
      <c r="I231" s="2020">
        <v>1.25</v>
      </c>
      <c r="J231" s="2501">
        <v>0</v>
      </c>
      <c r="K231" s="2501">
        <v>430</v>
      </c>
      <c r="L231" s="2501">
        <v>0</v>
      </c>
      <c r="M231" s="2501">
        <v>430</v>
      </c>
      <c r="N231" s="2508">
        <v>0</v>
      </c>
      <c r="O231" s="2453" t="s">
        <v>1572</v>
      </c>
      <c r="P231" s="3359"/>
      <c r="Q231" s="3359"/>
      <c r="R231" s="3359"/>
      <c r="S231" s="3359"/>
      <c r="T231" s="3359"/>
      <c r="U231" s="3359"/>
      <c r="V231" s="3359"/>
      <c r="W231" s="3359"/>
      <c r="X231" s="3359"/>
      <c r="Y231" s="3359"/>
      <c r="Z231" s="3359"/>
      <c r="AA231" s="3359"/>
      <c r="AB231" s="3536"/>
      <c r="AC231" s="3361"/>
      <c r="AD231" s="3361"/>
      <c r="AE231" s="3361"/>
      <c r="AF231" s="3361"/>
      <c r="AG231" s="3361"/>
      <c r="AH231" s="3361"/>
      <c r="AI231" s="3361"/>
      <c r="AJ231" s="3361"/>
      <c r="AK231" s="3361"/>
      <c r="AL231" s="3514"/>
      <c r="AM231" s="3516"/>
      <c r="AN231" s="3470"/>
      <c r="AO231" s="3718"/>
      <c r="AP231" s="3719"/>
      <c r="AQ231" s="3719"/>
      <c r="AR231" s="3719"/>
      <c r="AS231" s="3719"/>
      <c r="AT231" s="3719"/>
      <c r="AU231" s="3719"/>
      <c r="AV231" s="3719"/>
      <c r="AW231" s="3719"/>
      <c r="AX231" s="3719"/>
      <c r="AY231" s="3719"/>
      <c r="AZ231" s="3719"/>
      <c r="BA231" s="3719"/>
      <c r="BB231" s="3719"/>
      <c r="BC231" s="3719"/>
      <c r="BD231" s="3719"/>
      <c r="BE231" s="3719"/>
      <c r="BF231" s="3719"/>
      <c r="BG231" s="3719"/>
      <c r="BH231" s="3719"/>
      <c r="BI231" s="3719"/>
      <c r="BJ231" s="3719"/>
      <c r="BK231" s="3719"/>
      <c r="BL231" s="3719"/>
      <c r="BM231" s="3719"/>
      <c r="BN231" s="3518"/>
      <c r="BO231" s="3520"/>
      <c r="BP231" s="3466"/>
      <c r="BQ231" s="3466"/>
      <c r="BR231" s="3466"/>
      <c r="BS231" s="3466"/>
      <c r="BT231" s="3466"/>
      <c r="BU231" s="3466"/>
      <c r="BV231" s="3466"/>
      <c r="BW231" s="3466"/>
      <c r="BX231" s="3466"/>
      <c r="BY231" s="3466"/>
      <c r="BZ231" s="3466"/>
      <c r="CA231" s="3477"/>
      <c r="CB231" s="3520"/>
      <c r="CC231" s="3466"/>
      <c r="CD231" s="3466"/>
      <c r="CE231" s="3466"/>
      <c r="CF231" s="3466"/>
      <c r="CG231" s="3466"/>
      <c r="CH231" s="3477"/>
      <c r="CI231" s="3477"/>
      <c r="CJ231" s="3477"/>
      <c r="CK231" s="3477"/>
      <c r="CL231" s="3477"/>
      <c r="CM231" s="3477"/>
    </row>
    <row r="232" spans="1:91">
      <c r="A232" s="3567" t="s">
        <v>1828</v>
      </c>
      <c r="B232" s="2551" t="str">
        <f t="shared" si="3"/>
        <v>3041620018</v>
      </c>
      <c r="C232" s="2010" t="s">
        <v>703</v>
      </c>
      <c r="D232" s="2011">
        <v>4162</v>
      </c>
      <c r="E232" s="2011">
        <v>18</v>
      </c>
      <c r="F232" s="2494">
        <v>12600</v>
      </c>
      <c r="G232" s="2496" t="s">
        <v>1084</v>
      </c>
      <c r="H232" s="2011" t="s">
        <v>1560</v>
      </c>
      <c r="I232" s="2012">
        <v>1</v>
      </c>
      <c r="J232" s="2491">
        <v>9656</v>
      </c>
      <c r="K232" s="2491">
        <v>0</v>
      </c>
      <c r="L232" s="2491">
        <v>0</v>
      </c>
      <c r="M232" s="2491">
        <v>9656</v>
      </c>
      <c r="N232" s="2489">
        <v>0</v>
      </c>
      <c r="O232" s="2437" t="s">
        <v>1573</v>
      </c>
      <c r="P232" s="3272">
        <v>0</v>
      </c>
      <c r="Q232" s="3272">
        <v>17406</v>
      </c>
      <c r="R232" s="3272">
        <v>0</v>
      </c>
      <c r="S232" s="3272">
        <v>0</v>
      </c>
      <c r="T232" s="3272">
        <v>0</v>
      </c>
      <c r="U232" s="3272">
        <v>0</v>
      </c>
      <c r="V232" s="3272">
        <v>0</v>
      </c>
      <c r="W232" s="3272">
        <v>0</v>
      </c>
      <c r="X232" s="3272">
        <v>0</v>
      </c>
      <c r="Y232" s="3272">
        <v>0</v>
      </c>
      <c r="Z232" s="3272">
        <v>0</v>
      </c>
      <c r="AA232" s="3272">
        <v>0</v>
      </c>
      <c r="AB232" s="3507">
        <v>17406</v>
      </c>
      <c r="AC232" s="3265">
        <v>0</v>
      </c>
      <c r="AD232" s="3265">
        <v>0</v>
      </c>
      <c r="AE232" s="3265">
        <v>20</v>
      </c>
      <c r="AF232" s="3265">
        <v>0</v>
      </c>
      <c r="AG232" s="3265">
        <v>0</v>
      </c>
      <c r="AH232" s="3265">
        <v>0</v>
      </c>
      <c r="AI232" s="3265">
        <v>0</v>
      </c>
      <c r="AJ232" s="3265">
        <v>0</v>
      </c>
      <c r="AK232" s="3265">
        <v>20</v>
      </c>
      <c r="AL232" s="3513">
        <v>15</v>
      </c>
      <c r="AM232" s="3515" t="s">
        <v>705</v>
      </c>
      <c r="AN232" s="3512" t="s">
        <v>706</v>
      </c>
      <c r="AO232" s="3407" t="s">
        <v>1637</v>
      </c>
      <c r="AP232" s="3511">
        <v>101205.99999999999</v>
      </c>
      <c r="AQ232" s="3511">
        <v>20100.600000000002</v>
      </c>
      <c r="AR232" s="3511">
        <v>0</v>
      </c>
      <c r="AS232" s="3511">
        <v>0</v>
      </c>
      <c r="AT232" s="3511">
        <v>0</v>
      </c>
      <c r="AU232" s="3511">
        <v>0</v>
      </c>
      <c r="AV232" s="3511">
        <v>0</v>
      </c>
      <c r="AW232" s="3511">
        <v>0</v>
      </c>
      <c r="AX232" s="3511">
        <v>0</v>
      </c>
      <c r="AY232" s="3511">
        <v>0</v>
      </c>
      <c r="AZ232" s="3511">
        <v>0</v>
      </c>
      <c r="BA232" s="3511">
        <v>0</v>
      </c>
      <c r="BB232" s="3511">
        <v>121306.59999999999</v>
      </c>
      <c r="BC232" s="3511">
        <v>101</v>
      </c>
      <c r="BD232" s="3511">
        <v>50.602999999999994</v>
      </c>
      <c r="BE232" s="3511">
        <v>25</v>
      </c>
      <c r="BF232" s="3511">
        <v>0</v>
      </c>
      <c r="BG232" s="3511">
        <v>20</v>
      </c>
      <c r="BH232" s="3511">
        <v>0</v>
      </c>
      <c r="BI232" s="3511">
        <v>0</v>
      </c>
      <c r="BJ232" s="3511">
        <v>0</v>
      </c>
      <c r="BK232" s="3511">
        <v>0</v>
      </c>
      <c r="BL232" s="3511">
        <v>0</v>
      </c>
      <c r="BM232" s="3511">
        <v>45</v>
      </c>
      <c r="BN232" s="3517">
        <v>105</v>
      </c>
      <c r="BO232" s="3519">
        <v>101205.99999999999</v>
      </c>
      <c r="BP232" s="3464">
        <v>2694.6000000000022</v>
      </c>
      <c r="BQ232" s="3464">
        <v>0</v>
      </c>
      <c r="BR232" s="3464">
        <v>0</v>
      </c>
      <c r="BS232" s="3464">
        <v>0</v>
      </c>
      <c r="BT232" s="3464">
        <v>0</v>
      </c>
      <c r="BU232" s="3464">
        <v>0</v>
      </c>
      <c r="BV232" s="3464">
        <v>0</v>
      </c>
      <c r="BW232" s="3464">
        <v>0</v>
      </c>
      <c r="BX232" s="3464">
        <v>0</v>
      </c>
      <c r="BY232" s="3464">
        <v>0</v>
      </c>
      <c r="BZ232" s="3464">
        <v>0</v>
      </c>
      <c r="CA232" s="3524">
        <v>0</v>
      </c>
      <c r="CB232" s="3519">
        <v>103900.59999999999</v>
      </c>
      <c r="CC232" s="3464">
        <v>2694.6000000000022</v>
      </c>
      <c r="CD232" s="3464">
        <v>101</v>
      </c>
      <c r="CE232" s="3464">
        <v>50.602999999999994</v>
      </c>
      <c r="CF232" s="3464">
        <v>25</v>
      </c>
      <c r="CG232" s="3464">
        <v>0</v>
      </c>
      <c r="CH232" s="3524">
        <v>0</v>
      </c>
      <c r="CI232" s="3524">
        <v>0</v>
      </c>
      <c r="CJ232" s="3524">
        <v>0</v>
      </c>
      <c r="CK232" s="3524">
        <v>0</v>
      </c>
      <c r="CL232" s="3524">
        <v>0</v>
      </c>
      <c r="CM232" s="3524">
        <v>0</v>
      </c>
    </row>
    <row r="233" spans="1:91">
      <c r="A233" s="3568"/>
      <c r="B233" s="2551" t="str">
        <f t="shared" si="3"/>
        <v>3041620022</v>
      </c>
      <c r="C233" s="2492" t="s">
        <v>710</v>
      </c>
      <c r="D233" s="2026">
        <v>4162</v>
      </c>
      <c r="E233" s="2026">
        <v>22</v>
      </c>
      <c r="F233" s="2027">
        <v>7771</v>
      </c>
      <c r="G233" s="2497" t="s">
        <v>1084</v>
      </c>
      <c r="H233" s="2026" t="s">
        <v>1560</v>
      </c>
      <c r="I233" s="2028">
        <v>1</v>
      </c>
      <c r="J233" s="2500">
        <v>7750</v>
      </c>
      <c r="K233" s="2500">
        <v>0</v>
      </c>
      <c r="L233" s="2500">
        <v>0</v>
      </c>
      <c r="M233" s="2500">
        <v>7750</v>
      </c>
      <c r="N233" s="2029">
        <v>0</v>
      </c>
      <c r="O233" s="2502" t="s">
        <v>1573</v>
      </c>
      <c r="P233" s="3273"/>
      <c r="Q233" s="3273"/>
      <c r="R233" s="3273"/>
      <c r="S233" s="3273"/>
      <c r="T233" s="3273"/>
      <c r="U233" s="3273"/>
      <c r="V233" s="3273"/>
      <c r="W233" s="3273"/>
      <c r="X233" s="3273"/>
      <c r="Y233" s="3273"/>
      <c r="Z233" s="3273"/>
      <c r="AA233" s="3273"/>
      <c r="AB233" s="3508"/>
      <c r="AC233" s="3274"/>
      <c r="AD233" s="3274"/>
      <c r="AE233" s="3274"/>
      <c r="AF233" s="3274"/>
      <c r="AG233" s="3274"/>
      <c r="AH233" s="3274"/>
      <c r="AI233" s="3274"/>
      <c r="AJ233" s="3274"/>
      <c r="AK233" s="3274"/>
      <c r="AL233" s="3529"/>
      <c r="AM233" s="3525"/>
      <c r="AN233" s="3469"/>
      <c r="AO233" s="3526"/>
      <c r="AP233" s="3527"/>
      <c r="AQ233" s="3527"/>
      <c r="AR233" s="3527"/>
      <c r="AS233" s="3527"/>
      <c r="AT233" s="3527"/>
      <c r="AU233" s="3527"/>
      <c r="AV233" s="3527"/>
      <c r="AW233" s="3527"/>
      <c r="AX233" s="3527"/>
      <c r="AY233" s="3527"/>
      <c r="AZ233" s="3527"/>
      <c r="BA233" s="3527"/>
      <c r="BB233" s="3527"/>
      <c r="BC233" s="3527"/>
      <c r="BD233" s="3527"/>
      <c r="BE233" s="3527"/>
      <c r="BF233" s="3527"/>
      <c r="BG233" s="3527"/>
      <c r="BH233" s="3527"/>
      <c r="BI233" s="3527"/>
      <c r="BJ233" s="3527"/>
      <c r="BK233" s="3527"/>
      <c r="BL233" s="3527"/>
      <c r="BM233" s="3527"/>
      <c r="BN233" s="3535"/>
      <c r="BO233" s="3534"/>
      <c r="BP233" s="3465"/>
      <c r="BQ233" s="3465"/>
      <c r="BR233" s="3465"/>
      <c r="BS233" s="3465"/>
      <c r="BT233" s="3465"/>
      <c r="BU233" s="3465"/>
      <c r="BV233" s="3465"/>
      <c r="BW233" s="3465"/>
      <c r="BX233" s="3465"/>
      <c r="BY233" s="3465"/>
      <c r="BZ233" s="3465"/>
      <c r="CA233" s="3533"/>
      <c r="CB233" s="3534"/>
      <c r="CC233" s="3465"/>
      <c r="CD233" s="3465"/>
      <c r="CE233" s="3465"/>
      <c r="CF233" s="3465"/>
      <c r="CG233" s="3465"/>
      <c r="CH233" s="3533"/>
      <c r="CI233" s="3533"/>
      <c r="CJ233" s="3533"/>
      <c r="CK233" s="3533"/>
      <c r="CL233" s="3533"/>
      <c r="CM233" s="3533"/>
    </row>
    <row r="234" spans="1:91" ht="15.75" thickBot="1">
      <c r="A234" s="3556"/>
      <c r="B234" s="2551" t="str">
        <f t="shared" si="3"/>
        <v>3041620029</v>
      </c>
      <c r="C234" s="2493" t="s">
        <v>721</v>
      </c>
      <c r="D234" s="2018">
        <v>4162</v>
      </c>
      <c r="E234" s="2018">
        <v>29</v>
      </c>
      <c r="F234" s="2019">
        <v>6000</v>
      </c>
      <c r="G234" s="2498" t="s">
        <v>1084</v>
      </c>
      <c r="H234" s="2018" t="s">
        <v>1560</v>
      </c>
      <c r="I234" s="2020">
        <v>1</v>
      </c>
      <c r="J234" s="2501">
        <v>0</v>
      </c>
      <c r="K234" s="2501">
        <v>0</v>
      </c>
      <c r="L234" s="2501">
        <v>0</v>
      </c>
      <c r="M234" s="2501">
        <v>0</v>
      </c>
      <c r="N234" s="2508">
        <v>0</v>
      </c>
      <c r="O234" s="2453" t="s">
        <v>720</v>
      </c>
      <c r="P234" s="3359"/>
      <c r="Q234" s="3359"/>
      <c r="R234" s="3359"/>
      <c r="S234" s="3359"/>
      <c r="T234" s="3359"/>
      <c r="U234" s="3359"/>
      <c r="V234" s="3359"/>
      <c r="W234" s="3359"/>
      <c r="X234" s="3359"/>
      <c r="Y234" s="3359"/>
      <c r="Z234" s="3359"/>
      <c r="AA234" s="3359"/>
      <c r="AB234" s="3536"/>
      <c r="AC234" s="3361"/>
      <c r="AD234" s="3361"/>
      <c r="AE234" s="3361"/>
      <c r="AF234" s="3361"/>
      <c r="AG234" s="3361"/>
      <c r="AH234" s="3361"/>
      <c r="AI234" s="3361"/>
      <c r="AJ234" s="3361"/>
      <c r="AK234" s="3361"/>
      <c r="AL234" s="3514"/>
      <c r="AM234" s="3516"/>
      <c r="AN234" s="3470"/>
      <c r="AO234" s="3718"/>
      <c r="AP234" s="3719"/>
      <c r="AQ234" s="3719"/>
      <c r="AR234" s="3719"/>
      <c r="AS234" s="3719"/>
      <c r="AT234" s="3719"/>
      <c r="AU234" s="3719"/>
      <c r="AV234" s="3719"/>
      <c r="AW234" s="3719"/>
      <c r="AX234" s="3719"/>
      <c r="AY234" s="3719"/>
      <c r="AZ234" s="3719"/>
      <c r="BA234" s="3719"/>
      <c r="BB234" s="3719"/>
      <c r="BC234" s="3719"/>
      <c r="BD234" s="3719"/>
      <c r="BE234" s="3719"/>
      <c r="BF234" s="3719"/>
      <c r="BG234" s="3719"/>
      <c r="BH234" s="3719"/>
      <c r="BI234" s="3719"/>
      <c r="BJ234" s="3719"/>
      <c r="BK234" s="3719"/>
      <c r="BL234" s="3719"/>
      <c r="BM234" s="3719"/>
      <c r="BN234" s="3518"/>
      <c r="BO234" s="3520"/>
      <c r="BP234" s="3466"/>
      <c r="BQ234" s="3466"/>
      <c r="BR234" s="3466"/>
      <c r="BS234" s="3466"/>
      <c r="BT234" s="3466"/>
      <c r="BU234" s="3466"/>
      <c r="BV234" s="3466"/>
      <c r="BW234" s="3466"/>
      <c r="BX234" s="3466"/>
      <c r="BY234" s="3466"/>
      <c r="BZ234" s="3466"/>
      <c r="CA234" s="3477"/>
      <c r="CB234" s="3520"/>
      <c r="CC234" s="3466"/>
      <c r="CD234" s="3466"/>
      <c r="CE234" s="3466"/>
      <c r="CF234" s="3466"/>
      <c r="CG234" s="3466"/>
      <c r="CH234" s="3477"/>
      <c r="CI234" s="3477"/>
      <c r="CJ234" s="3477"/>
      <c r="CK234" s="3477"/>
      <c r="CL234" s="3477"/>
      <c r="CM234" s="3477"/>
    </row>
    <row r="235" spans="1:91">
      <c r="A235" s="3567" t="s">
        <v>1829</v>
      </c>
      <c r="B235" s="2551" t="str">
        <f t="shared" si="3"/>
        <v>3041670022</v>
      </c>
      <c r="C235" s="2010" t="s">
        <v>703</v>
      </c>
      <c r="D235" s="2011">
        <v>4167</v>
      </c>
      <c r="E235" s="2011">
        <v>22</v>
      </c>
      <c r="F235" s="2494">
        <v>5509</v>
      </c>
      <c r="G235" s="2496" t="s">
        <v>1084</v>
      </c>
      <c r="H235" s="2011" t="s">
        <v>1560</v>
      </c>
      <c r="I235" s="2012">
        <v>1</v>
      </c>
      <c r="J235" s="2491">
        <v>0</v>
      </c>
      <c r="K235" s="2491">
        <v>6800</v>
      </c>
      <c r="L235" s="2491">
        <v>0</v>
      </c>
      <c r="M235" s="2491">
        <v>6800</v>
      </c>
      <c r="N235" s="2489">
        <v>0</v>
      </c>
      <c r="O235" s="2437" t="s">
        <v>1572</v>
      </c>
      <c r="P235" s="3272">
        <v>0</v>
      </c>
      <c r="Q235" s="3272">
        <v>0</v>
      </c>
      <c r="R235" s="3272">
        <v>0</v>
      </c>
      <c r="S235" s="3272">
        <v>0</v>
      </c>
      <c r="T235" s="3272">
        <v>20957</v>
      </c>
      <c r="U235" s="3272">
        <v>0</v>
      </c>
      <c r="V235" s="3272">
        <v>1365</v>
      </c>
      <c r="W235" s="3272">
        <v>0</v>
      </c>
      <c r="X235" s="3272">
        <v>0</v>
      </c>
      <c r="Y235" s="3272">
        <v>0</v>
      </c>
      <c r="Z235" s="3272">
        <v>0</v>
      </c>
      <c r="AA235" s="3272">
        <v>0</v>
      </c>
      <c r="AB235" s="3507">
        <v>22322</v>
      </c>
      <c r="AC235" s="3265">
        <v>0</v>
      </c>
      <c r="AD235" s="3265">
        <v>0</v>
      </c>
      <c r="AE235" s="3265">
        <v>15</v>
      </c>
      <c r="AF235" s="3265">
        <v>0</v>
      </c>
      <c r="AG235" s="3265">
        <v>0</v>
      </c>
      <c r="AH235" s="3265">
        <v>0</v>
      </c>
      <c r="AI235" s="3265">
        <v>0</v>
      </c>
      <c r="AJ235" s="3265">
        <v>0</v>
      </c>
      <c r="AK235" s="3265">
        <v>15</v>
      </c>
      <c r="AL235" s="3513">
        <v>25</v>
      </c>
      <c r="AM235" s="3515" t="s">
        <v>705</v>
      </c>
      <c r="AN235" s="3512" t="s">
        <v>706</v>
      </c>
      <c r="AO235" s="3407" t="s">
        <v>1637</v>
      </c>
      <c r="AP235" s="3511">
        <v>74274</v>
      </c>
      <c r="AQ235" s="3511">
        <v>16649.100000000002</v>
      </c>
      <c r="AR235" s="3511">
        <v>0</v>
      </c>
      <c r="AS235" s="3511">
        <v>0</v>
      </c>
      <c r="AT235" s="3511">
        <v>0</v>
      </c>
      <c r="AU235" s="3511">
        <v>0</v>
      </c>
      <c r="AV235" s="3511">
        <v>0</v>
      </c>
      <c r="AW235" s="3511">
        <v>0</v>
      </c>
      <c r="AX235" s="3511">
        <v>0</v>
      </c>
      <c r="AY235" s="3511">
        <v>0</v>
      </c>
      <c r="AZ235" s="3511">
        <v>0</v>
      </c>
      <c r="BA235" s="3511">
        <v>0</v>
      </c>
      <c r="BB235" s="3511">
        <v>90923.1</v>
      </c>
      <c r="BC235" s="3511">
        <v>74</v>
      </c>
      <c r="BD235" s="3511">
        <v>37.137</v>
      </c>
      <c r="BE235" s="3511">
        <v>19</v>
      </c>
      <c r="BF235" s="3511">
        <v>0</v>
      </c>
      <c r="BG235" s="3511">
        <v>17</v>
      </c>
      <c r="BH235" s="3511">
        <v>0</v>
      </c>
      <c r="BI235" s="3511">
        <v>0</v>
      </c>
      <c r="BJ235" s="3511">
        <v>0</v>
      </c>
      <c r="BK235" s="3511">
        <v>0</v>
      </c>
      <c r="BL235" s="3511">
        <v>0</v>
      </c>
      <c r="BM235" s="3511">
        <v>36</v>
      </c>
      <c r="BN235" s="3517">
        <v>105</v>
      </c>
      <c r="BO235" s="3519">
        <v>74274</v>
      </c>
      <c r="BP235" s="3464">
        <v>16649.100000000002</v>
      </c>
      <c r="BQ235" s="3464">
        <v>0</v>
      </c>
      <c r="BR235" s="3464">
        <v>0</v>
      </c>
      <c r="BS235" s="3464">
        <v>0</v>
      </c>
      <c r="BT235" s="3464">
        <v>-20957</v>
      </c>
      <c r="BU235" s="3464">
        <v>0</v>
      </c>
      <c r="BV235" s="3464">
        <v>-1365</v>
      </c>
      <c r="BW235" s="3464">
        <v>0</v>
      </c>
      <c r="BX235" s="3464">
        <v>0</v>
      </c>
      <c r="BY235" s="3464">
        <v>0</v>
      </c>
      <c r="BZ235" s="3464">
        <v>0</v>
      </c>
      <c r="CA235" s="3524">
        <v>0</v>
      </c>
      <c r="CB235" s="3519">
        <v>68601.100000000006</v>
      </c>
      <c r="CC235" s="3464">
        <v>-5672.8999999999978</v>
      </c>
      <c r="CD235" s="3464">
        <v>74</v>
      </c>
      <c r="CE235" s="3464">
        <v>37.137</v>
      </c>
      <c r="CF235" s="3464">
        <v>19</v>
      </c>
      <c r="CG235" s="3464">
        <v>0</v>
      </c>
      <c r="CH235" s="3524">
        <v>2</v>
      </c>
      <c r="CI235" s="3524">
        <v>0</v>
      </c>
      <c r="CJ235" s="3524">
        <v>0</v>
      </c>
      <c r="CK235" s="3524">
        <v>0</v>
      </c>
      <c r="CL235" s="3524">
        <v>0</v>
      </c>
      <c r="CM235" s="3524">
        <v>0</v>
      </c>
    </row>
    <row r="236" spans="1:91">
      <c r="A236" s="3568"/>
      <c r="B236" s="2551" t="str">
        <f t="shared" si="3"/>
        <v>3041670024</v>
      </c>
      <c r="C236" s="2492" t="s">
        <v>710</v>
      </c>
      <c r="D236" s="2026">
        <v>4167</v>
      </c>
      <c r="E236" s="2026">
        <v>24</v>
      </c>
      <c r="F236" s="2027">
        <v>2867</v>
      </c>
      <c r="G236" s="2497" t="s">
        <v>1084</v>
      </c>
      <c r="H236" s="2026" t="s">
        <v>1560</v>
      </c>
      <c r="I236" s="2028">
        <v>1</v>
      </c>
      <c r="J236" s="2500">
        <v>0</v>
      </c>
      <c r="K236" s="2500">
        <v>2767</v>
      </c>
      <c r="L236" s="2500">
        <v>1365</v>
      </c>
      <c r="M236" s="2500">
        <v>4132</v>
      </c>
      <c r="N236" s="2029">
        <v>0</v>
      </c>
      <c r="O236" s="2502" t="s">
        <v>1572</v>
      </c>
      <c r="P236" s="3273"/>
      <c r="Q236" s="3273"/>
      <c r="R236" s="3273"/>
      <c r="S236" s="3273"/>
      <c r="T236" s="3273"/>
      <c r="U236" s="3273"/>
      <c r="V236" s="3273"/>
      <c r="W236" s="3273"/>
      <c r="X236" s="3273"/>
      <c r="Y236" s="3273"/>
      <c r="Z236" s="3273"/>
      <c r="AA236" s="3273"/>
      <c r="AB236" s="3508"/>
      <c r="AC236" s="3274"/>
      <c r="AD236" s="3274"/>
      <c r="AE236" s="3274"/>
      <c r="AF236" s="3274"/>
      <c r="AG236" s="3274"/>
      <c r="AH236" s="3274"/>
      <c r="AI236" s="3274"/>
      <c r="AJ236" s="3274"/>
      <c r="AK236" s="3274"/>
      <c r="AL236" s="3529"/>
      <c r="AM236" s="3525"/>
      <c r="AN236" s="3469"/>
      <c r="AO236" s="3526"/>
      <c r="AP236" s="3527"/>
      <c r="AQ236" s="3527"/>
      <c r="AR236" s="3527"/>
      <c r="AS236" s="3527"/>
      <c r="AT236" s="3527"/>
      <c r="AU236" s="3527"/>
      <c r="AV236" s="3527"/>
      <c r="AW236" s="3527"/>
      <c r="AX236" s="3527"/>
      <c r="AY236" s="3527"/>
      <c r="AZ236" s="3527"/>
      <c r="BA236" s="3527"/>
      <c r="BB236" s="3527"/>
      <c r="BC236" s="3527"/>
      <c r="BD236" s="3527"/>
      <c r="BE236" s="3527"/>
      <c r="BF236" s="3527"/>
      <c r="BG236" s="3527"/>
      <c r="BH236" s="3527"/>
      <c r="BI236" s="3527"/>
      <c r="BJ236" s="3527"/>
      <c r="BK236" s="3527"/>
      <c r="BL236" s="3527"/>
      <c r="BM236" s="3527"/>
      <c r="BN236" s="3535"/>
      <c r="BO236" s="3534"/>
      <c r="BP236" s="3465"/>
      <c r="BQ236" s="3465"/>
      <c r="BR236" s="3465"/>
      <c r="BS236" s="3465"/>
      <c r="BT236" s="3465"/>
      <c r="BU236" s="3465"/>
      <c r="BV236" s="3465"/>
      <c r="BW236" s="3465"/>
      <c r="BX236" s="3465"/>
      <c r="BY236" s="3465"/>
      <c r="BZ236" s="3465"/>
      <c r="CA236" s="3533"/>
      <c r="CB236" s="3534"/>
      <c r="CC236" s="3465"/>
      <c r="CD236" s="3465"/>
      <c r="CE236" s="3465"/>
      <c r="CF236" s="3465"/>
      <c r="CG236" s="3465"/>
      <c r="CH236" s="3533"/>
      <c r="CI236" s="3533"/>
      <c r="CJ236" s="3533"/>
      <c r="CK236" s="3533"/>
      <c r="CL236" s="3533"/>
      <c r="CM236" s="3533"/>
    </row>
    <row r="237" spans="1:91" ht="15.75" thickBot="1">
      <c r="A237" s="3569"/>
      <c r="B237" s="2551" t="str">
        <f t="shared" si="3"/>
        <v>3041670025</v>
      </c>
      <c r="C237" s="2468" t="s">
        <v>721</v>
      </c>
      <c r="D237" s="2014">
        <v>4167</v>
      </c>
      <c r="E237" s="2014">
        <v>25</v>
      </c>
      <c r="F237" s="2038">
        <v>11390</v>
      </c>
      <c r="G237" s="2133" t="s">
        <v>1084</v>
      </c>
      <c r="H237" s="2014" t="s">
        <v>1560</v>
      </c>
      <c r="I237" s="2016">
        <v>1</v>
      </c>
      <c r="J237" s="2538">
        <v>0</v>
      </c>
      <c r="K237" s="2538">
        <v>11390</v>
      </c>
      <c r="L237" s="2538">
        <v>0</v>
      </c>
      <c r="M237" s="2538">
        <v>11390</v>
      </c>
      <c r="N237" s="2509">
        <v>0</v>
      </c>
      <c r="O237" s="2452" t="s">
        <v>1572</v>
      </c>
      <c r="P237" s="3273"/>
      <c r="Q237" s="3273"/>
      <c r="R237" s="3273"/>
      <c r="S237" s="3273"/>
      <c r="T237" s="3273"/>
      <c r="U237" s="3273"/>
      <c r="V237" s="3273"/>
      <c r="W237" s="3273"/>
      <c r="X237" s="3273"/>
      <c r="Y237" s="3273"/>
      <c r="Z237" s="3273"/>
      <c r="AA237" s="3273"/>
      <c r="AB237" s="3508"/>
      <c r="AC237" s="3274"/>
      <c r="AD237" s="3274"/>
      <c r="AE237" s="3274"/>
      <c r="AF237" s="3274"/>
      <c r="AG237" s="3274"/>
      <c r="AH237" s="3274"/>
      <c r="AI237" s="3274"/>
      <c r="AJ237" s="3274"/>
      <c r="AK237" s="3274"/>
      <c r="AL237" s="3529"/>
      <c r="AM237" s="3525"/>
      <c r="AN237" s="3469"/>
      <c r="AO237" s="3526"/>
      <c r="AP237" s="3527"/>
      <c r="AQ237" s="3527"/>
      <c r="AR237" s="3527"/>
      <c r="AS237" s="3527"/>
      <c r="AT237" s="3527"/>
      <c r="AU237" s="3527"/>
      <c r="AV237" s="3527"/>
      <c r="AW237" s="3527"/>
      <c r="AX237" s="3527"/>
      <c r="AY237" s="3527"/>
      <c r="AZ237" s="3527"/>
      <c r="BA237" s="3527"/>
      <c r="BB237" s="3527"/>
      <c r="BC237" s="3527"/>
      <c r="BD237" s="3527"/>
      <c r="BE237" s="3527"/>
      <c r="BF237" s="3527"/>
      <c r="BG237" s="3527"/>
      <c r="BH237" s="3527"/>
      <c r="BI237" s="3527"/>
      <c r="BJ237" s="3527"/>
      <c r="BK237" s="3527"/>
      <c r="BL237" s="3527"/>
      <c r="BM237" s="3527"/>
      <c r="BN237" s="3535"/>
      <c r="BO237" s="3534"/>
      <c r="BP237" s="3465"/>
      <c r="BQ237" s="3465"/>
      <c r="BR237" s="3465"/>
      <c r="BS237" s="3465"/>
      <c r="BT237" s="3465"/>
      <c r="BU237" s="3465"/>
      <c r="BV237" s="3465"/>
      <c r="BW237" s="3465"/>
      <c r="BX237" s="3465"/>
      <c r="BY237" s="3465"/>
      <c r="BZ237" s="3465"/>
      <c r="CA237" s="3533"/>
      <c r="CB237" s="3534"/>
      <c r="CC237" s="3465"/>
      <c r="CD237" s="3465"/>
      <c r="CE237" s="3465"/>
      <c r="CF237" s="3465"/>
      <c r="CG237" s="3465"/>
      <c r="CH237" s="3533"/>
      <c r="CI237" s="3533"/>
      <c r="CJ237" s="3533"/>
      <c r="CK237" s="3533"/>
      <c r="CL237" s="3533"/>
      <c r="CM237" s="3533"/>
    </row>
    <row r="238" spans="1:91">
      <c r="A238" s="3675" t="s">
        <v>1830</v>
      </c>
      <c r="B238" s="2551" t="str">
        <f t="shared" si="3"/>
        <v>3042140001</v>
      </c>
      <c r="C238" s="2010" t="s">
        <v>703</v>
      </c>
      <c r="D238" s="2011">
        <v>4214</v>
      </c>
      <c r="E238" s="2011">
        <v>1</v>
      </c>
      <c r="F238" s="2494">
        <v>20000</v>
      </c>
      <c r="G238" s="2496" t="s">
        <v>1079</v>
      </c>
      <c r="H238" s="2011" t="s">
        <v>1100</v>
      </c>
      <c r="I238" s="2012">
        <v>1.25</v>
      </c>
      <c r="J238" s="2491">
        <v>0</v>
      </c>
      <c r="K238" s="2491">
        <v>0</v>
      </c>
      <c r="L238" s="2491">
        <v>60180</v>
      </c>
      <c r="M238" s="2491">
        <v>60180</v>
      </c>
      <c r="N238" s="2489">
        <v>0</v>
      </c>
      <c r="O238" s="2490" t="s">
        <v>1656</v>
      </c>
      <c r="P238" s="3284">
        <v>0</v>
      </c>
      <c r="Q238" s="3286">
        <v>0</v>
      </c>
      <c r="R238" s="3286">
        <v>0</v>
      </c>
      <c r="S238" s="3286">
        <v>0</v>
      </c>
      <c r="T238" s="3286">
        <v>0</v>
      </c>
      <c r="U238" s="3286">
        <v>0</v>
      </c>
      <c r="V238" s="3286">
        <v>60330</v>
      </c>
      <c r="W238" s="3286">
        <v>0</v>
      </c>
      <c r="X238" s="3286">
        <v>0</v>
      </c>
      <c r="Y238" s="3286">
        <v>0</v>
      </c>
      <c r="Z238" s="3286">
        <v>0</v>
      </c>
      <c r="AA238" s="3286">
        <v>0</v>
      </c>
      <c r="AB238" s="3659">
        <v>60330</v>
      </c>
      <c r="AC238" s="3286">
        <v>0</v>
      </c>
      <c r="AD238" s="3286">
        <v>0</v>
      </c>
      <c r="AE238" s="3286">
        <v>101</v>
      </c>
      <c r="AF238" s="3286">
        <v>0</v>
      </c>
      <c r="AG238" s="3286">
        <v>0</v>
      </c>
      <c r="AH238" s="3286">
        <v>0</v>
      </c>
      <c r="AI238" s="3286">
        <v>0</v>
      </c>
      <c r="AJ238" s="3286">
        <v>0</v>
      </c>
      <c r="AK238" s="3286">
        <v>101</v>
      </c>
      <c r="AL238" s="3673">
        <v>45</v>
      </c>
      <c r="AM238" s="3543" t="str">
        <f>[5]With_Action!L1066</f>
        <v>R7A</v>
      </c>
      <c r="AN238" s="3546" t="s">
        <v>706</v>
      </c>
      <c r="AO238" s="2454" t="str">
        <f>[5]With_Action!BU943</f>
        <v>Retail (1) / Office (1) / Residential (7)</v>
      </c>
      <c r="AP238" s="3549">
        <f>[5]With_Action!BV1066</f>
        <v>95799.995699999999</v>
      </c>
      <c r="AQ238" s="3549">
        <f>[5]With_Action!BW1066</f>
        <v>14400</v>
      </c>
      <c r="AR238" s="3549">
        <f>[5]With_Action!BY1066</f>
        <v>0</v>
      </c>
      <c r="AS238" s="3549">
        <f>[5]With_Action!BZ1066</f>
        <v>0</v>
      </c>
      <c r="AT238" s="3549">
        <f>[5]With_Action!CA1066</f>
        <v>0</v>
      </c>
      <c r="AU238" s="3549">
        <f>[5]With_Action!CB1066</f>
        <v>0</v>
      </c>
      <c r="AV238" s="3549">
        <f>[5]With_Action!CC1066</f>
        <v>32400</v>
      </c>
      <c r="AW238" s="3549">
        <f>[5]With_Action!CD1066</f>
        <v>0</v>
      </c>
      <c r="AX238" s="3549">
        <f>[5]With_Action!CE1066</f>
        <v>0</v>
      </c>
      <c r="AY238" s="3549">
        <f>[5]With_Action!CF1066</f>
        <v>0</v>
      </c>
      <c r="AZ238" s="3549">
        <f>[5]With_Action!CG1066</f>
        <v>0</v>
      </c>
      <c r="BA238" s="3549">
        <f>[5]With_Action!CH1066</f>
        <v>0</v>
      </c>
      <c r="BB238" s="3549">
        <f>[5]With_Action!CI1066</f>
        <v>142599.9957</v>
      </c>
      <c r="BC238" s="3549">
        <f>[5]With_Action!CS1066</f>
        <v>95</v>
      </c>
      <c r="BD238" s="3549">
        <f>[5]With_Action!CV1066</f>
        <v>47.899997850000005</v>
      </c>
      <c r="BE238" s="3549">
        <f>[5]With_Action!CW1066</f>
        <v>24</v>
      </c>
      <c r="BF238" s="3549">
        <f>[5]With_Action!CX1066</f>
        <v>0</v>
      </c>
      <c r="BG238" s="3549">
        <f>[5]With_Action!CY1066</f>
        <v>47</v>
      </c>
      <c r="BH238" s="3549">
        <f>[5]With_Action!CZ1066</f>
        <v>0</v>
      </c>
      <c r="BI238" s="3549">
        <f>[5]With_Action!DA1066</f>
        <v>0</v>
      </c>
      <c r="BJ238" s="3549">
        <f>[5]With_Action!DB1066</f>
        <v>0</v>
      </c>
      <c r="BK238" s="3549">
        <f>[5]With_Action!DC1066</f>
        <v>0</v>
      </c>
      <c r="BL238" s="3549">
        <f>[5]With_Action!DD1066</f>
        <v>0</v>
      </c>
      <c r="BM238" s="3549">
        <f>[5]With_Action!DE1066</f>
        <v>71</v>
      </c>
      <c r="BN238" s="3564">
        <f>[5]With_Action!CR1066</f>
        <v>145</v>
      </c>
      <c r="BO238" s="3561">
        <f>[5]Increment!C111</f>
        <v>95799.995699999999</v>
      </c>
      <c r="BP238" s="3497">
        <f>[5]Increment!D111</f>
        <v>14400</v>
      </c>
      <c r="BQ238" s="3497">
        <f>[5]Increment!E111</f>
        <v>0</v>
      </c>
      <c r="BR238" s="3497">
        <f>[5]Increment!F111</f>
        <v>0</v>
      </c>
      <c r="BS238" s="3497">
        <f>[5]Increment!G111</f>
        <v>0</v>
      </c>
      <c r="BT238" s="3497">
        <f>[5]Increment!H111</f>
        <v>0</v>
      </c>
      <c r="BU238" s="3497">
        <f>[5]Increment!I111</f>
        <v>0</v>
      </c>
      <c r="BV238" s="3497">
        <f>[5]Increment!J111</f>
        <v>-27930</v>
      </c>
      <c r="BW238" s="3497">
        <f>[5]Increment!K111</f>
        <v>0</v>
      </c>
      <c r="BX238" s="3497">
        <f>[5]Increment!L111</f>
        <v>0</v>
      </c>
      <c r="BY238" s="3497">
        <f>[5]Increment!M111</f>
        <v>0</v>
      </c>
      <c r="BZ238" s="3497">
        <f>[5]Increment!N111</f>
        <v>0</v>
      </c>
      <c r="CA238" s="3558">
        <f>[5]Increment!O111</f>
        <v>0</v>
      </c>
      <c r="CB238" s="3561">
        <f>[5]Increment!P111</f>
        <v>82269.995699999999</v>
      </c>
      <c r="CC238" s="3497">
        <f>[5]Increment!Q111</f>
        <v>-13530</v>
      </c>
      <c r="CD238" s="3497">
        <f>[5]Increment!S111</f>
        <v>95</v>
      </c>
      <c r="CE238" s="3497">
        <f>[5]Increment!U111</f>
        <v>47.899997850000005</v>
      </c>
      <c r="CF238" s="3497">
        <f>[5]Increment!V111</f>
        <v>24</v>
      </c>
      <c r="CG238" s="3497">
        <f>[5]Increment!W111</f>
        <v>0</v>
      </c>
      <c r="CH238" s="3558">
        <f>[5]Increment!X111</f>
        <v>-54</v>
      </c>
      <c r="CI238" s="3558">
        <f>[5]Increment!Y111</f>
        <v>0</v>
      </c>
      <c r="CJ238" s="3558">
        <f>[5]Increment!Z111</f>
        <v>0</v>
      </c>
      <c r="CK238" s="3558">
        <f>[5]Increment!AA111</f>
        <v>0</v>
      </c>
      <c r="CL238" s="3558">
        <f>[5]Increment!AB111</f>
        <v>0</v>
      </c>
      <c r="CM238" s="3558">
        <f>[5]Increment!AC111</f>
        <v>0</v>
      </c>
    </row>
    <row r="239" spans="1:91" ht="15.75" thickBot="1">
      <c r="A239" s="3490"/>
      <c r="B239" s="2551" t="str">
        <f t="shared" si="3"/>
        <v>3042140006</v>
      </c>
      <c r="C239" s="2493" t="s">
        <v>710</v>
      </c>
      <c r="D239" s="2479">
        <v>4214</v>
      </c>
      <c r="E239" s="2479">
        <v>6</v>
      </c>
      <c r="F239" s="2482">
        <v>11000</v>
      </c>
      <c r="G239" s="2447" t="s">
        <v>1079</v>
      </c>
      <c r="H239" s="2479" t="s">
        <v>1100</v>
      </c>
      <c r="I239" s="2465">
        <v>1.25</v>
      </c>
      <c r="J239" s="2480">
        <v>0</v>
      </c>
      <c r="K239" s="2480">
        <v>0</v>
      </c>
      <c r="L239" s="2480">
        <v>150</v>
      </c>
      <c r="M239" s="2480">
        <v>150</v>
      </c>
      <c r="N239" s="2443">
        <v>0</v>
      </c>
      <c r="O239" s="2453" t="s">
        <v>720</v>
      </c>
      <c r="P239" s="3657"/>
      <c r="Q239" s="3658"/>
      <c r="R239" s="3658"/>
      <c r="S239" s="3658"/>
      <c r="T239" s="3658"/>
      <c r="U239" s="3658"/>
      <c r="V239" s="3658"/>
      <c r="W239" s="3658"/>
      <c r="X239" s="3658"/>
      <c r="Y239" s="3658"/>
      <c r="Z239" s="3658"/>
      <c r="AA239" s="3658"/>
      <c r="AB239" s="3660"/>
      <c r="AC239" s="3658"/>
      <c r="AD239" s="3658"/>
      <c r="AE239" s="3658"/>
      <c r="AF239" s="3658"/>
      <c r="AG239" s="3658"/>
      <c r="AH239" s="3658"/>
      <c r="AI239" s="3658"/>
      <c r="AJ239" s="3658"/>
      <c r="AK239" s="3658"/>
      <c r="AL239" s="3674"/>
      <c r="AM239" s="3545"/>
      <c r="AN239" s="3500"/>
      <c r="AO239" s="2218" t="str">
        <f>[5]With_Action!BU944</f>
        <v>Residential (10)</v>
      </c>
      <c r="AP239" s="3722"/>
      <c r="AQ239" s="3722"/>
      <c r="AR239" s="3722"/>
      <c r="AS239" s="3722"/>
      <c r="AT239" s="3722"/>
      <c r="AU239" s="3722"/>
      <c r="AV239" s="3722"/>
      <c r="AW239" s="3722"/>
      <c r="AX239" s="3722"/>
      <c r="AY239" s="3722"/>
      <c r="AZ239" s="3722"/>
      <c r="BA239" s="3722"/>
      <c r="BB239" s="3722"/>
      <c r="BC239" s="3722"/>
      <c r="BD239" s="3722"/>
      <c r="BE239" s="3722"/>
      <c r="BF239" s="3722"/>
      <c r="BG239" s="3722"/>
      <c r="BH239" s="3722"/>
      <c r="BI239" s="3722"/>
      <c r="BJ239" s="3722"/>
      <c r="BK239" s="3722"/>
      <c r="BL239" s="3722"/>
      <c r="BM239" s="3722"/>
      <c r="BN239" s="3566"/>
      <c r="BO239" s="3563"/>
      <c r="BP239" s="3498"/>
      <c r="BQ239" s="3498"/>
      <c r="BR239" s="3498"/>
      <c r="BS239" s="3498"/>
      <c r="BT239" s="3498"/>
      <c r="BU239" s="3498"/>
      <c r="BV239" s="3498"/>
      <c r="BW239" s="3498"/>
      <c r="BX239" s="3498"/>
      <c r="BY239" s="3498"/>
      <c r="BZ239" s="3498"/>
      <c r="CA239" s="3560"/>
      <c r="CB239" s="3563"/>
      <c r="CC239" s="3498"/>
      <c r="CD239" s="3498"/>
      <c r="CE239" s="3498"/>
      <c r="CF239" s="3498"/>
      <c r="CG239" s="3498"/>
      <c r="CH239" s="3560"/>
      <c r="CI239" s="3560"/>
      <c r="CJ239" s="3560"/>
      <c r="CK239" s="3560"/>
      <c r="CL239" s="3560"/>
      <c r="CM239" s="3560"/>
    </row>
    <row r="240" spans="1:91">
      <c r="A240" s="3312" t="s">
        <v>1831</v>
      </c>
      <c r="B240" s="2551" t="str">
        <f t="shared" si="3"/>
        <v>3039880028</v>
      </c>
      <c r="C240" s="2022" t="s">
        <v>703</v>
      </c>
      <c r="D240" s="2114">
        <v>3988</v>
      </c>
      <c r="E240" s="2114">
        <v>28</v>
      </c>
      <c r="F240" s="2481">
        <v>10000</v>
      </c>
      <c r="G240" s="2446" t="s">
        <v>1079</v>
      </c>
      <c r="H240" s="2114" t="s">
        <v>1560</v>
      </c>
      <c r="I240" s="2464">
        <v>1.25</v>
      </c>
      <c r="J240" s="2483">
        <v>0</v>
      </c>
      <c r="K240" s="2483">
        <v>10000</v>
      </c>
      <c r="L240" s="2483">
        <v>0</v>
      </c>
      <c r="M240" s="2483">
        <v>10000</v>
      </c>
      <c r="N240" s="2442">
        <v>0</v>
      </c>
      <c r="O240" s="2452" t="s">
        <v>1826</v>
      </c>
      <c r="P240" s="3288">
        <v>10815</v>
      </c>
      <c r="Q240" s="3288">
        <v>0</v>
      </c>
      <c r="R240" s="3531">
        <v>0</v>
      </c>
      <c r="S240" s="3288">
        <v>0</v>
      </c>
      <c r="T240" s="3288">
        <v>0</v>
      </c>
      <c r="U240" s="3288">
        <v>0</v>
      </c>
      <c r="V240" s="3288">
        <v>0</v>
      </c>
      <c r="W240" s="3288">
        <v>0</v>
      </c>
      <c r="X240" s="3531">
        <v>10000</v>
      </c>
      <c r="Y240" s="3265">
        <v>0</v>
      </c>
      <c r="Z240" s="3272">
        <v>0</v>
      </c>
      <c r="AA240" s="3507">
        <v>0</v>
      </c>
      <c r="AB240" s="3676">
        <v>20815</v>
      </c>
      <c r="AC240" s="3281">
        <v>10</v>
      </c>
      <c r="AD240" s="3281">
        <v>9</v>
      </c>
      <c r="AE240" s="3281">
        <v>0</v>
      </c>
      <c r="AF240" s="3281">
        <v>0</v>
      </c>
      <c r="AG240" s="3281">
        <v>0</v>
      </c>
      <c r="AH240" s="3281">
        <v>33</v>
      </c>
      <c r="AI240" s="3281">
        <v>0</v>
      </c>
      <c r="AJ240" s="3281">
        <v>0</v>
      </c>
      <c r="AK240" s="3281">
        <v>42</v>
      </c>
      <c r="AL240" s="3529">
        <v>25</v>
      </c>
      <c r="AM240" s="3678" t="s">
        <v>1585</v>
      </c>
      <c r="AN240" s="3604" t="s">
        <v>1560</v>
      </c>
      <c r="AO240" s="3408" t="s">
        <v>1616</v>
      </c>
      <c r="AP240" s="3598">
        <v>66600</v>
      </c>
      <c r="AQ240" s="3598">
        <v>0</v>
      </c>
      <c r="AR240" s="3598">
        <v>0</v>
      </c>
      <c r="AS240" s="3598">
        <v>0</v>
      </c>
      <c r="AT240" s="3598">
        <v>0</v>
      </c>
      <c r="AU240" s="3598">
        <v>0</v>
      </c>
      <c r="AV240" s="3598">
        <v>0</v>
      </c>
      <c r="AW240" s="3598">
        <v>0</v>
      </c>
      <c r="AX240" s="3598">
        <v>0</v>
      </c>
      <c r="AY240" s="3598">
        <v>0</v>
      </c>
      <c r="AZ240" s="3598">
        <v>0</v>
      </c>
      <c r="BA240" s="3598">
        <v>0</v>
      </c>
      <c r="BB240" s="3598">
        <v>66600</v>
      </c>
      <c r="BC240" s="3598">
        <v>66</v>
      </c>
      <c r="BD240" s="3598">
        <v>33.299999999999997</v>
      </c>
      <c r="BE240" s="3598">
        <v>17</v>
      </c>
      <c r="BF240" s="3598">
        <v>0</v>
      </c>
      <c r="BG240" s="3598">
        <v>0</v>
      </c>
      <c r="BH240" s="3598">
        <v>0</v>
      </c>
      <c r="BI240" s="3598">
        <v>0</v>
      </c>
      <c r="BJ240" s="3598">
        <v>0</v>
      </c>
      <c r="BK240" s="3598">
        <v>0</v>
      </c>
      <c r="BL240" s="3598">
        <v>0</v>
      </c>
      <c r="BM240" s="3598">
        <v>17</v>
      </c>
      <c r="BN240" s="3610">
        <v>85</v>
      </c>
      <c r="BO240" s="3679">
        <v>55785</v>
      </c>
      <c r="BP240" s="3522">
        <v>0</v>
      </c>
      <c r="BQ240" s="3522">
        <v>0</v>
      </c>
      <c r="BR240" s="3522">
        <v>0</v>
      </c>
      <c r="BS240" s="3522">
        <v>0</v>
      </c>
      <c r="BT240" s="3522">
        <v>0</v>
      </c>
      <c r="BU240" s="3522">
        <v>0</v>
      </c>
      <c r="BV240" s="3522">
        <v>0</v>
      </c>
      <c r="BW240" s="3522">
        <v>0</v>
      </c>
      <c r="BX240" s="3522">
        <v>-10000</v>
      </c>
      <c r="BY240" s="3522">
        <v>0</v>
      </c>
      <c r="BZ240" s="3522">
        <v>0</v>
      </c>
      <c r="CA240" s="3608">
        <v>0</v>
      </c>
      <c r="CB240" s="3679">
        <v>45785</v>
      </c>
      <c r="CC240" s="3522">
        <v>-10000</v>
      </c>
      <c r="CD240" s="3522">
        <v>56</v>
      </c>
      <c r="CE240" s="3522">
        <v>33.299999999999997</v>
      </c>
      <c r="CF240" s="3522">
        <v>8</v>
      </c>
      <c r="CG240" s="3522">
        <v>0</v>
      </c>
      <c r="CH240" s="3608">
        <v>0</v>
      </c>
      <c r="CI240" s="3608">
        <v>0</v>
      </c>
      <c r="CJ240" s="3608">
        <v>0</v>
      </c>
      <c r="CK240" s="3608">
        <v>-33</v>
      </c>
      <c r="CL240" s="3608">
        <v>0</v>
      </c>
      <c r="CM240" s="3608">
        <v>0</v>
      </c>
    </row>
    <row r="241" spans="1:91">
      <c r="A241" s="3313"/>
      <c r="B241" s="2551" t="str">
        <f t="shared" si="3"/>
        <v>3039880034</v>
      </c>
      <c r="C241" s="2492" t="s">
        <v>710</v>
      </c>
      <c r="D241" s="2026">
        <v>3988</v>
      </c>
      <c r="E241" s="2026">
        <v>34</v>
      </c>
      <c r="F241" s="2027">
        <v>2500</v>
      </c>
      <c r="G241" s="2497" t="s">
        <v>1079</v>
      </c>
      <c r="H241" s="2026" t="s">
        <v>1560</v>
      </c>
      <c r="I241" s="2028">
        <v>1.25</v>
      </c>
      <c r="J241" s="2500">
        <v>0</v>
      </c>
      <c r="K241" s="2500">
        <v>0</v>
      </c>
      <c r="L241" s="2500">
        <v>0</v>
      </c>
      <c r="M241" s="2500">
        <v>3315</v>
      </c>
      <c r="N241" s="2029">
        <v>0</v>
      </c>
      <c r="O241" s="2502" t="s">
        <v>1578</v>
      </c>
      <c r="P241" s="3273"/>
      <c r="Q241" s="3288"/>
      <c r="R241" s="3531"/>
      <c r="S241" s="3288"/>
      <c r="T241" s="3288"/>
      <c r="U241" s="3288"/>
      <c r="V241" s="3288"/>
      <c r="W241" s="3288"/>
      <c r="X241" s="3531"/>
      <c r="Y241" s="3281"/>
      <c r="Z241" s="3288"/>
      <c r="AA241" s="3531"/>
      <c r="AB241" s="3677"/>
      <c r="AC241" s="3274"/>
      <c r="AD241" s="3274"/>
      <c r="AE241" s="3274"/>
      <c r="AF241" s="3274"/>
      <c r="AG241" s="3274"/>
      <c r="AH241" s="3274"/>
      <c r="AI241" s="3274"/>
      <c r="AJ241" s="3274"/>
      <c r="AK241" s="3274"/>
      <c r="AL241" s="3529"/>
      <c r="AM241" s="3525"/>
      <c r="AN241" s="3469"/>
      <c r="AO241" s="3526"/>
      <c r="AP241" s="3527"/>
      <c r="AQ241" s="3527"/>
      <c r="AR241" s="3527"/>
      <c r="AS241" s="3527"/>
      <c r="AT241" s="3527"/>
      <c r="AU241" s="3527"/>
      <c r="AV241" s="3527"/>
      <c r="AW241" s="3527"/>
      <c r="AX241" s="3527"/>
      <c r="AY241" s="3527"/>
      <c r="AZ241" s="3527"/>
      <c r="BA241" s="3527"/>
      <c r="BB241" s="3527"/>
      <c r="BC241" s="3527"/>
      <c r="BD241" s="3527"/>
      <c r="BE241" s="3527"/>
      <c r="BF241" s="3527"/>
      <c r="BG241" s="3527"/>
      <c r="BH241" s="3527"/>
      <c r="BI241" s="3527"/>
      <c r="BJ241" s="3527"/>
      <c r="BK241" s="3527"/>
      <c r="BL241" s="3527"/>
      <c r="BM241" s="3527"/>
      <c r="BN241" s="3535"/>
      <c r="BO241" s="3534"/>
      <c r="BP241" s="3465"/>
      <c r="BQ241" s="3465"/>
      <c r="BR241" s="3465"/>
      <c r="BS241" s="3465"/>
      <c r="BT241" s="3465"/>
      <c r="BU241" s="3465"/>
      <c r="BV241" s="3465"/>
      <c r="BW241" s="3465"/>
      <c r="BX241" s="3465"/>
      <c r="BY241" s="3465"/>
      <c r="BZ241" s="3465"/>
      <c r="CA241" s="3533"/>
      <c r="CB241" s="3534"/>
      <c r="CC241" s="3465"/>
      <c r="CD241" s="3465"/>
      <c r="CE241" s="3465"/>
      <c r="CF241" s="3465"/>
      <c r="CG241" s="3465"/>
      <c r="CH241" s="3533"/>
      <c r="CI241" s="3533"/>
      <c r="CJ241" s="3533"/>
      <c r="CK241" s="3533"/>
      <c r="CL241" s="3533"/>
      <c r="CM241" s="3533"/>
    </row>
    <row r="242" spans="1:91" ht="15.75" thickBot="1">
      <c r="A242" s="3283"/>
      <c r="B242" s="2551" t="str">
        <f t="shared" si="3"/>
        <v>3039880035</v>
      </c>
      <c r="C242" s="2493" t="s">
        <v>721</v>
      </c>
      <c r="D242" s="2018">
        <v>3988</v>
      </c>
      <c r="E242" s="2018">
        <v>35</v>
      </c>
      <c r="F242" s="2019">
        <v>6000</v>
      </c>
      <c r="G242" s="2498" t="s">
        <v>1079</v>
      </c>
      <c r="H242" s="2018" t="s">
        <v>1560</v>
      </c>
      <c r="I242" s="2020">
        <v>1.25</v>
      </c>
      <c r="J242" s="2501">
        <v>0</v>
      </c>
      <c r="K242" s="2501">
        <v>200</v>
      </c>
      <c r="L242" s="2501">
        <v>0</v>
      </c>
      <c r="M242" s="2501">
        <v>200</v>
      </c>
      <c r="N242" s="2508">
        <v>0</v>
      </c>
      <c r="O242" s="2453" t="s">
        <v>1578</v>
      </c>
      <c r="P242" s="3359"/>
      <c r="Q242" s="3309"/>
      <c r="R242" s="3541"/>
      <c r="S242" s="3309"/>
      <c r="T242" s="3309"/>
      <c r="U242" s="3309"/>
      <c r="V242" s="3309"/>
      <c r="W242" s="3309"/>
      <c r="X242" s="3541"/>
      <c r="Y242" s="3308"/>
      <c r="Z242" s="3309"/>
      <c r="AA242" s="3541"/>
      <c r="AB242" s="3742"/>
      <c r="AC242" s="3361"/>
      <c r="AD242" s="3361"/>
      <c r="AE242" s="3361"/>
      <c r="AF242" s="3361"/>
      <c r="AG242" s="3361"/>
      <c r="AH242" s="3361"/>
      <c r="AI242" s="3361"/>
      <c r="AJ242" s="3361"/>
      <c r="AK242" s="3361"/>
      <c r="AL242" s="3514"/>
      <c r="AM242" s="3516"/>
      <c r="AN242" s="3470"/>
      <c r="AO242" s="3718"/>
      <c r="AP242" s="3719"/>
      <c r="AQ242" s="3719"/>
      <c r="AR242" s="3719"/>
      <c r="AS242" s="3719"/>
      <c r="AT242" s="3719"/>
      <c r="AU242" s="3719"/>
      <c r="AV242" s="3719"/>
      <c r="AW242" s="3719"/>
      <c r="AX242" s="3719"/>
      <c r="AY242" s="3719"/>
      <c r="AZ242" s="3719"/>
      <c r="BA242" s="3719"/>
      <c r="BB242" s="3719"/>
      <c r="BC242" s="3719"/>
      <c r="BD242" s="3719"/>
      <c r="BE242" s="3719"/>
      <c r="BF242" s="3719"/>
      <c r="BG242" s="3719"/>
      <c r="BH242" s="3719"/>
      <c r="BI242" s="3719"/>
      <c r="BJ242" s="3719"/>
      <c r="BK242" s="3719"/>
      <c r="BL242" s="3719"/>
      <c r="BM242" s="3719"/>
      <c r="BN242" s="3518"/>
      <c r="BO242" s="3520"/>
      <c r="BP242" s="3466"/>
      <c r="BQ242" s="3466"/>
      <c r="BR242" s="3466"/>
      <c r="BS242" s="3466"/>
      <c r="BT242" s="3466"/>
      <c r="BU242" s="3466"/>
      <c r="BV242" s="3466"/>
      <c r="BW242" s="3466"/>
      <c r="BX242" s="3466"/>
      <c r="BY242" s="3466"/>
      <c r="BZ242" s="3466"/>
      <c r="CA242" s="3477"/>
      <c r="CB242" s="3520"/>
      <c r="CC242" s="3466"/>
      <c r="CD242" s="3466"/>
      <c r="CE242" s="3466"/>
      <c r="CF242" s="3466"/>
      <c r="CG242" s="3466"/>
      <c r="CH242" s="3477"/>
      <c r="CI242" s="3477"/>
      <c r="CJ242" s="3477"/>
      <c r="CK242" s="3477"/>
      <c r="CL242" s="3477"/>
      <c r="CM242" s="3477"/>
    </row>
    <row r="243" spans="1:91" ht="15.75" thickBot="1">
      <c r="A243" s="2093"/>
      <c r="B243" s="2551"/>
      <c r="C243" s="2094"/>
      <c r="D243" s="2094"/>
      <c r="E243" s="2095" t="s">
        <v>1659</v>
      </c>
      <c r="F243" s="3743">
        <f>SUM(F5:F242)</f>
        <v>1268879</v>
      </c>
      <c r="G243" s="2219"/>
      <c r="H243" s="2098"/>
      <c r="I243" s="2098"/>
      <c r="J243" s="3743">
        <f>SUM(J5:J242)</f>
        <v>197797</v>
      </c>
      <c r="K243" s="3743">
        <f>SUM(K5:K242)</f>
        <v>599350.33333333326</v>
      </c>
      <c r="L243" s="3743">
        <f>SUM(L5:L242)</f>
        <v>152884.33333333331</v>
      </c>
      <c r="M243" s="3743">
        <f>SUM(M5:M242)</f>
        <v>1196977</v>
      </c>
      <c r="N243" s="3743">
        <f>SUM(N5:N242)</f>
        <v>111</v>
      </c>
      <c r="O243" s="2220"/>
      <c r="P243" s="3743">
        <f t="shared" ref="P243:AK243" si="4">SUM(P5:P242)</f>
        <v>173607</v>
      </c>
      <c r="Q243" s="3743">
        <f t="shared" si="4"/>
        <v>157382</v>
      </c>
      <c r="R243" s="3743">
        <f t="shared" si="4"/>
        <v>28590</v>
      </c>
      <c r="S243" s="3743">
        <f t="shared" si="4"/>
        <v>21811</v>
      </c>
      <c r="T243" s="3743">
        <f t="shared" si="4"/>
        <v>112298</v>
      </c>
      <c r="U243" s="3743">
        <f t="shared" si="4"/>
        <v>0</v>
      </c>
      <c r="V243" s="3743">
        <f t="shared" si="4"/>
        <v>152884.33333333331</v>
      </c>
      <c r="W243" s="3743">
        <f t="shared" si="4"/>
        <v>484141</v>
      </c>
      <c r="X243" s="3743">
        <f t="shared" si="4"/>
        <v>33366</v>
      </c>
      <c r="Y243" s="3743">
        <f t="shared" si="4"/>
        <v>67761.333333333343</v>
      </c>
      <c r="Z243" s="3743">
        <f t="shared" si="4"/>
        <v>61468.333333333336</v>
      </c>
      <c r="AA243" s="3743">
        <f t="shared" si="4"/>
        <v>58275</v>
      </c>
      <c r="AB243" s="3743">
        <f t="shared" si="4"/>
        <v>1351584</v>
      </c>
      <c r="AC243" s="3743">
        <f t="shared" si="4"/>
        <v>136</v>
      </c>
      <c r="AD243" s="3743">
        <f t="shared" si="4"/>
        <v>60</v>
      </c>
      <c r="AE243" s="3743">
        <f t="shared" si="4"/>
        <v>725.37400000000002</v>
      </c>
      <c r="AF243" s="3743">
        <f t="shared" si="4"/>
        <v>0</v>
      </c>
      <c r="AG243" s="3743">
        <f t="shared" si="4"/>
        <v>0</v>
      </c>
      <c r="AH243" s="3743">
        <f t="shared" si="4"/>
        <v>109</v>
      </c>
      <c r="AI243" s="3743">
        <f t="shared" si="4"/>
        <v>28</v>
      </c>
      <c r="AJ243" s="3743">
        <f>SUM(AJ5:AJ242)</f>
        <v>47</v>
      </c>
      <c r="AK243" s="3743">
        <f t="shared" si="4"/>
        <v>969.37400000000002</v>
      </c>
      <c r="AL243" s="2221"/>
      <c r="AM243" s="2097"/>
      <c r="AN243" s="2098"/>
      <c r="AO243" s="2098"/>
      <c r="AP243" s="3743">
        <f t="shared" ref="AP243:BM243" si="5">SUM(AP5:AP242)</f>
        <v>5396550.5671285708</v>
      </c>
      <c r="AQ243" s="3743">
        <f t="shared" si="5"/>
        <v>819718.05</v>
      </c>
      <c r="AR243" s="3743">
        <f t="shared" si="5"/>
        <v>41398.800000000003</v>
      </c>
      <c r="AS243" s="3743">
        <f t="shared" si="5"/>
        <v>75561.75</v>
      </c>
      <c r="AT243" s="3743">
        <f t="shared" si="5"/>
        <v>0</v>
      </c>
      <c r="AU243" s="3743">
        <f t="shared" si="5"/>
        <v>0</v>
      </c>
      <c r="AV243" s="3743">
        <f t="shared" si="5"/>
        <v>162497</v>
      </c>
      <c r="AW243" s="3743">
        <f t="shared" si="5"/>
        <v>0</v>
      </c>
      <c r="AX243" s="3743">
        <f t="shared" si="5"/>
        <v>0</v>
      </c>
      <c r="AY243" s="3743">
        <f t="shared" si="5"/>
        <v>0</v>
      </c>
      <c r="AZ243" s="3743">
        <f t="shared" si="5"/>
        <v>38550</v>
      </c>
      <c r="BA243" s="3743">
        <f t="shared" si="5"/>
        <v>131146.94444444444</v>
      </c>
      <c r="BB243" s="3743">
        <f t="shared" si="5"/>
        <v>6665423.1115730144</v>
      </c>
      <c r="BC243" s="3743">
        <f t="shared" si="5"/>
        <v>5351</v>
      </c>
      <c r="BD243" s="3743">
        <f t="shared" si="5"/>
        <v>2698.2752835642864</v>
      </c>
      <c r="BE243" s="3743">
        <f t="shared" si="5"/>
        <v>1085</v>
      </c>
      <c r="BF243" s="3743">
        <f t="shared" si="5"/>
        <v>0</v>
      </c>
      <c r="BG243" s="3743">
        <f t="shared" si="5"/>
        <v>1015</v>
      </c>
      <c r="BH243" s="3743">
        <f t="shared" si="5"/>
        <v>0</v>
      </c>
      <c r="BI243" s="3743">
        <f t="shared" si="5"/>
        <v>0</v>
      </c>
      <c r="BJ243" s="3743">
        <f t="shared" si="5"/>
        <v>0</v>
      </c>
      <c r="BK243" s="3743">
        <f t="shared" si="5"/>
        <v>0</v>
      </c>
      <c r="BL243" s="3743">
        <f t="shared" si="5"/>
        <v>127</v>
      </c>
      <c r="BM243" s="3743">
        <f t="shared" si="5"/>
        <v>2221</v>
      </c>
      <c r="BN243" s="2221"/>
      <c r="BO243" s="3743">
        <f t="shared" ref="BO243:CM243" si="6">SUM(BO5:BO242)</f>
        <v>5224363.5671285708</v>
      </c>
      <c r="BP243" s="3743">
        <f t="shared" si="6"/>
        <v>662336.04999999993</v>
      </c>
      <c r="BQ243" s="3743">
        <f t="shared" si="6"/>
        <v>-28590</v>
      </c>
      <c r="BR243" s="3743">
        <f t="shared" si="6"/>
        <v>41398.800000000003</v>
      </c>
      <c r="BS243" s="3743">
        <f t="shared" si="6"/>
        <v>53750.75</v>
      </c>
      <c r="BT243" s="3743">
        <f t="shared" si="6"/>
        <v>-112298</v>
      </c>
      <c r="BU243" s="3743">
        <f t="shared" si="6"/>
        <v>0</v>
      </c>
      <c r="BV243" s="3743">
        <f t="shared" si="6"/>
        <v>9612.666666666657</v>
      </c>
      <c r="BW243" s="3743">
        <f t="shared" si="6"/>
        <v>-484141</v>
      </c>
      <c r="BX243" s="3743">
        <f t="shared" si="6"/>
        <v>-33366</v>
      </c>
      <c r="BY243" s="3743">
        <f t="shared" si="6"/>
        <v>-67761.333333333343</v>
      </c>
      <c r="BZ243" s="3743">
        <f t="shared" si="6"/>
        <v>-22918.333333333332</v>
      </c>
      <c r="CA243" s="3743">
        <f t="shared" si="6"/>
        <v>72871.944444444438</v>
      </c>
      <c r="CB243" s="3743">
        <f t="shared" si="6"/>
        <v>5315259.1115730144</v>
      </c>
      <c r="CC243" s="3743">
        <f t="shared" si="6"/>
        <v>36891.933333333363</v>
      </c>
      <c r="CD243" s="3743">
        <f t="shared" si="6"/>
        <v>5216</v>
      </c>
      <c r="CE243" s="3743">
        <f t="shared" si="6"/>
        <v>2698.2752835642864</v>
      </c>
      <c r="CF243" s="3743">
        <f t="shared" si="6"/>
        <v>1026</v>
      </c>
      <c r="CG243" s="3743">
        <f t="shared" si="6"/>
        <v>0</v>
      </c>
      <c r="CH243" s="3743">
        <f t="shared" si="6"/>
        <v>289.62599999999998</v>
      </c>
      <c r="CI243" s="3743">
        <f t="shared" si="6"/>
        <v>0</v>
      </c>
      <c r="CJ243" s="3743">
        <f t="shared" si="6"/>
        <v>0</v>
      </c>
      <c r="CK243" s="3743">
        <f t="shared" si="6"/>
        <v>-109</v>
      </c>
      <c r="CL243" s="3743">
        <f t="shared" si="6"/>
        <v>-28</v>
      </c>
      <c r="CM243" s="3743">
        <f t="shared" si="6"/>
        <v>80</v>
      </c>
    </row>
    <row r="244" spans="1:91">
      <c r="A244" s="1760" t="s">
        <v>1832</v>
      </c>
      <c r="B244" s="2551">
        <f t="shared" ref="B198:B244" si="7">IF(E244="",,5&amp;IF(LEN($D244)=1,"0000"&amp;$D244,IF(LEN($D244)=2,"000"&amp;$D244,IF(LEN($D244)=3,"00"&amp;$D244,IF(LEN($D244)=4,"0"&amp;$D244,IF(LEN($D244)=5,$D244,0)))))&amp;IF(LEN(E244)=1,"000"&amp;E244,IF(LEN(E244)=2,"00"&amp;E244,IF(LEN(E244)=3,"0"&amp;E244,IF(LEN(E244)=4,E244,0)))))</f>
        <v>0</v>
      </c>
      <c r="C244" s="1760"/>
      <c r="D244" s="1760"/>
      <c r="E244" s="1760"/>
      <c r="F244" s="1760"/>
      <c r="G244" s="1760"/>
      <c r="H244" s="1759" t="s">
        <v>1833</v>
      </c>
      <c r="I244" s="1760"/>
      <c r="J244" s="1760"/>
      <c r="K244" s="1760"/>
      <c r="L244" s="1760"/>
      <c r="M244" s="1760"/>
      <c r="N244" s="1760"/>
      <c r="O244" s="2222"/>
      <c r="P244" s="1760"/>
      <c r="Q244" s="1760"/>
      <c r="R244" s="1760"/>
      <c r="S244" s="1760"/>
      <c r="T244" s="1760"/>
      <c r="U244" s="1760"/>
      <c r="V244" s="1760"/>
      <c r="W244" s="1760"/>
      <c r="X244" s="1760"/>
      <c r="Y244" s="1760"/>
      <c r="Z244" s="1760"/>
      <c r="AA244" s="1760"/>
      <c r="AB244" s="1760"/>
      <c r="AC244" s="1760"/>
      <c r="AD244" s="1760"/>
      <c r="AE244" s="1760"/>
      <c r="AF244" s="1760"/>
      <c r="AG244" s="1760"/>
      <c r="AH244" s="1760"/>
      <c r="AI244" s="1760"/>
      <c r="AJ244" s="1760"/>
      <c r="AK244" s="1760"/>
      <c r="AL244" s="1760"/>
      <c r="AM244" s="1760"/>
      <c r="AN244" s="1760"/>
      <c r="AO244" s="1760"/>
      <c r="AP244" s="1760"/>
      <c r="AQ244" s="1760"/>
      <c r="AR244" s="1760"/>
      <c r="AS244" s="1760"/>
      <c r="AT244" s="1760"/>
      <c r="AU244" s="1760"/>
      <c r="AV244" s="1760"/>
      <c r="AW244" s="1760"/>
      <c r="AX244" s="1760"/>
      <c r="AY244" s="1760"/>
      <c r="AZ244" s="1760"/>
      <c r="BA244" s="1760"/>
      <c r="BB244" s="1760"/>
      <c r="BC244" s="1760"/>
      <c r="BD244" s="1760"/>
      <c r="BE244" s="1760"/>
      <c r="BF244" s="1760"/>
      <c r="BG244" s="1760"/>
      <c r="BH244" s="1760"/>
      <c r="BI244" s="1760"/>
      <c r="BJ244" s="1760"/>
      <c r="BK244" s="1760"/>
      <c r="BL244" s="1760"/>
      <c r="BM244" s="1760"/>
      <c r="BN244" s="1760"/>
      <c r="BO244" s="1760"/>
      <c r="BP244" s="1760"/>
      <c r="BQ244" s="1760"/>
      <c r="BR244" s="1760"/>
      <c r="BS244" s="1760"/>
      <c r="BT244" s="1760"/>
      <c r="BU244" s="1760"/>
      <c r="BV244" s="1760"/>
      <c r="BW244" s="1760"/>
      <c r="BX244" s="1760"/>
      <c r="BY244" s="1760"/>
      <c r="BZ244" s="1760"/>
      <c r="CA244" s="1760"/>
      <c r="CB244" s="1760"/>
      <c r="CC244" s="1760"/>
      <c r="CD244" s="1760"/>
      <c r="CE244" s="1760"/>
      <c r="CF244" s="1760"/>
      <c r="CG244" s="1760"/>
      <c r="CH244" s="1760"/>
      <c r="CI244" s="1760"/>
      <c r="CJ244" s="1760"/>
      <c r="CK244" s="1760"/>
      <c r="CL244" s="1760"/>
      <c r="CM244" s="1760"/>
    </row>
  </sheetData>
  <mergeCells count="5476">
    <mergeCell ref="CH240:CH242"/>
    <mergeCell ref="CI240:CI242"/>
    <mergeCell ref="CJ240:CJ242"/>
    <mergeCell ref="CK240:CK242"/>
    <mergeCell ref="CL240:CL242"/>
    <mergeCell ref="CM240:CM242"/>
    <mergeCell ref="CB240:CB242"/>
    <mergeCell ref="CC240:CC242"/>
    <mergeCell ref="CD240:CD242"/>
    <mergeCell ref="CE240:CE242"/>
    <mergeCell ref="CF240:CF242"/>
    <mergeCell ref="CG240:CG242"/>
    <mergeCell ref="BV240:BV242"/>
    <mergeCell ref="BW240:BW242"/>
    <mergeCell ref="BX240:BX242"/>
    <mergeCell ref="BY240:BY242"/>
    <mergeCell ref="BZ240:BZ242"/>
    <mergeCell ref="CA240:CA242"/>
    <mergeCell ref="BP240:BP242"/>
    <mergeCell ref="BQ240:BQ242"/>
    <mergeCell ref="BR240:BR242"/>
    <mergeCell ref="BS240:BS242"/>
    <mergeCell ref="BT240:BT242"/>
    <mergeCell ref="BU240:BU242"/>
    <mergeCell ref="BJ240:BJ242"/>
    <mergeCell ref="BK240:BK242"/>
    <mergeCell ref="BL240:BL242"/>
    <mergeCell ref="BM240:BM242"/>
    <mergeCell ref="BN240:BN242"/>
    <mergeCell ref="BO240:BO242"/>
    <mergeCell ref="BD240:BD242"/>
    <mergeCell ref="BE240:BE242"/>
    <mergeCell ref="BF240:BF242"/>
    <mergeCell ref="BG240:BG242"/>
    <mergeCell ref="BH240:BH242"/>
    <mergeCell ref="BI240:BI242"/>
    <mergeCell ref="AX240:AX242"/>
    <mergeCell ref="AY240:AY242"/>
    <mergeCell ref="AZ240:AZ242"/>
    <mergeCell ref="BA240:BA242"/>
    <mergeCell ref="BB240:BB242"/>
    <mergeCell ref="BC240:BC242"/>
    <mergeCell ref="AR240:AR242"/>
    <mergeCell ref="AS240:AS242"/>
    <mergeCell ref="AT240:AT242"/>
    <mergeCell ref="AU240:AU242"/>
    <mergeCell ref="AV240:AV242"/>
    <mergeCell ref="AW240:AW242"/>
    <mergeCell ref="AL240:AL242"/>
    <mergeCell ref="AM240:AM242"/>
    <mergeCell ref="AN240:AN242"/>
    <mergeCell ref="AO240:AO242"/>
    <mergeCell ref="AP240:AP242"/>
    <mergeCell ref="AQ240:AQ242"/>
    <mergeCell ref="AF240:AF242"/>
    <mergeCell ref="AG240:AG242"/>
    <mergeCell ref="AH240:AH242"/>
    <mergeCell ref="AI240:AI242"/>
    <mergeCell ref="AJ240:AJ242"/>
    <mergeCell ref="AK240:AK242"/>
    <mergeCell ref="Z240:Z242"/>
    <mergeCell ref="AA240:AA242"/>
    <mergeCell ref="AB240:AB242"/>
    <mergeCell ref="AC240:AC242"/>
    <mergeCell ref="AD240:AD242"/>
    <mergeCell ref="AE240:AE242"/>
    <mergeCell ref="T240:T242"/>
    <mergeCell ref="U240:U242"/>
    <mergeCell ref="V240:V242"/>
    <mergeCell ref="W240:W242"/>
    <mergeCell ref="X240:X242"/>
    <mergeCell ref="Y240:Y242"/>
    <mergeCell ref="CI238:CI239"/>
    <mergeCell ref="CJ238:CJ239"/>
    <mergeCell ref="CK238:CK239"/>
    <mergeCell ref="CL238:CL239"/>
    <mergeCell ref="CM238:CM239"/>
    <mergeCell ref="A240:A242"/>
    <mergeCell ref="P240:P242"/>
    <mergeCell ref="Q240:Q242"/>
    <mergeCell ref="R240:R242"/>
    <mergeCell ref="S240:S242"/>
    <mergeCell ref="CC238:CC239"/>
    <mergeCell ref="CD238:CD239"/>
    <mergeCell ref="CE238:CE239"/>
    <mergeCell ref="CF238:CF239"/>
    <mergeCell ref="CG238:CG239"/>
    <mergeCell ref="CH238:CH239"/>
    <mergeCell ref="BW238:BW239"/>
    <mergeCell ref="BX238:BX239"/>
    <mergeCell ref="BY238:BY239"/>
    <mergeCell ref="BZ238:BZ239"/>
    <mergeCell ref="CA238:CA239"/>
    <mergeCell ref="CB238:CB239"/>
    <mergeCell ref="BQ238:BQ239"/>
    <mergeCell ref="BR238:BR239"/>
    <mergeCell ref="BS238:BS239"/>
    <mergeCell ref="BT238:BT239"/>
    <mergeCell ref="BU238:BU239"/>
    <mergeCell ref="BV238:BV239"/>
    <mergeCell ref="BK238:BK239"/>
    <mergeCell ref="BL238:BL239"/>
    <mergeCell ref="BM238:BM239"/>
    <mergeCell ref="BN238:BN239"/>
    <mergeCell ref="BO238:BO239"/>
    <mergeCell ref="BP238:BP239"/>
    <mergeCell ref="BE238:BE239"/>
    <mergeCell ref="BF238:BF239"/>
    <mergeCell ref="BG238:BG239"/>
    <mergeCell ref="BH238:BH239"/>
    <mergeCell ref="BI238:BI239"/>
    <mergeCell ref="BJ238:BJ239"/>
    <mergeCell ref="AY238:AY239"/>
    <mergeCell ref="AZ238:AZ239"/>
    <mergeCell ref="BA238:BA239"/>
    <mergeCell ref="BB238:BB239"/>
    <mergeCell ref="BC238:BC239"/>
    <mergeCell ref="BD238:BD239"/>
    <mergeCell ref="AS238:AS239"/>
    <mergeCell ref="AT238:AT239"/>
    <mergeCell ref="AU238:AU239"/>
    <mergeCell ref="AV238:AV239"/>
    <mergeCell ref="AW238:AW239"/>
    <mergeCell ref="AX238:AX239"/>
    <mergeCell ref="AL238:AL239"/>
    <mergeCell ref="AM238:AM239"/>
    <mergeCell ref="AN238:AN239"/>
    <mergeCell ref="AP238:AP239"/>
    <mergeCell ref="AQ238:AQ239"/>
    <mergeCell ref="AR238:AR239"/>
    <mergeCell ref="AF238:AF239"/>
    <mergeCell ref="AG238:AG239"/>
    <mergeCell ref="AH238:AH239"/>
    <mergeCell ref="AI238:AI239"/>
    <mergeCell ref="AJ238:AJ239"/>
    <mergeCell ref="AK238:AK239"/>
    <mergeCell ref="Z238:Z239"/>
    <mergeCell ref="AA238:AA239"/>
    <mergeCell ref="AB238:AB239"/>
    <mergeCell ref="AC238:AC239"/>
    <mergeCell ref="AD238:AD239"/>
    <mergeCell ref="AE238:AE239"/>
    <mergeCell ref="T238:T239"/>
    <mergeCell ref="U238:U239"/>
    <mergeCell ref="V238:V239"/>
    <mergeCell ref="W238:W239"/>
    <mergeCell ref="X238:X239"/>
    <mergeCell ref="Y238:Y239"/>
    <mergeCell ref="CI235:CI237"/>
    <mergeCell ref="CJ235:CJ237"/>
    <mergeCell ref="CK235:CK237"/>
    <mergeCell ref="CL235:CL237"/>
    <mergeCell ref="CM235:CM237"/>
    <mergeCell ref="A238:A239"/>
    <mergeCell ref="P238:P239"/>
    <mergeCell ref="Q238:Q239"/>
    <mergeCell ref="R238:R239"/>
    <mergeCell ref="S238:S239"/>
    <mergeCell ref="CC235:CC237"/>
    <mergeCell ref="CD235:CD237"/>
    <mergeCell ref="CE235:CE237"/>
    <mergeCell ref="CF235:CF237"/>
    <mergeCell ref="CG235:CG237"/>
    <mergeCell ref="CH235:CH237"/>
    <mergeCell ref="BW235:BW237"/>
    <mergeCell ref="BX235:BX237"/>
    <mergeCell ref="BY235:BY237"/>
    <mergeCell ref="BZ235:BZ237"/>
    <mergeCell ref="CA235:CA237"/>
    <mergeCell ref="CB235:CB237"/>
    <mergeCell ref="BQ235:BQ237"/>
    <mergeCell ref="BR235:BR237"/>
    <mergeCell ref="BS235:BS237"/>
    <mergeCell ref="BT235:BT237"/>
    <mergeCell ref="BU235:BU237"/>
    <mergeCell ref="BV235:BV237"/>
    <mergeCell ref="BK235:BK237"/>
    <mergeCell ref="BL235:BL237"/>
    <mergeCell ref="BM235:BM237"/>
    <mergeCell ref="BN235:BN237"/>
    <mergeCell ref="BO235:BO237"/>
    <mergeCell ref="BP235:BP237"/>
    <mergeCell ref="BE235:BE237"/>
    <mergeCell ref="BF235:BF237"/>
    <mergeCell ref="BG235:BG237"/>
    <mergeCell ref="BH235:BH237"/>
    <mergeCell ref="BI235:BI237"/>
    <mergeCell ref="BJ235:BJ237"/>
    <mergeCell ref="AY235:AY237"/>
    <mergeCell ref="AZ235:AZ237"/>
    <mergeCell ref="BA235:BA237"/>
    <mergeCell ref="BB235:BB237"/>
    <mergeCell ref="BC235:BC237"/>
    <mergeCell ref="BD235:BD237"/>
    <mergeCell ref="AS235:AS237"/>
    <mergeCell ref="AT235:AT237"/>
    <mergeCell ref="AU235:AU237"/>
    <mergeCell ref="AV235:AV237"/>
    <mergeCell ref="AW235:AW237"/>
    <mergeCell ref="AX235:AX237"/>
    <mergeCell ref="AM235:AM237"/>
    <mergeCell ref="AN235:AN237"/>
    <mergeCell ref="AO235:AO237"/>
    <mergeCell ref="AP235:AP237"/>
    <mergeCell ref="AQ235:AQ237"/>
    <mergeCell ref="AR235:AR237"/>
    <mergeCell ref="AG235:AG237"/>
    <mergeCell ref="AH235:AH237"/>
    <mergeCell ref="AI235:AI237"/>
    <mergeCell ref="AJ235:AJ237"/>
    <mergeCell ref="AK235:AK237"/>
    <mergeCell ref="AL235:AL237"/>
    <mergeCell ref="AA235:AA237"/>
    <mergeCell ref="AB235:AB237"/>
    <mergeCell ref="AC235:AC237"/>
    <mergeCell ref="AD235:AD237"/>
    <mergeCell ref="AE235:AE237"/>
    <mergeCell ref="AF235:AF237"/>
    <mergeCell ref="U235:U237"/>
    <mergeCell ref="V235:V237"/>
    <mergeCell ref="W235:W237"/>
    <mergeCell ref="X235:X237"/>
    <mergeCell ref="Y235:Y237"/>
    <mergeCell ref="Z235:Z237"/>
    <mergeCell ref="A235:A237"/>
    <mergeCell ref="P235:P237"/>
    <mergeCell ref="Q235:Q237"/>
    <mergeCell ref="R235:R237"/>
    <mergeCell ref="S235:S237"/>
    <mergeCell ref="T235:T237"/>
    <mergeCell ref="CH232:CH234"/>
    <mergeCell ref="CI232:CI234"/>
    <mergeCell ref="CJ232:CJ234"/>
    <mergeCell ref="CK232:CK234"/>
    <mergeCell ref="CL232:CL234"/>
    <mergeCell ref="CM232:CM234"/>
    <mergeCell ref="CB232:CB234"/>
    <mergeCell ref="CC232:CC234"/>
    <mergeCell ref="CD232:CD234"/>
    <mergeCell ref="CE232:CE234"/>
    <mergeCell ref="CF232:CF234"/>
    <mergeCell ref="CG232:CG234"/>
    <mergeCell ref="BV232:BV234"/>
    <mergeCell ref="BW232:BW234"/>
    <mergeCell ref="BX232:BX234"/>
    <mergeCell ref="BY232:BY234"/>
    <mergeCell ref="BZ232:BZ234"/>
    <mergeCell ref="CA232:CA234"/>
    <mergeCell ref="BP232:BP234"/>
    <mergeCell ref="BQ232:BQ234"/>
    <mergeCell ref="BR232:BR234"/>
    <mergeCell ref="BS232:BS234"/>
    <mergeCell ref="BT232:BT234"/>
    <mergeCell ref="BU232:BU234"/>
    <mergeCell ref="BJ232:BJ234"/>
    <mergeCell ref="BK232:BK234"/>
    <mergeCell ref="BL232:BL234"/>
    <mergeCell ref="BM232:BM234"/>
    <mergeCell ref="BN232:BN234"/>
    <mergeCell ref="BO232:BO234"/>
    <mergeCell ref="BD232:BD234"/>
    <mergeCell ref="BE232:BE234"/>
    <mergeCell ref="BF232:BF234"/>
    <mergeCell ref="BG232:BG234"/>
    <mergeCell ref="BH232:BH234"/>
    <mergeCell ref="BI232:BI234"/>
    <mergeCell ref="AX232:AX234"/>
    <mergeCell ref="AY232:AY234"/>
    <mergeCell ref="AZ232:AZ234"/>
    <mergeCell ref="BA232:BA234"/>
    <mergeCell ref="BB232:BB234"/>
    <mergeCell ref="BC232:BC234"/>
    <mergeCell ref="AR232:AR234"/>
    <mergeCell ref="AS232:AS234"/>
    <mergeCell ref="AT232:AT234"/>
    <mergeCell ref="AU232:AU234"/>
    <mergeCell ref="AV232:AV234"/>
    <mergeCell ref="AW232:AW234"/>
    <mergeCell ref="AL232:AL234"/>
    <mergeCell ref="AM232:AM234"/>
    <mergeCell ref="AN232:AN234"/>
    <mergeCell ref="AO232:AO234"/>
    <mergeCell ref="AP232:AP234"/>
    <mergeCell ref="AQ232:AQ234"/>
    <mergeCell ref="AF232:AF234"/>
    <mergeCell ref="AG232:AG234"/>
    <mergeCell ref="AH232:AH234"/>
    <mergeCell ref="AI232:AI234"/>
    <mergeCell ref="AJ232:AJ234"/>
    <mergeCell ref="AK232:AK234"/>
    <mergeCell ref="Z232:Z234"/>
    <mergeCell ref="AA232:AA234"/>
    <mergeCell ref="AB232:AB234"/>
    <mergeCell ref="AC232:AC234"/>
    <mergeCell ref="AD232:AD234"/>
    <mergeCell ref="AE232:AE234"/>
    <mergeCell ref="T232:T234"/>
    <mergeCell ref="U232:U234"/>
    <mergeCell ref="V232:V234"/>
    <mergeCell ref="W232:W234"/>
    <mergeCell ref="X232:X234"/>
    <mergeCell ref="Y232:Y234"/>
    <mergeCell ref="CI229:CI231"/>
    <mergeCell ref="CJ229:CJ231"/>
    <mergeCell ref="CK229:CK231"/>
    <mergeCell ref="CL229:CL231"/>
    <mergeCell ref="CM229:CM231"/>
    <mergeCell ref="A232:A234"/>
    <mergeCell ref="P232:P234"/>
    <mergeCell ref="Q232:Q234"/>
    <mergeCell ref="R232:R234"/>
    <mergeCell ref="S232:S234"/>
    <mergeCell ref="CC229:CC231"/>
    <mergeCell ref="CD229:CD231"/>
    <mergeCell ref="CE229:CE231"/>
    <mergeCell ref="CF229:CF231"/>
    <mergeCell ref="CG229:CG231"/>
    <mergeCell ref="CH229:CH231"/>
    <mergeCell ref="BW229:BW231"/>
    <mergeCell ref="BX229:BX231"/>
    <mergeCell ref="BY229:BY231"/>
    <mergeCell ref="BZ229:BZ231"/>
    <mergeCell ref="CA229:CA231"/>
    <mergeCell ref="CB229:CB231"/>
    <mergeCell ref="BQ229:BQ231"/>
    <mergeCell ref="BR229:BR231"/>
    <mergeCell ref="BS229:BS231"/>
    <mergeCell ref="BT229:BT231"/>
    <mergeCell ref="BU229:BU231"/>
    <mergeCell ref="BV229:BV231"/>
    <mergeCell ref="BK229:BK231"/>
    <mergeCell ref="BL229:BL231"/>
    <mergeCell ref="BM229:BM231"/>
    <mergeCell ref="BN229:BN231"/>
    <mergeCell ref="BO229:BO231"/>
    <mergeCell ref="BP229:BP231"/>
    <mergeCell ref="BE229:BE231"/>
    <mergeCell ref="BF229:BF231"/>
    <mergeCell ref="BG229:BG231"/>
    <mergeCell ref="BH229:BH231"/>
    <mergeCell ref="BI229:BI231"/>
    <mergeCell ref="BJ229:BJ231"/>
    <mergeCell ref="AY229:AY231"/>
    <mergeCell ref="AZ229:AZ231"/>
    <mergeCell ref="BA229:BA231"/>
    <mergeCell ref="BB229:BB231"/>
    <mergeCell ref="BC229:BC231"/>
    <mergeCell ref="BD229:BD231"/>
    <mergeCell ref="AS229:AS231"/>
    <mergeCell ref="AT229:AT231"/>
    <mergeCell ref="AU229:AU231"/>
    <mergeCell ref="AV229:AV231"/>
    <mergeCell ref="AW229:AW231"/>
    <mergeCell ref="AX229:AX231"/>
    <mergeCell ref="AM229:AM231"/>
    <mergeCell ref="AN229:AN231"/>
    <mergeCell ref="AO229:AO231"/>
    <mergeCell ref="AP229:AP231"/>
    <mergeCell ref="AQ229:AQ231"/>
    <mergeCell ref="AR229:AR231"/>
    <mergeCell ref="AG229:AG231"/>
    <mergeCell ref="AH229:AH231"/>
    <mergeCell ref="AI229:AI231"/>
    <mergeCell ref="AJ229:AJ231"/>
    <mergeCell ref="AK229:AK231"/>
    <mergeCell ref="AL229:AL231"/>
    <mergeCell ref="AA229:AA231"/>
    <mergeCell ref="AB229:AB231"/>
    <mergeCell ref="AC229:AC231"/>
    <mergeCell ref="AD229:AD231"/>
    <mergeCell ref="AE229:AE231"/>
    <mergeCell ref="AF229:AF231"/>
    <mergeCell ref="U229:U231"/>
    <mergeCell ref="V229:V231"/>
    <mergeCell ref="W229:W231"/>
    <mergeCell ref="X229:X231"/>
    <mergeCell ref="Y229:Y231"/>
    <mergeCell ref="Z229:Z231"/>
    <mergeCell ref="A229:A231"/>
    <mergeCell ref="P229:P231"/>
    <mergeCell ref="Q229:Q231"/>
    <mergeCell ref="R229:R231"/>
    <mergeCell ref="S229:S231"/>
    <mergeCell ref="T229:T231"/>
    <mergeCell ref="CH226:CH228"/>
    <mergeCell ref="CI226:CI228"/>
    <mergeCell ref="CJ226:CJ228"/>
    <mergeCell ref="CK226:CK228"/>
    <mergeCell ref="CL226:CL228"/>
    <mergeCell ref="BJ226:BJ228"/>
    <mergeCell ref="BK226:BK228"/>
    <mergeCell ref="BL226:BL228"/>
    <mergeCell ref="BM226:BM228"/>
    <mergeCell ref="BN226:BN228"/>
    <mergeCell ref="BO226:BO228"/>
    <mergeCell ref="BD226:BD228"/>
    <mergeCell ref="BE226:BE228"/>
    <mergeCell ref="BF226:BF228"/>
    <mergeCell ref="BG226:BG228"/>
    <mergeCell ref="BH226:BH228"/>
    <mergeCell ref="BI226:BI228"/>
    <mergeCell ref="AX226:AX228"/>
    <mergeCell ref="AY226:AY228"/>
    <mergeCell ref="AZ226:AZ228"/>
    <mergeCell ref="CM226:CM228"/>
    <mergeCell ref="CB226:CB228"/>
    <mergeCell ref="CC226:CC228"/>
    <mergeCell ref="CD226:CD228"/>
    <mergeCell ref="CE226:CE228"/>
    <mergeCell ref="CF226:CF228"/>
    <mergeCell ref="CG226:CG228"/>
    <mergeCell ref="BV226:BV228"/>
    <mergeCell ref="BW226:BW228"/>
    <mergeCell ref="BX226:BX228"/>
    <mergeCell ref="BY226:BY228"/>
    <mergeCell ref="BZ226:BZ228"/>
    <mergeCell ref="CA226:CA228"/>
    <mergeCell ref="BP226:BP228"/>
    <mergeCell ref="BQ226:BQ228"/>
    <mergeCell ref="BR226:BR228"/>
    <mergeCell ref="BS226:BS228"/>
    <mergeCell ref="BT226:BT228"/>
    <mergeCell ref="BU226:BU228"/>
    <mergeCell ref="BA226:BA228"/>
    <mergeCell ref="BB226:BB228"/>
    <mergeCell ref="BC226:BC228"/>
    <mergeCell ref="AR226:AR228"/>
    <mergeCell ref="AS226:AS228"/>
    <mergeCell ref="AT226:AT228"/>
    <mergeCell ref="AU226:AU228"/>
    <mergeCell ref="AV226:AV228"/>
    <mergeCell ref="AW226:AW228"/>
    <mergeCell ref="AL226:AL228"/>
    <mergeCell ref="AM226:AM228"/>
    <mergeCell ref="AN226:AN228"/>
    <mergeCell ref="AO226:AO228"/>
    <mergeCell ref="AP226:AP228"/>
    <mergeCell ref="AQ226:AQ228"/>
    <mergeCell ref="AF226:AF228"/>
    <mergeCell ref="AG226:AG228"/>
    <mergeCell ref="AH226:AH228"/>
    <mergeCell ref="AI226:AI228"/>
    <mergeCell ref="AJ226:AJ228"/>
    <mergeCell ref="AK226:AK228"/>
    <mergeCell ref="Z226:Z228"/>
    <mergeCell ref="AA226:AA228"/>
    <mergeCell ref="AB226:AB228"/>
    <mergeCell ref="AC226:AC228"/>
    <mergeCell ref="AD226:AD228"/>
    <mergeCell ref="AE226:AE228"/>
    <mergeCell ref="T226:T228"/>
    <mergeCell ref="U226:U228"/>
    <mergeCell ref="V226:V228"/>
    <mergeCell ref="W226:W228"/>
    <mergeCell ref="X226:X228"/>
    <mergeCell ref="Y226:Y228"/>
    <mergeCell ref="CI224:CI225"/>
    <mergeCell ref="CJ224:CJ225"/>
    <mergeCell ref="CK224:CK225"/>
    <mergeCell ref="CL224:CL225"/>
    <mergeCell ref="CM224:CM225"/>
    <mergeCell ref="BH224:BH225"/>
    <mergeCell ref="BI224:BI225"/>
    <mergeCell ref="BJ224:BJ225"/>
    <mergeCell ref="AY224:AY225"/>
    <mergeCell ref="AZ224:AZ225"/>
    <mergeCell ref="BA224:BA225"/>
    <mergeCell ref="BB224:BB225"/>
    <mergeCell ref="BC224:BC225"/>
    <mergeCell ref="BD224:BD225"/>
    <mergeCell ref="AS224:AS225"/>
    <mergeCell ref="AT224:AT225"/>
    <mergeCell ref="AU224:AU225"/>
    <mergeCell ref="AV224:AV225"/>
    <mergeCell ref="AW224:AW225"/>
    <mergeCell ref="AX224:AX225"/>
    <mergeCell ref="A226:A228"/>
    <mergeCell ref="P226:P228"/>
    <mergeCell ref="Q226:Q228"/>
    <mergeCell ref="R226:R228"/>
    <mergeCell ref="S226:S228"/>
    <mergeCell ref="CC224:CC225"/>
    <mergeCell ref="CD224:CD225"/>
    <mergeCell ref="CE224:CE225"/>
    <mergeCell ref="CF224:CF225"/>
    <mergeCell ref="CG224:CG225"/>
    <mergeCell ref="CH224:CH225"/>
    <mergeCell ref="BW224:BW225"/>
    <mergeCell ref="BX224:BX225"/>
    <mergeCell ref="BY224:BY225"/>
    <mergeCell ref="BZ224:BZ225"/>
    <mergeCell ref="CA224:CA225"/>
    <mergeCell ref="CB224:CB225"/>
    <mergeCell ref="BQ224:BQ225"/>
    <mergeCell ref="BR224:BR225"/>
    <mergeCell ref="BS224:BS225"/>
    <mergeCell ref="BT224:BT225"/>
    <mergeCell ref="BU224:BU225"/>
    <mergeCell ref="BV224:BV225"/>
    <mergeCell ref="BK224:BK225"/>
    <mergeCell ref="BL224:BL225"/>
    <mergeCell ref="BM224:BM225"/>
    <mergeCell ref="BN224:BN225"/>
    <mergeCell ref="BO224:BO225"/>
    <mergeCell ref="BP224:BP225"/>
    <mergeCell ref="BE224:BE225"/>
    <mergeCell ref="BF224:BF225"/>
    <mergeCell ref="BG224:BG225"/>
    <mergeCell ref="AM224:AM225"/>
    <mergeCell ref="AN224:AN225"/>
    <mergeCell ref="AO224:AO225"/>
    <mergeCell ref="AP224:AP225"/>
    <mergeCell ref="AQ224:AQ225"/>
    <mergeCell ref="AR224:AR225"/>
    <mergeCell ref="AG224:AG225"/>
    <mergeCell ref="AH224:AH225"/>
    <mergeCell ref="AI224:AI225"/>
    <mergeCell ref="AJ224:AJ225"/>
    <mergeCell ref="AK224:AK225"/>
    <mergeCell ref="AL224:AL225"/>
    <mergeCell ref="AA224:AA225"/>
    <mergeCell ref="AB224:AB225"/>
    <mergeCell ref="AC224:AC225"/>
    <mergeCell ref="AD224:AD225"/>
    <mergeCell ref="AE224:AE225"/>
    <mergeCell ref="AF224:AF225"/>
    <mergeCell ref="U224:U225"/>
    <mergeCell ref="V224:V225"/>
    <mergeCell ref="W224:W225"/>
    <mergeCell ref="X224:X225"/>
    <mergeCell ref="Y224:Y225"/>
    <mergeCell ref="Z224:Z225"/>
    <mergeCell ref="A224:A225"/>
    <mergeCell ref="P224:P225"/>
    <mergeCell ref="Q224:Q225"/>
    <mergeCell ref="R224:R225"/>
    <mergeCell ref="S224:S225"/>
    <mergeCell ref="T224:T225"/>
    <mergeCell ref="CH222:CH223"/>
    <mergeCell ref="CI222:CI223"/>
    <mergeCell ref="CJ222:CJ223"/>
    <mergeCell ref="CK222:CK223"/>
    <mergeCell ref="CL222:CL223"/>
    <mergeCell ref="BJ222:BJ223"/>
    <mergeCell ref="BK222:BK223"/>
    <mergeCell ref="BL222:BL223"/>
    <mergeCell ref="BM222:BM223"/>
    <mergeCell ref="BN222:BN223"/>
    <mergeCell ref="BO222:BO223"/>
    <mergeCell ref="BD222:BD223"/>
    <mergeCell ref="BE222:BE223"/>
    <mergeCell ref="BF222:BF223"/>
    <mergeCell ref="BG222:BG223"/>
    <mergeCell ref="BH222:BH223"/>
    <mergeCell ref="BI222:BI223"/>
    <mergeCell ref="AX222:AX223"/>
    <mergeCell ref="AY222:AY223"/>
    <mergeCell ref="AZ222:AZ223"/>
    <mergeCell ref="CM222:CM223"/>
    <mergeCell ref="CB222:CB223"/>
    <mergeCell ref="CC222:CC223"/>
    <mergeCell ref="CD222:CD223"/>
    <mergeCell ref="CE222:CE223"/>
    <mergeCell ref="CF222:CF223"/>
    <mergeCell ref="CG222:CG223"/>
    <mergeCell ref="BV222:BV223"/>
    <mergeCell ref="BW222:BW223"/>
    <mergeCell ref="BX222:BX223"/>
    <mergeCell ref="BY222:BY223"/>
    <mergeCell ref="BZ222:BZ223"/>
    <mergeCell ref="CA222:CA223"/>
    <mergeCell ref="BP222:BP223"/>
    <mergeCell ref="BQ222:BQ223"/>
    <mergeCell ref="BR222:BR223"/>
    <mergeCell ref="BS222:BS223"/>
    <mergeCell ref="BT222:BT223"/>
    <mergeCell ref="BU222:BU223"/>
    <mergeCell ref="BA222:BA223"/>
    <mergeCell ref="BB222:BB223"/>
    <mergeCell ref="BC222:BC223"/>
    <mergeCell ref="AR222:AR223"/>
    <mergeCell ref="AS222:AS223"/>
    <mergeCell ref="AT222:AT223"/>
    <mergeCell ref="AU222:AU223"/>
    <mergeCell ref="AV222:AV223"/>
    <mergeCell ref="AW222:AW223"/>
    <mergeCell ref="AL222:AL223"/>
    <mergeCell ref="AM222:AM223"/>
    <mergeCell ref="AN222:AN223"/>
    <mergeCell ref="AO222:AO223"/>
    <mergeCell ref="AP222:AP223"/>
    <mergeCell ref="AQ222:AQ223"/>
    <mergeCell ref="AF222:AF223"/>
    <mergeCell ref="AG222:AG223"/>
    <mergeCell ref="AH222:AH223"/>
    <mergeCell ref="AI222:AI223"/>
    <mergeCell ref="AJ222:AJ223"/>
    <mergeCell ref="AK222:AK223"/>
    <mergeCell ref="Z222:Z223"/>
    <mergeCell ref="AA222:AA223"/>
    <mergeCell ref="AB222:AB223"/>
    <mergeCell ref="AC222:AC223"/>
    <mergeCell ref="AD222:AD223"/>
    <mergeCell ref="AE222:AE223"/>
    <mergeCell ref="T222:T223"/>
    <mergeCell ref="U222:U223"/>
    <mergeCell ref="V222:V223"/>
    <mergeCell ref="W222:W223"/>
    <mergeCell ref="X222:X223"/>
    <mergeCell ref="Y222:Y223"/>
    <mergeCell ref="CI220:CI221"/>
    <mergeCell ref="CJ220:CJ221"/>
    <mergeCell ref="CK220:CK221"/>
    <mergeCell ref="CL220:CL221"/>
    <mergeCell ref="CM220:CM221"/>
    <mergeCell ref="BH220:BH221"/>
    <mergeCell ref="BI220:BI221"/>
    <mergeCell ref="BJ220:BJ221"/>
    <mergeCell ref="AY220:AY221"/>
    <mergeCell ref="AZ220:AZ221"/>
    <mergeCell ref="BA220:BA221"/>
    <mergeCell ref="BB220:BB221"/>
    <mergeCell ref="BC220:BC221"/>
    <mergeCell ref="BD220:BD221"/>
    <mergeCell ref="AS220:AS221"/>
    <mergeCell ref="AT220:AT221"/>
    <mergeCell ref="AU220:AU221"/>
    <mergeCell ref="AV220:AV221"/>
    <mergeCell ref="AW220:AW221"/>
    <mergeCell ref="AX220:AX221"/>
    <mergeCell ref="A222:A223"/>
    <mergeCell ref="P222:P223"/>
    <mergeCell ref="Q222:Q223"/>
    <mergeCell ref="R222:R223"/>
    <mergeCell ref="S222:S223"/>
    <mergeCell ref="CC220:CC221"/>
    <mergeCell ref="CD220:CD221"/>
    <mergeCell ref="CE220:CE221"/>
    <mergeCell ref="CF220:CF221"/>
    <mergeCell ref="CG220:CG221"/>
    <mergeCell ref="CH220:CH221"/>
    <mergeCell ref="BW220:BW221"/>
    <mergeCell ref="BX220:BX221"/>
    <mergeCell ref="BY220:BY221"/>
    <mergeCell ref="BZ220:BZ221"/>
    <mergeCell ref="CA220:CA221"/>
    <mergeCell ref="CB220:CB221"/>
    <mergeCell ref="BQ220:BQ221"/>
    <mergeCell ref="BR220:BR221"/>
    <mergeCell ref="BS220:BS221"/>
    <mergeCell ref="BT220:BT221"/>
    <mergeCell ref="BU220:BU221"/>
    <mergeCell ref="BV220:BV221"/>
    <mergeCell ref="BK220:BK221"/>
    <mergeCell ref="BL220:BL221"/>
    <mergeCell ref="BM220:BM221"/>
    <mergeCell ref="BN220:BN221"/>
    <mergeCell ref="BO220:BO221"/>
    <mergeCell ref="BP220:BP221"/>
    <mergeCell ref="BE220:BE221"/>
    <mergeCell ref="BF220:BF221"/>
    <mergeCell ref="BG220:BG221"/>
    <mergeCell ref="AM220:AM221"/>
    <mergeCell ref="AN220:AN221"/>
    <mergeCell ref="AO220:AO221"/>
    <mergeCell ref="AP220:AP221"/>
    <mergeCell ref="AQ220:AQ221"/>
    <mergeCell ref="AR220:AR221"/>
    <mergeCell ref="AG220:AG221"/>
    <mergeCell ref="AH220:AH221"/>
    <mergeCell ref="AI220:AI221"/>
    <mergeCell ref="AJ220:AJ221"/>
    <mergeCell ref="AK220:AK221"/>
    <mergeCell ref="AL220:AL221"/>
    <mergeCell ref="AA220:AA221"/>
    <mergeCell ref="AB220:AB221"/>
    <mergeCell ref="AC220:AC221"/>
    <mergeCell ref="AD220:AD221"/>
    <mergeCell ref="AE220:AE221"/>
    <mergeCell ref="AF220:AF221"/>
    <mergeCell ref="U220:U221"/>
    <mergeCell ref="V220:V221"/>
    <mergeCell ref="W220:W221"/>
    <mergeCell ref="X220:X221"/>
    <mergeCell ref="Y220:Y221"/>
    <mergeCell ref="Z220:Z221"/>
    <mergeCell ref="A220:A221"/>
    <mergeCell ref="P220:P221"/>
    <mergeCell ref="Q220:Q221"/>
    <mergeCell ref="R220:R221"/>
    <mergeCell ref="S220:S221"/>
    <mergeCell ref="T220:T221"/>
    <mergeCell ref="CH218:CH219"/>
    <mergeCell ref="CI218:CI219"/>
    <mergeCell ref="CJ218:CJ219"/>
    <mergeCell ref="CK218:CK219"/>
    <mergeCell ref="CL218:CL219"/>
    <mergeCell ref="BJ218:BJ219"/>
    <mergeCell ref="BK218:BK219"/>
    <mergeCell ref="BL218:BL219"/>
    <mergeCell ref="BM218:BM219"/>
    <mergeCell ref="BN218:BN219"/>
    <mergeCell ref="BO218:BO219"/>
    <mergeCell ref="BD218:BD219"/>
    <mergeCell ref="BE218:BE219"/>
    <mergeCell ref="BF218:BF219"/>
    <mergeCell ref="BG218:BG219"/>
    <mergeCell ref="BH218:BH219"/>
    <mergeCell ref="BI218:BI219"/>
    <mergeCell ref="AX218:AX219"/>
    <mergeCell ref="AY218:AY219"/>
    <mergeCell ref="AZ218:AZ219"/>
    <mergeCell ref="CM218:CM219"/>
    <mergeCell ref="CB218:CB219"/>
    <mergeCell ref="CC218:CC219"/>
    <mergeCell ref="CD218:CD219"/>
    <mergeCell ref="CE218:CE219"/>
    <mergeCell ref="CF218:CF219"/>
    <mergeCell ref="CG218:CG219"/>
    <mergeCell ref="BV218:BV219"/>
    <mergeCell ref="BW218:BW219"/>
    <mergeCell ref="BX218:BX219"/>
    <mergeCell ref="BY218:BY219"/>
    <mergeCell ref="BZ218:BZ219"/>
    <mergeCell ref="CA218:CA219"/>
    <mergeCell ref="BP218:BP219"/>
    <mergeCell ref="BQ218:BQ219"/>
    <mergeCell ref="BR218:BR219"/>
    <mergeCell ref="BS218:BS219"/>
    <mergeCell ref="BT218:BT219"/>
    <mergeCell ref="BU218:BU219"/>
    <mergeCell ref="BA218:BA219"/>
    <mergeCell ref="BB218:BB219"/>
    <mergeCell ref="BC218:BC219"/>
    <mergeCell ref="AR218:AR219"/>
    <mergeCell ref="AS218:AS219"/>
    <mergeCell ref="AT218:AT219"/>
    <mergeCell ref="AU218:AU219"/>
    <mergeCell ref="AV218:AV219"/>
    <mergeCell ref="AW218:AW219"/>
    <mergeCell ref="AL218:AL219"/>
    <mergeCell ref="AM218:AM219"/>
    <mergeCell ref="AN218:AN219"/>
    <mergeCell ref="AO218:AO219"/>
    <mergeCell ref="AP218:AP219"/>
    <mergeCell ref="AQ218:AQ219"/>
    <mergeCell ref="AF218:AF219"/>
    <mergeCell ref="AG218:AG219"/>
    <mergeCell ref="AH218:AH219"/>
    <mergeCell ref="AI218:AI219"/>
    <mergeCell ref="AJ218:AJ219"/>
    <mergeCell ref="AK218:AK219"/>
    <mergeCell ref="Z218:Z219"/>
    <mergeCell ref="AA218:AA219"/>
    <mergeCell ref="AB218:AB219"/>
    <mergeCell ref="AC218:AC219"/>
    <mergeCell ref="AD218:AD219"/>
    <mergeCell ref="AE218:AE219"/>
    <mergeCell ref="T218:T219"/>
    <mergeCell ref="U218:U219"/>
    <mergeCell ref="V218:V219"/>
    <mergeCell ref="W218:W219"/>
    <mergeCell ref="X218:X219"/>
    <mergeCell ref="Y218:Y219"/>
    <mergeCell ref="CI216:CI217"/>
    <mergeCell ref="CJ216:CJ217"/>
    <mergeCell ref="CK216:CK217"/>
    <mergeCell ref="CL216:CL217"/>
    <mergeCell ref="CM216:CM217"/>
    <mergeCell ref="BH216:BH217"/>
    <mergeCell ref="BI216:BI217"/>
    <mergeCell ref="BJ216:BJ217"/>
    <mergeCell ref="AY216:AY217"/>
    <mergeCell ref="AZ216:AZ217"/>
    <mergeCell ref="BA216:BA217"/>
    <mergeCell ref="BB216:BB217"/>
    <mergeCell ref="BC216:BC217"/>
    <mergeCell ref="BD216:BD217"/>
    <mergeCell ref="AS216:AS217"/>
    <mergeCell ref="AT216:AT217"/>
    <mergeCell ref="AU216:AU217"/>
    <mergeCell ref="AV216:AV217"/>
    <mergeCell ref="AW216:AW217"/>
    <mergeCell ref="AX216:AX217"/>
    <mergeCell ref="A218:A219"/>
    <mergeCell ref="P218:P219"/>
    <mergeCell ref="Q218:Q219"/>
    <mergeCell ref="R218:R219"/>
    <mergeCell ref="S218:S219"/>
    <mergeCell ref="CC216:CC217"/>
    <mergeCell ref="CD216:CD217"/>
    <mergeCell ref="CE216:CE217"/>
    <mergeCell ref="CF216:CF217"/>
    <mergeCell ref="CG216:CG217"/>
    <mergeCell ref="CH216:CH217"/>
    <mergeCell ref="BW216:BW217"/>
    <mergeCell ref="BX216:BX217"/>
    <mergeCell ref="BY216:BY217"/>
    <mergeCell ref="BZ216:BZ217"/>
    <mergeCell ref="CA216:CA217"/>
    <mergeCell ref="CB216:CB217"/>
    <mergeCell ref="BQ216:BQ217"/>
    <mergeCell ref="BR216:BR217"/>
    <mergeCell ref="BS216:BS217"/>
    <mergeCell ref="BT216:BT217"/>
    <mergeCell ref="BU216:BU217"/>
    <mergeCell ref="BV216:BV217"/>
    <mergeCell ref="BK216:BK217"/>
    <mergeCell ref="BL216:BL217"/>
    <mergeCell ref="BM216:BM217"/>
    <mergeCell ref="BN216:BN217"/>
    <mergeCell ref="BO216:BO217"/>
    <mergeCell ref="BP216:BP217"/>
    <mergeCell ref="BE216:BE217"/>
    <mergeCell ref="BF216:BF217"/>
    <mergeCell ref="BG216:BG217"/>
    <mergeCell ref="AM216:AM217"/>
    <mergeCell ref="AN216:AN217"/>
    <mergeCell ref="AO216:AO217"/>
    <mergeCell ref="AP216:AP217"/>
    <mergeCell ref="AQ216:AQ217"/>
    <mergeCell ref="AR216:AR217"/>
    <mergeCell ref="AG216:AG217"/>
    <mergeCell ref="AH216:AH217"/>
    <mergeCell ref="AI216:AI217"/>
    <mergeCell ref="AJ216:AJ217"/>
    <mergeCell ref="AK216:AK217"/>
    <mergeCell ref="AL216:AL217"/>
    <mergeCell ref="AA216:AA217"/>
    <mergeCell ref="AB216:AB217"/>
    <mergeCell ref="AC216:AC217"/>
    <mergeCell ref="AD216:AD217"/>
    <mergeCell ref="AE216:AE217"/>
    <mergeCell ref="AF216:AF217"/>
    <mergeCell ref="U216:U217"/>
    <mergeCell ref="V216:V217"/>
    <mergeCell ref="W216:W217"/>
    <mergeCell ref="X216:X217"/>
    <mergeCell ref="Y216:Y217"/>
    <mergeCell ref="Z216:Z217"/>
    <mergeCell ref="A216:A217"/>
    <mergeCell ref="P216:P217"/>
    <mergeCell ref="Q216:Q217"/>
    <mergeCell ref="R216:R217"/>
    <mergeCell ref="S216:S217"/>
    <mergeCell ref="T216:T217"/>
    <mergeCell ref="CH213:CH214"/>
    <mergeCell ref="CI213:CI214"/>
    <mergeCell ref="CJ213:CJ214"/>
    <mergeCell ref="CK213:CK214"/>
    <mergeCell ref="CL213:CL214"/>
    <mergeCell ref="BJ213:BJ214"/>
    <mergeCell ref="BK213:BK214"/>
    <mergeCell ref="BL213:BL214"/>
    <mergeCell ref="BM213:BM214"/>
    <mergeCell ref="BN213:BN214"/>
    <mergeCell ref="BO213:BO214"/>
    <mergeCell ref="BD213:BD214"/>
    <mergeCell ref="BE213:BE214"/>
    <mergeCell ref="BF213:BF214"/>
    <mergeCell ref="BG213:BG214"/>
    <mergeCell ref="BH213:BH214"/>
    <mergeCell ref="BI213:BI214"/>
    <mergeCell ref="AX213:AX214"/>
    <mergeCell ref="AY213:AY214"/>
    <mergeCell ref="AZ213:AZ214"/>
    <mergeCell ref="CM213:CM214"/>
    <mergeCell ref="CB213:CB214"/>
    <mergeCell ref="CC213:CC214"/>
    <mergeCell ref="CD213:CD214"/>
    <mergeCell ref="CE213:CE214"/>
    <mergeCell ref="CF213:CF214"/>
    <mergeCell ref="CG213:CG214"/>
    <mergeCell ref="BV213:BV214"/>
    <mergeCell ref="BW213:BW214"/>
    <mergeCell ref="BX213:BX214"/>
    <mergeCell ref="BY213:BY214"/>
    <mergeCell ref="BZ213:BZ214"/>
    <mergeCell ref="CA213:CA214"/>
    <mergeCell ref="BP213:BP214"/>
    <mergeCell ref="BQ213:BQ214"/>
    <mergeCell ref="BR213:BR214"/>
    <mergeCell ref="BS213:BS214"/>
    <mergeCell ref="BT213:BT214"/>
    <mergeCell ref="BU213:BU214"/>
    <mergeCell ref="BA213:BA214"/>
    <mergeCell ref="BB213:BB214"/>
    <mergeCell ref="BC213:BC214"/>
    <mergeCell ref="AR213:AR214"/>
    <mergeCell ref="AS213:AS214"/>
    <mergeCell ref="AT213:AT214"/>
    <mergeCell ref="AU213:AU214"/>
    <mergeCell ref="AV213:AV214"/>
    <mergeCell ref="AW213:AW214"/>
    <mergeCell ref="AL213:AL214"/>
    <mergeCell ref="AM213:AM214"/>
    <mergeCell ref="AN213:AN214"/>
    <mergeCell ref="AO213:AO214"/>
    <mergeCell ref="AP213:AP214"/>
    <mergeCell ref="AQ213:AQ214"/>
    <mergeCell ref="AF213:AF214"/>
    <mergeCell ref="AG213:AG214"/>
    <mergeCell ref="AH213:AH214"/>
    <mergeCell ref="AI213:AI214"/>
    <mergeCell ref="AJ213:AJ214"/>
    <mergeCell ref="AK213:AK214"/>
    <mergeCell ref="Z213:Z214"/>
    <mergeCell ref="AA213:AA214"/>
    <mergeCell ref="AB213:AB214"/>
    <mergeCell ref="AC213:AC214"/>
    <mergeCell ref="AD213:AD214"/>
    <mergeCell ref="AE213:AE214"/>
    <mergeCell ref="T213:T214"/>
    <mergeCell ref="U213:U214"/>
    <mergeCell ref="V213:V214"/>
    <mergeCell ref="W213:W214"/>
    <mergeCell ref="X213:X214"/>
    <mergeCell ref="Y213:Y214"/>
    <mergeCell ref="CI210:CI212"/>
    <mergeCell ref="CJ210:CJ212"/>
    <mergeCell ref="CK210:CK212"/>
    <mergeCell ref="CL210:CL212"/>
    <mergeCell ref="CM210:CM212"/>
    <mergeCell ref="BH210:BH212"/>
    <mergeCell ref="BI210:BI212"/>
    <mergeCell ref="BJ210:BJ212"/>
    <mergeCell ref="AY210:AY212"/>
    <mergeCell ref="AZ210:AZ212"/>
    <mergeCell ref="BA210:BA212"/>
    <mergeCell ref="BB210:BB212"/>
    <mergeCell ref="BC210:BC212"/>
    <mergeCell ref="BD210:BD212"/>
    <mergeCell ref="AS210:AS212"/>
    <mergeCell ref="AT210:AT212"/>
    <mergeCell ref="AU210:AU212"/>
    <mergeCell ref="AV210:AV212"/>
    <mergeCell ref="AW210:AW212"/>
    <mergeCell ref="AX210:AX212"/>
    <mergeCell ref="A213:A214"/>
    <mergeCell ref="P213:P214"/>
    <mergeCell ref="Q213:Q214"/>
    <mergeCell ref="R213:R214"/>
    <mergeCell ref="S213:S214"/>
    <mergeCell ref="CC210:CC212"/>
    <mergeCell ref="CD210:CD212"/>
    <mergeCell ref="CE210:CE212"/>
    <mergeCell ref="CF210:CF212"/>
    <mergeCell ref="CG210:CG212"/>
    <mergeCell ref="CH210:CH212"/>
    <mergeCell ref="BW210:BW212"/>
    <mergeCell ref="BX210:BX212"/>
    <mergeCell ref="BY210:BY212"/>
    <mergeCell ref="BZ210:BZ212"/>
    <mergeCell ref="CA210:CA212"/>
    <mergeCell ref="CB210:CB212"/>
    <mergeCell ref="BQ210:BQ212"/>
    <mergeCell ref="BR210:BR212"/>
    <mergeCell ref="BS210:BS212"/>
    <mergeCell ref="BT210:BT212"/>
    <mergeCell ref="BU210:BU212"/>
    <mergeCell ref="BV210:BV212"/>
    <mergeCell ref="BK210:BK212"/>
    <mergeCell ref="BL210:BL212"/>
    <mergeCell ref="BM210:BM212"/>
    <mergeCell ref="BN210:BN212"/>
    <mergeCell ref="BO210:BO212"/>
    <mergeCell ref="BP210:BP212"/>
    <mergeCell ref="BE210:BE212"/>
    <mergeCell ref="BF210:BF212"/>
    <mergeCell ref="BG210:BG212"/>
    <mergeCell ref="AM210:AM212"/>
    <mergeCell ref="AN210:AN212"/>
    <mergeCell ref="AO210:AO212"/>
    <mergeCell ref="AP210:AP212"/>
    <mergeCell ref="AQ210:AQ212"/>
    <mergeCell ref="AR210:AR212"/>
    <mergeCell ref="AG210:AG212"/>
    <mergeCell ref="AH210:AH212"/>
    <mergeCell ref="AI210:AI212"/>
    <mergeCell ref="AJ210:AJ212"/>
    <mergeCell ref="AK210:AK212"/>
    <mergeCell ref="AL210:AL212"/>
    <mergeCell ref="AA210:AA212"/>
    <mergeCell ref="AB210:AB212"/>
    <mergeCell ref="AC210:AC212"/>
    <mergeCell ref="AD210:AD212"/>
    <mergeCell ref="AE210:AE212"/>
    <mergeCell ref="AF210:AF212"/>
    <mergeCell ref="U210:U212"/>
    <mergeCell ref="V210:V212"/>
    <mergeCell ref="W210:W212"/>
    <mergeCell ref="X210:X212"/>
    <mergeCell ref="Y210:Y212"/>
    <mergeCell ref="Z210:Z212"/>
    <mergeCell ref="A210:A212"/>
    <mergeCell ref="P210:P212"/>
    <mergeCell ref="Q210:Q212"/>
    <mergeCell ref="R210:R212"/>
    <mergeCell ref="S210:S212"/>
    <mergeCell ref="T210:T212"/>
    <mergeCell ref="CH206:CH208"/>
    <mergeCell ref="CI206:CI208"/>
    <mergeCell ref="CJ206:CJ208"/>
    <mergeCell ref="CK206:CK208"/>
    <mergeCell ref="CL206:CL208"/>
    <mergeCell ref="BJ206:BJ208"/>
    <mergeCell ref="BK206:BK208"/>
    <mergeCell ref="BL206:BL208"/>
    <mergeCell ref="BM206:BM208"/>
    <mergeCell ref="BN206:BN208"/>
    <mergeCell ref="BO206:BO208"/>
    <mergeCell ref="BD206:BD208"/>
    <mergeCell ref="BE206:BE208"/>
    <mergeCell ref="BF206:BF208"/>
    <mergeCell ref="BG206:BG208"/>
    <mergeCell ref="BH206:BH208"/>
    <mergeCell ref="BI206:BI208"/>
    <mergeCell ref="AX206:AX208"/>
    <mergeCell ref="AY206:AY208"/>
    <mergeCell ref="AZ206:AZ208"/>
    <mergeCell ref="CM206:CM208"/>
    <mergeCell ref="CB206:CB208"/>
    <mergeCell ref="CC206:CC208"/>
    <mergeCell ref="CD206:CD208"/>
    <mergeCell ref="CE206:CE208"/>
    <mergeCell ref="CF206:CF208"/>
    <mergeCell ref="CG206:CG208"/>
    <mergeCell ref="BV206:BV208"/>
    <mergeCell ref="BW206:BW208"/>
    <mergeCell ref="BX206:BX208"/>
    <mergeCell ref="BY206:BY208"/>
    <mergeCell ref="BZ206:BZ208"/>
    <mergeCell ref="CA206:CA208"/>
    <mergeCell ref="BP206:BP208"/>
    <mergeCell ref="BQ206:BQ208"/>
    <mergeCell ref="BR206:BR208"/>
    <mergeCell ref="BS206:BS208"/>
    <mergeCell ref="BT206:BT208"/>
    <mergeCell ref="BU206:BU208"/>
    <mergeCell ref="BA206:BA208"/>
    <mergeCell ref="BB206:BB208"/>
    <mergeCell ref="BC206:BC208"/>
    <mergeCell ref="AR206:AR208"/>
    <mergeCell ref="AS206:AS208"/>
    <mergeCell ref="AT206:AT208"/>
    <mergeCell ref="AU206:AU208"/>
    <mergeCell ref="AV206:AV208"/>
    <mergeCell ref="AW206:AW208"/>
    <mergeCell ref="AL206:AL208"/>
    <mergeCell ref="AM206:AM208"/>
    <mergeCell ref="AN206:AN208"/>
    <mergeCell ref="AO206:AO208"/>
    <mergeCell ref="AP206:AP208"/>
    <mergeCell ref="AQ206:AQ208"/>
    <mergeCell ref="AF206:AF208"/>
    <mergeCell ref="AG206:AG208"/>
    <mergeCell ref="AH206:AH208"/>
    <mergeCell ref="AI206:AI208"/>
    <mergeCell ref="AJ206:AJ208"/>
    <mergeCell ref="AK206:AK208"/>
    <mergeCell ref="Z206:Z208"/>
    <mergeCell ref="AA206:AA208"/>
    <mergeCell ref="AB206:AB208"/>
    <mergeCell ref="AC206:AC208"/>
    <mergeCell ref="AD206:AD208"/>
    <mergeCell ref="AE206:AE208"/>
    <mergeCell ref="T206:T208"/>
    <mergeCell ref="U206:U208"/>
    <mergeCell ref="V206:V208"/>
    <mergeCell ref="W206:W208"/>
    <mergeCell ref="X206:X208"/>
    <mergeCell ref="Y206:Y208"/>
    <mergeCell ref="CI204:CI205"/>
    <mergeCell ref="CJ204:CJ205"/>
    <mergeCell ref="CK204:CK205"/>
    <mergeCell ref="CL204:CL205"/>
    <mergeCell ref="CM204:CM205"/>
    <mergeCell ref="BH204:BH205"/>
    <mergeCell ref="BI204:BI205"/>
    <mergeCell ref="BJ204:BJ205"/>
    <mergeCell ref="AY204:AY205"/>
    <mergeCell ref="AZ204:AZ205"/>
    <mergeCell ref="BA204:BA205"/>
    <mergeCell ref="BB204:BB205"/>
    <mergeCell ref="BC204:BC205"/>
    <mergeCell ref="BD204:BD205"/>
    <mergeCell ref="AS204:AS205"/>
    <mergeCell ref="AT204:AT205"/>
    <mergeCell ref="AU204:AU205"/>
    <mergeCell ref="AV204:AV205"/>
    <mergeCell ref="AW204:AW205"/>
    <mergeCell ref="AX204:AX205"/>
    <mergeCell ref="A206:A208"/>
    <mergeCell ref="P206:P208"/>
    <mergeCell ref="Q206:Q208"/>
    <mergeCell ref="R206:R208"/>
    <mergeCell ref="S206:S208"/>
    <mergeCell ref="CC204:CC205"/>
    <mergeCell ref="CD204:CD205"/>
    <mergeCell ref="CE204:CE205"/>
    <mergeCell ref="CF204:CF205"/>
    <mergeCell ref="CG204:CG205"/>
    <mergeCell ref="CH204:CH205"/>
    <mergeCell ref="BW204:BW205"/>
    <mergeCell ref="BX204:BX205"/>
    <mergeCell ref="BY204:BY205"/>
    <mergeCell ref="BZ204:BZ205"/>
    <mergeCell ref="CA204:CA205"/>
    <mergeCell ref="CB204:CB205"/>
    <mergeCell ref="BQ204:BQ205"/>
    <mergeCell ref="BR204:BR205"/>
    <mergeCell ref="BS204:BS205"/>
    <mergeCell ref="BT204:BT205"/>
    <mergeCell ref="BU204:BU205"/>
    <mergeCell ref="BV204:BV205"/>
    <mergeCell ref="BK204:BK205"/>
    <mergeCell ref="BL204:BL205"/>
    <mergeCell ref="BM204:BM205"/>
    <mergeCell ref="BN204:BN205"/>
    <mergeCell ref="BO204:BO205"/>
    <mergeCell ref="BP204:BP205"/>
    <mergeCell ref="BE204:BE205"/>
    <mergeCell ref="BF204:BF205"/>
    <mergeCell ref="BG204:BG205"/>
    <mergeCell ref="AM204:AM205"/>
    <mergeCell ref="AN204:AN205"/>
    <mergeCell ref="AO204:AO205"/>
    <mergeCell ref="AP204:AP205"/>
    <mergeCell ref="AQ204:AQ205"/>
    <mergeCell ref="AR204:AR205"/>
    <mergeCell ref="AG204:AG205"/>
    <mergeCell ref="AH204:AH205"/>
    <mergeCell ref="AI204:AI205"/>
    <mergeCell ref="AJ204:AJ205"/>
    <mergeCell ref="AK204:AK205"/>
    <mergeCell ref="AL204:AL205"/>
    <mergeCell ref="AA204:AA205"/>
    <mergeCell ref="AB204:AB205"/>
    <mergeCell ref="AC204:AC205"/>
    <mergeCell ref="AD204:AD205"/>
    <mergeCell ref="AE204:AE205"/>
    <mergeCell ref="AF204:AF205"/>
    <mergeCell ref="U204:U205"/>
    <mergeCell ref="V204:V205"/>
    <mergeCell ref="W204:W205"/>
    <mergeCell ref="X204:X205"/>
    <mergeCell ref="Y204:Y205"/>
    <mergeCell ref="Z204:Z205"/>
    <mergeCell ref="A204:A205"/>
    <mergeCell ref="P204:P205"/>
    <mergeCell ref="Q204:Q205"/>
    <mergeCell ref="R204:R205"/>
    <mergeCell ref="S204:S205"/>
    <mergeCell ref="T204:T205"/>
    <mergeCell ref="CH201:CH203"/>
    <mergeCell ref="CI201:CI203"/>
    <mergeCell ref="CJ201:CJ203"/>
    <mergeCell ref="CK201:CK203"/>
    <mergeCell ref="CL201:CL203"/>
    <mergeCell ref="BJ201:BJ203"/>
    <mergeCell ref="BK201:BK203"/>
    <mergeCell ref="BL201:BL203"/>
    <mergeCell ref="BM201:BM203"/>
    <mergeCell ref="BN201:BN203"/>
    <mergeCell ref="BO201:BO203"/>
    <mergeCell ref="BD201:BD203"/>
    <mergeCell ref="BE201:BE203"/>
    <mergeCell ref="BF201:BF203"/>
    <mergeCell ref="BG201:BG203"/>
    <mergeCell ref="BH201:BH203"/>
    <mergeCell ref="BI201:BI203"/>
    <mergeCell ref="AX201:AX203"/>
    <mergeCell ref="AY201:AY203"/>
    <mergeCell ref="AZ201:AZ203"/>
    <mergeCell ref="CM201:CM203"/>
    <mergeCell ref="CB201:CB203"/>
    <mergeCell ref="CC201:CC203"/>
    <mergeCell ref="CD201:CD203"/>
    <mergeCell ref="CE201:CE203"/>
    <mergeCell ref="CF201:CF203"/>
    <mergeCell ref="CG201:CG203"/>
    <mergeCell ref="BV201:BV203"/>
    <mergeCell ref="BW201:BW203"/>
    <mergeCell ref="BX201:BX203"/>
    <mergeCell ref="BY201:BY203"/>
    <mergeCell ref="BZ201:BZ203"/>
    <mergeCell ref="CA201:CA203"/>
    <mergeCell ref="BP201:BP203"/>
    <mergeCell ref="BQ201:BQ203"/>
    <mergeCell ref="BR201:BR203"/>
    <mergeCell ref="BS201:BS203"/>
    <mergeCell ref="BT201:BT203"/>
    <mergeCell ref="BU201:BU203"/>
    <mergeCell ref="BA201:BA203"/>
    <mergeCell ref="BB201:BB203"/>
    <mergeCell ref="BC201:BC203"/>
    <mergeCell ref="AR201:AR203"/>
    <mergeCell ref="AS201:AS203"/>
    <mergeCell ref="AT201:AT203"/>
    <mergeCell ref="AU201:AU203"/>
    <mergeCell ref="AV201:AV203"/>
    <mergeCell ref="AW201:AW203"/>
    <mergeCell ref="AL201:AL203"/>
    <mergeCell ref="AM201:AM203"/>
    <mergeCell ref="AN201:AN203"/>
    <mergeCell ref="AO201:AO203"/>
    <mergeCell ref="AP201:AP203"/>
    <mergeCell ref="AQ201:AQ203"/>
    <mergeCell ref="AF201:AF203"/>
    <mergeCell ref="AG201:AG203"/>
    <mergeCell ref="AH201:AH203"/>
    <mergeCell ref="AI201:AI203"/>
    <mergeCell ref="AJ201:AJ203"/>
    <mergeCell ref="AK201:AK203"/>
    <mergeCell ref="Z201:Z203"/>
    <mergeCell ref="AA201:AA203"/>
    <mergeCell ref="AB201:AB203"/>
    <mergeCell ref="AC201:AC203"/>
    <mergeCell ref="AD201:AD203"/>
    <mergeCell ref="AE201:AE203"/>
    <mergeCell ref="T201:T203"/>
    <mergeCell ref="U201:U203"/>
    <mergeCell ref="V201:V203"/>
    <mergeCell ref="W201:W203"/>
    <mergeCell ref="X201:X203"/>
    <mergeCell ref="Y201:Y203"/>
    <mergeCell ref="CI199:CI200"/>
    <mergeCell ref="CJ199:CJ200"/>
    <mergeCell ref="CK199:CK200"/>
    <mergeCell ref="CL199:CL200"/>
    <mergeCell ref="CM199:CM200"/>
    <mergeCell ref="BH199:BH200"/>
    <mergeCell ref="BI199:BI200"/>
    <mergeCell ref="BJ199:BJ200"/>
    <mergeCell ref="AY199:AY200"/>
    <mergeCell ref="AZ199:AZ200"/>
    <mergeCell ref="BA199:BA200"/>
    <mergeCell ref="BB199:BB200"/>
    <mergeCell ref="BC199:BC200"/>
    <mergeCell ref="BD199:BD200"/>
    <mergeCell ref="AS199:AS200"/>
    <mergeCell ref="AT199:AT200"/>
    <mergeCell ref="AU199:AU200"/>
    <mergeCell ref="AV199:AV200"/>
    <mergeCell ref="AW199:AW200"/>
    <mergeCell ref="AX199:AX200"/>
    <mergeCell ref="A201:A203"/>
    <mergeCell ref="P201:P203"/>
    <mergeCell ref="Q201:Q203"/>
    <mergeCell ref="R201:R203"/>
    <mergeCell ref="S201:S203"/>
    <mergeCell ref="CC199:CC200"/>
    <mergeCell ref="CD199:CD200"/>
    <mergeCell ref="CE199:CE200"/>
    <mergeCell ref="CF199:CF200"/>
    <mergeCell ref="CG199:CG200"/>
    <mergeCell ref="CH199:CH200"/>
    <mergeCell ref="BW199:BW200"/>
    <mergeCell ref="BX199:BX200"/>
    <mergeCell ref="BY199:BY200"/>
    <mergeCell ref="BZ199:BZ200"/>
    <mergeCell ref="CA199:CA200"/>
    <mergeCell ref="CB199:CB200"/>
    <mergeCell ref="BQ199:BQ200"/>
    <mergeCell ref="BR199:BR200"/>
    <mergeCell ref="BS199:BS200"/>
    <mergeCell ref="BT199:BT200"/>
    <mergeCell ref="BU199:BU200"/>
    <mergeCell ref="BV199:BV200"/>
    <mergeCell ref="BK199:BK200"/>
    <mergeCell ref="BL199:BL200"/>
    <mergeCell ref="BM199:BM200"/>
    <mergeCell ref="BN199:BN200"/>
    <mergeCell ref="BO199:BO200"/>
    <mergeCell ref="BP199:BP200"/>
    <mergeCell ref="BE199:BE200"/>
    <mergeCell ref="BF199:BF200"/>
    <mergeCell ref="BG199:BG200"/>
    <mergeCell ref="AM199:AM200"/>
    <mergeCell ref="AN199:AN200"/>
    <mergeCell ref="AO199:AO200"/>
    <mergeCell ref="AP199:AP200"/>
    <mergeCell ref="AQ199:AQ200"/>
    <mergeCell ref="AR199:AR200"/>
    <mergeCell ref="AG199:AG200"/>
    <mergeCell ref="AH199:AH200"/>
    <mergeCell ref="AI199:AI200"/>
    <mergeCell ref="AJ199:AJ200"/>
    <mergeCell ref="AK199:AK200"/>
    <mergeCell ref="AL199:AL200"/>
    <mergeCell ref="AA199:AA200"/>
    <mergeCell ref="AB199:AB200"/>
    <mergeCell ref="AC199:AC200"/>
    <mergeCell ref="AD199:AD200"/>
    <mergeCell ref="AE199:AE200"/>
    <mergeCell ref="AF199:AF200"/>
    <mergeCell ref="U199:U200"/>
    <mergeCell ref="V199:V200"/>
    <mergeCell ref="W199:W200"/>
    <mergeCell ref="X199:X200"/>
    <mergeCell ref="Y199:Y200"/>
    <mergeCell ref="Z199:Z200"/>
    <mergeCell ref="A199:A200"/>
    <mergeCell ref="P199:P200"/>
    <mergeCell ref="Q199:Q200"/>
    <mergeCell ref="R199:R200"/>
    <mergeCell ref="S199:S200"/>
    <mergeCell ref="T199:T200"/>
    <mergeCell ref="CH197:CH198"/>
    <mergeCell ref="CI197:CI198"/>
    <mergeCell ref="CJ197:CJ198"/>
    <mergeCell ref="CK197:CK198"/>
    <mergeCell ref="CL197:CL198"/>
    <mergeCell ref="BJ197:BJ198"/>
    <mergeCell ref="BK197:BK198"/>
    <mergeCell ref="BL197:BL198"/>
    <mergeCell ref="BM197:BM198"/>
    <mergeCell ref="BN197:BN198"/>
    <mergeCell ref="BO197:BO198"/>
    <mergeCell ref="BD197:BD198"/>
    <mergeCell ref="BE197:BE198"/>
    <mergeCell ref="BF197:BF198"/>
    <mergeCell ref="BG197:BG198"/>
    <mergeCell ref="BH197:BH198"/>
    <mergeCell ref="BI197:BI198"/>
    <mergeCell ref="AX197:AX198"/>
    <mergeCell ref="AY197:AY198"/>
    <mergeCell ref="AZ197:AZ198"/>
    <mergeCell ref="CM197:CM198"/>
    <mergeCell ref="CB197:CB198"/>
    <mergeCell ref="CC197:CC198"/>
    <mergeCell ref="CD197:CD198"/>
    <mergeCell ref="CE197:CE198"/>
    <mergeCell ref="CF197:CF198"/>
    <mergeCell ref="CG197:CG198"/>
    <mergeCell ref="BV197:BV198"/>
    <mergeCell ref="BW197:BW198"/>
    <mergeCell ref="BX197:BX198"/>
    <mergeCell ref="BY197:BY198"/>
    <mergeCell ref="BZ197:BZ198"/>
    <mergeCell ref="CA197:CA198"/>
    <mergeCell ref="BP197:BP198"/>
    <mergeCell ref="BQ197:BQ198"/>
    <mergeCell ref="BR197:BR198"/>
    <mergeCell ref="BS197:BS198"/>
    <mergeCell ref="BT197:BT198"/>
    <mergeCell ref="BU197:BU198"/>
    <mergeCell ref="BA197:BA198"/>
    <mergeCell ref="BB197:BB198"/>
    <mergeCell ref="BC197:BC198"/>
    <mergeCell ref="AR197:AR198"/>
    <mergeCell ref="AS197:AS198"/>
    <mergeCell ref="AT197:AT198"/>
    <mergeCell ref="AU197:AU198"/>
    <mergeCell ref="AV197:AV198"/>
    <mergeCell ref="AW197:AW198"/>
    <mergeCell ref="AL197:AL198"/>
    <mergeCell ref="AM197:AM198"/>
    <mergeCell ref="AN197:AN198"/>
    <mergeCell ref="AO197:AO198"/>
    <mergeCell ref="AP197:AP198"/>
    <mergeCell ref="AQ197:AQ198"/>
    <mergeCell ref="AF197:AF198"/>
    <mergeCell ref="AG197:AG198"/>
    <mergeCell ref="AH197:AH198"/>
    <mergeCell ref="AI197:AI198"/>
    <mergeCell ref="AJ197:AJ198"/>
    <mergeCell ref="AK197:AK198"/>
    <mergeCell ref="Z197:Z198"/>
    <mergeCell ref="AA197:AA198"/>
    <mergeCell ref="AB197:AB198"/>
    <mergeCell ref="AC197:AC198"/>
    <mergeCell ref="AD197:AD198"/>
    <mergeCell ref="AE197:AE198"/>
    <mergeCell ref="T197:T198"/>
    <mergeCell ref="U197:U198"/>
    <mergeCell ref="V197:V198"/>
    <mergeCell ref="W197:W198"/>
    <mergeCell ref="X197:X198"/>
    <mergeCell ref="Y197:Y198"/>
    <mergeCell ref="CI191:CI194"/>
    <mergeCell ref="CJ191:CJ194"/>
    <mergeCell ref="CK191:CK194"/>
    <mergeCell ref="CL191:CL194"/>
    <mergeCell ref="CM191:CM194"/>
    <mergeCell ref="BH191:BH194"/>
    <mergeCell ref="BI191:BI194"/>
    <mergeCell ref="BJ191:BJ194"/>
    <mergeCell ref="AY191:AY194"/>
    <mergeCell ref="AZ191:AZ194"/>
    <mergeCell ref="BA191:BA194"/>
    <mergeCell ref="BB191:BB194"/>
    <mergeCell ref="BC191:BC194"/>
    <mergeCell ref="BD191:BD194"/>
    <mergeCell ref="AS191:AS194"/>
    <mergeCell ref="AT191:AT194"/>
    <mergeCell ref="AU191:AU194"/>
    <mergeCell ref="AV191:AV194"/>
    <mergeCell ref="AW191:AW194"/>
    <mergeCell ref="AX191:AX194"/>
    <mergeCell ref="A197:A198"/>
    <mergeCell ref="P197:P198"/>
    <mergeCell ref="Q197:Q198"/>
    <mergeCell ref="R197:R198"/>
    <mergeCell ref="S197:S198"/>
    <mergeCell ref="CC191:CC194"/>
    <mergeCell ref="CD191:CD194"/>
    <mergeCell ref="CE191:CE194"/>
    <mergeCell ref="CF191:CF194"/>
    <mergeCell ref="CG191:CG194"/>
    <mergeCell ref="CH191:CH194"/>
    <mergeCell ref="BW191:BW194"/>
    <mergeCell ref="BX191:BX194"/>
    <mergeCell ref="BY191:BY194"/>
    <mergeCell ref="BZ191:BZ194"/>
    <mergeCell ref="CA191:CA194"/>
    <mergeCell ref="CB191:CB194"/>
    <mergeCell ref="BQ191:BQ194"/>
    <mergeCell ref="BR191:BR194"/>
    <mergeCell ref="BS191:BS194"/>
    <mergeCell ref="BT191:BT194"/>
    <mergeCell ref="BU191:BU194"/>
    <mergeCell ref="BV191:BV194"/>
    <mergeCell ref="BK191:BK194"/>
    <mergeCell ref="BL191:BL194"/>
    <mergeCell ref="BM191:BM194"/>
    <mergeCell ref="BN191:BN194"/>
    <mergeCell ref="BO191:BO194"/>
    <mergeCell ref="BP191:BP194"/>
    <mergeCell ref="BE191:BE194"/>
    <mergeCell ref="BF191:BF194"/>
    <mergeCell ref="BG191:BG194"/>
    <mergeCell ref="AM191:AM194"/>
    <mergeCell ref="AN191:AN194"/>
    <mergeCell ref="AO191:AO194"/>
    <mergeCell ref="AP191:AP194"/>
    <mergeCell ref="AQ191:AQ194"/>
    <mergeCell ref="AR191:AR194"/>
    <mergeCell ref="AG191:AG194"/>
    <mergeCell ref="AH191:AH194"/>
    <mergeCell ref="AI191:AI194"/>
    <mergeCell ref="AJ191:AJ194"/>
    <mergeCell ref="AK191:AK194"/>
    <mergeCell ref="AL191:AL194"/>
    <mergeCell ref="AA191:AA194"/>
    <mergeCell ref="AB191:AB194"/>
    <mergeCell ref="AC191:AC194"/>
    <mergeCell ref="AD191:AD194"/>
    <mergeCell ref="AE191:AE194"/>
    <mergeCell ref="AF191:AF194"/>
    <mergeCell ref="U191:U194"/>
    <mergeCell ref="V191:V194"/>
    <mergeCell ref="W191:W194"/>
    <mergeCell ref="X191:X194"/>
    <mergeCell ref="Y191:Y194"/>
    <mergeCell ref="Z191:Z194"/>
    <mergeCell ref="CJ186:CJ187"/>
    <mergeCell ref="CK186:CK187"/>
    <mergeCell ref="CL186:CL187"/>
    <mergeCell ref="CM186:CM187"/>
    <mergeCell ref="A191:A194"/>
    <mergeCell ref="P191:P194"/>
    <mergeCell ref="Q191:Q194"/>
    <mergeCell ref="R191:R194"/>
    <mergeCell ref="S191:S194"/>
    <mergeCell ref="T191:T194"/>
    <mergeCell ref="CD186:CD187"/>
    <mergeCell ref="CE186:CE187"/>
    <mergeCell ref="CF186:CF187"/>
    <mergeCell ref="CG186:CG187"/>
    <mergeCell ref="CH186:CH187"/>
    <mergeCell ref="CI186:CI187"/>
    <mergeCell ref="BX186:BX187"/>
    <mergeCell ref="BY186:BY187"/>
    <mergeCell ref="BZ186:BZ187"/>
    <mergeCell ref="CA186:CA187"/>
    <mergeCell ref="CB186:CB187"/>
    <mergeCell ref="CC186:CC187"/>
    <mergeCell ref="BR186:BR187"/>
    <mergeCell ref="BS186:BS187"/>
    <mergeCell ref="BT186:BT187"/>
    <mergeCell ref="BU186:BU187"/>
    <mergeCell ref="BV186:BV187"/>
    <mergeCell ref="BW186:BW187"/>
    <mergeCell ref="BL186:BL187"/>
    <mergeCell ref="BM186:BM187"/>
    <mergeCell ref="BN186:BN187"/>
    <mergeCell ref="BO186:BO187"/>
    <mergeCell ref="BP186:BP187"/>
    <mergeCell ref="BQ186:BQ187"/>
    <mergeCell ref="BF186:BF187"/>
    <mergeCell ref="BG186:BG187"/>
    <mergeCell ref="BH186:BH187"/>
    <mergeCell ref="BI186:BI187"/>
    <mergeCell ref="BJ186:BJ187"/>
    <mergeCell ref="BK186:BK187"/>
    <mergeCell ref="AZ186:AZ187"/>
    <mergeCell ref="BA186:BA187"/>
    <mergeCell ref="BB186:BB187"/>
    <mergeCell ref="BC186:BC187"/>
    <mergeCell ref="BD186:BD187"/>
    <mergeCell ref="BE186:BE187"/>
    <mergeCell ref="AT186:AT187"/>
    <mergeCell ref="AU186:AU187"/>
    <mergeCell ref="AV186:AV187"/>
    <mergeCell ref="AW186:AW187"/>
    <mergeCell ref="AX186:AX187"/>
    <mergeCell ref="AY186:AY187"/>
    <mergeCell ref="AN186:AN187"/>
    <mergeCell ref="AO186:AO187"/>
    <mergeCell ref="AP186:AP187"/>
    <mergeCell ref="AQ186:AQ187"/>
    <mergeCell ref="AR186:AR187"/>
    <mergeCell ref="AS186:AS187"/>
    <mergeCell ref="AH186:AH187"/>
    <mergeCell ref="AI186:AI187"/>
    <mergeCell ref="AJ186:AJ187"/>
    <mergeCell ref="AK186:AK187"/>
    <mergeCell ref="AL186:AL187"/>
    <mergeCell ref="AM186:AM187"/>
    <mergeCell ref="AB186:AB187"/>
    <mergeCell ref="AC186:AC187"/>
    <mergeCell ref="AD186:AD187"/>
    <mergeCell ref="AE186:AE187"/>
    <mergeCell ref="AF186:AF187"/>
    <mergeCell ref="AG186:AG187"/>
    <mergeCell ref="V186:V187"/>
    <mergeCell ref="W186:W187"/>
    <mergeCell ref="X186:X187"/>
    <mergeCell ref="Y186:Y187"/>
    <mergeCell ref="Z186:Z187"/>
    <mergeCell ref="AA186:AA187"/>
    <mergeCell ref="CK175:CK178"/>
    <mergeCell ref="CL175:CL178"/>
    <mergeCell ref="CM175:CM178"/>
    <mergeCell ref="A186:A187"/>
    <mergeCell ref="P186:P187"/>
    <mergeCell ref="Q186:Q187"/>
    <mergeCell ref="R186:R187"/>
    <mergeCell ref="S186:S187"/>
    <mergeCell ref="T186:T187"/>
    <mergeCell ref="U186:U187"/>
    <mergeCell ref="CE175:CE178"/>
    <mergeCell ref="CF175:CF178"/>
    <mergeCell ref="CG175:CG178"/>
    <mergeCell ref="CH175:CH178"/>
    <mergeCell ref="CI175:CI178"/>
    <mergeCell ref="CJ175:CJ178"/>
    <mergeCell ref="BY175:BY178"/>
    <mergeCell ref="BZ175:BZ178"/>
    <mergeCell ref="CA175:CA178"/>
    <mergeCell ref="CB175:CB178"/>
    <mergeCell ref="CC175:CC178"/>
    <mergeCell ref="CD175:CD178"/>
    <mergeCell ref="BS175:BS178"/>
    <mergeCell ref="BT175:BT178"/>
    <mergeCell ref="BU175:BU178"/>
    <mergeCell ref="BV175:BV178"/>
    <mergeCell ref="BW175:BW178"/>
    <mergeCell ref="BX175:BX178"/>
    <mergeCell ref="BM175:BM178"/>
    <mergeCell ref="BN175:BN178"/>
    <mergeCell ref="BO175:BO178"/>
    <mergeCell ref="BP175:BP178"/>
    <mergeCell ref="BQ175:BQ178"/>
    <mergeCell ref="BR175:BR178"/>
    <mergeCell ref="BG175:BG178"/>
    <mergeCell ref="BH175:BH178"/>
    <mergeCell ref="BI175:BI178"/>
    <mergeCell ref="BJ175:BJ178"/>
    <mergeCell ref="BK175:BK178"/>
    <mergeCell ref="BL175:BL178"/>
    <mergeCell ref="BA175:BA178"/>
    <mergeCell ref="BB175:BB178"/>
    <mergeCell ref="BC175:BC178"/>
    <mergeCell ref="BD175:BD178"/>
    <mergeCell ref="BE175:BE178"/>
    <mergeCell ref="BF175:BF178"/>
    <mergeCell ref="AU175:AU178"/>
    <mergeCell ref="AV175:AV178"/>
    <mergeCell ref="AW175:AW178"/>
    <mergeCell ref="AX175:AX178"/>
    <mergeCell ref="AY175:AY178"/>
    <mergeCell ref="AZ175:AZ178"/>
    <mergeCell ref="AL175:AL178"/>
    <mergeCell ref="AP175:AP178"/>
    <mergeCell ref="AQ175:AQ178"/>
    <mergeCell ref="AR175:AR178"/>
    <mergeCell ref="AS175:AS178"/>
    <mergeCell ref="AT175:AT178"/>
    <mergeCell ref="AF175:AF178"/>
    <mergeCell ref="AG175:AG178"/>
    <mergeCell ref="AH175:AH178"/>
    <mergeCell ref="AI175:AI178"/>
    <mergeCell ref="AJ175:AJ178"/>
    <mergeCell ref="AK175:AK178"/>
    <mergeCell ref="Z175:Z178"/>
    <mergeCell ref="AA175:AA178"/>
    <mergeCell ref="AB175:AB178"/>
    <mergeCell ref="AC175:AC178"/>
    <mergeCell ref="AD175:AD178"/>
    <mergeCell ref="AE175:AE178"/>
    <mergeCell ref="T175:T178"/>
    <mergeCell ref="U175:U178"/>
    <mergeCell ref="V175:V178"/>
    <mergeCell ref="W175:W178"/>
    <mergeCell ref="X175:X178"/>
    <mergeCell ref="Y175:Y178"/>
    <mergeCell ref="CI171:CI172"/>
    <mergeCell ref="CJ171:CJ172"/>
    <mergeCell ref="CK171:CK172"/>
    <mergeCell ref="CL171:CL172"/>
    <mergeCell ref="CM171:CM172"/>
    <mergeCell ref="A175:A178"/>
    <mergeCell ref="P175:P178"/>
    <mergeCell ref="Q175:Q178"/>
    <mergeCell ref="R175:R178"/>
    <mergeCell ref="S175:S178"/>
    <mergeCell ref="CC171:CC172"/>
    <mergeCell ref="CD171:CD172"/>
    <mergeCell ref="CE171:CE172"/>
    <mergeCell ref="CF171:CF172"/>
    <mergeCell ref="CG171:CG172"/>
    <mergeCell ref="CH171:CH172"/>
    <mergeCell ref="BW171:BW172"/>
    <mergeCell ref="BX171:BX172"/>
    <mergeCell ref="BY171:BY172"/>
    <mergeCell ref="BZ171:BZ172"/>
    <mergeCell ref="CA171:CA172"/>
    <mergeCell ref="CB171:CB172"/>
    <mergeCell ref="BQ171:BQ172"/>
    <mergeCell ref="BR171:BR172"/>
    <mergeCell ref="BS171:BS172"/>
    <mergeCell ref="BT171:BT172"/>
    <mergeCell ref="BU171:BU172"/>
    <mergeCell ref="BV171:BV172"/>
    <mergeCell ref="BK171:BK172"/>
    <mergeCell ref="BL171:BL172"/>
    <mergeCell ref="BM171:BM172"/>
    <mergeCell ref="BN171:BN172"/>
    <mergeCell ref="BO171:BO172"/>
    <mergeCell ref="BP171:BP172"/>
    <mergeCell ref="BE171:BE172"/>
    <mergeCell ref="BF171:BF172"/>
    <mergeCell ref="BG171:BG172"/>
    <mergeCell ref="BH171:BH172"/>
    <mergeCell ref="BI171:BI172"/>
    <mergeCell ref="BJ171:BJ172"/>
    <mergeCell ref="AY171:AY172"/>
    <mergeCell ref="AZ171:AZ172"/>
    <mergeCell ref="BA171:BA172"/>
    <mergeCell ref="BB171:BB172"/>
    <mergeCell ref="BC171:BC172"/>
    <mergeCell ref="BD171:BD172"/>
    <mergeCell ref="AS171:AS172"/>
    <mergeCell ref="AT171:AT172"/>
    <mergeCell ref="AU171:AU172"/>
    <mergeCell ref="AV171:AV172"/>
    <mergeCell ref="AW171:AW172"/>
    <mergeCell ref="AX171:AX172"/>
    <mergeCell ref="AM171:AM172"/>
    <mergeCell ref="AN171:AN172"/>
    <mergeCell ref="AO171:AO172"/>
    <mergeCell ref="AP171:AP172"/>
    <mergeCell ref="AQ171:AQ172"/>
    <mergeCell ref="AR171:AR172"/>
    <mergeCell ref="AG171:AG172"/>
    <mergeCell ref="AH171:AH172"/>
    <mergeCell ref="AI171:AI172"/>
    <mergeCell ref="AJ171:AJ172"/>
    <mergeCell ref="AK171:AK172"/>
    <mergeCell ref="AL171:AL172"/>
    <mergeCell ref="AA171:AA172"/>
    <mergeCell ref="AB171:AB172"/>
    <mergeCell ref="AC171:AC172"/>
    <mergeCell ref="AD171:AD172"/>
    <mergeCell ref="AE171:AE172"/>
    <mergeCell ref="AF171:AF172"/>
    <mergeCell ref="U171:U172"/>
    <mergeCell ref="V171:V172"/>
    <mergeCell ref="W171:W172"/>
    <mergeCell ref="X171:X172"/>
    <mergeCell ref="Y171:Y172"/>
    <mergeCell ref="Z171:Z172"/>
    <mergeCell ref="A171:A172"/>
    <mergeCell ref="P171:P172"/>
    <mergeCell ref="Q171:Q172"/>
    <mergeCell ref="R171:R172"/>
    <mergeCell ref="S171:S172"/>
    <mergeCell ref="T171:T172"/>
    <mergeCell ref="CH168:CH170"/>
    <mergeCell ref="CI168:CI170"/>
    <mergeCell ref="CJ168:CJ170"/>
    <mergeCell ref="CK168:CK170"/>
    <mergeCell ref="CL168:CL170"/>
    <mergeCell ref="BJ168:BJ170"/>
    <mergeCell ref="BK168:BK170"/>
    <mergeCell ref="BL168:BL170"/>
    <mergeCell ref="BM168:BM170"/>
    <mergeCell ref="BN168:BN170"/>
    <mergeCell ref="BO168:BO170"/>
    <mergeCell ref="BD168:BD170"/>
    <mergeCell ref="BE168:BE170"/>
    <mergeCell ref="BF168:BF170"/>
    <mergeCell ref="BG168:BG170"/>
    <mergeCell ref="BH168:BH170"/>
    <mergeCell ref="BI168:BI170"/>
    <mergeCell ref="AX168:AX170"/>
    <mergeCell ref="AY168:AY170"/>
    <mergeCell ref="AZ168:AZ170"/>
    <mergeCell ref="CM168:CM170"/>
    <mergeCell ref="CB168:CB170"/>
    <mergeCell ref="CC168:CC170"/>
    <mergeCell ref="CD168:CD170"/>
    <mergeCell ref="CE168:CE170"/>
    <mergeCell ref="CF168:CF170"/>
    <mergeCell ref="CG168:CG170"/>
    <mergeCell ref="BV168:BV170"/>
    <mergeCell ref="BW168:BW170"/>
    <mergeCell ref="BX168:BX170"/>
    <mergeCell ref="BY168:BY170"/>
    <mergeCell ref="BZ168:BZ170"/>
    <mergeCell ref="CA168:CA170"/>
    <mergeCell ref="BP168:BP170"/>
    <mergeCell ref="BQ168:BQ170"/>
    <mergeCell ref="BR168:BR170"/>
    <mergeCell ref="BS168:BS170"/>
    <mergeCell ref="BT168:BT170"/>
    <mergeCell ref="BU168:BU170"/>
    <mergeCell ref="BA168:BA170"/>
    <mergeCell ref="BB168:BB170"/>
    <mergeCell ref="BC168:BC170"/>
    <mergeCell ref="AR168:AR170"/>
    <mergeCell ref="AS168:AS170"/>
    <mergeCell ref="AT168:AT170"/>
    <mergeCell ref="AU168:AU170"/>
    <mergeCell ref="AV168:AV170"/>
    <mergeCell ref="AW168:AW170"/>
    <mergeCell ref="AL168:AL170"/>
    <mergeCell ref="AM168:AM170"/>
    <mergeCell ref="AN168:AN170"/>
    <mergeCell ref="AO168:AO170"/>
    <mergeCell ref="AP168:AP170"/>
    <mergeCell ref="AQ168:AQ170"/>
    <mergeCell ref="AF168:AF170"/>
    <mergeCell ref="AG168:AG170"/>
    <mergeCell ref="AH168:AH170"/>
    <mergeCell ref="AI168:AI170"/>
    <mergeCell ref="AJ168:AJ170"/>
    <mergeCell ref="AK168:AK170"/>
    <mergeCell ref="Z168:Z170"/>
    <mergeCell ref="AA168:AA170"/>
    <mergeCell ref="AB168:AB170"/>
    <mergeCell ref="AC168:AC170"/>
    <mergeCell ref="AD168:AD170"/>
    <mergeCell ref="AE168:AE170"/>
    <mergeCell ref="T168:T170"/>
    <mergeCell ref="U168:U170"/>
    <mergeCell ref="V168:V170"/>
    <mergeCell ref="W168:W170"/>
    <mergeCell ref="X168:X170"/>
    <mergeCell ref="Y168:Y170"/>
    <mergeCell ref="CI164:CI167"/>
    <mergeCell ref="CJ164:CJ167"/>
    <mergeCell ref="CK164:CK167"/>
    <mergeCell ref="CL164:CL167"/>
    <mergeCell ref="CM164:CM167"/>
    <mergeCell ref="BH164:BH167"/>
    <mergeCell ref="BI164:BI167"/>
    <mergeCell ref="BJ164:BJ167"/>
    <mergeCell ref="AY164:AY167"/>
    <mergeCell ref="AZ164:AZ167"/>
    <mergeCell ref="BA164:BA167"/>
    <mergeCell ref="BB164:BB167"/>
    <mergeCell ref="BC164:BC167"/>
    <mergeCell ref="BD164:BD167"/>
    <mergeCell ref="AS164:AS167"/>
    <mergeCell ref="AT164:AT167"/>
    <mergeCell ref="AU164:AU167"/>
    <mergeCell ref="AV164:AV167"/>
    <mergeCell ref="AW164:AW167"/>
    <mergeCell ref="AX164:AX167"/>
    <mergeCell ref="A168:A170"/>
    <mergeCell ref="P168:P170"/>
    <mergeCell ref="Q168:Q170"/>
    <mergeCell ref="R168:R170"/>
    <mergeCell ref="S168:S170"/>
    <mergeCell ref="CC164:CC167"/>
    <mergeCell ref="CD164:CD167"/>
    <mergeCell ref="CE164:CE167"/>
    <mergeCell ref="CF164:CF167"/>
    <mergeCell ref="CG164:CG167"/>
    <mergeCell ref="CH164:CH167"/>
    <mergeCell ref="BW164:BW167"/>
    <mergeCell ref="BX164:BX167"/>
    <mergeCell ref="BY164:BY167"/>
    <mergeCell ref="BZ164:BZ167"/>
    <mergeCell ref="CA164:CA167"/>
    <mergeCell ref="CB164:CB167"/>
    <mergeCell ref="BQ164:BQ167"/>
    <mergeCell ref="BR164:BR167"/>
    <mergeCell ref="BS164:BS167"/>
    <mergeCell ref="BT164:BT167"/>
    <mergeCell ref="BU164:BU167"/>
    <mergeCell ref="BV164:BV167"/>
    <mergeCell ref="BK164:BK167"/>
    <mergeCell ref="BL164:BL167"/>
    <mergeCell ref="BM164:BM167"/>
    <mergeCell ref="BN164:BN167"/>
    <mergeCell ref="BO164:BO167"/>
    <mergeCell ref="BP164:BP167"/>
    <mergeCell ref="BE164:BE167"/>
    <mergeCell ref="BF164:BF167"/>
    <mergeCell ref="BG164:BG167"/>
    <mergeCell ref="AM164:AM167"/>
    <mergeCell ref="AN164:AN167"/>
    <mergeCell ref="AO164:AO167"/>
    <mergeCell ref="AP164:AP167"/>
    <mergeCell ref="AQ164:AQ167"/>
    <mergeCell ref="AR164:AR167"/>
    <mergeCell ref="AG164:AG167"/>
    <mergeCell ref="AH164:AH167"/>
    <mergeCell ref="AI164:AI167"/>
    <mergeCell ref="AJ164:AJ167"/>
    <mergeCell ref="AK164:AK167"/>
    <mergeCell ref="AL164:AL167"/>
    <mergeCell ref="AA164:AA167"/>
    <mergeCell ref="AB164:AB167"/>
    <mergeCell ref="AC164:AC167"/>
    <mergeCell ref="AD164:AD167"/>
    <mergeCell ref="AE164:AE167"/>
    <mergeCell ref="AF164:AF167"/>
    <mergeCell ref="U164:U167"/>
    <mergeCell ref="V164:V167"/>
    <mergeCell ref="W164:W167"/>
    <mergeCell ref="X164:X167"/>
    <mergeCell ref="Y164:Y167"/>
    <mergeCell ref="Z164:Z167"/>
    <mergeCell ref="CJ162:CJ163"/>
    <mergeCell ref="CK162:CK163"/>
    <mergeCell ref="CL162:CL163"/>
    <mergeCell ref="CM162:CM163"/>
    <mergeCell ref="A164:A167"/>
    <mergeCell ref="P164:P167"/>
    <mergeCell ref="Q164:Q167"/>
    <mergeCell ref="R164:R167"/>
    <mergeCell ref="S164:S167"/>
    <mergeCell ref="T164:T167"/>
    <mergeCell ref="CD162:CD163"/>
    <mergeCell ref="CE162:CE163"/>
    <mergeCell ref="CF162:CF163"/>
    <mergeCell ref="CG162:CG163"/>
    <mergeCell ref="CH162:CH163"/>
    <mergeCell ref="CI162:CI163"/>
    <mergeCell ref="BX162:BX163"/>
    <mergeCell ref="BY162:BY163"/>
    <mergeCell ref="BZ162:BZ163"/>
    <mergeCell ref="CA162:CA163"/>
    <mergeCell ref="CB162:CB163"/>
    <mergeCell ref="CC162:CC163"/>
    <mergeCell ref="BR162:BR163"/>
    <mergeCell ref="BS162:BS163"/>
    <mergeCell ref="BT162:BT163"/>
    <mergeCell ref="BU162:BU163"/>
    <mergeCell ref="BV162:BV163"/>
    <mergeCell ref="BW162:BW163"/>
    <mergeCell ref="BL162:BL163"/>
    <mergeCell ref="BM162:BM163"/>
    <mergeCell ref="BN162:BN163"/>
    <mergeCell ref="BO162:BO163"/>
    <mergeCell ref="BP162:BP163"/>
    <mergeCell ref="BQ162:BQ163"/>
    <mergeCell ref="BF162:BF163"/>
    <mergeCell ref="BG162:BG163"/>
    <mergeCell ref="BH162:BH163"/>
    <mergeCell ref="BI162:BI163"/>
    <mergeCell ref="BJ162:BJ163"/>
    <mergeCell ref="BK162:BK163"/>
    <mergeCell ref="AZ162:AZ163"/>
    <mergeCell ref="BA162:BA163"/>
    <mergeCell ref="BB162:BB163"/>
    <mergeCell ref="BC162:BC163"/>
    <mergeCell ref="BD162:BD163"/>
    <mergeCell ref="BE162:BE163"/>
    <mergeCell ref="AT162:AT163"/>
    <mergeCell ref="AU162:AU163"/>
    <mergeCell ref="AV162:AV163"/>
    <mergeCell ref="AW162:AW163"/>
    <mergeCell ref="AX162:AX163"/>
    <mergeCell ref="AY162:AY163"/>
    <mergeCell ref="AN162:AN163"/>
    <mergeCell ref="AO162:AO163"/>
    <mergeCell ref="AP162:AP163"/>
    <mergeCell ref="AQ162:AQ163"/>
    <mergeCell ref="AR162:AR163"/>
    <mergeCell ref="AS162:AS163"/>
    <mergeCell ref="AH162:AH163"/>
    <mergeCell ref="AI162:AI163"/>
    <mergeCell ref="AJ162:AJ163"/>
    <mergeCell ref="AK162:AK163"/>
    <mergeCell ref="AL162:AL163"/>
    <mergeCell ref="AM162:AM163"/>
    <mergeCell ref="AB162:AB163"/>
    <mergeCell ref="AC162:AC163"/>
    <mergeCell ref="AD162:AD163"/>
    <mergeCell ref="AE162:AE163"/>
    <mergeCell ref="AF162:AF163"/>
    <mergeCell ref="AG162:AG163"/>
    <mergeCell ref="V162:V163"/>
    <mergeCell ref="W162:W163"/>
    <mergeCell ref="X162:X163"/>
    <mergeCell ref="Y162:Y163"/>
    <mergeCell ref="Z162:Z163"/>
    <mergeCell ref="AA162:AA163"/>
    <mergeCell ref="CK157:CK158"/>
    <mergeCell ref="CL157:CL158"/>
    <mergeCell ref="CM157:CM158"/>
    <mergeCell ref="A162:A163"/>
    <mergeCell ref="P162:P163"/>
    <mergeCell ref="Q162:Q163"/>
    <mergeCell ref="R162:R163"/>
    <mergeCell ref="S162:S163"/>
    <mergeCell ref="T162:T163"/>
    <mergeCell ref="U162:U163"/>
    <mergeCell ref="CE157:CE158"/>
    <mergeCell ref="CF157:CF158"/>
    <mergeCell ref="CG157:CG158"/>
    <mergeCell ref="CH157:CH158"/>
    <mergeCell ref="CI157:CI158"/>
    <mergeCell ref="CJ157:CJ158"/>
    <mergeCell ref="BY157:BY158"/>
    <mergeCell ref="BZ157:BZ158"/>
    <mergeCell ref="CA157:CA158"/>
    <mergeCell ref="CB157:CB158"/>
    <mergeCell ref="CC157:CC158"/>
    <mergeCell ref="CD157:CD158"/>
    <mergeCell ref="BS157:BS158"/>
    <mergeCell ref="BT157:BT158"/>
    <mergeCell ref="BU157:BU158"/>
    <mergeCell ref="BV157:BV158"/>
    <mergeCell ref="BW157:BW158"/>
    <mergeCell ref="BX157:BX158"/>
    <mergeCell ref="BM157:BM158"/>
    <mergeCell ref="BN157:BN158"/>
    <mergeCell ref="BO157:BO158"/>
    <mergeCell ref="BP157:BP158"/>
    <mergeCell ref="BQ157:BQ158"/>
    <mergeCell ref="BR157:BR158"/>
    <mergeCell ref="BG157:BG158"/>
    <mergeCell ref="BH157:BH158"/>
    <mergeCell ref="BI157:BI158"/>
    <mergeCell ref="BJ157:BJ158"/>
    <mergeCell ref="BK157:BK158"/>
    <mergeCell ref="BL157:BL158"/>
    <mergeCell ref="BA157:BA158"/>
    <mergeCell ref="BB157:BB158"/>
    <mergeCell ref="BC157:BC158"/>
    <mergeCell ref="BD157:BD158"/>
    <mergeCell ref="BE157:BE158"/>
    <mergeCell ref="BF157:BF158"/>
    <mergeCell ref="AU157:AU158"/>
    <mergeCell ref="AV157:AV158"/>
    <mergeCell ref="AW157:AW158"/>
    <mergeCell ref="AX157:AX158"/>
    <mergeCell ref="AY157:AY158"/>
    <mergeCell ref="AZ157:AZ158"/>
    <mergeCell ref="AL157:AL158"/>
    <mergeCell ref="AP157:AP158"/>
    <mergeCell ref="AQ157:AQ158"/>
    <mergeCell ref="AR157:AR158"/>
    <mergeCell ref="AS157:AS158"/>
    <mergeCell ref="AT157:AT158"/>
    <mergeCell ref="AF157:AF158"/>
    <mergeCell ref="AG157:AG158"/>
    <mergeCell ref="AH157:AH158"/>
    <mergeCell ref="AI157:AI158"/>
    <mergeCell ref="AJ157:AJ158"/>
    <mergeCell ref="AK157:AK158"/>
    <mergeCell ref="Z157:Z158"/>
    <mergeCell ref="AA157:AA158"/>
    <mergeCell ref="AB157:AB158"/>
    <mergeCell ref="AC157:AC158"/>
    <mergeCell ref="AD157:AD158"/>
    <mergeCell ref="AE157:AE158"/>
    <mergeCell ref="T157:T158"/>
    <mergeCell ref="U157:U158"/>
    <mergeCell ref="V157:V158"/>
    <mergeCell ref="W157:W158"/>
    <mergeCell ref="X157:X158"/>
    <mergeCell ref="Y157:Y158"/>
    <mergeCell ref="N157:N158"/>
    <mergeCell ref="O157:O158"/>
    <mergeCell ref="P157:P158"/>
    <mergeCell ref="Q157:Q158"/>
    <mergeCell ref="R157:R158"/>
    <mergeCell ref="S157:S158"/>
    <mergeCell ref="H157:H158"/>
    <mergeCell ref="I157:I158"/>
    <mergeCell ref="J157:J158"/>
    <mergeCell ref="K157:K158"/>
    <mergeCell ref="L157:L158"/>
    <mergeCell ref="M157:M158"/>
    <mergeCell ref="A157:A158"/>
    <mergeCell ref="C157:C158"/>
    <mergeCell ref="D157:D158"/>
    <mergeCell ref="E157:E158"/>
    <mergeCell ref="F157:F158"/>
    <mergeCell ref="G157:G158"/>
    <mergeCell ref="CH155:CH156"/>
    <mergeCell ref="CI155:CI156"/>
    <mergeCell ref="CJ155:CJ156"/>
    <mergeCell ref="CK155:CK156"/>
    <mergeCell ref="CL155:CL156"/>
    <mergeCell ref="CM155:CM156"/>
    <mergeCell ref="CB155:CB156"/>
    <mergeCell ref="CC155:CC156"/>
    <mergeCell ref="CD155:CD156"/>
    <mergeCell ref="CE155:CE156"/>
    <mergeCell ref="CF155:CF156"/>
    <mergeCell ref="CG155:CG156"/>
    <mergeCell ref="BV155:BV156"/>
    <mergeCell ref="BW155:BW156"/>
    <mergeCell ref="BX155:BX156"/>
    <mergeCell ref="BY155:BY156"/>
    <mergeCell ref="BZ155:BZ156"/>
    <mergeCell ref="CA155:CA156"/>
    <mergeCell ref="BP155:BP156"/>
    <mergeCell ref="BQ155:BQ156"/>
    <mergeCell ref="BR155:BR156"/>
    <mergeCell ref="BS155:BS156"/>
    <mergeCell ref="BT155:BT156"/>
    <mergeCell ref="BU155:BU156"/>
    <mergeCell ref="BJ155:BJ156"/>
    <mergeCell ref="BK155:BK156"/>
    <mergeCell ref="BL155:BL156"/>
    <mergeCell ref="BM155:BM156"/>
    <mergeCell ref="BN155:BN156"/>
    <mergeCell ref="BO155:BO156"/>
    <mergeCell ref="BD155:BD156"/>
    <mergeCell ref="BE155:BE156"/>
    <mergeCell ref="BF155:BF156"/>
    <mergeCell ref="BG155:BG156"/>
    <mergeCell ref="BH155:BH156"/>
    <mergeCell ref="BI155:BI156"/>
    <mergeCell ref="AX155:AX156"/>
    <mergeCell ref="AY155:AY156"/>
    <mergeCell ref="AZ155:AZ156"/>
    <mergeCell ref="BA155:BA156"/>
    <mergeCell ref="BB155:BB156"/>
    <mergeCell ref="BC155:BC156"/>
    <mergeCell ref="AR155:AR156"/>
    <mergeCell ref="AS155:AS156"/>
    <mergeCell ref="AT155:AT156"/>
    <mergeCell ref="AU155:AU156"/>
    <mergeCell ref="AV155:AV156"/>
    <mergeCell ref="AW155:AW156"/>
    <mergeCell ref="AL155:AL156"/>
    <mergeCell ref="AM155:AM156"/>
    <mergeCell ref="AN155:AN156"/>
    <mergeCell ref="AO155:AO156"/>
    <mergeCell ref="AP155:AP156"/>
    <mergeCell ref="AQ155:AQ156"/>
    <mergeCell ref="AF155:AF156"/>
    <mergeCell ref="AG155:AG156"/>
    <mergeCell ref="AH155:AH156"/>
    <mergeCell ref="AI155:AI156"/>
    <mergeCell ref="AJ155:AJ156"/>
    <mergeCell ref="AK155:AK156"/>
    <mergeCell ref="Z155:Z156"/>
    <mergeCell ref="AA155:AA156"/>
    <mergeCell ref="AB155:AB156"/>
    <mergeCell ref="AC155:AC156"/>
    <mergeCell ref="AD155:AD156"/>
    <mergeCell ref="AE155:AE156"/>
    <mergeCell ref="T155:T156"/>
    <mergeCell ref="U155:U156"/>
    <mergeCell ref="V155:V156"/>
    <mergeCell ref="W155:W156"/>
    <mergeCell ref="X155:X156"/>
    <mergeCell ref="Y155:Y156"/>
    <mergeCell ref="CI153:CI154"/>
    <mergeCell ref="CJ153:CJ154"/>
    <mergeCell ref="CK153:CK154"/>
    <mergeCell ref="CL153:CL154"/>
    <mergeCell ref="CM153:CM154"/>
    <mergeCell ref="A155:A156"/>
    <mergeCell ref="P155:P156"/>
    <mergeCell ref="Q155:Q156"/>
    <mergeCell ref="R155:R156"/>
    <mergeCell ref="S155:S156"/>
    <mergeCell ref="CC153:CC154"/>
    <mergeCell ref="CD153:CD154"/>
    <mergeCell ref="CE153:CE154"/>
    <mergeCell ref="CF153:CF154"/>
    <mergeCell ref="CG153:CG154"/>
    <mergeCell ref="CH153:CH154"/>
    <mergeCell ref="BW153:BW154"/>
    <mergeCell ref="BX153:BX154"/>
    <mergeCell ref="BY153:BY154"/>
    <mergeCell ref="BZ153:BZ154"/>
    <mergeCell ref="CA153:CA154"/>
    <mergeCell ref="CB153:CB154"/>
    <mergeCell ref="BQ153:BQ154"/>
    <mergeCell ref="BR153:BR154"/>
    <mergeCell ref="BS153:BS154"/>
    <mergeCell ref="BT153:BT154"/>
    <mergeCell ref="BU153:BU154"/>
    <mergeCell ref="BV153:BV154"/>
    <mergeCell ref="BK153:BK154"/>
    <mergeCell ref="BL153:BL154"/>
    <mergeCell ref="BM153:BM154"/>
    <mergeCell ref="BN153:BN154"/>
    <mergeCell ref="BO153:BO154"/>
    <mergeCell ref="BP153:BP154"/>
    <mergeCell ref="BE153:BE154"/>
    <mergeCell ref="BF153:BF154"/>
    <mergeCell ref="BG153:BG154"/>
    <mergeCell ref="BH153:BH154"/>
    <mergeCell ref="BI153:BI154"/>
    <mergeCell ref="BJ153:BJ154"/>
    <mergeCell ref="AY153:AY154"/>
    <mergeCell ref="AZ153:AZ154"/>
    <mergeCell ref="BA153:BA154"/>
    <mergeCell ref="BB153:BB154"/>
    <mergeCell ref="BC153:BC154"/>
    <mergeCell ref="BD153:BD154"/>
    <mergeCell ref="AS153:AS154"/>
    <mergeCell ref="AT153:AT154"/>
    <mergeCell ref="AU153:AU154"/>
    <mergeCell ref="AV153:AV154"/>
    <mergeCell ref="AW153:AW154"/>
    <mergeCell ref="AX153:AX154"/>
    <mergeCell ref="AM153:AM154"/>
    <mergeCell ref="AN153:AN154"/>
    <mergeCell ref="AO153:AO154"/>
    <mergeCell ref="AP153:AP154"/>
    <mergeCell ref="AQ153:AQ154"/>
    <mergeCell ref="AR153:AR154"/>
    <mergeCell ref="AG153:AG154"/>
    <mergeCell ref="AH153:AH154"/>
    <mergeCell ref="AI153:AI154"/>
    <mergeCell ref="AJ153:AJ154"/>
    <mergeCell ref="AK153:AK154"/>
    <mergeCell ref="AL153:AL154"/>
    <mergeCell ref="AA153:AA154"/>
    <mergeCell ref="AB153:AB154"/>
    <mergeCell ref="AC153:AC154"/>
    <mergeCell ref="AD153:AD154"/>
    <mergeCell ref="AE153:AE154"/>
    <mergeCell ref="AF153:AF154"/>
    <mergeCell ref="U153:U154"/>
    <mergeCell ref="V153:V154"/>
    <mergeCell ref="W153:W154"/>
    <mergeCell ref="X153:X154"/>
    <mergeCell ref="Y153:Y154"/>
    <mergeCell ref="Z153:Z154"/>
    <mergeCell ref="A153:A154"/>
    <mergeCell ref="P153:P154"/>
    <mergeCell ref="Q153:Q154"/>
    <mergeCell ref="R153:R154"/>
    <mergeCell ref="S153:S154"/>
    <mergeCell ref="T153:T154"/>
    <mergeCell ref="CH148:CH151"/>
    <mergeCell ref="CI148:CI151"/>
    <mergeCell ref="CJ148:CJ151"/>
    <mergeCell ref="CK148:CK151"/>
    <mergeCell ref="CL148:CL151"/>
    <mergeCell ref="BJ148:BJ151"/>
    <mergeCell ref="BK148:BK151"/>
    <mergeCell ref="BL148:BL151"/>
    <mergeCell ref="BM148:BM151"/>
    <mergeCell ref="BN148:BN151"/>
    <mergeCell ref="BO148:BO151"/>
    <mergeCell ref="BD148:BD151"/>
    <mergeCell ref="BE148:BE151"/>
    <mergeCell ref="BF148:BF151"/>
    <mergeCell ref="BG148:BG151"/>
    <mergeCell ref="BH148:BH151"/>
    <mergeCell ref="BI148:BI151"/>
    <mergeCell ref="AX148:AX151"/>
    <mergeCell ref="AY148:AY151"/>
    <mergeCell ref="AZ148:AZ151"/>
    <mergeCell ref="CM148:CM151"/>
    <mergeCell ref="CB148:CB151"/>
    <mergeCell ref="CC148:CC151"/>
    <mergeCell ref="CD148:CD151"/>
    <mergeCell ref="CE148:CE151"/>
    <mergeCell ref="CF148:CF151"/>
    <mergeCell ref="CG148:CG151"/>
    <mergeCell ref="BV148:BV151"/>
    <mergeCell ref="BW148:BW151"/>
    <mergeCell ref="BX148:BX151"/>
    <mergeCell ref="BY148:BY151"/>
    <mergeCell ref="BZ148:BZ151"/>
    <mergeCell ref="CA148:CA151"/>
    <mergeCell ref="BP148:BP151"/>
    <mergeCell ref="BQ148:BQ151"/>
    <mergeCell ref="BR148:BR151"/>
    <mergeCell ref="BS148:BS151"/>
    <mergeCell ref="BT148:BT151"/>
    <mergeCell ref="BU148:BU151"/>
    <mergeCell ref="BA148:BA151"/>
    <mergeCell ref="BB148:BB151"/>
    <mergeCell ref="BC148:BC151"/>
    <mergeCell ref="AR148:AR151"/>
    <mergeCell ref="AS148:AS151"/>
    <mergeCell ref="AT148:AT151"/>
    <mergeCell ref="AU148:AU151"/>
    <mergeCell ref="AV148:AV151"/>
    <mergeCell ref="AW148:AW151"/>
    <mergeCell ref="AL148:AL151"/>
    <mergeCell ref="AM148:AM151"/>
    <mergeCell ref="AN148:AN151"/>
    <mergeCell ref="AO148:AO151"/>
    <mergeCell ref="AP148:AP151"/>
    <mergeCell ref="AQ148:AQ151"/>
    <mergeCell ref="AF148:AF151"/>
    <mergeCell ref="AG148:AG151"/>
    <mergeCell ref="AH148:AH151"/>
    <mergeCell ref="AI148:AI151"/>
    <mergeCell ref="AJ148:AJ151"/>
    <mergeCell ref="AK148:AK151"/>
    <mergeCell ref="Z148:Z151"/>
    <mergeCell ref="AA148:AA151"/>
    <mergeCell ref="AB148:AB151"/>
    <mergeCell ref="AC148:AC151"/>
    <mergeCell ref="AD148:AD151"/>
    <mergeCell ref="AE148:AE151"/>
    <mergeCell ref="T148:T151"/>
    <mergeCell ref="U148:U151"/>
    <mergeCell ref="V148:V151"/>
    <mergeCell ref="W148:W151"/>
    <mergeCell ref="X148:X151"/>
    <mergeCell ref="Y148:Y151"/>
    <mergeCell ref="CI144:CI147"/>
    <mergeCell ref="CJ144:CJ147"/>
    <mergeCell ref="CK144:CK147"/>
    <mergeCell ref="CL144:CL147"/>
    <mergeCell ref="CM144:CM147"/>
    <mergeCell ref="BH144:BH147"/>
    <mergeCell ref="BI144:BI147"/>
    <mergeCell ref="BJ144:BJ147"/>
    <mergeCell ref="AY144:AY147"/>
    <mergeCell ref="AZ144:AZ147"/>
    <mergeCell ref="BA144:BA147"/>
    <mergeCell ref="BB144:BB147"/>
    <mergeCell ref="BC144:BC147"/>
    <mergeCell ref="BD144:BD147"/>
    <mergeCell ref="AS144:AS147"/>
    <mergeCell ref="AT144:AT147"/>
    <mergeCell ref="AU144:AU147"/>
    <mergeCell ref="AV144:AV147"/>
    <mergeCell ref="AW144:AW147"/>
    <mergeCell ref="AX144:AX147"/>
    <mergeCell ref="A148:A151"/>
    <mergeCell ref="P148:P151"/>
    <mergeCell ref="Q148:Q151"/>
    <mergeCell ref="R148:R151"/>
    <mergeCell ref="S148:S151"/>
    <mergeCell ref="CC144:CC147"/>
    <mergeCell ref="CD144:CD147"/>
    <mergeCell ref="CE144:CE147"/>
    <mergeCell ref="CF144:CF147"/>
    <mergeCell ref="CG144:CG147"/>
    <mergeCell ref="CH144:CH147"/>
    <mergeCell ref="BW144:BW147"/>
    <mergeCell ref="BX144:BX147"/>
    <mergeCell ref="BY144:BY147"/>
    <mergeCell ref="BZ144:BZ147"/>
    <mergeCell ref="CA144:CA147"/>
    <mergeCell ref="CB144:CB147"/>
    <mergeCell ref="BQ144:BQ147"/>
    <mergeCell ref="BR144:BR147"/>
    <mergeCell ref="BS144:BS147"/>
    <mergeCell ref="BT144:BT147"/>
    <mergeCell ref="BU144:BU147"/>
    <mergeCell ref="BV144:BV147"/>
    <mergeCell ref="BK144:BK147"/>
    <mergeCell ref="BL144:BL147"/>
    <mergeCell ref="BM144:BM147"/>
    <mergeCell ref="BN144:BN147"/>
    <mergeCell ref="BO144:BO147"/>
    <mergeCell ref="BP144:BP147"/>
    <mergeCell ref="BE144:BE147"/>
    <mergeCell ref="BF144:BF147"/>
    <mergeCell ref="BG144:BG147"/>
    <mergeCell ref="AM144:AM147"/>
    <mergeCell ref="AN144:AN147"/>
    <mergeCell ref="AO144:AO147"/>
    <mergeCell ref="AP144:AP147"/>
    <mergeCell ref="AQ144:AQ147"/>
    <mergeCell ref="AR144:AR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U144:U147"/>
    <mergeCell ref="V144:V147"/>
    <mergeCell ref="W144:W147"/>
    <mergeCell ref="X144:X147"/>
    <mergeCell ref="Y144:Y147"/>
    <mergeCell ref="Z144:Z147"/>
    <mergeCell ref="A144:A147"/>
    <mergeCell ref="P144:P147"/>
    <mergeCell ref="Q144:Q147"/>
    <mergeCell ref="R144:R147"/>
    <mergeCell ref="S144:S147"/>
    <mergeCell ref="T144:T147"/>
    <mergeCell ref="CH136:CH141"/>
    <mergeCell ref="CI136:CI141"/>
    <mergeCell ref="CJ136:CJ141"/>
    <mergeCell ref="CK136:CK141"/>
    <mergeCell ref="CL136:CL141"/>
    <mergeCell ref="BJ136:BJ141"/>
    <mergeCell ref="BK136:BK141"/>
    <mergeCell ref="BL136:BL141"/>
    <mergeCell ref="BM136:BM141"/>
    <mergeCell ref="BN136:BN141"/>
    <mergeCell ref="BO136:BO141"/>
    <mergeCell ref="BD136:BD141"/>
    <mergeCell ref="BE136:BE141"/>
    <mergeCell ref="BF136:BF141"/>
    <mergeCell ref="BG136:BG141"/>
    <mergeCell ref="BH136:BH141"/>
    <mergeCell ref="BI136:BI141"/>
    <mergeCell ref="AX136:AX141"/>
    <mergeCell ref="AY136:AY141"/>
    <mergeCell ref="AZ136:AZ141"/>
    <mergeCell ref="CM136:CM141"/>
    <mergeCell ref="CB136:CB141"/>
    <mergeCell ref="CC136:CC141"/>
    <mergeCell ref="CD136:CD141"/>
    <mergeCell ref="CE136:CE141"/>
    <mergeCell ref="CF136:CF141"/>
    <mergeCell ref="CG136:CG141"/>
    <mergeCell ref="BV136:BV141"/>
    <mergeCell ref="BW136:BW141"/>
    <mergeCell ref="BX136:BX141"/>
    <mergeCell ref="BY136:BY141"/>
    <mergeCell ref="BZ136:BZ141"/>
    <mergeCell ref="CA136:CA141"/>
    <mergeCell ref="BP136:BP141"/>
    <mergeCell ref="BQ136:BQ141"/>
    <mergeCell ref="BR136:BR141"/>
    <mergeCell ref="BS136:BS141"/>
    <mergeCell ref="BT136:BT141"/>
    <mergeCell ref="BU136:BU141"/>
    <mergeCell ref="BA136:BA141"/>
    <mergeCell ref="BB136:BB141"/>
    <mergeCell ref="BC136:BC141"/>
    <mergeCell ref="AR136:AR141"/>
    <mergeCell ref="AS136:AS141"/>
    <mergeCell ref="AT136:AT141"/>
    <mergeCell ref="AU136:AU141"/>
    <mergeCell ref="AV136:AV141"/>
    <mergeCell ref="AW136:AW141"/>
    <mergeCell ref="AL136:AL141"/>
    <mergeCell ref="AM136:AM141"/>
    <mergeCell ref="AN136:AN141"/>
    <mergeCell ref="AO136:AO141"/>
    <mergeCell ref="AP136:AP141"/>
    <mergeCell ref="AQ136:AQ141"/>
    <mergeCell ref="AF136:AF141"/>
    <mergeCell ref="AG136:AG141"/>
    <mergeCell ref="AH136:AH141"/>
    <mergeCell ref="AI136:AI141"/>
    <mergeCell ref="AJ136:AJ141"/>
    <mergeCell ref="AK136:AK141"/>
    <mergeCell ref="Z136:Z141"/>
    <mergeCell ref="AA136:AA141"/>
    <mergeCell ref="AB136:AB141"/>
    <mergeCell ref="AC136:AC141"/>
    <mergeCell ref="AD136:AD141"/>
    <mergeCell ref="AE136:AE141"/>
    <mergeCell ref="T136:T141"/>
    <mergeCell ref="U136:U141"/>
    <mergeCell ref="V136:V141"/>
    <mergeCell ref="W136:W141"/>
    <mergeCell ref="X136:X141"/>
    <mergeCell ref="Y136:Y141"/>
    <mergeCell ref="CI134:CI135"/>
    <mergeCell ref="CJ134:CJ135"/>
    <mergeCell ref="CK134:CK135"/>
    <mergeCell ref="CL134:CL135"/>
    <mergeCell ref="CM134:CM135"/>
    <mergeCell ref="BH134:BH135"/>
    <mergeCell ref="BI134:BI135"/>
    <mergeCell ref="BJ134:BJ135"/>
    <mergeCell ref="AY134:AY135"/>
    <mergeCell ref="AZ134:AZ135"/>
    <mergeCell ref="BA134:BA135"/>
    <mergeCell ref="BB134:BB135"/>
    <mergeCell ref="BC134:BC135"/>
    <mergeCell ref="BD134:BD135"/>
    <mergeCell ref="AS134:AS135"/>
    <mergeCell ref="AT134:AT135"/>
    <mergeCell ref="AU134:AU135"/>
    <mergeCell ref="AV134:AV135"/>
    <mergeCell ref="AW134:AW135"/>
    <mergeCell ref="AX134:AX135"/>
    <mergeCell ref="A136:A141"/>
    <mergeCell ref="P136:P141"/>
    <mergeCell ref="Q136:Q141"/>
    <mergeCell ref="R136:R141"/>
    <mergeCell ref="S136:S141"/>
    <mergeCell ref="CC134:CC135"/>
    <mergeCell ref="CD134:CD135"/>
    <mergeCell ref="CE134:CE135"/>
    <mergeCell ref="CF134:CF135"/>
    <mergeCell ref="CG134:CG135"/>
    <mergeCell ref="CH134:CH135"/>
    <mergeCell ref="BW134:BW135"/>
    <mergeCell ref="BX134:BX135"/>
    <mergeCell ref="BY134:BY135"/>
    <mergeCell ref="BZ134:BZ135"/>
    <mergeCell ref="CA134:CA135"/>
    <mergeCell ref="CB134:CB135"/>
    <mergeCell ref="BQ134:BQ135"/>
    <mergeCell ref="BR134:BR135"/>
    <mergeCell ref="BS134:BS135"/>
    <mergeCell ref="BT134:BT135"/>
    <mergeCell ref="BU134:BU135"/>
    <mergeCell ref="BV134:BV135"/>
    <mergeCell ref="BK134:BK135"/>
    <mergeCell ref="BL134:BL135"/>
    <mergeCell ref="BM134:BM135"/>
    <mergeCell ref="BN134:BN135"/>
    <mergeCell ref="BO134:BO135"/>
    <mergeCell ref="BP134:BP135"/>
    <mergeCell ref="BE134:BE135"/>
    <mergeCell ref="BF134:BF135"/>
    <mergeCell ref="BG134:BG135"/>
    <mergeCell ref="AM134:AM135"/>
    <mergeCell ref="AN134:AN135"/>
    <mergeCell ref="AO134:AO135"/>
    <mergeCell ref="AP134:AP135"/>
    <mergeCell ref="AQ134:AQ135"/>
    <mergeCell ref="AR134:AR135"/>
    <mergeCell ref="AG134:AG135"/>
    <mergeCell ref="AH134:AH135"/>
    <mergeCell ref="AI134:AI135"/>
    <mergeCell ref="AJ134:AJ135"/>
    <mergeCell ref="AK134:AK135"/>
    <mergeCell ref="AL134:AL135"/>
    <mergeCell ref="AA134:AA135"/>
    <mergeCell ref="AB134:AB135"/>
    <mergeCell ref="AC134:AC135"/>
    <mergeCell ref="AD134:AD135"/>
    <mergeCell ref="AE134:AE135"/>
    <mergeCell ref="AF134:AF135"/>
    <mergeCell ref="U134:U135"/>
    <mergeCell ref="V134:V135"/>
    <mergeCell ref="W134:W135"/>
    <mergeCell ref="X134:X135"/>
    <mergeCell ref="Y134:Y135"/>
    <mergeCell ref="Z134:Z135"/>
    <mergeCell ref="A134:A135"/>
    <mergeCell ref="P134:P135"/>
    <mergeCell ref="Q134:Q135"/>
    <mergeCell ref="R134:R135"/>
    <mergeCell ref="S134:S135"/>
    <mergeCell ref="T134:T135"/>
    <mergeCell ref="CH130:CH133"/>
    <mergeCell ref="CI130:CI133"/>
    <mergeCell ref="CJ130:CJ133"/>
    <mergeCell ref="CK130:CK133"/>
    <mergeCell ref="CL130:CL133"/>
    <mergeCell ref="BJ130:BJ133"/>
    <mergeCell ref="BK130:BK133"/>
    <mergeCell ref="BL130:BL133"/>
    <mergeCell ref="BM130:BM133"/>
    <mergeCell ref="BN130:BN133"/>
    <mergeCell ref="BO130:BO133"/>
    <mergeCell ref="BD130:BD133"/>
    <mergeCell ref="BE130:BE133"/>
    <mergeCell ref="BF130:BF133"/>
    <mergeCell ref="BG130:BG133"/>
    <mergeCell ref="BH130:BH133"/>
    <mergeCell ref="BI130:BI133"/>
    <mergeCell ref="AX130:AX133"/>
    <mergeCell ref="AY130:AY133"/>
    <mergeCell ref="AZ130:AZ133"/>
    <mergeCell ref="CM130:CM133"/>
    <mergeCell ref="CB130:CB133"/>
    <mergeCell ref="CC130:CC133"/>
    <mergeCell ref="CD130:CD133"/>
    <mergeCell ref="CE130:CE133"/>
    <mergeCell ref="CF130:CF133"/>
    <mergeCell ref="CG130:CG133"/>
    <mergeCell ref="BV130:BV133"/>
    <mergeCell ref="BW130:BW133"/>
    <mergeCell ref="BX130:BX133"/>
    <mergeCell ref="BY130:BY133"/>
    <mergeCell ref="BZ130:BZ133"/>
    <mergeCell ref="CA130:CA133"/>
    <mergeCell ref="BP130:BP133"/>
    <mergeCell ref="BQ130:BQ133"/>
    <mergeCell ref="BR130:BR133"/>
    <mergeCell ref="BS130:BS133"/>
    <mergeCell ref="BT130:BT133"/>
    <mergeCell ref="BU130:BU133"/>
    <mergeCell ref="BA130:BA133"/>
    <mergeCell ref="BB130:BB133"/>
    <mergeCell ref="BC130:BC133"/>
    <mergeCell ref="AR130:AR133"/>
    <mergeCell ref="AS130:AS133"/>
    <mergeCell ref="AT130:AT133"/>
    <mergeCell ref="AU130:AU133"/>
    <mergeCell ref="AV130:AV133"/>
    <mergeCell ref="AW130:AW133"/>
    <mergeCell ref="AL130:AL133"/>
    <mergeCell ref="AM130:AM133"/>
    <mergeCell ref="AN130:AN133"/>
    <mergeCell ref="AO130:AO133"/>
    <mergeCell ref="AP130:AP133"/>
    <mergeCell ref="AQ130:AQ133"/>
    <mergeCell ref="AF130:AF133"/>
    <mergeCell ref="AG130:AG133"/>
    <mergeCell ref="AH130:AH133"/>
    <mergeCell ref="AI130:AI133"/>
    <mergeCell ref="AJ130:AJ133"/>
    <mergeCell ref="AK130:AK133"/>
    <mergeCell ref="Z130:Z133"/>
    <mergeCell ref="AA130:AA133"/>
    <mergeCell ref="AB130:AB133"/>
    <mergeCell ref="AC130:AC133"/>
    <mergeCell ref="AD130:AD133"/>
    <mergeCell ref="AE130:AE133"/>
    <mergeCell ref="T130:T133"/>
    <mergeCell ref="U130:U133"/>
    <mergeCell ref="V130:V133"/>
    <mergeCell ref="W130:W133"/>
    <mergeCell ref="X130:X133"/>
    <mergeCell ref="Y130:Y133"/>
    <mergeCell ref="CI127:CI129"/>
    <mergeCell ref="CJ127:CJ129"/>
    <mergeCell ref="CK127:CK129"/>
    <mergeCell ref="CL127:CL129"/>
    <mergeCell ref="CM127:CM129"/>
    <mergeCell ref="BH127:BH129"/>
    <mergeCell ref="BI127:BI129"/>
    <mergeCell ref="BJ127:BJ129"/>
    <mergeCell ref="AY127:AY129"/>
    <mergeCell ref="AZ127:AZ129"/>
    <mergeCell ref="BA127:BA129"/>
    <mergeCell ref="BB127:BB129"/>
    <mergeCell ref="BC127:BC129"/>
    <mergeCell ref="BD127:BD129"/>
    <mergeCell ref="AS127:AS129"/>
    <mergeCell ref="AT127:AT129"/>
    <mergeCell ref="AU127:AU129"/>
    <mergeCell ref="AV127:AV129"/>
    <mergeCell ref="AW127:AW129"/>
    <mergeCell ref="AX127:AX129"/>
    <mergeCell ref="A130:A133"/>
    <mergeCell ref="P130:P133"/>
    <mergeCell ref="Q130:Q133"/>
    <mergeCell ref="R130:R133"/>
    <mergeCell ref="S130:S133"/>
    <mergeCell ref="CC127:CC129"/>
    <mergeCell ref="CD127:CD129"/>
    <mergeCell ref="CE127:CE129"/>
    <mergeCell ref="CF127:CF129"/>
    <mergeCell ref="CG127:CG129"/>
    <mergeCell ref="CH127:CH129"/>
    <mergeCell ref="BW127:BW129"/>
    <mergeCell ref="BX127:BX129"/>
    <mergeCell ref="BY127:BY129"/>
    <mergeCell ref="BZ127:BZ129"/>
    <mergeCell ref="CA127:CA129"/>
    <mergeCell ref="CB127:CB129"/>
    <mergeCell ref="BQ127:BQ129"/>
    <mergeCell ref="BR127:BR129"/>
    <mergeCell ref="BS127:BS129"/>
    <mergeCell ref="BT127:BT129"/>
    <mergeCell ref="BU127:BU129"/>
    <mergeCell ref="BV127:BV129"/>
    <mergeCell ref="BK127:BK129"/>
    <mergeCell ref="BL127:BL129"/>
    <mergeCell ref="BM127:BM129"/>
    <mergeCell ref="BN127:BN129"/>
    <mergeCell ref="BO127:BO129"/>
    <mergeCell ref="BP127:BP129"/>
    <mergeCell ref="BE127:BE129"/>
    <mergeCell ref="BF127:BF129"/>
    <mergeCell ref="BG127:BG129"/>
    <mergeCell ref="AM127:AM129"/>
    <mergeCell ref="AN127:AN129"/>
    <mergeCell ref="AO127:AO129"/>
    <mergeCell ref="AP127:AP129"/>
    <mergeCell ref="AQ127:AQ129"/>
    <mergeCell ref="AR127:AR129"/>
    <mergeCell ref="AG127:AG129"/>
    <mergeCell ref="AH127:AH129"/>
    <mergeCell ref="AI127:AI129"/>
    <mergeCell ref="AJ127:AJ129"/>
    <mergeCell ref="AK127:AK129"/>
    <mergeCell ref="AL127:AL129"/>
    <mergeCell ref="AA127:AA129"/>
    <mergeCell ref="AB127:AB129"/>
    <mergeCell ref="AC127:AC129"/>
    <mergeCell ref="AD127:AD129"/>
    <mergeCell ref="AE127:AE129"/>
    <mergeCell ref="AF127:AF129"/>
    <mergeCell ref="U127:U129"/>
    <mergeCell ref="V127:V129"/>
    <mergeCell ref="W127:W129"/>
    <mergeCell ref="X127:X129"/>
    <mergeCell ref="Y127:Y129"/>
    <mergeCell ref="Z127:Z129"/>
    <mergeCell ref="A127:A129"/>
    <mergeCell ref="P127:P129"/>
    <mergeCell ref="Q127:Q129"/>
    <mergeCell ref="R127:R129"/>
    <mergeCell ref="S127:S129"/>
    <mergeCell ref="T127:T129"/>
    <mergeCell ref="CH125:CH126"/>
    <mergeCell ref="CI125:CI126"/>
    <mergeCell ref="CJ125:CJ126"/>
    <mergeCell ref="CK125:CK126"/>
    <mergeCell ref="CL125:CL126"/>
    <mergeCell ref="BJ125:BJ126"/>
    <mergeCell ref="BK125:BK126"/>
    <mergeCell ref="BL125:BL126"/>
    <mergeCell ref="BM125:BM126"/>
    <mergeCell ref="BN125:BN126"/>
    <mergeCell ref="BO125:BO126"/>
    <mergeCell ref="BD125:BD126"/>
    <mergeCell ref="BE125:BE126"/>
    <mergeCell ref="BF125:BF126"/>
    <mergeCell ref="BG125:BG126"/>
    <mergeCell ref="BH125:BH126"/>
    <mergeCell ref="BI125:BI126"/>
    <mergeCell ref="AX125:AX126"/>
    <mergeCell ref="AY125:AY126"/>
    <mergeCell ref="AZ125:AZ126"/>
    <mergeCell ref="CM125:CM126"/>
    <mergeCell ref="CB125:CB126"/>
    <mergeCell ref="CC125:CC126"/>
    <mergeCell ref="CD125:CD126"/>
    <mergeCell ref="CE125:CE126"/>
    <mergeCell ref="CF125:CF126"/>
    <mergeCell ref="CG125:CG126"/>
    <mergeCell ref="BV125:BV126"/>
    <mergeCell ref="BW125:BW126"/>
    <mergeCell ref="BX125:BX126"/>
    <mergeCell ref="BY125:BY126"/>
    <mergeCell ref="BZ125:BZ126"/>
    <mergeCell ref="CA125:CA126"/>
    <mergeCell ref="BP125:BP126"/>
    <mergeCell ref="BQ125:BQ126"/>
    <mergeCell ref="BR125:BR126"/>
    <mergeCell ref="BS125:BS126"/>
    <mergeCell ref="BT125:BT126"/>
    <mergeCell ref="BU125:BU126"/>
    <mergeCell ref="BA125:BA126"/>
    <mergeCell ref="BB125:BB126"/>
    <mergeCell ref="BC125:BC126"/>
    <mergeCell ref="AR125:AR126"/>
    <mergeCell ref="AS125:AS126"/>
    <mergeCell ref="AT125:AT126"/>
    <mergeCell ref="AU125:AU126"/>
    <mergeCell ref="AV125:AV126"/>
    <mergeCell ref="AW125:AW126"/>
    <mergeCell ref="AL125:AL126"/>
    <mergeCell ref="AM125:AM126"/>
    <mergeCell ref="AN125:AN126"/>
    <mergeCell ref="AO125:AO126"/>
    <mergeCell ref="AP125:AP126"/>
    <mergeCell ref="AQ125:AQ126"/>
    <mergeCell ref="AF125:AF126"/>
    <mergeCell ref="AG125:AG126"/>
    <mergeCell ref="AH125:AH126"/>
    <mergeCell ref="AI125:AI126"/>
    <mergeCell ref="AJ125:AJ126"/>
    <mergeCell ref="AK125:AK126"/>
    <mergeCell ref="Z125:Z126"/>
    <mergeCell ref="AA125:AA126"/>
    <mergeCell ref="AB125:AB126"/>
    <mergeCell ref="AC125:AC126"/>
    <mergeCell ref="AD125:AD126"/>
    <mergeCell ref="AE125:AE126"/>
    <mergeCell ref="T125:T126"/>
    <mergeCell ref="U125:U126"/>
    <mergeCell ref="V125:V126"/>
    <mergeCell ref="W125:W126"/>
    <mergeCell ref="X125:X126"/>
    <mergeCell ref="Y125:Y126"/>
    <mergeCell ref="CI121:CI124"/>
    <mergeCell ref="CJ121:CJ124"/>
    <mergeCell ref="CK121:CK124"/>
    <mergeCell ref="CL121:CL124"/>
    <mergeCell ref="CM121:CM124"/>
    <mergeCell ref="BH121:BH124"/>
    <mergeCell ref="BI121:BI124"/>
    <mergeCell ref="BJ121:BJ124"/>
    <mergeCell ref="AY121:AY124"/>
    <mergeCell ref="AZ121:AZ124"/>
    <mergeCell ref="BA121:BA124"/>
    <mergeCell ref="BB121:BB124"/>
    <mergeCell ref="BC121:BC124"/>
    <mergeCell ref="BD121:BD124"/>
    <mergeCell ref="AS121:AS124"/>
    <mergeCell ref="AT121:AT124"/>
    <mergeCell ref="AU121:AU124"/>
    <mergeCell ref="AV121:AV124"/>
    <mergeCell ref="AW121:AW124"/>
    <mergeCell ref="AX121:AX124"/>
    <mergeCell ref="A125:A126"/>
    <mergeCell ref="P125:P126"/>
    <mergeCell ref="Q125:Q126"/>
    <mergeCell ref="R125:R126"/>
    <mergeCell ref="S125:S126"/>
    <mergeCell ref="CC121:CC124"/>
    <mergeCell ref="CD121:CD124"/>
    <mergeCell ref="CE121:CE124"/>
    <mergeCell ref="CF121:CF124"/>
    <mergeCell ref="CG121:CG124"/>
    <mergeCell ref="CH121:CH124"/>
    <mergeCell ref="BW121:BW124"/>
    <mergeCell ref="BX121:BX124"/>
    <mergeCell ref="BY121:BY124"/>
    <mergeCell ref="BZ121:BZ124"/>
    <mergeCell ref="CA121:CA124"/>
    <mergeCell ref="CB121:CB124"/>
    <mergeCell ref="BQ121:BQ124"/>
    <mergeCell ref="BR121:BR124"/>
    <mergeCell ref="BS121:BS124"/>
    <mergeCell ref="BT121:BT124"/>
    <mergeCell ref="BU121:BU124"/>
    <mergeCell ref="BV121:BV124"/>
    <mergeCell ref="BK121:BK124"/>
    <mergeCell ref="BL121:BL124"/>
    <mergeCell ref="BM121:BM124"/>
    <mergeCell ref="BN121:BN124"/>
    <mergeCell ref="BO121:BO124"/>
    <mergeCell ref="BP121:BP124"/>
    <mergeCell ref="BE121:BE124"/>
    <mergeCell ref="BF121:BF124"/>
    <mergeCell ref="BG121:BG124"/>
    <mergeCell ref="AM121:AM124"/>
    <mergeCell ref="AN121:AN124"/>
    <mergeCell ref="AO121:AO124"/>
    <mergeCell ref="AP121:AP124"/>
    <mergeCell ref="AQ121:AQ124"/>
    <mergeCell ref="AR121:AR124"/>
    <mergeCell ref="AG121:AG124"/>
    <mergeCell ref="AH121:AH124"/>
    <mergeCell ref="AI121:AI124"/>
    <mergeCell ref="AJ121:AJ124"/>
    <mergeCell ref="AK121:AK124"/>
    <mergeCell ref="AL121:AL124"/>
    <mergeCell ref="AA121:AA124"/>
    <mergeCell ref="AB121:AB124"/>
    <mergeCell ref="AC121:AC124"/>
    <mergeCell ref="AD121:AD124"/>
    <mergeCell ref="AE121:AE124"/>
    <mergeCell ref="AF121:AF124"/>
    <mergeCell ref="U121:U124"/>
    <mergeCell ref="V121:V124"/>
    <mergeCell ref="W121:W124"/>
    <mergeCell ref="X121:X124"/>
    <mergeCell ref="Y121:Y124"/>
    <mergeCell ref="Z121:Z124"/>
    <mergeCell ref="A121:A124"/>
    <mergeCell ref="P121:P124"/>
    <mergeCell ref="Q121:Q124"/>
    <mergeCell ref="R121:R124"/>
    <mergeCell ref="S121:S124"/>
    <mergeCell ref="T121:T124"/>
    <mergeCell ref="CH119:CH120"/>
    <mergeCell ref="CI119:CI120"/>
    <mergeCell ref="CJ119:CJ120"/>
    <mergeCell ref="CK119:CK120"/>
    <mergeCell ref="CL119:CL120"/>
    <mergeCell ref="BJ119:BJ120"/>
    <mergeCell ref="BK119:BK120"/>
    <mergeCell ref="BL119:BL120"/>
    <mergeCell ref="BM119:BM120"/>
    <mergeCell ref="BN119:BN120"/>
    <mergeCell ref="BO119:BO120"/>
    <mergeCell ref="BD119:BD120"/>
    <mergeCell ref="BE119:BE120"/>
    <mergeCell ref="BF119:BF120"/>
    <mergeCell ref="BG119:BG120"/>
    <mergeCell ref="BH119:BH120"/>
    <mergeCell ref="BI119:BI120"/>
    <mergeCell ref="AX119:AX120"/>
    <mergeCell ref="AY119:AY120"/>
    <mergeCell ref="AZ119:AZ120"/>
    <mergeCell ref="CM119:CM120"/>
    <mergeCell ref="CB119:CB120"/>
    <mergeCell ref="CC119:CC120"/>
    <mergeCell ref="CD119:CD120"/>
    <mergeCell ref="CE119:CE120"/>
    <mergeCell ref="CF119:CF120"/>
    <mergeCell ref="CG119:CG120"/>
    <mergeCell ref="BV119:BV120"/>
    <mergeCell ref="BW119:BW120"/>
    <mergeCell ref="BX119:BX120"/>
    <mergeCell ref="BY119:BY120"/>
    <mergeCell ref="BZ119:BZ120"/>
    <mergeCell ref="CA119:CA120"/>
    <mergeCell ref="BP119:BP120"/>
    <mergeCell ref="BQ119:BQ120"/>
    <mergeCell ref="BR119:BR120"/>
    <mergeCell ref="BS119:BS120"/>
    <mergeCell ref="BT119:BT120"/>
    <mergeCell ref="BU119:BU120"/>
    <mergeCell ref="BA119:BA120"/>
    <mergeCell ref="BB119:BB120"/>
    <mergeCell ref="BC119:BC120"/>
    <mergeCell ref="AR119:AR120"/>
    <mergeCell ref="AS119:AS120"/>
    <mergeCell ref="AT119:AT120"/>
    <mergeCell ref="AU119:AU120"/>
    <mergeCell ref="AV119:AV120"/>
    <mergeCell ref="AW119:AW120"/>
    <mergeCell ref="AL119:AL120"/>
    <mergeCell ref="AM119:AM120"/>
    <mergeCell ref="AN119:AN120"/>
    <mergeCell ref="AO119:AO120"/>
    <mergeCell ref="AP119:AP120"/>
    <mergeCell ref="AQ119:AQ120"/>
    <mergeCell ref="AF119:AF120"/>
    <mergeCell ref="AG119:AG120"/>
    <mergeCell ref="AH119:AH120"/>
    <mergeCell ref="AI119:AI120"/>
    <mergeCell ref="AJ119:AJ120"/>
    <mergeCell ref="AK119:AK120"/>
    <mergeCell ref="Z119:Z120"/>
    <mergeCell ref="AA119:AA120"/>
    <mergeCell ref="AB119:AB120"/>
    <mergeCell ref="AC119:AC120"/>
    <mergeCell ref="AD119:AD120"/>
    <mergeCell ref="AE119:AE120"/>
    <mergeCell ref="T119:T120"/>
    <mergeCell ref="U119:U120"/>
    <mergeCell ref="V119:V120"/>
    <mergeCell ref="W119:W120"/>
    <mergeCell ref="X119:X120"/>
    <mergeCell ref="Y119:Y120"/>
    <mergeCell ref="CI117:CI118"/>
    <mergeCell ref="CJ117:CJ118"/>
    <mergeCell ref="CK117:CK118"/>
    <mergeCell ref="CL117:CL118"/>
    <mergeCell ref="CM117:CM118"/>
    <mergeCell ref="BH117:BH118"/>
    <mergeCell ref="BI117:BI118"/>
    <mergeCell ref="BJ117:BJ118"/>
    <mergeCell ref="AY117:AY118"/>
    <mergeCell ref="AZ117:AZ118"/>
    <mergeCell ref="BA117:BA118"/>
    <mergeCell ref="BB117:BB118"/>
    <mergeCell ref="BC117:BC118"/>
    <mergeCell ref="BD117:BD118"/>
    <mergeCell ref="AS117:AS118"/>
    <mergeCell ref="AT117:AT118"/>
    <mergeCell ref="AU117:AU118"/>
    <mergeCell ref="AV117:AV118"/>
    <mergeCell ref="AW117:AW118"/>
    <mergeCell ref="AX117:AX118"/>
    <mergeCell ref="A119:A120"/>
    <mergeCell ref="P119:P120"/>
    <mergeCell ref="Q119:Q120"/>
    <mergeCell ref="R119:R120"/>
    <mergeCell ref="S119:S120"/>
    <mergeCell ref="CC117:CC118"/>
    <mergeCell ref="CD117:CD118"/>
    <mergeCell ref="CE117:CE118"/>
    <mergeCell ref="CF117:CF118"/>
    <mergeCell ref="CG117:CG118"/>
    <mergeCell ref="CH117:CH118"/>
    <mergeCell ref="BW117:BW118"/>
    <mergeCell ref="BX117:BX118"/>
    <mergeCell ref="BY117:BY118"/>
    <mergeCell ref="BZ117:BZ118"/>
    <mergeCell ref="CA117:CA118"/>
    <mergeCell ref="CB117:CB118"/>
    <mergeCell ref="BQ117:BQ118"/>
    <mergeCell ref="BR117:BR118"/>
    <mergeCell ref="BS117:BS118"/>
    <mergeCell ref="BT117:BT118"/>
    <mergeCell ref="BU117:BU118"/>
    <mergeCell ref="BV117:BV118"/>
    <mergeCell ref="BK117:BK118"/>
    <mergeCell ref="BL117:BL118"/>
    <mergeCell ref="BM117:BM118"/>
    <mergeCell ref="BN117:BN118"/>
    <mergeCell ref="BO117:BO118"/>
    <mergeCell ref="BP117:BP118"/>
    <mergeCell ref="BE117:BE118"/>
    <mergeCell ref="BF117:BF118"/>
    <mergeCell ref="BG117:BG118"/>
    <mergeCell ref="AM117:AM118"/>
    <mergeCell ref="AN117:AN118"/>
    <mergeCell ref="AO117:AO118"/>
    <mergeCell ref="AP117:AP118"/>
    <mergeCell ref="AQ117:AQ118"/>
    <mergeCell ref="AR117:AR118"/>
    <mergeCell ref="AG117:AG118"/>
    <mergeCell ref="AH117:AH118"/>
    <mergeCell ref="AI117:AI118"/>
    <mergeCell ref="AJ117:AJ118"/>
    <mergeCell ref="AK117:AK118"/>
    <mergeCell ref="AL117:AL118"/>
    <mergeCell ref="AA117:AA118"/>
    <mergeCell ref="AB117:AB118"/>
    <mergeCell ref="AC117:AC118"/>
    <mergeCell ref="AD117:AD118"/>
    <mergeCell ref="AE117:AE118"/>
    <mergeCell ref="AF117:AF118"/>
    <mergeCell ref="U117:U118"/>
    <mergeCell ref="V117:V118"/>
    <mergeCell ref="W117:W118"/>
    <mergeCell ref="X117:X118"/>
    <mergeCell ref="Y117:Y118"/>
    <mergeCell ref="Z117:Z118"/>
    <mergeCell ref="A117:A118"/>
    <mergeCell ref="P117:P118"/>
    <mergeCell ref="Q117:Q118"/>
    <mergeCell ref="R117:R118"/>
    <mergeCell ref="S117:S118"/>
    <mergeCell ref="T117:T118"/>
    <mergeCell ref="CH115:CH116"/>
    <mergeCell ref="CI115:CI116"/>
    <mergeCell ref="CJ115:CJ116"/>
    <mergeCell ref="CK115:CK116"/>
    <mergeCell ref="CL115:CL116"/>
    <mergeCell ref="BJ115:BJ116"/>
    <mergeCell ref="BK115:BK116"/>
    <mergeCell ref="BL115:BL116"/>
    <mergeCell ref="BM115:BM116"/>
    <mergeCell ref="BN115:BN116"/>
    <mergeCell ref="BO115:BO116"/>
    <mergeCell ref="BD115:BD116"/>
    <mergeCell ref="BE115:BE116"/>
    <mergeCell ref="BF115:BF116"/>
    <mergeCell ref="BG115:BG116"/>
    <mergeCell ref="BH115:BH116"/>
    <mergeCell ref="BI115:BI116"/>
    <mergeCell ref="AX115:AX116"/>
    <mergeCell ref="AY115:AY116"/>
    <mergeCell ref="AZ115:AZ116"/>
    <mergeCell ref="CM115:CM116"/>
    <mergeCell ref="CB115:CB116"/>
    <mergeCell ref="CC115:CC116"/>
    <mergeCell ref="CD115:CD116"/>
    <mergeCell ref="CE115:CE116"/>
    <mergeCell ref="CF115:CF116"/>
    <mergeCell ref="CG115:CG116"/>
    <mergeCell ref="BV115:BV116"/>
    <mergeCell ref="BW115:BW116"/>
    <mergeCell ref="BX115:BX116"/>
    <mergeCell ref="BY115:BY116"/>
    <mergeCell ref="BZ115:BZ116"/>
    <mergeCell ref="CA115:CA116"/>
    <mergeCell ref="BP115:BP116"/>
    <mergeCell ref="BQ115:BQ116"/>
    <mergeCell ref="BR115:BR116"/>
    <mergeCell ref="BS115:BS116"/>
    <mergeCell ref="BT115:BT116"/>
    <mergeCell ref="BU115:BU116"/>
    <mergeCell ref="BA115:BA116"/>
    <mergeCell ref="BB115:BB116"/>
    <mergeCell ref="BC115:BC116"/>
    <mergeCell ref="AR115:AR116"/>
    <mergeCell ref="AS115:AS116"/>
    <mergeCell ref="AT115:AT116"/>
    <mergeCell ref="AU115:AU116"/>
    <mergeCell ref="AV115:AV116"/>
    <mergeCell ref="AW115:AW116"/>
    <mergeCell ref="AL115:AL116"/>
    <mergeCell ref="AM115:AM116"/>
    <mergeCell ref="AN115:AN116"/>
    <mergeCell ref="AO115:AO116"/>
    <mergeCell ref="AP115:AP116"/>
    <mergeCell ref="AQ115:AQ116"/>
    <mergeCell ref="AF115:AF116"/>
    <mergeCell ref="AG115:AG116"/>
    <mergeCell ref="AH115:AH116"/>
    <mergeCell ref="AI115:AI116"/>
    <mergeCell ref="AJ115:AJ116"/>
    <mergeCell ref="AK115:AK116"/>
    <mergeCell ref="Z115:Z116"/>
    <mergeCell ref="AA115:AA116"/>
    <mergeCell ref="AB115:AB116"/>
    <mergeCell ref="AC115:AC116"/>
    <mergeCell ref="AD115:AD116"/>
    <mergeCell ref="AE115:AE116"/>
    <mergeCell ref="T115:T116"/>
    <mergeCell ref="U115:U116"/>
    <mergeCell ref="V115:V116"/>
    <mergeCell ref="W115:W116"/>
    <mergeCell ref="X115:X116"/>
    <mergeCell ref="Y115:Y116"/>
    <mergeCell ref="CI113:CI114"/>
    <mergeCell ref="CJ113:CJ114"/>
    <mergeCell ref="CK113:CK114"/>
    <mergeCell ref="CL113:CL114"/>
    <mergeCell ref="CM113:CM114"/>
    <mergeCell ref="BH113:BH114"/>
    <mergeCell ref="BI113:BI114"/>
    <mergeCell ref="BJ113:BJ114"/>
    <mergeCell ref="AY113:AY114"/>
    <mergeCell ref="AZ113:AZ114"/>
    <mergeCell ref="BA113:BA114"/>
    <mergeCell ref="BB113:BB114"/>
    <mergeCell ref="BC113:BC114"/>
    <mergeCell ref="BD113:BD114"/>
    <mergeCell ref="AS113:AS114"/>
    <mergeCell ref="AT113:AT114"/>
    <mergeCell ref="AU113:AU114"/>
    <mergeCell ref="AV113:AV114"/>
    <mergeCell ref="AW113:AW114"/>
    <mergeCell ref="AX113:AX114"/>
    <mergeCell ref="A115:A116"/>
    <mergeCell ref="P115:P116"/>
    <mergeCell ref="Q115:Q116"/>
    <mergeCell ref="R115:R116"/>
    <mergeCell ref="S115:S116"/>
    <mergeCell ref="CC113:CC114"/>
    <mergeCell ref="CD113:CD114"/>
    <mergeCell ref="CE113:CE114"/>
    <mergeCell ref="CF113:CF114"/>
    <mergeCell ref="CG113:CG114"/>
    <mergeCell ref="CH113:CH114"/>
    <mergeCell ref="BW113:BW114"/>
    <mergeCell ref="BX113:BX114"/>
    <mergeCell ref="BY113:BY114"/>
    <mergeCell ref="BZ113:BZ114"/>
    <mergeCell ref="CA113:CA114"/>
    <mergeCell ref="CB113:CB114"/>
    <mergeCell ref="BQ113:BQ114"/>
    <mergeCell ref="BR113:BR114"/>
    <mergeCell ref="BS113:BS114"/>
    <mergeCell ref="BT113:BT114"/>
    <mergeCell ref="BU113:BU114"/>
    <mergeCell ref="BV113:BV114"/>
    <mergeCell ref="BK113:BK114"/>
    <mergeCell ref="BL113:BL114"/>
    <mergeCell ref="BM113:BM114"/>
    <mergeCell ref="BN113:BN114"/>
    <mergeCell ref="BO113:BO114"/>
    <mergeCell ref="BP113:BP114"/>
    <mergeCell ref="BE113:BE114"/>
    <mergeCell ref="BF113:BF114"/>
    <mergeCell ref="BG113:BG114"/>
    <mergeCell ref="AM113:AM114"/>
    <mergeCell ref="AN113:AN114"/>
    <mergeCell ref="AO113:AO114"/>
    <mergeCell ref="AP113:AP114"/>
    <mergeCell ref="AQ113:AQ114"/>
    <mergeCell ref="AR113:AR114"/>
    <mergeCell ref="AG113:AG114"/>
    <mergeCell ref="AH113:AH114"/>
    <mergeCell ref="AI113:AI114"/>
    <mergeCell ref="AJ113:AJ114"/>
    <mergeCell ref="AK113:AK114"/>
    <mergeCell ref="AL113:AL114"/>
    <mergeCell ref="AA113:AA114"/>
    <mergeCell ref="AB113:AB114"/>
    <mergeCell ref="AC113:AC114"/>
    <mergeCell ref="AD113:AD114"/>
    <mergeCell ref="AE113:AE114"/>
    <mergeCell ref="AF113:AF114"/>
    <mergeCell ref="U113:U114"/>
    <mergeCell ref="V113:V114"/>
    <mergeCell ref="W113:W114"/>
    <mergeCell ref="X113:X114"/>
    <mergeCell ref="Y113:Y114"/>
    <mergeCell ref="Z113:Z114"/>
    <mergeCell ref="A113:A114"/>
    <mergeCell ref="P113:P114"/>
    <mergeCell ref="Q113:Q114"/>
    <mergeCell ref="R113:R114"/>
    <mergeCell ref="S113:S114"/>
    <mergeCell ref="T113:T114"/>
    <mergeCell ref="CH110:CH112"/>
    <mergeCell ref="CI110:CI112"/>
    <mergeCell ref="CJ110:CJ112"/>
    <mergeCell ref="CK110:CK112"/>
    <mergeCell ref="CL110:CL112"/>
    <mergeCell ref="BJ110:BJ112"/>
    <mergeCell ref="BK110:BK112"/>
    <mergeCell ref="BL110:BL112"/>
    <mergeCell ref="BM110:BM112"/>
    <mergeCell ref="BN110:BN112"/>
    <mergeCell ref="BO110:BO112"/>
    <mergeCell ref="BD110:BD112"/>
    <mergeCell ref="BE110:BE112"/>
    <mergeCell ref="BF110:BF112"/>
    <mergeCell ref="BG110:BG112"/>
    <mergeCell ref="BH110:BH112"/>
    <mergeCell ref="BI110:BI112"/>
    <mergeCell ref="AX110:AX112"/>
    <mergeCell ref="AY110:AY112"/>
    <mergeCell ref="AZ110:AZ112"/>
    <mergeCell ref="CM110:CM112"/>
    <mergeCell ref="CB110:CB112"/>
    <mergeCell ref="CC110:CC112"/>
    <mergeCell ref="CD110:CD112"/>
    <mergeCell ref="CE110:CE112"/>
    <mergeCell ref="CF110:CF112"/>
    <mergeCell ref="CG110:CG112"/>
    <mergeCell ref="BV110:BV112"/>
    <mergeCell ref="BW110:BW112"/>
    <mergeCell ref="BX110:BX112"/>
    <mergeCell ref="BY110:BY112"/>
    <mergeCell ref="BZ110:BZ112"/>
    <mergeCell ref="CA110:CA112"/>
    <mergeCell ref="BP110:BP112"/>
    <mergeCell ref="BQ110:BQ112"/>
    <mergeCell ref="BR110:BR112"/>
    <mergeCell ref="BS110:BS112"/>
    <mergeCell ref="BT110:BT112"/>
    <mergeCell ref="BU110:BU112"/>
    <mergeCell ref="BA110:BA112"/>
    <mergeCell ref="BB110:BB112"/>
    <mergeCell ref="BC110:BC112"/>
    <mergeCell ref="AR110:AR112"/>
    <mergeCell ref="AS110:AS112"/>
    <mergeCell ref="AT110:AT112"/>
    <mergeCell ref="AU110:AU112"/>
    <mergeCell ref="AV110:AV112"/>
    <mergeCell ref="AW110:AW112"/>
    <mergeCell ref="AL110:AL112"/>
    <mergeCell ref="AM110:AM112"/>
    <mergeCell ref="AN110:AN112"/>
    <mergeCell ref="AO110:AO112"/>
    <mergeCell ref="AP110:AP112"/>
    <mergeCell ref="AQ110:AQ112"/>
    <mergeCell ref="AF110:AF112"/>
    <mergeCell ref="AG110:AG112"/>
    <mergeCell ref="AH110:AH112"/>
    <mergeCell ref="AI110:AI112"/>
    <mergeCell ref="AJ110:AJ112"/>
    <mergeCell ref="AK110:AK112"/>
    <mergeCell ref="Z110:Z112"/>
    <mergeCell ref="AA110:AA112"/>
    <mergeCell ref="AB110:AB112"/>
    <mergeCell ref="AC110:AC112"/>
    <mergeCell ref="AD110:AD112"/>
    <mergeCell ref="AE110:AE112"/>
    <mergeCell ref="T110:T112"/>
    <mergeCell ref="U110:U112"/>
    <mergeCell ref="V110:V112"/>
    <mergeCell ref="W110:W112"/>
    <mergeCell ref="X110:X112"/>
    <mergeCell ref="Y110:Y112"/>
    <mergeCell ref="CI104:CI109"/>
    <mergeCell ref="CJ104:CJ109"/>
    <mergeCell ref="CK104:CK109"/>
    <mergeCell ref="CL104:CL109"/>
    <mergeCell ref="CM104:CM109"/>
    <mergeCell ref="BH104:BH109"/>
    <mergeCell ref="BI104:BI109"/>
    <mergeCell ref="BJ104:BJ109"/>
    <mergeCell ref="AY104:AY109"/>
    <mergeCell ref="AZ104:AZ109"/>
    <mergeCell ref="BA104:BA109"/>
    <mergeCell ref="BB104:BB109"/>
    <mergeCell ref="BC104:BC109"/>
    <mergeCell ref="BD104:BD109"/>
    <mergeCell ref="AS104:AS109"/>
    <mergeCell ref="AT104:AT109"/>
    <mergeCell ref="AU104:AU109"/>
    <mergeCell ref="AV104:AV109"/>
    <mergeCell ref="AW104:AW109"/>
    <mergeCell ref="AX104:AX109"/>
    <mergeCell ref="A110:A112"/>
    <mergeCell ref="P110:P112"/>
    <mergeCell ref="Q110:Q112"/>
    <mergeCell ref="R110:R112"/>
    <mergeCell ref="S110:S112"/>
    <mergeCell ref="CC104:CC109"/>
    <mergeCell ref="CD104:CD109"/>
    <mergeCell ref="CE104:CE109"/>
    <mergeCell ref="CF104:CF109"/>
    <mergeCell ref="CG104:CG109"/>
    <mergeCell ref="CH104:CH109"/>
    <mergeCell ref="BW104:BW109"/>
    <mergeCell ref="BX104:BX109"/>
    <mergeCell ref="BY104:BY109"/>
    <mergeCell ref="BZ104:BZ109"/>
    <mergeCell ref="CA104:CA109"/>
    <mergeCell ref="CB104:CB109"/>
    <mergeCell ref="BQ104:BQ109"/>
    <mergeCell ref="BR104:BR109"/>
    <mergeCell ref="BS104:BS109"/>
    <mergeCell ref="BT104:BT109"/>
    <mergeCell ref="BU104:BU109"/>
    <mergeCell ref="BV104:BV109"/>
    <mergeCell ref="BK104:BK109"/>
    <mergeCell ref="BL104:BL109"/>
    <mergeCell ref="BM104:BM109"/>
    <mergeCell ref="BN104:BN109"/>
    <mergeCell ref="BO104:BO109"/>
    <mergeCell ref="BP104:BP109"/>
    <mergeCell ref="BE104:BE109"/>
    <mergeCell ref="BF104:BF109"/>
    <mergeCell ref="BG104:BG109"/>
    <mergeCell ref="AM104:AM109"/>
    <mergeCell ref="AN104:AN109"/>
    <mergeCell ref="AO104:AO109"/>
    <mergeCell ref="AP104:AP109"/>
    <mergeCell ref="AQ104:AQ109"/>
    <mergeCell ref="AR104:AR109"/>
    <mergeCell ref="AG104:AG109"/>
    <mergeCell ref="AH104:AH109"/>
    <mergeCell ref="AI104:AI109"/>
    <mergeCell ref="AJ104:AJ109"/>
    <mergeCell ref="AK104:AK109"/>
    <mergeCell ref="AL104:AL109"/>
    <mergeCell ref="AA104:AA109"/>
    <mergeCell ref="AB104:AB109"/>
    <mergeCell ref="AC104:AC109"/>
    <mergeCell ref="AD104:AD109"/>
    <mergeCell ref="AE104:AE109"/>
    <mergeCell ref="AF104:AF109"/>
    <mergeCell ref="U104:U109"/>
    <mergeCell ref="V104:V109"/>
    <mergeCell ref="W104:W109"/>
    <mergeCell ref="X104:X109"/>
    <mergeCell ref="Y104:Y109"/>
    <mergeCell ref="Z104:Z109"/>
    <mergeCell ref="A104:A109"/>
    <mergeCell ref="P104:P109"/>
    <mergeCell ref="Q104:Q109"/>
    <mergeCell ref="R104:R109"/>
    <mergeCell ref="S104:S109"/>
    <mergeCell ref="T104:T109"/>
    <mergeCell ref="CH102:CH103"/>
    <mergeCell ref="CI102:CI103"/>
    <mergeCell ref="CJ102:CJ103"/>
    <mergeCell ref="CK102:CK103"/>
    <mergeCell ref="CL102:CL103"/>
    <mergeCell ref="BJ102:BJ103"/>
    <mergeCell ref="BK102:BK103"/>
    <mergeCell ref="BL102:BL103"/>
    <mergeCell ref="BM102:BM103"/>
    <mergeCell ref="BN102:BN103"/>
    <mergeCell ref="BO102:BO103"/>
    <mergeCell ref="BD102:BD103"/>
    <mergeCell ref="BE102:BE103"/>
    <mergeCell ref="BF102:BF103"/>
    <mergeCell ref="BG102:BG103"/>
    <mergeCell ref="BH102:BH103"/>
    <mergeCell ref="BI102:BI103"/>
    <mergeCell ref="AX102:AX103"/>
    <mergeCell ref="AY102:AY103"/>
    <mergeCell ref="AZ102:AZ103"/>
    <mergeCell ref="CM102:CM103"/>
    <mergeCell ref="CB102:CB103"/>
    <mergeCell ref="CC102:CC103"/>
    <mergeCell ref="CD102:CD103"/>
    <mergeCell ref="CE102:CE103"/>
    <mergeCell ref="CF102:CF103"/>
    <mergeCell ref="CG102:CG103"/>
    <mergeCell ref="BV102:BV103"/>
    <mergeCell ref="BW102:BW103"/>
    <mergeCell ref="BX102:BX103"/>
    <mergeCell ref="BY102:BY103"/>
    <mergeCell ref="BZ102:BZ103"/>
    <mergeCell ref="CA102:CA103"/>
    <mergeCell ref="BP102:BP103"/>
    <mergeCell ref="BQ102:BQ103"/>
    <mergeCell ref="BR102:BR103"/>
    <mergeCell ref="BS102:BS103"/>
    <mergeCell ref="BT102:BT103"/>
    <mergeCell ref="BU102:BU103"/>
    <mergeCell ref="BA102:BA103"/>
    <mergeCell ref="BB102:BB103"/>
    <mergeCell ref="BC102:BC103"/>
    <mergeCell ref="AR102:AR103"/>
    <mergeCell ref="AS102:AS103"/>
    <mergeCell ref="AT102:AT103"/>
    <mergeCell ref="AU102:AU103"/>
    <mergeCell ref="AV102:AV103"/>
    <mergeCell ref="AW102:AW103"/>
    <mergeCell ref="AL102:AL103"/>
    <mergeCell ref="AM102:AM103"/>
    <mergeCell ref="AN102:AN103"/>
    <mergeCell ref="AO102:AO103"/>
    <mergeCell ref="AP102:AP103"/>
    <mergeCell ref="AQ102:AQ103"/>
    <mergeCell ref="AF102:AF103"/>
    <mergeCell ref="AG102:AG103"/>
    <mergeCell ref="AH102:AH103"/>
    <mergeCell ref="AI102:AI103"/>
    <mergeCell ref="AJ102:AJ103"/>
    <mergeCell ref="AK102:AK103"/>
    <mergeCell ref="Z102:Z103"/>
    <mergeCell ref="AA102:AA103"/>
    <mergeCell ref="AB102:AB103"/>
    <mergeCell ref="AC102:AC103"/>
    <mergeCell ref="AD102:AD103"/>
    <mergeCell ref="AE102:AE103"/>
    <mergeCell ref="T102:T103"/>
    <mergeCell ref="U102:U103"/>
    <mergeCell ref="V102:V103"/>
    <mergeCell ref="W102:W103"/>
    <mergeCell ref="X102:X103"/>
    <mergeCell ref="Y102:Y103"/>
    <mergeCell ref="CI100:CI101"/>
    <mergeCell ref="CJ100:CJ101"/>
    <mergeCell ref="CK100:CK101"/>
    <mergeCell ref="CL100:CL101"/>
    <mergeCell ref="CM100:CM101"/>
    <mergeCell ref="BH100:BH101"/>
    <mergeCell ref="BI100:BI101"/>
    <mergeCell ref="BJ100:BJ101"/>
    <mergeCell ref="AY100:AY101"/>
    <mergeCell ref="AZ100:AZ101"/>
    <mergeCell ref="BA100:BA101"/>
    <mergeCell ref="BB100:BB101"/>
    <mergeCell ref="BC100:BC101"/>
    <mergeCell ref="BD100:BD101"/>
    <mergeCell ref="AS100:AS101"/>
    <mergeCell ref="AT100:AT101"/>
    <mergeCell ref="AU100:AU101"/>
    <mergeCell ref="AV100:AV101"/>
    <mergeCell ref="AW100:AW101"/>
    <mergeCell ref="AX100:AX101"/>
    <mergeCell ref="A102:A103"/>
    <mergeCell ref="P102:P103"/>
    <mergeCell ref="Q102:Q103"/>
    <mergeCell ref="R102:R103"/>
    <mergeCell ref="S102:S103"/>
    <mergeCell ref="CC100:CC101"/>
    <mergeCell ref="CD100:CD101"/>
    <mergeCell ref="CE100:CE101"/>
    <mergeCell ref="CF100:CF101"/>
    <mergeCell ref="CG100:CG101"/>
    <mergeCell ref="CH100:CH101"/>
    <mergeCell ref="BW100:BW101"/>
    <mergeCell ref="BX100:BX101"/>
    <mergeCell ref="BY100:BY101"/>
    <mergeCell ref="BZ100:BZ101"/>
    <mergeCell ref="CA100:CA101"/>
    <mergeCell ref="CB100:CB101"/>
    <mergeCell ref="BQ100:BQ101"/>
    <mergeCell ref="BR100:BR101"/>
    <mergeCell ref="BS100:BS101"/>
    <mergeCell ref="BT100:BT101"/>
    <mergeCell ref="BU100:BU101"/>
    <mergeCell ref="BV100:BV101"/>
    <mergeCell ref="BK100:BK101"/>
    <mergeCell ref="BL100:BL101"/>
    <mergeCell ref="BM100:BM101"/>
    <mergeCell ref="BN100:BN101"/>
    <mergeCell ref="BO100:BO101"/>
    <mergeCell ref="BP100:BP101"/>
    <mergeCell ref="BE100:BE101"/>
    <mergeCell ref="BF100:BF101"/>
    <mergeCell ref="BG100:BG101"/>
    <mergeCell ref="AM100:AM101"/>
    <mergeCell ref="AN100:AN101"/>
    <mergeCell ref="AO100:AO101"/>
    <mergeCell ref="AP100:AP101"/>
    <mergeCell ref="AQ100:AQ101"/>
    <mergeCell ref="AR100:AR101"/>
    <mergeCell ref="AG100:AG101"/>
    <mergeCell ref="AH100:AH101"/>
    <mergeCell ref="AI100:AI101"/>
    <mergeCell ref="AJ100:AJ101"/>
    <mergeCell ref="AK100:AK101"/>
    <mergeCell ref="AL100:AL101"/>
    <mergeCell ref="AA100:AA101"/>
    <mergeCell ref="AB100:AB101"/>
    <mergeCell ref="AC100:AC101"/>
    <mergeCell ref="AD100:AD101"/>
    <mergeCell ref="AE100:AE101"/>
    <mergeCell ref="AF100:AF101"/>
    <mergeCell ref="U100:U101"/>
    <mergeCell ref="V100:V101"/>
    <mergeCell ref="W100:W101"/>
    <mergeCell ref="X100:X101"/>
    <mergeCell ref="Y100:Y101"/>
    <mergeCell ref="Z100:Z101"/>
    <mergeCell ref="A100:A101"/>
    <mergeCell ref="P100:P101"/>
    <mergeCell ref="Q100:Q101"/>
    <mergeCell ref="R100:R101"/>
    <mergeCell ref="S100:S101"/>
    <mergeCell ref="T100:T101"/>
    <mergeCell ref="CH98:CH99"/>
    <mergeCell ref="CI98:CI99"/>
    <mergeCell ref="CJ98:CJ99"/>
    <mergeCell ref="CK98:CK99"/>
    <mergeCell ref="CL98:CL99"/>
    <mergeCell ref="BJ98:BJ99"/>
    <mergeCell ref="BK98:BK99"/>
    <mergeCell ref="BL98:BL99"/>
    <mergeCell ref="BM98:BM99"/>
    <mergeCell ref="BN98:BN99"/>
    <mergeCell ref="BO98:BO99"/>
    <mergeCell ref="BD98:BD99"/>
    <mergeCell ref="BE98:BE99"/>
    <mergeCell ref="BF98:BF99"/>
    <mergeCell ref="BG98:BG99"/>
    <mergeCell ref="BH98:BH99"/>
    <mergeCell ref="BI98:BI99"/>
    <mergeCell ref="AX98:AX99"/>
    <mergeCell ref="AY98:AY99"/>
    <mergeCell ref="AZ98:AZ99"/>
    <mergeCell ref="CM98:CM99"/>
    <mergeCell ref="CB98:CB99"/>
    <mergeCell ref="CC98:CC99"/>
    <mergeCell ref="CD98:CD99"/>
    <mergeCell ref="CE98:CE99"/>
    <mergeCell ref="CF98:CF99"/>
    <mergeCell ref="CG98:CG99"/>
    <mergeCell ref="BV98:BV99"/>
    <mergeCell ref="BW98:BW99"/>
    <mergeCell ref="BX98:BX99"/>
    <mergeCell ref="BY98:BY99"/>
    <mergeCell ref="BZ98:BZ99"/>
    <mergeCell ref="CA98:CA99"/>
    <mergeCell ref="BP98:BP99"/>
    <mergeCell ref="BQ98:BQ99"/>
    <mergeCell ref="BR98:BR99"/>
    <mergeCell ref="BS98:BS99"/>
    <mergeCell ref="BT98:BT99"/>
    <mergeCell ref="BU98:BU99"/>
    <mergeCell ref="BA98:BA99"/>
    <mergeCell ref="BB98:BB99"/>
    <mergeCell ref="BC98:BC99"/>
    <mergeCell ref="AR98:AR99"/>
    <mergeCell ref="AS98:AS99"/>
    <mergeCell ref="AT98:AT99"/>
    <mergeCell ref="AU98:AU99"/>
    <mergeCell ref="AV98:AV99"/>
    <mergeCell ref="AW98:AW99"/>
    <mergeCell ref="AL98:AL99"/>
    <mergeCell ref="AM98:AM99"/>
    <mergeCell ref="AN98:AN99"/>
    <mergeCell ref="AO98:AO99"/>
    <mergeCell ref="AP98:AP99"/>
    <mergeCell ref="AQ98:AQ99"/>
    <mergeCell ref="AF98:AF99"/>
    <mergeCell ref="AG98:AG99"/>
    <mergeCell ref="AH98:AH99"/>
    <mergeCell ref="AI98:AI99"/>
    <mergeCell ref="AJ98:AJ99"/>
    <mergeCell ref="AK98:AK99"/>
    <mergeCell ref="Z98:Z99"/>
    <mergeCell ref="AA98:AA99"/>
    <mergeCell ref="AB98:AB99"/>
    <mergeCell ref="AC98:AC99"/>
    <mergeCell ref="AD98:AD99"/>
    <mergeCell ref="AE98:AE99"/>
    <mergeCell ref="T98:T99"/>
    <mergeCell ref="U98:U99"/>
    <mergeCell ref="V98:V99"/>
    <mergeCell ref="W98:W99"/>
    <mergeCell ref="X98:X99"/>
    <mergeCell ref="Y98:Y99"/>
    <mergeCell ref="CI95:CI96"/>
    <mergeCell ref="CJ95:CJ96"/>
    <mergeCell ref="CK95:CK96"/>
    <mergeCell ref="CL95:CL96"/>
    <mergeCell ref="CM95:CM96"/>
    <mergeCell ref="BH95:BH96"/>
    <mergeCell ref="BI95:BI96"/>
    <mergeCell ref="BJ95:BJ96"/>
    <mergeCell ref="AY95:AY96"/>
    <mergeCell ref="AZ95:AZ96"/>
    <mergeCell ref="BA95:BA96"/>
    <mergeCell ref="BB95:BB96"/>
    <mergeCell ref="BC95:BC96"/>
    <mergeCell ref="BD95:BD96"/>
    <mergeCell ref="AS95:AS96"/>
    <mergeCell ref="AT95:AT96"/>
    <mergeCell ref="AU95:AU96"/>
    <mergeCell ref="AV95:AV96"/>
    <mergeCell ref="AW95:AW96"/>
    <mergeCell ref="AX95:AX96"/>
    <mergeCell ref="A98:A99"/>
    <mergeCell ref="P98:P99"/>
    <mergeCell ref="Q98:Q99"/>
    <mergeCell ref="R98:R99"/>
    <mergeCell ref="S98:S99"/>
    <mergeCell ref="CC95:CC96"/>
    <mergeCell ref="CD95:CD96"/>
    <mergeCell ref="CE95:CE96"/>
    <mergeCell ref="CF95:CF96"/>
    <mergeCell ref="CG95:CG96"/>
    <mergeCell ref="CH95:CH96"/>
    <mergeCell ref="BW95:BW96"/>
    <mergeCell ref="BX95:BX96"/>
    <mergeCell ref="BY95:BY96"/>
    <mergeCell ref="BZ95:BZ96"/>
    <mergeCell ref="CA95:CA96"/>
    <mergeCell ref="CB95:CB96"/>
    <mergeCell ref="BQ95:BQ96"/>
    <mergeCell ref="BR95:BR96"/>
    <mergeCell ref="BS95:BS96"/>
    <mergeCell ref="BT95:BT96"/>
    <mergeCell ref="BU95:BU96"/>
    <mergeCell ref="BV95:BV96"/>
    <mergeCell ref="BK95:BK96"/>
    <mergeCell ref="BL95:BL96"/>
    <mergeCell ref="BM95:BM96"/>
    <mergeCell ref="BN95:BN96"/>
    <mergeCell ref="BO95:BO96"/>
    <mergeCell ref="BP95:BP96"/>
    <mergeCell ref="BE95:BE96"/>
    <mergeCell ref="BF95:BF96"/>
    <mergeCell ref="BG95:BG96"/>
    <mergeCell ref="AM95:AM96"/>
    <mergeCell ref="AN95:AN96"/>
    <mergeCell ref="AO95:AO96"/>
    <mergeCell ref="AP95:AP96"/>
    <mergeCell ref="AQ95:AQ96"/>
    <mergeCell ref="AR95:AR96"/>
    <mergeCell ref="AG95:AG96"/>
    <mergeCell ref="AH95:AH96"/>
    <mergeCell ref="AI95:AI96"/>
    <mergeCell ref="AJ95:AJ96"/>
    <mergeCell ref="AK95:AK96"/>
    <mergeCell ref="AL95:AL96"/>
    <mergeCell ref="AA95:AA96"/>
    <mergeCell ref="AB95:AB96"/>
    <mergeCell ref="AC95:AC96"/>
    <mergeCell ref="AD95:AD96"/>
    <mergeCell ref="AE95:AE96"/>
    <mergeCell ref="AF95:AF96"/>
    <mergeCell ref="U95:U96"/>
    <mergeCell ref="V95:V96"/>
    <mergeCell ref="W95:W96"/>
    <mergeCell ref="X95:X96"/>
    <mergeCell ref="Y95:Y96"/>
    <mergeCell ref="Z95:Z96"/>
    <mergeCell ref="A95:A96"/>
    <mergeCell ref="P95:P96"/>
    <mergeCell ref="Q95:Q96"/>
    <mergeCell ref="R95:R96"/>
    <mergeCell ref="S95:S96"/>
    <mergeCell ref="T95:T96"/>
    <mergeCell ref="CH93:CH94"/>
    <mergeCell ref="CI93:CI94"/>
    <mergeCell ref="CJ93:CJ94"/>
    <mergeCell ref="CK93:CK94"/>
    <mergeCell ref="CL93:CL94"/>
    <mergeCell ref="BJ93:BJ94"/>
    <mergeCell ref="BK93:BK94"/>
    <mergeCell ref="BL93:BL94"/>
    <mergeCell ref="BM93:BM94"/>
    <mergeCell ref="BN93:BN94"/>
    <mergeCell ref="BO93:BO94"/>
    <mergeCell ref="BD93:BD94"/>
    <mergeCell ref="BE93:BE94"/>
    <mergeCell ref="BF93:BF94"/>
    <mergeCell ref="BG93:BG94"/>
    <mergeCell ref="BH93:BH94"/>
    <mergeCell ref="BI93:BI94"/>
    <mergeCell ref="AX93:AX94"/>
    <mergeCell ref="AY93:AY94"/>
    <mergeCell ref="AZ93:AZ94"/>
    <mergeCell ref="CM93:CM94"/>
    <mergeCell ref="CB93:CB94"/>
    <mergeCell ref="CC93:CC94"/>
    <mergeCell ref="CD93:CD94"/>
    <mergeCell ref="CE93:CE94"/>
    <mergeCell ref="CF93:CF94"/>
    <mergeCell ref="CG93:CG94"/>
    <mergeCell ref="BV93:BV94"/>
    <mergeCell ref="BW93:BW94"/>
    <mergeCell ref="BX93:BX94"/>
    <mergeCell ref="BY93:BY94"/>
    <mergeCell ref="BZ93:BZ94"/>
    <mergeCell ref="CA93:CA94"/>
    <mergeCell ref="BP93:BP94"/>
    <mergeCell ref="BQ93:BQ94"/>
    <mergeCell ref="BR93:BR94"/>
    <mergeCell ref="BS93:BS94"/>
    <mergeCell ref="BT93:BT94"/>
    <mergeCell ref="BU93:BU94"/>
    <mergeCell ref="BA93:BA94"/>
    <mergeCell ref="BB93:BB94"/>
    <mergeCell ref="BC93:BC94"/>
    <mergeCell ref="AR93:AR94"/>
    <mergeCell ref="AS93:AS94"/>
    <mergeCell ref="AT93:AT94"/>
    <mergeCell ref="AU93:AU94"/>
    <mergeCell ref="AV93:AV94"/>
    <mergeCell ref="AW93:AW94"/>
    <mergeCell ref="AL93:AL94"/>
    <mergeCell ref="AM93:AM94"/>
    <mergeCell ref="AN93:AN94"/>
    <mergeCell ref="AO93:AO94"/>
    <mergeCell ref="AP93:AP94"/>
    <mergeCell ref="AQ93:AQ94"/>
    <mergeCell ref="AF93:AF94"/>
    <mergeCell ref="AG93:AG94"/>
    <mergeCell ref="AH93:AH94"/>
    <mergeCell ref="AI93:AI94"/>
    <mergeCell ref="AJ93:AJ94"/>
    <mergeCell ref="AK93:AK94"/>
    <mergeCell ref="Z93:Z94"/>
    <mergeCell ref="AA93:AA94"/>
    <mergeCell ref="AB93:AB94"/>
    <mergeCell ref="AC93:AC94"/>
    <mergeCell ref="AD93:AD94"/>
    <mergeCell ref="AE93:AE94"/>
    <mergeCell ref="T93:T94"/>
    <mergeCell ref="U93:U94"/>
    <mergeCell ref="V93:V94"/>
    <mergeCell ref="W93:W94"/>
    <mergeCell ref="X93:X94"/>
    <mergeCell ref="Y93:Y94"/>
    <mergeCell ref="CI91:CI92"/>
    <mergeCell ref="CJ91:CJ92"/>
    <mergeCell ref="CK91:CK92"/>
    <mergeCell ref="CL91:CL92"/>
    <mergeCell ref="CM91:CM92"/>
    <mergeCell ref="BH91:BH92"/>
    <mergeCell ref="BI91:BI92"/>
    <mergeCell ref="BJ91:BJ92"/>
    <mergeCell ref="AY91:AY92"/>
    <mergeCell ref="AZ91:AZ92"/>
    <mergeCell ref="BA91:BA92"/>
    <mergeCell ref="BB91:BB92"/>
    <mergeCell ref="BC91:BC92"/>
    <mergeCell ref="BD91:BD92"/>
    <mergeCell ref="AS91:AS92"/>
    <mergeCell ref="AT91:AT92"/>
    <mergeCell ref="AU91:AU92"/>
    <mergeCell ref="AV91:AV92"/>
    <mergeCell ref="AW91:AW92"/>
    <mergeCell ref="AX91:AX92"/>
    <mergeCell ref="A93:A94"/>
    <mergeCell ref="P93:P94"/>
    <mergeCell ref="Q93:Q94"/>
    <mergeCell ref="R93:R94"/>
    <mergeCell ref="S93:S94"/>
    <mergeCell ref="CC91:CC92"/>
    <mergeCell ref="CD91:CD92"/>
    <mergeCell ref="CE91:CE92"/>
    <mergeCell ref="CF91:CF92"/>
    <mergeCell ref="CG91:CG92"/>
    <mergeCell ref="CH91:CH92"/>
    <mergeCell ref="BW91:BW92"/>
    <mergeCell ref="BX91:BX92"/>
    <mergeCell ref="BY91:BY92"/>
    <mergeCell ref="BZ91:BZ92"/>
    <mergeCell ref="CA91:CA92"/>
    <mergeCell ref="CB91:CB92"/>
    <mergeCell ref="BQ91:BQ92"/>
    <mergeCell ref="BR91:BR92"/>
    <mergeCell ref="BS91:BS92"/>
    <mergeCell ref="BT91:BT92"/>
    <mergeCell ref="BU91:BU92"/>
    <mergeCell ref="BV91:BV92"/>
    <mergeCell ref="BK91:BK92"/>
    <mergeCell ref="BL91:BL92"/>
    <mergeCell ref="BM91:BM92"/>
    <mergeCell ref="BN91:BN92"/>
    <mergeCell ref="BO91:BO92"/>
    <mergeCell ref="BP91:BP92"/>
    <mergeCell ref="BE91:BE92"/>
    <mergeCell ref="BF91:BF92"/>
    <mergeCell ref="BG91:BG92"/>
    <mergeCell ref="AM91:AM92"/>
    <mergeCell ref="AN91:AN92"/>
    <mergeCell ref="AO91:AO92"/>
    <mergeCell ref="AP91:AP92"/>
    <mergeCell ref="AQ91:AQ92"/>
    <mergeCell ref="AR91:AR92"/>
    <mergeCell ref="AG91:AG92"/>
    <mergeCell ref="AH91:AH92"/>
    <mergeCell ref="AI91:AI92"/>
    <mergeCell ref="AJ91:AJ92"/>
    <mergeCell ref="AK91:AK92"/>
    <mergeCell ref="AL91:AL92"/>
    <mergeCell ref="AA91:AA92"/>
    <mergeCell ref="AB91:AB92"/>
    <mergeCell ref="AC91:AC92"/>
    <mergeCell ref="AD91:AD92"/>
    <mergeCell ref="AE91:AE92"/>
    <mergeCell ref="AF91:AF92"/>
    <mergeCell ref="U91:U92"/>
    <mergeCell ref="V91:V92"/>
    <mergeCell ref="W91:W92"/>
    <mergeCell ref="X91:X92"/>
    <mergeCell ref="Y91:Y92"/>
    <mergeCell ref="Z91:Z92"/>
    <mergeCell ref="A91:A92"/>
    <mergeCell ref="P91:P92"/>
    <mergeCell ref="Q91:Q92"/>
    <mergeCell ref="R91:R92"/>
    <mergeCell ref="S91:S92"/>
    <mergeCell ref="T91:T92"/>
    <mergeCell ref="CH87:CH90"/>
    <mergeCell ref="CI87:CI90"/>
    <mergeCell ref="CJ87:CJ90"/>
    <mergeCell ref="CK87:CK90"/>
    <mergeCell ref="CL87:CL90"/>
    <mergeCell ref="BJ87:BJ90"/>
    <mergeCell ref="BK87:BK90"/>
    <mergeCell ref="BL87:BL90"/>
    <mergeCell ref="BM87:BM90"/>
    <mergeCell ref="BN87:BN90"/>
    <mergeCell ref="BO87:BO90"/>
    <mergeCell ref="BD87:BD90"/>
    <mergeCell ref="BE87:BE90"/>
    <mergeCell ref="BF87:BF90"/>
    <mergeCell ref="BG87:BG90"/>
    <mergeCell ref="BH87:BH90"/>
    <mergeCell ref="BI87:BI90"/>
    <mergeCell ref="AX87:AX90"/>
    <mergeCell ref="AY87:AY90"/>
    <mergeCell ref="AZ87:AZ90"/>
    <mergeCell ref="CM87:CM90"/>
    <mergeCell ref="CB87:CB90"/>
    <mergeCell ref="CC87:CC90"/>
    <mergeCell ref="CD87:CD90"/>
    <mergeCell ref="CE87:CE90"/>
    <mergeCell ref="CF87:CF90"/>
    <mergeCell ref="CG87:CG90"/>
    <mergeCell ref="BV87:BV90"/>
    <mergeCell ref="BW87:BW90"/>
    <mergeCell ref="BX87:BX90"/>
    <mergeCell ref="BY87:BY90"/>
    <mergeCell ref="BZ87:BZ90"/>
    <mergeCell ref="CA87:CA90"/>
    <mergeCell ref="BP87:BP90"/>
    <mergeCell ref="BQ87:BQ90"/>
    <mergeCell ref="BR87:BR90"/>
    <mergeCell ref="BS87:BS90"/>
    <mergeCell ref="BT87:BT90"/>
    <mergeCell ref="BU87:BU90"/>
    <mergeCell ref="BA87:BA90"/>
    <mergeCell ref="BB87:BB90"/>
    <mergeCell ref="BC87:BC90"/>
    <mergeCell ref="AR87:AR90"/>
    <mergeCell ref="AS87:AS90"/>
    <mergeCell ref="AT87:AT90"/>
    <mergeCell ref="AU87:AU90"/>
    <mergeCell ref="AV87:AV90"/>
    <mergeCell ref="AW87:AW90"/>
    <mergeCell ref="AL87:AL90"/>
    <mergeCell ref="AM87:AM90"/>
    <mergeCell ref="AN87:AN90"/>
    <mergeCell ref="AO87:AO90"/>
    <mergeCell ref="AP87:AP90"/>
    <mergeCell ref="AQ87:AQ90"/>
    <mergeCell ref="AF87:AF90"/>
    <mergeCell ref="AG87:AG90"/>
    <mergeCell ref="AH87:AH90"/>
    <mergeCell ref="AI87:AI90"/>
    <mergeCell ref="AJ87:AJ90"/>
    <mergeCell ref="AK87:AK90"/>
    <mergeCell ref="Z87:Z90"/>
    <mergeCell ref="AA87:AA90"/>
    <mergeCell ref="AB87:AB90"/>
    <mergeCell ref="AC87:AC90"/>
    <mergeCell ref="AD87:AD90"/>
    <mergeCell ref="AE87:AE90"/>
    <mergeCell ref="T87:T90"/>
    <mergeCell ref="U87:U90"/>
    <mergeCell ref="V87:V90"/>
    <mergeCell ref="W87:W90"/>
    <mergeCell ref="X87:X90"/>
    <mergeCell ref="Y87:Y90"/>
    <mergeCell ref="CI83:CI85"/>
    <mergeCell ref="CJ83:CJ85"/>
    <mergeCell ref="CK83:CK85"/>
    <mergeCell ref="CL83:CL85"/>
    <mergeCell ref="CM83:CM85"/>
    <mergeCell ref="BH83:BH85"/>
    <mergeCell ref="BI83:BI85"/>
    <mergeCell ref="BJ83:BJ85"/>
    <mergeCell ref="AY83:AY85"/>
    <mergeCell ref="AZ83:AZ85"/>
    <mergeCell ref="BA83:BA85"/>
    <mergeCell ref="BB83:BB85"/>
    <mergeCell ref="BC83:BC85"/>
    <mergeCell ref="BD83:BD85"/>
    <mergeCell ref="AS83:AS85"/>
    <mergeCell ref="AT83:AT85"/>
    <mergeCell ref="AU83:AU85"/>
    <mergeCell ref="AV83:AV85"/>
    <mergeCell ref="AW83:AW85"/>
    <mergeCell ref="AX83:AX85"/>
    <mergeCell ref="A87:A90"/>
    <mergeCell ref="P87:P90"/>
    <mergeCell ref="Q87:Q90"/>
    <mergeCell ref="R87:R90"/>
    <mergeCell ref="S87:S90"/>
    <mergeCell ref="CC83:CC85"/>
    <mergeCell ref="CD83:CD85"/>
    <mergeCell ref="CE83:CE85"/>
    <mergeCell ref="CF83:CF85"/>
    <mergeCell ref="CG83:CG85"/>
    <mergeCell ref="CH83:CH85"/>
    <mergeCell ref="BW83:BW85"/>
    <mergeCell ref="BX83:BX85"/>
    <mergeCell ref="BY83:BY85"/>
    <mergeCell ref="BZ83:BZ85"/>
    <mergeCell ref="CA83:CA85"/>
    <mergeCell ref="CB83:CB85"/>
    <mergeCell ref="BQ83:BQ85"/>
    <mergeCell ref="BR83:BR85"/>
    <mergeCell ref="BS83:BS85"/>
    <mergeCell ref="BT83:BT85"/>
    <mergeCell ref="BU83:BU85"/>
    <mergeCell ref="BV83:BV85"/>
    <mergeCell ref="BK83:BK85"/>
    <mergeCell ref="BL83:BL85"/>
    <mergeCell ref="BM83:BM85"/>
    <mergeCell ref="BN83:BN85"/>
    <mergeCell ref="BO83:BO85"/>
    <mergeCell ref="BP83:BP85"/>
    <mergeCell ref="BE83:BE85"/>
    <mergeCell ref="BF83:BF85"/>
    <mergeCell ref="BG83:BG85"/>
    <mergeCell ref="AM83:AM85"/>
    <mergeCell ref="AN83:AN85"/>
    <mergeCell ref="AO83:AO85"/>
    <mergeCell ref="AP83:AP85"/>
    <mergeCell ref="AQ83:AQ85"/>
    <mergeCell ref="AR83:AR85"/>
    <mergeCell ref="AG83:AG85"/>
    <mergeCell ref="AH83:AH85"/>
    <mergeCell ref="AI83:AI85"/>
    <mergeCell ref="AJ83:AJ85"/>
    <mergeCell ref="AK83:AK85"/>
    <mergeCell ref="AL83:AL85"/>
    <mergeCell ref="AA83:AA85"/>
    <mergeCell ref="AB83:AB85"/>
    <mergeCell ref="AC83:AC85"/>
    <mergeCell ref="AD83:AD85"/>
    <mergeCell ref="AE83:AE85"/>
    <mergeCell ref="AF83:AF85"/>
    <mergeCell ref="U83:U85"/>
    <mergeCell ref="V83:V85"/>
    <mergeCell ref="W83:W85"/>
    <mergeCell ref="X83:X85"/>
    <mergeCell ref="Y83:Y85"/>
    <mergeCell ref="Z83:Z85"/>
    <mergeCell ref="A83:A85"/>
    <mergeCell ref="P83:P85"/>
    <mergeCell ref="Q83:Q85"/>
    <mergeCell ref="R83:R85"/>
    <mergeCell ref="S83:S85"/>
    <mergeCell ref="T83:T85"/>
    <mergeCell ref="CH78:CH81"/>
    <mergeCell ref="CI78:CI81"/>
    <mergeCell ref="CJ78:CJ81"/>
    <mergeCell ref="CK78:CK81"/>
    <mergeCell ref="CL78:CL81"/>
    <mergeCell ref="BJ78:BJ81"/>
    <mergeCell ref="BK78:BK81"/>
    <mergeCell ref="BL78:BL81"/>
    <mergeCell ref="BM78:BM81"/>
    <mergeCell ref="BN78:BN81"/>
    <mergeCell ref="BO78:BO81"/>
    <mergeCell ref="BD78:BD81"/>
    <mergeCell ref="BE78:BE81"/>
    <mergeCell ref="BF78:BF81"/>
    <mergeCell ref="BG78:BG81"/>
    <mergeCell ref="BH78:BH81"/>
    <mergeCell ref="BI78:BI81"/>
    <mergeCell ref="AX78:AX81"/>
    <mergeCell ref="AY78:AY81"/>
    <mergeCell ref="AZ78:AZ81"/>
    <mergeCell ref="CM78:CM81"/>
    <mergeCell ref="CB78:CB81"/>
    <mergeCell ref="CC78:CC81"/>
    <mergeCell ref="CD78:CD81"/>
    <mergeCell ref="CE78:CE81"/>
    <mergeCell ref="CF78:CF81"/>
    <mergeCell ref="CG78:CG81"/>
    <mergeCell ref="BV78:BV81"/>
    <mergeCell ref="BW78:BW81"/>
    <mergeCell ref="BX78:BX81"/>
    <mergeCell ref="BY78:BY81"/>
    <mergeCell ref="BZ78:BZ81"/>
    <mergeCell ref="CA78:CA81"/>
    <mergeCell ref="BP78:BP81"/>
    <mergeCell ref="BQ78:BQ81"/>
    <mergeCell ref="BR78:BR81"/>
    <mergeCell ref="BS78:BS81"/>
    <mergeCell ref="BT78:BT81"/>
    <mergeCell ref="BU78:BU81"/>
    <mergeCell ref="BA78:BA81"/>
    <mergeCell ref="BB78:BB81"/>
    <mergeCell ref="BC78:BC81"/>
    <mergeCell ref="AR78:AR81"/>
    <mergeCell ref="AS78:AS81"/>
    <mergeCell ref="AT78:AT81"/>
    <mergeCell ref="AU78:AU81"/>
    <mergeCell ref="AV78:AV81"/>
    <mergeCell ref="AW78:AW81"/>
    <mergeCell ref="AL78:AL81"/>
    <mergeCell ref="AM78:AM81"/>
    <mergeCell ref="AN78:AN81"/>
    <mergeCell ref="AO78:AO81"/>
    <mergeCell ref="AP78:AP81"/>
    <mergeCell ref="AQ78:AQ81"/>
    <mergeCell ref="AF78:AF81"/>
    <mergeCell ref="AG78:AG81"/>
    <mergeCell ref="AH78:AH81"/>
    <mergeCell ref="AI78:AI81"/>
    <mergeCell ref="AJ78:AJ81"/>
    <mergeCell ref="AK78:AK81"/>
    <mergeCell ref="Z78:Z81"/>
    <mergeCell ref="AA78:AA81"/>
    <mergeCell ref="AB78:AB81"/>
    <mergeCell ref="AC78:AC81"/>
    <mergeCell ref="AD78:AD81"/>
    <mergeCell ref="AE78:AE81"/>
    <mergeCell ref="T78:T81"/>
    <mergeCell ref="U78:U81"/>
    <mergeCell ref="V78:V81"/>
    <mergeCell ref="W78:W81"/>
    <mergeCell ref="X78:X81"/>
    <mergeCell ref="Y78:Y81"/>
    <mergeCell ref="CI75:CI77"/>
    <mergeCell ref="CJ75:CJ77"/>
    <mergeCell ref="CK75:CK77"/>
    <mergeCell ref="CL75:CL77"/>
    <mergeCell ref="CM75:CM77"/>
    <mergeCell ref="BH75:BH77"/>
    <mergeCell ref="BI75:BI77"/>
    <mergeCell ref="BJ75:BJ77"/>
    <mergeCell ref="AY75:AY77"/>
    <mergeCell ref="AZ75:AZ77"/>
    <mergeCell ref="BA75:BA77"/>
    <mergeCell ref="BB75:BB77"/>
    <mergeCell ref="BC75:BC77"/>
    <mergeCell ref="BD75:BD77"/>
    <mergeCell ref="AS75:AS77"/>
    <mergeCell ref="AT75:AT77"/>
    <mergeCell ref="AU75:AU77"/>
    <mergeCell ref="AV75:AV77"/>
    <mergeCell ref="AW75:AW77"/>
    <mergeCell ref="AX75:AX77"/>
    <mergeCell ref="A78:A81"/>
    <mergeCell ref="P78:P81"/>
    <mergeCell ref="Q78:Q81"/>
    <mergeCell ref="R78:R81"/>
    <mergeCell ref="S78:S81"/>
    <mergeCell ref="CC75:CC77"/>
    <mergeCell ref="CD75:CD77"/>
    <mergeCell ref="CE75:CE77"/>
    <mergeCell ref="CF75:CF77"/>
    <mergeCell ref="CG75:CG77"/>
    <mergeCell ref="CH75:CH77"/>
    <mergeCell ref="BW75:BW77"/>
    <mergeCell ref="BX75:BX77"/>
    <mergeCell ref="BY75:BY77"/>
    <mergeCell ref="BZ75:BZ77"/>
    <mergeCell ref="CA75:CA77"/>
    <mergeCell ref="CB75:CB77"/>
    <mergeCell ref="BQ75:BQ77"/>
    <mergeCell ref="BR75:BR77"/>
    <mergeCell ref="BS75:BS77"/>
    <mergeCell ref="BT75:BT77"/>
    <mergeCell ref="BU75:BU77"/>
    <mergeCell ref="BV75:BV77"/>
    <mergeCell ref="BK75:BK77"/>
    <mergeCell ref="BL75:BL77"/>
    <mergeCell ref="BM75:BM77"/>
    <mergeCell ref="BN75:BN77"/>
    <mergeCell ref="BO75:BO77"/>
    <mergeCell ref="BP75:BP77"/>
    <mergeCell ref="BE75:BE77"/>
    <mergeCell ref="BF75:BF77"/>
    <mergeCell ref="BG75:BG77"/>
    <mergeCell ref="AM75:AM77"/>
    <mergeCell ref="AN75:AN77"/>
    <mergeCell ref="AO75:AO77"/>
    <mergeCell ref="AP75:AP77"/>
    <mergeCell ref="AQ75:AQ77"/>
    <mergeCell ref="AR75:AR77"/>
    <mergeCell ref="AG75:AG77"/>
    <mergeCell ref="AH75:AH77"/>
    <mergeCell ref="AI75:AI77"/>
    <mergeCell ref="AJ75:AJ77"/>
    <mergeCell ref="AK75:AK77"/>
    <mergeCell ref="AL75:AL77"/>
    <mergeCell ref="AA75:AA77"/>
    <mergeCell ref="AB75:AB77"/>
    <mergeCell ref="AC75:AC77"/>
    <mergeCell ref="AD75:AD77"/>
    <mergeCell ref="AE75:AE77"/>
    <mergeCell ref="AF75:AF77"/>
    <mergeCell ref="U75:U77"/>
    <mergeCell ref="V75:V77"/>
    <mergeCell ref="W75:W77"/>
    <mergeCell ref="X75:X77"/>
    <mergeCell ref="Y75:Y77"/>
    <mergeCell ref="Z75:Z77"/>
    <mergeCell ref="A75:A77"/>
    <mergeCell ref="P75:P77"/>
    <mergeCell ref="Q75:Q77"/>
    <mergeCell ref="R75:R77"/>
    <mergeCell ref="S75:S77"/>
    <mergeCell ref="T75:T77"/>
    <mergeCell ref="CH72:CH74"/>
    <mergeCell ref="CI72:CI74"/>
    <mergeCell ref="CJ72:CJ74"/>
    <mergeCell ref="CK72:CK74"/>
    <mergeCell ref="CL72:CL74"/>
    <mergeCell ref="BJ72:BJ74"/>
    <mergeCell ref="BK72:BK74"/>
    <mergeCell ref="BL72:BL74"/>
    <mergeCell ref="BM72:BM74"/>
    <mergeCell ref="BN72:BN74"/>
    <mergeCell ref="BO72:BO74"/>
    <mergeCell ref="BD72:BD74"/>
    <mergeCell ref="BE72:BE74"/>
    <mergeCell ref="BF72:BF74"/>
    <mergeCell ref="BG72:BG74"/>
    <mergeCell ref="BH72:BH74"/>
    <mergeCell ref="BI72:BI74"/>
    <mergeCell ref="AX72:AX74"/>
    <mergeCell ref="AY72:AY74"/>
    <mergeCell ref="AZ72:AZ74"/>
    <mergeCell ref="CM72:CM74"/>
    <mergeCell ref="CB72:CB74"/>
    <mergeCell ref="CC72:CC74"/>
    <mergeCell ref="CD72:CD74"/>
    <mergeCell ref="CE72:CE74"/>
    <mergeCell ref="CF72:CF74"/>
    <mergeCell ref="CG72:CG74"/>
    <mergeCell ref="BV72:BV74"/>
    <mergeCell ref="BW72:BW74"/>
    <mergeCell ref="BX72:BX74"/>
    <mergeCell ref="BY72:BY74"/>
    <mergeCell ref="BZ72:BZ74"/>
    <mergeCell ref="CA72:CA74"/>
    <mergeCell ref="BP72:BP74"/>
    <mergeCell ref="BQ72:BQ74"/>
    <mergeCell ref="BR72:BR74"/>
    <mergeCell ref="BS72:BS74"/>
    <mergeCell ref="BT72:BT74"/>
    <mergeCell ref="BU72:BU74"/>
    <mergeCell ref="BA72:BA74"/>
    <mergeCell ref="BB72:BB74"/>
    <mergeCell ref="BC72:BC74"/>
    <mergeCell ref="AR72:AR74"/>
    <mergeCell ref="AS72:AS74"/>
    <mergeCell ref="AT72:AT74"/>
    <mergeCell ref="AU72:AU74"/>
    <mergeCell ref="AV72:AV74"/>
    <mergeCell ref="AW72:AW74"/>
    <mergeCell ref="AL72:AL74"/>
    <mergeCell ref="AM72:AM74"/>
    <mergeCell ref="AN72:AN74"/>
    <mergeCell ref="AO72:AO74"/>
    <mergeCell ref="AP72:AP74"/>
    <mergeCell ref="AQ72:AQ74"/>
    <mergeCell ref="AF72:AF74"/>
    <mergeCell ref="AG72:AG74"/>
    <mergeCell ref="AH72:AH74"/>
    <mergeCell ref="AI72:AI74"/>
    <mergeCell ref="AJ72:AJ74"/>
    <mergeCell ref="AK72:AK74"/>
    <mergeCell ref="Z72:Z74"/>
    <mergeCell ref="AA72:AA74"/>
    <mergeCell ref="AB72:AB74"/>
    <mergeCell ref="AC72:AC74"/>
    <mergeCell ref="AD72:AD74"/>
    <mergeCell ref="AE72:AE74"/>
    <mergeCell ref="T72:T74"/>
    <mergeCell ref="U72:U74"/>
    <mergeCell ref="V72:V74"/>
    <mergeCell ref="W72:W74"/>
    <mergeCell ref="X72:X74"/>
    <mergeCell ref="Y72:Y74"/>
    <mergeCell ref="CI67:CI69"/>
    <mergeCell ref="CJ67:CJ69"/>
    <mergeCell ref="CK67:CK69"/>
    <mergeCell ref="CL67:CL69"/>
    <mergeCell ref="CM67:CM69"/>
    <mergeCell ref="BH67:BH69"/>
    <mergeCell ref="BI67:BI69"/>
    <mergeCell ref="BJ67:BJ69"/>
    <mergeCell ref="AY67:AY69"/>
    <mergeCell ref="AZ67:AZ69"/>
    <mergeCell ref="BA67:BA69"/>
    <mergeCell ref="BB67:BB69"/>
    <mergeCell ref="BC67:BC69"/>
    <mergeCell ref="BD67:BD69"/>
    <mergeCell ref="AS67:AS69"/>
    <mergeCell ref="AT67:AT69"/>
    <mergeCell ref="AU67:AU69"/>
    <mergeCell ref="AV67:AV69"/>
    <mergeCell ref="AW67:AW69"/>
    <mergeCell ref="AX67:AX69"/>
    <mergeCell ref="A72:A74"/>
    <mergeCell ref="P72:P74"/>
    <mergeCell ref="Q72:Q74"/>
    <mergeCell ref="R72:R74"/>
    <mergeCell ref="S72:S74"/>
    <mergeCell ref="CC67:CC69"/>
    <mergeCell ref="CD67:CD69"/>
    <mergeCell ref="CE67:CE69"/>
    <mergeCell ref="CF67:CF69"/>
    <mergeCell ref="CG67:CG69"/>
    <mergeCell ref="CH67:CH69"/>
    <mergeCell ref="BW67:BW69"/>
    <mergeCell ref="BX67:BX69"/>
    <mergeCell ref="BY67:BY69"/>
    <mergeCell ref="BZ67:BZ69"/>
    <mergeCell ref="CA67:CA69"/>
    <mergeCell ref="CB67:CB69"/>
    <mergeCell ref="BQ67:BQ69"/>
    <mergeCell ref="BR67:BR69"/>
    <mergeCell ref="BS67:BS69"/>
    <mergeCell ref="BT67:BT69"/>
    <mergeCell ref="BU67:BU69"/>
    <mergeCell ref="BV67:BV69"/>
    <mergeCell ref="BK67:BK69"/>
    <mergeCell ref="BL67:BL69"/>
    <mergeCell ref="BM67:BM69"/>
    <mergeCell ref="BN67:BN69"/>
    <mergeCell ref="BO67:BO69"/>
    <mergeCell ref="BP67:BP69"/>
    <mergeCell ref="BE67:BE69"/>
    <mergeCell ref="BF67:BF69"/>
    <mergeCell ref="BG67:BG69"/>
    <mergeCell ref="AM67:AM69"/>
    <mergeCell ref="AN67:AN69"/>
    <mergeCell ref="AO67:AO69"/>
    <mergeCell ref="AP67:AP69"/>
    <mergeCell ref="AQ67:AQ69"/>
    <mergeCell ref="AR67:AR69"/>
    <mergeCell ref="AG67:AG69"/>
    <mergeCell ref="AH67:AH69"/>
    <mergeCell ref="AI67:AI69"/>
    <mergeCell ref="AJ67:AJ69"/>
    <mergeCell ref="AK67:AK69"/>
    <mergeCell ref="AL67:AL69"/>
    <mergeCell ref="AA67:AA69"/>
    <mergeCell ref="AB67:AB69"/>
    <mergeCell ref="AC67:AC69"/>
    <mergeCell ref="AD67:AD69"/>
    <mergeCell ref="AE67:AE69"/>
    <mergeCell ref="AF67:AF69"/>
    <mergeCell ref="U67:U69"/>
    <mergeCell ref="V67:V69"/>
    <mergeCell ref="W67:W69"/>
    <mergeCell ref="X67:X69"/>
    <mergeCell ref="Y67:Y69"/>
    <mergeCell ref="Z67:Z69"/>
    <mergeCell ref="A67:A69"/>
    <mergeCell ref="P67:P69"/>
    <mergeCell ref="Q67:Q69"/>
    <mergeCell ref="R67:R69"/>
    <mergeCell ref="S67:S69"/>
    <mergeCell ref="T67:T69"/>
    <mergeCell ref="CH65:CH66"/>
    <mergeCell ref="CI65:CI66"/>
    <mergeCell ref="CJ65:CJ66"/>
    <mergeCell ref="CK65:CK66"/>
    <mergeCell ref="CL65:CL66"/>
    <mergeCell ref="BJ65:BJ66"/>
    <mergeCell ref="BK65:BK66"/>
    <mergeCell ref="BL65:BL66"/>
    <mergeCell ref="BM65:BM66"/>
    <mergeCell ref="BN65:BN66"/>
    <mergeCell ref="BO65:BO66"/>
    <mergeCell ref="BD65:BD66"/>
    <mergeCell ref="BE65:BE66"/>
    <mergeCell ref="BF65:BF66"/>
    <mergeCell ref="BG65:BG66"/>
    <mergeCell ref="BH65:BH66"/>
    <mergeCell ref="BI65:BI66"/>
    <mergeCell ref="AX65:AX66"/>
    <mergeCell ref="AY65:AY66"/>
    <mergeCell ref="AZ65:AZ66"/>
    <mergeCell ref="CM65:CM66"/>
    <mergeCell ref="CB65:CB66"/>
    <mergeCell ref="CC65:CC66"/>
    <mergeCell ref="CD65:CD66"/>
    <mergeCell ref="CE65:CE66"/>
    <mergeCell ref="CF65:CF66"/>
    <mergeCell ref="CG65:CG66"/>
    <mergeCell ref="BV65:BV66"/>
    <mergeCell ref="BW65:BW66"/>
    <mergeCell ref="BX65:BX66"/>
    <mergeCell ref="BY65:BY66"/>
    <mergeCell ref="BZ65:BZ66"/>
    <mergeCell ref="CA65:CA66"/>
    <mergeCell ref="BP65:BP66"/>
    <mergeCell ref="BQ65:BQ66"/>
    <mergeCell ref="BR65:BR66"/>
    <mergeCell ref="BS65:BS66"/>
    <mergeCell ref="BT65:BT66"/>
    <mergeCell ref="BU65:BU66"/>
    <mergeCell ref="BA65:BA66"/>
    <mergeCell ref="BB65:BB66"/>
    <mergeCell ref="BC65:BC66"/>
    <mergeCell ref="AR65:AR66"/>
    <mergeCell ref="AS65:AS66"/>
    <mergeCell ref="AT65:AT66"/>
    <mergeCell ref="AU65:AU66"/>
    <mergeCell ref="AV65:AV66"/>
    <mergeCell ref="AW65:AW66"/>
    <mergeCell ref="AL65:AL66"/>
    <mergeCell ref="AM65:AM66"/>
    <mergeCell ref="AN65:AN66"/>
    <mergeCell ref="AO65:AO66"/>
    <mergeCell ref="AP65:AP66"/>
    <mergeCell ref="AQ65:AQ66"/>
    <mergeCell ref="AF65:AF66"/>
    <mergeCell ref="AG65:AG66"/>
    <mergeCell ref="AH65:AH66"/>
    <mergeCell ref="AI65:AI66"/>
    <mergeCell ref="AJ65:AJ66"/>
    <mergeCell ref="AK65:AK66"/>
    <mergeCell ref="Z65:Z66"/>
    <mergeCell ref="AA65:AA66"/>
    <mergeCell ref="AB65:AB66"/>
    <mergeCell ref="AC65:AC66"/>
    <mergeCell ref="AD65:AD66"/>
    <mergeCell ref="AE65:AE66"/>
    <mergeCell ref="T65:T66"/>
    <mergeCell ref="U65:U66"/>
    <mergeCell ref="V65:V66"/>
    <mergeCell ref="W65:W66"/>
    <mergeCell ref="X65:X66"/>
    <mergeCell ref="Y65:Y66"/>
    <mergeCell ref="CI62:CI64"/>
    <mergeCell ref="CJ62:CJ64"/>
    <mergeCell ref="CK62:CK64"/>
    <mergeCell ref="CL62:CL64"/>
    <mergeCell ref="CM62:CM64"/>
    <mergeCell ref="BH62:BH64"/>
    <mergeCell ref="BI62:BI64"/>
    <mergeCell ref="BJ62:BJ64"/>
    <mergeCell ref="AY62:AY64"/>
    <mergeCell ref="AZ62:AZ64"/>
    <mergeCell ref="BA62:BA64"/>
    <mergeCell ref="BB62:BB64"/>
    <mergeCell ref="BC62:BC64"/>
    <mergeCell ref="BD62:BD64"/>
    <mergeCell ref="AS62:AS64"/>
    <mergeCell ref="AT62:AT64"/>
    <mergeCell ref="AU62:AU64"/>
    <mergeCell ref="AV62:AV64"/>
    <mergeCell ref="AW62:AW64"/>
    <mergeCell ref="AX62:AX64"/>
    <mergeCell ref="A65:A66"/>
    <mergeCell ref="P65:P66"/>
    <mergeCell ref="Q65:Q66"/>
    <mergeCell ref="R65:R66"/>
    <mergeCell ref="S65:S66"/>
    <mergeCell ref="CC62:CC64"/>
    <mergeCell ref="CD62:CD64"/>
    <mergeCell ref="CE62:CE64"/>
    <mergeCell ref="CF62:CF64"/>
    <mergeCell ref="CG62:CG64"/>
    <mergeCell ref="CH62:CH64"/>
    <mergeCell ref="BW62:BW64"/>
    <mergeCell ref="BX62:BX64"/>
    <mergeCell ref="BY62:BY64"/>
    <mergeCell ref="BZ62:BZ64"/>
    <mergeCell ref="CA62:CA64"/>
    <mergeCell ref="CB62:CB64"/>
    <mergeCell ref="BQ62:BQ64"/>
    <mergeCell ref="BR62:BR64"/>
    <mergeCell ref="BS62:BS64"/>
    <mergeCell ref="BT62:BT64"/>
    <mergeCell ref="BU62:BU64"/>
    <mergeCell ref="BV62:BV64"/>
    <mergeCell ref="BK62:BK64"/>
    <mergeCell ref="BL62:BL64"/>
    <mergeCell ref="BM62:BM64"/>
    <mergeCell ref="BN62:BN64"/>
    <mergeCell ref="BO62:BO64"/>
    <mergeCell ref="BP62:BP64"/>
    <mergeCell ref="BE62:BE64"/>
    <mergeCell ref="BF62:BF64"/>
    <mergeCell ref="BG62:BG64"/>
    <mergeCell ref="AM62:AM64"/>
    <mergeCell ref="AN62:AN64"/>
    <mergeCell ref="AO62:AO64"/>
    <mergeCell ref="AP62:AP64"/>
    <mergeCell ref="AQ62:AQ64"/>
    <mergeCell ref="AR62:AR64"/>
    <mergeCell ref="AG62:AG64"/>
    <mergeCell ref="AH62:AH64"/>
    <mergeCell ref="AI62:AI64"/>
    <mergeCell ref="AJ62:AJ64"/>
    <mergeCell ref="AK62:AK64"/>
    <mergeCell ref="AL62:AL64"/>
    <mergeCell ref="AA62:AA64"/>
    <mergeCell ref="AB62:AB64"/>
    <mergeCell ref="AC62:AC64"/>
    <mergeCell ref="AD62:AD64"/>
    <mergeCell ref="AE62:AE64"/>
    <mergeCell ref="AF62:AF64"/>
    <mergeCell ref="U62:U64"/>
    <mergeCell ref="V62:V64"/>
    <mergeCell ref="W62:W64"/>
    <mergeCell ref="X62:X64"/>
    <mergeCell ref="Y62:Y64"/>
    <mergeCell ref="Z62:Z64"/>
    <mergeCell ref="A62:A64"/>
    <mergeCell ref="P62:P64"/>
    <mergeCell ref="Q62:Q64"/>
    <mergeCell ref="R62:R64"/>
    <mergeCell ref="S62:S64"/>
    <mergeCell ref="T62:T64"/>
    <mergeCell ref="CH57:CH61"/>
    <mergeCell ref="CI57:CI61"/>
    <mergeCell ref="CJ57:CJ61"/>
    <mergeCell ref="CK57:CK61"/>
    <mergeCell ref="CL57:CL61"/>
    <mergeCell ref="BJ57:BJ61"/>
    <mergeCell ref="BK57:BK61"/>
    <mergeCell ref="BL57:BL61"/>
    <mergeCell ref="BM57:BM61"/>
    <mergeCell ref="BN57:BN61"/>
    <mergeCell ref="BO57:BO61"/>
    <mergeCell ref="BD57:BD61"/>
    <mergeCell ref="BE57:BE61"/>
    <mergeCell ref="BF57:BF61"/>
    <mergeCell ref="BG57:BG61"/>
    <mergeCell ref="BH57:BH61"/>
    <mergeCell ref="BI57:BI61"/>
    <mergeCell ref="AX57:AX61"/>
    <mergeCell ref="AY57:AY61"/>
    <mergeCell ref="AZ57:AZ61"/>
    <mergeCell ref="CM57:CM61"/>
    <mergeCell ref="CB57:CB61"/>
    <mergeCell ref="CC57:CC61"/>
    <mergeCell ref="CD57:CD61"/>
    <mergeCell ref="CE57:CE61"/>
    <mergeCell ref="CF57:CF61"/>
    <mergeCell ref="CG57:CG61"/>
    <mergeCell ref="BV57:BV61"/>
    <mergeCell ref="BW57:BW61"/>
    <mergeCell ref="BX57:BX61"/>
    <mergeCell ref="BY57:BY61"/>
    <mergeCell ref="BZ57:BZ61"/>
    <mergeCell ref="CA57:CA61"/>
    <mergeCell ref="BP57:BP61"/>
    <mergeCell ref="BQ57:BQ61"/>
    <mergeCell ref="BR57:BR61"/>
    <mergeCell ref="BS57:BS61"/>
    <mergeCell ref="BT57:BT61"/>
    <mergeCell ref="BU57:BU61"/>
    <mergeCell ref="BA57:BA61"/>
    <mergeCell ref="BB57:BB61"/>
    <mergeCell ref="BC57:BC61"/>
    <mergeCell ref="AR57:AR61"/>
    <mergeCell ref="AS57:AS61"/>
    <mergeCell ref="AT57:AT61"/>
    <mergeCell ref="AU57:AU61"/>
    <mergeCell ref="AV57:AV61"/>
    <mergeCell ref="AW57:AW61"/>
    <mergeCell ref="AL57:AL61"/>
    <mergeCell ref="AM57:AM61"/>
    <mergeCell ref="AN57:AN61"/>
    <mergeCell ref="AO57:AO61"/>
    <mergeCell ref="AP57:AP61"/>
    <mergeCell ref="AQ57:AQ61"/>
    <mergeCell ref="AF57:AF61"/>
    <mergeCell ref="AG57:AG61"/>
    <mergeCell ref="AH57:AH61"/>
    <mergeCell ref="AI57:AI61"/>
    <mergeCell ref="AJ57:AJ61"/>
    <mergeCell ref="AK57:AK61"/>
    <mergeCell ref="Z57:Z61"/>
    <mergeCell ref="AA57:AA61"/>
    <mergeCell ref="AB57:AB61"/>
    <mergeCell ref="AC57:AC61"/>
    <mergeCell ref="AD57:AD61"/>
    <mergeCell ref="AE57:AE61"/>
    <mergeCell ref="T57:T61"/>
    <mergeCell ref="U57:U61"/>
    <mergeCell ref="V57:V61"/>
    <mergeCell ref="W57:W61"/>
    <mergeCell ref="X57:X61"/>
    <mergeCell ref="Y57:Y61"/>
    <mergeCell ref="CI50:CI56"/>
    <mergeCell ref="CJ50:CJ56"/>
    <mergeCell ref="CK50:CK56"/>
    <mergeCell ref="CL50:CL56"/>
    <mergeCell ref="CM50:CM56"/>
    <mergeCell ref="BH50:BH56"/>
    <mergeCell ref="BI50:BI56"/>
    <mergeCell ref="BJ50:BJ56"/>
    <mergeCell ref="AY50:AY56"/>
    <mergeCell ref="AZ50:AZ56"/>
    <mergeCell ref="BA50:BA56"/>
    <mergeCell ref="BB50:BB56"/>
    <mergeCell ref="BC50:BC56"/>
    <mergeCell ref="BD50:BD56"/>
    <mergeCell ref="AS50:AS56"/>
    <mergeCell ref="AT50:AT56"/>
    <mergeCell ref="AU50:AU56"/>
    <mergeCell ref="AV50:AV56"/>
    <mergeCell ref="AW50:AW56"/>
    <mergeCell ref="AX50:AX56"/>
    <mergeCell ref="A57:A61"/>
    <mergeCell ref="P57:P61"/>
    <mergeCell ref="Q57:Q61"/>
    <mergeCell ref="R57:R61"/>
    <mergeCell ref="S57:S61"/>
    <mergeCell ref="CC50:CC56"/>
    <mergeCell ref="CD50:CD56"/>
    <mergeCell ref="CE50:CE56"/>
    <mergeCell ref="CF50:CF56"/>
    <mergeCell ref="CG50:CG56"/>
    <mergeCell ref="CH50:CH56"/>
    <mergeCell ref="BW50:BW56"/>
    <mergeCell ref="BX50:BX56"/>
    <mergeCell ref="BY50:BY56"/>
    <mergeCell ref="BZ50:BZ56"/>
    <mergeCell ref="CA50:CA56"/>
    <mergeCell ref="CB50:CB56"/>
    <mergeCell ref="BQ50:BQ56"/>
    <mergeCell ref="BR50:BR56"/>
    <mergeCell ref="BS50:BS56"/>
    <mergeCell ref="BT50:BT56"/>
    <mergeCell ref="BU50:BU56"/>
    <mergeCell ref="BV50:BV56"/>
    <mergeCell ref="BK50:BK56"/>
    <mergeCell ref="BL50:BL56"/>
    <mergeCell ref="BM50:BM56"/>
    <mergeCell ref="BN50:BN56"/>
    <mergeCell ref="BO50:BO56"/>
    <mergeCell ref="BP50:BP56"/>
    <mergeCell ref="BE50:BE56"/>
    <mergeCell ref="BF50:BF56"/>
    <mergeCell ref="BG50:BG56"/>
    <mergeCell ref="AM50:AM56"/>
    <mergeCell ref="AN50:AN56"/>
    <mergeCell ref="AO50:AO56"/>
    <mergeCell ref="AP50:AP56"/>
    <mergeCell ref="AQ50:AQ56"/>
    <mergeCell ref="AR50:AR56"/>
    <mergeCell ref="AG50:AG56"/>
    <mergeCell ref="AH50:AH56"/>
    <mergeCell ref="AI50:AI56"/>
    <mergeCell ref="AJ50:AJ56"/>
    <mergeCell ref="AK50:AK56"/>
    <mergeCell ref="AL50:AL56"/>
    <mergeCell ref="AA50:AA56"/>
    <mergeCell ref="AB50:AB56"/>
    <mergeCell ref="AC50:AC56"/>
    <mergeCell ref="AD50:AD56"/>
    <mergeCell ref="AE50:AE56"/>
    <mergeCell ref="AF50:AF56"/>
    <mergeCell ref="U50:U56"/>
    <mergeCell ref="V50:V56"/>
    <mergeCell ref="W50:W56"/>
    <mergeCell ref="X50:X56"/>
    <mergeCell ref="Y50:Y56"/>
    <mergeCell ref="Z50:Z56"/>
    <mergeCell ref="A50:A56"/>
    <mergeCell ref="P50:P56"/>
    <mergeCell ref="Q50:Q56"/>
    <mergeCell ref="R50:R56"/>
    <mergeCell ref="S50:S56"/>
    <mergeCell ref="T50:T56"/>
    <mergeCell ref="CH48:CH49"/>
    <mergeCell ref="CI48:CI49"/>
    <mergeCell ref="CJ48:CJ49"/>
    <mergeCell ref="CK48:CK49"/>
    <mergeCell ref="CL48:CL49"/>
    <mergeCell ref="BJ48:BJ49"/>
    <mergeCell ref="BK48:BK49"/>
    <mergeCell ref="BL48:BL49"/>
    <mergeCell ref="BM48:BM49"/>
    <mergeCell ref="BN48:BN49"/>
    <mergeCell ref="BO48:BO49"/>
    <mergeCell ref="BD48:BD49"/>
    <mergeCell ref="BE48:BE49"/>
    <mergeCell ref="BF48:BF49"/>
    <mergeCell ref="BG48:BG49"/>
    <mergeCell ref="BH48:BH49"/>
    <mergeCell ref="BI48:BI49"/>
    <mergeCell ref="AX48:AX49"/>
    <mergeCell ref="AY48:AY49"/>
    <mergeCell ref="AZ48:AZ49"/>
    <mergeCell ref="CM48:CM49"/>
    <mergeCell ref="CB48:CB49"/>
    <mergeCell ref="CC48:CC49"/>
    <mergeCell ref="CD48:CD49"/>
    <mergeCell ref="CE48:CE49"/>
    <mergeCell ref="CF48:CF49"/>
    <mergeCell ref="CG48:CG49"/>
    <mergeCell ref="BV48:BV49"/>
    <mergeCell ref="BW48:BW49"/>
    <mergeCell ref="BX48:BX49"/>
    <mergeCell ref="BY48:BY49"/>
    <mergeCell ref="BZ48:BZ49"/>
    <mergeCell ref="CA48:CA49"/>
    <mergeCell ref="BP48:BP49"/>
    <mergeCell ref="BQ48:BQ49"/>
    <mergeCell ref="BR48:BR49"/>
    <mergeCell ref="BS48:BS49"/>
    <mergeCell ref="BT48:BT49"/>
    <mergeCell ref="BU48:BU49"/>
    <mergeCell ref="BA48:BA49"/>
    <mergeCell ref="BB48:BB49"/>
    <mergeCell ref="BC48:BC49"/>
    <mergeCell ref="AR48:AR49"/>
    <mergeCell ref="AS48:AS49"/>
    <mergeCell ref="AT48:AT49"/>
    <mergeCell ref="AU48:AU49"/>
    <mergeCell ref="AV48:AV49"/>
    <mergeCell ref="AW48:AW49"/>
    <mergeCell ref="AL48:AL49"/>
    <mergeCell ref="AM48:AM49"/>
    <mergeCell ref="AN48:AN49"/>
    <mergeCell ref="AO48:AO49"/>
    <mergeCell ref="AP48:AP49"/>
    <mergeCell ref="AQ48:AQ49"/>
    <mergeCell ref="AF48:AF49"/>
    <mergeCell ref="AG48:AG49"/>
    <mergeCell ref="AH48:AH49"/>
    <mergeCell ref="AI48:AI49"/>
    <mergeCell ref="AJ48:AJ49"/>
    <mergeCell ref="AK48:AK49"/>
    <mergeCell ref="Z48:Z49"/>
    <mergeCell ref="AA48:AA49"/>
    <mergeCell ref="AB48:AB49"/>
    <mergeCell ref="AC48:AC49"/>
    <mergeCell ref="AD48:AD49"/>
    <mergeCell ref="AE48:AE49"/>
    <mergeCell ref="T48:T49"/>
    <mergeCell ref="U48:U49"/>
    <mergeCell ref="V48:V49"/>
    <mergeCell ref="W48:W49"/>
    <mergeCell ref="X48:X49"/>
    <mergeCell ref="Y48:Y49"/>
    <mergeCell ref="CI43:CI45"/>
    <mergeCell ref="CJ43:CJ45"/>
    <mergeCell ref="CK43:CK45"/>
    <mergeCell ref="CL43:CL45"/>
    <mergeCell ref="CM43:CM45"/>
    <mergeCell ref="BH43:BH45"/>
    <mergeCell ref="BI43:BI45"/>
    <mergeCell ref="BJ43:BJ45"/>
    <mergeCell ref="AY43:AY45"/>
    <mergeCell ref="AZ43:AZ45"/>
    <mergeCell ref="BA43:BA45"/>
    <mergeCell ref="BB43:BB45"/>
    <mergeCell ref="BC43:BC45"/>
    <mergeCell ref="BD43:BD45"/>
    <mergeCell ref="AS43:AS45"/>
    <mergeCell ref="AT43:AT45"/>
    <mergeCell ref="AU43:AU45"/>
    <mergeCell ref="AV43:AV45"/>
    <mergeCell ref="AW43:AW45"/>
    <mergeCell ref="AX43:AX45"/>
    <mergeCell ref="A48:A49"/>
    <mergeCell ref="P48:P49"/>
    <mergeCell ref="Q48:Q49"/>
    <mergeCell ref="R48:R49"/>
    <mergeCell ref="S48:S49"/>
    <mergeCell ref="CC43:CC45"/>
    <mergeCell ref="CD43:CD45"/>
    <mergeCell ref="CE43:CE45"/>
    <mergeCell ref="CF43:CF45"/>
    <mergeCell ref="CG43:CG45"/>
    <mergeCell ref="CH43:CH45"/>
    <mergeCell ref="BW43:BW45"/>
    <mergeCell ref="BX43:BX45"/>
    <mergeCell ref="BY43:BY45"/>
    <mergeCell ref="BZ43:BZ45"/>
    <mergeCell ref="CA43:CA45"/>
    <mergeCell ref="CB43:CB45"/>
    <mergeCell ref="BQ43:BQ45"/>
    <mergeCell ref="BR43:BR45"/>
    <mergeCell ref="BS43:BS45"/>
    <mergeCell ref="BT43:BT45"/>
    <mergeCell ref="BU43:BU45"/>
    <mergeCell ref="BV43:BV45"/>
    <mergeCell ref="BK43:BK45"/>
    <mergeCell ref="BL43:BL45"/>
    <mergeCell ref="BM43:BM45"/>
    <mergeCell ref="BN43:BN45"/>
    <mergeCell ref="BO43:BO45"/>
    <mergeCell ref="BP43:BP45"/>
    <mergeCell ref="BE43:BE45"/>
    <mergeCell ref="BF43:BF45"/>
    <mergeCell ref="BG43:BG45"/>
    <mergeCell ref="AM43:AM45"/>
    <mergeCell ref="AN43:AN45"/>
    <mergeCell ref="AO43:AO45"/>
    <mergeCell ref="AP43:AP45"/>
    <mergeCell ref="AQ43:AQ45"/>
    <mergeCell ref="AR43:AR45"/>
    <mergeCell ref="AG43:AG45"/>
    <mergeCell ref="AH43:AH45"/>
    <mergeCell ref="AI43:AI45"/>
    <mergeCell ref="AJ43:AJ45"/>
    <mergeCell ref="AK43:AK45"/>
    <mergeCell ref="AL43:AL45"/>
    <mergeCell ref="AA43:AA45"/>
    <mergeCell ref="AB43:AB45"/>
    <mergeCell ref="AC43:AC45"/>
    <mergeCell ref="AD43:AD45"/>
    <mergeCell ref="AE43:AE45"/>
    <mergeCell ref="AF43:AF45"/>
    <mergeCell ref="U43:U45"/>
    <mergeCell ref="V43:V45"/>
    <mergeCell ref="W43:W45"/>
    <mergeCell ref="X43:X45"/>
    <mergeCell ref="Y43:Y45"/>
    <mergeCell ref="Z43:Z45"/>
    <mergeCell ref="A43:A45"/>
    <mergeCell ref="P43:P45"/>
    <mergeCell ref="Q43:Q45"/>
    <mergeCell ref="R43:R45"/>
    <mergeCell ref="S43:S45"/>
    <mergeCell ref="T43:T45"/>
    <mergeCell ref="CH37:CH39"/>
    <mergeCell ref="CI37:CI39"/>
    <mergeCell ref="CJ37:CJ39"/>
    <mergeCell ref="CK37:CK39"/>
    <mergeCell ref="CL37:CL39"/>
    <mergeCell ref="BJ37:BJ39"/>
    <mergeCell ref="BK37:BK39"/>
    <mergeCell ref="BL37:BL39"/>
    <mergeCell ref="BM37:BM39"/>
    <mergeCell ref="BN37:BN39"/>
    <mergeCell ref="BO37:BO39"/>
    <mergeCell ref="BD37:BD39"/>
    <mergeCell ref="BE37:BE39"/>
    <mergeCell ref="BF37:BF39"/>
    <mergeCell ref="BG37:BG39"/>
    <mergeCell ref="BH37:BH39"/>
    <mergeCell ref="BI37:BI39"/>
    <mergeCell ref="AX37:AX39"/>
    <mergeCell ref="AY37:AY39"/>
    <mergeCell ref="AZ37:AZ39"/>
    <mergeCell ref="CM37:CM39"/>
    <mergeCell ref="CB37:CB39"/>
    <mergeCell ref="CC37:CC39"/>
    <mergeCell ref="CD37:CD39"/>
    <mergeCell ref="CE37:CE39"/>
    <mergeCell ref="CF37:CF39"/>
    <mergeCell ref="CG37:CG39"/>
    <mergeCell ref="BV37:BV39"/>
    <mergeCell ref="BW37:BW39"/>
    <mergeCell ref="BX37:BX39"/>
    <mergeCell ref="BY37:BY39"/>
    <mergeCell ref="BZ37:BZ39"/>
    <mergeCell ref="CA37:CA39"/>
    <mergeCell ref="BP37:BP39"/>
    <mergeCell ref="BQ37:BQ39"/>
    <mergeCell ref="BR37:BR39"/>
    <mergeCell ref="BS37:BS39"/>
    <mergeCell ref="BT37:BT39"/>
    <mergeCell ref="BU37:BU39"/>
    <mergeCell ref="BA37:BA39"/>
    <mergeCell ref="BB37:BB39"/>
    <mergeCell ref="BC37:BC39"/>
    <mergeCell ref="AR37:AR39"/>
    <mergeCell ref="AS37:AS39"/>
    <mergeCell ref="AT37:AT39"/>
    <mergeCell ref="AU37:AU39"/>
    <mergeCell ref="AV37:AV39"/>
    <mergeCell ref="AW37:AW39"/>
    <mergeCell ref="AL37:AL39"/>
    <mergeCell ref="AM37:AM39"/>
    <mergeCell ref="AN37:AN39"/>
    <mergeCell ref="AO37:AO39"/>
    <mergeCell ref="AP37:AP39"/>
    <mergeCell ref="AQ37:AQ39"/>
    <mergeCell ref="AF37:AF39"/>
    <mergeCell ref="AG37:AG39"/>
    <mergeCell ref="AH37:AH39"/>
    <mergeCell ref="AI37:AI39"/>
    <mergeCell ref="AJ37:AJ39"/>
    <mergeCell ref="AK37:AK39"/>
    <mergeCell ref="Z37:Z39"/>
    <mergeCell ref="AA37:AA39"/>
    <mergeCell ref="AB37:AB39"/>
    <mergeCell ref="AC37:AC39"/>
    <mergeCell ref="AD37:AD39"/>
    <mergeCell ref="AE37:AE39"/>
    <mergeCell ref="T37:T39"/>
    <mergeCell ref="U37:U39"/>
    <mergeCell ref="V37:V39"/>
    <mergeCell ref="W37:W39"/>
    <mergeCell ref="X37:X39"/>
    <mergeCell ref="Y37:Y39"/>
    <mergeCell ref="CI33:CI36"/>
    <mergeCell ref="CJ33:CJ36"/>
    <mergeCell ref="CK33:CK36"/>
    <mergeCell ref="CL33:CL36"/>
    <mergeCell ref="CM33:CM36"/>
    <mergeCell ref="BH33:BH36"/>
    <mergeCell ref="BI33:BI36"/>
    <mergeCell ref="BJ33:BJ36"/>
    <mergeCell ref="AY33:AY36"/>
    <mergeCell ref="AZ33:AZ36"/>
    <mergeCell ref="BA33:BA36"/>
    <mergeCell ref="BB33:BB36"/>
    <mergeCell ref="BC33:BC36"/>
    <mergeCell ref="BD33:BD36"/>
    <mergeCell ref="AS33:AS36"/>
    <mergeCell ref="AT33:AT36"/>
    <mergeCell ref="AU33:AU36"/>
    <mergeCell ref="AV33:AV36"/>
    <mergeCell ref="AW33:AW36"/>
    <mergeCell ref="AX33:AX36"/>
    <mergeCell ref="A37:A39"/>
    <mergeCell ref="P37:P39"/>
    <mergeCell ref="Q37:Q39"/>
    <mergeCell ref="R37:R39"/>
    <mergeCell ref="S37:S39"/>
    <mergeCell ref="CC33:CC36"/>
    <mergeCell ref="CD33:CD36"/>
    <mergeCell ref="CE33:CE36"/>
    <mergeCell ref="CF33:CF36"/>
    <mergeCell ref="CG33:CG36"/>
    <mergeCell ref="CH33:CH36"/>
    <mergeCell ref="BW33:BW36"/>
    <mergeCell ref="BX33:BX36"/>
    <mergeCell ref="BY33:BY36"/>
    <mergeCell ref="BZ33:BZ36"/>
    <mergeCell ref="CA33:CA36"/>
    <mergeCell ref="CB33:CB36"/>
    <mergeCell ref="BQ33:BQ36"/>
    <mergeCell ref="BR33:BR36"/>
    <mergeCell ref="BS33:BS36"/>
    <mergeCell ref="BT33:BT36"/>
    <mergeCell ref="BU33:BU36"/>
    <mergeCell ref="BV33:BV36"/>
    <mergeCell ref="BK33:BK36"/>
    <mergeCell ref="BL33:BL36"/>
    <mergeCell ref="BM33:BM36"/>
    <mergeCell ref="BN33:BN36"/>
    <mergeCell ref="BO33:BO36"/>
    <mergeCell ref="BP33:BP36"/>
    <mergeCell ref="BE33:BE36"/>
    <mergeCell ref="BF33:BF36"/>
    <mergeCell ref="BG33:BG36"/>
    <mergeCell ref="AM33:AM36"/>
    <mergeCell ref="AN33:AN36"/>
    <mergeCell ref="AO33:AO36"/>
    <mergeCell ref="AP33:AP36"/>
    <mergeCell ref="AQ33:AQ36"/>
    <mergeCell ref="AR33:AR36"/>
    <mergeCell ref="AG33:AG36"/>
    <mergeCell ref="AH33:AH36"/>
    <mergeCell ref="AI33:AI36"/>
    <mergeCell ref="AJ33:AJ36"/>
    <mergeCell ref="AK33:AK36"/>
    <mergeCell ref="AL33:AL36"/>
    <mergeCell ref="AA33:AA36"/>
    <mergeCell ref="AB33:AB36"/>
    <mergeCell ref="AC33:AC36"/>
    <mergeCell ref="AD33:AD36"/>
    <mergeCell ref="AE33:AE36"/>
    <mergeCell ref="AF33:AF36"/>
    <mergeCell ref="U33:U36"/>
    <mergeCell ref="V33:V36"/>
    <mergeCell ref="W33:W36"/>
    <mergeCell ref="X33:X36"/>
    <mergeCell ref="Y33:Y36"/>
    <mergeCell ref="Z33:Z36"/>
    <mergeCell ref="A33:A36"/>
    <mergeCell ref="P33:P36"/>
    <mergeCell ref="Q33:Q36"/>
    <mergeCell ref="R33:R36"/>
    <mergeCell ref="S33:S36"/>
    <mergeCell ref="T33:T36"/>
    <mergeCell ref="CH31:CH32"/>
    <mergeCell ref="CI31:CI32"/>
    <mergeCell ref="CJ31:CJ32"/>
    <mergeCell ref="CK31:CK32"/>
    <mergeCell ref="CL31:CL32"/>
    <mergeCell ref="BJ31:BJ32"/>
    <mergeCell ref="BK31:BK32"/>
    <mergeCell ref="BL31:BL32"/>
    <mergeCell ref="BM31:BM32"/>
    <mergeCell ref="BN31:BN32"/>
    <mergeCell ref="BO31:BO32"/>
    <mergeCell ref="BD31:BD32"/>
    <mergeCell ref="BE31:BE32"/>
    <mergeCell ref="BF31:BF32"/>
    <mergeCell ref="BG31:BG32"/>
    <mergeCell ref="BH31:BH32"/>
    <mergeCell ref="BI31:BI32"/>
    <mergeCell ref="AX31:AX32"/>
    <mergeCell ref="AY31:AY32"/>
    <mergeCell ref="AZ31:AZ32"/>
    <mergeCell ref="CM31:CM32"/>
    <mergeCell ref="CB31:CB32"/>
    <mergeCell ref="CC31:CC32"/>
    <mergeCell ref="CD31:CD32"/>
    <mergeCell ref="CE31:CE32"/>
    <mergeCell ref="CF31:CF32"/>
    <mergeCell ref="CG31:CG32"/>
    <mergeCell ref="BV31:BV32"/>
    <mergeCell ref="BW31:BW32"/>
    <mergeCell ref="BX31:BX32"/>
    <mergeCell ref="BY31:BY32"/>
    <mergeCell ref="BZ31:BZ32"/>
    <mergeCell ref="CA31:CA32"/>
    <mergeCell ref="BP31:BP32"/>
    <mergeCell ref="BQ31:BQ32"/>
    <mergeCell ref="BR31:BR32"/>
    <mergeCell ref="BS31:BS32"/>
    <mergeCell ref="BT31:BT32"/>
    <mergeCell ref="BU31:BU32"/>
    <mergeCell ref="BA31:BA32"/>
    <mergeCell ref="BB31:BB32"/>
    <mergeCell ref="BC31:BC32"/>
    <mergeCell ref="AR31:AR32"/>
    <mergeCell ref="AS31:AS32"/>
    <mergeCell ref="AT31:AT32"/>
    <mergeCell ref="AU31:AU32"/>
    <mergeCell ref="AV31:AV32"/>
    <mergeCell ref="AW31:AW32"/>
    <mergeCell ref="AL31:AL32"/>
    <mergeCell ref="AM31:AM32"/>
    <mergeCell ref="AN31:AN32"/>
    <mergeCell ref="AO31:AO32"/>
    <mergeCell ref="AP31:AP32"/>
    <mergeCell ref="AQ31:AQ32"/>
    <mergeCell ref="AF31:AF32"/>
    <mergeCell ref="AG31:AG32"/>
    <mergeCell ref="AH31:AH32"/>
    <mergeCell ref="AI31:AI32"/>
    <mergeCell ref="AJ31:AJ32"/>
    <mergeCell ref="AK31:AK32"/>
    <mergeCell ref="Z31:Z32"/>
    <mergeCell ref="AA31:AA32"/>
    <mergeCell ref="AB31:AB32"/>
    <mergeCell ref="AC31:AC32"/>
    <mergeCell ref="AD31:AD32"/>
    <mergeCell ref="AE31:AE32"/>
    <mergeCell ref="T31:T32"/>
    <mergeCell ref="U31:U32"/>
    <mergeCell ref="V31:V32"/>
    <mergeCell ref="W31:W32"/>
    <mergeCell ref="X31:X32"/>
    <mergeCell ref="Y31:Y32"/>
    <mergeCell ref="CI29:CI30"/>
    <mergeCell ref="CJ29:CJ30"/>
    <mergeCell ref="CK29:CK30"/>
    <mergeCell ref="CL29:CL30"/>
    <mergeCell ref="CM29:CM30"/>
    <mergeCell ref="BH29:BH30"/>
    <mergeCell ref="BI29:BI30"/>
    <mergeCell ref="BJ29:BJ30"/>
    <mergeCell ref="AY29:AY30"/>
    <mergeCell ref="AZ29:AZ30"/>
    <mergeCell ref="BA29:BA30"/>
    <mergeCell ref="BB29:BB30"/>
    <mergeCell ref="BC29:BC30"/>
    <mergeCell ref="BD29:BD30"/>
    <mergeCell ref="AS29:AS30"/>
    <mergeCell ref="AT29:AT30"/>
    <mergeCell ref="AU29:AU30"/>
    <mergeCell ref="AV29:AV30"/>
    <mergeCell ref="AW29:AW30"/>
    <mergeCell ref="AX29:AX30"/>
    <mergeCell ref="A31:A32"/>
    <mergeCell ref="P31:P32"/>
    <mergeCell ref="Q31:Q32"/>
    <mergeCell ref="R31:R32"/>
    <mergeCell ref="S31:S32"/>
    <mergeCell ref="CC29:CC30"/>
    <mergeCell ref="CD29:CD30"/>
    <mergeCell ref="CE29:CE30"/>
    <mergeCell ref="CF29:CF30"/>
    <mergeCell ref="CG29:CG30"/>
    <mergeCell ref="CH29:CH30"/>
    <mergeCell ref="BW29:BW30"/>
    <mergeCell ref="BX29:BX30"/>
    <mergeCell ref="BY29:BY30"/>
    <mergeCell ref="BZ29:BZ30"/>
    <mergeCell ref="CA29:CA30"/>
    <mergeCell ref="CB29:CB30"/>
    <mergeCell ref="BQ29:BQ30"/>
    <mergeCell ref="BR29:BR30"/>
    <mergeCell ref="BS29:BS30"/>
    <mergeCell ref="BT29:BT30"/>
    <mergeCell ref="BU29:BU30"/>
    <mergeCell ref="BV29:BV30"/>
    <mergeCell ref="BK29:BK30"/>
    <mergeCell ref="BL29:BL30"/>
    <mergeCell ref="BM29:BM30"/>
    <mergeCell ref="BN29:BN30"/>
    <mergeCell ref="BO29:BO30"/>
    <mergeCell ref="BP29:BP30"/>
    <mergeCell ref="BE29:BE30"/>
    <mergeCell ref="BF29:BF30"/>
    <mergeCell ref="BG29:BG30"/>
    <mergeCell ref="AM29:AM30"/>
    <mergeCell ref="AN29:AN30"/>
    <mergeCell ref="AO29:AO30"/>
    <mergeCell ref="AP29:AP30"/>
    <mergeCell ref="AQ29:AQ30"/>
    <mergeCell ref="AR29:AR30"/>
    <mergeCell ref="AG29:AG30"/>
    <mergeCell ref="AH29:AH30"/>
    <mergeCell ref="AI29:AI30"/>
    <mergeCell ref="AJ29:AJ30"/>
    <mergeCell ref="AK29:AK30"/>
    <mergeCell ref="AL29:AL30"/>
    <mergeCell ref="AA29:AA30"/>
    <mergeCell ref="AB29:AB30"/>
    <mergeCell ref="AC29:AC30"/>
    <mergeCell ref="AD29:AD30"/>
    <mergeCell ref="AE29:AE30"/>
    <mergeCell ref="AF29:AF30"/>
    <mergeCell ref="U29:U30"/>
    <mergeCell ref="V29:V30"/>
    <mergeCell ref="W29:W30"/>
    <mergeCell ref="X29:X30"/>
    <mergeCell ref="Y29:Y30"/>
    <mergeCell ref="Z29:Z30"/>
    <mergeCell ref="A29:A30"/>
    <mergeCell ref="P29:P30"/>
    <mergeCell ref="Q29:Q30"/>
    <mergeCell ref="R29:R30"/>
    <mergeCell ref="S29:S30"/>
    <mergeCell ref="T29:T30"/>
    <mergeCell ref="CH26:CH28"/>
    <mergeCell ref="CI26:CI28"/>
    <mergeCell ref="CJ26:CJ28"/>
    <mergeCell ref="CK26:CK28"/>
    <mergeCell ref="CL26:CL28"/>
    <mergeCell ref="BJ26:BJ28"/>
    <mergeCell ref="BK26:BK28"/>
    <mergeCell ref="BL26:BL28"/>
    <mergeCell ref="BM26:BM28"/>
    <mergeCell ref="BN26:BN28"/>
    <mergeCell ref="BO26:BO28"/>
    <mergeCell ref="BD26:BD28"/>
    <mergeCell ref="BE26:BE28"/>
    <mergeCell ref="BF26:BF28"/>
    <mergeCell ref="BG26:BG28"/>
    <mergeCell ref="BH26:BH28"/>
    <mergeCell ref="BI26:BI28"/>
    <mergeCell ref="AX26:AX28"/>
    <mergeCell ref="AY26:AY28"/>
    <mergeCell ref="AZ26:AZ28"/>
    <mergeCell ref="CM26:CM28"/>
    <mergeCell ref="CB26:CB28"/>
    <mergeCell ref="CC26:CC28"/>
    <mergeCell ref="CD26:CD28"/>
    <mergeCell ref="CE26:CE28"/>
    <mergeCell ref="CF26:CF28"/>
    <mergeCell ref="CG26:CG28"/>
    <mergeCell ref="BV26:BV28"/>
    <mergeCell ref="BW26:BW28"/>
    <mergeCell ref="BX26:BX28"/>
    <mergeCell ref="BY26:BY28"/>
    <mergeCell ref="BZ26:BZ28"/>
    <mergeCell ref="CA26:CA28"/>
    <mergeCell ref="BP26:BP28"/>
    <mergeCell ref="BQ26:BQ28"/>
    <mergeCell ref="BR26:BR28"/>
    <mergeCell ref="BS26:BS28"/>
    <mergeCell ref="BT26:BT28"/>
    <mergeCell ref="BU26:BU28"/>
    <mergeCell ref="BA26:BA28"/>
    <mergeCell ref="BB26:BB28"/>
    <mergeCell ref="BC26:BC28"/>
    <mergeCell ref="AR26:AR28"/>
    <mergeCell ref="AS26:AS28"/>
    <mergeCell ref="AT26:AT28"/>
    <mergeCell ref="AU26:AU28"/>
    <mergeCell ref="AV26:AV28"/>
    <mergeCell ref="AW26:AW28"/>
    <mergeCell ref="AL26:AL28"/>
    <mergeCell ref="AM26:AM28"/>
    <mergeCell ref="AN26:AN28"/>
    <mergeCell ref="AO26:AO28"/>
    <mergeCell ref="AP26:AP28"/>
    <mergeCell ref="AQ26:AQ28"/>
    <mergeCell ref="AF26:AF28"/>
    <mergeCell ref="AG26:AG28"/>
    <mergeCell ref="AH26:AH28"/>
    <mergeCell ref="AI26:AI28"/>
    <mergeCell ref="AJ26:AJ28"/>
    <mergeCell ref="AK26:AK28"/>
    <mergeCell ref="Z26:Z28"/>
    <mergeCell ref="AA26:AA28"/>
    <mergeCell ref="AB26:AB28"/>
    <mergeCell ref="AC26:AC28"/>
    <mergeCell ref="AD26:AD28"/>
    <mergeCell ref="AE26:AE28"/>
    <mergeCell ref="T26:T28"/>
    <mergeCell ref="U26:U28"/>
    <mergeCell ref="V26:V28"/>
    <mergeCell ref="W26:W28"/>
    <mergeCell ref="X26:X28"/>
    <mergeCell ref="Y26:Y28"/>
    <mergeCell ref="CI24:CI25"/>
    <mergeCell ref="CJ24:CJ25"/>
    <mergeCell ref="CK24:CK25"/>
    <mergeCell ref="CL24:CL25"/>
    <mergeCell ref="CM24:CM25"/>
    <mergeCell ref="BH24:BH25"/>
    <mergeCell ref="BI24:BI25"/>
    <mergeCell ref="BJ24:BJ25"/>
    <mergeCell ref="AY24:AY25"/>
    <mergeCell ref="AZ24:AZ25"/>
    <mergeCell ref="BA24:BA25"/>
    <mergeCell ref="BB24:BB25"/>
    <mergeCell ref="BC24:BC25"/>
    <mergeCell ref="BD24:BD25"/>
    <mergeCell ref="AS24:AS25"/>
    <mergeCell ref="AT24:AT25"/>
    <mergeCell ref="AU24:AU25"/>
    <mergeCell ref="AV24:AV25"/>
    <mergeCell ref="AW24:AW25"/>
    <mergeCell ref="AX24:AX25"/>
    <mergeCell ref="A26:A28"/>
    <mergeCell ref="P26:P28"/>
    <mergeCell ref="Q26:Q28"/>
    <mergeCell ref="R26:R28"/>
    <mergeCell ref="S26:S28"/>
    <mergeCell ref="CC24:CC25"/>
    <mergeCell ref="CD24:CD25"/>
    <mergeCell ref="CE24:CE25"/>
    <mergeCell ref="CF24:CF25"/>
    <mergeCell ref="CG24:CG25"/>
    <mergeCell ref="CH24:CH25"/>
    <mergeCell ref="BW24:BW25"/>
    <mergeCell ref="BX24:BX25"/>
    <mergeCell ref="BY24:BY25"/>
    <mergeCell ref="BZ24:BZ25"/>
    <mergeCell ref="CA24:CA25"/>
    <mergeCell ref="CB24:CB25"/>
    <mergeCell ref="BQ24:BQ25"/>
    <mergeCell ref="BR24:BR25"/>
    <mergeCell ref="BS24:BS25"/>
    <mergeCell ref="BT24:BT25"/>
    <mergeCell ref="BU24:BU25"/>
    <mergeCell ref="BV24:BV25"/>
    <mergeCell ref="BK24:BK25"/>
    <mergeCell ref="BL24:BL25"/>
    <mergeCell ref="BM24:BM25"/>
    <mergeCell ref="BN24:BN25"/>
    <mergeCell ref="BO24:BO25"/>
    <mergeCell ref="BP24:BP25"/>
    <mergeCell ref="BE24:BE25"/>
    <mergeCell ref="BF24:BF25"/>
    <mergeCell ref="BG24:BG25"/>
    <mergeCell ref="AM24:AM25"/>
    <mergeCell ref="AN24:AN25"/>
    <mergeCell ref="AO24:AO25"/>
    <mergeCell ref="AP24:AP25"/>
    <mergeCell ref="AQ24:AQ25"/>
    <mergeCell ref="AR24:AR25"/>
    <mergeCell ref="AG24:AG25"/>
    <mergeCell ref="AH24:AH25"/>
    <mergeCell ref="AI24:AI25"/>
    <mergeCell ref="AJ24:AJ25"/>
    <mergeCell ref="AK24:AK25"/>
    <mergeCell ref="AL24:AL25"/>
    <mergeCell ref="AA24:AA25"/>
    <mergeCell ref="AB24:AB25"/>
    <mergeCell ref="AC24:AC25"/>
    <mergeCell ref="AD24:AD25"/>
    <mergeCell ref="AE24:AE25"/>
    <mergeCell ref="AF24:AF25"/>
    <mergeCell ref="U24:U25"/>
    <mergeCell ref="V24:V25"/>
    <mergeCell ref="W24:W25"/>
    <mergeCell ref="X24:X25"/>
    <mergeCell ref="Y24:Y25"/>
    <mergeCell ref="Z24:Z25"/>
    <mergeCell ref="A24:A25"/>
    <mergeCell ref="P24:P25"/>
    <mergeCell ref="Q24:Q25"/>
    <mergeCell ref="R24:R25"/>
    <mergeCell ref="S24:S25"/>
    <mergeCell ref="T24:T25"/>
    <mergeCell ref="CH21:CH22"/>
    <mergeCell ref="CI21:CI22"/>
    <mergeCell ref="CJ21:CJ22"/>
    <mergeCell ref="CK21:CK22"/>
    <mergeCell ref="CL21:CL22"/>
    <mergeCell ref="BJ21:BJ22"/>
    <mergeCell ref="BK21:BK22"/>
    <mergeCell ref="BL21:BL22"/>
    <mergeCell ref="BM21:BM22"/>
    <mergeCell ref="BN21:BN22"/>
    <mergeCell ref="BO21:BO22"/>
    <mergeCell ref="BD21:BD22"/>
    <mergeCell ref="BE21:BE22"/>
    <mergeCell ref="BF21:BF22"/>
    <mergeCell ref="BG21:BG22"/>
    <mergeCell ref="BH21:BH22"/>
    <mergeCell ref="BI21:BI22"/>
    <mergeCell ref="AX21:AX22"/>
    <mergeCell ref="AY21:AY22"/>
    <mergeCell ref="AZ21:AZ22"/>
    <mergeCell ref="CM21:CM22"/>
    <mergeCell ref="CB21:CB22"/>
    <mergeCell ref="CC21:CC22"/>
    <mergeCell ref="CD21:CD22"/>
    <mergeCell ref="CE21:CE22"/>
    <mergeCell ref="CF21:CF22"/>
    <mergeCell ref="CG21:CG22"/>
    <mergeCell ref="BV21:BV22"/>
    <mergeCell ref="BW21:BW22"/>
    <mergeCell ref="BX21:BX22"/>
    <mergeCell ref="BY21:BY22"/>
    <mergeCell ref="BZ21:BZ22"/>
    <mergeCell ref="CA21:CA22"/>
    <mergeCell ref="BP21:BP22"/>
    <mergeCell ref="BQ21:BQ22"/>
    <mergeCell ref="BR21:BR22"/>
    <mergeCell ref="BS21:BS22"/>
    <mergeCell ref="BT21:BT22"/>
    <mergeCell ref="BU21:BU22"/>
    <mergeCell ref="BA21:BA22"/>
    <mergeCell ref="BB21:BB22"/>
    <mergeCell ref="BC21:BC22"/>
    <mergeCell ref="AR21:AR22"/>
    <mergeCell ref="AS21:AS22"/>
    <mergeCell ref="AT21:AT22"/>
    <mergeCell ref="AU21:AU22"/>
    <mergeCell ref="AV21:AV22"/>
    <mergeCell ref="AW21:AW22"/>
    <mergeCell ref="AL21:AL22"/>
    <mergeCell ref="AM21:AM22"/>
    <mergeCell ref="AN21:AN22"/>
    <mergeCell ref="AO21:AO22"/>
    <mergeCell ref="AP21:AP22"/>
    <mergeCell ref="AQ21:AQ22"/>
    <mergeCell ref="AF21:AF22"/>
    <mergeCell ref="AG21:AG22"/>
    <mergeCell ref="AH21:AH22"/>
    <mergeCell ref="AI21:AI22"/>
    <mergeCell ref="AJ21:AJ22"/>
    <mergeCell ref="AK21:AK22"/>
    <mergeCell ref="Z21:Z22"/>
    <mergeCell ref="AA21:AA22"/>
    <mergeCell ref="AB21:AB22"/>
    <mergeCell ref="AC21:AC22"/>
    <mergeCell ref="AD21:AD22"/>
    <mergeCell ref="AE21:AE22"/>
    <mergeCell ref="T21:T22"/>
    <mergeCell ref="U21:U22"/>
    <mergeCell ref="V21:V22"/>
    <mergeCell ref="W21:W22"/>
    <mergeCell ref="X21:X22"/>
    <mergeCell ref="Y21:Y22"/>
    <mergeCell ref="CI17:CI19"/>
    <mergeCell ref="CJ17:CJ19"/>
    <mergeCell ref="CK17:CK19"/>
    <mergeCell ref="CL17:CL19"/>
    <mergeCell ref="CM17:CM19"/>
    <mergeCell ref="BH17:BH19"/>
    <mergeCell ref="BI17:BI19"/>
    <mergeCell ref="BJ17:BJ19"/>
    <mergeCell ref="AY17:AY19"/>
    <mergeCell ref="AZ17:AZ19"/>
    <mergeCell ref="BA17:BA19"/>
    <mergeCell ref="BB17:BB19"/>
    <mergeCell ref="BC17:BC19"/>
    <mergeCell ref="BD17:BD19"/>
    <mergeCell ref="AS17:AS19"/>
    <mergeCell ref="AT17:AT19"/>
    <mergeCell ref="AU17:AU19"/>
    <mergeCell ref="AV17:AV19"/>
    <mergeCell ref="AW17:AW19"/>
    <mergeCell ref="AX17:AX19"/>
    <mergeCell ref="A21:A22"/>
    <mergeCell ref="P21:P22"/>
    <mergeCell ref="Q21:Q22"/>
    <mergeCell ref="R21:R22"/>
    <mergeCell ref="S21:S22"/>
    <mergeCell ref="CC17:CC19"/>
    <mergeCell ref="CD17:CD19"/>
    <mergeCell ref="CE17:CE19"/>
    <mergeCell ref="CF17:CF19"/>
    <mergeCell ref="CG17:CG19"/>
    <mergeCell ref="CH17:CH19"/>
    <mergeCell ref="BW17:BW19"/>
    <mergeCell ref="BX17:BX19"/>
    <mergeCell ref="BY17:BY19"/>
    <mergeCell ref="BZ17:BZ19"/>
    <mergeCell ref="CA17:CA19"/>
    <mergeCell ref="CB17:CB19"/>
    <mergeCell ref="BQ17:BQ19"/>
    <mergeCell ref="BR17:BR19"/>
    <mergeCell ref="BS17:BS19"/>
    <mergeCell ref="BT17:BT19"/>
    <mergeCell ref="BU17:BU19"/>
    <mergeCell ref="BV17:BV19"/>
    <mergeCell ref="BK17:BK19"/>
    <mergeCell ref="BL17:BL19"/>
    <mergeCell ref="BM17:BM19"/>
    <mergeCell ref="BN17:BN19"/>
    <mergeCell ref="BO17:BO19"/>
    <mergeCell ref="BP17:BP19"/>
    <mergeCell ref="BE17:BE19"/>
    <mergeCell ref="BF17:BF19"/>
    <mergeCell ref="BG17:BG19"/>
    <mergeCell ref="AM17:AM19"/>
    <mergeCell ref="AN17:AN19"/>
    <mergeCell ref="AO17:AO19"/>
    <mergeCell ref="AP17:AP19"/>
    <mergeCell ref="AQ17:AQ19"/>
    <mergeCell ref="AR17:AR19"/>
    <mergeCell ref="AG17:AG19"/>
    <mergeCell ref="AH17:AH19"/>
    <mergeCell ref="AI17:AI19"/>
    <mergeCell ref="AJ17:AJ19"/>
    <mergeCell ref="AK17:AK19"/>
    <mergeCell ref="AL17:AL19"/>
    <mergeCell ref="AA17:AA19"/>
    <mergeCell ref="AB17:AB19"/>
    <mergeCell ref="AC17:AC19"/>
    <mergeCell ref="AD17:AD19"/>
    <mergeCell ref="AE17:AE19"/>
    <mergeCell ref="AF17:AF19"/>
    <mergeCell ref="U17:U19"/>
    <mergeCell ref="V17:V19"/>
    <mergeCell ref="W17:W19"/>
    <mergeCell ref="X17:X19"/>
    <mergeCell ref="Y17:Y19"/>
    <mergeCell ref="Z17:Z19"/>
    <mergeCell ref="A17:A19"/>
    <mergeCell ref="P17:P19"/>
    <mergeCell ref="Q17:Q19"/>
    <mergeCell ref="R17:R19"/>
    <mergeCell ref="S17:S19"/>
    <mergeCell ref="T17:T19"/>
    <mergeCell ref="CH14:CH16"/>
    <mergeCell ref="CI14:CI16"/>
    <mergeCell ref="CJ14:CJ16"/>
    <mergeCell ref="CK14:CK16"/>
    <mergeCell ref="CL14:CL16"/>
    <mergeCell ref="BJ14:BJ16"/>
    <mergeCell ref="BK14:BK16"/>
    <mergeCell ref="BL14:BL16"/>
    <mergeCell ref="BM14:BM16"/>
    <mergeCell ref="BN14:BN16"/>
    <mergeCell ref="BO14:BO16"/>
    <mergeCell ref="BD14:BD16"/>
    <mergeCell ref="BE14:BE16"/>
    <mergeCell ref="BF14:BF16"/>
    <mergeCell ref="BG14:BG16"/>
    <mergeCell ref="BH14:BH16"/>
    <mergeCell ref="BI14:BI16"/>
    <mergeCell ref="AX14:AX16"/>
    <mergeCell ref="AY14:AY16"/>
    <mergeCell ref="AZ14:AZ16"/>
    <mergeCell ref="CM14:CM16"/>
    <mergeCell ref="CB14:CB16"/>
    <mergeCell ref="CC14:CC16"/>
    <mergeCell ref="CD14:CD16"/>
    <mergeCell ref="CE14:CE16"/>
    <mergeCell ref="CF14:CF16"/>
    <mergeCell ref="CG14:CG16"/>
    <mergeCell ref="BV14:BV16"/>
    <mergeCell ref="BW14:BW16"/>
    <mergeCell ref="BX14:BX16"/>
    <mergeCell ref="BY14:BY16"/>
    <mergeCell ref="BZ14:BZ16"/>
    <mergeCell ref="CA14:CA16"/>
    <mergeCell ref="BP14:BP16"/>
    <mergeCell ref="BQ14:BQ16"/>
    <mergeCell ref="BR14:BR16"/>
    <mergeCell ref="BS14:BS16"/>
    <mergeCell ref="BT14:BT16"/>
    <mergeCell ref="BU14:BU16"/>
    <mergeCell ref="BA14:BA16"/>
    <mergeCell ref="BB14:BB16"/>
    <mergeCell ref="BC14:BC16"/>
    <mergeCell ref="AR14:AR16"/>
    <mergeCell ref="AS14:AS16"/>
    <mergeCell ref="AT14:AT16"/>
    <mergeCell ref="AU14:AU16"/>
    <mergeCell ref="AV14:AV16"/>
    <mergeCell ref="AW14:AW16"/>
    <mergeCell ref="AL14:AL16"/>
    <mergeCell ref="AM14:AM16"/>
    <mergeCell ref="AN14:AN16"/>
    <mergeCell ref="AO14:AO16"/>
    <mergeCell ref="AP14:AP16"/>
    <mergeCell ref="AQ14:AQ16"/>
    <mergeCell ref="AF14:AF16"/>
    <mergeCell ref="AG14:AG16"/>
    <mergeCell ref="AH14:AH16"/>
    <mergeCell ref="AI14:AI16"/>
    <mergeCell ref="AJ14:AJ16"/>
    <mergeCell ref="AK14:AK16"/>
    <mergeCell ref="Z14:Z16"/>
    <mergeCell ref="AA14:AA16"/>
    <mergeCell ref="AB14:AB16"/>
    <mergeCell ref="AC14:AC16"/>
    <mergeCell ref="AD14:AD16"/>
    <mergeCell ref="AE14:AE16"/>
    <mergeCell ref="T14:T16"/>
    <mergeCell ref="U14:U16"/>
    <mergeCell ref="V14:V16"/>
    <mergeCell ref="W14:W16"/>
    <mergeCell ref="X14:X16"/>
    <mergeCell ref="Y14:Y16"/>
    <mergeCell ref="CI7:CI12"/>
    <mergeCell ref="CJ7:CJ12"/>
    <mergeCell ref="CK7:CK12"/>
    <mergeCell ref="CL7:CL12"/>
    <mergeCell ref="CM7:CM12"/>
    <mergeCell ref="BH7:BH12"/>
    <mergeCell ref="BI7:BI12"/>
    <mergeCell ref="BJ7:BJ12"/>
    <mergeCell ref="AY7:AY12"/>
    <mergeCell ref="AZ7:AZ12"/>
    <mergeCell ref="BA7:BA12"/>
    <mergeCell ref="BB7:BB12"/>
    <mergeCell ref="BC7:BC12"/>
    <mergeCell ref="BD7:BD12"/>
    <mergeCell ref="AS7:AS12"/>
    <mergeCell ref="AT7:AT12"/>
    <mergeCell ref="AU7:AU12"/>
    <mergeCell ref="AV7:AV12"/>
    <mergeCell ref="AW7:AW12"/>
    <mergeCell ref="AX7:AX12"/>
    <mergeCell ref="A14:A16"/>
    <mergeCell ref="P14:P16"/>
    <mergeCell ref="Q14:Q16"/>
    <mergeCell ref="R14:R16"/>
    <mergeCell ref="S14:S16"/>
    <mergeCell ref="CC7:CC12"/>
    <mergeCell ref="CD7:CD12"/>
    <mergeCell ref="CE7:CE12"/>
    <mergeCell ref="CF7:CF12"/>
    <mergeCell ref="CG7:CG12"/>
    <mergeCell ref="CH7:CH12"/>
    <mergeCell ref="BW7:BW12"/>
    <mergeCell ref="BX7:BX12"/>
    <mergeCell ref="BY7:BY12"/>
    <mergeCell ref="BZ7:BZ12"/>
    <mergeCell ref="CA7:CA12"/>
    <mergeCell ref="CB7:CB12"/>
    <mergeCell ref="BQ7:BQ12"/>
    <mergeCell ref="BR7:BR12"/>
    <mergeCell ref="BS7:BS12"/>
    <mergeCell ref="BT7:BT12"/>
    <mergeCell ref="BU7:BU12"/>
    <mergeCell ref="BV7:BV12"/>
    <mergeCell ref="BK7:BK12"/>
    <mergeCell ref="BL7:BL12"/>
    <mergeCell ref="BM7:BM12"/>
    <mergeCell ref="BN7:BN12"/>
    <mergeCell ref="BO7:BO12"/>
    <mergeCell ref="BP7:BP12"/>
    <mergeCell ref="BE7:BE12"/>
    <mergeCell ref="BF7:BF12"/>
    <mergeCell ref="BG7:BG12"/>
    <mergeCell ref="AM7:AM12"/>
    <mergeCell ref="AN7:AN12"/>
    <mergeCell ref="AO7:AO12"/>
    <mergeCell ref="AP7:AP12"/>
    <mergeCell ref="AQ7:AQ12"/>
    <mergeCell ref="AR7:AR12"/>
    <mergeCell ref="AG7:AG12"/>
    <mergeCell ref="AH7:AH12"/>
    <mergeCell ref="AI7:AI12"/>
    <mergeCell ref="AJ7:AJ12"/>
    <mergeCell ref="AK7:AK12"/>
    <mergeCell ref="AL7:AL12"/>
    <mergeCell ref="AA7:AA12"/>
    <mergeCell ref="AB7:AB12"/>
    <mergeCell ref="AC7:AC12"/>
    <mergeCell ref="AD7:AD12"/>
    <mergeCell ref="AE7:AE12"/>
    <mergeCell ref="AF7:AF12"/>
    <mergeCell ref="U7:U12"/>
    <mergeCell ref="V7:V12"/>
    <mergeCell ref="W7:W12"/>
    <mergeCell ref="X7:X12"/>
    <mergeCell ref="Y7:Y12"/>
    <mergeCell ref="Z7:Z12"/>
    <mergeCell ref="CJ5:CJ6"/>
    <mergeCell ref="CK5:CK6"/>
    <mergeCell ref="CL5:CL6"/>
    <mergeCell ref="CM5:CM6"/>
    <mergeCell ref="A7:A12"/>
    <mergeCell ref="P7:P12"/>
    <mergeCell ref="Q7:Q12"/>
    <mergeCell ref="R7:R12"/>
    <mergeCell ref="S7:S12"/>
    <mergeCell ref="T7:T12"/>
    <mergeCell ref="CD5:CD6"/>
    <mergeCell ref="CE5:CE6"/>
    <mergeCell ref="CF5:CF6"/>
    <mergeCell ref="CG5:CG6"/>
    <mergeCell ref="CH5:CH6"/>
    <mergeCell ref="CI5:CI6"/>
    <mergeCell ref="BX5:BX6"/>
    <mergeCell ref="BY5:BY6"/>
    <mergeCell ref="BZ5:BZ6"/>
    <mergeCell ref="CA5:CA6"/>
    <mergeCell ref="CB5:CB6"/>
    <mergeCell ref="CC5:CC6"/>
    <mergeCell ref="BR5:BR6"/>
    <mergeCell ref="BS5:BS6"/>
    <mergeCell ref="BT5:BT6"/>
    <mergeCell ref="BU5:BU6"/>
    <mergeCell ref="AR5:AR6"/>
    <mergeCell ref="AS5:AS6"/>
    <mergeCell ref="AH5:AH6"/>
    <mergeCell ref="AI5:AI6"/>
    <mergeCell ref="AJ5:AJ6"/>
    <mergeCell ref="AK5:AK6"/>
    <mergeCell ref="AL5:AL6"/>
    <mergeCell ref="AM5:AM6"/>
    <mergeCell ref="BV5:BV6"/>
    <mergeCell ref="BW5:BW6"/>
    <mergeCell ref="BL5:BL6"/>
    <mergeCell ref="BM5:BM6"/>
    <mergeCell ref="BN5:BN6"/>
    <mergeCell ref="BO5:BO6"/>
    <mergeCell ref="BP5:BP6"/>
    <mergeCell ref="BQ5:BQ6"/>
    <mergeCell ref="BF5:BF6"/>
    <mergeCell ref="BG5:BG6"/>
    <mergeCell ref="BH5:BH6"/>
    <mergeCell ref="BI5:BI6"/>
    <mergeCell ref="BJ5:BJ6"/>
    <mergeCell ref="BK5:BK6"/>
    <mergeCell ref="AZ5:AZ6"/>
    <mergeCell ref="BA5:BA6"/>
    <mergeCell ref="BB5:BB6"/>
    <mergeCell ref="BC5:BC6"/>
    <mergeCell ref="BD5:BD6"/>
    <mergeCell ref="BE5:BE6"/>
    <mergeCell ref="AB5:AB6"/>
    <mergeCell ref="AC5:AC6"/>
    <mergeCell ref="AD5:AD6"/>
    <mergeCell ref="AE5:AE6"/>
    <mergeCell ref="AF5:AF6"/>
    <mergeCell ref="AG5:AG6"/>
    <mergeCell ref="V5:V6"/>
    <mergeCell ref="W5:W6"/>
    <mergeCell ref="X5:X6"/>
    <mergeCell ref="Y5:Y6"/>
    <mergeCell ref="Z5:Z6"/>
    <mergeCell ref="AA5:AA6"/>
    <mergeCell ref="A2:J2"/>
    <mergeCell ref="AM3:BN3"/>
    <mergeCell ref="BO3:CH3"/>
    <mergeCell ref="A5:A6"/>
    <mergeCell ref="P5:P6"/>
    <mergeCell ref="Q5:Q6"/>
    <mergeCell ref="R5:R6"/>
    <mergeCell ref="S5:S6"/>
    <mergeCell ref="T5:T6"/>
    <mergeCell ref="U5:U6"/>
    <mergeCell ref="AT5:AT6"/>
    <mergeCell ref="AU5:AU6"/>
    <mergeCell ref="AV5:AV6"/>
    <mergeCell ref="AW5:AW6"/>
    <mergeCell ref="AX5:AX6"/>
    <mergeCell ref="AY5:AY6"/>
    <mergeCell ref="AN5:AN6"/>
    <mergeCell ref="AO5:AO6"/>
    <mergeCell ref="AP5:AP6"/>
    <mergeCell ref="AQ5:AQ6"/>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3CFF25C52F0742A3996AF77B203062" ma:contentTypeVersion="9" ma:contentTypeDescription="Create a new document." ma:contentTypeScope="" ma:versionID="1cb7efc2d4264fc6f1779e931d71df02">
  <xsd:schema xmlns:xsd="http://www.w3.org/2001/XMLSchema" xmlns:xs="http://www.w3.org/2001/XMLSchema" xmlns:p="http://schemas.microsoft.com/office/2006/metadata/properties" xmlns:ns2="dd7dc177-b559-4064-b025-5dc5c92f2d55" xmlns:ns3="4eab1d2f-0a6f-43b5-bd47-0cc182e7f81d" targetNamespace="http://schemas.microsoft.com/office/2006/metadata/properties" ma:root="true" ma:fieldsID="279e6d95e7f2ff4700eab88b3351a17b" ns2:_="" ns3:_="">
    <xsd:import namespace="dd7dc177-b559-4064-b025-5dc5c92f2d55"/>
    <xsd:import namespace="4eab1d2f-0a6f-43b5-bd47-0cc182e7f81d"/>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Location"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d7dc177-b559-4064-b025-5dc5c92f2d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eab1d2f-0a6f-43b5-bd47-0cc182e7f81d"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9F3F55B-4C65-4230-8171-C3BB3E3C799E}"/>
</file>

<file path=customXml/itemProps2.xml><?xml version="1.0" encoding="utf-8"?>
<ds:datastoreItem xmlns:ds="http://schemas.openxmlformats.org/officeDocument/2006/customXml" ds:itemID="{2293FC34-6A3C-4ED9-8920-8328AD2D3E37}"/>
</file>

<file path=customXml/itemProps3.xml><?xml version="1.0" encoding="utf-8"?>
<ds:datastoreItem xmlns:ds="http://schemas.openxmlformats.org/officeDocument/2006/customXml" ds:itemID="{8E688D06-BABE-494F-9489-678733F38D0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Mark Shapiro</dc:creator>
  <cp:keywords/>
  <dc:description/>
  <cp:lastModifiedBy>Molly Graber (DCP)</cp:lastModifiedBy>
  <cp:revision/>
  <dcterms:created xsi:type="dcterms:W3CDTF">2019-01-16T20:00:32Z</dcterms:created>
  <dcterms:modified xsi:type="dcterms:W3CDTF">2020-01-09T14:08:13Z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0x0101003A3CFF25C52F0742A3996AF77B203062</vt:lpwstr>
  </property>
</Properties>
</file>